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24481152\Desktop\DGR\JULY\23-07-2025\"/>
    </mc:Choice>
  </mc:AlternateContent>
  <xr:revisionPtr revIDLastSave="0" documentId="13_ncr:1_{DE6CCB2D-82FD-41AA-A65E-A0846D4264B2}" xr6:coauthVersionLast="47" xr6:coauthVersionMax="47" xr10:uidLastSave="{00000000-0000-0000-0000-000000000000}"/>
  <bookViews>
    <workbookView xWindow="-120" yWindow="-120" windowWidth="20730" windowHeight="11160" firstSheet="3" activeTab="10" xr2:uid="{00000000-000D-0000-FFFF-FFFF00000000}"/>
  </bookViews>
  <sheets>
    <sheet name="Dashboard" sheetId="9" r:id="rId1"/>
    <sheet name="Annual_KPI" sheetId="21" r:id="rId2"/>
    <sheet name="Monthly_KPI" sheetId="20" r:id="rId3"/>
    <sheet name="Grass_Ct" sheetId="19" r:id="rId4"/>
    <sheet name="Mod_CL" sheetId="18" r:id="rId5"/>
    <sheet name="Raw_Data" sheetId="1" r:id="rId6"/>
    <sheet name="Daily KPI" sheetId="22" r:id="rId7"/>
    <sheet name="Modelling New" sheetId="23" r:id="rId8"/>
    <sheet name="Basic Data " sheetId="3" state="hidden" r:id="rId9"/>
    <sheet name="GA" sheetId="7" r:id="rId10"/>
    <sheet name="PA" sheetId="5" r:id="rId11"/>
    <sheet name="Inv_SY_B" sheetId="12" r:id="rId12"/>
    <sheet name="Inv_SY"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96" i="5" l="1"/>
  <c r="AJ596" i="5"/>
  <c r="R596" i="5"/>
  <c r="D596" i="5"/>
  <c r="H596" i="5"/>
  <c r="K596" i="5"/>
  <c r="AB596" i="5"/>
  <c r="AC596" i="5"/>
  <c r="AD596" i="5"/>
  <c r="AE596" i="5"/>
  <c r="AJ593" i="5"/>
  <c r="AJ594" i="5"/>
  <c r="AJ595" i="5"/>
  <c r="R593" i="5"/>
  <c r="R594" i="5"/>
  <c r="R595" i="5"/>
  <c r="D595" i="5"/>
  <c r="H595" i="5"/>
  <c r="K595" i="5"/>
  <c r="AB595" i="5"/>
  <c r="AC595" i="5"/>
  <c r="AD595" i="5"/>
  <c r="AE595" i="5"/>
  <c r="D594" i="5"/>
  <c r="H594" i="5"/>
  <c r="K594" i="5"/>
  <c r="AB594" i="5"/>
  <c r="AC594" i="5"/>
  <c r="AD594" i="5"/>
  <c r="AE594" i="5"/>
  <c r="D593" i="5"/>
  <c r="H593" i="5"/>
  <c r="K593" i="5"/>
  <c r="AB593" i="5"/>
  <c r="AC593" i="5"/>
  <c r="AD593" i="5"/>
  <c r="AE593" i="5"/>
  <c r="JU120" i="1"/>
  <c r="JV120" i="1"/>
  <c r="JW120" i="1"/>
  <c r="JX120" i="1"/>
  <c r="JY120" i="1"/>
  <c r="JZ120" i="1"/>
  <c r="KA120" i="1"/>
  <c r="KB120" i="1"/>
  <c r="KC120" i="1"/>
  <c r="KD120" i="1"/>
  <c r="AJ590" i="5"/>
  <c r="AJ591" i="5"/>
  <c r="D592" i="5"/>
  <c r="H592" i="5"/>
  <c r="K592" i="5"/>
  <c r="R592" i="5"/>
  <c r="S592" i="5" s="1"/>
  <c r="AJ592" i="5" s="1"/>
  <c r="AB592" i="5"/>
  <c r="AC592" i="5"/>
  <c r="AD592" i="5"/>
  <c r="AE592" i="5"/>
  <c r="D591" i="5"/>
  <c r="H591" i="5"/>
  <c r="K591" i="5"/>
  <c r="R591" i="5"/>
  <c r="AB591" i="5"/>
  <c r="AC591" i="5"/>
  <c r="AD591" i="5"/>
  <c r="AE591" i="5"/>
  <c r="D590" i="5"/>
  <c r="H590" i="5"/>
  <c r="K590" i="5"/>
  <c r="R590" i="5"/>
  <c r="AB590" i="5"/>
  <c r="AC590" i="5"/>
  <c r="AD590" i="5"/>
  <c r="AE590" i="5"/>
  <c r="JU119" i="1"/>
  <c r="JV119" i="1"/>
  <c r="JW119" i="1"/>
  <c r="JX119" i="1"/>
  <c r="JY119" i="1"/>
  <c r="JZ119" i="1"/>
  <c r="KA119" i="1"/>
  <c r="KB119" i="1"/>
  <c r="KC119" i="1"/>
  <c r="KD119" i="1"/>
  <c r="AJ588" i="5"/>
  <c r="AJ589" i="5"/>
  <c r="D589" i="5"/>
  <c r="H589" i="5"/>
  <c r="K589" i="5"/>
  <c r="R589" i="5"/>
  <c r="T589" i="5" s="1"/>
  <c r="AB589" i="5"/>
  <c r="AC589" i="5"/>
  <c r="AD589" i="5"/>
  <c r="AE589" i="5"/>
  <c r="D588" i="5"/>
  <c r="H588" i="5"/>
  <c r="K588" i="5"/>
  <c r="R588" i="5"/>
  <c r="T588" i="5" s="1"/>
  <c r="AB588" i="5"/>
  <c r="AC588" i="5"/>
  <c r="AD588" i="5"/>
  <c r="AE588" i="5"/>
  <c r="JU118" i="1"/>
  <c r="JV118" i="1"/>
  <c r="JW118" i="1"/>
  <c r="JX118" i="1"/>
  <c r="JY118" i="1"/>
  <c r="JZ118" i="1"/>
  <c r="KA118" i="1"/>
  <c r="KB118" i="1"/>
  <c r="KC118" i="1"/>
  <c r="KD118" i="1"/>
  <c r="AJ584" i="5"/>
  <c r="AJ585" i="5"/>
  <c r="AJ586" i="5"/>
  <c r="AJ587" i="5"/>
  <c r="D587" i="5"/>
  <c r="H587" i="5"/>
  <c r="K587" i="5"/>
  <c r="R587" i="5"/>
  <c r="S587" i="5" s="1"/>
  <c r="AB587" i="5"/>
  <c r="AC587" i="5"/>
  <c r="AD587" i="5"/>
  <c r="AE587" i="5"/>
  <c r="D586" i="5"/>
  <c r="H586" i="5"/>
  <c r="K586" i="5"/>
  <c r="R586" i="5"/>
  <c r="S586" i="5" s="1"/>
  <c r="AB586" i="5"/>
  <c r="AC586" i="5"/>
  <c r="AD586" i="5"/>
  <c r="AE586" i="5"/>
  <c r="D585" i="5"/>
  <c r="H585" i="5"/>
  <c r="K585" i="5"/>
  <c r="R585" i="5"/>
  <c r="S585" i="5" s="1"/>
  <c r="AB585" i="5"/>
  <c r="AC585" i="5"/>
  <c r="AD585" i="5"/>
  <c r="AE585" i="5"/>
  <c r="D584" i="5"/>
  <c r="H584" i="5"/>
  <c r="K584" i="5"/>
  <c r="R584" i="5"/>
  <c r="S584" i="5" s="1"/>
  <c r="AB584" i="5"/>
  <c r="AC584" i="5"/>
  <c r="AD584" i="5"/>
  <c r="AE584" i="5"/>
  <c r="AJ582" i="5"/>
  <c r="AJ583" i="5"/>
  <c r="D583" i="5"/>
  <c r="H583" i="5"/>
  <c r="K583" i="5"/>
  <c r="R583" i="5"/>
  <c r="AB583" i="5"/>
  <c r="AC583" i="5"/>
  <c r="AD583" i="5"/>
  <c r="AE583" i="5"/>
  <c r="D582" i="5"/>
  <c r="H582" i="5"/>
  <c r="K582" i="5"/>
  <c r="R582" i="5"/>
  <c r="AB582" i="5"/>
  <c r="AC582" i="5"/>
  <c r="AD582" i="5"/>
  <c r="AE582" i="5"/>
  <c r="JU117" i="1"/>
  <c r="JV117" i="1"/>
  <c r="JW117" i="1"/>
  <c r="JX117" i="1"/>
  <c r="JY117" i="1"/>
  <c r="JZ117" i="1"/>
  <c r="KA117" i="1"/>
  <c r="KB117" i="1"/>
  <c r="KC117" i="1"/>
  <c r="KD117" i="1"/>
  <c r="R576" i="5"/>
  <c r="R577" i="5"/>
  <c r="R578" i="5"/>
  <c r="R579" i="5"/>
  <c r="R580" i="5"/>
  <c r="R581" i="5"/>
  <c r="AJ575" i="5"/>
  <c r="AJ576" i="5"/>
  <c r="AJ577" i="5"/>
  <c r="AJ578" i="5"/>
  <c r="AJ579" i="5"/>
  <c r="AJ580" i="5"/>
  <c r="AJ581" i="5"/>
  <c r="D581" i="5"/>
  <c r="H581" i="5"/>
  <c r="K581" i="5"/>
  <c r="AB581" i="5"/>
  <c r="AC581" i="5"/>
  <c r="AD581" i="5"/>
  <c r="AE581" i="5"/>
  <c r="D580" i="5"/>
  <c r="H580" i="5"/>
  <c r="K580" i="5"/>
  <c r="AB580" i="5"/>
  <c r="AC580" i="5"/>
  <c r="AD580" i="5"/>
  <c r="AE580" i="5"/>
  <c r="D579" i="5"/>
  <c r="H579" i="5"/>
  <c r="K579" i="5"/>
  <c r="AB579" i="5"/>
  <c r="AC579" i="5"/>
  <c r="AD579" i="5"/>
  <c r="AE579" i="5"/>
  <c r="D578" i="5"/>
  <c r="H578" i="5"/>
  <c r="K578" i="5"/>
  <c r="AB578" i="5"/>
  <c r="AC578" i="5"/>
  <c r="AD578" i="5"/>
  <c r="AE578" i="5"/>
  <c r="D577" i="5"/>
  <c r="H577" i="5"/>
  <c r="K577" i="5"/>
  <c r="AB577" i="5"/>
  <c r="AC577" i="5"/>
  <c r="AD577" i="5"/>
  <c r="AE577" i="5"/>
  <c r="D576" i="5"/>
  <c r="H576" i="5"/>
  <c r="K576" i="5"/>
  <c r="AB576" i="5"/>
  <c r="AC576" i="5"/>
  <c r="AD576" i="5"/>
  <c r="AE576" i="5"/>
  <c r="D575" i="5"/>
  <c r="H575" i="5"/>
  <c r="K575" i="5"/>
  <c r="R575" i="5"/>
  <c r="AB575" i="5"/>
  <c r="AC575" i="5"/>
  <c r="AD575" i="5"/>
  <c r="AE575" i="5"/>
  <c r="JU116" i="1"/>
  <c r="JV116" i="1"/>
  <c r="JW116" i="1"/>
  <c r="JX116" i="1"/>
  <c r="JY116" i="1"/>
  <c r="JZ116" i="1"/>
  <c r="KA116" i="1"/>
  <c r="KB116" i="1"/>
  <c r="KC116" i="1"/>
  <c r="KD116" i="1"/>
  <c r="AJ574" i="5"/>
  <c r="D574" i="5"/>
  <c r="H574" i="5"/>
  <c r="K574" i="5"/>
  <c r="R574" i="5"/>
  <c r="AB574" i="5"/>
  <c r="AC574" i="5"/>
  <c r="AD574" i="5"/>
  <c r="AE574" i="5"/>
  <c r="JU115" i="1"/>
  <c r="JV115" i="1"/>
  <c r="JW115" i="1"/>
  <c r="JX115" i="1"/>
  <c r="JY115" i="1"/>
  <c r="JZ115" i="1"/>
  <c r="KA115" i="1"/>
  <c r="KB115" i="1"/>
  <c r="KC115" i="1"/>
  <c r="KD115" i="1"/>
  <c r="JU114" i="1"/>
  <c r="JV114" i="1"/>
  <c r="JW114" i="1"/>
  <c r="JX114" i="1"/>
  <c r="JY114" i="1"/>
  <c r="JZ114" i="1"/>
  <c r="KA114" i="1"/>
  <c r="KB114" i="1"/>
  <c r="KC114" i="1"/>
  <c r="KD114" i="1"/>
  <c r="JU113" i="1"/>
  <c r="JV113" i="1"/>
  <c r="JW113" i="1"/>
  <c r="JX113" i="1"/>
  <c r="JY113" i="1"/>
  <c r="JZ113" i="1"/>
  <c r="KA113" i="1"/>
  <c r="KB113" i="1"/>
  <c r="KC113" i="1"/>
  <c r="KD113" i="1"/>
  <c r="AJ571" i="5"/>
  <c r="AJ572" i="5"/>
  <c r="AJ573" i="5"/>
  <c r="D573" i="5"/>
  <c r="H573" i="5"/>
  <c r="K573" i="5"/>
  <c r="R573" i="5"/>
  <c r="AB573" i="5"/>
  <c r="AC573" i="5"/>
  <c r="AD573" i="5"/>
  <c r="AE573" i="5"/>
  <c r="D572" i="5"/>
  <c r="H572" i="5"/>
  <c r="K572" i="5"/>
  <c r="R572" i="5"/>
  <c r="AB572" i="5"/>
  <c r="AC572" i="5"/>
  <c r="AD572" i="5"/>
  <c r="AE572" i="5"/>
  <c r="D571" i="5"/>
  <c r="H571" i="5"/>
  <c r="K571" i="5"/>
  <c r="R571" i="5"/>
  <c r="AB571" i="5"/>
  <c r="AC571" i="5"/>
  <c r="AD571" i="5"/>
  <c r="AE571" i="5"/>
  <c r="AJ558" i="5"/>
  <c r="AJ559" i="5"/>
  <c r="AJ560" i="5"/>
  <c r="AJ561" i="5"/>
  <c r="AJ562" i="5"/>
  <c r="AJ563" i="5"/>
  <c r="AJ564" i="5"/>
  <c r="AJ565" i="5"/>
  <c r="AJ566" i="5"/>
  <c r="AJ567" i="5"/>
  <c r="AJ568" i="5"/>
  <c r="AJ569" i="5"/>
  <c r="AJ570" i="5"/>
  <c r="D567" i="5"/>
  <c r="D568" i="5"/>
  <c r="D569" i="5"/>
  <c r="D570" i="5"/>
  <c r="H567" i="5"/>
  <c r="H568" i="5"/>
  <c r="H569" i="5"/>
  <c r="H570" i="5"/>
  <c r="K567" i="5"/>
  <c r="K568" i="5"/>
  <c r="K569" i="5"/>
  <c r="K570" i="5"/>
  <c r="R567" i="5"/>
  <c r="T567" i="5" s="1"/>
  <c r="R568" i="5"/>
  <c r="S568" i="5" s="1"/>
  <c r="R569" i="5"/>
  <c r="T569" i="5" s="1"/>
  <c r="R570" i="5"/>
  <c r="S570" i="5" s="1"/>
  <c r="AB567" i="5"/>
  <c r="AB568" i="5"/>
  <c r="AB569" i="5"/>
  <c r="AB570" i="5"/>
  <c r="AC567" i="5"/>
  <c r="AC568" i="5"/>
  <c r="AC569" i="5"/>
  <c r="AC570" i="5"/>
  <c r="AD567" i="5"/>
  <c r="AD568" i="5"/>
  <c r="AD569" i="5"/>
  <c r="AD570" i="5"/>
  <c r="AE567" i="5"/>
  <c r="AE568" i="5"/>
  <c r="AE569" i="5"/>
  <c r="AE570" i="5"/>
  <c r="JU112" i="1"/>
  <c r="JV112" i="1"/>
  <c r="JW112" i="1"/>
  <c r="JX112" i="1"/>
  <c r="JY112" i="1"/>
  <c r="JZ112" i="1"/>
  <c r="KA112" i="1"/>
  <c r="KB112" i="1"/>
  <c r="KC112" i="1"/>
  <c r="KD112" i="1"/>
  <c r="D562" i="5"/>
  <c r="D563" i="5"/>
  <c r="D564" i="5"/>
  <c r="D565" i="5"/>
  <c r="D566" i="5"/>
  <c r="H562" i="5"/>
  <c r="H563" i="5"/>
  <c r="H564" i="5"/>
  <c r="H565" i="5"/>
  <c r="H566" i="5"/>
  <c r="K562" i="5"/>
  <c r="K563" i="5"/>
  <c r="K564" i="5"/>
  <c r="K565" i="5"/>
  <c r="K566" i="5"/>
  <c r="R562" i="5"/>
  <c r="S562" i="5" s="1"/>
  <c r="R563" i="5"/>
  <c r="S563" i="5" s="1"/>
  <c r="R564" i="5"/>
  <c r="S564" i="5" s="1"/>
  <c r="R565" i="5"/>
  <c r="S565" i="5" s="1"/>
  <c r="R566" i="5"/>
  <c r="S566" i="5" s="1"/>
  <c r="AB562" i="5"/>
  <c r="AB563" i="5"/>
  <c r="AB564" i="5"/>
  <c r="AB565" i="5"/>
  <c r="AB566" i="5"/>
  <c r="AC562" i="5"/>
  <c r="AC563" i="5"/>
  <c r="AC564" i="5"/>
  <c r="AC565" i="5"/>
  <c r="AC566" i="5"/>
  <c r="AD562" i="5"/>
  <c r="AD563" i="5"/>
  <c r="AD564" i="5"/>
  <c r="AD565" i="5"/>
  <c r="AD566" i="5"/>
  <c r="AE562" i="5"/>
  <c r="AE563" i="5"/>
  <c r="AE564" i="5"/>
  <c r="AE565" i="5"/>
  <c r="AE566" i="5"/>
  <c r="JU111" i="1"/>
  <c r="JV111" i="1"/>
  <c r="JW111" i="1"/>
  <c r="JX111" i="1"/>
  <c r="JY111" i="1"/>
  <c r="JZ111" i="1"/>
  <c r="KA111" i="1"/>
  <c r="KB111" i="1"/>
  <c r="KC111" i="1"/>
  <c r="KD111" i="1"/>
  <c r="D561" i="5"/>
  <c r="H561" i="5"/>
  <c r="K561" i="5"/>
  <c r="R561" i="5"/>
  <c r="S561" i="5" s="1"/>
  <c r="AB561" i="5"/>
  <c r="AC561" i="5"/>
  <c r="AD561" i="5"/>
  <c r="AE561" i="5"/>
  <c r="D560" i="5"/>
  <c r="H560" i="5"/>
  <c r="K560" i="5"/>
  <c r="R560" i="5"/>
  <c r="S560" i="5" s="1"/>
  <c r="AB560" i="5"/>
  <c r="AC560" i="5"/>
  <c r="AD560" i="5"/>
  <c r="AE560" i="5"/>
  <c r="D559" i="5"/>
  <c r="H559" i="5"/>
  <c r="K559" i="5"/>
  <c r="R559" i="5"/>
  <c r="S559" i="5" s="1"/>
  <c r="AB559" i="5"/>
  <c r="AC559" i="5"/>
  <c r="AD559" i="5"/>
  <c r="AE559" i="5"/>
  <c r="D558" i="5"/>
  <c r="H558" i="5"/>
  <c r="K558" i="5"/>
  <c r="R558" i="5"/>
  <c r="S558" i="5" s="1"/>
  <c r="AB558" i="5"/>
  <c r="AC558" i="5"/>
  <c r="AD558" i="5"/>
  <c r="AE558" i="5"/>
  <c r="JU110" i="1"/>
  <c r="JV110" i="1"/>
  <c r="JW110" i="1"/>
  <c r="JX110" i="1"/>
  <c r="JY110" i="1"/>
  <c r="JZ110" i="1"/>
  <c r="KA110" i="1"/>
  <c r="KB110" i="1"/>
  <c r="KC110" i="1"/>
  <c r="KD110" i="1"/>
  <c r="AH596" i="5" l="1"/>
  <c r="T595" i="5"/>
  <c r="AH595" i="5" s="1"/>
  <c r="T594" i="5"/>
  <c r="AH594" i="5" s="1"/>
  <c r="T593" i="5"/>
  <c r="AH593" i="5" s="1"/>
  <c r="T562" i="5"/>
  <c r="T592" i="5"/>
  <c r="AH592" i="5" s="1"/>
  <c r="T590" i="5"/>
  <c r="AH590" i="5" s="1"/>
  <c r="T591" i="5"/>
  <c r="AH591" i="5" s="1"/>
  <c r="AH589" i="5"/>
  <c r="AH588" i="5"/>
  <c r="T587" i="5"/>
  <c r="AH587" i="5" s="1"/>
  <c r="T586" i="5"/>
  <c r="AH586" i="5" s="1"/>
  <c r="T585" i="5"/>
  <c r="AH585" i="5" s="1"/>
  <c r="T584" i="5"/>
  <c r="AH584" i="5" s="1"/>
  <c r="T583" i="5"/>
  <c r="AH583" i="5" s="1"/>
  <c r="T582" i="5"/>
  <c r="AH582" i="5" s="1"/>
  <c r="T570" i="5"/>
  <c r="AH570" i="5" s="1"/>
  <c r="T581" i="5"/>
  <c r="AH581" i="5" s="1"/>
  <c r="T580" i="5"/>
  <c r="AH580" i="5" s="1"/>
  <c r="T579" i="5"/>
  <c r="AH579" i="5" s="1"/>
  <c r="T578" i="5"/>
  <c r="AH578" i="5" s="1"/>
  <c r="T577" i="5"/>
  <c r="AH577" i="5" s="1"/>
  <c r="S567" i="5"/>
  <c r="T563" i="5"/>
  <c r="AH563" i="5" s="1"/>
  <c r="AH567" i="5"/>
  <c r="T576" i="5"/>
  <c r="AH576" i="5" s="1"/>
  <c r="T575" i="5"/>
  <c r="AH575" i="5" s="1"/>
  <c r="T574" i="5"/>
  <c r="AH574" i="5" s="1"/>
  <c r="T573" i="5"/>
  <c r="AH573" i="5" s="1"/>
  <c r="T572" i="5"/>
  <c r="AH572" i="5" s="1"/>
  <c r="T564" i="5"/>
  <c r="AH564" i="5" s="1"/>
  <c r="AH569" i="5"/>
  <c r="S569" i="5"/>
  <c r="T566" i="5"/>
  <c r="AH566" i="5" s="1"/>
  <c r="T571" i="5"/>
  <c r="AH571" i="5" s="1"/>
  <c r="T568" i="5"/>
  <c r="AH568" i="5" s="1"/>
  <c r="AH562" i="5"/>
  <c r="T565" i="5"/>
  <c r="AH565" i="5" s="1"/>
  <c r="T561" i="5"/>
  <c r="AH561" i="5" s="1"/>
  <c r="T560" i="5"/>
  <c r="AH560" i="5" s="1"/>
  <c r="T558" i="5"/>
  <c r="AH558" i="5" s="1"/>
  <c r="T559" i="5"/>
  <c r="AH559" i="5" s="1"/>
  <c r="D557" i="5"/>
  <c r="H557" i="5"/>
  <c r="K557" i="5"/>
  <c r="R557" i="5"/>
  <c r="S557" i="5" s="1"/>
  <c r="AJ557" i="5" s="1"/>
  <c r="AB557" i="5"/>
  <c r="AC557" i="5"/>
  <c r="AD557" i="5"/>
  <c r="AE557" i="5"/>
  <c r="R554" i="5"/>
  <c r="S554" i="5" s="1"/>
  <c r="AJ554" i="5" s="1"/>
  <c r="R555" i="5"/>
  <c r="S555" i="5" s="1"/>
  <c r="AJ555" i="5" s="1"/>
  <c r="R556" i="5"/>
  <c r="S556" i="5" s="1"/>
  <c r="AJ556" i="5" s="1"/>
  <c r="D556" i="5"/>
  <c r="H556" i="5"/>
  <c r="K556" i="5"/>
  <c r="AB556" i="5"/>
  <c r="AC556" i="5"/>
  <c r="AD556" i="5"/>
  <c r="AE556" i="5"/>
  <c r="D555" i="5"/>
  <c r="H555" i="5"/>
  <c r="K555" i="5"/>
  <c r="AB555" i="5"/>
  <c r="AC555" i="5"/>
  <c r="AD555" i="5"/>
  <c r="AE555" i="5"/>
  <c r="D554" i="5"/>
  <c r="H554" i="5"/>
  <c r="K554" i="5"/>
  <c r="AB554" i="5"/>
  <c r="AC554" i="5"/>
  <c r="AD554" i="5"/>
  <c r="AE554" i="5"/>
  <c r="D553" i="5"/>
  <c r="H553" i="5"/>
  <c r="K553" i="5"/>
  <c r="R553" i="5"/>
  <c r="S553" i="5" s="1"/>
  <c r="AJ553" i="5" s="1"/>
  <c r="AB553" i="5"/>
  <c r="AC553" i="5"/>
  <c r="AD553" i="5"/>
  <c r="AE553" i="5"/>
  <c r="D552" i="5"/>
  <c r="H552" i="5"/>
  <c r="K552" i="5"/>
  <c r="R552" i="5"/>
  <c r="S552" i="5" s="1"/>
  <c r="AJ552" i="5" s="1"/>
  <c r="AB552" i="5"/>
  <c r="AC552" i="5"/>
  <c r="AD552" i="5"/>
  <c r="AE552" i="5"/>
  <c r="JU109" i="1"/>
  <c r="JV109" i="1"/>
  <c r="JW109" i="1"/>
  <c r="JX109" i="1"/>
  <c r="JY109" i="1"/>
  <c r="JZ109" i="1"/>
  <c r="KA109" i="1"/>
  <c r="KB109" i="1"/>
  <c r="KC109" i="1"/>
  <c r="KD109" i="1"/>
  <c r="JU108" i="1"/>
  <c r="JV108" i="1"/>
  <c r="JW108" i="1"/>
  <c r="JX108" i="1"/>
  <c r="JY108" i="1"/>
  <c r="JZ108" i="1"/>
  <c r="KA108" i="1"/>
  <c r="KB108" i="1"/>
  <c r="KC108" i="1"/>
  <c r="KD108" i="1"/>
  <c r="AJ541" i="5"/>
  <c r="AJ542" i="5"/>
  <c r="AJ543" i="5"/>
  <c r="AJ544" i="5"/>
  <c r="R548" i="5"/>
  <c r="S548" i="5" s="1"/>
  <c r="AJ548" i="5" s="1"/>
  <c r="R549" i="5"/>
  <c r="R550" i="5"/>
  <c r="S550" i="5" s="1"/>
  <c r="AJ550" i="5" s="1"/>
  <c r="R551" i="5"/>
  <c r="S551" i="5" s="1"/>
  <c r="AJ551" i="5" s="1"/>
  <c r="D551" i="5"/>
  <c r="H551" i="5"/>
  <c r="K551" i="5"/>
  <c r="AB551" i="5"/>
  <c r="AC551" i="5"/>
  <c r="AD551" i="5"/>
  <c r="AE551" i="5"/>
  <c r="D550" i="5"/>
  <c r="H550" i="5"/>
  <c r="K550" i="5"/>
  <c r="AB550" i="5"/>
  <c r="AC550" i="5"/>
  <c r="AD550" i="5"/>
  <c r="AE550" i="5"/>
  <c r="D549" i="5"/>
  <c r="H549" i="5"/>
  <c r="K549" i="5"/>
  <c r="S549" i="5"/>
  <c r="AJ549" i="5" s="1"/>
  <c r="AB549" i="5"/>
  <c r="AC549" i="5"/>
  <c r="AD549" i="5"/>
  <c r="AE549" i="5"/>
  <c r="D548" i="5"/>
  <c r="H548" i="5"/>
  <c r="K548" i="5"/>
  <c r="AB548" i="5"/>
  <c r="AC548" i="5"/>
  <c r="AD548" i="5"/>
  <c r="AE548" i="5"/>
  <c r="D547" i="5"/>
  <c r="H547" i="5"/>
  <c r="K547" i="5"/>
  <c r="R547" i="5"/>
  <c r="S547" i="5" s="1"/>
  <c r="AJ547" i="5" s="1"/>
  <c r="AB547" i="5"/>
  <c r="AC547" i="5"/>
  <c r="AD547" i="5"/>
  <c r="AE547" i="5"/>
  <c r="D546" i="5"/>
  <c r="H546" i="5"/>
  <c r="K546" i="5"/>
  <c r="R546" i="5"/>
  <c r="S546" i="5" s="1"/>
  <c r="AJ546" i="5" s="1"/>
  <c r="AB546" i="5"/>
  <c r="AC546" i="5"/>
  <c r="AD546" i="5"/>
  <c r="AE546" i="5"/>
  <c r="D545" i="5"/>
  <c r="H545" i="5"/>
  <c r="K545" i="5"/>
  <c r="R545" i="5"/>
  <c r="S545" i="5" s="1"/>
  <c r="AJ545" i="5" s="1"/>
  <c r="AB545" i="5"/>
  <c r="AC545" i="5"/>
  <c r="AD545" i="5"/>
  <c r="AE545" i="5"/>
  <c r="D544" i="5"/>
  <c r="H544" i="5"/>
  <c r="K544" i="5"/>
  <c r="R544" i="5"/>
  <c r="AB544" i="5"/>
  <c r="AC544" i="5"/>
  <c r="AD544" i="5"/>
  <c r="AE544" i="5"/>
  <c r="D543" i="5"/>
  <c r="H543" i="5"/>
  <c r="K543" i="5"/>
  <c r="R543" i="5"/>
  <c r="AB543" i="5"/>
  <c r="AC543" i="5"/>
  <c r="AD543" i="5"/>
  <c r="AE543" i="5"/>
  <c r="D542" i="5"/>
  <c r="H542" i="5"/>
  <c r="K542" i="5"/>
  <c r="R542" i="5"/>
  <c r="AB542" i="5"/>
  <c r="AC542" i="5"/>
  <c r="AD542" i="5"/>
  <c r="AE542" i="5"/>
  <c r="D541" i="5"/>
  <c r="H541" i="5"/>
  <c r="K541" i="5"/>
  <c r="R541" i="5"/>
  <c r="AB541" i="5"/>
  <c r="AC541" i="5"/>
  <c r="AD541" i="5"/>
  <c r="AE541" i="5"/>
  <c r="D540" i="5"/>
  <c r="H540" i="5"/>
  <c r="K540" i="5"/>
  <c r="R540" i="5"/>
  <c r="AJ540" i="5" s="1"/>
  <c r="AB540" i="5"/>
  <c r="AC540" i="5"/>
  <c r="AD540" i="5"/>
  <c r="AE540" i="5"/>
  <c r="JU107" i="1"/>
  <c r="JV107" i="1"/>
  <c r="JW107" i="1"/>
  <c r="JX107" i="1"/>
  <c r="JY107" i="1"/>
  <c r="JZ107" i="1"/>
  <c r="KA107" i="1"/>
  <c r="KB107" i="1"/>
  <c r="KC107" i="1"/>
  <c r="KD107" i="1"/>
  <c r="JU106" i="1"/>
  <c r="JV106" i="1"/>
  <c r="JW106" i="1"/>
  <c r="JX106" i="1"/>
  <c r="JY106" i="1"/>
  <c r="JZ106" i="1"/>
  <c r="KA106" i="1"/>
  <c r="KB106" i="1"/>
  <c r="KC106" i="1"/>
  <c r="KD106" i="1"/>
  <c r="IP54" i="13"/>
  <c r="IP55" i="13"/>
  <c r="IP56" i="13"/>
  <c r="IP57" i="13"/>
  <c r="IP58" i="13"/>
  <c r="IP59" i="13"/>
  <c r="IP60" i="13"/>
  <c r="IP61" i="13"/>
  <c r="IP62" i="13"/>
  <c r="D539" i="5"/>
  <c r="H539" i="5"/>
  <c r="K539" i="5"/>
  <c r="R539" i="5"/>
  <c r="S539" i="5" s="1"/>
  <c r="AJ539" i="5" s="1"/>
  <c r="AB539" i="5"/>
  <c r="AC539" i="5"/>
  <c r="AD539" i="5"/>
  <c r="AE539" i="5"/>
  <c r="D54" i="13"/>
  <c r="D55" i="13"/>
  <c r="D56" i="13"/>
  <c r="D57" i="13"/>
  <c r="D58" i="13"/>
  <c r="D59" i="13"/>
  <c r="D60" i="13"/>
  <c r="D61" i="13"/>
  <c r="D62" i="13"/>
  <c r="JU105" i="1"/>
  <c r="JV105" i="1"/>
  <c r="JW105" i="1"/>
  <c r="JX105" i="1"/>
  <c r="JY105" i="1"/>
  <c r="JZ105" i="1"/>
  <c r="KA105" i="1"/>
  <c r="KB105" i="1"/>
  <c r="KC105" i="1"/>
  <c r="KD105" i="1"/>
  <c r="AH54" i="13"/>
  <c r="AH55" i="13"/>
  <c r="AH56" i="13"/>
  <c r="AH57" i="13"/>
  <c r="AH58" i="13"/>
  <c r="AH59" i="13"/>
  <c r="AH60" i="13"/>
  <c r="AH61" i="13"/>
  <c r="AH62" i="13"/>
  <c r="AG54" i="13"/>
  <c r="AG55" i="13"/>
  <c r="AG56" i="13"/>
  <c r="AG57" i="13"/>
  <c r="AG58" i="13"/>
  <c r="AG59" i="13"/>
  <c r="AG60" i="13"/>
  <c r="AG61" i="13"/>
  <c r="AG62" i="13"/>
  <c r="AF54" i="13"/>
  <c r="AF55" i="13"/>
  <c r="AF56" i="13"/>
  <c r="AF57" i="13"/>
  <c r="AF58" i="13"/>
  <c r="AF59" i="13"/>
  <c r="AF60" i="13"/>
  <c r="AF61" i="13"/>
  <c r="AF62" i="13"/>
  <c r="AD54" i="13"/>
  <c r="AE54" i="13"/>
  <c r="AD55" i="13"/>
  <c r="AE55" i="13"/>
  <c r="AD56" i="13"/>
  <c r="AE56" i="13"/>
  <c r="AD57" i="13"/>
  <c r="AE57" i="13"/>
  <c r="AD58" i="13"/>
  <c r="AE58" i="13"/>
  <c r="AD59" i="13"/>
  <c r="AE59" i="13"/>
  <c r="AD60" i="13"/>
  <c r="AE60" i="13"/>
  <c r="AD61" i="13"/>
  <c r="AE61" i="13"/>
  <c r="AD62" i="13"/>
  <c r="AE62" i="13"/>
  <c r="AC54" i="13"/>
  <c r="AC55" i="13"/>
  <c r="AC56" i="13"/>
  <c r="AC57" i="13"/>
  <c r="AC58" i="13"/>
  <c r="AC59" i="13"/>
  <c r="AC60" i="13"/>
  <c r="AC61" i="13"/>
  <c r="AC62" i="13"/>
  <c r="AB54" i="13"/>
  <c r="AB55" i="13"/>
  <c r="AB56" i="13"/>
  <c r="AB57" i="13"/>
  <c r="AB58" i="13"/>
  <c r="AB59" i="13"/>
  <c r="AB60" i="13"/>
  <c r="AB61" i="13"/>
  <c r="AB62" i="13"/>
  <c r="AA54" i="13"/>
  <c r="AA55" i="13"/>
  <c r="AA56" i="13"/>
  <c r="AA57" i="13"/>
  <c r="AA58" i="13"/>
  <c r="AA59" i="13"/>
  <c r="AA60" i="13"/>
  <c r="AA61" i="13"/>
  <c r="AA62" i="13"/>
  <c r="Z54" i="13"/>
  <c r="Z55" i="13"/>
  <c r="Z56" i="13"/>
  <c r="Z57" i="13"/>
  <c r="Z58" i="13"/>
  <c r="Z59" i="13"/>
  <c r="Z60" i="13"/>
  <c r="Z61" i="13"/>
  <c r="Z62" i="13"/>
  <c r="Y54" i="13"/>
  <c r="Y55" i="13"/>
  <c r="Y56" i="13"/>
  <c r="Y57" i="13"/>
  <c r="Y58" i="13"/>
  <c r="Y59" i="13"/>
  <c r="Y60" i="13"/>
  <c r="Y61" i="13"/>
  <c r="Y62" i="13"/>
  <c r="X54" i="13"/>
  <c r="X55" i="13"/>
  <c r="X56" i="13"/>
  <c r="X57" i="13"/>
  <c r="X58" i="13"/>
  <c r="X59" i="13"/>
  <c r="X60" i="13"/>
  <c r="X61" i="13"/>
  <c r="X62" i="13"/>
  <c r="W54" i="13"/>
  <c r="W55" i="13"/>
  <c r="W56" i="13"/>
  <c r="W57" i="13"/>
  <c r="W58" i="13"/>
  <c r="W59" i="13"/>
  <c r="W60" i="13"/>
  <c r="W61" i="13"/>
  <c r="W62" i="13"/>
  <c r="V54" i="13"/>
  <c r="V55" i="13"/>
  <c r="V56" i="13"/>
  <c r="V57" i="13"/>
  <c r="V58" i="13"/>
  <c r="V59" i="13"/>
  <c r="V60" i="13"/>
  <c r="V61" i="13"/>
  <c r="V62" i="13"/>
  <c r="U54" i="13"/>
  <c r="U55" i="13"/>
  <c r="U56" i="13"/>
  <c r="U57" i="13"/>
  <c r="U58" i="13"/>
  <c r="U59" i="13"/>
  <c r="U60" i="13"/>
  <c r="U61" i="13"/>
  <c r="U62" i="13"/>
  <c r="T54" i="13"/>
  <c r="T55" i="13"/>
  <c r="T56" i="13"/>
  <c r="T57" i="13"/>
  <c r="T58" i="13"/>
  <c r="T59" i="13"/>
  <c r="T60" i="13"/>
  <c r="T61" i="13"/>
  <c r="T62" i="13"/>
  <c r="S54" i="13"/>
  <c r="S55" i="13"/>
  <c r="S56" i="13"/>
  <c r="S57" i="13"/>
  <c r="S58" i="13"/>
  <c r="S59" i="13"/>
  <c r="S60" i="13"/>
  <c r="S61" i="13"/>
  <c r="S62" i="13"/>
  <c r="R54" i="13"/>
  <c r="R55" i="13"/>
  <c r="R56" i="13"/>
  <c r="R57" i="13"/>
  <c r="R58" i="13"/>
  <c r="R59" i="13"/>
  <c r="R60" i="13"/>
  <c r="R61" i="13"/>
  <c r="R62" i="13"/>
  <c r="Q54" i="13"/>
  <c r="Q55" i="13"/>
  <c r="Q56" i="13"/>
  <c r="Q57" i="13"/>
  <c r="Q58" i="13"/>
  <c r="Q59" i="13"/>
  <c r="Q60" i="13"/>
  <c r="Q61" i="13"/>
  <c r="Q62" i="13"/>
  <c r="P54" i="13"/>
  <c r="P55" i="13"/>
  <c r="P56" i="13"/>
  <c r="P57" i="13"/>
  <c r="P58" i="13"/>
  <c r="P59" i="13"/>
  <c r="P60" i="13"/>
  <c r="P61" i="13"/>
  <c r="P62" i="13"/>
  <c r="C54" i="13"/>
  <c r="C55" i="13"/>
  <c r="C56" i="13"/>
  <c r="C57" i="13"/>
  <c r="C58" i="13"/>
  <c r="C59" i="13"/>
  <c r="C60" i="13"/>
  <c r="C61" i="13"/>
  <c r="C62" i="13"/>
  <c r="O54" i="13"/>
  <c r="O55" i="13"/>
  <c r="O56" i="13"/>
  <c r="O57" i="13"/>
  <c r="O58" i="13"/>
  <c r="O59" i="13"/>
  <c r="O60" i="13"/>
  <c r="O61" i="13"/>
  <c r="O62" i="13"/>
  <c r="N54" i="13"/>
  <c r="N55" i="13"/>
  <c r="N56" i="13"/>
  <c r="N57" i="13"/>
  <c r="N58" i="13"/>
  <c r="N59" i="13"/>
  <c r="N60" i="13"/>
  <c r="N61" i="13"/>
  <c r="N62" i="13"/>
  <c r="M54" i="13"/>
  <c r="M55" i="13"/>
  <c r="M56" i="13"/>
  <c r="M57" i="13"/>
  <c r="M58" i="13"/>
  <c r="M59" i="13"/>
  <c r="M60" i="13"/>
  <c r="M61" i="13"/>
  <c r="M62" i="13"/>
  <c r="L54" i="13"/>
  <c r="L55" i="13"/>
  <c r="L56" i="13"/>
  <c r="L57" i="13"/>
  <c r="L58" i="13"/>
  <c r="L59" i="13"/>
  <c r="L60" i="13"/>
  <c r="L61" i="13"/>
  <c r="L62" i="13"/>
  <c r="K54" i="13"/>
  <c r="K55" i="13"/>
  <c r="K56" i="13"/>
  <c r="K57" i="13"/>
  <c r="K58" i="13"/>
  <c r="K59" i="13"/>
  <c r="K60" i="13"/>
  <c r="K61" i="13"/>
  <c r="K62" i="13"/>
  <c r="J54" i="13"/>
  <c r="J55" i="13"/>
  <c r="J56" i="13"/>
  <c r="J57" i="13"/>
  <c r="J58" i="13"/>
  <c r="J59" i="13"/>
  <c r="J60" i="13"/>
  <c r="J61" i="13"/>
  <c r="J62" i="13"/>
  <c r="I54" i="13"/>
  <c r="I55" i="13"/>
  <c r="I56" i="13"/>
  <c r="I57" i="13"/>
  <c r="I58" i="13"/>
  <c r="I59" i="13"/>
  <c r="I60" i="13"/>
  <c r="I61" i="13"/>
  <c r="I62" i="13"/>
  <c r="H54" i="13"/>
  <c r="H55" i="13"/>
  <c r="H56" i="13"/>
  <c r="H57" i="13"/>
  <c r="H58" i="13"/>
  <c r="H59" i="13"/>
  <c r="H60" i="13"/>
  <c r="H61" i="13"/>
  <c r="H62" i="13"/>
  <c r="G54" i="13"/>
  <c r="G55" i="13"/>
  <c r="G56" i="13"/>
  <c r="G57" i="13"/>
  <c r="G58" i="13"/>
  <c r="G59" i="13"/>
  <c r="G60" i="13"/>
  <c r="G61" i="13"/>
  <c r="G62" i="13"/>
  <c r="T557" i="5" l="1"/>
  <c r="AH557" i="5" s="1"/>
  <c r="T556" i="5"/>
  <c r="AH556" i="5" s="1"/>
  <c r="T555" i="5"/>
  <c r="AH555" i="5" s="1"/>
  <c r="T554" i="5"/>
  <c r="AH554" i="5" s="1"/>
  <c r="T553" i="5"/>
  <c r="AH553" i="5" s="1"/>
  <c r="T552" i="5"/>
  <c r="AH552" i="5" s="1"/>
  <c r="T551" i="5"/>
  <c r="AH551" i="5" s="1"/>
  <c r="T550" i="5"/>
  <c r="AH550" i="5" s="1"/>
  <c r="T549" i="5"/>
  <c r="AH549" i="5" s="1"/>
  <c r="T548" i="5"/>
  <c r="AH548" i="5" s="1"/>
  <c r="T547" i="5"/>
  <c r="AH547" i="5" s="1"/>
  <c r="T546" i="5"/>
  <c r="AH546" i="5" s="1"/>
  <c r="T545" i="5"/>
  <c r="AH545" i="5" s="1"/>
  <c r="T544" i="5"/>
  <c r="AH544" i="5" s="1"/>
  <c r="T543" i="5"/>
  <c r="AH543" i="5" s="1"/>
  <c r="T542" i="5"/>
  <c r="AH542" i="5" s="1"/>
  <c r="T541" i="5"/>
  <c r="AH541" i="5" s="1"/>
  <c r="T540" i="5"/>
  <c r="AH540" i="5" s="1"/>
  <c r="T539" i="5"/>
  <c r="AH539" i="5" s="1"/>
  <c r="JU104" i="1"/>
  <c r="JV104" i="1"/>
  <c r="JW104" i="1"/>
  <c r="JX104" i="1"/>
  <c r="JY104" i="1"/>
  <c r="JZ104" i="1"/>
  <c r="KA104" i="1"/>
  <c r="KB104" i="1"/>
  <c r="KC104" i="1"/>
  <c r="KD104" i="1"/>
  <c r="AJ536" i="5" l="1"/>
  <c r="AJ537" i="5"/>
  <c r="AJ538" i="5"/>
  <c r="D538" i="5"/>
  <c r="H538" i="5"/>
  <c r="K538" i="5"/>
  <c r="R538" i="5"/>
  <c r="AB538" i="5"/>
  <c r="AC538" i="5"/>
  <c r="AD538" i="5"/>
  <c r="AE538" i="5"/>
  <c r="D535" i="5"/>
  <c r="D536" i="5"/>
  <c r="D537" i="5"/>
  <c r="H535" i="5"/>
  <c r="H536" i="5"/>
  <c r="H537" i="5"/>
  <c r="K535" i="5"/>
  <c r="K536" i="5"/>
  <c r="K537" i="5"/>
  <c r="R535" i="5"/>
  <c r="S535" i="5" s="1"/>
  <c r="AJ535" i="5" s="1"/>
  <c r="R536" i="5"/>
  <c r="R537" i="5"/>
  <c r="AB535" i="5"/>
  <c r="AB536" i="5"/>
  <c r="AB537" i="5"/>
  <c r="AC535" i="5"/>
  <c r="AC536" i="5"/>
  <c r="AC537" i="5"/>
  <c r="AD535" i="5"/>
  <c r="AD536" i="5"/>
  <c r="AD537" i="5"/>
  <c r="AE535" i="5"/>
  <c r="AE536" i="5"/>
  <c r="AE537" i="5"/>
  <c r="JU103" i="1"/>
  <c r="JV103" i="1"/>
  <c r="JW103" i="1"/>
  <c r="JX103" i="1"/>
  <c r="JY103" i="1"/>
  <c r="JZ103" i="1"/>
  <c r="KA103" i="1"/>
  <c r="KB103" i="1"/>
  <c r="KC103" i="1"/>
  <c r="KD103" i="1"/>
  <c r="JU102" i="1"/>
  <c r="JV102" i="1"/>
  <c r="JW102" i="1"/>
  <c r="JX102" i="1"/>
  <c r="JY102" i="1"/>
  <c r="JZ102" i="1"/>
  <c r="KA102" i="1"/>
  <c r="KB102" i="1"/>
  <c r="KC102" i="1"/>
  <c r="KD102" i="1"/>
  <c r="AJ523" i="5"/>
  <c r="AJ524" i="5"/>
  <c r="AJ525" i="5"/>
  <c r="AJ526" i="5"/>
  <c r="AJ527" i="5"/>
  <c r="AJ528" i="5"/>
  <c r="AJ529" i="5"/>
  <c r="AJ530" i="5"/>
  <c r="AJ531" i="5"/>
  <c r="D523" i="5"/>
  <c r="D524" i="5"/>
  <c r="D525" i="5"/>
  <c r="D526" i="5"/>
  <c r="D527" i="5"/>
  <c r="D528" i="5"/>
  <c r="D529" i="5"/>
  <c r="D530" i="5"/>
  <c r="D531" i="5"/>
  <c r="D532" i="5"/>
  <c r="D533" i="5"/>
  <c r="D534" i="5"/>
  <c r="H523" i="5"/>
  <c r="H524" i="5"/>
  <c r="H525" i="5"/>
  <c r="H526" i="5"/>
  <c r="H527" i="5"/>
  <c r="H528" i="5"/>
  <c r="H529" i="5"/>
  <c r="H530" i="5"/>
  <c r="H531" i="5"/>
  <c r="H532" i="5"/>
  <c r="H533" i="5"/>
  <c r="H534" i="5"/>
  <c r="K523" i="5"/>
  <c r="K524" i="5"/>
  <c r="K525" i="5"/>
  <c r="K526" i="5"/>
  <c r="K527" i="5"/>
  <c r="K528" i="5"/>
  <c r="K529" i="5"/>
  <c r="K530" i="5"/>
  <c r="K531" i="5"/>
  <c r="K532" i="5"/>
  <c r="K533" i="5"/>
  <c r="K534" i="5"/>
  <c r="R523" i="5"/>
  <c r="R524" i="5"/>
  <c r="R525" i="5"/>
  <c r="R526" i="5"/>
  <c r="R527" i="5"/>
  <c r="T527" i="5" s="1"/>
  <c r="R528" i="5"/>
  <c r="R529" i="5"/>
  <c r="R530" i="5"/>
  <c r="R531" i="5"/>
  <c r="T531" i="5" s="1"/>
  <c r="R532" i="5"/>
  <c r="S532" i="5" s="1"/>
  <c r="AJ532" i="5" s="1"/>
  <c r="R533" i="5"/>
  <c r="S533" i="5" s="1"/>
  <c r="AJ533" i="5" s="1"/>
  <c r="R534" i="5"/>
  <c r="S534" i="5" s="1"/>
  <c r="AJ534" i="5" s="1"/>
  <c r="T523" i="5"/>
  <c r="T524" i="5"/>
  <c r="AB523" i="5"/>
  <c r="AB524" i="5"/>
  <c r="AB525" i="5"/>
  <c r="AB526" i="5"/>
  <c r="AB527" i="5"/>
  <c r="AB528" i="5"/>
  <c r="AB529" i="5"/>
  <c r="AB530" i="5"/>
  <c r="AB531" i="5"/>
  <c r="AB532" i="5"/>
  <c r="AB533" i="5"/>
  <c r="AB534" i="5"/>
  <c r="AC523" i="5"/>
  <c r="AC524" i="5"/>
  <c r="AC525" i="5"/>
  <c r="AC526" i="5"/>
  <c r="AC527" i="5"/>
  <c r="AC528" i="5"/>
  <c r="AC529" i="5"/>
  <c r="AC530" i="5"/>
  <c r="AC531" i="5"/>
  <c r="AC532" i="5"/>
  <c r="AC533" i="5"/>
  <c r="AC534" i="5"/>
  <c r="AD523" i="5"/>
  <c r="AD524" i="5"/>
  <c r="AD525" i="5"/>
  <c r="AD526" i="5"/>
  <c r="AD527" i="5"/>
  <c r="AD528" i="5"/>
  <c r="AD529" i="5"/>
  <c r="AD530" i="5"/>
  <c r="AD531" i="5"/>
  <c r="AD532" i="5"/>
  <c r="AD533" i="5"/>
  <c r="AD534" i="5"/>
  <c r="AE523" i="5"/>
  <c r="AE524" i="5"/>
  <c r="AE525" i="5"/>
  <c r="AE526" i="5"/>
  <c r="AE527" i="5"/>
  <c r="AE528" i="5"/>
  <c r="AE529" i="5"/>
  <c r="AE530" i="5"/>
  <c r="AE531" i="5"/>
  <c r="AE532" i="5"/>
  <c r="AE533" i="5"/>
  <c r="AE534" i="5"/>
  <c r="JW97" i="1"/>
  <c r="JU101" i="1"/>
  <c r="JV101" i="1"/>
  <c r="JW101" i="1"/>
  <c r="JX101" i="1"/>
  <c r="JY101" i="1"/>
  <c r="JZ101" i="1"/>
  <c r="KA101" i="1"/>
  <c r="KB101" i="1"/>
  <c r="KC101" i="1"/>
  <c r="KD101" i="1"/>
  <c r="AJ522" i="5"/>
  <c r="H522" i="5"/>
  <c r="D522" i="5"/>
  <c r="K522" i="5"/>
  <c r="R522" i="5"/>
  <c r="AB522" i="5"/>
  <c r="AC522" i="5"/>
  <c r="AD522" i="5"/>
  <c r="AE522" i="5"/>
  <c r="AJ517" i="5"/>
  <c r="AJ518" i="5"/>
  <c r="AJ519" i="5"/>
  <c r="AJ520" i="5"/>
  <c r="AJ521" i="5"/>
  <c r="D517" i="5"/>
  <c r="D518" i="5"/>
  <c r="D519" i="5"/>
  <c r="D520" i="5"/>
  <c r="D521" i="5"/>
  <c r="H517" i="5"/>
  <c r="H518" i="5"/>
  <c r="H519" i="5"/>
  <c r="H520" i="5"/>
  <c r="H521" i="5"/>
  <c r="K517" i="5"/>
  <c r="K518" i="5"/>
  <c r="K519" i="5"/>
  <c r="K520" i="5"/>
  <c r="K521" i="5"/>
  <c r="R517" i="5"/>
  <c r="T517" i="5" s="1"/>
  <c r="R518" i="5"/>
  <c r="T518" i="5" s="1"/>
  <c r="R519" i="5"/>
  <c r="T519" i="5" s="1"/>
  <c r="R520" i="5"/>
  <c r="T520" i="5" s="1"/>
  <c r="R521" i="5"/>
  <c r="T521" i="5" s="1"/>
  <c r="AB517" i="5"/>
  <c r="AB518" i="5"/>
  <c r="AB519" i="5"/>
  <c r="AB520" i="5"/>
  <c r="AB521" i="5"/>
  <c r="AC517" i="5"/>
  <c r="AC518" i="5"/>
  <c r="AC519" i="5"/>
  <c r="AC520" i="5"/>
  <c r="AC521" i="5"/>
  <c r="AD517" i="5"/>
  <c r="AD518" i="5"/>
  <c r="AD519" i="5"/>
  <c r="AD520" i="5"/>
  <c r="AD521" i="5"/>
  <c r="AE517" i="5"/>
  <c r="AE518" i="5"/>
  <c r="AE519" i="5"/>
  <c r="AE520" i="5"/>
  <c r="AE521" i="5"/>
  <c r="C97" i="1"/>
  <c r="D97" i="1"/>
  <c r="G97" i="1"/>
  <c r="H97" i="1"/>
  <c r="I97" i="1"/>
  <c r="AJ514" i="5"/>
  <c r="AJ516" i="5"/>
  <c r="D513" i="5"/>
  <c r="D514" i="5"/>
  <c r="D515" i="5"/>
  <c r="D516" i="5"/>
  <c r="H513" i="5"/>
  <c r="H514" i="5"/>
  <c r="H515" i="5"/>
  <c r="H516" i="5"/>
  <c r="K513" i="5"/>
  <c r="K514" i="5"/>
  <c r="K515" i="5"/>
  <c r="K516" i="5"/>
  <c r="R513" i="5"/>
  <c r="S513" i="5" s="1"/>
  <c r="AJ513" i="5" s="1"/>
  <c r="R514" i="5"/>
  <c r="R515" i="5"/>
  <c r="S515" i="5" s="1"/>
  <c r="AJ515" i="5" s="1"/>
  <c r="R516" i="5"/>
  <c r="AB513" i="5"/>
  <c r="AB514" i="5"/>
  <c r="AB515" i="5"/>
  <c r="AB516" i="5"/>
  <c r="AC513" i="5"/>
  <c r="AC514" i="5"/>
  <c r="AC515" i="5"/>
  <c r="AC516" i="5"/>
  <c r="AD513" i="5"/>
  <c r="AD514" i="5"/>
  <c r="AD515" i="5"/>
  <c r="AD516" i="5"/>
  <c r="AE513" i="5"/>
  <c r="AE514" i="5"/>
  <c r="AE515" i="5"/>
  <c r="AE516" i="5"/>
  <c r="AJ507" i="5"/>
  <c r="AJ508" i="5"/>
  <c r="AJ510" i="5"/>
  <c r="AJ512" i="5"/>
  <c r="D507" i="5"/>
  <c r="D508" i="5"/>
  <c r="D509" i="5"/>
  <c r="D510" i="5"/>
  <c r="D511" i="5"/>
  <c r="D512" i="5"/>
  <c r="H507" i="5"/>
  <c r="H508" i="5"/>
  <c r="H509" i="5"/>
  <c r="H510" i="5"/>
  <c r="H511" i="5"/>
  <c r="H512" i="5"/>
  <c r="K507" i="5"/>
  <c r="K508" i="5"/>
  <c r="K509" i="5"/>
  <c r="K510" i="5"/>
  <c r="K511" i="5"/>
  <c r="K512" i="5"/>
  <c r="R507" i="5"/>
  <c r="R508" i="5"/>
  <c r="T508" i="5" s="1"/>
  <c r="R509" i="5"/>
  <c r="T509" i="5" s="1"/>
  <c r="R510" i="5"/>
  <c r="T510" i="5" s="1"/>
  <c r="R511" i="5"/>
  <c r="S511" i="5" s="1"/>
  <c r="AJ511" i="5" s="1"/>
  <c r="R512" i="5"/>
  <c r="AB507" i="5"/>
  <c r="AB508" i="5"/>
  <c r="AB509" i="5"/>
  <c r="AB510" i="5"/>
  <c r="AB511" i="5"/>
  <c r="AB512" i="5"/>
  <c r="AC507" i="5"/>
  <c r="AC508" i="5"/>
  <c r="AC509" i="5"/>
  <c r="AC510" i="5"/>
  <c r="AC511" i="5"/>
  <c r="AC512" i="5"/>
  <c r="AD507" i="5"/>
  <c r="AD508" i="5"/>
  <c r="AD509" i="5"/>
  <c r="AD510" i="5"/>
  <c r="AD511" i="5"/>
  <c r="AD512" i="5"/>
  <c r="AE507" i="5"/>
  <c r="AE508" i="5"/>
  <c r="AE509" i="5"/>
  <c r="AE510" i="5"/>
  <c r="AE511" i="5"/>
  <c r="AE512" i="5"/>
  <c r="JU100" i="1"/>
  <c r="JV100" i="1"/>
  <c r="JW100" i="1"/>
  <c r="JX100" i="1"/>
  <c r="JY100" i="1"/>
  <c r="JZ100" i="1"/>
  <c r="KA100" i="1"/>
  <c r="KB100" i="1"/>
  <c r="KC100" i="1"/>
  <c r="KD100" i="1"/>
  <c r="AJ505" i="5"/>
  <c r="AJ506" i="5"/>
  <c r="AJ162" i="5"/>
  <c r="R505" i="5"/>
  <c r="R506" i="5"/>
  <c r="D505" i="5"/>
  <c r="D506" i="5"/>
  <c r="H505" i="5"/>
  <c r="H506" i="5"/>
  <c r="K505" i="5"/>
  <c r="K506" i="5"/>
  <c r="AB505" i="5"/>
  <c r="AB506" i="5"/>
  <c r="AC505" i="5"/>
  <c r="AC506" i="5"/>
  <c r="AD505" i="5"/>
  <c r="AD506" i="5"/>
  <c r="AE505" i="5"/>
  <c r="AE506" i="5"/>
  <c r="R496" i="5"/>
  <c r="S496" i="5" s="1"/>
  <c r="AJ496" i="5" s="1"/>
  <c r="R497" i="5"/>
  <c r="T497" i="5" s="1"/>
  <c r="R498" i="5"/>
  <c r="S498" i="5" s="1"/>
  <c r="AJ498" i="5" s="1"/>
  <c r="R499" i="5"/>
  <c r="S499" i="5" s="1"/>
  <c r="AJ499" i="5" s="1"/>
  <c r="R500" i="5"/>
  <c r="S500" i="5" s="1"/>
  <c r="AJ500" i="5" s="1"/>
  <c r="R501" i="5"/>
  <c r="S501" i="5" s="1"/>
  <c r="AJ501" i="5" s="1"/>
  <c r="R502" i="5"/>
  <c r="T502" i="5" s="1"/>
  <c r="R503" i="5"/>
  <c r="S503" i="5" s="1"/>
  <c r="AJ503" i="5" s="1"/>
  <c r="R504" i="5"/>
  <c r="S504" i="5" s="1"/>
  <c r="AJ504" i="5" s="1"/>
  <c r="D496" i="5"/>
  <c r="D497" i="5"/>
  <c r="D498" i="5"/>
  <c r="D499" i="5"/>
  <c r="D500" i="5"/>
  <c r="D501" i="5"/>
  <c r="D502" i="5"/>
  <c r="D503" i="5"/>
  <c r="D504" i="5"/>
  <c r="H496" i="5"/>
  <c r="H497" i="5"/>
  <c r="H498" i="5"/>
  <c r="H499" i="5"/>
  <c r="H500" i="5"/>
  <c r="H501" i="5"/>
  <c r="H502" i="5"/>
  <c r="H503" i="5"/>
  <c r="H504" i="5"/>
  <c r="K496" i="5"/>
  <c r="K497" i="5"/>
  <c r="K498" i="5"/>
  <c r="K499" i="5"/>
  <c r="K500" i="5"/>
  <c r="K501" i="5"/>
  <c r="K502" i="5"/>
  <c r="K503" i="5"/>
  <c r="K504" i="5"/>
  <c r="AB496" i="5"/>
  <c r="AB497" i="5"/>
  <c r="AB498" i="5"/>
  <c r="AB499" i="5"/>
  <c r="AB500" i="5"/>
  <c r="AB501" i="5"/>
  <c r="AB502" i="5"/>
  <c r="AB503" i="5"/>
  <c r="AB504" i="5"/>
  <c r="AC496" i="5"/>
  <c r="AC497" i="5"/>
  <c r="AC498" i="5"/>
  <c r="AC499" i="5"/>
  <c r="AC500" i="5"/>
  <c r="AC501" i="5"/>
  <c r="AC502" i="5"/>
  <c r="AC503" i="5"/>
  <c r="AC504" i="5"/>
  <c r="AD496" i="5"/>
  <c r="AD497" i="5"/>
  <c r="AD498" i="5"/>
  <c r="AD499" i="5"/>
  <c r="AD500" i="5"/>
  <c r="AD501" i="5"/>
  <c r="AD502" i="5"/>
  <c r="AD503" i="5"/>
  <c r="AD504" i="5"/>
  <c r="AE496" i="5"/>
  <c r="AE497" i="5"/>
  <c r="AE498" i="5"/>
  <c r="AE499" i="5"/>
  <c r="AE500" i="5"/>
  <c r="AE501" i="5"/>
  <c r="AE502" i="5"/>
  <c r="AE503" i="5"/>
  <c r="AE504" i="5"/>
  <c r="JU99" i="1"/>
  <c r="JV99" i="1"/>
  <c r="JW99" i="1"/>
  <c r="JX99" i="1"/>
  <c r="JY99" i="1"/>
  <c r="JZ99" i="1"/>
  <c r="KA99" i="1"/>
  <c r="KB99" i="1"/>
  <c r="KC99" i="1"/>
  <c r="KD99" i="1"/>
  <c r="AH524" i="5" l="1"/>
  <c r="T538" i="5"/>
  <c r="AH538" i="5" s="1"/>
  <c r="T537" i="5"/>
  <c r="AH537" i="5" s="1"/>
  <c r="T536" i="5"/>
  <c r="AH536" i="5" s="1"/>
  <c r="T535" i="5"/>
  <c r="AH535" i="5" s="1"/>
  <c r="AH523" i="5"/>
  <c r="AH531" i="5"/>
  <c r="AH527" i="5"/>
  <c r="T534" i="5"/>
  <c r="AH534" i="5" s="1"/>
  <c r="T533" i="5"/>
  <c r="AH533" i="5" s="1"/>
  <c r="T532" i="5"/>
  <c r="AH532" i="5" s="1"/>
  <c r="T529" i="5"/>
  <c r="AH529" i="5" s="1"/>
  <c r="T530" i="5"/>
  <c r="AH530" i="5" s="1"/>
  <c r="T528" i="5"/>
  <c r="AH528" i="5" s="1"/>
  <c r="T526" i="5"/>
  <c r="AH526" i="5" s="1"/>
  <c r="T525" i="5"/>
  <c r="AH525" i="5" s="1"/>
  <c r="AH518" i="5"/>
  <c r="AH521" i="5"/>
  <c r="AH520" i="5"/>
  <c r="T522" i="5"/>
  <c r="AH522" i="5" s="1"/>
  <c r="AH519" i="5"/>
  <c r="AH517" i="5"/>
  <c r="T515" i="5"/>
  <c r="AH515" i="5" s="1"/>
  <c r="T516" i="5"/>
  <c r="AH516" i="5" s="1"/>
  <c r="T514" i="5"/>
  <c r="AH514" i="5" s="1"/>
  <c r="T513" i="5"/>
  <c r="AH513" i="5" s="1"/>
  <c r="T512" i="5"/>
  <c r="AH512" i="5" s="1"/>
  <c r="T511" i="5"/>
  <c r="AH511" i="5" s="1"/>
  <c r="AH510" i="5"/>
  <c r="AH509" i="5"/>
  <c r="S509" i="5"/>
  <c r="AJ509" i="5" s="1"/>
  <c r="T507" i="5"/>
  <c r="AH507" i="5" s="1"/>
  <c r="AH508" i="5"/>
  <c r="T501" i="5"/>
  <c r="AH501" i="5" s="1"/>
  <c r="T499" i="5"/>
  <c r="AH499" i="5" s="1"/>
  <c r="T506" i="5"/>
  <c r="AH506" i="5" s="1"/>
  <c r="T505" i="5"/>
  <c r="AH505" i="5" s="1"/>
  <c r="AH497" i="5"/>
  <c r="T498" i="5"/>
  <c r="AH498" i="5" s="1"/>
  <c r="S497" i="5"/>
  <c r="AJ497" i="5" s="1"/>
  <c r="S502" i="5"/>
  <c r="AJ502" i="5" s="1"/>
  <c r="AH502" i="5"/>
  <c r="T504" i="5"/>
  <c r="AH504" i="5" s="1"/>
  <c r="T500" i="5"/>
  <c r="AH500" i="5" s="1"/>
  <c r="T496" i="5"/>
  <c r="AH496" i="5" s="1"/>
  <c r="T503" i="5"/>
  <c r="AH503" i="5" s="1"/>
  <c r="AJ494" i="5"/>
  <c r="AJ495" i="5"/>
  <c r="D494" i="5"/>
  <c r="D495" i="5"/>
  <c r="H494" i="5"/>
  <c r="H495" i="5"/>
  <c r="K494" i="5"/>
  <c r="K495" i="5"/>
  <c r="R494" i="5"/>
  <c r="T494" i="5" s="1"/>
  <c r="R495" i="5"/>
  <c r="AB494" i="5"/>
  <c r="AB495" i="5"/>
  <c r="AC494" i="5"/>
  <c r="AC495" i="5"/>
  <c r="AD494" i="5"/>
  <c r="AD495" i="5"/>
  <c r="AE494" i="5"/>
  <c r="AE495" i="5"/>
  <c r="D484" i="5"/>
  <c r="D485" i="5"/>
  <c r="D486" i="5"/>
  <c r="D487" i="5"/>
  <c r="D488" i="5"/>
  <c r="D489" i="5"/>
  <c r="D490" i="5"/>
  <c r="D491" i="5"/>
  <c r="D492" i="5"/>
  <c r="D493" i="5"/>
  <c r="H485" i="5"/>
  <c r="H486" i="5"/>
  <c r="H487" i="5"/>
  <c r="H488" i="5"/>
  <c r="H489" i="5"/>
  <c r="H490" i="5"/>
  <c r="H491" i="5"/>
  <c r="H492" i="5"/>
  <c r="H493" i="5"/>
  <c r="K485" i="5"/>
  <c r="K486" i="5"/>
  <c r="K487" i="5"/>
  <c r="K488" i="5"/>
  <c r="K489" i="5"/>
  <c r="K490" i="5"/>
  <c r="K491" i="5"/>
  <c r="K492" i="5"/>
  <c r="K493" i="5"/>
  <c r="R485" i="5"/>
  <c r="S485" i="5" s="1"/>
  <c r="AJ485" i="5" s="1"/>
  <c r="R486" i="5"/>
  <c r="S486" i="5" s="1"/>
  <c r="AJ486" i="5" s="1"/>
  <c r="R487" i="5"/>
  <c r="T487" i="5" s="1"/>
  <c r="R488" i="5"/>
  <c r="T488" i="5" s="1"/>
  <c r="R489" i="5"/>
  <c r="S489" i="5" s="1"/>
  <c r="AJ489" i="5" s="1"/>
  <c r="R490" i="5"/>
  <c r="T490" i="5" s="1"/>
  <c r="R491" i="5"/>
  <c r="T491" i="5" s="1"/>
  <c r="R492" i="5"/>
  <c r="T492" i="5" s="1"/>
  <c r="R493" i="5"/>
  <c r="S493" i="5" s="1"/>
  <c r="AJ493" i="5" s="1"/>
  <c r="AB485" i="5"/>
  <c r="AB486" i="5"/>
  <c r="AB487" i="5"/>
  <c r="AB488" i="5"/>
  <c r="AB489" i="5"/>
  <c r="AB490" i="5"/>
  <c r="AB491" i="5"/>
  <c r="AB492" i="5"/>
  <c r="AB493" i="5"/>
  <c r="AC485" i="5"/>
  <c r="AC486" i="5"/>
  <c r="AC487" i="5"/>
  <c r="AC488" i="5"/>
  <c r="AC489" i="5"/>
  <c r="AC490" i="5"/>
  <c r="AC491" i="5"/>
  <c r="AC492" i="5"/>
  <c r="AC493" i="5"/>
  <c r="AD485" i="5"/>
  <c r="AD486" i="5"/>
  <c r="AD487" i="5"/>
  <c r="AD488" i="5"/>
  <c r="AD489" i="5"/>
  <c r="AD490" i="5"/>
  <c r="AD491" i="5"/>
  <c r="AD492" i="5"/>
  <c r="AD493" i="5"/>
  <c r="AE485" i="5"/>
  <c r="AE486" i="5"/>
  <c r="AE487" i="5"/>
  <c r="AE488" i="5"/>
  <c r="AE489" i="5"/>
  <c r="AE490" i="5"/>
  <c r="AE491" i="5"/>
  <c r="AE492" i="5"/>
  <c r="AE493" i="5"/>
  <c r="KD98" i="1"/>
  <c r="JU98" i="1"/>
  <c r="JV98" i="1"/>
  <c r="JW98" i="1"/>
  <c r="JX98" i="1"/>
  <c r="JY98" i="1"/>
  <c r="JZ98" i="1"/>
  <c r="KA98" i="1"/>
  <c r="KB98" i="1"/>
  <c r="KC98"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KN100" i="1"/>
  <c r="KN101" i="1"/>
  <c r="KN104" i="1"/>
  <c r="KN105" i="1"/>
  <c r="KN108" i="1"/>
  <c r="KN109" i="1"/>
  <c r="KN112" i="1"/>
  <c r="KN113" i="1"/>
  <c r="KN116" i="1"/>
  <c r="KN117" i="1"/>
  <c r="KN120" i="1"/>
  <c r="KN121" i="1"/>
  <c r="KN124" i="1"/>
  <c r="KN125" i="1"/>
  <c r="KN128" i="1"/>
  <c r="KN129" i="1"/>
  <c r="KE99" i="1"/>
  <c r="KE100" i="1"/>
  <c r="KE101" i="1"/>
  <c r="KE102" i="1"/>
  <c r="KE103" i="1"/>
  <c r="KE104" i="1"/>
  <c r="KE105" i="1"/>
  <c r="KE106" i="1"/>
  <c r="KE107" i="1"/>
  <c r="KE108" i="1"/>
  <c r="KE109" i="1"/>
  <c r="KE110" i="1"/>
  <c r="KE111" i="1"/>
  <c r="KE112" i="1"/>
  <c r="KE113" i="1"/>
  <c r="KE114" i="1"/>
  <c r="KE115" i="1"/>
  <c r="KE116" i="1"/>
  <c r="KE117" i="1"/>
  <c r="KE118" i="1"/>
  <c r="KE119" i="1"/>
  <c r="KE120" i="1"/>
  <c r="KE121" i="1"/>
  <c r="KE122" i="1"/>
  <c r="KE123" i="1"/>
  <c r="KE124" i="1"/>
  <c r="KE125" i="1"/>
  <c r="KE126" i="1"/>
  <c r="KE127" i="1"/>
  <c r="KE128" i="1"/>
  <c r="KE129" i="1"/>
  <c r="KE130" i="1"/>
  <c r="KE131" i="1"/>
  <c r="KF98" i="1"/>
  <c r="KF99" i="1"/>
  <c r="KF100" i="1"/>
  <c r="KF101" i="1"/>
  <c r="KF102" i="1"/>
  <c r="KF103" i="1"/>
  <c r="KF104" i="1"/>
  <c r="KF105" i="1"/>
  <c r="KF106" i="1"/>
  <c r="KF107" i="1"/>
  <c r="KF108" i="1"/>
  <c r="KF109" i="1"/>
  <c r="KF110" i="1"/>
  <c r="KF111" i="1"/>
  <c r="KF112" i="1"/>
  <c r="KF113" i="1"/>
  <c r="KF114" i="1"/>
  <c r="KF115" i="1"/>
  <c r="KF116" i="1"/>
  <c r="KF117" i="1"/>
  <c r="KF118" i="1"/>
  <c r="KF119" i="1"/>
  <c r="KF120" i="1"/>
  <c r="KF121" i="1"/>
  <c r="KF122" i="1"/>
  <c r="KF123" i="1"/>
  <c r="KF124" i="1"/>
  <c r="KF125" i="1"/>
  <c r="KF126" i="1"/>
  <c r="KF127" i="1"/>
  <c r="KF128" i="1"/>
  <c r="KF129" i="1"/>
  <c r="KF130" i="1"/>
  <c r="KF131" i="1"/>
  <c r="KG98" i="1"/>
  <c r="KG99" i="1"/>
  <c r="KG100" i="1"/>
  <c r="KG101" i="1"/>
  <c r="KG102" i="1"/>
  <c r="KG103" i="1"/>
  <c r="KG104" i="1"/>
  <c r="KG105" i="1"/>
  <c r="KG106" i="1"/>
  <c r="KG107" i="1"/>
  <c r="KG108" i="1"/>
  <c r="KG109" i="1"/>
  <c r="KG110" i="1"/>
  <c r="KG111" i="1"/>
  <c r="KG112" i="1"/>
  <c r="KG113" i="1"/>
  <c r="KG114" i="1"/>
  <c r="KG115" i="1"/>
  <c r="KG116" i="1"/>
  <c r="KG117" i="1"/>
  <c r="KG118" i="1"/>
  <c r="KG119" i="1"/>
  <c r="KG120" i="1"/>
  <c r="KG121" i="1"/>
  <c r="KG122" i="1"/>
  <c r="KG123" i="1"/>
  <c r="KG124" i="1"/>
  <c r="KG125" i="1"/>
  <c r="KG126" i="1"/>
  <c r="KG127" i="1"/>
  <c r="KG128" i="1"/>
  <c r="KG129" i="1"/>
  <c r="KG130" i="1"/>
  <c r="KG131" i="1"/>
  <c r="KH98" i="1"/>
  <c r="KH99" i="1"/>
  <c r="KH100" i="1"/>
  <c r="KH101" i="1"/>
  <c r="KH102" i="1"/>
  <c r="KH103" i="1"/>
  <c r="KH104" i="1"/>
  <c r="KH105" i="1"/>
  <c r="KH106" i="1"/>
  <c r="KH107" i="1"/>
  <c r="KH108" i="1"/>
  <c r="KH109" i="1"/>
  <c r="KH110" i="1"/>
  <c r="KH111" i="1"/>
  <c r="KH112" i="1"/>
  <c r="KH113" i="1"/>
  <c r="KH114" i="1"/>
  <c r="KH115" i="1"/>
  <c r="KH116" i="1"/>
  <c r="KH117" i="1"/>
  <c r="KH118" i="1"/>
  <c r="KH119" i="1"/>
  <c r="KH120" i="1"/>
  <c r="KH121" i="1"/>
  <c r="KH122" i="1"/>
  <c r="KH123" i="1"/>
  <c r="KH124" i="1"/>
  <c r="KH125" i="1"/>
  <c r="KH126" i="1"/>
  <c r="KH127" i="1"/>
  <c r="KH128" i="1"/>
  <c r="KH129" i="1"/>
  <c r="KH130" i="1"/>
  <c r="KH131" i="1"/>
  <c r="KI98" i="1"/>
  <c r="KI99" i="1"/>
  <c r="KI100" i="1"/>
  <c r="KI101" i="1"/>
  <c r="KI102" i="1"/>
  <c r="KI103" i="1"/>
  <c r="KI104" i="1"/>
  <c r="KI105" i="1"/>
  <c r="KI106" i="1"/>
  <c r="KI107" i="1"/>
  <c r="KI108" i="1"/>
  <c r="KI109" i="1"/>
  <c r="KI110" i="1"/>
  <c r="KI111" i="1"/>
  <c r="KI112" i="1"/>
  <c r="KI113" i="1"/>
  <c r="KI114" i="1"/>
  <c r="KI115" i="1"/>
  <c r="KI116" i="1"/>
  <c r="KI117" i="1"/>
  <c r="KI118" i="1"/>
  <c r="KI119" i="1"/>
  <c r="KI120" i="1"/>
  <c r="KI121" i="1"/>
  <c r="KI122" i="1"/>
  <c r="KI123" i="1"/>
  <c r="KI124" i="1"/>
  <c r="KI125" i="1"/>
  <c r="KI126" i="1"/>
  <c r="KI127" i="1"/>
  <c r="KI128" i="1"/>
  <c r="KI129" i="1"/>
  <c r="KI130" i="1"/>
  <c r="KI131" i="1"/>
  <c r="KJ98" i="1"/>
  <c r="KJ99" i="1"/>
  <c r="KJ100" i="1"/>
  <c r="KJ101" i="1"/>
  <c r="KJ102" i="1"/>
  <c r="KJ103" i="1"/>
  <c r="KJ104" i="1"/>
  <c r="KJ105" i="1"/>
  <c r="KJ106" i="1"/>
  <c r="KJ107" i="1"/>
  <c r="KJ108" i="1"/>
  <c r="KJ109" i="1"/>
  <c r="KJ110" i="1"/>
  <c r="KJ111" i="1"/>
  <c r="KJ112" i="1"/>
  <c r="KJ113" i="1"/>
  <c r="KJ114" i="1"/>
  <c r="KJ115" i="1"/>
  <c r="KJ116" i="1"/>
  <c r="KJ117" i="1"/>
  <c r="KJ118" i="1"/>
  <c r="KJ119" i="1"/>
  <c r="KJ120" i="1"/>
  <c r="KJ121" i="1"/>
  <c r="KJ122" i="1"/>
  <c r="KJ123" i="1"/>
  <c r="KJ124" i="1"/>
  <c r="KJ125" i="1"/>
  <c r="KJ126" i="1"/>
  <c r="KJ127" i="1"/>
  <c r="KJ128" i="1"/>
  <c r="KJ129" i="1"/>
  <c r="KJ130" i="1"/>
  <c r="KJ131" i="1"/>
  <c r="KK98" i="1"/>
  <c r="KK99" i="1"/>
  <c r="KK100" i="1"/>
  <c r="KK101" i="1"/>
  <c r="KK102" i="1"/>
  <c r="KK103" i="1"/>
  <c r="KK104" i="1"/>
  <c r="KK105" i="1"/>
  <c r="KK106" i="1"/>
  <c r="KK107" i="1"/>
  <c r="KK108" i="1"/>
  <c r="KK109" i="1"/>
  <c r="KK110" i="1"/>
  <c r="KK111" i="1"/>
  <c r="KK112" i="1"/>
  <c r="KK113" i="1"/>
  <c r="KK114" i="1"/>
  <c r="KK115" i="1"/>
  <c r="KK116" i="1"/>
  <c r="KK117" i="1"/>
  <c r="KK118" i="1"/>
  <c r="KK119" i="1"/>
  <c r="KK120" i="1"/>
  <c r="KK121" i="1"/>
  <c r="KK122" i="1"/>
  <c r="KK123" i="1"/>
  <c r="KK124" i="1"/>
  <c r="KK125" i="1"/>
  <c r="KK126" i="1"/>
  <c r="KK127" i="1"/>
  <c r="KK128" i="1"/>
  <c r="KK129" i="1"/>
  <c r="KK130" i="1"/>
  <c r="KK131" i="1"/>
  <c r="KL98" i="1"/>
  <c r="KL99" i="1"/>
  <c r="KL100" i="1"/>
  <c r="KL101" i="1"/>
  <c r="KL102" i="1"/>
  <c r="KL103" i="1"/>
  <c r="KL104" i="1"/>
  <c r="KL105" i="1"/>
  <c r="KL106" i="1"/>
  <c r="KL107" i="1"/>
  <c r="KL108" i="1"/>
  <c r="KL109" i="1"/>
  <c r="KL110" i="1"/>
  <c r="KL111" i="1"/>
  <c r="KL112" i="1"/>
  <c r="KL113" i="1"/>
  <c r="KL114" i="1"/>
  <c r="KL115" i="1"/>
  <c r="KL116" i="1"/>
  <c r="KL117" i="1"/>
  <c r="KL118" i="1"/>
  <c r="KL119" i="1"/>
  <c r="KL120" i="1"/>
  <c r="KL121" i="1"/>
  <c r="KL122" i="1"/>
  <c r="KL123" i="1"/>
  <c r="KL124" i="1"/>
  <c r="KL125" i="1"/>
  <c r="KL126" i="1"/>
  <c r="KL127" i="1"/>
  <c r="KL128" i="1"/>
  <c r="KL129" i="1"/>
  <c r="KL130" i="1"/>
  <c r="KL131" i="1"/>
  <c r="KM98" i="1"/>
  <c r="KM99" i="1"/>
  <c r="KM100" i="1"/>
  <c r="KM101" i="1"/>
  <c r="KM102" i="1"/>
  <c r="KM103" i="1"/>
  <c r="KM104" i="1"/>
  <c r="KM105" i="1"/>
  <c r="KM106" i="1"/>
  <c r="KM107" i="1"/>
  <c r="KM108" i="1"/>
  <c r="KM109" i="1"/>
  <c r="KM110" i="1"/>
  <c r="KM111" i="1"/>
  <c r="KM112" i="1"/>
  <c r="KM113" i="1"/>
  <c r="KM114" i="1"/>
  <c r="KM115" i="1"/>
  <c r="KM116" i="1"/>
  <c r="KM117" i="1"/>
  <c r="KM118" i="1"/>
  <c r="KM119" i="1"/>
  <c r="KM120" i="1"/>
  <c r="KM121" i="1"/>
  <c r="KM122" i="1"/>
  <c r="KM123" i="1"/>
  <c r="KM124" i="1"/>
  <c r="KM125" i="1"/>
  <c r="KM126" i="1"/>
  <c r="KM127" i="1"/>
  <c r="KM128" i="1"/>
  <c r="KM129" i="1"/>
  <c r="KM130" i="1"/>
  <c r="KM131" i="1"/>
  <c r="KN98" i="1"/>
  <c r="KN99" i="1"/>
  <c r="KN102" i="1"/>
  <c r="KN103" i="1"/>
  <c r="KN106" i="1"/>
  <c r="KN107" i="1"/>
  <c r="KN110" i="1"/>
  <c r="KN111" i="1"/>
  <c r="KN114" i="1"/>
  <c r="KN115" i="1"/>
  <c r="KN118" i="1"/>
  <c r="KN119" i="1"/>
  <c r="KN122" i="1"/>
  <c r="KN123" i="1"/>
  <c r="KN126" i="1"/>
  <c r="KN127" i="1"/>
  <c r="KN130" i="1"/>
  <c r="KN131" i="1"/>
  <c r="KQ98" i="1"/>
  <c r="KQ99" i="1"/>
  <c r="KQ100" i="1"/>
  <c r="KQ101" i="1"/>
  <c r="KQ102" i="1"/>
  <c r="KQ103" i="1"/>
  <c r="KQ104" i="1"/>
  <c r="KQ105" i="1"/>
  <c r="KQ106" i="1"/>
  <c r="KQ107" i="1"/>
  <c r="KQ108" i="1"/>
  <c r="KQ109" i="1"/>
  <c r="KQ110" i="1"/>
  <c r="KQ111" i="1"/>
  <c r="KQ112" i="1"/>
  <c r="KQ113" i="1"/>
  <c r="KQ114" i="1"/>
  <c r="KQ115" i="1"/>
  <c r="KQ116" i="1"/>
  <c r="KQ117" i="1"/>
  <c r="KQ118" i="1"/>
  <c r="KQ119" i="1"/>
  <c r="KQ120" i="1"/>
  <c r="KQ121" i="1"/>
  <c r="KQ122" i="1"/>
  <c r="KQ123" i="1"/>
  <c r="KQ124" i="1"/>
  <c r="KQ125" i="1"/>
  <c r="KQ126" i="1"/>
  <c r="KQ127" i="1"/>
  <c r="KQ128" i="1"/>
  <c r="KQ129" i="1"/>
  <c r="KQ130" i="1"/>
  <c r="KQ131" i="1"/>
  <c r="AJ472" i="5"/>
  <c r="AJ473" i="5"/>
  <c r="AJ476" i="5"/>
  <c r="AJ478" i="5"/>
  <c r="AJ479" i="5"/>
  <c r="AJ480" i="5"/>
  <c r="AJ481" i="5"/>
  <c r="AJ482" i="5"/>
  <c r="AJ483" i="5"/>
  <c r="D483" i="5"/>
  <c r="H483" i="5"/>
  <c r="H484" i="5"/>
  <c r="K483" i="5"/>
  <c r="K484" i="5"/>
  <c r="R483" i="5"/>
  <c r="R484" i="5"/>
  <c r="S484" i="5" s="1"/>
  <c r="AJ484" i="5" s="1"/>
  <c r="AB483" i="5"/>
  <c r="AB484" i="5"/>
  <c r="AC483" i="5"/>
  <c r="AC484" i="5"/>
  <c r="AD483" i="5"/>
  <c r="AD484" i="5"/>
  <c r="AE483" i="5"/>
  <c r="AE484" i="5"/>
  <c r="D482" i="5"/>
  <c r="H482" i="5"/>
  <c r="K482" i="5"/>
  <c r="R482" i="5"/>
  <c r="AB482" i="5"/>
  <c r="AC482" i="5"/>
  <c r="AD482" i="5"/>
  <c r="AE482" i="5"/>
  <c r="D481" i="5"/>
  <c r="H481" i="5"/>
  <c r="K481" i="5"/>
  <c r="R481" i="5"/>
  <c r="AB481" i="5"/>
  <c r="AC481" i="5"/>
  <c r="AD481" i="5"/>
  <c r="AE481" i="5"/>
  <c r="R472" i="5"/>
  <c r="R473" i="5"/>
  <c r="R474" i="5"/>
  <c r="S474" i="5" s="1"/>
  <c r="AJ474" i="5" s="1"/>
  <c r="R475" i="5"/>
  <c r="S475" i="5" s="1"/>
  <c r="AJ475" i="5" s="1"/>
  <c r="R476" i="5"/>
  <c r="T476" i="5" s="1"/>
  <c r="R477" i="5"/>
  <c r="T477" i="5" s="1"/>
  <c r="R478" i="5"/>
  <c r="R479" i="5"/>
  <c r="R480" i="5"/>
  <c r="D472" i="5"/>
  <c r="D473" i="5"/>
  <c r="D474" i="5"/>
  <c r="D475" i="5"/>
  <c r="D476" i="5"/>
  <c r="D477" i="5"/>
  <c r="D478" i="5"/>
  <c r="D479" i="5"/>
  <c r="D480" i="5"/>
  <c r="H472" i="5"/>
  <c r="H473" i="5"/>
  <c r="H474" i="5"/>
  <c r="H475" i="5"/>
  <c r="H476" i="5"/>
  <c r="H477" i="5"/>
  <c r="H478" i="5"/>
  <c r="H479" i="5"/>
  <c r="H480" i="5"/>
  <c r="K472" i="5"/>
  <c r="K473" i="5"/>
  <c r="K474" i="5"/>
  <c r="K475" i="5"/>
  <c r="K476" i="5"/>
  <c r="K477" i="5"/>
  <c r="K478" i="5"/>
  <c r="K479" i="5"/>
  <c r="K480" i="5"/>
  <c r="AB472" i="5"/>
  <c r="AB473" i="5"/>
  <c r="AB474" i="5"/>
  <c r="AB475" i="5"/>
  <c r="AB476" i="5"/>
  <c r="AB477" i="5"/>
  <c r="AB478" i="5"/>
  <c r="AB479" i="5"/>
  <c r="AB480" i="5"/>
  <c r="AC472" i="5"/>
  <c r="AC473" i="5"/>
  <c r="AC474" i="5"/>
  <c r="AC475" i="5"/>
  <c r="AC476" i="5"/>
  <c r="AC477" i="5"/>
  <c r="AC478" i="5"/>
  <c r="AC479" i="5"/>
  <c r="AC480" i="5"/>
  <c r="AD472" i="5"/>
  <c r="AD473" i="5"/>
  <c r="AD474" i="5"/>
  <c r="AD475" i="5"/>
  <c r="AD476" i="5"/>
  <c r="AD477" i="5"/>
  <c r="AD478" i="5"/>
  <c r="AD479" i="5"/>
  <c r="AD480" i="5"/>
  <c r="AE472" i="5"/>
  <c r="AE473" i="5"/>
  <c r="AE474" i="5"/>
  <c r="AE475" i="5"/>
  <c r="AE476" i="5"/>
  <c r="AE477" i="5"/>
  <c r="AE478" i="5"/>
  <c r="AE479" i="5"/>
  <c r="AE480" i="5"/>
  <c r="JU97" i="1"/>
  <c r="JV97" i="1"/>
  <c r="JX97" i="1"/>
  <c r="JY97" i="1"/>
  <c r="JZ97" i="1"/>
  <c r="KA97" i="1"/>
  <c r="KB97" i="1"/>
  <c r="KC97" i="1"/>
  <c r="KD97" i="1"/>
  <c r="KG97" i="1"/>
  <c r="KH97" i="1"/>
  <c r="KI97" i="1"/>
  <c r="KJ97" i="1"/>
  <c r="KK97" i="1"/>
  <c r="KL97" i="1"/>
  <c r="T486" i="5" l="1"/>
  <c r="KE97" i="1"/>
  <c r="KF97" i="1"/>
  <c r="KE98" i="1"/>
  <c r="T485" i="5"/>
  <c r="AH485" i="5" s="1"/>
  <c r="AH492" i="5"/>
  <c r="AH494" i="5"/>
  <c r="AH488" i="5"/>
  <c r="AH486" i="5"/>
  <c r="T495" i="5"/>
  <c r="AH495" i="5" s="1"/>
  <c r="T493" i="5"/>
  <c r="AH493" i="5" s="1"/>
  <c r="AH490" i="5"/>
  <c r="S491" i="5"/>
  <c r="AJ491" i="5" s="1"/>
  <c r="S487" i="5"/>
  <c r="AJ487" i="5" s="1"/>
  <c r="S490" i="5"/>
  <c r="AJ490" i="5" s="1"/>
  <c r="S488" i="5"/>
  <c r="AJ488" i="5" s="1"/>
  <c r="AH487" i="5"/>
  <c r="AH491" i="5"/>
  <c r="T489" i="5"/>
  <c r="AH489" i="5" s="1"/>
  <c r="S492" i="5"/>
  <c r="AJ492" i="5" s="1"/>
  <c r="T483" i="5"/>
  <c r="AH483" i="5" s="1"/>
  <c r="T484" i="5"/>
  <c r="AH484" i="5" s="1"/>
  <c r="T480" i="5"/>
  <c r="AH480" i="5" s="1"/>
  <c r="T482" i="5"/>
  <c r="AH482" i="5" s="1"/>
  <c r="AH477" i="5"/>
  <c r="T481" i="5"/>
  <c r="AH481" i="5" s="1"/>
  <c r="AH476" i="5"/>
  <c r="T479" i="5"/>
  <c r="AH479" i="5" s="1"/>
  <c r="T478" i="5"/>
  <c r="AH478" i="5" s="1"/>
  <c r="S477" i="5"/>
  <c r="AJ477" i="5" s="1"/>
  <c r="T475" i="5"/>
  <c r="AH475" i="5" s="1"/>
  <c r="T474" i="5"/>
  <c r="AH474" i="5" s="1"/>
  <c r="T473" i="5"/>
  <c r="AH473" i="5" s="1"/>
  <c r="T472" i="5"/>
  <c r="AH472" i="5" s="1"/>
  <c r="AJ471" i="5"/>
  <c r="D471" i="5"/>
  <c r="H471" i="5"/>
  <c r="K471" i="5"/>
  <c r="R471" i="5"/>
  <c r="AB471" i="5"/>
  <c r="AC471" i="5"/>
  <c r="AD471" i="5"/>
  <c r="AE471" i="5"/>
  <c r="R465" i="5"/>
  <c r="T465" i="5" s="1"/>
  <c r="AJ466" i="5"/>
  <c r="AJ467" i="5"/>
  <c r="AJ468" i="5"/>
  <c r="AJ469" i="5"/>
  <c r="AJ470" i="5"/>
  <c r="D465" i="5"/>
  <c r="D466" i="5"/>
  <c r="D467" i="5"/>
  <c r="D468" i="5"/>
  <c r="D469" i="5"/>
  <c r="D470" i="5"/>
  <c r="H465" i="5"/>
  <c r="H466" i="5"/>
  <c r="H467" i="5"/>
  <c r="H468" i="5"/>
  <c r="H469" i="5"/>
  <c r="H470" i="5"/>
  <c r="K465" i="5"/>
  <c r="K466" i="5"/>
  <c r="K467" i="5"/>
  <c r="K468" i="5"/>
  <c r="K469" i="5"/>
  <c r="K470" i="5"/>
  <c r="R466" i="5"/>
  <c r="R467" i="5"/>
  <c r="T467" i="5" s="1"/>
  <c r="R468" i="5"/>
  <c r="T468" i="5" s="1"/>
  <c r="R469" i="5"/>
  <c r="R470" i="5"/>
  <c r="AB465" i="5"/>
  <c r="AB466" i="5"/>
  <c r="AB467" i="5"/>
  <c r="AB468" i="5"/>
  <c r="AB469" i="5"/>
  <c r="AB470" i="5"/>
  <c r="AC465" i="5"/>
  <c r="AC466" i="5"/>
  <c r="AC467" i="5"/>
  <c r="AC468" i="5"/>
  <c r="AC469" i="5"/>
  <c r="AC470" i="5"/>
  <c r="AD465" i="5"/>
  <c r="AD466" i="5"/>
  <c r="AD467" i="5"/>
  <c r="AD468" i="5"/>
  <c r="AD469" i="5"/>
  <c r="AD470" i="5"/>
  <c r="AE465" i="5"/>
  <c r="AE466" i="5"/>
  <c r="AE467" i="5"/>
  <c r="AE468" i="5"/>
  <c r="AE469" i="5"/>
  <c r="AE470" i="5"/>
  <c r="D464" i="5"/>
  <c r="H464" i="5"/>
  <c r="K464" i="5"/>
  <c r="R464" i="5"/>
  <c r="S464" i="5" s="1"/>
  <c r="AJ464" i="5" s="1"/>
  <c r="AB464" i="5"/>
  <c r="AC464" i="5"/>
  <c r="AD464" i="5"/>
  <c r="AE464" i="5"/>
  <c r="JU96" i="1"/>
  <c r="JV96" i="1"/>
  <c r="JW96" i="1"/>
  <c r="JX96" i="1"/>
  <c r="JY96" i="1"/>
  <c r="JZ96" i="1"/>
  <c r="KA96" i="1"/>
  <c r="KB96" i="1"/>
  <c r="KC96" i="1"/>
  <c r="KD96" i="1"/>
  <c r="D463" i="5"/>
  <c r="H463" i="5"/>
  <c r="K463" i="5"/>
  <c r="R463" i="5"/>
  <c r="S463" i="5" s="1"/>
  <c r="AJ463" i="5" s="1"/>
  <c r="AB463" i="5"/>
  <c r="AC463" i="5"/>
  <c r="AD463" i="5"/>
  <c r="AE463" i="5"/>
  <c r="D462" i="5"/>
  <c r="H462" i="5"/>
  <c r="K462" i="5"/>
  <c r="S462" i="5"/>
  <c r="AJ462" i="5" s="1"/>
  <c r="T462" i="5"/>
  <c r="AB462" i="5"/>
  <c r="AC462" i="5"/>
  <c r="AD462" i="5"/>
  <c r="AE462" i="5"/>
  <c r="AJ453" i="5"/>
  <c r="AJ454" i="5"/>
  <c r="R453" i="5"/>
  <c r="T453" i="5" s="1"/>
  <c r="R454" i="5"/>
  <c r="T454" i="5" s="1"/>
  <c r="R455" i="5"/>
  <c r="S455" i="5" s="1"/>
  <c r="AJ455" i="5" s="1"/>
  <c r="R456" i="5"/>
  <c r="T456" i="5" s="1"/>
  <c r="R457" i="5"/>
  <c r="T457" i="5" s="1"/>
  <c r="R458" i="5"/>
  <c r="S458" i="5" s="1"/>
  <c r="AJ458" i="5" s="1"/>
  <c r="R459" i="5"/>
  <c r="S459" i="5" s="1"/>
  <c r="AJ459" i="5" s="1"/>
  <c r="R460" i="5"/>
  <c r="S460" i="5" s="1"/>
  <c r="AJ460" i="5" s="1"/>
  <c r="R461" i="5"/>
  <c r="S461" i="5" s="1"/>
  <c r="AJ461" i="5" s="1"/>
  <c r="D453" i="5"/>
  <c r="D454" i="5"/>
  <c r="D455" i="5"/>
  <c r="D456" i="5"/>
  <c r="D457" i="5"/>
  <c r="D458" i="5"/>
  <c r="D459" i="5"/>
  <c r="D460" i="5"/>
  <c r="D461" i="5"/>
  <c r="H453" i="5"/>
  <c r="H454" i="5"/>
  <c r="H455" i="5"/>
  <c r="H456" i="5"/>
  <c r="H457" i="5"/>
  <c r="H458" i="5"/>
  <c r="H459" i="5"/>
  <c r="H460" i="5"/>
  <c r="H461" i="5"/>
  <c r="K453" i="5"/>
  <c r="K454" i="5"/>
  <c r="K455" i="5"/>
  <c r="K456" i="5"/>
  <c r="K457" i="5"/>
  <c r="K458" i="5"/>
  <c r="K459" i="5"/>
  <c r="K460" i="5"/>
  <c r="K461" i="5"/>
  <c r="S457" i="5"/>
  <c r="AJ457" i="5" s="1"/>
  <c r="AB453" i="5"/>
  <c r="AB454" i="5"/>
  <c r="AB455" i="5"/>
  <c r="AB456" i="5"/>
  <c r="AB457" i="5"/>
  <c r="AB458" i="5"/>
  <c r="AB459" i="5"/>
  <c r="AB460" i="5"/>
  <c r="AB461" i="5"/>
  <c r="AC453" i="5"/>
  <c r="AC454" i="5"/>
  <c r="AC455" i="5"/>
  <c r="AC456" i="5"/>
  <c r="AC457" i="5"/>
  <c r="AC458" i="5"/>
  <c r="AC459" i="5"/>
  <c r="AC460" i="5"/>
  <c r="AC461" i="5"/>
  <c r="AD453" i="5"/>
  <c r="AD454" i="5"/>
  <c r="AD455" i="5"/>
  <c r="AD456" i="5"/>
  <c r="AD457" i="5"/>
  <c r="AD458" i="5"/>
  <c r="AD459" i="5"/>
  <c r="AD460" i="5"/>
  <c r="AD461" i="5"/>
  <c r="AE453" i="5"/>
  <c r="AE454" i="5"/>
  <c r="AE455" i="5"/>
  <c r="AE456" i="5"/>
  <c r="AE457" i="5"/>
  <c r="AE458" i="5"/>
  <c r="AE459" i="5"/>
  <c r="AE460" i="5"/>
  <c r="AE461" i="5"/>
  <c r="JU95" i="1"/>
  <c r="JV95" i="1"/>
  <c r="JW95" i="1"/>
  <c r="JX95" i="1"/>
  <c r="JY95" i="1"/>
  <c r="JZ95" i="1"/>
  <c r="KA95" i="1"/>
  <c r="KB95" i="1"/>
  <c r="KC95" i="1"/>
  <c r="KD95" i="1"/>
  <c r="AJ445" i="5"/>
  <c r="AJ446" i="5"/>
  <c r="AJ450" i="5"/>
  <c r="AJ451" i="5"/>
  <c r="R445" i="5"/>
  <c r="R446" i="5"/>
  <c r="R447" i="5"/>
  <c r="S447" i="5" s="1"/>
  <c r="AJ447" i="5" s="1"/>
  <c r="R448" i="5"/>
  <c r="S448" i="5" s="1"/>
  <c r="AJ448" i="5" s="1"/>
  <c r="R449" i="5"/>
  <c r="T449" i="5" s="1"/>
  <c r="R450" i="5"/>
  <c r="R451" i="5"/>
  <c r="R452" i="5"/>
  <c r="S452" i="5" s="1"/>
  <c r="AJ452" i="5" s="1"/>
  <c r="D446" i="5"/>
  <c r="H446" i="5"/>
  <c r="K446" i="5"/>
  <c r="AB446" i="5"/>
  <c r="AC446" i="5"/>
  <c r="AD446" i="5"/>
  <c r="AE446" i="5"/>
  <c r="D445" i="5"/>
  <c r="H445" i="5"/>
  <c r="K445" i="5"/>
  <c r="AB445" i="5"/>
  <c r="AC445" i="5"/>
  <c r="AD445" i="5"/>
  <c r="AE445" i="5"/>
  <c r="D447" i="5"/>
  <c r="D448" i="5"/>
  <c r="D449" i="5"/>
  <c r="D450" i="5"/>
  <c r="D451" i="5"/>
  <c r="D452" i="5"/>
  <c r="H447" i="5"/>
  <c r="H448" i="5"/>
  <c r="H449" i="5"/>
  <c r="H450" i="5"/>
  <c r="H451" i="5"/>
  <c r="H452" i="5"/>
  <c r="K447" i="5"/>
  <c r="K448" i="5"/>
  <c r="K449" i="5"/>
  <c r="K450" i="5"/>
  <c r="K451" i="5"/>
  <c r="K452" i="5"/>
  <c r="AB447" i="5"/>
  <c r="AB448" i="5"/>
  <c r="AB449" i="5"/>
  <c r="AB450" i="5"/>
  <c r="AB451" i="5"/>
  <c r="AB452" i="5"/>
  <c r="AC447" i="5"/>
  <c r="AC448" i="5"/>
  <c r="AC449" i="5"/>
  <c r="AC450" i="5"/>
  <c r="AC451" i="5"/>
  <c r="AC452" i="5"/>
  <c r="AD447" i="5"/>
  <c r="AD448" i="5"/>
  <c r="AD449" i="5"/>
  <c r="AD450" i="5"/>
  <c r="AD451" i="5"/>
  <c r="AD452" i="5"/>
  <c r="AE447" i="5"/>
  <c r="AE448" i="5"/>
  <c r="AE449" i="5"/>
  <c r="AE450" i="5"/>
  <c r="AE451" i="5"/>
  <c r="AE452" i="5"/>
  <c r="JU94" i="1"/>
  <c r="JV94" i="1"/>
  <c r="JW94" i="1"/>
  <c r="JX94" i="1"/>
  <c r="JY94" i="1"/>
  <c r="JZ94" i="1"/>
  <c r="KA94" i="1"/>
  <c r="KB94" i="1"/>
  <c r="KC94" i="1"/>
  <c r="KD94" i="1"/>
  <c r="AJ442" i="5"/>
  <c r="AJ443" i="5"/>
  <c r="D442" i="5"/>
  <c r="D443" i="5"/>
  <c r="D444" i="5"/>
  <c r="H442" i="5"/>
  <c r="H443" i="5"/>
  <c r="H444" i="5"/>
  <c r="K442" i="5"/>
  <c r="K443" i="5"/>
  <c r="K444" i="5"/>
  <c r="R442" i="5"/>
  <c r="R443" i="5"/>
  <c r="T443" i="5" s="1"/>
  <c r="R444" i="5"/>
  <c r="T444" i="5" s="1"/>
  <c r="AB442" i="5"/>
  <c r="AB443" i="5"/>
  <c r="AB444" i="5"/>
  <c r="AC442" i="5"/>
  <c r="AC443" i="5"/>
  <c r="AC444" i="5"/>
  <c r="AD442" i="5"/>
  <c r="AD443" i="5"/>
  <c r="AD444" i="5"/>
  <c r="AE442" i="5"/>
  <c r="AE443" i="5"/>
  <c r="AE444" i="5"/>
  <c r="JU93" i="1"/>
  <c r="JV93" i="1"/>
  <c r="JW93" i="1"/>
  <c r="JX93" i="1"/>
  <c r="JY93" i="1"/>
  <c r="JZ93" i="1"/>
  <c r="KA93" i="1"/>
  <c r="KB93" i="1"/>
  <c r="KC93" i="1"/>
  <c r="KD93" i="1"/>
  <c r="AJ440" i="5"/>
  <c r="AJ441" i="5"/>
  <c r="D440" i="5"/>
  <c r="D441" i="5"/>
  <c r="H440" i="5"/>
  <c r="H441" i="5"/>
  <c r="K440" i="5"/>
  <c r="K441" i="5"/>
  <c r="R440" i="5"/>
  <c r="R441" i="5"/>
  <c r="AB440" i="5"/>
  <c r="AB441" i="5"/>
  <c r="AC440" i="5"/>
  <c r="AC441" i="5"/>
  <c r="AD440" i="5"/>
  <c r="AD441" i="5"/>
  <c r="AE440" i="5"/>
  <c r="AE441" i="5"/>
  <c r="KD92" i="1"/>
  <c r="JU92" i="1"/>
  <c r="JV92" i="1"/>
  <c r="JW92" i="1"/>
  <c r="JX92" i="1"/>
  <c r="JY92" i="1"/>
  <c r="JZ92" i="1"/>
  <c r="KA92" i="1"/>
  <c r="KB92" i="1"/>
  <c r="KC92" i="1"/>
  <c r="JU91" i="1"/>
  <c r="JV91" i="1"/>
  <c r="JW91" i="1"/>
  <c r="JX91" i="1"/>
  <c r="JY91" i="1"/>
  <c r="JZ91" i="1"/>
  <c r="KA91" i="1"/>
  <c r="KB91" i="1"/>
  <c r="KC91" i="1"/>
  <c r="KD91" i="1"/>
  <c r="AJ438" i="5"/>
  <c r="AJ439" i="5"/>
  <c r="D439" i="5"/>
  <c r="H439" i="5"/>
  <c r="K439" i="5"/>
  <c r="R439" i="5"/>
  <c r="AB439" i="5"/>
  <c r="AC439" i="5"/>
  <c r="AD439" i="5"/>
  <c r="AE439" i="5"/>
  <c r="D437" i="5"/>
  <c r="D438" i="5"/>
  <c r="H437" i="5"/>
  <c r="H438" i="5"/>
  <c r="K437" i="5"/>
  <c r="K438" i="5"/>
  <c r="R437" i="5"/>
  <c r="S437" i="5" s="1"/>
  <c r="AJ437" i="5" s="1"/>
  <c r="R438" i="5"/>
  <c r="AB437" i="5"/>
  <c r="AB438" i="5"/>
  <c r="AC437" i="5"/>
  <c r="AC438" i="5"/>
  <c r="AD437" i="5"/>
  <c r="AD438" i="5"/>
  <c r="AE437" i="5"/>
  <c r="AE438" i="5"/>
  <c r="AJ434" i="5"/>
  <c r="AJ435" i="5"/>
  <c r="AJ436" i="5"/>
  <c r="D434" i="5"/>
  <c r="D435" i="5"/>
  <c r="D436" i="5"/>
  <c r="H434" i="5"/>
  <c r="H435" i="5"/>
  <c r="H436" i="5"/>
  <c r="K434" i="5"/>
  <c r="K435" i="5"/>
  <c r="K436" i="5"/>
  <c r="R434" i="5"/>
  <c r="T434" i="5" s="1"/>
  <c r="R435" i="5"/>
  <c r="T435" i="5" s="1"/>
  <c r="R436" i="5"/>
  <c r="T436" i="5" s="1"/>
  <c r="AB434" i="5"/>
  <c r="AB435" i="5"/>
  <c r="AB436" i="5"/>
  <c r="AC434" i="5"/>
  <c r="AC435" i="5"/>
  <c r="AC436" i="5"/>
  <c r="AD434" i="5"/>
  <c r="AD435" i="5"/>
  <c r="AD436" i="5"/>
  <c r="AE434" i="5"/>
  <c r="AE435" i="5"/>
  <c r="AE436" i="5"/>
  <c r="H421" i="5"/>
  <c r="D422" i="5"/>
  <c r="D423" i="5"/>
  <c r="D424" i="5"/>
  <c r="D425" i="5"/>
  <c r="D426" i="5"/>
  <c r="D427" i="5"/>
  <c r="D428" i="5"/>
  <c r="D429" i="5"/>
  <c r="D430" i="5"/>
  <c r="D431" i="5"/>
  <c r="D432" i="5"/>
  <c r="D433" i="5"/>
  <c r="H422" i="5"/>
  <c r="H423" i="5"/>
  <c r="H424" i="5"/>
  <c r="H425" i="5"/>
  <c r="H426" i="5"/>
  <c r="H427" i="5"/>
  <c r="H428" i="5"/>
  <c r="H429" i="5"/>
  <c r="H430" i="5"/>
  <c r="H431" i="5"/>
  <c r="H432" i="5"/>
  <c r="H433" i="5"/>
  <c r="K422" i="5"/>
  <c r="K423" i="5"/>
  <c r="K424" i="5"/>
  <c r="K425" i="5"/>
  <c r="K426" i="5"/>
  <c r="K427" i="5"/>
  <c r="K428" i="5"/>
  <c r="K429" i="5"/>
  <c r="K430" i="5"/>
  <c r="K431" i="5"/>
  <c r="K432" i="5"/>
  <c r="K433" i="5"/>
  <c r="R422" i="5"/>
  <c r="T422" i="5" s="1"/>
  <c r="R423" i="5"/>
  <c r="S423" i="5" s="1"/>
  <c r="AJ423" i="5" s="1"/>
  <c r="R424" i="5"/>
  <c r="T424" i="5" s="1"/>
  <c r="R425" i="5"/>
  <c r="S425" i="5" s="1"/>
  <c r="AJ425" i="5" s="1"/>
  <c r="R426" i="5"/>
  <c r="S426" i="5" s="1"/>
  <c r="AJ426" i="5" s="1"/>
  <c r="R427" i="5"/>
  <c r="T427" i="5" s="1"/>
  <c r="R428" i="5"/>
  <c r="T428" i="5" s="1"/>
  <c r="R429" i="5"/>
  <c r="T429" i="5" s="1"/>
  <c r="R430" i="5"/>
  <c r="S430" i="5" s="1"/>
  <c r="AJ430" i="5" s="1"/>
  <c r="R431" i="5"/>
  <c r="S431" i="5" s="1"/>
  <c r="AJ431" i="5" s="1"/>
  <c r="R432" i="5"/>
  <c r="S432" i="5" s="1"/>
  <c r="AJ432" i="5" s="1"/>
  <c r="R433" i="5"/>
  <c r="S433" i="5" s="1"/>
  <c r="AJ433" i="5" s="1"/>
  <c r="S422" i="5"/>
  <c r="AJ422" i="5" s="1"/>
  <c r="S427" i="5"/>
  <c r="AJ427" i="5" s="1"/>
  <c r="S428" i="5"/>
  <c r="AJ428" i="5" s="1"/>
  <c r="AB422" i="5"/>
  <c r="AB423" i="5"/>
  <c r="AB424" i="5"/>
  <c r="AB425" i="5"/>
  <c r="AB426" i="5"/>
  <c r="AB427" i="5"/>
  <c r="AB428" i="5"/>
  <c r="AB429" i="5"/>
  <c r="AB430" i="5"/>
  <c r="AB431" i="5"/>
  <c r="AB432" i="5"/>
  <c r="AB433" i="5"/>
  <c r="AC422" i="5"/>
  <c r="AC423" i="5"/>
  <c r="AC424" i="5"/>
  <c r="AC425" i="5"/>
  <c r="AC426" i="5"/>
  <c r="AC427" i="5"/>
  <c r="AC428" i="5"/>
  <c r="AC429" i="5"/>
  <c r="AC430" i="5"/>
  <c r="AC431" i="5"/>
  <c r="AC432" i="5"/>
  <c r="AC433" i="5"/>
  <c r="AD422" i="5"/>
  <c r="AD423" i="5"/>
  <c r="AD424" i="5"/>
  <c r="AD425" i="5"/>
  <c r="AD426" i="5"/>
  <c r="AD427" i="5"/>
  <c r="AD428" i="5"/>
  <c r="AD429" i="5"/>
  <c r="AD430" i="5"/>
  <c r="AD431" i="5"/>
  <c r="AD432" i="5"/>
  <c r="AD433" i="5"/>
  <c r="AE422" i="5"/>
  <c r="AE423" i="5"/>
  <c r="AE424" i="5"/>
  <c r="AE425" i="5"/>
  <c r="AE426" i="5"/>
  <c r="AE427" i="5"/>
  <c r="AE428" i="5"/>
  <c r="AE429" i="5"/>
  <c r="AE430" i="5"/>
  <c r="AE431" i="5"/>
  <c r="AE432" i="5"/>
  <c r="AE433" i="5"/>
  <c r="JU90" i="1"/>
  <c r="JV90" i="1"/>
  <c r="JW90" i="1"/>
  <c r="JX90" i="1"/>
  <c r="JY90" i="1"/>
  <c r="JZ90" i="1"/>
  <c r="KA90" i="1"/>
  <c r="KB90" i="1"/>
  <c r="KC90" i="1"/>
  <c r="KD90" i="1"/>
  <c r="KD89" i="1"/>
  <c r="AJ419" i="5"/>
  <c r="AJ420" i="5"/>
  <c r="AJ421" i="5"/>
  <c r="D419" i="5"/>
  <c r="D420" i="5"/>
  <c r="D421" i="5"/>
  <c r="H419" i="5"/>
  <c r="H420" i="5"/>
  <c r="K419" i="5"/>
  <c r="K420" i="5"/>
  <c r="K421" i="5"/>
  <c r="R419" i="5"/>
  <c r="R420" i="5"/>
  <c r="T420" i="5" s="1"/>
  <c r="R421" i="5"/>
  <c r="T421" i="5" s="1"/>
  <c r="AB419" i="5"/>
  <c r="AB420" i="5"/>
  <c r="AB421" i="5"/>
  <c r="AC419" i="5"/>
  <c r="AC420" i="5"/>
  <c r="AC421" i="5"/>
  <c r="AD419" i="5"/>
  <c r="AD420" i="5"/>
  <c r="AD421" i="5"/>
  <c r="AE419" i="5"/>
  <c r="AE420" i="5"/>
  <c r="AE421" i="5"/>
  <c r="CA54" i="13"/>
  <c r="CA55" i="13"/>
  <c r="CA56" i="13"/>
  <c r="CA57" i="13"/>
  <c r="CA58" i="13"/>
  <c r="CA59" i="13"/>
  <c r="CA60" i="13"/>
  <c r="CA61" i="13"/>
  <c r="CA62" i="13"/>
  <c r="AJ418" i="5"/>
  <c r="D418" i="5"/>
  <c r="H418" i="5"/>
  <c r="K418" i="5"/>
  <c r="R418" i="5"/>
  <c r="AB418" i="5"/>
  <c r="AC418" i="5"/>
  <c r="AD418" i="5"/>
  <c r="AE418" i="5"/>
  <c r="JU89" i="1"/>
  <c r="JV89" i="1"/>
  <c r="JW89" i="1"/>
  <c r="JX89" i="1"/>
  <c r="JY89" i="1"/>
  <c r="JZ89" i="1"/>
  <c r="KA89" i="1"/>
  <c r="KB89" i="1"/>
  <c r="KC89" i="1"/>
  <c r="JU88" i="1"/>
  <c r="JV88" i="1"/>
  <c r="JW88" i="1"/>
  <c r="JX88" i="1"/>
  <c r="JY88" i="1"/>
  <c r="JZ88" i="1"/>
  <c r="KA88" i="1"/>
  <c r="KB88" i="1"/>
  <c r="KC88" i="1"/>
  <c r="KD88" i="1"/>
  <c r="B583" i="18"/>
  <c r="B584" i="18" s="1"/>
  <c r="C583" i="18"/>
  <c r="D583" i="18"/>
  <c r="G583" i="18"/>
  <c r="H583" i="18"/>
  <c r="JU87" i="1"/>
  <c r="JV87" i="1"/>
  <c r="JW87" i="1"/>
  <c r="JX87" i="1"/>
  <c r="JY87" i="1"/>
  <c r="JZ87" i="1"/>
  <c r="KA87" i="1"/>
  <c r="KB87" i="1"/>
  <c r="KC87" i="1"/>
  <c r="KD87" i="1"/>
  <c r="AJ398" i="5"/>
  <c r="AJ399" i="5"/>
  <c r="AJ400" i="5"/>
  <c r="AJ401" i="5"/>
  <c r="AJ402" i="5"/>
  <c r="AJ403" i="5"/>
  <c r="AJ411" i="5"/>
  <c r="AJ412" i="5"/>
  <c r="AJ413" i="5"/>
  <c r="AJ415" i="5"/>
  <c r="AJ416" i="5"/>
  <c r="AJ417"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R373" i="5"/>
  <c r="S373" i="5" s="1"/>
  <c r="AJ373" i="5" s="1"/>
  <c r="R374" i="5"/>
  <c r="T374" i="5" s="1"/>
  <c r="R375" i="5"/>
  <c r="S375" i="5" s="1"/>
  <c r="AJ375" i="5" s="1"/>
  <c r="R376" i="5"/>
  <c r="T376" i="5" s="1"/>
  <c r="R377" i="5"/>
  <c r="S377" i="5" s="1"/>
  <c r="AJ377" i="5" s="1"/>
  <c r="R378" i="5"/>
  <c r="S378" i="5" s="1"/>
  <c r="AJ378" i="5" s="1"/>
  <c r="R379" i="5"/>
  <c r="S379" i="5" s="1"/>
  <c r="AJ379" i="5" s="1"/>
  <c r="R380" i="5"/>
  <c r="T380" i="5" s="1"/>
  <c r="R381" i="5"/>
  <c r="S381" i="5" s="1"/>
  <c r="AJ381" i="5" s="1"/>
  <c r="R382" i="5"/>
  <c r="T382" i="5" s="1"/>
  <c r="R383" i="5"/>
  <c r="S383" i="5" s="1"/>
  <c r="AJ383" i="5" s="1"/>
  <c r="R384" i="5"/>
  <c r="T384" i="5" s="1"/>
  <c r="R385" i="5"/>
  <c r="S385" i="5" s="1"/>
  <c r="AJ385" i="5" s="1"/>
  <c r="R386" i="5"/>
  <c r="S386" i="5" s="1"/>
  <c r="AJ386" i="5" s="1"/>
  <c r="R387" i="5"/>
  <c r="S387" i="5" s="1"/>
  <c r="AJ387" i="5" s="1"/>
  <c r="R388" i="5"/>
  <c r="T388" i="5" s="1"/>
  <c r="R389" i="5"/>
  <c r="S389" i="5" s="1"/>
  <c r="AJ389" i="5" s="1"/>
  <c r="R390" i="5"/>
  <c r="T390" i="5" s="1"/>
  <c r="R391" i="5"/>
  <c r="T391" i="5" s="1"/>
  <c r="R392" i="5"/>
  <c r="T392" i="5" s="1"/>
  <c r="R393" i="5"/>
  <c r="S393" i="5" s="1"/>
  <c r="AJ393" i="5" s="1"/>
  <c r="R394" i="5"/>
  <c r="T394" i="5" s="1"/>
  <c r="R395" i="5"/>
  <c r="S395" i="5" s="1"/>
  <c r="AJ395" i="5" s="1"/>
  <c r="R396" i="5"/>
  <c r="T396" i="5" s="1"/>
  <c r="R397" i="5"/>
  <c r="S397" i="5" s="1"/>
  <c r="AJ397" i="5" s="1"/>
  <c r="R398" i="5"/>
  <c r="R399" i="5"/>
  <c r="R400" i="5"/>
  <c r="T400" i="5" s="1"/>
  <c r="R401" i="5"/>
  <c r="T401" i="5" s="1"/>
  <c r="R402" i="5"/>
  <c r="T402" i="5" s="1"/>
  <c r="R403" i="5"/>
  <c r="T403" i="5" s="1"/>
  <c r="R404" i="5"/>
  <c r="T404" i="5" s="1"/>
  <c r="R405" i="5"/>
  <c r="S405" i="5" s="1"/>
  <c r="AJ405" i="5" s="1"/>
  <c r="R406" i="5"/>
  <c r="S406" i="5" s="1"/>
  <c r="AJ406" i="5" s="1"/>
  <c r="R407" i="5"/>
  <c r="S407" i="5" s="1"/>
  <c r="AJ407" i="5" s="1"/>
  <c r="R408" i="5"/>
  <c r="T408" i="5" s="1"/>
  <c r="R409" i="5"/>
  <c r="S409" i="5" s="1"/>
  <c r="AJ409" i="5" s="1"/>
  <c r="R410" i="5"/>
  <c r="S410" i="5" s="1"/>
  <c r="AJ410" i="5" s="1"/>
  <c r="R411" i="5"/>
  <c r="T411" i="5" s="1"/>
  <c r="R412" i="5"/>
  <c r="T412" i="5" s="1"/>
  <c r="R413" i="5"/>
  <c r="T413" i="5" s="1"/>
  <c r="R414" i="5"/>
  <c r="T414" i="5" s="1"/>
  <c r="R415" i="5"/>
  <c r="R416" i="5"/>
  <c r="T416" i="5" s="1"/>
  <c r="R417" i="5"/>
  <c r="T417" i="5" s="1"/>
  <c r="S382" i="5"/>
  <c r="AJ382" i="5" s="1"/>
  <c r="AB373" i="5"/>
  <c r="AB374" i="5"/>
  <c r="AB375" i="5"/>
  <c r="AB376" i="5"/>
  <c r="AB377" i="5"/>
  <c r="AB378" i="5"/>
  <c r="AB379" i="5"/>
  <c r="AB380" i="5"/>
  <c r="AB381" i="5"/>
  <c r="AB382" i="5"/>
  <c r="AB383" i="5"/>
  <c r="AB384" i="5"/>
  <c r="AB385" i="5"/>
  <c r="AB386" i="5"/>
  <c r="AB387" i="5"/>
  <c r="AB388" i="5"/>
  <c r="AB389" i="5"/>
  <c r="AB390" i="5"/>
  <c r="AB391" i="5"/>
  <c r="AB392" i="5"/>
  <c r="AB393" i="5"/>
  <c r="AB394" i="5"/>
  <c r="AB395" i="5"/>
  <c r="AB396" i="5"/>
  <c r="AB397" i="5"/>
  <c r="AB398" i="5"/>
  <c r="AB399" i="5"/>
  <c r="AB400" i="5"/>
  <c r="AB401" i="5"/>
  <c r="AB402" i="5"/>
  <c r="AB403" i="5"/>
  <c r="AB404" i="5"/>
  <c r="AB405" i="5"/>
  <c r="AB406" i="5"/>
  <c r="AB407" i="5"/>
  <c r="AB408" i="5"/>
  <c r="AB409" i="5"/>
  <c r="AB410" i="5"/>
  <c r="AB411" i="5"/>
  <c r="AB412" i="5"/>
  <c r="AB413" i="5"/>
  <c r="AB414" i="5"/>
  <c r="AB415" i="5"/>
  <c r="AB416" i="5"/>
  <c r="AB417" i="5"/>
  <c r="AC373" i="5"/>
  <c r="AC374" i="5"/>
  <c r="AC375" i="5"/>
  <c r="AC376" i="5"/>
  <c r="AC377" i="5"/>
  <c r="AC378" i="5"/>
  <c r="AC379" i="5"/>
  <c r="AC380" i="5"/>
  <c r="AC381" i="5"/>
  <c r="AC382" i="5"/>
  <c r="AC383" i="5"/>
  <c r="AC384" i="5"/>
  <c r="AC385" i="5"/>
  <c r="AC386" i="5"/>
  <c r="AC387" i="5"/>
  <c r="AC388" i="5"/>
  <c r="AC389" i="5"/>
  <c r="AC390" i="5"/>
  <c r="AC391" i="5"/>
  <c r="AC392" i="5"/>
  <c r="AC393" i="5"/>
  <c r="AC394" i="5"/>
  <c r="AC395" i="5"/>
  <c r="AC396" i="5"/>
  <c r="AC397" i="5"/>
  <c r="AC398" i="5"/>
  <c r="AC399" i="5"/>
  <c r="AC400" i="5"/>
  <c r="AC401" i="5"/>
  <c r="AC402" i="5"/>
  <c r="AC403" i="5"/>
  <c r="AC404" i="5"/>
  <c r="AC405" i="5"/>
  <c r="AC406" i="5"/>
  <c r="AC407" i="5"/>
  <c r="AC408" i="5"/>
  <c r="AC409" i="5"/>
  <c r="AC410" i="5"/>
  <c r="AC411" i="5"/>
  <c r="AC412" i="5"/>
  <c r="AC413" i="5"/>
  <c r="AC414" i="5"/>
  <c r="AC415" i="5"/>
  <c r="AC416" i="5"/>
  <c r="AC417" i="5"/>
  <c r="AD373" i="5"/>
  <c r="AD374" i="5"/>
  <c r="AD375" i="5"/>
  <c r="AD376" i="5"/>
  <c r="AD377" i="5"/>
  <c r="AD378" i="5"/>
  <c r="AD379" i="5"/>
  <c r="AD380" i="5"/>
  <c r="AD381" i="5"/>
  <c r="AD382" i="5"/>
  <c r="AD383" i="5"/>
  <c r="AD384" i="5"/>
  <c r="AD385" i="5"/>
  <c r="AD386" i="5"/>
  <c r="AD387" i="5"/>
  <c r="AD388" i="5"/>
  <c r="AD389" i="5"/>
  <c r="AD390" i="5"/>
  <c r="AD391" i="5"/>
  <c r="AD392" i="5"/>
  <c r="AD393" i="5"/>
  <c r="AD394" i="5"/>
  <c r="AD395" i="5"/>
  <c r="AD396" i="5"/>
  <c r="AD397" i="5"/>
  <c r="AD398" i="5"/>
  <c r="AD399" i="5"/>
  <c r="AD400" i="5"/>
  <c r="AD401" i="5"/>
  <c r="AD402" i="5"/>
  <c r="AD403" i="5"/>
  <c r="AD404" i="5"/>
  <c r="AD405" i="5"/>
  <c r="AD406" i="5"/>
  <c r="AD407" i="5"/>
  <c r="AD408" i="5"/>
  <c r="AD409" i="5"/>
  <c r="AD410" i="5"/>
  <c r="AD411" i="5"/>
  <c r="AD412" i="5"/>
  <c r="AD413" i="5"/>
  <c r="AD414" i="5"/>
  <c r="AD415" i="5"/>
  <c r="AD416" i="5"/>
  <c r="AD417" i="5"/>
  <c r="AE373" i="5"/>
  <c r="AE374" i="5"/>
  <c r="AE375" i="5"/>
  <c r="AE376" i="5"/>
  <c r="AE377" i="5"/>
  <c r="AE378" i="5"/>
  <c r="AE379" i="5"/>
  <c r="AE380" i="5"/>
  <c r="AE381" i="5"/>
  <c r="AE382" i="5"/>
  <c r="AE383" i="5"/>
  <c r="AE384" i="5"/>
  <c r="AE385" i="5"/>
  <c r="AE386" i="5"/>
  <c r="AE387" i="5"/>
  <c r="AE388" i="5"/>
  <c r="AE389" i="5"/>
  <c r="AE390" i="5"/>
  <c r="AE391" i="5"/>
  <c r="AE392" i="5"/>
  <c r="AE393" i="5"/>
  <c r="AE394" i="5"/>
  <c r="AE395" i="5"/>
  <c r="AE396" i="5"/>
  <c r="AE397" i="5"/>
  <c r="AE398" i="5"/>
  <c r="AE399" i="5"/>
  <c r="AE400" i="5"/>
  <c r="AE401" i="5"/>
  <c r="AE402" i="5"/>
  <c r="AE403" i="5"/>
  <c r="AE404" i="5"/>
  <c r="AE405" i="5"/>
  <c r="AE406" i="5"/>
  <c r="AE407" i="5"/>
  <c r="AE408" i="5"/>
  <c r="AE409" i="5"/>
  <c r="AE410" i="5"/>
  <c r="AE411" i="5"/>
  <c r="AE412" i="5"/>
  <c r="AE413" i="5"/>
  <c r="AE414" i="5"/>
  <c r="AE415" i="5"/>
  <c r="AE416" i="5"/>
  <c r="AE417" i="5"/>
  <c r="AJ365" i="5"/>
  <c r="AJ366" i="5"/>
  <c r="AJ367" i="5"/>
  <c r="AJ368" i="5"/>
  <c r="D367" i="5"/>
  <c r="D368" i="5"/>
  <c r="D369" i="5"/>
  <c r="D370" i="5"/>
  <c r="D371" i="5"/>
  <c r="D372" i="5"/>
  <c r="H367" i="5"/>
  <c r="H368" i="5"/>
  <c r="H369" i="5"/>
  <c r="H370" i="5"/>
  <c r="H371" i="5"/>
  <c r="H372" i="5"/>
  <c r="K367" i="5"/>
  <c r="K368" i="5"/>
  <c r="K369" i="5"/>
  <c r="K370" i="5"/>
  <c r="K371" i="5"/>
  <c r="K372" i="5"/>
  <c r="R367" i="5"/>
  <c r="S367" i="5" s="1"/>
  <c r="R368" i="5"/>
  <c r="S368" i="5" s="1"/>
  <c r="R369" i="5"/>
  <c r="T369" i="5" s="1"/>
  <c r="R370" i="5"/>
  <c r="T370" i="5" s="1"/>
  <c r="R371" i="5"/>
  <c r="S371" i="5" s="1"/>
  <c r="AJ371" i="5" s="1"/>
  <c r="R372" i="5"/>
  <c r="S372" i="5" s="1"/>
  <c r="AJ372" i="5" s="1"/>
  <c r="AB367" i="5"/>
  <c r="AB368" i="5"/>
  <c r="AB369" i="5"/>
  <c r="AB370" i="5"/>
  <c r="AB371" i="5"/>
  <c r="AB372" i="5"/>
  <c r="AC367" i="5"/>
  <c r="AC368" i="5"/>
  <c r="AC369" i="5"/>
  <c r="AC370" i="5"/>
  <c r="AC371" i="5"/>
  <c r="AC372" i="5"/>
  <c r="AD367" i="5"/>
  <c r="AD368" i="5"/>
  <c r="AD369" i="5"/>
  <c r="AD370" i="5"/>
  <c r="AD371" i="5"/>
  <c r="AD372" i="5"/>
  <c r="AE367" i="5"/>
  <c r="AE368" i="5"/>
  <c r="AE369" i="5"/>
  <c r="AE370" i="5"/>
  <c r="AE371" i="5"/>
  <c r="AE372" i="5"/>
  <c r="AJ364" i="5"/>
  <c r="D363" i="5"/>
  <c r="D364" i="5"/>
  <c r="D365" i="5"/>
  <c r="D366" i="5"/>
  <c r="H363" i="5"/>
  <c r="H364" i="5"/>
  <c r="H365" i="5"/>
  <c r="H366" i="5"/>
  <c r="K363" i="5"/>
  <c r="K364" i="5"/>
  <c r="K365" i="5"/>
  <c r="K366" i="5"/>
  <c r="R363" i="5"/>
  <c r="S363" i="5" s="1"/>
  <c r="AJ363" i="5" s="1"/>
  <c r="R364" i="5"/>
  <c r="S364" i="5" s="1"/>
  <c r="R365" i="5"/>
  <c r="S365" i="5" s="1"/>
  <c r="R366" i="5"/>
  <c r="S366" i="5" s="1"/>
  <c r="AB363" i="5"/>
  <c r="AB364" i="5"/>
  <c r="AB365" i="5"/>
  <c r="AB366" i="5"/>
  <c r="AC363" i="5"/>
  <c r="AC364" i="5"/>
  <c r="AC365" i="5"/>
  <c r="AC366" i="5"/>
  <c r="AD363" i="5"/>
  <c r="AD364" i="5"/>
  <c r="AD365" i="5"/>
  <c r="AD366" i="5"/>
  <c r="AE363" i="5"/>
  <c r="AE364" i="5"/>
  <c r="AE365" i="5"/>
  <c r="AE366" i="5"/>
  <c r="S391" i="5" l="1"/>
  <c r="AJ391" i="5" s="1"/>
  <c r="AH468" i="5"/>
  <c r="S465" i="5"/>
  <c r="AJ465" i="5" s="1"/>
  <c r="T464" i="5"/>
  <c r="T471" i="5"/>
  <c r="AH471" i="5" s="1"/>
  <c r="T470" i="5"/>
  <c r="AH470" i="5" s="1"/>
  <c r="T469" i="5"/>
  <c r="AH469" i="5" s="1"/>
  <c r="AH467" i="5"/>
  <c r="T466" i="5"/>
  <c r="AH466" i="5" s="1"/>
  <c r="AH465" i="5"/>
  <c r="AH462" i="5"/>
  <c r="AH464" i="5"/>
  <c r="T463" i="5"/>
  <c r="AH463" i="5" s="1"/>
  <c r="T461" i="5"/>
  <c r="T460" i="5"/>
  <c r="S456" i="5"/>
  <c r="AJ456" i="5" s="1"/>
  <c r="AH456" i="5"/>
  <c r="T459" i="5"/>
  <c r="AH459" i="5" s="1"/>
  <c r="T455" i="5"/>
  <c r="AH455" i="5" s="1"/>
  <c r="AH457" i="5"/>
  <c r="T458" i="5"/>
  <c r="AH458" i="5" s="1"/>
  <c r="AH461" i="5"/>
  <c r="AH460" i="5"/>
  <c r="AH454" i="5"/>
  <c r="AH453" i="5"/>
  <c r="S449" i="5"/>
  <c r="AJ449" i="5" s="1"/>
  <c r="AH444" i="5"/>
  <c r="T446" i="5"/>
  <c r="AH446" i="5" s="1"/>
  <c r="AH443" i="5"/>
  <c r="T445" i="5"/>
  <c r="AH445" i="5" s="1"/>
  <c r="T450" i="5"/>
  <c r="AH450" i="5" s="1"/>
  <c r="AH449" i="5"/>
  <c r="T452" i="5"/>
  <c r="AH452" i="5" s="1"/>
  <c r="T451" i="5"/>
  <c r="AH451" i="5" s="1"/>
  <c r="T448" i="5"/>
  <c r="AH448" i="5" s="1"/>
  <c r="T447" i="5"/>
  <c r="AH447" i="5" s="1"/>
  <c r="T430" i="5"/>
  <c r="AH430" i="5" s="1"/>
  <c r="S444" i="5"/>
  <c r="AJ444" i="5" s="1"/>
  <c r="T442" i="5"/>
  <c r="AH442" i="5" s="1"/>
  <c r="T441" i="5"/>
  <c r="AH441" i="5" s="1"/>
  <c r="T440" i="5"/>
  <c r="AH440" i="5" s="1"/>
  <c r="T432" i="5"/>
  <c r="AH432" i="5" s="1"/>
  <c r="T439" i="5"/>
  <c r="AH439" i="5" s="1"/>
  <c r="AH435" i="5"/>
  <c r="T438" i="5"/>
  <c r="AH438" i="5" s="1"/>
  <c r="AH428" i="5"/>
  <c r="AH424" i="5"/>
  <c r="T437" i="5"/>
  <c r="AH437" i="5" s="1"/>
  <c r="AH413" i="5"/>
  <c r="AH434" i="5"/>
  <c r="T387" i="5"/>
  <c r="AH387" i="5" s="1"/>
  <c r="AH421" i="5"/>
  <c r="T379" i="5"/>
  <c r="AH379" i="5" s="1"/>
  <c r="AH436" i="5"/>
  <c r="AH427" i="5"/>
  <c r="AH391" i="5"/>
  <c r="T406" i="5"/>
  <c r="AH406" i="5" s="1"/>
  <c r="AH422" i="5"/>
  <c r="AH429" i="5"/>
  <c r="T431" i="5"/>
  <c r="AH431" i="5" s="1"/>
  <c r="S429" i="5"/>
  <c r="AJ429" i="5" s="1"/>
  <c r="T433" i="5"/>
  <c r="AH433" i="5" s="1"/>
  <c r="T426" i="5"/>
  <c r="AH426" i="5" s="1"/>
  <c r="T425" i="5"/>
  <c r="AH425" i="5" s="1"/>
  <c r="S424" i="5"/>
  <c r="AJ424" i="5" s="1"/>
  <c r="T423" i="5"/>
  <c r="AH423" i="5" s="1"/>
  <c r="S388" i="5"/>
  <c r="AJ388" i="5" s="1"/>
  <c r="AH420" i="5"/>
  <c r="T419" i="5"/>
  <c r="AH419" i="5" s="1"/>
  <c r="S394" i="5"/>
  <c r="AJ394" i="5" s="1"/>
  <c r="AH417" i="5"/>
  <c r="AH414" i="5"/>
  <c r="AH416" i="5"/>
  <c r="AH412" i="5"/>
  <c r="AH400" i="5"/>
  <c r="AH396" i="5"/>
  <c r="AH392" i="5"/>
  <c r="AH388" i="5"/>
  <c r="AH384" i="5"/>
  <c r="AH380" i="5"/>
  <c r="AH376" i="5"/>
  <c r="S396" i="5"/>
  <c r="AJ396" i="5" s="1"/>
  <c r="S374" i="5"/>
  <c r="AJ374" i="5" s="1"/>
  <c r="T418" i="5"/>
  <c r="AH418" i="5" s="1"/>
  <c r="T415" i="5"/>
  <c r="AH415" i="5" s="1"/>
  <c r="S414" i="5"/>
  <c r="AJ414" i="5" s="1"/>
  <c r="AH411" i="5"/>
  <c r="AH408" i="5"/>
  <c r="AH404" i="5"/>
  <c r="T405" i="5"/>
  <c r="AH405" i="5" s="1"/>
  <c r="T410" i="5"/>
  <c r="AH410" i="5" s="1"/>
  <c r="T409" i="5"/>
  <c r="AH409" i="5" s="1"/>
  <c r="T407" i="5"/>
  <c r="AH407" i="5" s="1"/>
  <c r="S408" i="5"/>
  <c r="AJ408" i="5" s="1"/>
  <c r="S404" i="5"/>
  <c r="AJ404" i="5" s="1"/>
  <c r="C584" i="18"/>
  <c r="D584" i="18"/>
  <c r="G584" i="18"/>
  <c r="H584" i="18" s="1"/>
  <c r="B585" i="18"/>
  <c r="AH382" i="5"/>
  <c r="AH402" i="5"/>
  <c r="AH394" i="5"/>
  <c r="AH390" i="5"/>
  <c r="AH374" i="5"/>
  <c r="AH401" i="5"/>
  <c r="AH403" i="5"/>
  <c r="T399" i="5"/>
  <c r="AH399" i="5" s="1"/>
  <c r="T398" i="5"/>
  <c r="AH398" i="5" s="1"/>
  <c r="T397" i="5"/>
  <c r="AH397" i="5" s="1"/>
  <c r="T395" i="5"/>
  <c r="AH395" i="5" s="1"/>
  <c r="T393" i="5"/>
  <c r="AH393" i="5" s="1"/>
  <c r="S392" i="5"/>
  <c r="AJ392" i="5" s="1"/>
  <c r="S390" i="5"/>
  <c r="AJ390" i="5" s="1"/>
  <c r="T389" i="5"/>
  <c r="AH389" i="5" s="1"/>
  <c r="T386" i="5"/>
  <c r="AH386" i="5" s="1"/>
  <c r="T385" i="5"/>
  <c r="AH385" i="5" s="1"/>
  <c r="S384" i="5"/>
  <c r="AJ384" i="5" s="1"/>
  <c r="T383" i="5"/>
  <c r="AH383" i="5" s="1"/>
  <c r="S380" i="5"/>
  <c r="AJ380" i="5" s="1"/>
  <c r="T378" i="5"/>
  <c r="AH378" i="5" s="1"/>
  <c r="T381" i="5"/>
  <c r="AH381" i="5" s="1"/>
  <c r="S376" i="5"/>
  <c r="AJ376" i="5" s="1"/>
  <c r="T377" i="5"/>
  <c r="AH377" i="5" s="1"/>
  <c r="T375" i="5"/>
  <c r="AH375" i="5" s="1"/>
  <c r="T373" i="5"/>
  <c r="AH373" i="5" s="1"/>
  <c r="AH370" i="5"/>
  <c r="S370" i="5"/>
  <c r="AJ370" i="5" s="1"/>
  <c r="T372" i="5"/>
  <c r="AH372" i="5" s="1"/>
  <c r="T371" i="5"/>
  <c r="AH371" i="5" s="1"/>
  <c r="AH369" i="5"/>
  <c r="S369" i="5"/>
  <c r="AJ369" i="5" s="1"/>
  <c r="T368" i="5"/>
  <c r="AH368" i="5" s="1"/>
  <c r="T367" i="5"/>
  <c r="AH367" i="5" s="1"/>
  <c r="T366" i="5"/>
  <c r="AH366" i="5" s="1"/>
  <c r="T365" i="5"/>
  <c r="AH365" i="5" s="1"/>
  <c r="T364" i="5"/>
  <c r="AH364" i="5" s="1"/>
  <c r="T363" i="5"/>
  <c r="AH363" i="5" s="1"/>
  <c r="JU86" i="1"/>
  <c r="JV86" i="1"/>
  <c r="JW86" i="1"/>
  <c r="JX86" i="1"/>
  <c r="JY86" i="1"/>
  <c r="JZ86" i="1"/>
  <c r="KA86" i="1"/>
  <c r="KB86" i="1"/>
  <c r="KC86" i="1"/>
  <c r="KD86" i="1"/>
  <c r="D362" i="5"/>
  <c r="H362" i="5"/>
  <c r="K362" i="5"/>
  <c r="R362" i="5"/>
  <c r="S362" i="5" s="1"/>
  <c r="AJ362" i="5" s="1"/>
  <c r="AB362" i="5"/>
  <c r="AC362" i="5"/>
  <c r="AD362" i="5"/>
  <c r="AE362" i="5"/>
  <c r="AJ361" i="5"/>
  <c r="D359" i="5"/>
  <c r="D360" i="5"/>
  <c r="D361" i="5"/>
  <c r="H359" i="5"/>
  <c r="H360" i="5"/>
  <c r="H361" i="5"/>
  <c r="K359" i="5"/>
  <c r="K360" i="5"/>
  <c r="K361" i="5"/>
  <c r="R359" i="5"/>
  <c r="S359" i="5" s="1"/>
  <c r="AJ359" i="5" s="1"/>
  <c r="R360" i="5"/>
  <c r="T360" i="5" s="1"/>
  <c r="R361" i="5"/>
  <c r="T361" i="5" s="1"/>
  <c r="AB359" i="5"/>
  <c r="AB360" i="5"/>
  <c r="AB361" i="5"/>
  <c r="AC359" i="5"/>
  <c r="AC360" i="5"/>
  <c r="AC361" i="5"/>
  <c r="AD359" i="5"/>
  <c r="AD360" i="5"/>
  <c r="AD361" i="5"/>
  <c r="AE359" i="5"/>
  <c r="AE360" i="5"/>
  <c r="AE361" i="5"/>
  <c r="C86" i="1"/>
  <c r="C87" i="1"/>
  <c r="C88" i="1"/>
  <c r="C89" i="1"/>
  <c r="C90" i="1"/>
  <c r="C91" i="1"/>
  <c r="C92" i="1"/>
  <c r="C93" i="1"/>
  <c r="C94" i="1"/>
  <c r="C95" i="1"/>
  <c r="C96" i="1"/>
  <c r="D86" i="1"/>
  <c r="D87" i="1"/>
  <c r="D88" i="1"/>
  <c r="D89" i="1"/>
  <c r="D90" i="1"/>
  <c r="D91" i="1"/>
  <c r="D92" i="1"/>
  <c r="D93" i="1"/>
  <c r="D94" i="1"/>
  <c r="D95" i="1"/>
  <c r="D96" i="1"/>
  <c r="G86" i="1"/>
  <c r="G87" i="1"/>
  <c r="G88" i="1"/>
  <c r="G89" i="1"/>
  <c r="G90" i="1"/>
  <c r="G91" i="1"/>
  <c r="G92" i="1"/>
  <c r="G93" i="1"/>
  <c r="G94" i="1"/>
  <c r="G95" i="1"/>
  <c r="G96" i="1"/>
  <c r="H86" i="1"/>
  <c r="H87" i="1"/>
  <c r="H88" i="1"/>
  <c r="H89" i="1"/>
  <c r="H90" i="1"/>
  <c r="H91" i="1"/>
  <c r="H92" i="1"/>
  <c r="H93" i="1"/>
  <c r="H94" i="1"/>
  <c r="H95" i="1"/>
  <c r="H96" i="1"/>
  <c r="I86" i="1"/>
  <c r="I87" i="1"/>
  <c r="I88" i="1"/>
  <c r="I89" i="1"/>
  <c r="I90" i="1"/>
  <c r="I91" i="1"/>
  <c r="I92" i="1"/>
  <c r="I93" i="1"/>
  <c r="I94" i="1"/>
  <c r="I95" i="1"/>
  <c r="I96" i="1"/>
  <c r="KE87" i="1"/>
  <c r="KE88" i="1"/>
  <c r="KE89" i="1"/>
  <c r="KE90" i="1"/>
  <c r="KE91" i="1"/>
  <c r="KE92" i="1"/>
  <c r="KE93" i="1"/>
  <c r="KE94" i="1"/>
  <c r="KE95" i="1"/>
  <c r="KE96" i="1"/>
  <c r="KF87" i="1"/>
  <c r="KF88" i="1"/>
  <c r="KF89" i="1"/>
  <c r="KF90" i="1"/>
  <c r="KF91" i="1"/>
  <c r="KF92" i="1"/>
  <c r="KF93" i="1"/>
  <c r="KF94" i="1"/>
  <c r="KF95" i="1"/>
  <c r="KF96" i="1"/>
  <c r="KG86" i="1"/>
  <c r="KG87" i="1"/>
  <c r="KG88" i="1"/>
  <c r="KG89" i="1"/>
  <c r="KG90" i="1"/>
  <c r="KG91" i="1"/>
  <c r="KG92" i="1"/>
  <c r="KG93" i="1"/>
  <c r="KG94" i="1"/>
  <c r="KG95" i="1"/>
  <c r="KG96" i="1"/>
  <c r="KH86" i="1"/>
  <c r="KH87" i="1"/>
  <c r="KH88" i="1"/>
  <c r="KH89" i="1"/>
  <c r="KH90" i="1"/>
  <c r="KH91" i="1"/>
  <c r="KH92" i="1"/>
  <c r="KH93" i="1"/>
  <c r="KH94" i="1"/>
  <c r="KH95" i="1"/>
  <c r="KH96" i="1"/>
  <c r="KI86" i="1"/>
  <c r="KI87" i="1"/>
  <c r="KI88" i="1"/>
  <c r="KI89" i="1"/>
  <c r="KI90" i="1"/>
  <c r="KI91" i="1"/>
  <c r="KI92" i="1"/>
  <c r="KI93" i="1"/>
  <c r="KI94" i="1"/>
  <c r="KI95" i="1"/>
  <c r="KI96" i="1"/>
  <c r="KJ86" i="1"/>
  <c r="KJ87" i="1"/>
  <c r="KJ88" i="1"/>
  <c r="KJ89" i="1"/>
  <c r="KJ90" i="1"/>
  <c r="KJ91" i="1"/>
  <c r="KJ92" i="1"/>
  <c r="KJ93" i="1"/>
  <c r="KJ94" i="1"/>
  <c r="KJ95" i="1"/>
  <c r="KJ96" i="1"/>
  <c r="KK86" i="1"/>
  <c r="KK87" i="1"/>
  <c r="KK88" i="1"/>
  <c r="KK89" i="1"/>
  <c r="KK90" i="1"/>
  <c r="KK91" i="1"/>
  <c r="KK92" i="1"/>
  <c r="KK93" i="1"/>
  <c r="KK94" i="1"/>
  <c r="KK95" i="1"/>
  <c r="KK96" i="1"/>
  <c r="KL86" i="1"/>
  <c r="KL87" i="1"/>
  <c r="KL88" i="1"/>
  <c r="KL89" i="1"/>
  <c r="KL90" i="1"/>
  <c r="KL91" i="1"/>
  <c r="KL92" i="1"/>
  <c r="KL93" i="1"/>
  <c r="KL94" i="1"/>
  <c r="KL95" i="1"/>
  <c r="KL96" i="1"/>
  <c r="KM86" i="1"/>
  <c r="KM87" i="1"/>
  <c r="KM88" i="1"/>
  <c r="KM89" i="1"/>
  <c r="KM90" i="1"/>
  <c r="KM91" i="1"/>
  <c r="KM92" i="1"/>
  <c r="KM93" i="1"/>
  <c r="KM94" i="1"/>
  <c r="KM95" i="1"/>
  <c r="KM96" i="1"/>
  <c r="KM97" i="1"/>
  <c r="KN86" i="1"/>
  <c r="KN87" i="1"/>
  <c r="KN88" i="1"/>
  <c r="KN89" i="1"/>
  <c r="KN90" i="1"/>
  <c r="KN91" i="1"/>
  <c r="KN92" i="1"/>
  <c r="KN93" i="1"/>
  <c r="KN94" i="1"/>
  <c r="KN95" i="1"/>
  <c r="KN96" i="1"/>
  <c r="KN97" i="1"/>
  <c r="KQ86" i="1"/>
  <c r="KQ87" i="1"/>
  <c r="KQ88" i="1"/>
  <c r="KQ89" i="1"/>
  <c r="KQ90" i="1"/>
  <c r="KQ91" i="1"/>
  <c r="KQ92" i="1"/>
  <c r="KQ93" i="1"/>
  <c r="KQ94" i="1"/>
  <c r="KQ95" i="1"/>
  <c r="KQ96" i="1"/>
  <c r="KQ97" i="1"/>
  <c r="JU85" i="1"/>
  <c r="JV85" i="1"/>
  <c r="JW85" i="1"/>
  <c r="JX85" i="1"/>
  <c r="JY85" i="1"/>
  <c r="JZ85" i="1"/>
  <c r="KA85" i="1"/>
  <c r="KB85" i="1"/>
  <c r="KC85" i="1"/>
  <c r="KD85" i="1"/>
  <c r="JU84" i="1"/>
  <c r="JV84" i="1"/>
  <c r="JW84" i="1"/>
  <c r="JX84" i="1"/>
  <c r="JY84" i="1"/>
  <c r="JZ84" i="1"/>
  <c r="KA84" i="1"/>
  <c r="KB84" i="1"/>
  <c r="KC84" i="1"/>
  <c r="KD84" i="1"/>
  <c r="R71" i="5"/>
  <c r="R72" i="5"/>
  <c r="R73" i="5"/>
  <c r="R74" i="5"/>
  <c r="R75" i="5"/>
  <c r="R76" i="5"/>
  <c r="R77" i="5"/>
  <c r="R78" i="5"/>
  <c r="R79" i="5"/>
  <c r="R80" i="5"/>
  <c r="R81" i="5"/>
  <c r="R82" i="5"/>
  <c r="R83" i="5"/>
  <c r="R84" i="5"/>
  <c r="R85" i="5"/>
  <c r="R86" i="5"/>
  <c r="R87" i="5"/>
  <c r="R88" i="5"/>
  <c r="R89" i="5"/>
  <c r="R90" i="5"/>
  <c r="R91" i="5"/>
  <c r="R92" i="5"/>
  <c r="T92" i="5" s="1"/>
  <c r="R93" i="5"/>
  <c r="T93" i="5" s="1"/>
  <c r="R94" i="5"/>
  <c r="T94" i="5" s="1"/>
  <c r="R95" i="5"/>
  <c r="T95" i="5" s="1"/>
  <c r="R96" i="5"/>
  <c r="R97" i="5"/>
  <c r="R98" i="5"/>
  <c r="T98" i="5" s="1"/>
  <c r="R99" i="5"/>
  <c r="T99" i="5" s="1"/>
  <c r="R100" i="5"/>
  <c r="T100" i="5" s="1"/>
  <c r="R101" i="5"/>
  <c r="T101" i="5" s="1"/>
  <c r="R102" i="5"/>
  <c r="T102" i="5" s="1"/>
  <c r="R103" i="5"/>
  <c r="T103" i="5" s="1"/>
  <c r="R104" i="5"/>
  <c r="T104" i="5" s="1"/>
  <c r="R105" i="5"/>
  <c r="T105" i="5" s="1"/>
  <c r="R106" i="5"/>
  <c r="T106" i="5" s="1"/>
  <c r="R107" i="5"/>
  <c r="T107" i="5" s="1"/>
  <c r="R108" i="5"/>
  <c r="T108" i="5" s="1"/>
  <c r="R109" i="5"/>
  <c r="T109" i="5" s="1"/>
  <c r="R110" i="5"/>
  <c r="T110" i="5" s="1"/>
  <c r="R111" i="5"/>
  <c r="T111" i="5" s="1"/>
  <c r="R112" i="5"/>
  <c r="T112" i="5" s="1"/>
  <c r="R113" i="5"/>
  <c r="T113" i="5" s="1"/>
  <c r="R114" i="5"/>
  <c r="T114" i="5" s="1"/>
  <c r="R115" i="5"/>
  <c r="T115" i="5" s="1"/>
  <c r="R116" i="5"/>
  <c r="T116" i="5" s="1"/>
  <c r="R117" i="5"/>
  <c r="T117" i="5" s="1"/>
  <c r="R118" i="5"/>
  <c r="T118" i="5" s="1"/>
  <c r="R119" i="5"/>
  <c r="T119" i="5" s="1"/>
  <c r="R120" i="5"/>
  <c r="T120" i="5" s="1"/>
  <c r="R121" i="5"/>
  <c r="T121" i="5" s="1"/>
  <c r="R122" i="5"/>
  <c r="T122" i="5" s="1"/>
  <c r="R123" i="5"/>
  <c r="T123" i="5" s="1"/>
  <c r="R124" i="5"/>
  <c r="T124" i="5" s="1"/>
  <c r="R125" i="5"/>
  <c r="T125" i="5" s="1"/>
  <c r="R126" i="5"/>
  <c r="T126" i="5" s="1"/>
  <c r="R127" i="5"/>
  <c r="T127" i="5" s="1"/>
  <c r="R128" i="5"/>
  <c r="T128" i="5" s="1"/>
  <c r="R129" i="5"/>
  <c r="T129" i="5" s="1"/>
  <c r="R130" i="5"/>
  <c r="T130" i="5" s="1"/>
  <c r="R131" i="5"/>
  <c r="R132" i="5"/>
  <c r="T132" i="5" s="1"/>
  <c r="R133" i="5"/>
  <c r="T133" i="5" s="1"/>
  <c r="R134" i="5"/>
  <c r="T134" i="5" s="1"/>
  <c r="R135" i="5"/>
  <c r="T135" i="5" s="1"/>
  <c r="R136" i="5"/>
  <c r="T136" i="5" s="1"/>
  <c r="R137" i="5"/>
  <c r="T137" i="5" s="1"/>
  <c r="R138" i="5"/>
  <c r="T138" i="5" s="1"/>
  <c r="R139" i="5"/>
  <c r="T139" i="5" s="1"/>
  <c r="R140" i="5"/>
  <c r="T140" i="5" s="1"/>
  <c r="R141" i="5"/>
  <c r="T141" i="5" s="1"/>
  <c r="R142" i="5"/>
  <c r="T142" i="5" s="1"/>
  <c r="R143" i="5"/>
  <c r="R144" i="5"/>
  <c r="T144" i="5" s="1"/>
  <c r="R145" i="5"/>
  <c r="T145" i="5" s="1"/>
  <c r="R146" i="5"/>
  <c r="T146" i="5" s="1"/>
  <c r="R147" i="5"/>
  <c r="T147" i="5" s="1"/>
  <c r="R148" i="5"/>
  <c r="T148" i="5" s="1"/>
  <c r="R149" i="5"/>
  <c r="T149" i="5" s="1"/>
  <c r="R150" i="5"/>
  <c r="T150" i="5" s="1"/>
  <c r="R151" i="5"/>
  <c r="T151" i="5" s="1"/>
  <c r="R152" i="5"/>
  <c r="T152" i="5" s="1"/>
  <c r="R153" i="5"/>
  <c r="T153" i="5" s="1"/>
  <c r="R154" i="5"/>
  <c r="T154" i="5" s="1"/>
  <c r="R155" i="5"/>
  <c r="R156" i="5"/>
  <c r="R157" i="5"/>
  <c r="R158" i="5"/>
  <c r="R159" i="5"/>
  <c r="T159" i="5" s="1"/>
  <c r="R160" i="5"/>
  <c r="T160" i="5" s="1"/>
  <c r="R161" i="5"/>
  <c r="T161" i="5" s="1"/>
  <c r="R162" i="5"/>
  <c r="T162" i="5" s="1"/>
  <c r="R163" i="5"/>
  <c r="T163" i="5" s="1"/>
  <c r="R164" i="5"/>
  <c r="T164" i="5" s="1"/>
  <c r="R165" i="5"/>
  <c r="T165" i="5" s="1"/>
  <c r="R166" i="5"/>
  <c r="T166" i="5" s="1"/>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T71" i="5"/>
  <c r="T72" i="5"/>
  <c r="T73" i="5"/>
  <c r="T74" i="5"/>
  <c r="T75" i="5"/>
  <c r="T76" i="5"/>
  <c r="T77" i="5"/>
  <c r="T78" i="5"/>
  <c r="T79" i="5"/>
  <c r="T80" i="5"/>
  <c r="T81" i="5"/>
  <c r="T82" i="5"/>
  <c r="T83" i="5"/>
  <c r="T84" i="5"/>
  <c r="T85" i="5"/>
  <c r="T86" i="5"/>
  <c r="T87" i="5"/>
  <c r="T88" i="5"/>
  <c r="T89" i="5"/>
  <c r="T90" i="5"/>
  <c r="T91" i="5"/>
  <c r="T96" i="5"/>
  <c r="T97" i="5"/>
  <c r="C223" i="3"/>
  <c r="C65" i="3"/>
  <c r="C33" i="3"/>
  <c r="AB354" i="5"/>
  <c r="AB355" i="5"/>
  <c r="AB356" i="5"/>
  <c r="AB357" i="5"/>
  <c r="AB358" i="5"/>
  <c r="KD83" i="1"/>
  <c r="JU83" i="1"/>
  <c r="JV83" i="1"/>
  <c r="JW83" i="1"/>
  <c r="JX83" i="1"/>
  <c r="JY83" i="1"/>
  <c r="JZ83" i="1"/>
  <c r="KA83" i="1"/>
  <c r="KB83" i="1"/>
  <c r="KC83" i="1"/>
  <c r="KF86" i="1" l="1"/>
  <c r="KE86" i="1"/>
  <c r="C585" i="18"/>
  <c r="D585" i="18"/>
  <c r="G585" i="18"/>
  <c r="H585" i="18" s="1"/>
  <c r="B586" i="18"/>
  <c r="T362" i="5"/>
  <c r="AH362" i="5" s="1"/>
  <c r="AH360" i="5"/>
  <c r="T359" i="5"/>
  <c r="AH359" i="5" s="1"/>
  <c r="AH361" i="5"/>
  <c r="S360" i="5"/>
  <c r="AJ360" i="5" s="1"/>
  <c r="JU82" i="1"/>
  <c r="JV82" i="1"/>
  <c r="JW82" i="1"/>
  <c r="JX82" i="1"/>
  <c r="JY82" i="1"/>
  <c r="JZ82" i="1"/>
  <c r="KA82" i="1"/>
  <c r="KB82" i="1"/>
  <c r="KC82" i="1"/>
  <c r="KF82" i="1" s="1"/>
  <c r="KD82" i="1"/>
  <c r="AJ355" i="5"/>
  <c r="AJ356" i="5"/>
  <c r="AJ357" i="5"/>
  <c r="AJ358" i="5"/>
  <c r="D358" i="5"/>
  <c r="H358" i="5"/>
  <c r="K358" i="5"/>
  <c r="AC358" i="5"/>
  <c r="AD358" i="5"/>
  <c r="AE358" i="5"/>
  <c r="D357" i="5"/>
  <c r="H357" i="5"/>
  <c r="K357" i="5"/>
  <c r="AC357" i="5"/>
  <c r="AD357" i="5"/>
  <c r="AE357" i="5"/>
  <c r="D356" i="5"/>
  <c r="H356" i="5"/>
  <c r="K356" i="5"/>
  <c r="AC356" i="5"/>
  <c r="AD356" i="5"/>
  <c r="AE356" i="5"/>
  <c r="D355" i="5"/>
  <c r="H355" i="5"/>
  <c r="K355" i="5"/>
  <c r="AC355" i="5"/>
  <c r="AD355" i="5"/>
  <c r="AE355" i="5"/>
  <c r="D354" i="5"/>
  <c r="H354" i="5"/>
  <c r="K354" i="5"/>
  <c r="S354" i="5"/>
  <c r="AJ354" i="5" s="1"/>
  <c r="AC354" i="5"/>
  <c r="AD354" i="5"/>
  <c r="AE354" i="5"/>
  <c r="JU81" i="1"/>
  <c r="JV81" i="1"/>
  <c r="JW81" i="1"/>
  <c r="JX81" i="1"/>
  <c r="JY81" i="1"/>
  <c r="JZ81" i="1"/>
  <c r="KA81" i="1"/>
  <c r="KB81" i="1"/>
  <c r="KC81" i="1"/>
  <c r="KD81" i="1"/>
  <c r="KN80" i="1"/>
  <c r="JU80" i="1"/>
  <c r="JV80" i="1"/>
  <c r="JW80" i="1"/>
  <c r="JX80" i="1"/>
  <c r="JY80" i="1"/>
  <c r="JZ80" i="1"/>
  <c r="KA80" i="1"/>
  <c r="KB80" i="1"/>
  <c r="KC80" i="1"/>
  <c r="KD80" i="1"/>
  <c r="KN79" i="1"/>
  <c r="KN67" i="1"/>
  <c r="KN68" i="1"/>
  <c r="KN69" i="1"/>
  <c r="KN70" i="1"/>
  <c r="KN71" i="1"/>
  <c r="KN72" i="1"/>
  <c r="KN73" i="1"/>
  <c r="KN74" i="1"/>
  <c r="KN75" i="1"/>
  <c r="KN76" i="1"/>
  <c r="KN77" i="1"/>
  <c r="KN78" i="1"/>
  <c r="JV79" i="1"/>
  <c r="JU79" i="1"/>
  <c r="JW79" i="1"/>
  <c r="JX79" i="1"/>
  <c r="JY79" i="1"/>
  <c r="JZ79" i="1"/>
  <c r="KA79" i="1"/>
  <c r="KB79" i="1"/>
  <c r="KC79" i="1"/>
  <c r="KD79" i="1"/>
  <c r="JV78" i="1"/>
  <c r="JU78" i="1"/>
  <c r="JW78" i="1"/>
  <c r="JX78" i="1"/>
  <c r="JY78" i="1"/>
  <c r="JZ78" i="1"/>
  <c r="KA78" i="1"/>
  <c r="KB78" i="1"/>
  <c r="KC78" i="1"/>
  <c r="KD78" i="1"/>
  <c r="KF78" i="1" s="1"/>
  <c r="D353" i="5"/>
  <c r="H353" i="5"/>
  <c r="K353" i="5"/>
  <c r="S353" i="5"/>
  <c r="AJ353" i="5" s="1"/>
  <c r="AB353" i="5"/>
  <c r="AC353" i="5"/>
  <c r="AD353" i="5"/>
  <c r="AE353" i="5"/>
  <c r="KG77" i="1"/>
  <c r="JU77" i="1"/>
  <c r="JV77" i="1"/>
  <c r="JW77" i="1"/>
  <c r="JX77" i="1"/>
  <c r="JY77" i="1"/>
  <c r="JZ77" i="1"/>
  <c r="KA77" i="1"/>
  <c r="KB77" i="1"/>
  <c r="KC77" i="1"/>
  <c r="KD77" i="1"/>
  <c r="JU76" i="1"/>
  <c r="JV76" i="1"/>
  <c r="JW76" i="1"/>
  <c r="JX76" i="1"/>
  <c r="JY76" i="1"/>
  <c r="JZ76" i="1"/>
  <c r="KA76" i="1"/>
  <c r="KB76" i="1"/>
  <c r="KC76" i="1"/>
  <c r="KD76" i="1"/>
  <c r="KF76" i="1" s="1"/>
  <c r="AJ344" i="5"/>
  <c r="AJ345" i="5"/>
  <c r="AJ346" i="5"/>
  <c r="AJ347" i="5"/>
  <c r="AJ348" i="5"/>
  <c r="AJ349" i="5"/>
  <c r="AJ350" i="5"/>
  <c r="AJ351" i="5"/>
  <c r="AJ352" i="5"/>
  <c r="D344" i="5"/>
  <c r="D345" i="5"/>
  <c r="D346" i="5"/>
  <c r="D347" i="5"/>
  <c r="D348" i="5"/>
  <c r="D349" i="5"/>
  <c r="D350" i="5"/>
  <c r="D351" i="5"/>
  <c r="D352" i="5"/>
  <c r="H352" i="5"/>
  <c r="K352" i="5"/>
  <c r="AB352" i="5"/>
  <c r="AC352" i="5"/>
  <c r="AD352" i="5"/>
  <c r="AE352" i="5"/>
  <c r="H344" i="5"/>
  <c r="H345" i="5"/>
  <c r="H346" i="5"/>
  <c r="H347" i="5"/>
  <c r="H348" i="5"/>
  <c r="H349" i="5"/>
  <c r="H350" i="5"/>
  <c r="H351" i="5"/>
  <c r="K344" i="5"/>
  <c r="K345" i="5"/>
  <c r="K346" i="5"/>
  <c r="K347" i="5"/>
  <c r="K348" i="5"/>
  <c r="K349" i="5"/>
  <c r="K350" i="5"/>
  <c r="K351" i="5"/>
  <c r="AB344" i="5"/>
  <c r="AB345" i="5"/>
  <c r="AB346" i="5"/>
  <c r="AB347" i="5"/>
  <c r="AB348" i="5"/>
  <c r="AB349" i="5"/>
  <c r="AB350" i="5"/>
  <c r="AB351" i="5"/>
  <c r="AC344" i="5"/>
  <c r="AC345" i="5"/>
  <c r="AC346" i="5"/>
  <c r="AC347" i="5"/>
  <c r="AC348" i="5"/>
  <c r="AC349" i="5"/>
  <c r="AC350" i="5"/>
  <c r="AC351" i="5"/>
  <c r="AD344" i="5"/>
  <c r="AD345" i="5"/>
  <c r="AD346" i="5"/>
  <c r="AD347" i="5"/>
  <c r="AD348" i="5"/>
  <c r="AD349" i="5"/>
  <c r="AD350" i="5"/>
  <c r="AD351" i="5"/>
  <c r="AE344" i="5"/>
  <c r="AE345" i="5"/>
  <c r="AE346" i="5"/>
  <c r="AE347" i="5"/>
  <c r="AE348" i="5"/>
  <c r="AE349" i="5"/>
  <c r="AE350" i="5"/>
  <c r="AE351" i="5"/>
  <c r="AJ342" i="5"/>
  <c r="AJ343" i="5"/>
  <c r="D342" i="5"/>
  <c r="D343" i="5"/>
  <c r="H342" i="5"/>
  <c r="H343" i="5"/>
  <c r="K342" i="5"/>
  <c r="K343" i="5"/>
  <c r="T343" i="5"/>
  <c r="AB342" i="5"/>
  <c r="AB343" i="5"/>
  <c r="AC342" i="5"/>
  <c r="AC343" i="5"/>
  <c r="AD342" i="5"/>
  <c r="AD343" i="5"/>
  <c r="AE342" i="5"/>
  <c r="AE343" i="5"/>
  <c r="JU75" i="1"/>
  <c r="JV75" i="1"/>
  <c r="JW75" i="1"/>
  <c r="JX75" i="1"/>
  <c r="JY75" i="1"/>
  <c r="JZ75" i="1"/>
  <c r="KA75" i="1"/>
  <c r="KB75" i="1"/>
  <c r="KC75" i="1"/>
  <c r="KD75" i="1"/>
  <c r="AJ336" i="5"/>
  <c r="AJ337" i="5"/>
  <c r="AJ338" i="5"/>
  <c r="AJ339" i="5"/>
  <c r="AJ340" i="5"/>
  <c r="AJ341" i="5"/>
  <c r="D336" i="5"/>
  <c r="D337" i="5"/>
  <c r="D338" i="5"/>
  <c r="D339" i="5"/>
  <c r="D340" i="5"/>
  <c r="D341" i="5"/>
  <c r="H336" i="5"/>
  <c r="H337" i="5"/>
  <c r="H338" i="5"/>
  <c r="H339" i="5"/>
  <c r="H340" i="5"/>
  <c r="H341" i="5"/>
  <c r="K336" i="5"/>
  <c r="K337" i="5"/>
  <c r="K338" i="5"/>
  <c r="K339" i="5"/>
  <c r="K340" i="5"/>
  <c r="K341" i="5"/>
  <c r="AB336" i="5"/>
  <c r="AB337" i="5"/>
  <c r="AB338" i="5"/>
  <c r="AB339" i="5"/>
  <c r="AB340" i="5"/>
  <c r="AB341" i="5"/>
  <c r="AC336" i="5"/>
  <c r="AC337" i="5"/>
  <c r="AC338" i="5"/>
  <c r="AC339" i="5"/>
  <c r="AC340" i="5"/>
  <c r="AC341" i="5"/>
  <c r="AD336" i="5"/>
  <c r="AD337" i="5"/>
  <c r="AD338" i="5"/>
  <c r="AD339" i="5"/>
  <c r="AD340" i="5"/>
  <c r="AD341" i="5"/>
  <c r="AE336" i="5"/>
  <c r="AE337" i="5"/>
  <c r="AE338" i="5"/>
  <c r="AE339" i="5"/>
  <c r="AE340" i="5"/>
  <c r="AE341" i="5"/>
  <c r="C76" i="1"/>
  <c r="C77" i="1"/>
  <c r="C78" i="1"/>
  <c r="C79" i="1"/>
  <c r="C80" i="1"/>
  <c r="C81" i="1"/>
  <c r="C82" i="1"/>
  <c r="C83" i="1"/>
  <c r="C84" i="1"/>
  <c r="C85" i="1"/>
  <c r="D76" i="1"/>
  <c r="D77" i="1"/>
  <c r="D78" i="1"/>
  <c r="D79" i="1"/>
  <c r="D80" i="1"/>
  <c r="D81" i="1"/>
  <c r="D82" i="1"/>
  <c r="D83" i="1"/>
  <c r="D84" i="1"/>
  <c r="D85" i="1"/>
  <c r="G76" i="1"/>
  <c r="G77" i="1"/>
  <c r="G78" i="1"/>
  <c r="G79" i="1"/>
  <c r="G80" i="1"/>
  <c r="G81" i="1"/>
  <c r="G82" i="1"/>
  <c r="G83" i="1"/>
  <c r="G84" i="1"/>
  <c r="G85" i="1"/>
  <c r="H76" i="1"/>
  <c r="H77" i="1"/>
  <c r="H78" i="1"/>
  <c r="H79" i="1"/>
  <c r="H80" i="1"/>
  <c r="H81" i="1"/>
  <c r="H82" i="1"/>
  <c r="H83" i="1"/>
  <c r="H84" i="1"/>
  <c r="H85" i="1"/>
  <c r="I76" i="1"/>
  <c r="I77" i="1"/>
  <c r="I78" i="1"/>
  <c r="I79" i="1"/>
  <c r="I80" i="1"/>
  <c r="I81" i="1"/>
  <c r="I82" i="1"/>
  <c r="I83" i="1"/>
  <c r="I84" i="1"/>
  <c r="I85" i="1"/>
  <c r="KE83" i="1"/>
  <c r="KE84" i="1"/>
  <c r="KE85" i="1"/>
  <c r="KF83" i="1"/>
  <c r="KF84" i="1"/>
  <c r="KF85" i="1"/>
  <c r="KG76" i="1"/>
  <c r="KG78" i="1"/>
  <c r="KG79" i="1"/>
  <c r="KG80" i="1"/>
  <c r="KG81" i="1"/>
  <c r="KG82" i="1"/>
  <c r="KG83" i="1"/>
  <c r="KG84" i="1"/>
  <c r="KG85" i="1"/>
  <c r="KH76" i="1"/>
  <c r="KH77" i="1"/>
  <c r="KH78" i="1"/>
  <c r="KH79" i="1"/>
  <c r="KH80" i="1"/>
  <c r="KH81" i="1"/>
  <c r="KH82" i="1"/>
  <c r="KH83" i="1"/>
  <c r="KH84" i="1"/>
  <c r="KH85" i="1"/>
  <c r="KI76" i="1"/>
  <c r="KI77" i="1"/>
  <c r="KI78" i="1"/>
  <c r="KI79" i="1"/>
  <c r="KI80" i="1"/>
  <c r="KI81" i="1"/>
  <c r="KI82" i="1"/>
  <c r="KI83" i="1"/>
  <c r="KI84" i="1"/>
  <c r="KI85" i="1"/>
  <c r="KJ76" i="1"/>
  <c r="KJ77" i="1"/>
  <c r="KJ78" i="1"/>
  <c r="KJ79" i="1"/>
  <c r="KJ80" i="1"/>
  <c r="KJ81" i="1"/>
  <c r="KJ82" i="1"/>
  <c r="KJ83" i="1"/>
  <c r="KJ84" i="1"/>
  <c r="KJ85" i="1"/>
  <c r="KK76" i="1"/>
  <c r="KK77" i="1"/>
  <c r="KK78" i="1"/>
  <c r="KK79" i="1"/>
  <c r="KK80" i="1"/>
  <c r="KK81" i="1"/>
  <c r="KK82" i="1"/>
  <c r="KK83" i="1"/>
  <c r="KK84" i="1"/>
  <c r="KK85" i="1"/>
  <c r="KL76" i="1"/>
  <c r="KL77" i="1"/>
  <c r="KL78" i="1"/>
  <c r="KL79" i="1"/>
  <c r="KL80" i="1"/>
  <c r="KL81" i="1"/>
  <c r="KL82" i="1"/>
  <c r="KL83" i="1"/>
  <c r="KL84" i="1"/>
  <c r="KL85" i="1"/>
  <c r="KM76" i="1"/>
  <c r="KM77" i="1"/>
  <c r="KM78" i="1"/>
  <c r="KM79" i="1"/>
  <c r="KM80" i="1"/>
  <c r="KM81" i="1"/>
  <c r="KM82" i="1"/>
  <c r="KM83" i="1"/>
  <c r="KM84" i="1"/>
  <c r="KM85" i="1"/>
  <c r="KN81" i="1"/>
  <c r="KN82" i="1"/>
  <c r="KN83" i="1"/>
  <c r="KN84" i="1"/>
  <c r="KN85" i="1"/>
  <c r="KQ76" i="1"/>
  <c r="KQ77" i="1"/>
  <c r="KQ78" i="1"/>
  <c r="KQ79" i="1"/>
  <c r="KQ80" i="1"/>
  <c r="KQ81" i="1"/>
  <c r="KQ82" i="1"/>
  <c r="KQ83" i="1"/>
  <c r="KQ84" i="1"/>
  <c r="KQ85" i="1"/>
  <c r="C75" i="1"/>
  <c r="D75" i="1"/>
  <c r="G75" i="1"/>
  <c r="H75" i="1"/>
  <c r="I75" i="1"/>
  <c r="KG75" i="1"/>
  <c r="KH75" i="1"/>
  <c r="KI75" i="1"/>
  <c r="KJ75" i="1"/>
  <c r="KK75" i="1"/>
  <c r="KL75" i="1"/>
  <c r="KM75" i="1"/>
  <c r="KQ75" i="1"/>
  <c r="AJ327" i="5"/>
  <c r="AJ328" i="5"/>
  <c r="AJ329" i="5"/>
  <c r="AJ330" i="5"/>
  <c r="AJ331" i="5"/>
  <c r="AJ332" i="5"/>
  <c r="AJ333" i="5"/>
  <c r="AJ334" i="5"/>
  <c r="AJ335" i="5"/>
  <c r="D327" i="5"/>
  <c r="D328" i="5"/>
  <c r="D329" i="5"/>
  <c r="D330" i="5"/>
  <c r="D331" i="5"/>
  <c r="D332" i="5"/>
  <c r="D333" i="5"/>
  <c r="D334" i="5"/>
  <c r="D335" i="5"/>
  <c r="H327" i="5"/>
  <c r="H328" i="5"/>
  <c r="H329" i="5"/>
  <c r="H330" i="5"/>
  <c r="H331" i="5"/>
  <c r="H332" i="5"/>
  <c r="H333" i="5"/>
  <c r="H334" i="5"/>
  <c r="H335" i="5"/>
  <c r="K327" i="5"/>
  <c r="K328" i="5"/>
  <c r="K329" i="5"/>
  <c r="K330" i="5"/>
  <c r="K331" i="5"/>
  <c r="K332" i="5"/>
  <c r="K333" i="5"/>
  <c r="K334" i="5"/>
  <c r="K335" i="5"/>
  <c r="T330" i="5"/>
  <c r="AB327" i="5"/>
  <c r="AB328" i="5"/>
  <c r="AB329" i="5"/>
  <c r="AB330" i="5"/>
  <c r="AB331" i="5"/>
  <c r="AB332" i="5"/>
  <c r="AB333" i="5"/>
  <c r="AB334" i="5"/>
  <c r="AB335" i="5"/>
  <c r="AC327" i="5"/>
  <c r="AC328" i="5"/>
  <c r="AC329" i="5"/>
  <c r="AC330" i="5"/>
  <c r="AC331" i="5"/>
  <c r="AC332" i="5"/>
  <c r="AC333" i="5"/>
  <c r="AC334" i="5"/>
  <c r="AC335" i="5"/>
  <c r="AD327" i="5"/>
  <c r="AD328" i="5"/>
  <c r="AD329" i="5"/>
  <c r="AD330" i="5"/>
  <c r="AD331" i="5"/>
  <c r="AD332" i="5"/>
  <c r="AD333" i="5"/>
  <c r="AD334" i="5"/>
  <c r="AD335" i="5"/>
  <c r="AE327" i="5"/>
  <c r="AE328" i="5"/>
  <c r="AE329" i="5"/>
  <c r="AE330" i="5"/>
  <c r="AE331" i="5"/>
  <c r="AE332" i="5"/>
  <c r="AE333" i="5"/>
  <c r="AE334" i="5"/>
  <c r="AE335" i="5"/>
  <c r="JU74" i="1"/>
  <c r="JV74" i="1"/>
  <c r="JW74" i="1"/>
  <c r="JX74" i="1"/>
  <c r="JY74" i="1"/>
  <c r="JZ74" i="1"/>
  <c r="KA74" i="1"/>
  <c r="KB74" i="1"/>
  <c r="KC74" i="1"/>
  <c r="KF74" i="1" s="1"/>
  <c r="KD74" i="1"/>
  <c r="KG74" i="1"/>
  <c r="KH74" i="1"/>
  <c r="KI74" i="1"/>
  <c r="KJ74" i="1"/>
  <c r="KK74" i="1"/>
  <c r="KL74" i="1"/>
  <c r="KM74" i="1"/>
  <c r="C74" i="1"/>
  <c r="D74" i="1"/>
  <c r="G74" i="1"/>
  <c r="H74" i="1"/>
  <c r="I74" i="1"/>
  <c r="KQ74" i="1"/>
  <c r="KF79" i="1" l="1"/>
  <c r="KE81" i="1"/>
  <c r="KE77" i="1"/>
  <c r="KF80" i="1"/>
  <c r="KF81" i="1"/>
  <c r="KE82" i="1"/>
  <c r="B587" i="18"/>
  <c r="G586" i="18"/>
  <c r="H586" i="18" s="1"/>
  <c r="D586" i="18"/>
  <c r="C586" i="18"/>
  <c r="KE79" i="1"/>
  <c r="KE76" i="1"/>
  <c r="KE78" i="1"/>
  <c r="KE80" i="1"/>
  <c r="KF77" i="1"/>
  <c r="KF75" i="1"/>
  <c r="KE75" i="1"/>
  <c r="AH343" i="5"/>
  <c r="KE74" i="1"/>
  <c r="AH330" i="5"/>
  <c r="C587" i="18" l="1"/>
  <c r="D587" i="18"/>
  <c r="G587" i="18"/>
  <c r="H587" i="18" s="1"/>
  <c r="B588" i="18"/>
  <c r="KD73" i="1"/>
  <c r="KC73" i="1"/>
  <c r="KB73" i="1"/>
  <c r="KA73" i="1"/>
  <c r="JZ73" i="1"/>
  <c r="JY73" i="1"/>
  <c r="JX73" i="1"/>
  <c r="JW73" i="1"/>
  <c r="JV73" i="1"/>
  <c r="JU73" i="1"/>
  <c r="C73" i="1"/>
  <c r="D73" i="1"/>
  <c r="G73" i="1"/>
  <c r="H73" i="1"/>
  <c r="I73" i="1"/>
  <c r="KG73" i="1"/>
  <c r="KH73" i="1"/>
  <c r="KI73" i="1"/>
  <c r="KJ73" i="1"/>
  <c r="KK73" i="1"/>
  <c r="KL73" i="1"/>
  <c r="KM73" i="1"/>
  <c r="KQ73" i="1"/>
  <c r="JY69" i="1"/>
  <c r="KD72" i="1"/>
  <c r="KB72" i="1"/>
  <c r="JZ72" i="1"/>
  <c r="JX72" i="1"/>
  <c r="JV72" i="1"/>
  <c r="KA72" i="1"/>
  <c r="KA71" i="1"/>
  <c r="KA70" i="1"/>
  <c r="KA69" i="1"/>
  <c r="KA68" i="1"/>
  <c r="KA67" i="1"/>
  <c r="KC72" i="1"/>
  <c r="JY72" i="1"/>
  <c r="JW72" i="1"/>
  <c r="JU72" i="1"/>
  <c r="AJ326" i="5"/>
  <c r="AJ325" i="5"/>
  <c r="AJ324" i="5"/>
  <c r="AJ323" i="5"/>
  <c r="AJ322" i="5"/>
  <c r="AJ321" i="5"/>
  <c r="AJ320" i="5"/>
  <c r="AJ319" i="5"/>
  <c r="AJ318" i="5"/>
  <c r="AJ317" i="5"/>
  <c r="AJ316" i="5"/>
  <c r="AJ315" i="5"/>
  <c r="AJ314" i="5"/>
  <c r="AJ313" i="5"/>
  <c r="AB313" i="5"/>
  <c r="AB312" i="5"/>
  <c r="D326" i="5"/>
  <c r="H326" i="5"/>
  <c r="K326" i="5"/>
  <c r="AB326" i="5"/>
  <c r="AC326" i="5"/>
  <c r="AD326" i="5"/>
  <c r="AE326" i="5"/>
  <c r="D325" i="5"/>
  <c r="H325" i="5"/>
  <c r="K325" i="5"/>
  <c r="AB325" i="5"/>
  <c r="AC325" i="5"/>
  <c r="AD325" i="5"/>
  <c r="AE325" i="5"/>
  <c r="D324" i="5"/>
  <c r="H324" i="5"/>
  <c r="K324" i="5"/>
  <c r="AB324" i="5"/>
  <c r="AC324" i="5"/>
  <c r="AD324" i="5"/>
  <c r="AE324" i="5"/>
  <c r="D323" i="5"/>
  <c r="H323" i="5"/>
  <c r="K323" i="5"/>
  <c r="AB323" i="5"/>
  <c r="AC323" i="5"/>
  <c r="AD323" i="5"/>
  <c r="AE323" i="5"/>
  <c r="D322" i="5"/>
  <c r="H322" i="5"/>
  <c r="K322" i="5"/>
  <c r="AB322" i="5"/>
  <c r="AC322" i="5"/>
  <c r="AD322" i="5"/>
  <c r="AE322" i="5"/>
  <c r="D321" i="5"/>
  <c r="H321" i="5"/>
  <c r="K321" i="5"/>
  <c r="AB321" i="5"/>
  <c r="AC321" i="5"/>
  <c r="AD321" i="5"/>
  <c r="AE321" i="5"/>
  <c r="D320" i="5"/>
  <c r="H320" i="5"/>
  <c r="K320" i="5"/>
  <c r="AB320" i="5"/>
  <c r="AC320" i="5"/>
  <c r="AD320" i="5"/>
  <c r="AE320" i="5"/>
  <c r="D319" i="5"/>
  <c r="H319" i="5"/>
  <c r="K319" i="5"/>
  <c r="AB319" i="5"/>
  <c r="AC319" i="5"/>
  <c r="AD319" i="5"/>
  <c r="AE319" i="5"/>
  <c r="D318" i="5"/>
  <c r="H318" i="5"/>
  <c r="K318" i="5"/>
  <c r="AB318" i="5"/>
  <c r="AC318" i="5"/>
  <c r="AD318" i="5"/>
  <c r="AE318" i="5"/>
  <c r="D317" i="5"/>
  <c r="H317" i="5"/>
  <c r="K317" i="5"/>
  <c r="AB317" i="5"/>
  <c r="AC317" i="5"/>
  <c r="AD317" i="5"/>
  <c r="AE317" i="5"/>
  <c r="D316" i="5"/>
  <c r="H316" i="5"/>
  <c r="K316" i="5"/>
  <c r="AB316" i="5"/>
  <c r="AC316" i="5"/>
  <c r="AD316" i="5"/>
  <c r="AE316" i="5"/>
  <c r="D315" i="5"/>
  <c r="H315" i="5"/>
  <c r="K315" i="5"/>
  <c r="AB315" i="5"/>
  <c r="AC315" i="5"/>
  <c r="AD315" i="5"/>
  <c r="AE315" i="5"/>
  <c r="D314" i="5"/>
  <c r="H314" i="5"/>
  <c r="K314" i="5"/>
  <c r="AB314" i="5"/>
  <c r="AC314" i="5"/>
  <c r="AD314" i="5"/>
  <c r="AE314" i="5"/>
  <c r="D313" i="5"/>
  <c r="H313" i="5"/>
  <c r="K313" i="5"/>
  <c r="AC313" i="5"/>
  <c r="AD313" i="5"/>
  <c r="AE313" i="5"/>
  <c r="C588" i="18" l="1"/>
  <c r="D588" i="18"/>
  <c r="G588" i="18"/>
  <c r="H588" i="18" s="1"/>
  <c r="B589" i="18"/>
  <c r="KF73" i="1"/>
  <c r="KE73" i="1"/>
  <c r="C589" i="18" l="1"/>
  <c r="D589" i="18"/>
  <c r="G589" i="18"/>
  <c r="H589" i="18" s="1"/>
  <c r="B590" i="18"/>
  <c r="C72" i="1"/>
  <c r="D72" i="1"/>
  <c r="G72" i="1"/>
  <c r="H72" i="1"/>
  <c r="I72" i="1"/>
  <c r="KE72" i="1"/>
  <c r="KF72" i="1"/>
  <c r="KG72" i="1"/>
  <c r="KH72" i="1"/>
  <c r="KI72" i="1"/>
  <c r="KJ72" i="1"/>
  <c r="KK72" i="1"/>
  <c r="KL72" i="1"/>
  <c r="KM72" i="1"/>
  <c r="KQ72" i="1"/>
  <c r="AJ290" i="5"/>
  <c r="AJ291" i="5"/>
  <c r="AJ292" i="5"/>
  <c r="AJ293" i="5"/>
  <c r="AJ294" i="5"/>
  <c r="AJ295" i="5"/>
  <c r="AJ296" i="5"/>
  <c r="AJ297" i="5"/>
  <c r="AJ298" i="5"/>
  <c r="AJ299" i="5"/>
  <c r="AJ300" i="5"/>
  <c r="AJ301" i="5"/>
  <c r="AJ302" i="5"/>
  <c r="AJ303" i="5"/>
  <c r="AJ304" i="5"/>
  <c r="AJ305" i="5"/>
  <c r="AJ306" i="5"/>
  <c r="AJ307" i="5"/>
  <c r="AJ308" i="5"/>
  <c r="AJ309" i="5"/>
  <c r="AJ310" i="5"/>
  <c r="AJ311" i="5"/>
  <c r="AJ288" i="5"/>
  <c r="AJ289" i="5"/>
  <c r="AJ286" i="5"/>
  <c r="AJ287" i="5"/>
  <c r="AJ285" i="5"/>
  <c r="AJ284" i="5"/>
  <c r="AJ283" i="5"/>
  <c r="AJ282" i="5"/>
  <c r="AJ281" i="5"/>
  <c r="AJ280" i="5"/>
  <c r="AJ279" i="5"/>
  <c r="AJ278" i="5"/>
  <c r="AJ277" i="5"/>
  <c r="AJ276" i="5"/>
  <c r="AJ275" i="5"/>
  <c r="AJ274" i="5"/>
  <c r="B591" i="18" l="1"/>
  <c r="D590" i="18"/>
  <c r="G590" i="18"/>
  <c r="H590" i="18" s="1"/>
  <c r="C590" i="18"/>
  <c r="KG71" i="1"/>
  <c r="D312" i="5"/>
  <c r="H312" i="5"/>
  <c r="K312" i="5"/>
  <c r="S312" i="5"/>
  <c r="AJ312" i="5" s="1"/>
  <c r="AC312" i="5"/>
  <c r="AD312" i="5"/>
  <c r="AE312" i="5"/>
  <c r="D303" i="5"/>
  <c r="D304" i="5"/>
  <c r="D305" i="5"/>
  <c r="D306" i="5"/>
  <c r="D307" i="5"/>
  <c r="D308" i="5"/>
  <c r="D309" i="5"/>
  <c r="D310" i="5"/>
  <c r="D311" i="5"/>
  <c r="H303" i="5"/>
  <c r="H304" i="5"/>
  <c r="H305" i="5"/>
  <c r="H306" i="5"/>
  <c r="H307" i="5"/>
  <c r="H308" i="5"/>
  <c r="H309" i="5"/>
  <c r="H310" i="5"/>
  <c r="H311" i="5"/>
  <c r="K303" i="5"/>
  <c r="K304" i="5"/>
  <c r="K305" i="5"/>
  <c r="K306" i="5"/>
  <c r="K307" i="5"/>
  <c r="K308" i="5"/>
  <c r="K309" i="5"/>
  <c r="K310" i="5"/>
  <c r="K311" i="5"/>
  <c r="AB303" i="5"/>
  <c r="AB304" i="5"/>
  <c r="AB305" i="5"/>
  <c r="AB306" i="5"/>
  <c r="AB307" i="5"/>
  <c r="AB308" i="5"/>
  <c r="AB309" i="5"/>
  <c r="AB310" i="5"/>
  <c r="AB311" i="5"/>
  <c r="AC303" i="5"/>
  <c r="AC304" i="5"/>
  <c r="AC305" i="5"/>
  <c r="AC306" i="5"/>
  <c r="AC307" i="5"/>
  <c r="AC308" i="5"/>
  <c r="AC309" i="5"/>
  <c r="AC310" i="5"/>
  <c r="AC311" i="5"/>
  <c r="AD303" i="5"/>
  <c r="AD304" i="5"/>
  <c r="AD305" i="5"/>
  <c r="AD306" i="5"/>
  <c r="AD307" i="5"/>
  <c r="AD308" i="5"/>
  <c r="AD309" i="5"/>
  <c r="AD310" i="5"/>
  <c r="AD311" i="5"/>
  <c r="AE303" i="5"/>
  <c r="AE304" i="5"/>
  <c r="AE305" i="5"/>
  <c r="AE306" i="5"/>
  <c r="AE307" i="5"/>
  <c r="AE308" i="5"/>
  <c r="AE309" i="5"/>
  <c r="AE310" i="5"/>
  <c r="AE311" i="5"/>
  <c r="JU71" i="1"/>
  <c r="JV71" i="1"/>
  <c r="JW71" i="1"/>
  <c r="JX71" i="1"/>
  <c r="JY71" i="1"/>
  <c r="JZ71" i="1"/>
  <c r="KB71" i="1"/>
  <c r="KC71" i="1"/>
  <c r="KD71" i="1"/>
  <c r="C71" i="1"/>
  <c r="D71" i="1"/>
  <c r="G71" i="1"/>
  <c r="H71" i="1"/>
  <c r="I71" i="1"/>
  <c r="KH71" i="1"/>
  <c r="KI71" i="1"/>
  <c r="KJ71" i="1"/>
  <c r="KK71" i="1"/>
  <c r="KL71" i="1"/>
  <c r="KM71" i="1"/>
  <c r="KQ71" i="1"/>
  <c r="KD70" i="1"/>
  <c r="KB70" i="1"/>
  <c r="JZ70" i="1"/>
  <c r="JX70" i="1"/>
  <c r="JV70" i="1"/>
  <c r="D274" i="5"/>
  <c r="AC274" i="5"/>
  <c r="AB274" i="5"/>
  <c r="D302" i="5"/>
  <c r="H302" i="5"/>
  <c r="K302" i="5"/>
  <c r="AB302" i="5"/>
  <c r="AC302" i="5"/>
  <c r="AD302" i="5"/>
  <c r="AE302" i="5"/>
  <c r="D301" i="5"/>
  <c r="H301" i="5"/>
  <c r="K301" i="5"/>
  <c r="AB301" i="5"/>
  <c r="AC301" i="5"/>
  <c r="AD301" i="5"/>
  <c r="AE301" i="5"/>
  <c r="D300" i="5"/>
  <c r="H300" i="5"/>
  <c r="K300" i="5"/>
  <c r="AB300" i="5"/>
  <c r="AC300" i="5"/>
  <c r="AD300" i="5"/>
  <c r="AE300" i="5"/>
  <c r="D299" i="5"/>
  <c r="H299" i="5"/>
  <c r="K299" i="5"/>
  <c r="AB299" i="5"/>
  <c r="AC299" i="5"/>
  <c r="AD299" i="5"/>
  <c r="AE299" i="5"/>
  <c r="D298" i="5"/>
  <c r="H298" i="5"/>
  <c r="K298" i="5"/>
  <c r="AB298" i="5"/>
  <c r="AC298" i="5"/>
  <c r="AD298" i="5"/>
  <c r="AE298" i="5"/>
  <c r="D297" i="5"/>
  <c r="H297" i="5"/>
  <c r="K297" i="5"/>
  <c r="AB297" i="5"/>
  <c r="AC297" i="5"/>
  <c r="AD297" i="5"/>
  <c r="AE297" i="5"/>
  <c r="D296" i="5"/>
  <c r="H296" i="5"/>
  <c r="K296" i="5"/>
  <c r="AB296" i="5"/>
  <c r="AC296" i="5"/>
  <c r="AD296" i="5"/>
  <c r="AE296" i="5"/>
  <c r="D295" i="5"/>
  <c r="H295" i="5"/>
  <c r="K295" i="5"/>
  <c r="AB295" i="5"/>
  <c r="AC295" i="5"/>
  <c r="AD295" i="5"/>
  <c r="AE295" i="5"/>
  <c r="D294" i="5"/>
  <c r="H294" i="5"/>
  <c r="K294" i="5"/>
  <c r="AB294" i="5"/>
  <c r="AC294" i="5"/>
  <c r="AD294" i="5"/>
  <c r="AE294" i="5"/>
  <c r="D293" i="5"/>
  <c r="H293" i="5"/>
  <c r="K293" i="5"/>
  <c r="AB293" i="5"/>
  <c r="AC293" i="5"/>
  <c r="AD293" i="5"/>
  <c r="AE293" i="5"/>
  <c r="D292" i="5"/>
  <c r="H292" i="5"/>
  <c r="K292" i="5"/>
  <c r="AB292" i="5"/>
  <c r="AC292" i="5"/>
  <c r="AD292" i="5"/>
  <c r="AE292" i="5"/>
  <c r="D291" i="5"/>
  <c r="H291" i="5"/>
  <c r="K291" i="5"/>
  <c r="AB291" i="5"/>
  <c r="AC291" i="5"/>
  <c r="AD291" i="5"/>
  <c r="AE291" i="5"/>
  <c r="D290" i="5"/>
  <c r="H290" i="5"/>
  <c r="K290" i="5"/>
  <c r="AB290" i="5"/>
  <c r="AC290" i="5"/>
  <c r="AD290" i="5"/>
  <c r="AE290" i="5"/>
  <c r="D289" i="5"/>
  <c r="H289" i="5"/>
  <c r="K289" i="5"/>
  <c r="AB289" i="5"/>
  <c r="AC289" i="5"/>
  <c r="AD289" i="5"/>
  <c r="AE289" i="5"/>
  <c r="D288" i="5"/>
  <c r="H288" i="5"/>
  <c r="K288" i="5"/>
  <c r="AB288" i="5"/>
  <c r="AC288" i="5"/>
  <c r="AD288" i="5"/>
  <c r="AE288" i="5"/>
  <c r="D287" i="5"/>
  <c r="H287" i="5"/>
  <c r="K287" i="5"/>
  <c r="AB287" i="5"/>
  <c r="AC287" i="5"/>
  <c r="AD287" i="5"/>
  <c r="AE287" i="5"/>
  <c r="D286" i="5"/>
  <c r="H286" i="5"/>
  <c r="K286" i="5"/>
  <c r="AB286" i="5"/>
  <c r="AC286" i="5"/>
  <c r="AD286" i="5"/>
  <c r="AE286" i="5"/>
  <c r="D285" i="5"/>
  <c r="H285" i="5"/>
  <c r="K285" i="5"/>
  <c r="AB285" i="5"/>
  <c r="AC285" i="5"/>
  <c r="AD285" i="5"/>
  <c r="AE285" i="5"/>
  <c r="D284" i="5"/>
  <c r="H284" i="5"/>
  <c r="K284" i="5"/>
  <c r="AB284" i="5"/>
  <c r="AC284" i="5"/>
  <c r="AD284" i="5"/>
  <c r="AE284" i="5"/>
  <c r="D283" i="5"/>
  <c r="H283" i="5"/>
  <c r="K283" i="5"/>
  <c r="AB283" i="5"/>
  <c r="AC283" i="5"/>
  <c r="AD283" i="5"/>
  <c r="AE283" i="5"/>
  <c r="D282" i="5"/>
  <c r="H282" i="5"/>
  <c r="K282" i="5"/>
  <c r="AB282" i="5"/>
  <c r="AC282" i="5"/>
  <c r="AD282" i="5"/>
  <c r="AE282" i="5"/>
  <c r="D281" i="5"/>
  <c r="H281" i="5"/>
  <c r="K281" i="5"/>
  <c r="AB281" i="5"/>
  <c r="AC281" i="5"/>
  <c r="AD281" i="5"/>
  <c r="AE281" i="5"/>
  <c r="D280" i="5"/>
  <c r="H280" i="5"/>
  <c r="K280" i="5"/>
  <c r="AB280" i="5"/>
  <c r="AC280" i="5"/>
  <c r="AD280" i="5"/>
  <c r="AE280" i="5"/>
  <c r="D279" i="5"/>
  <c r="H279" i="5"/>
  <c r="K279" i="5"/>
  <c r="AB279" i="5"/>
  <c r="AC279" i="5"/>
  <c r="AD279" i="5"/>
  <c r="AE279" i="5"/>
  <c r="D278" i="5"/>
  <c r="H278" i="5"/>
  <c r="K278" i="5"/>
  <c r="AB278" i="5"/>
  <c r="AC278" i="5"/>
  <c r="AD278" i="5"/>
  <c r="AE278" i="5"/>
  <c r="D277" i="5"/>
  <c r="H277" i="5"/>
  <c r="K277" i="5"/>
  <c r="AB277" i="5"/>
  <c r="AC277" i="5"/>
  <c r="AD277" i="5"/>
  <c r="AE277" i="5"/>
  <c r="D276" i="5"/>
  <c r="H276" i="5"/>
  <c r="K276" i="5"/>
  <c r="AB276" i="5"/>
  <c r="AC276" i="5"/>
  <c r="AD276" i="5"/>
  <c r="AE276" i="5"/>
  <c r="D275" i="5"/>
  <c r="H275" i="5"/>
  <c r="K275" i="5"/>
  <c r="AB275" i="5"/>
  <c r="AC275" i="5"/>
  <c r="AD275" i="5"/>
  <c r="AE275" i="5"/>
  <c r="KC70" i="1"/>
  <c r="JY70" i="1"/>
  <c r="JW70" i="1"/>
  <c r="JU70" i="1"/>
  <c r="C70" i="1"/>
  <c r="D70" i="1"/>
  <c r="G70" i="1"/>
  <c r="H70" i="1"/>
  <c r="I70" i="1"/>
  <c r="KG70" i="1"/>
  <c r="KH70" i="1"/>
  <c r="KI70" i="1"/>
  <c r="KJ70" i="1"/>
  <c r="KK70" i="1"/>
  <c r="KL70" i="1"/>
  <c r="KM70" i="1"/>
  <c r="KQ70" i="1"/>
  <c r="AJ273" i="5"/>
  <c r="AJ272" i="5"/>
  <c r="AJ271" i="5"/>
  <c r="AJ270" i="5"/>
  <c r="AJ269" i="5"/>
  <c r="AJ268" i="5"/>
  <c r="AJ267" i="5"/>
  <c r="AJ266" i="5"/>
  <c r="AJ265" i="5"/>
  <c r="AC273" i="5"/>
  <c r="AC272" i="5"/>
  <c r="AC271" i="5"/>
  <c r="AC270" i="5"/>
  <c r="AC269" i="5"/>
  <c r="AC268" i="5"/>
  <c r="AC267" i="5"/>
  <c r="AC266" i="5"/>
  <c r="AB273" i="5"/>
  <c r="AB272" i="5"/>
  <c r="AB271" i="5"/>
  <c r="AB270" i="5"/>
  <c r="AB269" i="5"/>
  <c r="AB268" i="5"/>
  <c r="AB267" i="5"/>
  <c r="AB266" i="5"/>
  <c r="K274" i="5"/>
  <c r="AC265" i="5"/>
  <c r="AB265" i="5"/>
  <c r="D273" i="5"/>
  <c r="H273" i="5"/>
  <c r="K273" i="5"/>
  <c r="AD273" i="5"/>
  <c r="AE273" i="5"/>
  <c r="D272" i="5"/>
  <c r="H272" i="5"/>
  <c r="K272" i="5"/>
  <c r="AD272" i="5"/>
  <c r="AE272" i="5"/>
  <c r="D271" i="5"/>
  <c r="H271" i="5"/>
  <c r="K271" i="5"/>
  <c r="AD271" i="5"/>
  <c r="AE271" i="5"/>
  <c r="D270" i="5"/>
  <c r="H270" i="5"/>
  <c r="K270" i="5"/>
  <c r="AD270" i="5"/>
  <c r="AE270" i="5"/>
  <c r="D269" i="5"/>
  <c r="H269" i="5"/>
  <c r="K269" i="5"/>
  <c r="AD269" i="5"/>
  <c r="AE269" i="5"/>
  <c r="D268" i="5"/>
  <c r="H268" i="5"/>
  <c r="K268" i="5"/>
  <c r="AD268" i="5"/>
  <c r="AE268" i="5"/>
  <c r="D267" i="5"/>
  <c r="H267" i="5"/>
  <c r="K267" i="5"/>
  <c r="AD267" i="5"/>
  <c r="AE267" i="5"/>
  <c r="D266" i="5"/>
  <c r="H266" i="5"/>
  <c r="K266" i="5"/>
  <c r="AD266" i="5"/>
  <c r="AE266" i="5"/>
  <c r="D265" i="5"/>
  <c r="H265" i="5"/>
  <c r="K265" i="5"/>
  <c r="AD265" i="5"/>
  <c r="AE265" i="5"/>
  <c r="JV67" i="1"/>
  <c r="KD69" i="1"/>
  <c r="JV69" i="1"/>
  <c r="KC69" i="1"/>
  <c r="KB69" i="1"/>
  <c r="JZ69" i="1"/>
  <c r="JX69" i="1"/>
  <c r="JW69" i="1"/>
  <c r="JU69" i="1"/>
  <c r="C69" i="1"/>
  <c r="D69" i="1"/>
  <c r="G69" i="1"/>
  <c r="H69" i="1"/>
  <c r="I69" i="1"/>
  <c r="KG69" i="1"/>
  <c r="KH69" i="1"/>
  <c r="KI69" i="1"/>
  <c r="KJ69" i="1"/>
  <c r="KK69" i="1"/>
  <c r="KL69" i="1"/>
  <c r="KM69" i="1"/>
  <c r="KQ69" i="1"/>
  <c r="AJ264" i="5"/>
  <c r="AJ263" i="5"/>
  <c r="AJ262" i="5"/>
  <c r="AJ261" i="5"/>
  <c r="AJ260" i="5"/>
  <c r="AB252" i="5"/>
  <c r="AB253" i="5"/>
  <c r="AB254" i="5"/>
  <c r="AB255" i="5"/>
  <c r="AB256" i="5"/>
  <c r="AB257" i="5"/>
  <c r="AB258" i="5"/>
  <c r="AB259" i="5"/>
  <c r="AB260" i="5"/>
  <c r="AB261" i="5"/>
  <c r="AB262" i="5"/>
  <c r="AB263" i="5"/>
  <c r="AB264" i="5"/>
  <c r="D264" i="5"/>
  <c r="H264" i="5"/>
  <c r="K264" i="5"/>
  <c r="AC264" i="5"/>
  <c r="AD264" i="5"/>
  <c r="AE264" i="5"/>
  <c r="KD68" i="1"/>
  <c r="JV68" i="1"/>
  <c r="D263" i="5"/>
  <c r="H263" i="5"/>
  <c r="K263" i="5"/>
  <c r="AC263" i="5"/>
  <c r="AD263" i="5"/>
  <c r="AE263" i="5"/>
  <c r="D262" i="5"/>
  <c r="H262" i="5"/>
  <c r="K262" i="5"/>
  <c r="AC262" i="5"/>
  <c r="AD262" i="5"/>
  <c r="AE262" i="5"/>
  <c r="D261" i="5"/>
  <c r="H261" i="5"/>
  <c r="K261" i="5"/>
  <c r="AC261" i="5"/>
  <c r="AD261" i="5"/>
  <c r="AE261" i="5"/>
  <c r="D260" i="5"/>
  <c r="H260" i="5"/>
  <c r="K260" i="5"/>
  <c r="T260" i="5"/>
  <c r="AC260" i="5"/>
  <c r="AD260" i="5"/>
  <c r="AE260" i="5"/>
  <c r="KC68" i="1"/>
  <c r="KB68" i="1"/>
  <c r="JZ68" i="1"/>
  <c r="JY68" i="1"/>
  <c r="JX68" i="1"/>
  <c r="JW68" i="1"/>
  <c r="JU68" i="1"/>
  <c r="C68" i="1"/>
  <c r="D68" i="1"/>
  <c r="G68" i="1"/>
  <c r="H68" i="1"/>
  <c r="I68" i="1"/>
  <c r="KG68" i="1"/>
  <c r="KH68" i="1"/>
  <c r="KI68" i="1"/>
  <c r="KJ68" i="1"/>
  <c r="KK68" i="1"/>
  <c r="KL68" i="1"/>
  <c r="KM68" i="1"/>
  <c r="KQ68" i="1"/>
  <c r="C591" i="18" l="1"/>
  <c r="D591" i="18"/>
  <c r="G591" i="18"/>
  <c r="H591" i="18" s="1"/>
  <c r="B592" i="18"/>
  <c r="KF70" i="1"/>
  <c r="KF71" i="1"/>
  <c r="KE70" i="1"/>
  <c r="KE71" i="1"/>
  <c r="KF69" i="1"/>
  <c r="KE69" i="1"/>
  <c r="KE68" i="1"/>
  <c r="AH260" i="5"/>
  <c r="KF68" i="1"/>
  <c r="C592" i="18" l="1"/>
  <c r="D592" i="18"/>
  <c r="G592" i="18"/>
  <c r="H592" i="18" s="1"/>
  <c r="B593" i="18"/>
  <c r="AJ259" i="5"/>
  <c r="AJ258" i="5"/>
  <c r="AJ257" i="5"/>
  <c r="AJ256" i="5"/>
  <c r="AJ255" i="5"/>
  <c r="AJ254" i="5"/>
  <c r="AJ253" i="5"/>
  <c r="AJ252" i="5"/>
  <c r="D258" i="5"/>
  <c r="D259" i="5"/>
  <c r="H258" i="5"/>
  <c r="H259" i="5"/>
  <c r="K258" i="5"/>
  <c r="K259" i="5"/>
  <c r="AC258" i="5"/>
  <c r="AC259" i="5"/>
  <c r="AD258" i="5"/>
  <c r="AD259" i="5"/>
  <c r="AE258" i="5"/>
  <c r="AE259" i="5"/>
  <c r="D257" i="5"/>
  <c r="H257" i="5"/>
  <c r="K257" i="5"/>
  <c r="AC257" i="5"/>
  <c r="AD257" i="5"/>
  <c r="AE257" i="5"/>
  <c r="D256" i="5"/>
  <c r="H256" i="5"/>
  <c r="K256" i="5"/>
  <c r="AC256" i="5"/>
  <c r="AD256" i="5"/>
  <c r="AE256" i="5"/>
  <c r="D255" i="5"/>
  <c r="H255" i="5"/>
  <c r="K255" i="5"/>
  <c r="AC255" i="5"/>
  <c r="AD255" i="5"/>
  <c r="AE255" i="5"/>
  <c r="D254" i="5"/>
  <c r="H254" i="5"/>
  <c r="K254" i="5"/>
  <c r="AC254" i="5"/>
  <c r="AD254" i="5"/>
  <c r="AE254" i="5"/>
  <c r="D253" i="5"/>
  <c r="H253" i="5"/>
  <c r="K253" i="5"/>
  <c r="AC253" i="5"/>
  <c r="AD253" i="5"/>
  <c r="AE253" i="5"/>
  <c r="D252" i="5"/>
  <c r="H252" i="5"/>
  <c r="K252" i="5"/>
  <c r="AC252" i="5"/>
  <c r="AD252" i="5"/>
  <c r="AE252" i="5"/>
  <c r="KD67" i="1"/>
  <c r="KC67" i="1"/>
  <c r="KB67" i="1"/>
  <c r="JZ67" i="1"/>
  <c r="JX67" i="1"/>
  <c r="JY67" i="1"/>
  <c r="JW67" i="1"/>
  <c r="JU67" i="1"/>
  <c r="C593" i="18" l="1"/>
  <c r="D593" i="18"/>
  <c r="B594" i="18"/>
  <c r="G593" i="18"/>
  <c r="H593" i="18" s="1"/>
  <c r="KE67" i="1"/>
  <c r="B595" i="18" l="1"/>
  <c r="C594" i="18"/>
  <c r="G594" i="18"/>
  <c r="H594" i="18" s="1"/>
  <c r="D594" i="18"/>
  <c r="KN61" i="1"/>
  <c r="KN63" i="1"/>
  <c r="KN56" i="1"/>
  <c r="KN57" i="1"/>
  <c r="KN58" i="1"/>
  <c r="KM60" i="1"/>
  <c r="KN59" i="1"/>
  <c r="KN60" i="1"/>
  <c r="KN62" i="1"/>
  <c r="KN64" i="1"/>
  <c r="KN65" i="1"/>
  <c r="KN66" i="1"/>
  <c r="JU66" i="1"/>
  <c r="JV66" i="1"/>
  <c r="JW66" i="1"/>
  <c r="JX66" i="1"/>
  <c r="JY66" i="1"/>
  <c r="JZ66" i="1"/>
  <c r="KA66" i="1"/>
  <c r="KB66" i="1"/>
  <c r="KC66" i="1"/>
  <c r="KD66" i="1"/>
  <c r="AD244" i="5"/>
  <c r="AD245" i="5"/>
  <c r="AD246" i="5"/>
  <c r="AD247" i="5"/>
  <c r="AD248" i="5"/>
  <c r="AD249" i="5"/>
  <c r="AD250" i="5"/>
  <c r="AD251" i="5"/>
  <c r="K250" i="5"/>
  <c r="K247" i="5"/>
  <c r="K248" i="5"/>
  <c r="K249" i="5"/>
  <c r="D251" i="5"/>
  <c r="H251" i="5"/>
  <c r="K251" i="5"/>
  <c r="S251" i="5"/>
  <c r="AJ251" i="5" s="1"/>
  <c r="AB251" i="5"/>
  <c r="AC251" i="5"/>
  <c r="AE251" i="5"/>
  <c r="H250" i="5"/>
  <c r="D250" i="5"/>
  <c r="H247" i="5"/>
  <c r="H248" i="5"/>
  <c r="H249" i="5"/>
  <c r="D247" i="5"/>
  <c r="D248" i="5"/>
  <c r="D249" i="5"/>
  <c r="S248" i="5"/>
  <c r="AJ248" i="5" s="1"/>
  <c r="S250" i="5"/>
  <c r="AJ250" i="5" s="1"/>
  <c r="AB248" i="5"/>
  <c r="AB249" i="5"/>
  <c r="AB250" i="5"/>
  <c r="AC248" i="5"/>
  <c r="AC249" i="5"/>
  <c r="AC250" i="5"/>
  <c r="AE248" i="5"/>
  <c r="AE249" i="5"/>
  <c r="AE250" i="5"/>
  <c r="JU65" i="1"/>
  <c r="JV65" i="1"/>
  <c r="JW65" i="1"/>
  <c r="JX65" i="1"/>
  <c r="JY65" i="1"/>
  <c r="JZ65" i="1"/>
  <c r="KA65" i="1"/>
  <c r="KB65" i="1"/>
  <c r="KC65" i="1"/>
  <c r="KD65" i="1"/>
  <c r="AJ246" i="5"/>
  <c r="AJ230" i="5"/>
  <c r="AJ231" i="5"/>
  <c r="D245" i="5"/>
  <c r="D246" i="5"/>
  <c r="H245" i="5"/>
  <c r="H246" i="5"/>
  <c r="K245" i="5"/>
  <c r="K246" i="5"/>
  <c r="S245" i="5"/>
  <c r="AJ245" i="5" s="1"/>
  <c r="AB245" i="5"/>
  <c r="AB246" i="5"/>
  <c r="AB247" i="5"/>
  <c r="AC245" i="5"/>
  <c r="AC246" i="5"/>
  <c r="AC247" i="5"/>
  <c r="AE245" i="5"/>
  <c r="AE246" i="5"/>
  <c r="AE247" i="5"/>
  <c r="D239" i="5"/>
  <c r="D240" i="5"/>
  <c r="D241" i="5"/>
  <c r="D242" i="5"/>
  <c r="D243" i="5"/>
  <c r="D244" i="5"/>
  <c r="H239" i="5"/>
  <c r="H240" i="5"/>
  <c r="H241" i="5"/>
  <c r="H242" i="5"/>
  <c r="H243" i="5"/>
  <c r="H244" i="5"/>
  <c r="K239" i="5"/>
  <c r="K240" i="5"/>
  <c r="K241" i="5"/>
  <c r="K242" i="5"/>
  <c r="K243" i="5"/>
  <c r="K244" i="5"/>
  <c r="S239" i="5"/>
  <c r="AJ239" i="5" s="1"/>
  <c r="S240" i="5"/>
  <c r="AJ240" i="5" s="1"/>
  <c r="S242" i="5"/>
  <c r="AJ242" i="5" s="1"/>
  <c r="S243" i="5"/>
  <c r="AJ243" i="5" s="1"/>
  <c r="AB239" i="5"/>
  <c r="AB240" i="5"/>
  <c r="AB241" i="5"/>
  <c r="AB242" i="5"/>
  <c r="AB243" i="5"/>
  <c r="AB244" i="5"/>
  <c r="AC239" i="5"/>
  <c r="AC240" i="5"/>
  <c r="AC241" i="5"/>
  <c r="AC242" i="5"/>
  <c r="AC243" i="5"/>
  <c r="AC244" i="5"/>
  <c r="AD239" i="5"/>
  <c r="AD240" i="5"/>
  <c r="AD241" i="5"/>
  <c r="AD242" i="5"/>
  <c r="AD243" i="5"/>
  <c r="AE239" i="5"/>
  <c r="AE240" i="5"/>
  <c r="AE241" i="5"/>
  <c r="AE242" i="5"/>
  <c r="AE243" i="5"/>
  <c r="AE244" i="5"/>
  <c r="D236" i="5"/>
  <c r="D237" i="5"/>
  <c r="D238" i="5"/>
  <c r="H236" i="5"/>
  <c r="H237" i="5"/>
  <c r="H238" i="5"/>
  <c r="K236" i="5"/>
  <c r="K237" i="5"/>
  <c r="K238" i="5"/>
  <c r="S236" i="5"/>
  <c r="AJ236" i="5" s="1"/>
  <c r="S237" i="5"/>
  <c r="AJ237" i="5" s="1"/>
  <c r="AB236" i="5"/>
  <c r="AB237" i="5"/>
  <c r="AB238" i="5"/>
  <c r="AC236" i="5"/>
  <c r="AC237" i="5"/>
  <c r="AC238" i="5"/>
  <c r="AD236" i="5"/>
  <c r="AD237" i="5"/>
  <c r="AD238" i="5"/>
  <c r="AE236" i="5"/>
  <c r="AE237" i="5"/>
  <c r="AE238" i="5"/>
  <c r="K230" i="5"/>
  <c r="K231" i="5"/>
  <c r="H230" i="5"/>
  <c r="H231" i="5"/>
  <c r="H232" i="5"/>
  <c r="H233" i="5"/>
  <c r="H234" i="5"/>
  <c r="H235" i="5"/>
  <c r="D230" i="5"/>
  <c r="D231" i="5"/>
  <c r="D233" i="5"/>
  <c r="D234" i="5"/>
  <c r="D235" i="5"/>
  <c r="K233" i="5"/>
  <c r="K234" i="5"/>
  <c r="K235" i="5"/>
  <c r="S235" i="5"/>
  <c r="AJ235" i="5" s="1"/>
  <c r="AB233" i="5"/>
  <c r="AB234" i="5"/>
  <c r="AB235" i="5"/>
  <c r="AC233" i="5"/>
  <c r="AC234" i="5"/>
  <c r="AC235" i="5"/>
  <c r="AD233" i="5"/>
  <c r="AD234" i="5"/>
  <c r="AD235" i="5"/>
  <c r="AE233" i="5"/>
  <c r="AE234" i="5"/>
  <c r="AE235" i="5"/>
  <c r="D232" i="5"/>
  <c r="K232" i="5"/>
  <c r="AB232" i="5"/>
  <c r="AC232" i="5"/>
  <c r="AD232" i="5"/>
  <c r="AE232" i="5"/>
  <c r="JU64" i="1"/>
  <c r="JV64" i="1"/>
  <c r="JW64" i="1"/>
  <c r="JX64" i="1"/>
  <c r="JY64" i="1"/>
  <c r="JZ64" i="1"/>
  <c r="KA64" i="1"/>
  <c r="KB64" i="1"/>
  <c r="KC64" i="1"/>
  <c r="KD64" i="1"/>
  <c r="AJ229" i="5"/>
  <c r="AJ228" i="5"/>
  <c r="AJ227" i="5"/>
  <c r="D227" i="5"/>
  <c r="D228" i="5"/>
  <c r="D229" i="5"/>
  <c r="H227" i="5"/>
  <c r="H228" i="5"/>
  <c r="H229" i="5"/>
  <c r="K227" i="5"/>
  <c r="K228" i="5"/>
  <c r="K229" i="5"/>
  <c r="AB227" i="5"/>
  <c r="AB228" i="5"/>
  <c r="AB229" i="5"/>
  <c r="AC227" i="5"/>
  <c r="AC228" i="5"/>
  <c r="AC229" i="5"/>
  <c r="AD227" i="5"/>
  <c r="AD228" i="5"/>
  <c r="AD229" i="5"/>
  <c r="AE227" i="5"/>
  <c r="AE228" i="5"/>
  <c r="AE229" i="5"/>
  <c r="JU63" i="1"/>
  <c r="JV63" i="1"/>
  <c r="JW63" i="1"/>
  <c r="JX63" i="1"/>
  <c r="JY63" i="1"/>
  <c r="JZ63" i="1"/>
  <c r="KA63" i="1"/>
  <c r="KB63" i="1"/>
  <c r="KC63" i="1"/>
  <c r="KD63" i="1"/>
  <c r="AJ224" i="5"/>
  <c r="AJ225" i="5"/>
  <c r="K222" i="5"/>
  <c r="K223" i="5"/>
  <c r="K224" i="5"/>
  <c r="H222" i="5"/>
  <c r="H223" i="5"/>
  <c r="H224" i="5"/>
  <c r="D222" i="5"/>
  <c r="D223" i="5"/>
  <c r="D224" i="5"/>
  <c r="D225" i="5"/>
  <c r="D226" i="5"/>
  <c r="H225" i="5"/>
  <c r="H226" i="5"/>
  <c r="K225" i="5"/>
  <c r="K226" i="5"/>
  <c r="AB225" i="5"/>
  <c r="AB226" i="5"/>
  <c r="AC225" i="5"/>
  <c r="AC226" i="5"/>
  <c r="AD225" i="5"/>
  <c r="AD226" i="5"/>
  <c r="AE225" i="5"/>
  <c r="AE226" i="5"/>
  <c r="JU62" i="1"/>
  <c r="JV62" i="1"/>
  <c r="JW62" i="1"/>
  <c r="JX62" i="1"/>
  <c r="JY62" i="1"/>
  <c r="JZ62" i="1"/>
  <c r="KA62" i="1"/>
  <c r="KB62" i="1"/>
  <c r="KC62" i="1"/>
  <c r="KD62" i="1"/>
  <c r="C595" i="18" l="1"/>
  <c r="D595" i="18"/>
  <c r="G595" i="18"/>
  <c r="H595" i="18" s="1"/>
  <c r="B596" i="18"/>
  <c r="S249" i="5"/>
  <c r="AJ249" i="5" s="1"/>
  <c r="S247" i="5"/>
  <c r="AJ247" i="5" s="1"/>
  <c r="S241" i="5"/>
  <c r="AJ241" i="5" s="1"/>
  <c r="S244" i="5"/>
  <c r="AJ244" i="5" s="1"/>
  <c r="S238" i="5"/>
  <c r="AJ238" i="5" s="1"/>
  <c r="S234" i="5"/>
  <c r="AJ234" i="5" s="1"/>
  <c r="S233" i="5"/>
  <c r="AJ233" i="5" s="1"/>
  <c r="S232" i="5"/>
  <c r="AJ232" i="5" s="1"/>
  <c r="S226" i="5"/>
  <c r="AJ226" i="5" s="1"/>
  <c r="C596" i="18" l="1"/>
  <c r="D596" i="18"/>
  <c r="G596" i="18"/>
  <c r="H596" i="18" s="1"/>
  <c r="B597" i="18"/>
  <c r="AJ219" i="5"/>
  <c r="D219" i="5"/>
  <c r="D220" i="5"/>
  <c r="D221" i="5"/>
  <c r="H219" i="5"/>
  <c r="H220" i="5"/>
  <c r="H221" i="5"/>
  <c r="K219" i="5"/>
  <c r="K220" i="5"/>
  <c r="K221" i="5"/>
  <c r="S220" i="5"/>
  <c r="AJ220" i="5" s="1"/>
  <c r="S221" i="5"/>
  <c r="AJ221" i="5" s="1"/>
  <c r="S222" i="5"/>
  <c r="AJ222" i="5" s="1"/>
  <c r="S223" i="5"/>
  <c r="AJ223" i="5" s="1"/>
  <c r="AB219" i="5"/>
  <c r="AB220" i="5"/>
  <c r="AB221" i="5"/>
  <c r="AB222" i="5"/>
  <c r="AB223" i="5"/>
  <c r="AB224" i="5"/>
  <c r="AC219" i="5"/>
  <c r="AC220" i="5"/>
  <c r="AC221" i="5"/>
  <c r="AC222" i="5"/>
  <c r="AC223" i="5"/>
  <c r="AC224" i="5"/>
  <c r="AD219" i="5"/>
  <c r="AD220" i="5"/>
  <c r="AD221" i="5"/>
  <c r="AD222" i="5"/>
  <c r="AD223" i="5"/>
  <c r="AD224" i="5"/>
  <c r="AE219" i="5"/>
  <c r="AE220" i="5"/>
  <c r="AE221" i="5"/>
  <c r="AE222" i="5"/>
  <c r="AE223" i="5"/>
  <c r="AE224" i="5"/>
  <c r="AJ213" i="5"/>
  <c r="AJ214" i="5"/>
  <c r="AJ215" i="5"/>
  <c r="AJ216" i="5"/>
  <c r="AJ217" i="5"/>
  <c r="AJ218" i="5"/>
  <c r="D218" i="5"/>
  <c r="H218" i="5"/>
  <c r="K218" i="5"/>
  <c r="AB218" i="5"/>
  <c r="AC218" i="5"/>
  <c r="AD218" i="5"/>
  <c r="AE218" i="5"/>
  <c r="D213" i="5"/>
  <c r="D214" i="5"/>
  <c r="D215" i="5"/>
  <c r="D216" i="5"/>
  <c r="D217" i="5"/>
  <c r="H213" i="5"/>
  <c r="H214" i="5"/>
  <c r="H215" i="5"/>
  <c r="H216" i="5"/>
  <c r="H217" i="5"/>
  <c r="K213" i="5"/>
  <c r="K214" i="5"/>
  <c r="K215" i="5"/>
  <c r="K216" i="5"/>
  <c r="K217" i="5"/>
  <c r="AB213" i="5"/>
  <c r="AB214" i="5"/>
  <c r="AB215" i="5"/>
  <c r="AB216" i="5"/>
  <c r="AB217" i="5"/>
  <c r="AC213" i="5"/>
  <c r="AC214" i="5"/>
  <c r="AC215" i="5"/>
  <c r="AC216" i="5"/>
  <c r="AC217" i="5"/>
  <c r="AD213" i="5"/>
  <c r="AD214" i="5"/>
  <c r="AD215" i="5"/>
  <c r="AD216" i="5"/>
  <c r="AD217" i="5"/>
  <c r="AE213" i="5"/>
  <c r="AE214" i="5"/>
  <c r="AE215" i="5"/>
  <c r="AE216" i="5"/>
  <c r="AE217" i="5"/>
  <c r="JU61" i="1"/>
  <c r="JV61" i="1"/>
  <c r="JW61" i="1"/>
  <c r="JX61" i="1"/>
  <c r="JY61" i="1"/>
  <c r="JZ61" i="1"/>
  <c r="KA61" i="1"/>
  <c r="KB61" i="1"/>
  <c r="KC61" i="1"/>
  <c r="KD61" i="1"/>
  <c r="AJ204" i="5"/>
  <c r="AJ205" i="5"/>
  <c r="AJ206" i="5"/>
  <c r="AJ207" i="5"/>
  <c r="AJ208" i="5"/>
  <c r="AJ209" i="5"/>
  <c r="AJ210" i="5"/>
  <c r="AJ211" i="5"/>
  <c r="AJ212" i="5"/>
  <c r="AE212" i="5"/>
  <c r="AD212" i="5"/>
  <c r="AC212" i="5"/>
  <c r="AB212" i="5"/>
  <c r="K212" i="5"/>
  <c r="H212" i="5"/>
  <c r="D212" i="5"/>
  <c r="AE211" i="5"/>
  <c r="AD211" i="5"/>
  <c r="AC211" i="5"/>
  <c r="AB211" i="5"/>
  <c r="K211" i="5"/>
  <c r="H211" i="5"/>
  <c r="D211" i="5"/>
  <c r="AE210" i="5"/>
  <c r="AD210" i="5"/>
  <c r="AC210" i="5"/>
  <c r="AB210" i="5"/>
  <c r="K210" i="5"/>
  <c r="H210" i="5"/>
  <c r="D210" i="5"/>
  <c r="AE209" i="5"/>
  <c r="AD209" i="5"/>
  <c r="AC209" i="5"/>
  <c r="AB209" i="5"/>
  <c r="K209" i="5"/>
  <c r="H209" i="5"/>
  <c r="D209" i="5"/>
  <c r="AE208" i="5"/>
  <c r="AD208" i="5"/>
  <c r="AC208" i="5"/>
  <c r="AB208" i="5"/>
  <c r="K208" i="5"/>
  <c r="H208" i="5"/>
  <c r="D208" i="5"/>
  <c r="AE207" i="5"/>
  <c r="AD207" i="5"/>
  <c r="AC207" i="5"/>
  <c r="AB207" i="5"/>
  <c r="K207" i="5"/>
  <c r="H207" i="5"/>
  <c r="D207" i="5"/>
  <c r="AE206" i="5"/>
  <c r="AD206" i="5"/>
  <c r="AC206" i="5"/>
  <c r="AB206" i="5"/>
  <c r="K206" i="5"/>
  <c r="H206" i="5"/>
  <c r="D206" i="5"/>
  <c r="AE205" i="5"/>
  <c r="AD205" i="5"/>
  <c r="AC205" i="5"/>
  <c r="AB205" i="5"/>
  <c r="K205" i="5"/>
  <c r="H205" i="5"/>
  <c r="D205" i="5"/>
  <c r="AE204" i="5"/>
  <c r="AD204" i="5"/>
  <c r="AC204" i="5"/>
  <c r="AB204" i="5"/>
  <c r="K204" i="5"/>
  <c r="H204" i="5"/>
  <c r="D204" i="5"/>
  <c r="JU60" i="1"/>
  <c r="JV60" i="1"/>
  <c r="JW60" i="1"/>
  <c r="JX60" i="1"/>
  <c r="JY60" i="1"/>
  <c r="JZ60" i="1"/>
  <c r="KA60" i="1"/>
  <c r="KB60" i="1"/>
  <c r="KC60" i="1"/>
  <c r="KD60" i="1"/>
  <c r="KG60" i="1"/>
  <c r="KH60" i="1"/>
  <c r="KI60" i="1"/>
  <c r="KJ60" i="1"/>
  <c r="KK60" i="1"/>
  <c r="KL60" i="1"/>
  <c r="AJ197" i="5"/>
  <c r="AJ198" i="5"/>
  <c r="AJ199" i="5"/>
  <c r="AJ200" i="5"/>
  <c r="AJ201" i="5"/>
  <c r="AJ202" i="5"/>
  <c r="AJ203" i="5"/>
  <c r="D202" i="5"/>
  <c r="D203" i="5"/>
  <c r="H202" i="5"/>
  <c r="H203" i="5"/>
  <c r="K202" i="5"/>
  <c r="K203" i="5"/>
  <c r="AB202" i="5"/>
  <c r="AB203" i="5"/>
  <c r="AC202" i="5"/>
  <c r="AC203" i="5"/>
  <c r="AD202" i="5"/>
  <c r="AD203" i="5"/>
  <c r="AE202" i="5"/>
  <c r="AE203" i="5"/>
  <c r="D197" i="5"/>
  <c r="D198" i="5"/>
  <c r="D199" i="5"/>
  <c r="D200" i="5"/>
  <c r="D201" i="5"/>
  <c r="H197" i="5"/>
  <c r="H198" i="5"/>
  <c r="H199" i="5"/>
  <c r="H200" i="5"/>
  <c r="H201" i="5"/>
  <c r="K197" i="5"/>
  <c r="K198" i="5"/>
  <c r="K199" i="5"/>
  <c r="K200" i="5"/>
  <c r="K201" i="5"/>
  <c r="AB197" i="5"/>
  <c r="AB198" i="5"/>
  <c r="AB199" i="5"/>
  <c r="AB200" i="5"/>
  <c r="AB201" i="5"/>
  <c r="AC197" i="5"/>
  <c r="AC198" i="5"/>
  <c r="AC199" i="5"/>
  <c r="AC200" i="5"/>
  <c r="AC201" i="5"/>
  <c r="AD197" i="5"/>
  <c r="AD198" i="5"/>
  <c r="AD199" i="5"/>
  <c r="AD200" i="5"/>
  <c r="AD201" i="5"/>
  <c r="AE197" i="5"/>
  <c r="AE198" i="5"/>
  <c r="AE199" i="5"/>
  <c r="AE200" i="5"/>
  <c r="AE201" i="5"/>
  <c r="JU59" i="1"/>
  <c r="JV59" i="1"/>
  <c r="JW59" i="1"/>
  <c r="JX59" i="1"/>
  <c r="JY59" i="1"/>
  <c r="JZ59" i="1"/>
  <c r="KA59" i="1"/>
  <c r="KB59" i="1"/>
  <c r="KC59" i="1"/>
  <c r="KD59" i="1"/>
  <c r="JU58" i="1"/>
  <c r="JV58" i="1"/>
  <c r="JW58" i="1"/>
  <c r="JX58" i="1"/>
  <c r="JY58" i="1"/>
  <c r="JZ58" i="1"/>
  <c r="KA58" i="1"/>
  <c r="KB58" i="1"/>
  <c r="KC58" i="1"/>
  <c r="KD58" i="1"/>
  <c r="C597" i="18" l="1"/>
  <c r="B598" i="18"/>
  <c r="D597" i="18"/>
  <c r="G597" i="18"/>
  <c r="H597" i="18" s="1"/>
  <c r="KE60" i="1"/>
  <c r="KF60" i="1"/>
  <c r="AJ181" i="5"/>
  <c r="AJ182" i="5"/>
  <c r="AJ183" i="5"/>
  <c r="AJ184" i="5"/>
  <c r="AJ185" i="5"/>
  <c r="AJ186" i="5"/>
  <c r="AJ187" i="5"/>
  <c r="AJ188" i="5"/>
  <c r="AJ189" i="5"/>
  <c r="AJ190" i="5"/>
  <c r="AJ191" i="5"/>
  <c r="AJ192" i="5"/>
  <c r="AJ193" i="5"/>
  <c r="AJ194" i="5"/>
  <c r="AJ195" i="5"/>
  <c r="AJ196" i="5"/>
  <c r="AE181" i="5"/>
  <c r="AD181" i="5"/>
  <c r="AC181" i="5"/>
  <c r="AB181" i="5"/>
  <c r="D192" i="5"/>
  <c r="D193" i="5"/>
  <c r="D194" i="5"/>
  <c r="D195" i="5"/>
  <c r="D196" i="5"/>
  <c r="H192" i="5"/>
  <c r="H193" i="5"/>
  <c r="H194" i="5"/>
  <c r="H195" i="5"/>
  <c r="H196" i="5"/>
  <c r="K192" i="5"/>
  <c r="K193" i="5"/>
  <c r="K194" i="5"/>
  <c r="K195" i="5"/>
  <c r="K196" i="5"/>
  <c r="AB192" i="5"/>
  <c r="AB193" i="5"/>
  <c r="AB194" i="5"/>
  <c r="AB195" i="5"/>
  <c r="AB196" i="5"/>
  <c r="AC192" i="5"/>
  <c r="AC193" i="5"/>
  <c r="AC194" i="5"/>
  <c r="AC195" i="5"/>
  <c r="AC196" i="5"/>
  <c r="AD192" i="5"/>
  <c r="AD193" i="5"/>
  <c r="AD194" i="5"/>
  <c r="AD195" i="5"/>
  <c r="AD196" i="5"/>
  <c r="AE192" i="5"/>
  <c r="AE193" i="5"/>
  <c r="AE194" i="5"/>
  <c r="AE195" i="5"/>
  <c r="AE196" i="5"/>
  <c r="K180" i="5"/>
  <c r="K181" i="5"/>
  <c r="H181" i="5"/>
  <c r="D189" i="5"/>
  <c r="D190" i="5"/>
  <c r="D191" i="5"/>
  <c r="H189" i="5"/>
  <c r="H190" i="5"/>
  <c r="H191" i="5"/>
  <c r="K189" i="5"/>
  <c r="K190" i="5"/>
  <c r="K191" i="5"/>
  <c r="AB189" i="5"/>
  <c r="AB190" i="5"/>
  <c r="AB191" i="5"/>
  <c r="AC189" i="5"/>
  <c r="AC190" i="5"/>
  <c r="AC191" i="5"/>
  <c r="AD189" i="5"/>
  <c r="AD190" i="5"/>
  <c r="AD191" i="5"/>
  <c r="AE189" i="5"/>
  <c r="AE190" i="5"/>
  <c r="AE191" i="5"/>
  <c r="D181" i="5"/>
  <c r="D182" i="5"/>
  <c r="D183" i="5"/>
  <c r="D184" i="5"/>
  <c r="D185" i="5"/>
  <c r="D186" i="5"/>
  <c r="D187" i="5"/>
  <c r="D188" i="5"/>
  <c r="H182" i="5"/>
  <c r="H183" i="5"/>
  <c r="H184" i="5"/>
  <c r="H185" i="5"/>
  <c r="H186" i="5"/>
  <c r="H187" i="5"/>
  <c r="H188" i="5"/>
  <c r="K182" i="5"/>
  <c r="K183" i="5"/>
  <c r="K184" i="5"/>
  <c r="K185" i="5"/>
  <c r="K186" i="5"/>
  <c r="K187" i="5"/>
  <c r="K188" i="5"/>
  <c r="AB182" i="5"/>
  <c r="AB183" i="5"/>
  <c r="AB184" i="5"/>
  <c r="AB185" i="5"/>
  <c r="AB186" i="5"/>
  <c r="AB187" i="5"/>
  <c r="AB188" i="5"/>
  <c r="AC182" i="5"/>
  <c r="AC183" i="5"/>
  <c r="AC184" i="5"/>
  <c r="AC185" i="5"/>
  <c r="AC186" i="5"/>
  <c r="AC187" i="5"/>
  <c r="AC188" i="5"/>
  <c r="AD182" i="5"/>
  <c r="AD183" i="5"/>
  <c r="AD184" i="5"/>
  <c r="AD185" i="5"/>
  <c r="AD186" i="5"/>
  <c r="AD187" i="5"/>
  <c r="AD188" i="5"/>
  <c r="AE182" i="5"/>
  <c r="AE183" i="5"/>
  <c r="AE184" i="5"/>
  <c r="AE185" i="5"/>
  <c r="AE186" i="5"/>
  <c r="AE187" i="5"/>
  <c r="AE188" i="5"/>
  <c r="KG30" i="1"/>
  <c r="KN52" i="1"/>
  <c r="C67" i="1"/>
  <c r="D67" i="1"/>
  <c r="G67" i="1"/>
  <c r="H67" i="1"/>
  <c r="I67" i="1"/>
  <c r="KF67" i="1"/>
  <c r="KG67" i="1"/>
  <c r="KH67" i="1"/>
  <c r="KI67" i="1"/>
  <c r="KJ67" i="1"/>
  <c r="KK67" i="1"/>
  <c r="KL67" i="1"/>
  <c r="KM67" i="1"/>
  <c r="KQ67" i="1"/>
  <c r="C66" i="1"/>
  <c r="D66" i="1"/>
  <c r="G66" i="1"/>
  <c r="H66" i="1"/>
  <c r="I66" i="1"/>
  <c r="KE66" i="1"/>
  <c r="KF66" i="1"/>
  <c r="KG66" i="1"/>
  <c r="KH66" i="1"/>
  <c r="KI66" i="1"/>
  <c r="KJ66" i="1"/>
  <c r="KK66" i="1"/>
  <c r="KL66" i="1"/>
  <c r="KM66" i="1"/>
  <c r="KQ66" i="1"/>
  <c r="C65" i="1"/>
  <c r="D65" i="1"/>
  <c r="G65" i="1"/>
  <c r="H65" i="1"/>
  <c r="I65" i="1"/>
  <c r="KE65" i="1"/>
  <c r="KF65" i="1"/>
  <c r="KG65" i="1"/>
  <c r="KH65" i="1"/>
  <c r="KI65" i="1"/>
  <c r="KJ65" i="1"/>
  <c r="KK65" i="1"/>
  <c r="KL65" i="1"/>
  <c r="KM65" i="1"/>
  <c r="KQ65" i="1"/>
  <c r="C64" i="1"/>
  <c r="D64" i="1"/>
  <c r="G64" i="1"/>
  <c r="H64" i="1"/>
  <c r="I64" i="1"/>
  <c r="KE64" i="1"/>
  <c r="KF64" i="1"/>
  <c r="KG64" i="1"/>
  <c r="KH64" i="1"/>
  <c r="KI64" i="1"/>
  <c r="KJ64" i="1"/>
  <c r="KK64" i="1"/>
  <c r="KL64" i="1"/>
  <c r="KM64" i="1"/>
  <c r="KQ64" i="1"/>
  <c r="C63" i="1"/>
  <c r="D63" i="1"/>
  <c r="G63" i="1"/>
  <c r="H63" i="1"/>
  <c r="I63" i="1"/>
  <c r="KE63" i="1"/>
  <c r="KF63" i="1"/>
  <c r="KG63" i="1"/>
  <c r="KH63" i="1"/>
  <c r="KI63" i="1"/>
  <c r="KJ63" i="1"/>
  <c r="KK63" i="1"/>
  <c r="KL63" i="1"/>
  <c r="KM63" i="1"/>
  <c r="KQ63" i="1"/>
  <c r="C62" i="1"/>
  <c r="D62" i="1"/>
  <c r="G62" i="1"/>
  <c r="H62" i="1"/>
  <c r="I62" i="1"/>
  <c r="KE62" i="1"/>
  <c r="KF62" i="1"/>
  <c r="KG62" i="1"/>
  <c r="KH62" i="1"/>
  <c r="KI62" i="1"/>
  <c r="KJ62" i="1"/>
  <c r="KK62" i="1"/>
  <c r="KL62" i="1"/>
  <c r="KM62" i="1"/>
  <c r="KQ62" i="1"/>
  <c r="C61" i="1"/>
  <c r="D61" i="1"/>
  <c r="G61" i="1"/>
  <c r="H61" i="1"/>
  <c r="I61" i="1"/>
  <c r="KE61" i="1"/>
  <c r="KF61" i="1"/>
  <c r="KG61" i="1"/>
  <c r="KH61" i="1"/>
  <c r="KI61" i="1"/>
  <c r="KJ61" i="1"/>
  <c r="KK61" i="1"/>
  <c r="KL61" i="1"/>
  <c r="KM61" i="1"/>
  <c r="KQ61" i="1"/>
  <c r="C60" i="1"/>
  <c r="D60" i="1"/>
  <c r="G60" i="1"/>
  <c r="H60" i="1"/>
  <c r="I60" i="1"/>
  <c r="KQ60" i="1"/>
  <c r="C59" i="1"/>
  <c r="D59" i="1"/>
  <c r="G59" i="1"/>
  <c r="H59" i="1"/>
  <c r="I59" i="1"/>
  <c r="KE59" i="1"/>
  <c r="KF59" i="1"/>
  <c r="KG59" i="1"/>
  <c r="KH59" i="1"/>
  <c r="KI59" i="1"/>
  <c r="KJ59" i="1"/>
  <c r="KK59" i="1"/>
  <c r="KL59" i="1"/>
  <c r="KM59" i="1"/>
  <c r="KQ59" i="1"/>
  <c r="C58" i="1"/>
  <c r="D58" i="1"/>
  <c r="G58" i="1"/>
  <c r="H58" i="1"/>
  <c r="I58" i="1"/>
  <c r="KF58" i="1"/>
  <c r="KG58" i="1"/>
  <c r="KH58" i="1"/>
  <c r="KI58" i="1"/>
  <c r="KJ58" i="1"/>
  <c r="KK58" i="1"/>
  <c r="KL58" i="1"/>
  <c r="KM58" i="1"/>
  <c r="KQ58" i="1"/>
  <c r="B599" i="18" l="1"/>
  <c r="G598" i="18"/>
  <c r="H598" i="18" s="1"/>
  <c r="C598" i="18"/>
  <c r="D598" i="18"/>
  <c r="KE58" i="1"/>
  <c r="AJ180" i="5"/>
  <c r="AE180" i="5"/>
  <c r="AD180" i="5"/>
  <c r="AC180" i="5"/>
  <c r="AB180" i="5"/>
  <c r="H180" i="5"/>
  <c r="D180" i="5"/>
  <c r="KD57" i="1"/>
  <c r="KB57" i="1"/>
  <c r="JZ57" i="1"/>
  <c r="JX57" i="1"/>
  <c r="JV57" i="1"/>
  <c r="KC57" i="1"/>
  <c r="KA57" i="1"/>
  <c r="JY57" i="1"/>
  <c r="JW57" i="1"/>
  <c r="JU57" i="1"/>
  <c r="C57" i="1"/>
  <c r="D57" i="1"/>
  <c r="G57" i="1"/>
  <c r="H57" i="1"/>
  <c r="I57" i="1"/>
  <c r="KG57" i="1"/>
  <c r="KH57" i="1"/>
  <c r="KI57" i="1"/>
  <c r="KJ57" i="1"/>
  <c r="KK57" i="1"/>
  <c r="KL57" i="1"/>
  <c r="KM57" i="1"/>
  <c r="KQ57" i="1"/>
  <c r="AJ179" i="5"/>
  <c r="AJ178" i="5"/>
  <c r="AJ177" i="5"/>
  <c r="AJ176" i="5"/>
  <c r="KC24" i="1"/>
  <c r="D179" i="5"/>
  <c r="H179" i="5"/>
  <c r="K179" i="5"/>
  <c r="AB179" i="5"/>
  <c r="AC179" i="5"/>
  <c r="AD179" i="5"/>
  <c r="AE179" i="5"/>
  <c r="D178" i="5"/>
  <c r="H178" i="5"/>
  <c r="K178" i="5"/>
  <c r="AB178" i="5"/>
  <c r="AC178" i="5"/>
  <c r="AD178" i="5"/>
  <c r="AE178" i="5"/>
  <c r="D177" i="5"/>
  <c r="H177" i="5"/>
  <c r="K177" i="5"/>
  <c r="AB177" i="5"/>
  <c r="AC177" i="5"/>
  <c r="AD177" i="5"/>
  <c r="AE177" i="5"/>
  <c r="D176" i="5"/>
  <c r="H176" i="5"/>
  <c r="K176" i="5"/>
  <c r="AB176" i="5"/>
  <c r="AC176" i="5"/>
  <c r="AD176" i="5"/>
  <c r="AE176" i="5"/>
  <c r="KD56" i="1"/>
  <c r="KC56" i="1"/>
  <c r="KB56" i="1"/>
  <c r="KA56" i="1"/>
  <c r="JZ56" i="1"/>
  <c r="JY56" i="1"/>
  <c r="JX56" i="1"/>
  <c r="JW56" i="1"/>
  <c r="JV56" i="1"/>
  <c r="JU56" i="1"/>
  <c r="C56" i="1"/>
  <c r="D56" i="1"/>
  <c r="G56" i="1"/>
  <c r="H56" i="1"/>
  <c r="I56" i="1"/>
  <c r="KG56" i="1"/>
  <c r="KH56" i="1"/>
  <c r="KI56" i="1"/>
  <c r="KJ56" i="1"/>
  <c r="KK56" i="1"/>
  <c r="KL56" i="1"/>
  <c r="KM56" i="1"/>
  <c r="KQ56" i="1"/>
  <c r="C599" i="18" l="1"/>
  <c r="D599" i="18"/>
  <c r="G599" i="18"/>
  <c r="H599" i="18" s="1"/>
  <c r="B600" i="18"/>
  <c r="KE57" i="1"/>
  <c r="KF57" i="1"/>
  <c r="KF56" i="1"/>
  <c r="KE56" i="1"/>
  <c r="C600" i="18" l="1"/>
  <c r="D600" i="18"/>
  <c r="G600" i="18"/>
  <c r="H600" i="18" s="1"/>
  <c r="B601" i="18"/>
  <c r="AJ175" i="5"/>
  <c r="AJ174" i="5"/>
  <c r="AJ173" i="5"/>
  <c r="AJ172" i="5"/>
  <c r="AJ171" i="5"/>
  <c r="AJ170" i="5"/>
  <c r="AJ169" i="5"/>
  <c r="AJ168" i="5"/>
  <c r="AB175" i="5"/>
  <c r="D172" i="5"/>
  <c r="D173" i="5"/>
  <c r="D174" i="5"/>
  <c r="D175" i="5"/>
  <c r="H172" i="5"/>
  <c r="H173" i="5"/>
  <c r="H174" i="5"/>
  <c r="H175" i="5"/>
  <c r="K172" i="5"/>
  <c r="K173" i="5"/>
  <c r="K174" i="5"/>
  <c r="K175" i="5"/>
  <c r="T175" i="5"/>
  <c r="AB172" i="5"/>
  <c r="AB173" i="5"/>
  <c r="AB174" i="5"/>
  <c r="AC172" i="5"/>
  <c r="AC173" i="5"/>
  <c r="AC174" i="5"/>
  <c r="AC175" i="5"/>
  <c r="AD172" i="5"/>
  <c r="AD173" i="5"/>
  <c r="AD174" i="5"/>
  <c r="AD175" i="5"/>
  <c r="AE172" i="5"/>
  <c r="AE173" i="5"/>
  <c r="AE174" i="5"/>
  <c r="AE175" i="5"/>
  <c r="D171" i="5"/>
  <c r="AJ167" i="5"/>
  <c r="AE167" i="5"/>
  <c r="AD167" i="5"/>
  <c r="AC167" i="5"/>
  <c r="AB167" i="5"/>
  <c r="T167" i="5"/>
  <c r="K167" i="5"/>
  <c r="H167" i="5"/>
  <c r="D167" i="5"/>
  <c r="H171" i="5"/>
  <c r="K171" i="5"/>
  <c r="AB171" i="5"/>
  <c r="AC171" i="5"/>
  <c r="AD171" i="5"/>
  <c r="AE171" i="5"/>
  <c r="D170" i="5"/>
  <c r="H170" i="5"/>
  <c r="K170" i="5"/>
  <c r="AB170" i="5"/>
  <c r="AC170" i="5"/>
  <c r="AD170" i="5"/>
  <c r="AE170" i="5"/>
  <c r="D169" i="5"/>
  <c r="H169" i="5"/>
  <c r="K169" i="5"/>
  <c r="AB169" i="5"/>
  <c r="AC169" i="5"/>
  <c r="AD169" i="5"/>
  <c r="AE169" i="5"/>
  <c r="D168" i="5"/>
  <c r="H168" i="5"/>
  <c r="K168" i="5"/>
  <c r="AB168" i="5"/>
  <c r="AC168" i="5"/>
  <c r="AD168" i="5"/>
  <c r="AE168" i="5"/>
  <c r="KN55" i="1"/>
  <c r="KC55" i="1"/>
  <c r="KD55" i="1"/>
  <c r="KB55" i="1"/>
  <c r="KA55" i="1"/>
  <c r="JZ55" i="1"/>
  <c r="JY55" i="1"/>
  <c r="JX55" i="1"/>
  <c r="JW55" i="1"/>
  <c r="JV55" i="1"/>
  <c r="JU55" i="1"/>
  <c r="C601" i="18" l="1"/>
  <c r="G601" i="18"/>
  <c r="H601" i="18" s="1"/>
  <c r="B602" i="18"/>
  <c r="D601" i="18"/>
  <c r="AH167" i="5"/>
  <c r="AH175" i="5"/>
  <c r="KF55" i="1"/>
  <c r="C55" i="1"/>
  <c r="D55" i="1"/>
  <c r="G55" i="1"/>
  <c r="H55" i="1"/>
  <c r="I55" i="1"/>
  <c r="KE55" i="1"/>
  <c r="KG55" i="1"/>
  <c r="KH55" i="1"/>
  <c r="KI55" i="1"/>
  <c r="KJ55" i="1"/>
  <c r="KK55" i="1"/>
  <c r="KL55" i="1"/>
  <c r="KM55" i="1"/>
  <c r="KQ55" i="1"/>
  <c r="B603" i="18" l="1"/>
  <c r="G602" i="18"/>
  <c r="H602" i="18" s="1"/>
  <c r="C602" i="18"/>
  <c r="D602" i="18"/>
  <c r="AJ166" i="5"/>
  <c r="AJ165" i="5"/>
  <c r="AJ164" i="5"/>
  <c r="D166" i="5"/>
  <c r="H166" i="5"/>
  <c r="K166" i="5"/>
  <c r="AB166" i="5"/>
  <c r="AC166" i="5"/>
  <c r="AD166" i="5"/>
  <c r="AE166" i="5"/>
  <c r="D165" i="5"/>
  <c r="H165" i="5"/>
  <c r="K165" i="5"/>
  <c r="AB165" i="5"/>
  <c r="AC165" i="5"/>
  <c r="AD165" i="5"/>
  <c r="AE165" i="5"/>
  <c r="D164" i="5"/>
  <c r="H164" i="5"/>
  <c r="K164" i="5"/>
  <c r="AB164" i="5"/>
  <c r="AC164" i="5"/>
  <c r="AD164" i="5"/>
  <c r="AE164" i="5"/>
  <c r="KD54" i="1"/>
  <c r="JZ54" i="1"/>
  <c r="KC54" i="1"/>
  <c r="KB54" i="1"/>
  <c r="KA54" i="1"/>
  <c r="JY54" i="1"/>
  <c r="JX54" i="1"/>
  <c r="JW54" i="1"/>
  <c r="JV54" i="1"/>
  <c r="JU54" i="1"/>
  <c r="AW59" i="13"/>
  <c r="AV59" i="13"/>
  <c r="C54" i="1"/>
  <c r="D54" i="1"/>
  <c r="G54" i="1"/>
  <c r="H54" i="1"/>
  <c r="I54" i="1"/>
  <c r="KN54" i="1"/>
  <c r="KG54" i="1"/>
  <c r="KH54" i="1"/>
  <c r="KI54" i="1"/>
  <c r="KJ54" i="1"/>
  <c r="KK54" i="1"/>
  <c r="KL54" i="1"/>
  <c r="KM54" i="1"/>
  <c r="KQ54" i="1"/>
  <c r="AJ163" i="5"/>
  <c r="AJ161" i="5"/>
  <c r="D163" i="5"/>
  <c r="H163" i="5"/>
  <c r="K163" i="5"/>
  <c r="AB163" i="5"/>
  <c r="AC163" i="5"/>
  <c r="AD163" i="5"/>
  <c r="AE163" i="5"/>
  <c r="D162" i="5"/>
  <c r="H162" i="5"/>
  <c r="K162" i="5"/>
  <c r="AB162" i="5"/>
  <c r="AC162" i="5"/>
  <c r="AD162" i="5"/>
  <c r="AE162" i="5"/>
  <c r="D161" i="5"/>
  <c r="H161" i="5"/>
  <c r="K161" i="5"/>
  <c r="AB161" i="5"/>
  <c r="AC161" i="5"/>
  <c r="AD161" i="5"/>
  <c r="AE161" i="5"/>
  <c r="KN53" i="1"/>
  <c r="KD53" i="1"/>
  <c r="KB53" i="1"/>
  <c r="JZ53" i="1"/>
  <c r="JX53" i="1"/>
  <c r="JV53" i="1"/>
  <c r="KC53" i="1"/>
  <c r="KA53" i="1"/>
  <c r="JY53" i="1"/>
  <c r="JW53" i="1"/>
  <c r="JU53" i="1"/>
  <c r="C603" i="18" l="1"/>
  <c r="D603" i="18"/>
  <c r="G603" i="18"/>
  <c r="H603" i="18" s="1"/>
  <c r="B604" i="18"/>
  <c r="KF54" i="1"/>
  <c r="AH166" i="5"/>
  <c r="AH165" i="5"/>
  <c r="AH164" i="5"/>
  <c r="KE54" i="1"/>
  <c r="AH163" i="5"/>
  <c r="AH162" i="5"/>
  <c r="AH161" i="5"/>
  <c r="C604" i="18" l="1"/>
  <c r="D604" i="18"/>
  <c r="G604" i="18"/>
  <c r="H604" i="18" s="1"/>
  <c r="B605" i="18"/>
  <c r="KC52" i="1"/>
  <c r="KD52" i="1"/>
  <c r="KB52" i="1"/>
  <c r="JZ52" i="1"/>
  <c r="JX52" i="1"/>
  <c r="JV52" i="1"/>
  <c r="AJ160" i="5"/>
  <c r="AE160" i="5"/>
  <c r="AH160" i="5" s="1"/>
  <c r="AD160" i="5"/>
  <c r="AC160" i="5"/>
  <c r="AB160" i="5"/>
  <c r="K160" i="5"/>
  <c r="H160" i="5"/>
  <c r="D160" i="5"/>
  <c r="KG52" i="1"/>
  <c r="KA52" i="1"/>
  <c r="JY52" i="1"/>
  <c r="JW52" i="1"/>
  <c r="JU52" i="1"/>
  <c r="C605" i="18" l="1"/>
  <c r="D605" i="18"/>
  <c r="B606" i="18"/>
  <c r="G605" i="18"/>
  <c r="H605" i="18" s="1"/>
  <c r="KF52" i="1"/>
  <c r="KD51" i="1"/>
  <c r="D159" i="5"/>
  <c r="H159" i="5"/>
  <c r="K159" i="5"/>
  <c r="AB159" i="5"/>
  <c r="AC159" i="5"/>
  <c r="AD159" i="5"/>
  <c r="AE159" i="5"/>
  <c r="AH159" i="5" s="1"/>
  <c r="AJ159" i="5"/>
  <c r="D158" i="5"/>
  <c r="H158" i="5"/>
  <c r="K158" i="5"/>
  <c r="AJ158" i="5"/>
  <c r="AB158" i="5"/>
  <c r="AC158" i="5"/>
  <c r="AD158" i="5"/>
  <c r="AE158" i="5"/>
  <c r="D157" i="5"/>
  <c r="H157" i="5"/>
  <c r="K157" i="5"/>
  <c r="AJ157" i="5"/>
  <c r="AB157" i="5"/>
  <c r="AC157" i="5"/>
  <c r="AD157" i="5"/>
  <c r="AE157" i="5"/>
  <c r="D156" i="5"/>
  <c r="H156" i="5"/>
  <c r="K156" i="5"/>
  <c r="AJ156" i="5"/>
  <c r="AB156" i="5"/>
  <c r="AC156" i="5"/>
  <c r="AD156" i="5"/>
  <c r="AE156" i="5"/>
  <c r="JU51" i="1"/>
  <c r="JV51" i="1"/>
  <c r="JW51" i="1"/>
  <c r="JX51" i="1"/>
  <c r="JY51" i="1"/>
  <c r="JZ51" i="1"/>
  <c r="KA51" i="1"/>
  <c r="KB51" i="1"/>
  <c r="KC51" i="1"/>
  <c r="B607" i="18" l="1"/>
  <c r="C606" i="18"/>
  <c r="D606" i="18"/>
  <c r="G606" i="18"/>
  <c r="H606" i="18" s="1"/>
  <c r="KF51" i="1"/>
  <c r="T158" i="5"/>
  <c r="AH158" i="5" s="1"/>
  <c r="T156" i="5"/>
  <c r="AH156" i="5" s="1"/>
  <c r="T157" i="5"/>
  <c r="AH157" i="5" s="1"/>
  <c r="C607" i="18" l="1"/>
  <c r="D607" i="18"/>
  <c r="G607" i="18"/>
  <c r="H607" i="18" s="1"/>
  <c r="B608" i="18"/>
  <c r="AJ154" i="5"/>
  <c r="AJ155" i="5"/>
  <c r="D155" i="5"/>
  <c r="H155" i="5"/>
  <c r="K155" i="5"/>
  <c r="T155" i="5"/>
  <c r="AB155" i="5"/>
  <c r="AC155" i="5"/>
  <c r="AD155" i="5"/>
  <c r="AE155" i="5"/>
  <c r="KD50" i="1"/>
  <c r="KC50" i="1"/>
  <c r="KB50" i="1"/>
  <c r="KA50" i="1"/>
  <c r="JZ50" i="1"/>
  <c r="JY50" i="1"/>
  <c r="JX50" i="1"/>
  <c r="JW50" i="1"/>
  <c r="JV50" i="1"/>
  <c r="JU50" i="1"/>
  <c r="C608" i="18" l="1"/>
  <c r="D608" i="18"/>
  <c r="G608" i="18"/>
  <c r="H608" i="18" s="1"/>
  <c r="B609" i="18"/>
  <c r="AH155" i="5"/>
  <c r="AJ147" i="5"/>
  <c r="AJ148" i="5"/>
  <c r="AJ149" i="5"/>
  <c r="AJ150" i="5"/>
  <c r="AJ151" i="5"/>
  <c r="AJ152" i="5"/>
  <c r="AJ153" i="5"/>
  <c r="JU49" i="1"/>
  <c r="JV49" i="1"/>
  <c r="JW49" i="1"/>
  <c r="JX49" i="1"/>
  <c r="JY49" i="1"/>
  <c r="JZ49" i="1"/>
  <c r="KA49" i="1"/>
  <c r="KB49" i="1"/>
  <c r="KC49" i="1"/>
  <c r="KD49" i="1"/>
  <c r="KG49" i="1"/>
  <c r="KH49" i="1"/>
  <c r="KI49" i="1"/>
  <c r="KJ49" i="1"/>
  <c r="KK49" i="1"/>
  <c r="KL49" i="1"/>
  <c r="KM49" i="1"/>
  <c r="KN49" i="1"/>
  <c r="D148" i="5"/>
  <c r="D149" i="5"/>
  <c r="D150" i="5"/>
  <c r="D151" i="5"/>
  <c r="D152" i="5"/>
  <c r="D153" i="5"/>
  <c r="D154" i="5"/>
  <c r="H148" i="5"/>
  <c r="H149" i="5"/>
  <c r="H150" i="5"/>
  <c r="H151" i="5"/>
  <c r="H152" i="5"/>
  <c r="H153" i="5"/>
  <c r="H154" i="5"/>
  <c r="K148" i="5"/>
  <c r="K149" i="5"/>
  <c r="K150" i="5"/>
  <c r="K151" i="5"/>
  <c r="K152" i="5"/>
  <c r="K153" i="5"/>
  <c r="K154" i="5"/>
  <c r="AB148" i="5"/>
  <c r="AB149" i="5"/>
  <c r="AB150" i="5"/>
  <c r="AB151" i="5"/>
  <c r="AB152" i="5"/>
  <c r="AB153" i="5"/>
  <c r="AB154" i="5"/>
  <c r="AC148" i="5"/>
  <c r="AC149" i="5"/>
  <c r="AC150" i="5"/>
  <c r="AC151" i="5"/>
  <c r="AC152" i="5"/>
  <c r="AC153" i="5"/>
  <c r="AC154" i="5"/>
  <c r="AD148" i="5"/>
  <c r="AD149" i="5"/>
  <c r="AD150" i="5"/>
  <c r="AD151" i="5"/>
  <c r="AD152" i="5"/>
  <c r="AD153" i="5"/>
  <c r="AD154" i="5"/>
  <c r="AE148" i="5"/>
  <c r="AE149" i="5"/>
  <c r="AE150" i="5"/>
  <c r="AE151" i="5"/>
  <c r="AH151" i="5" s="1"/>
  <c r="AE152" i="5"/>
  <c r="AH152" i="5" s="1"/>
  <c r="AE153" i="5"/>
  <c r="AH153" i="5" s="1"/>
  <c r="AE154" i="5"/>
  <c r="AH154" i="5" s="1"/>
  <c r="C609" i="18" l="1"/>
  <c r="D609" i="18"/>
  <c r="B610" i="18"/>
  <c r="G609" i="18"/>
  <c r="H609" i="18" s="1"/>
  <c r="KF49" i="1"/>
  <c r="KE49" i="1"/>
  <c r="AH150" i="5"/>
  <c r="AH149" i="5"/>
  <c r="AH148" i="5"/>
  <c r="B611" i="18" l="1"/>
  <c r="C610" i="18"/>
  <c r="G610" i="18"/>
  <c r="H610" i="18" s="1"/>
  <c r="D610" i="18"/>
  <c r="AJ144" i="5"/>
  <c r="AJ145" i="5"/>
  <c r="AJ146" i="5"/>
  <c r="D147" i="5"/>
  <c r="H147" i="5"/>
  <c r="K147" i="5"/>
  <c r="AB147" i="5"/>
  <c r="AC147" i="5"/>
  <c r="AD147" i="5"/>
  <c r="AE147" i="5"/>
  <c r="D144" i="5"/>
  <c r="D145" i="5"/>
  <c r="D146" i="5"/>
  <c r="H144" i="5"/>
  <c r="H145" i="5"/>
  <c r="H146" i="5"/>
  <c r="K144" i="5"/>
  <c r="K145" i="5"/>
  <c r="K146" i="5"/>
  <c r="AB144" i="5"/>
  <c r="AB145" i="5"/>
  <c r="AB146" i="5"/>
  <c r="AC144" i="5"/>
  <c r="AC145" i="5"/>
  <c r="AC146" i="5"/>
  <c r="AD144" i="5"/>
  <c r="AD145" i="5"/>
  <c r="AD146" i="5"/>
  <c r="AE144" i="5"/>
  <c r="AE145" i="5"/>
  <c r="AE146" i="5"/>
  <c r="C611" i="18" l="1"/>
  <c r="D611" i="18"/>
  <c r="G611" i="18"/>
  <c r="H611" i="18" s="1"/>
  <c r="B612" i="18"/>
  <c r="AH146" i="5"/>
  <c r="AH145" i="5"/>
  <c r="AH144" i="5"/>
  <c r="AH147" i="5"/>
  <c r="C612" i="18" l="1"/>
  <c r="D612" i="18"/>
  <c r="G612" i="18"/>
  <c r="H612" i="18" s="1"/>
  <c r="B613" i="18"/>
  <c r="JW47" i="1"/>
  <c r="JV47" i="1"/>
  <c r="JV48" i="1"/>
  <c r="AJ136" i="5"/>
  <c r="AJ137" i="5"/>
  <c r="AJ138" i="5"/>
  <c r="AJ139" i="5"/>
  <c r="AJ140" i="5"/>
  <c r="AJ141" i="5"/>
  <c r="AJ142" i="5"/>
  <c r="AJ143" i="5"/>
  <c r="AJ135" i="5"/>
  <c r="C613" i="18" l="1"/>
  <c r="B614" i="18"/>
  <c r="D613" i="18"/>
  <c r="G613" i="18"/>
  <c r="H613" i="18" s="1"/>
  <c r="D140" i="5"/>
  <c r="D141" i="5"/>
  <c r="D142" i="5"/>
  <c r="D143" i="5"/>
  <c r="H140" i="5"/>
  <c r="H141" i="5"/>
  <c r="H142" i="5"/>
  <c r="H143" i="5"/>
  <c r="K140" i="5"/>
  <c r="K141" i="5"/>
  <c r="K142" i="5"/>
  <c r="K143" i="5"/>
  <c r="T143" i="5"/>
  <c r="AB140" i="5"/>
  <c r="AB141" i="5"/>
  <c r="AB142" i="5"/>
  <c r="AB143" i="5"/>
  <c r="AC140" i="5"/>
  <c r="AC141" i="5"/>
  <c r="AC142" i="5"/>
  <c r="AC143" i="5"/>
  <c r="AD140" i="5"/>
  <c r="AD141" i="5"/>
  <c r="AD142" i="5"/>
  <c r="AD143" i="5"/>
  <c r="AE140" i="5"/>
  <c r="AH140" i="5" s="1"/>
  <c r="AE141" i="5"/>
  <c r="AH141" i="5" s="1"/>
  <c r="AE142" i="5"/>
  <c r="AH142" i="5" s="1"/>
  <c r="AE143" i="5"/>
  <c r="B615" i="18" l="1"/>
  <c r="G614" i="18"/>
  <c r="H614" i="18" s="1"/>
  <c r="C614" i="18"/>
  <c r="D614" i="18"/>
  <c r="D135" i="5"/>
  <c r="D136" i="5"/>
  <c r="D137" i="5"/>
  <c r="D138" i="5"/>
  <c r="D139" i="5"/>
  <c r="H135" i="5"/>
  <c r="H136" i="5"/>
  <c r="H137" i="5"/>
  <c r="H138" i="5"/>
  <c r="H139" i="5"/>
  <c r="K135" i="5"/>
  <c r="K136" i="5"/>
  <c r="K137" i="5"/>
  <c r="K138" i="5"/>
  <c r="K139" i="5"/>
  <c r="AB135" i="5"/>
  <c r="AB136" i="5"/>
  <c r="AB137" i="5"/>
  <c r="AB138" i="5"/>
  <c r="AB139" i="5"/>
  <c r="AC135" i="5"/>
  <c r="AC136" i="5"/>
  <c r="AC137" i="5"/>
  <c r="AC138" i="5"/>
  <c r="AC139" i="5"/>
  <c r="AD135" i="5"/>
  <c r="AD136" i="5"/>
  <c r="AD137" i="5"/>
  <c r="AD138" i="5"/>
  <c r="AD139" i="5"/>
  <c r="AE135" i="5"/>
  <c r="AE136" i="5"/>
  <c r="AH136" i="5" s="1"/>
  <c r="AE137" i="5"/>
  <c r="AH137" i="5" s="1"/>
  <c r="AE138" i="5"/>
  <c r="AH138" i="5" s="1"/>
  <c r="AE139" i="5"/>
  <c r="AH139" i="5" s="1"/>
  <c r="AJ126" i="5"/>
  <c r="AJ127" i="5"/>
  <c r="AJ128" i="5"/>
  <c r="AJ129" i="5"/>
  <c r="AJ130" i="5"/>
  <c r="AJ131" i="5"/>
  <c r="AJ132" i="5"/>
  <c r="AJ133" i="5"/>
  <c r="AJ134" i="5"/>
  <c r="D134" i="5"/>
  <c r="H134" i="5"/>
  <c r="K134" i="5"/>
  <c r="AB134" i="5"/>
  <c r="AC134" i="5"/>
  <c r="AD134" i="5"/>
  <c r="AE134" i="5"/>
  <c r="D129" i="5"/>
  <c r="D130" i="5"/>
  <c r="D131" i="5"/>
  <c r="D132" i="5"/>
  <c r="D133" i="5"/>
  <c r="H129" i="5"/>
  <c r="H130" i="5"/>
  <c r="H131" i="5"/>
  <c r="H132" i="5"/>
  <c r="H133" i="5"/>
  <c r="K129" i="5"/>
  <c r="K130" i="5"/>
  <c r="K131" i="5"/>
  <c r="K132" i="5"/>
  <c r="K133" i="5"/>
  <c r="AB129" i="5"/>
  <c r="AB130" i="5"/>
  <c r="AB131" i="5"/>
  <c r="AB132" i="5"/>
  <c r="AB133" i="5"/>
  <c r="AC129" i="5"/>
  <c r="AC130" i="5"/>
  <c r="AC131" i="5"/>
  <c r="AC132" i="5"/>
  <c r="AC133" i="5"/>
  <c r="AD129" i="5"/>
  <c r="AD130" i="5"/>
  <c r="AD131" i="5"/>
  <c r="AD132" i="5"/>
  <c r="AD133" i="5"/>
  <c r="AE129" i="5"/>
  <c r="AE130" i="5"/>
  <c r="AH130" i="5" s="1"/>
  <c r="AE131" i="5"/>
  <c r="AE132" i="5"/>
  <c r="AE133" i="5"/>
  <c r="D126" i="5"/>
  <c r="D127" i="5"/>
  <c r="D128" i="5"/>
  <c r="H126" i="5"/>
  <c r="H127" i="5"/>
  <c r="H128" i="5"/>
  <c r="K126" i="5"/>
  <c r="K127" i="5"/>
  <c r="K128" i="5"/>
  <c r="AB126" i="5"/>
  <c r="AB127" i="5"/>
  <c r="AB128" i="5"/>
  <c r="AC126" i="5"/>
  <c r="AC127" i="5"/>
  <c r="AC128" i="5"/>
  <c r="AD126" i="5"/>
  <c r="AD127" i="5"/>
  <c r="AD128" i="5"/>
  <c r="AE126" i="5"/>
  <c r="AE127" i="5"/>
  <c r="AE128" i="5"/>
  <c r="JU46" i="1"/>
  <c r="JV46" i="1"/>
  <c r="JW46" i="1"/>
  <c r="JX46" i="1"/>
  <c r="JY46" i="1"/>
  <c r="JZ46" i="1"/>
  <c r="KA46" i="1"/>
  <c r="KB46" i="1"/>
  <c r="KC46" i="1"/>
  <c r="KD46" i="1"/>
  <c r="KG46" i="1"/>
  <c r="C615" i="18" l="1"/>
  <c r="D615" i="18"/>
  <c r="G615" i="18"/>
  <c r="H615" i="18" s="1"/>
  <c r="B616" i="18"/>
  <c r="KF46" i="1"/>
  <c r="KE46" i="1"/>
  <c r="AH132" i="5"/>
  <c r="AH134" i="5"/>
  <c r="AH133" i="5"/>
  <c r="T131" i="5"/>
  <c r="AH129" i="5"/>
  <c r="AH127" i="5"/>
  <c r="AH126" i="5"/>
  <c r="AH128" i="5"/>
  <c r="C616" i="18" l="1"/>
  <c r="D616" i="18"/>
  <c r="G616" i="18"/>
  <c r="H616" i="18" s="1"/>
  <c r="B617" i="18"/>
  <c r="KD45" i="1"/>
  <c r="KD47" i="1"/>
  <c r="JV44" i="1"/>
  <c r="JV45" i="1"/>
  <c r="AJ121" i="5"/>
  <c r="AJ122" i="5"/>
  <c r="AJ123" i="5"/>
  <c r="AJ124" i="5"/>
  <c r="AJ125" i="5"/>
  <c r="JU45" i="1"/>
  <c r="JW45" i="1"/>
  <c r="JX45" i="1"/>
  <c r="JY45" i="1"/>
  <c r="JZ45" i="1"/>
  <c r="KA45" i="1"/>
  <c r="KB45" i="1"/>
  <c r="KC45" i="1"/>
  <c r="KG45" i="1"/>
  <c r="JU47" i="1"/>
  <c r="JX47" i="1"/>
  <c r="JY47" i="1"/>
  <c r="JZ47" i="1"/>
  <c r="KA47" i="1"/>
  <c r="KB47" i="1"/>
  <c r="KC47" i="1"/>
  <c r="KG47" i="1"/>
  <c r="JU48" i="1"/>
  <c r="JW48" i="1"/>
  <c r="JX48" i="1"/>
  <c r="JY48" i="1"/>
  <c r="JZ48" i="1"/>
  <c r="KA48" i="1"/>
  <c r="KB48" i="1"/>
  <c r="KC48" i="1"/>
  <c r="KD48" i="1"/>
  <c r="KG48" i="1"/>
  <c r="C617" i="18" l="1"/>
  <c r="G617" i="18"/>
  <c r="H617" i="18" s="1"/>
  <c r="B618" i="18"/>
  <c r="D617" i="18"/>
  <c r="KF48" i="1"/>
  <c r="KF47" i="1"/>
  <c r="KE45" i="1"/>
  <c r="KE48" i="1"/>
  <c r="KE47" i="1"/>
  <c r="KF45" i="1"/>
  <c r="D125" i="5"/>
  <c r="H125" i="5"/>
  <c r="K125" i="5"/>
  <c r="AB125" i="5"/>
  <c r="AC125" i="5"/>
  <c r="AD125" i="5"/>
  <c r="AE125" i="5"/>
  <c r="D124" i="5"/>
  <c r="H124" i="5"/>
  <c r="K124" i="5"/>
  <c r="AB124" i="5"/>
  <c r="AC124" i="5"/>
  <c r="AD124" i="5"/>
  <c r="AE124" i="5"/>
  <c r="D121" i="5"/>
  <c r="D122" i="5"/>
  <c r="D123" i="5"/>
  <c r="H121" i="5"/>
  <c r="H122" i="5"/>
  <c r="H123" i="5"/>
  <c r="K121" i="5"/>
  <c r="K122" i="5"/>
  <c r="K123" i="5"/>
  <c r="AB121" i="5"/>
  <c r="AB122" i="5"/>
  <c r="AB123" i="5"/>
  <c r="AC121" i="5"/>
  <c r="AC122" i="5"/>
  <c r="AC123" i="5"/>
  <c r="AD121" i="5"/>
  <c r="AD122" i="5"/>
  <c r="AD123" i="5"/>
  <c r="AE121" i="5"/>
  <c r="AE122" i="5"/>
  <c r="AE123" i="5"/>
  <c r="AJ117" i="5"/>
  <c r="AJ118" i="5"/>
  <c r="AJ119" i="5"/>
  <c r="AJ120" i="5"/>
  <c r="AB120" i="5"/>
  <c r="AC120" i="5"/>
  <c r="AD120" i="5"/>
  <c r="AE120" i="5"/>
  <c r="D117" i="5"/>
  <c r="D118" i="5"/>
  <c r="D119" i="5"/>
  <c r="D120" i="5"/>
  <c r="H120" i="5"/>
  <c r="K120" i="5"/>
  <c r="H119" i="5"/>
  <c r="K119" i="5"/>
  <c r="AB119" i="5"/>
  <c r="AC119" i="5"/>
  <c r="AD119" i="5"/>
  <c r="AE119" i="5"/>
  <c r="H118" i="5"/>
  <c r="K118" i="5"/>
  <c r="AB118" i="5"/>
  <c r="AC118" i="5"/>
  <c r="AD118" i="5"/>
  <c r="AE118" i="5"/>
  <c r="H117" i="5"/>
  <c r="K117" i="5"/>
  <c r="AB117" i="5"/>
  <c r="AC117" i="5"/>
  <c r="AD117" i="5"/>
  <c r="AE117" i="5"/>
  <c r="AJ105" i="5"/>
  <c r="AJ106" i="5"/>
  <c r="AJ107" i="5"/>
  <c r="AJ108" i="5"/>
  <c r="AJ109" i="5"/>
  <c r="AJ110" i="5"/>
  <c r="AJ111" i="5"/>
  <c r="AJ112" i="5"/>
  <c r="AJ113" i="5"/>
  <c r="AJ114" i="5"/>
  <c r="AJ115" i="5"/>
  <c r="AJ116" i="5"/>
  <c r="JZ44" i="1"/>
  <c r="JU44" i="1"/>
  <c r="JW44" i="1"/>
  <c r="JX44" i="1"/>
  <c r="JY44" i="1"/>
  <c r="KA44" i="1"/>
  <c r="KB44" i="1"/>
  <c r="KC44" i="1"/>
  <c r="KD44" i="1"/>
  <c r="KG44" i="1"/>
  <c r="D114" i="5"/>
  <c r="D115" i="5"/>
  <c r="D116" i="5"/>
  <c r="H114" i="5"/>
  <c r="H115" i="5"/>
  <c r="H116" i="5"/>
  <c r="K114" i="5"/>
  <c r="K115" i="5"/>
  <c r="K116" i="5"/>
  <c r="AB114" i="5"/>
  <c r="AB115" i="5"/>
  <c r="AB116" i="5"/>
  <c r="AC114" i="5"/>
  <c r="AC115" i="5"/>
  <c r="AC116" i="5"/>
  <c r="AD114" i="5"/>
  <c r="AD115" i="5"/>
  <c r="AD116" i="5"/>
  <c r="AE114" i="5"/>
  <c r="AE115" i="5"/>
  <c r="AE116" i="5"/>
  <c r="KC43" i="1"/>
  <c r="JU43" i="1"/>
  <c r="JV43" i="1"/>
  <c r="JW43" i="1"/>
  <c r="JX43" i="1"/>
  <c r="JY43" i="1"/>
  <c r="JZ43" i="1"/>
  <c r="KA43" i="1"/>
  <c r="KB43" i="1"/>
  <c r="KD43" i="1"/>
  <c r="KG43" i="1"/>
  <c r="KH43" i="1"/>
  <c r="KI43" i="1"/>
  <c r="KJ43" i="1"/>
  <c r="KK43" i="1"/>
  <c r="KL43" i="1"/>
  <c r="KM43" i="1"/>
  <c r="KN43" i="1"/>
  <c r="B619" i="18" l="1"/>
  <c r="G618" i="18"/>
  <c r="H618" i="18" s="1"/>
  <c r="D618" i="18"/>
  <c r="C618" i="18"/>
  <c r="KE44" i="1"/>
  <c r="KF43" i="1"/>
  <c r="KE43" i="1"/>
  <c r="KF44" i="1"/>
  <c r="AH125" i="5"/>
  <c r="AH123" i="5"/>
  <c r="AH122" i="5"/>
  <c r="AH124" i="5"/>
  <c r="AH121" i="5"/>
  <c r="AH120" i="5"/>
  <c r="AR2" i="22"/>
  <c r="A5" i="5"/>
  <c r="A6" i="5" s="1"/>
  <c r="A7" i="5" s="1"/>
  <c r="A8" i="5" s="1"/>
  <c r="A9" i="5" s="1"/>
  <c r="A10" i="5" s="1"/>
  <c r="A11" i="5" s="1"/>
  <c r="A12" i="5" s="1"/>
  <c r="A13" i="5" s="1"/>
  <c r="A14" i="5" s="1"/>
  <c r="A15" i="5" s="1"/>
  <c r="A16" i="5" s="1"/>
  <c r="A17" i="5" s="1"/>
  <c r="A18" i="5" s="1"/>
  <c r="A19" i="5" s="1"/>
  <c r="A20" i="5" s="1"/>
  <c r="A21" i="5" s="1"/>
  <c r="A22" i="5" s="1"/>
  <c r="A23" i="5" s="1"/>
  <c r="AJ104" i="5"/>
  <c r="D104" i="5"/>
  <c r="H104" i="5"/>
  <c r="K104" i="5"/>
  <c r="AB104" i="5"/>
  <c r="AC104" i="5"/>
  <c r="AD104" i="5"/>
  <c r="AE104" i="5"/>
  <c r="AB103" i="5"/>
  <c r="AJ101" i="5"/>
  <c r="AJ102" i="5"/>
  <c r="AJ103" i="5"/>
  <c r="D103" i="5"/>
  <c r="H103" i="5"/>
  <c r="K103" i="5"/>
  <c r="AC103" i="5"/>
  <c r="AD103" i="5"/>
  <c r="AE103" i="5"/>
  <c r="AJ97" i="5"/>
  <c r="AJ98" i="5"/>
  <c r="AJ99" i="5"/>
  <c r="AJ100" i="5"/>
  <c r="AJ96" i="5"/>
  <c r="AJ95" i="5"/>
  <c r="AJ94" i="5"/>
  <c r="AJ92" i="5"/>
  <c r="AJ93" i="5"/>
  <c r="D93" i="5"/>
  <c r="D94" i="5"/>
  <c r="D95" i="5"/>
  <c r="D96" i="5"/>
  <c r="D97" i="5"/>
  <c r="D98" i="5"/>
  <c r="D99" i="5"/>
  <c r="D100" i="5"/>
  <c r="D101" i="5"/>
  <c r="D102" i="5"/>
  <c r="H93" i="5"/>
  <c r="H94" i="5"/>
  <c r="H95" i="5"/>
  <c r="H96" i="5"/>
  <c r="H97" i="5"/>
  <c r="H98" i="5"/>
  <c r="H99" i="5"/>
  <c r="H100" i="5"/>
  <c r="H101" i="5"/>
  <c r="H102" i="5"/>
  <c r="K93" i="5"/>
  <c r="K94" i="5"/>
  <c r="K95" i="5"/>
  <c r="K96" i="5"/>
  <c r="K97" i="5"/>
  <c r="K98" i="5"/>
  <c r="K99" i="5"/>
  <c r="K100" i="5"/>
  <c r="K101" i="5"/>
  <c r="K102" i="5"/>
  <c r="AB93" i="5"/>
  <c r="AB94" i="5"/>
  <c r="AB95" i="5"/>
  <c r="AB96" i="5"/>
  <c r="AB97" i="5"/>
  <c r="AB98" i="5"/>
  <c r="AB99" i="5"/>
  <c r="AB100" i="5"/>
  <c r="AB101" i="5"/>
  <c r="AB102" i="5"/>
  <c r="AC93" i="5"/>
  <c r="AC94" i="5"/>
  <c r="AC95" i="5"/>
  <c r="AC96" i="5"/>
  <c r="AC97" i="5"/>
  <c r="AC98" i="5"/>
  <c r="AC99" i="5"/>
  <c r="AC100" i="5"/>
  <c r="AC101" i="5"/>
  <c r="AC102" i="5"/>
  <c r="AD93" i="5"/>
  <c r="AD94" i="5"/>
  <c r="AD95" i="5"/>
  <c r="AD96" i="5"/>
  <c r="AD97" i="5"/>
  <c r="AD98" i="5"/>
  <c r="AD99" i="5"/>
  <c r="AD100" i="5"/>
  <c r="AD101" i="5"/>
  <c r="AD102" i="5"/>
  <c r="AE93" i="5"/>
  <c r="AE94" i="5"/>
  <c r="AE95" i="5"/>
  <c r="AE96" i="5"/>
  <c r="AE97" i="5"/>
  <c r="AE98" i="5"/>
  <c r="AE99" i="5"/>
  <c r="AE100" i="5"/>
  <c r="AE101" i="5"/>
  <c r="AE102" i="5"/>
  <c r="D92" i="5"/>
  <c r="H92" i="5"/>
  <c r="K92" i="5"/>
  <c r="AB92" i="5"/>
  <c r="AC92" i="5"/>
  <c r="AD92" i="5"/>
  <c r="AE92" i="5"/>
  <c r="JU42" i="1"/>
  <c r="JV42" i="1"/>
  <c r="JW42" i="1"/>
  <c r="JX42" i="1"/>
  <c r="JY42" i="1"/>
  <c r="JZ42" i="1"/>
  <c r="KA42" i="1"/>
  <c r="KB42" i="1"/>
  <c r="KC42" i="1"/>
  <c r="KD42" i="1"/>
  <c r="C42" i="1"/>
  <c r="C43" i="1"/>
  <c r="C44" i="1"/>
  <c r="C45" i="1"/>
  <c r="C46" i="1"/>
  <c r="C47" i="1"/>
  <c r="C48" i="1"/>
  <c r="C49" i="1"/>
  <c r="C50" i="1"/>
  <c r="C51" i="1"/>
  <c r="C52" i="1"/>
  <c r="C53" i="1"/>
  <c r="D42" i="1"/>
  <c r="D43" i="1"/>
  <c r="D44" i="1"/>
  <c r="D45" i="1"/>
  <c r="D46" i="1"/>
  <c r="D47" i="1"/>
  <c r="D48" i="1"/>
  <c r="D49" i="1"/>
  <c r="D50" i="1"/>
  <c r="D51" i="1"/>
  <c r="D53" i="1"/>
  <c r="G42" i="1"/>
  <c r="G43" i="1"/>
  <c r="G44" i="1"/>
  <c r="G45" i="1"/>
  <c r="G46" i="1"/>
  <c r="G47" i="1"/>
  <c r="G48" i="1"/>
  <c r="G49" i="1"/>
  <c r="G50" i="1"/>
  <c r="G51" i="1"/>
  <c r="G52" i="1"/>
  <c r="G53" i="1"/>
  <c r="H42" i="1"/>
  <c r="H43" i="1"/>
  <c r="H44" i="1"/>
  <c r="H45" i="1"/>
  <c r="H46" i="1"/>
  <c r="H47" i="1"/>
  <c r="H48" i="1"/>
  <c r="H49" i="1"/>
  <c r="H50" i="1"/>
  <c r="H51" i="1"/>
  <c r="H52" i="1"/>
  <c r="H53" i="1"/>
  <c r="I42" i="1"/>
  <c r="I43" i="1"/>
  <c r="I44" i="1"/>
  <c r="I45" i="1"/>
  <c r="I46" i="1"/>
  <c r="I47" i="1"/>
  <c r="I48" i="1"/>
  <c r="I49" i="1"/>
  <c r="I50" i="1"/>
  <c r="I51" i="1"/>
  <c r="I52" i="1"/>
  <c r="I53" i="1"/>
  <c r="KE50" i="1"/>
  <c r="KE51" i="1"/>
  <c r="KE52" i="1"/>
  <c r="KE53" i="1"/>
  <c r="KF50" i="1"/>
  <c r="KF53" i="1"/>
  <c r="KG42" i="1"/>
  <c r="KG50" i="1"/>
  <c r="KG51" i="1"/>
  <c r="KG53" i="1"/>
  <c r="KH42" i="1"/>
  <c r="KH44" i="1"/>
  <c r="KH45" i="1"/>
  <c r="KH46" i="1"/>
  <c r="KH47" i="1"/>
  <c r="KH48" i="1"/>
  <c r="KH50" i="1"/>
  <c r="KH51" i="1"/>
  <c r="KH52" i="1"/>
  <c r="KH53" i="1"/>
  <c r="KI42" i="1"/>
  <c r="KI44" i="1"/>
  <c r="KI45" i="1"/>
  <c r="KI46" i="1"/>
  <c r="KI47" i="1"/>
  <c r="KI48" i="1"/>
  <c r="KI50" i="1"/>
  <c r="KI51" i="1"/>
  <c r="KI52" i="1"/>
  <c r="KI53" i="1"/>
  <c r="KJ42" i="1"/>
  <c r="KJ44" i="1"/>
  <c r="KJ45" i="1"/>
  <c r="KJ46" i="1"/>
  <c r="KJ47" i="1"/>
  <c r="KJ48" i="1"/>
  <c r="KJ50" i="1"/>
  <c r="KJ51" i="1"/>
  <c r="KJ52" i="1"/>
  <c r="KJ53" i="1"/>
  <c r="KK42" i="1"/>
  <c r="KK44" i="1"/>
  <c r="KK45" i="1"/>
  <c r="KK46" i="1"/>
  <c r="KK47" i="1"/>
  <c r="KK48" i="1"/>
  <c r="KK50" i="1"/>
  <c r="KK51" i="1"/>
  <c r="KK52" i="1"/>
  <c r="KK53" i="1"/>
  <c r="KL42" i="1"/>
  <c r="KL44" i="1"/>
  <c r="KL45" i="1"/>
  <c r="KL46" i="1"/>
  <c r="KL47" i="1"/>
  <c r="KL48" i="1"/>
  <c r="KL50" i="1"/>
  <c r="KL51" i="1"/>
  <c r="KL52" i="1"/>
  <c r="KL53" i="1"/>
  <c r="KM42" i="1"/>
  <c r="KM44" i="1"/>
  <c r="KM45" i="1"/>
  <c r="KM46" i="1"/>
  <c r="KM47" i="1"/>
  <c r="KM48" i="1"/>
  <c r="KM50" i="1"/>
  <c r="KM51" i="1"/>
  <c r="KM52" i="1"/>
  <c r="KM53" i="1"/>
  <c r="KN42" i="1"/>
  <c r="KN44" i="1"/>
  <c r="KN45" i="1"/>
  <c r="KN46" i="1"/>
  <c r="KN47" i="1"/>
  <c r="KN48" i="1"/>
  <c r="KN50" i="1"/>
  <c r="KN51" i="1"/>
  <c r="KQ42" i="1"/>
  <c r="KQ43" i="1"/>
  <c r="KQ44" i="1"/>
  <c r="KQ45" i="1"/>
  <c r="KQ46" i="1"/>
  <c r="KQ47" i="1"/>
  <c r="KQ48" i="1"/>
  <c r="KQ49" i="1"/>
  <c r="KQ50" i="1"/>
  <c r="KQ51" i="1"/>
  <c r="KQ52" i="1"/>
  <c r="KQ53" i="1"/>
  <c r="AJ82" i="5"/>
  <c r="AJ83" i="5"/>
  <c r="AJ84" i="5"/>
  <c r="AJ85" i="5"/>
  <c r="AJ86" i="5"/>
  <c r="AJ87" i="5"/>
  <c r="AJ88" i="5"/>
  <c r="AJ89" i="5"/>
  <c r="AJ90" i="5"/>
  <c r="AJ91" i="5"/>
  <c r="AB87" i="5"/>
  <c r="AB88" i="5"/>
  <c r="AB89" i="5"/>
  <c r="AB90" i="5"/>
  <c r="AB91" i="5"/>
  <c r="AC82" i="5"/>
  <c r="AC83" i="5"/>
  <c r="AC84" i="5"/>
  <c r="AC85" i="5"/>
  <c r="AC86" i="5"/>
  <c r="AC87" i="5"/>
  <c r="AC88" i="5"/>
  <c r="AC89" i="5"/>
  <c r="AC90" i="5"/>
  <c r="AC91" i="5"/>
  <c r="AE82" i="5"/>
  <c r="AE83" i="5"/>
  <c r="AE84" i="5"/>
  <c r="AE85" i="5"/>
  <c r="AE86" i="5"/>
  <c r="AE87" i="5"/>
  <c r="AE88" i="5"/>
  <c r="AE89" i="5"/>
  <c r="AE90" i="5"/>
  <c r="AE91" i="5"/>
  <c r="C619" i="18" l="1"/>
  <c r="D619" i="18"/>
  <c r="G619" i="18"/>
  <c r="H619" i="18" s="1"/>
  <c r="B620" i="18"/>
  <c r="KF42" i="1"/>
  <c r="KE42" i="1"/>
  <c r="C41" i="1"/>
  <c r="D41" i="1"/>
  <c r="G41" i="1"/>
  <c r="H41" i="1"/>
  <c r="I41" i="1"/>
  <c r="KQ41" i="1"/>
  <c r="KD41" i="1"/>
  <c r="KC41" i="1"/>
  <c r="KB41" i="1"/>
  <c r="KA41" i="1"/>
  <c r="JZ41" i="1"/>
  <c r="JY41" i="1"/>
  <c r="JX41" i="1"/>
  <c r="JW41" i="1"/>
  <c r="JV41" i="1"/>
  <c r="JU41" i="1"/>
  <c r="AJ72" i="5"/>
  <c r="AJ73" i="5"/>
  <c r="AJ74" i="5"/>
  <c r="AJ75" i="5"/>
  <c r="AJ76" i="5"/>
  <c r="AJ77" i="5"/>
  <c r="AJ78" i="5"/>
  <c r="AJ79" i="5"/>
  <c r="AJ80" i="5"/>
  <c r="AJ81" i="5"/>
  <c r="AJ71" i="5"/>
  <c r="AJ70" i="5"/>
  <c r="R70" i="5"/>
  <c r="C40" i="1"/>
  <c r="D40" i="1"/>
  <c r="G40" i="1"/>
  <c r="H40" i="1"/>
  <c r="I40" i="1"/>
  <c r="KQ40" i="1"/>
  <c r="C620" i="18" l="1"/>
  <c r="D620" i="18"/>
  <c r="G620" i="18"/>
  <c r="H620" i="18" s="1"/>
  <c r="B621" i="18"/>
  <c r="KF41" i="1"/>
  <c r="KE41" i="1"/>
  <c r="C621" i="18" l="1"/>
  <c r="D621" i="18"/>
  <c r="B622" i="18"/>
  <c r="G621" i="18"/>
  <c r="H621" i="18" s="1"/>
  <c r="KM39" i="1"/>
  <c r="KL39" i="1"/>
  <c r="KK39" i="1"/>
  <c r="KJ39" i="1"/>
  <c r="KI39" i="1"/>
  <c r="B582" i="18"/>
  <c r="G582" i="18" s="1"/>
  <c r="H582" i="18" s="1"/>
  <c r="AJ69" i="5"/>
  <c r="AJ68" i="5"/>
  <c r="AJ67" i="5"/>
  <c r="AJ66" i="5"/>
  <c r="AJ65" i="5"/>
  <c r="AJ64" i="5"/>
  <c r="D69" i="5"/>
  <c r="H69" i="5"/>
  <c r="K69" i="5"/>
  <c r="R69" i="5"/>
  <c r="T69" i="5" s="1"/>
  <c r="AB69" i="5"/>
  <c r="AC69" i="5"/>
  <c r="AD69" i="5"/>
  <c r="AE69" i="5"/>
  <c r="D68" i="5"/>
  <c r="H68" i="5"/>
  <c r="K68" i="5"/>
  <c r="R68" i="5"/>
  <c r="T68" i="5" s="1"/>
  <c r="AB68" i="5"/>
  <c r="AC68" i="5"/>
  <c r="AD68" i="5"/>
  <c r="AE68" i="5"/>
  <c r="D67" i="5"/>
  <c r="H67" i="5"/>
  <c r="K67" i="5"/>
  <c r="R67" i="5"/>
  <c r="T67" i="5" s="1"/>
  <c r="AB67" i="5"/>
  <c r="AC67" i="5"/>
  <c r="AD67" i="5"/>
  <c r="AE67" i="5"/>
  <c r="D66" i="5"/>
  <c r="H66" i="5"/>
  <c r="K66" i="5"/>
  <c r="R66" i="5"/>
  <c r="T66" i="5" s="1"/>
  <c r="AB66" i="5"/>
  <c r="AC66" i="5"/>
  <c r="AD66" i="5"/>
  <c r="AE66" i="5"/>
  <c r="D65" i="5"/>
  <c r="H65" i="5"/>
  <c r="K65" i="5"/>
  <c r="R65" i="5"/>
  <c r="T65" i="5" s="1"/>
  <c r="AB65" i="5"/>
  <c r="AC65" i="5"/>
  <c r="AD65" i="5"/>
  <c r="AE65" i="5"/>
  <c r="KD39" i="1"/>
  <c r="KB39" i="1"/>
  <c r="JV38" i="1"/>
  <c r="JV39" i="1"/>
  <c r="JZ39" i="1"/>
  <c r="JX39" i="1"/>
  <c r="KC39" i="1"/>
  <c r="KA39" i="1"/>
  <c r="JY39" i="1"/>
  <c r="JW39" i="1"/>
  <c r="JU39" i="1"/>
  <c r="C39" i="1"/>
  <c r="D39" i="1"/>
  <c r="G39" i="1"/>
  <c r="H39" i="1"/>
  <c r="I39" i="1"/>
  <c r="KG39" i="1"/>
  <c r="KH39" i="1"/>
  <c r="KQ39" i="1"/>
  <c r="K10" i="21"/>
  <c r="M10" i="21"/>
  <c r="K11" i="21"/>
  <c r="M11" i="21"/>
  <c r="K12" i="21"/>
  <c r="M12" i="21"/>
  <c r="K13" i="21"/>
  <c r="M13" i="21"/>
  <c r="K14" i="21"/>
  <c r="M14" i="21"/>
  <c r="K15" i="21"/>
  <c r="M15" i="21"/>
  <c r="K16" i="21"/>
  <c r="M16" i="21"/>
  <c r="K17" i="21"/>
  <c r="M17" i="21"/>
  <c r="K18" i="21"/>
  <c r="M18" i="21"/>
  <c r="K19" i="21"/>
  <c r="M19" i="21"/>
  <c r="K20" i="21"/>
  <c r="M20" i="21"/>
  <c r="AJ63" i="5"/>
  <c r="AJ62" i="5"/>
  <c r="AJ61" i="5"/>
  <c r="AJ60" i="5"/>
  <c r="AJ59" i="5"/>
  <c r="D64" i="5"/>
  <c r="H64" i="5"/>
  <c r="K64" i="5"/>
  <c r="R64" i="5"/>
  <c r="T64" i="5" s="1"/>
  <c r="AB64" i="5"/>
  <c r="AC64" i="5"/>
  <c r="AD64" i="5"/>
  <c r="AE64" i="5"/>
  <c r="D63" i="5"/>
  <c r="H63" i="5"/>
  <c r="K63" i="5"/>
  <c r="R63" i="5"/>
  <c r="T63" i="5" s="1"/>
  <c r="AB63" i="5"/>
  <c r="AC63" i="5"/>
  <c r="AD63" i="5"/>
  <c r="AE63" i="5"/>
  <c r="D62" i="5"/>
  <c r="H62" i="5"/>
  <c r="K62" i="5"/>
  <c r="R62" i="5"/>
  <c r="T62" i="5" s="1"/>
  <c r="AB62" i="5"/>
  <c r="AC62" i="5"/>
  <c r="AD62" i="5"/>
  <c r="AE62" i="5"/>
  <c r="AJ58" i="5"/>
  <c r="JU38" i="1"/>
  <c r="JW38" i="1"/>
  <c r="JX38" i="1"/>
  <c r="JY38" i="1"/>
  <c r="JZ38" i="1"/>
  <c r="KA38" i="1"/>
  <c r="KB38" i="1"/>
  <c r="KC38" i="1"/>
  <c r="KD38" i="1"/>
  <c r="C38" i="1"/>
  <c r="D38" i="1"/>
  <c r="G38" i="1"/>
  <c r="H38" i="1"/>
  <c r="I38" i="1"/>
  <c r="KN38" i="1"/>
  <c r="KG38" i="1"/>
  <c r="KH38" i="1"/>
  <c r="KI38" i="1"/>
  <c r="KJ38" i="1"/>
  <c r="KK38" i="1"/>
  <c r="KL38" i="1"/>
  <c r="KM38" i="1"/>
  <c r="KQ38" i="1"/>
  <c r="B623" i="18" l="1"/>
  <c r="D622" i="18"/>
  <c r="G622" i="18"/>
  <c r="H622" i="18" s="1"/>
  <c r="C622" i="18"/>
  <c r="KF38" i="1"/>
  <c r="C582" i="18"/>
  <c r="D582" i="18"/>
  <c r="KE38" i="1"/>
  <c r="KF39" i="1"/>
  <c r="KE39" i="1"/>
  <c r="KN39" i="1"/>
  <c r="B581" i="18"/>
  <c r="C623" i="18" l="1"/>
  <c r="D623" i="18"/>
  <c r="G623" i="18"/>
  <c r="H623" i="18" s="1"/>
  <c r="B624" i="18"/>
  <c r="C581" i="18"/>
  <c r="D581" i="18"/>
  <c r="G581" i="18"/>
  <c r="H581" i="18" s="1"/>
  <c r="S579" i="19"/>
  <c r="T579" i="19"/>
  <c r="KD37" i="1"/>
  <c r="KC37" i="1"/>
  <c r="KB37" i="1"/>
  <c r="KA37" i="1"/>
  <c r="JZ37" i="1"/>
  <c r="JY37" i="1"/>
  <c r="JX37" i="1"/>
  <c r="JW37" i="1"/>
  <c r="JV37" i="1"/>
  <c r="JU37" i="1"/>
  <c r="C37" i="1"/>
  <c r="D37" i="1"/>
  <c r="G37" i="1"/>
  <c r="H37" i="1"/>
  <c r="KN37" i="1"/>
  <c r="KG37" i="1"/>
  <c r="KH37" i="1"/>
  <c r="KI37" i="1"/>
  <c r="KJ37" i="1"/>
  <c r="KK37" i="1"/>
  <c r="KL37" i="1"/>
  <c r="KM37" i="1"/>
  <c r="KQ37" i="1"/>
  <c r="KB36" i="1"/>
  <c r="JX36" i="1"/>
  <c r="AJ57" i="5"/>
  <c r="AJ56" i="5"/>
  <c r="AJ55" i="5"/>
  <c r="AJ54" i="5"/>
  <c r="AJ53" i="5"/>
  <c r="AJ52" i="5"/>
  <c r="D61" i="5"/>
  <c r="H61" i="5"/>
  <c r="K61" i="5"/>
  <c r="R61" i="5"/>
  <c r="T61" i="5" s="1"/>
  <c r="AB61" i="5"/>
  <c r="AC61" i="5"/>
  <c r="AD61" i="5"/>
  <c r="AE61" i="5"/>
  <c r="D60" i="5"/>
  <c r="H60" i="5"/>
  <c r="K60" i="5"/>
  <c r="R60" i="5"/>
  <c r="T60" i="5" s="1"/>
  <c r="AB60" i="5"/>
  <c r="AC60" i="5"/>
  <c r="AD60" i="5"/>
  <c r="AE60" i="5"/>
  <c r="D59" i="5"/>
  <c r="H59" i="5"/>
  <c r="K59" i="5"/>
  <c r="R59" i="5"/>
  <c r="T59" i="5" s="1"/>
  <c r="AB59" i="5"/>
  <c r="AC59" i="5"/>
  <c r="AD59" i="5"/>
  <c r="AE59" i="5"/>
  <c r="D58" i="5"/>
  <c r="H58" i="5"/>
  <c r="K58" i="5"/>
  <c r="R58" i="5"/>
  <c r="T58" i="5" s="1"/>
  <c r="AB58" i="5"/>
  <c r="AC58" i="5"/>
  <c r="AD58" i="5"/>
  <c r="AE58" i="5"/>
  <c r="D57" i="5"/>
  <c r="H57" i="5"/>
  <c r="K57" i="5"/>
  <c r="R57" i="5"/>
  <c r="T57" i="5" s="1"/>
  <c r="AB57" i="5"/>
  <c r="AC57" i="5"/>
  <c r="AD57" i="5"/>
  <c r="AE57" i="5"/>
  <c r="D56" i="5"/>
  <c r="H56" i="5"/>
  <c r="K56" i="5"/>
  <c r="R56" i="5"/>
  <c r="T56" i="5" s="1"/>
  <c r="AB56" i="5"/>
  <c r="AC56" i="5"/>
  <c r="AD56" i="5"/>
  <c r="AE56" i="5"/>
  <c r="D55" i="5"/>
  <c r="H55" i="5"/>
  <c r="K55" i="5"/>
  <c r="R55" i="5"/>
  <c r="T55" i="5" s="1"/>
  <c r="AB55" i="5"/>
  <c r="AC55" i="5"/>
  <c r="AD55" i="5"/>
  <c r="AE55" i="5"/>
  <c r="D54" i="5"/>
  <c r="H54" i="5"/>
  <c r="K54" i="5"/>
  <c r="R54" i="5"/>
  <c r="T54" i="5" s="1"/>
  <c r="AB54" i="5"/>
  <c r="AC54" i="5"/>
  <c r="AD54" i="5"/>
  <c r="AE54" i="5"/>
  <c r="D53" i="5"/>
  <c r="H53" i="5"/>
  <c r="K53" i="5"/>
  <c r="R53" i="5"/>
  <c r="T53" i="5" s="1"/>
  <c r="AB53" i="5"/>
  <c r="AC53" i="5"/>
  <c r="AD53" i="5"/>
  <c r="AE53" i="5"/>
  <c r="D52" i="5"/>
  <c r="H52" i="5"/>
  <c r="K52" i="5"/>
  <c r="R52" i="5"/>
  <c r="T52" i="5" s="1"/>
  <c r="AB52" i="5"/>
  <c r="AC52" i="5"/>
  <c r="AD52" i="5"/>
  <c r="AE52" i="5"/>
  <c r="KC36" i="1"/>
  <c r="P580" i="18"/>
  <c r="L580" i="18"/>
  <c r="JU36" i="1"/>
  <c r="JV36" i="1"/>
  <c r="JW36" i="1"/>
  <c r="JY36" i="1"/>
  <c r="JZ36" i="1"/>
  <c r="KA36" i="1"/>
  <c r="KD36" i="1"/>
  <c r="AJ51" i="5"/>
  <c r="AJ50" i="5"/>
  <c r="AJ49" i="5"/>
  <c r="AJ48" i="5"/>
  <c r="AE51" i="5"/>
  <c r="AD51" i="5"/>
  <c r="AC51" i="5"/>
  <c r="AB51" i="5"/>
  <c r="AD46" i="5"/>
  <c r="D51" i="5"/>
  <c r="H51" i="5"/>
  <c r="K51" i="5"/>
  <c r="R51" i="5"/>
  <c r="T51" i="5" s="1"/>
  <c r="AD47" i="5"/>
  <c r="R579" i="18"/>
  <c r="M579" i="18"/>
  <c r="L579" i="18"/>
  <c r="D50" i="5"/>
  <c r="H50" i="5"/>
  <c r="K50" i="5"/>
  <c r="R50" i="5"/>
  <c r="T50" i="5" s="1"/>
  <c r="AB50" i="5"/>
  <c r="AC50" i="5"/>
  <c r="AD50" i="5"/>
  <c r="AE50" i="5"/>
  <c r="D49" i="5"/>
  <c r="H49" i="5"/>
  <c r="K49" i="5"/>
  <c r="R49" i="5"/>
  <c r="T49" i="5" s="1"/>
  <c r="AB49" i="5"/>
  <c r="AC49" i="5"/>
  <c r="AD49" i="5"/>
  <c r="AE49" i="5"/>
  <c r="D48" i="5"/>
  <c r="H48" i="5"/>
  <c r="K48" i="5"/>
  <c r="R48" i="5"/>
  <c r="T48" i="5" s="1"/>
  <c r="AB48" i="5"/>
  <c r="AC48" i="5"/>
  <c r="AD48" i="5"/>
  <c r="AE48" i="5"/>
  <c r="KD35" i="1"/>
  <c r="KC35" i="1"/>
  <c r="KB35" i="1"/>
  <c r="KA35" i="1"/>
  <c r="JZ35" i="1"/>
  <c r="JY35" i="1"/>
  <c r="JX35" i="1"/>
  <c r="JW35" i="1"/>
  <c r="JV35" i="1"/>
  <c r="JU35" i="1"/>
  <c r="C624" i="18" l="1"/>
  <c r="D624" i="18"/>
  <c r="G624" i="18"/>
  <c r="H624" i="18" s="1"/>
  <c r="B625" i="18"/>
  <c r="KF37" i="1"/>
  <c r="KE37" i="1"/>
  <c r="C625" i="18" l="1"/>
  <c r="D625" i="18"/>
  <c r="B626" i="18"/>
  <c r="G625" i="18"/>
  <c r="H625" i="18" s="1"/>
  <c r="AJ47" i="5"/>
  <c r="D47" i="5"/>
  <c r="H47" i="5"/>
  <c r="K47" i="5"/>
  <c r="R47" i="5"/>
  <c r="T47" i="5" s="1"/>
  <c r="AB47" i="5"/>
  <c r="AC47" i="5"/>
  <c r="AE47" i="5"/>
  <c r="AJ46" i="5"/>
  <c r="AJ45" i="5"/>
  <c r="AJ44" i="5"/>
  <c r="AJ43" i="5"/>
  <c r="AJ42" i="5"/>
  <c r="AJ41" i="5"/>
  <c r="AJ40" i="5"/>
  <c r="AJ39" i="5"/>
  <c r="AJ38" i="5"/>
  <c r="AJ37" i="5"/>
  <c r="D46" i="5"/>
  <c r="H46" i="5"/>
  <c r="K46" i="5"/>
  <c r="R46" i="5"/>
  <c r="T46" i="5" s="1"/>
  <c r="AB46" i="5"/>
  <c r="AC46" i="5"/>
  <c r="AE46" i="5"/>
  <c r="D45" i="5"/>
  <c r="H45" i="5"/>
  <c r="K45" i="5"/>
  <c r="R45" i="5"/>
  <c r="T45" i="5" s="1"/>
  <c r="AB45" i="5"/>
  <c r="AC45" i="5"/>
  <c r="AD45" i="5"/>
  <c r="AE45" i="5"/>
  <c r="D44" i="5"/>
  <c r="H44" i="5"/>
  <c r="K44" i="5"/>
  <c r="R44" i="5"/>
  <c r="T44" i="5" s="1"/>
  <c r="AB44" i="5"/>
  <c r="AC44" i="5"/>
  <c r="AD44" i="5"/>
  <c r="AE44" i="5"/>
  <c r="D43" i="5"/>
  <c r="H43" i="5"/>
  <c r="K43" i="5"/>
  <c r="R43" i="5"/>
  <c r="T43" i="5" s="1"/>
  <c r="AB43" i="5"/>
  <c r="AC43" i="5"/>
  <c r="AD43" i="5"/>
  <c r="AE43" i="5"/>
  <c r="D42" i="5"/>
  <c r="H42" i="5"/>
  <c r="K42" i="5"/>
  <c r="R42" i="5"/>
  <c r="T42" i="5" s="1"/>
  <c r="AB42" i="5"/>
  <c r="AC42" i="5"/>
  <c r="AD42" i="5"/>
  <c r="AE42" i="5"/>
  <c r="R37" i="5"/>
  <c r="T37" i="5" s="1"/>
  <c r="D41" i="5"/>
  <c r="H41" i="5"/>
  <c r="K41" i="5"/>
  <c r="R41" i="5"/>
  <c r="T41" i="5" s="1"/>
  <c r="AB41" i="5"/>
  <c r="AC41" i="5"/>
  <c r="AD41" i="5"/>
  <c r="AE41" i="5"/>
  <c r="D40" i="5"/>
  <c r="H40" i="5"/>
  <c r="K40" i="5"/>
  <c r="R40" i="5"/>
  <c r="T40" i="5" s="1"/>
  <c r="AB40" i="5"/>
  <c r="AC40" i="5"/>
  <c r="AD40" i="5"/>
  <c r="AE40" i="5"/>
  <c r="D39" i="5"/>
  <c r="H39" i="5"/>
  <c r="K39" i="5"/>
  <c r="R39" i="5"/>
  <c r="T39" i="5" s="1"/>
  <c r="AB39" i="5"/>
  <c r="AC39" i="5"/>
  <c r="AD39" i="5"/>
  <c r="AE39" i="5"/>
  <c r="D38" i="5"/>
  <c r="H38" i="5"/>
  <c r="K38" i="5"/>
  <c r="R38" i="5"/>
  <c r="T38" i="5" s="1"/>
  <c r="AB38" i="5"/>
  <c r="AC38" i="5"/>
  <c r="AD38" i="5"/>
  <c r="AE38" i="5"/>
  <c r="D37" i="5"/>
  <c r="H37" i="5"/>
  <c r="K37" i="5"/>
  <c r="AB37" i="5"/>
  <c r="AC37" i="5"/>
  <c r="AD37" i="5"/>
  <c r="AE37" i="5"/>
  <c r="JU34" i="1"/>
  <c r="JV34" i="1"/>
  <c r="JW34" i="1"/>
  <c r="JX34" i="1"/>
  <c r="JY34" i="1"/>
  <c r="JZ34" i="1"/>
  <c r="KA34" i="1"/>
  <c r="KB34" i="1"/>
  <c r="KC34" i="1"/>
  <c r="KD34" i="1"/>
  <c r="C35" i="1"/>
  <c r="C36" i="1"/>
  <c r="D35" i="1"/>
  <c r="D36" i="1"/>
  <c r="G35" i="1"/>
  <c r="G36" i="1"/>
  <c r="H35" i="1"/>
  <c r="H36" i="1"/>
  <c r="I35" i="1"/>
  <c r="I36" i="1"/>
  <c r="KN36" i="1"/>
  <c r="KE35" i="1"/>
  <c r="KE36" i="1"/>
  <c r="KF35" i="1"/>
  <c r="KF36" i="1"/>
  <c r="KG35" i="1"/>
  <c r="KG36" i="1"/>
  <c r="KH35" i="1"/>
  <c r="KH36" i="1"/>
  <c r="KI35" i="1"/>
  <c r="KI36" i="1"/>
  <c r="KJ35" i="1"/>
  <c r="KJ36" i="1"/>
  <c r="KK35" i="1"/>
  <c r="KK36" i="1"/>
  <c r="KL35" i="1"/>
  <c r="KL36" i="1"/>
  <c r="KM35" i="1"/>
  <c r="KM36" i="1"/>
  <c r="KN35" i="1"/>
  <c r="KQ35" i="1"/>
  <c r="KQ36" i="1"/>
  <c r="C34" i="1"/>
  <c r="D34" i="1"/>
  <c r="G34" i="1"/>
  <c r="H34" i="1"/>
  <c r="I34" i="1"/>
  <c r="KG34" i="1"/>
  <c r="KH34" i="1"/>
  <c r="KI34" i="1"/>
  <c r="KJ34" i="1"/>
  <c r="KK34" i="1"/>
  <c r="KL34" i="1"/>
  <c r="KM34" i="1"/>
  <c r="KQ34" i="1"/>
  <c r="Q577" i="18"/>
  <c r="P577" i="18"/>
  <c r="O577" i="18"/>
  <c r="N577" i="18"/>
  <c r="M577" i="18"/>
  <c r="L577" i="18"/>
  <c r="K577" i="18"/>
  <c r="AJ36" i="5"/>
  <c r="AJ35" i="5"/>
  <c r="D36" i="5"/>
  <c r="H36" i="5"/>
  <c r="K36" i="5"/>
  <c r="R36" i="5"/>
  <c r="T36" i="5" s="1"/>
  <c r="AB36" i="5"/>
  <c r="AC36" i="5"/>
  <c r="AD36" i="5"/>
  <c r="AE36" i="5"/>
  <c r="D35" i="5"/>
  <c r="H35" i="5"/>
  <c r="K35" i="5"/>
  <c r="R35" i="5"/>
  <c r="T35" i="5" s="1"/>
  <c r="AB35" i="5"/>
  <c r="AC35" i="5"/>
  <c r="AD35" i="5"/>
  <c r="AE35" i="5"/>
  <c r="KA32" i="1"/>
  <c r="KD33" i="1"/>
  <c r="KC33" i="1"/>
  <c r="KB33" i="1"/>
  <c r="KA33" i="1"/>
  <c r="JZ33" i="1"/>
  <c r="JY33" i="1"/>
  <c r="JX33" i="1"/>
  <c r="JW33" i="1"/>
  <c r="JV33" i="1"/>
  <c r="JU33" i="1"/>
  <c r="C33" i="1"/>
  <c r="D33" i="1"/>
  <c r="G33" i="1"/>
  <c r="H33" i="1"/>
  <c r="I33" i="1"/>
  <c r="KN33" i="1"/>
  <c r="KG33" i="1"/>
  <c r="KH33" i="1"/>
  <c r="KI33" i="1"/>
  <c r="KJ33" i="1"/>
  <c r="KK33" i="1"/>
  <c r="KL33" i="1"/>
  <c r="KM33" i="1"/>
  <c r="KQ33" i="1"/>
  <c r="Q576" i="18"/>
  <c r="P576" i="18"/>
  <c r="O576" i="18"/>
  <c r="N576" i="18"/>
  <c r="M576" i="18"/>
  <c r="L576" i="18"/>
  <c r="K576" i="18"/>
  <c r="KD32" i="1"/>
  <c r="KB32" i="1"/>
  <c r="JZ32" i="1"/>
  <c r="JX32" i="1"/>
  <c r="JV32" i="1"/>
  <c r="KC32" i="1"/>
  <c r="JY32" i="1"/>
  <c r="JW32" i="1"/>
  <c r="JU32" i="1"/>
  <c r="B627" i="18" l="1"/>
  <c r="C626" i="18"/>
  <c r="G626" i="18"/>
  <c r="H626" i="18" s="1"/>
  <c r="D626" i="18"/>
  <c r="KF34" i="1"/>
  <c r="KE34" i="1"/>
  <c r="KN34" i="1"/>
  <c r="KF33" i="1"/>
  <c r="KE33" i="1"/>
  <c r="C32" i="1"/>
  <c r="D32" i="1"/>
  <c r="G32" i="1"/>
  <c r="H32" i="1"/>
  <c r="I32" i="1"/>
  <c r="KN32" i="1"/>
  <c r="KE32" i="1"/>
  <c r="KF32" i="1"/>
  <c r="KG32" i="1"/>
  <c r="KH32" i="1"/>
  <c r="KI32" i="1"/>
  <c r="KJ32" i="1"/>
  <c r="KK32" i="1"/>
  <c r="KL32" i="1"/>
  <c r="KM32" i="1"/>
  <c r="KQ32" i="1"/>
  <c r="Q575" i="18"/>
  <c r="P575" i="18"/>
  <c r="O575" i="18"/>
  <c r="N575" i="18"/>
  <c r="M575" i="18"/>
  <c r="L575" i="18"/>
  <c r="K575" i="18"/>
  <c r="AJ34" i="5"/>
  <c r="AJ33" i="5"/>
  <c r="AJ32" i="5"/>
  <c r="D34" i="5"/>
  <c r="H34" i="5"/>
  <c r="K34" i="5"/>
  <c r="R34" i="5"/>
  <c r="T34" i="5" s="1"/>
  <c r="AB34" i="5"/>
  <c r="AC34" i="5"/>
  <c r="AD34" i="5"/>
  <c r="AE34" i="5"/>
  <c r="D33" i="5"/>
  <c r="H33" i="5"/>
  <c r="K33" i="5"/>
  <c r="R33" i="5"/>
  <c r="T33" i="5" s="1"/>
  <c r="AB33" i="5"/>
  <c r="AC33" i="5"/>
  <c r="AD33" i="5"/>
  <c r="AE33" i="5"/>
  <c r="D32" i="5"/>
  <c r="H32" i="5"/>
  <c r="K32" i="5"/>
  <c r="R32" i="5"/>
  <c r="T32" i="5" s="1"/>
  <c r="AB32" i="5"/>
  <c r="AC32" i="5"/>
  <c r="AD32" i="5"/>
  <c r="AE32" i="5"/>
  <c r="JV31" i="1"/>
  <c r="JV30" i="1"/>
  <c r="JX31" i="1"/>
  <c r="KD31" i="1"/>
  <c r="KC31" i="1"/>
  <c r="KB31" i="1"/>
  <c r="KA31" i="1"/>
  <c r="JZ31" i="1"/>
  <c r="JY31" i="1"/>
  <c r="JW31" i="1"/>
  <c r="JU31" i="1"/>
  <c r="C31" i="1"/>
  <c r="D31" i="1"/>
  <c r="G31" i="1"/>
  <c r="H31" i="1"/>
  <c r="I31" i="1"/>
  <c r="KN31" i="1"/>
  <c r="KG31" i="1"/>
  <c r="KH31" i="1"/>
  <c r="KI31" i="1"/>
  <c r="KJ31" i="1"/>
  <c r="KK31" i="1"/>
  <c r="KL31" i="1"/>
  <c r="KM31" i="1"/>
  <c r="KQ31" i="1"/>
  <c r="C627" i="18" l="1"/>
  <c r="D627" i="18"/>
  <c r="G627" i="18"/>
  <c r="H627" i="18" s="1"/>
  <c r="B628" i="18"/>
  <c r="KF31" i="1"/>
  <c r="KE31" i="1"/>
  <c r="C628" i="18" l="1"/>
  <c r="D628" i="18"/>
  <c r="G628" i="18"/>
  <c r="H628" i="18" s="1"/>
  <c r="B629" i="18"/>
  <c r="K573" i="18"/>
  <c r="M573" i="18"/>
  <c r="O573" i="18"/>
  <c r="Q573" i="18"/>
  <c r="P573" i="18"/>
  <c r="N573" i="18"/>
  <c r="L573" i="18"/>
  <c r="AJ31" i="5"/>
  <c r="AJ30" i="5"/>
  <c r="AJ29" i="5"/>
  <c r="D31" i="5"/>
  <c r="H31" i="5"/>
  <c r="K31" i="5"/>
  <c r="R31" i="5"/>
  <c r="T31" i="5" s="1"/>
  <c r="AB31" i="5"/>
  <c r="AC31" i="5"/>
  <c r="AD31" i="5"/>
  <c r="AE31" i="5"/>
  <c r="D30" i="5"/>
  <c r="H30" i="5"/>
  <c r="K30" i="5"/>
  <c r="R30" i="5"/>
  <c r="T30" i="5" s="1"/>
  <c r="AB30" i="5"/>
  <c r="AC30" i="5"/>
  <c r="AD30" i="5"/>
  <c r="AE30" i="5"/>
  <c r="D29" i="5"/>
  <c r="H29" i="5"/>
  <c r="K29" i="5"/>
  <c r="R29" i="5"/>
  <c r="T29" i="5" s="1"/>
  <c r="AB29" i="5"/>
  <c r="AC29" i="5"/>
  <c r="AD29" i="5"/>
  <c r="AE29" i="5"/>
  <c r="KD30" i="1"/>
  <c r="KC30" i="1"/>
  <c r="KB30" i="1"/>
  <c r="KA30" i="1"/>
  <c r="JZ30" i="1"/>
  <c r="JY30" i="1"/>
  <c r="JX30" i="1"/>
  <c r="JW30" i="1"/>
  <c r="JU30" i="1"/>
  <c r="C30" i="1"/>
  <c r="D30" i="1"/>
  <c r="G30" i="1"/>
  <c r="H30" i="1"/>
  <c r="I30" i="1"/>
  <c r="KN30" i="1"/>
  <c r="KH30" i="1"/>
  <c r="KI30" i="1"/>
  <c r="KJ30" i="1"/>
  <c r="KK30" i="1"/>
  <c r="KL30" i="1"/>
  <c r="KM30" i="1"/>
  <c r="KQ30" i="1"/>
  <c r="AJ28" i="5"/>
  <c r="AJ27" i="5"/>
  <c r="D28" i="5"/>
  <c r="H28" i="5"/>
  <c r="K28" i="5"/>
  <c r="R28" i="5"/>
  <c r="T28" i="5" s="1"/>
  <c r="AB28" i="5"/>
  <c r="AC28" i="5"/>
  <c r="AD28" i="5"/>
  <c r="AE28" i="5"/>
  <c r="D27" i="5"/>
  <c r="H27" i="5"/>
  <c r="K27" i="5"/>
  <c r="R27" i="5"/>
  <c r="T27" i="5" s="1"/>
  <c r="AB27" i="5"/>
  <c r="AC27" i="5"/>
  <c r="AD27" i="5"/>
  <c r="AE27" i="5"/>
  <c r="KD29" i="1"/>
  <c r="KC29" i="1"/>
  <c r="KB29" i="1"/>
  <c r="KA29" i="1"/>
  <c r="JZ29" i="1"/>
  <c r="JY29" i="1"/>
  <c r="JX29" i="1"/>
  <c r="JW29" i="1"/>
  <c r="JV29" i="1"/>
  <c r="JU29" i="1"/>
  <c r="C29" i="1"/>
  <c r="D29" i="1"/>
  <c r="G29" i="1"/>
  <c r="H29" i="1"/>
  <c r="I29" i="1"/>
  <c r="KG29" i="1"/>
  <c r="KH29" i="1"/>
  <c r="KI29" i="1"/>
  <c r="KJ29" i="1"/>
  <c r="KK29" i="1"/>
  <c r="KL29" i="1"/>
  <c r="KM29" i="1"/>
  <c r="KQ29" i="1"/>
  <c r="E54" i="13"/>
  <c r="F54" i="13"/>
  <c r="AI54" i="13"/>
  <c r="AJ54" i="13"/>
  <c r="AK54" i="13"/>
  <c r="AL54" i="13"/>
  <c r="AM54" i="13"/>
  <c r="AN54" i="13"/>
  <c r="AO54" i="13"/>
  <c r="AP54" i="13"/>
  <c r="AQ54" i="13"/>
  <c r="AR54" i="13"/>
  <c r="AS54" i="13"/>
  <c r="AT54" i="13"/>
  <c r="AU54" i="13"/>
  <c r="AV54" i="13"/>
  <c r="AW54" i="13"/>
  <c r="AX54" i="13"/>
  <c r="AY54" i="13"/>
  <c r="AZ54" i="13"/>
  <c r="BA54" i="13"/>
  <c r="BB54" i="13"/>
  <c r="BC54" i="13"/>
  <c r="BD54" i="13"/>
  <c r="BE54" i="13"/>
  <c r="BF54" i="13"/>
  <c r="BG54" i="13"/>
  <c r="BH54" i="13"/>
  <c r="BI54" i="13"/>
  <c r="BJ54" i="13"/>
  <c r="BK54" i="13"/>
  <c r="BL54" i="13"/>
  <c r="BM54" i="13"/>
  <c r="BN54" i="13"/>
  <c r="BO54" i="13"/>
  <c r="BP54" i="13"/>
  <c r="BQ54" i="13"/>
  <c r="BR54" i="13"/>
  <c r="BS54" i="13"/>
  <c r="BT54" i="13"/>
  <c r="BU54" i="13"/>
  <c r="BV54" i="13"/>
  <c r="BW54" i="13"/>
  <c r="BX54" i="13"/>
  <c r="BY54" i="13"/>
  <c r="BZ54" i="13"/>
  <c r="CB54" i="13"/>
  <c r="CC54" i="13"/>
  <c r="CD54" i="13"/>
  <c r="CE54" i="13"/>
  <c r="CF54" i="13"/>
  <c r="CG54" i="13"/>
  <c r="CH54" i="13"/>
  <c r="CI54" i="13"/>
  <c r="CJ54" i="13"/>
  <c r="CK54" i="13"/>
  <c r="CL54" i="13"/>
  <c r="CM54" i="13"/>
  <c r="CN54" i="13"/>
  <c r="CO54" i="13"/>
  <c r="CP54" i="13"/>
  <c r="CQ54" i="13"/>
  <c r="CR54" i="13"/>
  <c r="CS54" i="13"/>
  <c r="CT54" i="13"/>
  <c r="CU54" i="13"/>
  <c r="CV54" i="13"/>
  <c r="CW54" i="13"/>
  <c r="CX54" i="13"/>
  <c r="CY54" i="13"/>
  <c r="CZ54" i="13"/>
  <c r="DA54" i="13"/>
  <c r="DB54" i="13"/>
  <c r="DC54" i="13"/>
  <c r="DD54" i="13"/>
  <c r="DE54" i="13"/>
  <c r="DF54" i="13"/>
  <c r="DG54" i="13"/>
  <c r="DH54" i="13"/>
  <c r="DI54" i="13"/>
  <c r="DJ54" i="13"/>
  <c r="DK54" i="13"/>
  <c r="DL54" i="13"/>
  <c r="DM54" i="13"/>
  <c r="DN54" i="13"/>
  <c r="DO54" i="13"/>
  <c r="DP54" i="13"/>
  <c r="DQ54" i="13"/>
  <c r="DR54" i="13"/>
  <c r="DS54" i="13"/>
  <c r="DT54" i="13"/>
  <c r="DU54" i="13"/>
  <c r="DV54" i="13"/>
  <c r="DW54" i="13"/>
  <c r="DX54" i="13"/>
  <c r="DY54" i="13"/>
  <c r="DZ54" i="13"/>
  <c r="EA54" i="13"/>
  <c r="EB54" i="13"/>
  <c r="EC54" i="13"/>
  <c r="ED54" i="13"/>
  <c r="EE54" i="13"/>
  <c r="EF54" i="13"/>
  <c r="EG54" i="13"/>
  <c r="EH54" i="13"/>
  <c r="EI54" i="13"/>
  <c r="EJ54" i="13"/>
  <c r="EK54" i="13"/>
  <c r="EL54" i="13"/>
  <c r="EM54" i="13"/>
  <c r="EN54" i="13"/>
  <c r="EO54" i="13"/>
  <c r="EP54" i="13"/>
  <c r="EQ54" i="13"/>
  <c r="ER54" i="13"/>
  <c r="ES54" i="13"/>
  <c r="ET54" i="13"/>
  <c r="EU54" i="13"/>
  <c r="EV54" i="13"/>
  <c r="EW54" i="13"/>
  <c r="EX54" i="13"/>
  <c r="EY54" i="13"/>
  <c r="EZ54" i="13"/>
  <c r="FA54" i="13"/>
  <c r="FB54" i="13"/>
  <c r="FC54" i="13"/>
  <c r="FD54" i="13"/>
  <c r="FE54" i="13"/>
  <c r="FF54" i="13"/>
  <c r="FG54" i="13"/>
  <c r="FH54" i="13"/>
  <c r="FI54" i="13"/>
  <c r="FJ54" i="13"/>
  <c r="FK54" i="13"/>
  <c r="FL54" i="13"/>
  <c r="FM54" i="13"/>
  <c r="FN54" i="13"/>
  <c r="FO54" i="13"/>
  <c r="FP54" i="13"/>
  <c r="FQ54" i="13"/>
  <c r="FR54" i="13"/>
  <c r="FS54" i="13"/>
  <c r="FT54" i="13"/>
  <c r="FU54" i="13"/>
  <c r="FV54" i="13"/>
  <c r="FW54" i="13"/>
  <c r="FX54" i="13"/>
  <c r="FY54" i="13"/>
  <c r="FZ54" i="13"/>
  <c r="GA54" i="13"/>
  <c r="GB54" i="13"/>
  <c r="GC54" i="13"/>
  <c r="GD54" i="13"/>
  <c r="GE54" i="13"/>
  <c r="GF54" i="13"/>
  <c r="GG54" i="13"/>
  <c r="GH54" i="13"/>
  <c r="GI54" i="13"/>
  <c r="GJ54" i="13"/>
  <c r="GK54" i="13"/>
  <c r="GL54" i="13"/>
  <c r="GM54" i="13"/>
  <c r="GN54" i="13"/>
  <c r="GO54" i="13"/>
  <c r="GP54" i="13"/>
  <c r="GQ54" i="13"/>
  <c r="GR54" i="13"/>
  <c r="GS54" i="13"/>
  <c r="GT54" i="13"/>
  <c r="GU54" i="13"/>
  <c r="GV54" i="13"/>
  <c r="GW54" i="13"/>
  <c r="GX54" i="13"/>
  <c r="GY54" i="13"/>
  <c r="GZ54" i="13"/>
  <c r="HA54" i="13"/>
  <c r="HB54" i="13"/>
  <c r="HC54" i="13"/>
  <c r="HD54" i="13"/>
  <c r="HE54" i="13"/>
  <c r="HF54" i="13"/>
  <c r="HG54" i="13"/>
  <c r="HH54" i="13"/>
  <c r="HI54" i="13"/>
  <c r="HJ54" i="13"/>
  <c r="HK54" i="13"/>
  <c r="HL54" i="13"/>
  <c r="HM54" i="13"/>
  <c r="HN54" i="13"/>
  <c r="HO54" i="13"/>
  <c r="HP54" i="13"/>
  <c r="HQ54" i="13"/>
  <c r="HR54" i="13"/>
  <c r="HS54" i="13"/>
  <c r="HT54" i="13"/>
  <c r="HU54" i="13"/>
  <c r="HV54" i="13"/>
  <c r="HW54" i="13"/>
  <c r="HX54" i="13"/>
  <c r="HY54" i="13"/>
  <c r="HZ54" i="13"/>
  <c r="IA54" i="13"/>
  <c r="IB54" i="13"/>
  <c r="IC54" i="13"/>
  <c r="ID54" i="13"/>
  <c r="IE54" i="13"/>
  <c r="IF54" i="13"/>
  <c r="IG54" i="13"/>
  <c r="IH54" i="13"/>
  <c r="II54" i="13"/>
  <c r="IJ54" i="13"/>
  <c r="IK54" i="13"/>
  <c r="IL54" i="13"/>
  <c r="IM54" i="13"/>
  <c r="IN54" i="13"/>
  <c r="IO54" i="13"/>
  <c r="IQ54" i="13"/>
  <c r="IR54" i="13"/>
  <c r="E55" i="13"/>
  <c r="F55" i="13"/>
  <c r="AI55" i="13"/>
  <c r="AJ55" i="13"/>
  <c r="AK55" i="13"/>
  <c r="AL55" i="13"/>
  <c r="AM55" i="13"/>
  <c r="AN55" i="13"/>
  <c r="AO55" i="13"/>
  <c r="AP55" i="13"/>
  <c r="AQ55" i="13"/>
  <c r="AR55" i="13"/>
  <c r="AS55" i="13"/>
  <c r="AT55" i="13"/>
  <c r="AU55" i="13"/>
  <c r="AV55" i="13"/>
  <c r="AW55" i="13"/>
  <c r="AX55" i="13"/>
  <c r="AY55" i="13"/>
  <c r="AZ55" i="13"/>
  <c r="BA55" i="13"/>
  <c r="BB55" i="13"/>
  <c r="BC55" i="13"/>
  <c r="BD55" i="13"/>
  <c r="BE55" i="13"/>
  <c r="BF55" i="13"/>
  <c r="BG55" i="13"/>
  <c r="BH55" i="13"/>
  <c r="BI55" i="13"/>
  <c r="BJ55" i="13"/>
  <c r="BK55" i="13"/>
  <c r="BL55" i="13"/>
  <c r="BM55" i="13"/>
  <c r="BN55" i="13"/>
  <c r="BO55" i="13"/>
  <c r="BP55" i="13"/>
  <c r="BQ55" i="13"/>
  <c r="BR55" i="13"/>
  <c r="BS55" i="13"/>
  <c r="BT55" i="13"/>
  <c r="BU55" i="13"/>
  <c r="BV55" i="13"/>
  <c r="BW55" i="13"/>
  <c r="BX55" i="13"/>
  <c r="BY55" i="13"/>
  <c r="BZ55" i="13"/>
  <c r="CB55" i="13"/>
  <c r="CC55" i="13"/>
  <c r="CD55" i="13"/>
  <c r="CE55" i="13"/>
  <c r="CF55" i="13"/>
  <c r="CG55" i="13"/>
  <c r="CH55" i="13"/>
  <c r="CI55" i="13"/>
  <c r="CJ55" i="13"/>
  <c r="CK55" i="13"/>
  <c r="CL55" i="13"/>
  <c r="CM55" i="13"/>
  <c r="CN55" i="13"/>
  <c r="CO55" i="13"/>
  <c r="CP55" i="13"/>
  <c r="CQ55" i="13"/>
  <c r="CR55" i="13"/>
  <c r="CS55" i="13"/>
  <c r="CT55" i="13"/>
  <c r="CU55" i="13"/>
  <c r="CV55" i="13"/>
  <c r="CW55" i="13"/>
  <c r="CX55" i="13"/>
  <c r="CY55" i="13"/>
  <c r="CZ55" i="13"/>
  <c r="DA55" i="13"/>
  <c r="DB55" i="13"/>
  <c r="DC55" i="13"/>
  <c r="DD55" i="13"/>
  <c r="DE55" i="13"/>
  <c r="DF55" i="13"/>
  <c r="DG55" i="13"/>
  <c r="DH55" i="13"/>
  <c r="DI55" i="13"/>
  <c r="DJ55" i="13"/>
  <c r="DK55" i="13"/>
  <c r="DL55" i="13"/>
  <c r="DM55" i="13"/>
  <c r="DN55" i="13"/>
  <c r="DO55" i="13"/>
  <c r="DP55" i="13"/>
  <c r="DQ55" i="13"/>
  <c r="DR55" i="13"/>
  <c r="DS55" i="13"/>
  <c r="DT55" i="13"/>
  <c r="DU55" i="13"/>
  <c r="DV55" i="13"/>
  <c r="DW55" i="13"/>
  <c r="DX55" i="13"/>
  <c r="DY55" i="13"/>
  <c r="DZ55" i="13"/>
  <c r="EA55" i="13"/>
  <c r="EB55" i="13"/>
  <c r="EC55" i="13"/>
  <c r="ED55" i="13"/>
  <c r="EE55" i="13"/>
  <c r="EF55" i="13"/>
  <c r="EG55" i="13"/>
  <c r="EH55" i="13"/>
  <c r="EI55" i="13"/>
  <c r="EJ55" i="13"/>
  <c r="EK55" i="13"/>
  <c r="EL55" i="13"/>
  <c r="EM55" i="13"/>
  <c r="EN55" i="13"/>
  <c r="EO55" i="13"/>
  <c r="EP55" i="13"/>
  <c r="EQ55" i="13"/>
  <c r="ER55" i="13"/>
  <c r="ES55" i="13"/>
  <c r="ET55" i="13"/>
  <c r="EU55" i="13"/>
  <c r="EV55" i="13"/>
  <c r="EW55" i="13"/>
  <c r="EX55" i="13"/>
  <c r="EY55" i="13"/>
  <c r="EZ55" i="13"/>
  <c r="FA55" i="13"/>
  <c r="FB55" i="13"/>
  <c r="FC55" i="13"/>
  <c r="FD55" i="13"/>
  <c r="FE55" i="13"/>
  <c r="FF55" i="13"/>
  <c r="FG55" i="13"/>
  <c r="FH55" i="13"/>
  <c r="FI55" i="13"/>
  <c r="FJ55" i="13"/>
  <c r="FK55" i="13"/>
  <c r="FL55" i="13"/>
  <c r="FM55" i="13"/>
  <c r="FN55" i="13"/>
  <c r="FO55" i="13"/>
  <c r="FP55" i="13"/>
  <c r="FQ55" i="13"/>
  <c r="FR55" i="13"/>
  <c r="FS55" i="13"/>
  <c r="FT55" i="13"/>
  <c r="FU55" i="13"/>
  <c r="FV55" i="13"/>
  <c r="FW55" i="13"/>
  <c r="FX55" i="13"/>
  <c r="FY55" i="13"/>
  <c r="FZ55" i="13"/>
  <c r="GA55" i="13"/>
  <c r="GB55" i="13"/>
  <c r="GC55" i="13"/>
  <c r="GD55" i="13"/>
  <c r="GE55" i="13"/>
  <c r="GF55" i="13"/>
  <c r="GG55" i="13"/>
  <c r="GH55" i="13"/>
  <c r="GI55" i="13"/>
  <c r="GJ55" i="13"/>
  <c r="GK55" i="13"/>
  <c r="GL55" i="13"/>
  <c r="GM55" i="13"/>
  <c r="GN55" i="13"/>
  <c r="GO55" i="13"/>
  <c r="GP55" i="13"/>
  <c r="GQ55" i="13"/>
  <c r="GR55" i="13"/>
  <c r="GS55" i="13"/>
  <c r="GT55" i="13"/>
  <c r="GU55" i="13"/>
  <c r="GV55" i="13"/>
  <c r="GW55" i="13"/>
  <c r="GX55" i="13"/>
  <c r="GY55" i="13"/>
  <c r="GZ55" i="13"/>
  <c r="HA55" i="13"/>
  <c r="HB55" i="13"/>
  <c r="HC55" i="13"/>
  <c r="HD55" i="13"/>
  <c r="HE55" i="13"/>
  <c r="HF55" i="13"/>
  <c r="HG55" i="13"/>
  <c r="HH55" i="13"/>
  <c r="HI55" i="13"/>
  <c r="HJ55" i="13"/>
  <c r="HK55" i="13"/>
  <c r="HL55" i="13"/>
  <c r="HM55" i="13"/>
  <c r="HN55" i="13"/>
  <c r="HO55" i="13"/>
  <c r="HP55" i="13"/>
  <c r="HQ55" i="13"/>
  <c r="HR55" i="13"/>
  <c r="HS55" i="13"/>
  <c r="HT55" i="13"/>
  <c r="HU55" i="13"/>
  <c r="HV55" i="13"/>
  <c r="HW55" i="13"/>
  <c r="HX55" i="13"/>
  <c r="HY55" i="13"/>
  <c r="HZ55" i="13"/>
  <c r="IA55" i="13"/>
  <c r="IB55" i="13"/>
  <c r="IC55" i="13"/>
  <c r="ID55" i="13"/>
  <c r="IE55" i="13"/>
  <c r="IF55" i="13"/>
  <c r="IG55" i="13"/>
  <c r="IH55" i="13"/>
  <c r="II55" i="13"/>
  <c r="IJ55" i="13"/>
  <c r="IK55" i="13"/>
  <c r="IL55" i="13"/>
  <c r="IM55" i="13"/>
  <c r="IN55" i="13"/>
  <c r="IO55" i="13"/>
  <c r="IQ55" i="13"/>
  <c r="IR55" i="13"/>
  <c r="E56" i="13"/>
  <c r="F56" i="13"/>
  <c r="AI56" i="13"/>
  <c r="AJ56" i="13"/>
  <c r="AK56" i="13"/>
  <c r="AL56" i="13"/>
  <c r="AM56" i="13"/>
  <c r="AN56" i="13"/>
  <c r="AO56" i="13"/>
  <c r="AP56" i="13"/>
  <c r="AQ56" i="13"/>
  <c r="AR56" i="13"/>
  <c r="AS56" i="13"/>
  <c r="AT56" i="13"/>
  <c r="AU56" i="13"/>
  <c r="AV56" i="13"/>
  <c r="AW56" i="13"/>
  <c r="AX56" i="13"/>
  <c r="AY56" i="13"/>
  <c r="AZ56" i="13"/>
  <c r="BA56" i="13"/>
  <c r="BB56" i="13"/>
  <c r="BC56" i="13"/>
  <c r="BD56" i="13"/>
  <c r="BE56" i="13"/>
  <c r="BF56" i="13"/>
  <c r="BG56" i="13"/>
  <c r="BH56" i="13"/>
  <c r="BI56" i="13"/>
  <c r="BJ56" i="13"/>
  <c r="BK56" i="13"/>
  <c r="BL56" i="13"/>
  <c r="BM56" i="13"/>
  <c r="BN56" i="13"/>
  <c r="BO56" i="13"/>
  <c r="BP56" i="13"/>
  <c r="BQ56" i="13"/>
  <c r="BR56" i="13"/>
  <c r="BS56" i="13"/>
  <c r="BT56" i="13"/>
  <c r="BU56" i="13"/>
  <c r="BV56" i="13"/>
  <c r="BW56" i="13"/>
  <c r="BX56" i="13"/>
  <c r="BY56" i="13"/>
  <c r="BZ56" i="13"/>
  <c r="CB56" i="13"/>
  <c r="CC56" i="13"/>
  <c r="CD56" i="13"/>
  <c r="CE56" i="13"/>
  <c r="CF56" i="13"/>
  <c r="CG56" i="13"/>
  <c r="CH56" i="13"/>
  <c r="CI56" i="13"/>
  <c r="CJ56" i="13"/>
  <c r="CK56" i="13"/>
  <c r="CL56" i="13"/>
  <c r="CM56" i="13"/>
  <c r="CN56" i="13"/>
  <c r="CO56" i="13"/>
  <c r="CP56" i="13"/>
  <c r="CQ56" i="13"/>
  <c r="CR56" i="13"/>
  <c r="CS56" i="13"/>
  <c r="CT56" i="13"/>
  <c r="CU56" i="13"/>
  <c r="CV56" i="13"/>
  <c r="CW56" i="13"/>
  <c r="CX56" i="13"/>
  <c r="CY56" i="13"/>
  <c r="CZ56" i="13"/>
  <c r="DA56" i="13"/>
  <c r="DB56" i="13"/>
  <c r="DC56" i="13"/>
  <c r="DD56" i="13"/>
  <c r="DE56" i="13"/>
  <c r="DF56" i="13"/>
  <c r="DG56" i="13"/>
  <c r="DH56" i="13"/>
  <c r="DI56" i="13"/>
  <c r="DJ56" i="13"/>
  <c r="DK56" i="13"/>
  <c r="DL56" i="13"/>
  <c r="DM56" i="13"/>
  <c r="DN56" i="13"/>
  <c r="DO56" i="13"/>
  <c r="DP56" i="13"/>
  <c r="DQ56" i="13"/>
  <c r="DR56" i="13"/>
  <c r="DS56" i="13"/>
  <c r="DT56" i="13"/>
  <c r="DU56" i="13"/>
  <c r="DV56" i="13"/>
  <c r="DW56" i="13"/>
  <c r="DX56" i="13"/>
  <c r="DY56" i="13"/>
  <c r="DZ56" i="13"/>
  <c r="EA56" i="13"/>
  <c r="EB56" i="13"/>
  <c r="EC56" i="13"/>
  <c r="ED56" i="13"/>
  <c r="EE56" i="13"/>
  <c r="EF56" i="13"/>
  <c r="EG56" i="13"/>
  <c r="EH56" i="13"/>
  <c r="EI56" i="13"/>
  <c r="EJ56" i="13"/>
  <c r="EK56" i="13"/>
  <c r="EL56" i="13"/>
  <c r="EM56" i="13"/>
  <c r="EN56" i="13"/>
  <c r="EO56" i="13"/>
  <c r="EP56" i="13"/>
  <c r="EQ56" i="13"/>
  <c r="ER56" i="13"/>
  <c r="ES56" i="13"/>
  <c r="ET56" i="13"/>
  <c r="EU56" i="13"/>
  <c r="EV56" i="13"/>
  <c r="EW56" i="13"/>
  <c r="EX56" i="13"/>
  <c r="EY56" i="13"/>
  <c r="EZ56" i="13"/>
  <c r="FA56" i="13"/>
  <c r="FB56" i="13"/>
  <c r="FC56" i="13"/>
  <c r="FD56" i="13"/>
  <c r="FE56" i="13"/>
  <c r="FF56" i="13"/>
  <c r="FG56" i="13"/>
  <c r="FH56" i="13"/>
  <c r="FI56" i="13"/>
  <c r="FJ56" i="13"/>
  <c r="FK56" i="13"/>
  <c r="FL56" i="13"/>
  <c r="FM56" i="13"/>
  <c r="FN56" i="13"/>
  <c r="FO56" i="13"/>
  <c r="FP56" i="13"/>
  <c r="FQ56" i="13"/>
  <c r="FR56" i="13"/>
  <c r="FS56" i="13"/>
  <c r="FT56" i="13"/>
  <c r="FU56" i="13"/>
  <c r="FV56" i="13"/>
  <c r="FW56" i="13"/>
  <c r="FX56" i="13"/>
  <c r="FY56" i="13"/>
  <c r="FZ56" i="13"/>
  <c r="GA56" i="13"/>
  <c r="GB56" i="13"/>
  <c r="GC56" i="13"/>
  <c r="GD56" i="13"/>
  <c r="GE56" i="13"/>
  <c r="GF56" i="13"/>
  <c r="GG56" i="13"/>
  <c r="GH56" i="13"/>
  <c r="GI56" i="13"/>
  <c r="GJ56" i="13"/>
  <c r="GK56" i="13"/>
  <c r="GL56" i="13"/>
  <c r="GM56" i="13"/>
  <c r="GN56" i="13"/>
  <c r="GO56" i="13"/>
  <c r="GP56" i="13"/>
  <c r="GQ56" i="13"/>
  <c r="GR56" i="13"/>
  <c r="GS56" i="13"/>
  <c r="GT56" i="13"/>
  <c r="GU56" i="13"/>
  <c r="GV56" i="13"/>
  <c r="GW56" i="13"/>
  <c r="GX56" i="13"/>
  <c r="GY56" i="13"/>
  <c r="GZ56" i="13"/>
  <c r="HA56" i="13"/>
  <c r="HB56" i="13"/>
  <c r="HC56" i="13"/>
  <c r="HD56" i="13"/>
  <c r="HE56" i="13"/>
  <c r="HF56" i="13"/>
  <c r="HG56" i="13"/>
  <c r="HH56" i="13"/>
  <c r="HI56" i="13"/>
  <c r="HJ56" i="13"/>
  <c r="HK56" i="13"/>
  <c r="HL56" i="13"/>
  <c r="HM56" i="13"/>
  <c r="HN56" i="13"/>
  <c r="HO56" i="13"/>
  <c r="HP56" i="13"/>
  <c r="HQ56" i="13"/>
  <c r="HR56" i="13"/>
  <c r="HS56" i="13"/>
  <c r="HT56" i="13"/>
  <c r="HU56" i="13"/>
  <c r="HV56" i="13"/>
  <c r="HW56" i="13"/>
  <c r="HX56" i="13"/>
  <c r="HY56" i="13"/>
  <c r="HZ56" i="13"/>
  <c r="IA56" i="13"/>
  <c r="IB56" i="13"/>
  <c r="IC56" i="13"/>
  <c r="ID56" i="13"/>
  <c r="IE56" i="13"/>
  <c r="IF56" i="13"/>
  <c r="IG56" i="13"/>
  <c r="IH56" i="13"/>
  <c r="II56" i="13"/>
  <c r="IJ56" i="13"/>
  <c r="IK56" i="13"/>
  <c r="IL56" i="13"/>
  <c r="IM56" i="13"/>
  <c r="IN56" i="13"/>
  <c r="IO56" i="13"/>
  <c r="IQ56" i="13"/>
  <c r="IR56" i="13"/>
  <c r="E57" i="13"/>
  <c r="F57" i="13"/>
  <c r="AI57" i="13"/>
  <c r="AJ57" i="13"/>
  <c r="AK57" i="13"/>
  <c r="AL57" i="13"/>
  <c r="AM57" i="13"/>
  <c r="AN57" i="13"/>
  <c r="AO57" i="13"/>
  <c r="AP57" i="13"/>
  <c r="AQ57" i="13"/>
  <c r="AR57" i="13"/>
  <c r="AS57" i="13"/>
  <c r="AT57" i="13"/>
  <c r="AU57" i="13"/>
  <c r="AV57" i="13"/>
  <c r="AW57" i="13"/>
  <c r="AX57" i="13"/>
  <c r="AY57" i="13"/>
  <c r="AZ57" i="13"/>
  <c r="BA57" i="13"/>
  <c r="BB57" i="13"/>
  <c r="BC57" i="13"/>
  <c r="BD57" i="13"/>
  <c r="BE57" i="13"/>
  <c r="BF57" i="13"/>
  <c r="BG57" i="13"/>
  <c r="BH57" i="13"/>
  <c r="BI57" i="13"/>
  <c r="BJ57" i="13"/>
  <c r="BK57" i="13"/>
  <c r="BL57" i="13"/>
  <c r="BM57" i="13"/>
  <c r="BN57" i="13"/>
  <c r="BO57" i="13"/>
  <c r="BP57" i="13"/>
  <c r="BQ57" i="13"/>
  <c r="BR57" i="13"/>
  <c r="BS57" i="13"/>
  <c r="BT57" i="13"/>
  <c r="BU57" i="13"/>
  <c r="BV57" i="13"/>
  <c r="BW57" i="13"/>
  <c r="BX57" i="13"/>
  <c r="BY57" i="13"/>
  <c r="BZ57" i="13"/>
  <c r="CB57" i="13"/>
  <c r="CC57" i="13"/>
  <c r="CD57" i="13"/>
  <c r="CE57" i="13"/>
  <c r="CF57" i="13"/>
  <c r="CG57" i="13"/>
  <c r="CH57" i="13"/>
  <c r="CI57" i="13"/>
  <c r="CJ57" i="13"/>
  <c r="CK57" i="13"/>
  <c r="CL57" i="13"/>
  <c r="CM57" i="13"/>
  <c r="CN57" i="13"/>
  <c r="CO57" i="13"/>
  <c r="CP57" i="13"/>
  <c r="CQ57" i="13"/>
  <c r="CR57" i="13"/>
  <c r="CS57" i="13"/>
  <c r="CT57" i="13"/>
  <c r="CU57" i="13"/>
  <c r="CV57" i="13"/>
  <c r="CW57" i="13"/>
  <c r="CX57" i="13"/>
  <c r="CY57" i="13"/>
  <c r="CZ57" i="13"/>
  <c r="DA57" i="13"/>
  <c r="DB57" i="13"/>
  <c r="DC57" i="13"/>
  <c r="DD57" i="13"/>
  <c r="DE57" i="13"/>
  <c r="DF57" i="13"/>
  <c r="DG57" i="13"/>
  <c r="DH57" i="13"/>
  <c r="DI57" i="13"/>
  <c r="DJ57" i="13"/>
  <c r="DK57" i="13"/>
  <c r="DL57" i="13"/>
  <c r="DM57" i="13"/>
  <c r="DN57" i="13"/>
  <c r="DO57" i="13"/>
  <c r="DP57" i="13"/>
  <c r="DQ57" i="13"/>
  <c r="DR57" i="13"/>
  <c r="DS57" i="13"/>
  <c r="DT57" i="13"/>
  <c r="DU57" i="13"/>
  <c r="DV57" i="13"/>
  <c r="DW57" i="13"/>
  <c r="DX57" i="13"/>
  <c r="DY57" i="13"/>
  <c r="DZ57" i="13"/>
  <c r="EA57" i="13"/>
  <c r="EB57" i="13"/>
  <c r="EC57" i="13"/>
  <c r="ED57" i="13"/>
  <c r="EE57" i="13"/>
  <c r="EF57" i="13"/>
  <c r="EG57" i="13"/>
  <c r="EH57" i="13"/>
  <c r="EI57" i="13"/>
  <c r="EJ57" i="13"/>
  <c r="EK57" i="13"/>
  <c r="EL57" i="13"/>
  <c r="EM57" i="13"/>
  <c r="EN57" i="13"/>
  <c r="EO57" i="13"/>
  <c r="EP57" i="13"/>
  <c r="EQ57" i="13"/>
  <c r="ER57" i="13"/>
  <c r="ES57" i="13"/>
  <c r="ET57" i="13"/>
  <c r="EU57" i="13"/>
  <c r="EV57" i="13"/>
  <c r="EW57" i="13"/>
  <c r="EX57" i="13"/>
  <c r="EY57" i="13"/>
  <c r="EZ57" i="13"/>
  <c r="FA57" i="13"/>
  <c r="FB57" i="13"/>
  <c r="FC57" i="13"/>
  <c r="FD57" i="13"/>
  <c r="FE57" i="13"/>
  <c r="FF57" i="13"/>
  <c r="FG57" i="13"/>
  <c r="FH57" i="13"/>
  <c r="FI57" i="13"/>
  <c r="FJ57" i="13"/>
  <c r="FK57" i="13"/>
  <c r="FL57" i="13"/>
  <c r="FM57" i="13"/>
  <c r="FN57" i="13"/>
  <c r="FO57" i="13"/>
  <c r="FP57" i="13"/>
  <c r="FQ57" i="13"/>
  <c r="FR57" i="13"/>
  <c r="FS57" i="13"/>
  <c r="FT57" i="13"/>
  <c r="FU57" i="13"/>
  <c r="FV57" i="13"/>
  <c r="FW57" i="13"/>
  <c r="FX57" i="13"/>
  <c r="FY57" i="13"/>
  <c r="FZ57" i="13"/>
  <c r="GA57" i="13"/>
  <c r="GB57" i="13"/>
  <c r="GC57" i="13"/>
  <c r="GD57" i="13"/>
  <c r="GE57" i="13"/>
  <c r="GF57" i="13"/>
  <c r="GG57" i="13"/>
  <c r="GH57" i="13"/>
  <c r="GI57" i="13"/>
  <c r="GJ57" i="13"/>
  <c r="GK57" i="13"/>
  <c r="GL57" i="13"/>
  <c r="GM57" i="13"/>
  <c r="GN57" i="13"/>
  <c r="GO57" i="13"/>
  <c r="GP57" i="13"/>
  <c r="GQ57" i="13"/>
  <c r="GR57" i="13"/>
  <c r="GS57" i="13"/>
  <c r="GT57" i="13"/>
  <c r="GU57" i="13"/>
  <c r="GV57" i="13"/>
  <c r="GW57" i="13"/>
  <c r="GX57" i="13"/>
  <c r="GY57" i="13"/>
  <c r="GZ57" i="13"/>
  <c r="HA57" i="13"/>
  <c r="HB57" i="13"/>
  <c r="HC57" i="13"/>
  <c r="HD57" i="13"/>
  <c r="HE57" i="13"/>
  <c r="HF57" i="13"/>
  <c r="HG57" i="13"/>
  <c r="HH57" i="13"/>
  <c r="HI57" i="13"/>
  <c r="HJ57" i="13"/>
  <c r="HK57" i="13"/>
  <c r="HL57" i="13"/>
  <c r="HM57" i="13"/>
  <c r="HN57" i="13"/>
  <c r="HO57" i="13"/>
  <c r="HP57" i="13"/>
  <c r="HQ57" i="13"/>
  <c r="HR57" i="13"/>
  <c r="HS57" i="13"/>
  <c r="HT57" i="13"/>
  <c r="HU57" i="13"/>
  <c r="HV57" i="13"/>
  <c r="HW57" i="13"/>
  <c r="HX57" i="13"/>
  <c r="HY57" i="13"/>
  <c r="HZ57" i="13"/>
  <c r="IA57" i="13"/>
  <c r="IB57" i="13"/>
  <c r="IC57" i="13"/>
  <c r="ID57" i="13"/>
  <c r="IE57" i="13"/>
  <c r="IF57" i="13"/>
  <c r="IG57" i="13"/>
  <c r="IH57" i="13"/>
  <c r="II57" i="13"/>
  <c r="IJ57" i="13"/>
  <c r="IK57" i="13"/>
  <c r="IL57" i="13"/>
  <c r="IM57" i="13"/>
  <c r="IN57" i="13"/>
  <c r="IO57" i="13"/>
  <c r="IQ57" i="13"/>
  <c r="IR57" i="13"/>
  <c r="E58" i="13"/>
  <c r="F58" i="13"/>
  <c r="AI58" i="13"/>
  <c r="AJ58" i="13"/>
  <c r="AK58" i="13"/>
  <c r="AL58" i="13"/>
  <c r="AM58" i="13"/>
  <c r="AN58" i="13"/>
  <c r="AO58" i="13"/>
  <c r="AP58" i="13"/>
  <c r="AQ58" i="13"/>
  <c r="AR58" i="13"/>
  <c r="AS58" i="13"/>
  <c r="AT58" i="13"/>
  <c r="AU58" i="13"/>
  <c r="AV58" i="13"/>
  <c r="AW58" i="13"/>
  <c r="AX58" i="13"/>
  <c r="AY58" i="13"/>
  <c r="AZ58" i="13"/>
  <c r="BA58" i="13"/>
  <c r="BB58" i="13"/>
  <c r="BC58" i="13"/>
  <c r="BD58" i="13"/>
  <c r="BE58" i="13"/>
  <c r="BF58" i="13"/>
  <c r="BG58" i="13"/>
  <c r="BH58" i="13"/>
  <c r="BI58" i="13"/>
  <c r="BJ58" i="13"/>
  <c r="BK58" i="13"/>
  <c r="BL58" i="13"/>
  <c r="BM58" i="13"/>
  <c r="BN58" i="13"/>
  <c r="BO58" i="13"/>
  <c r="BP58" i="13"/>
  <c r="BQ58" i="13"/>
  <c r="BR58" i="13"/>
  <c r="BS58" i="13"/>
  <c r="BT58" i="13"/>
  <c r="BU58" i="13"/>
  <c r="BV58" i="13"/>
  <c r="BW58" i="13"/>
  <c r="BX58" i="13"/>
  <c r="BY58" i="13"/>
  <c r="BZ58" i="13"/>
  <c r="CB58" i="13"/>
  <c r="CC58" i="13"/>
  <c r="CD58" i="13"/>
  <c r="CE58" i="13"/>
  <c r="CF58" i="13"/>
  <c r="CG58" i="13"/>
  <c r="CH58" i="13"/>
  <c r="CI58" i="13"/>
  <c r="CJ58" i="13"/>
  <c r="CK58" i="13"/>
  <c r="CL58" i="13"/>
  <c r="CM58" i="13"/>
  <c r="CN58" i="13"/>
  <c r="CO58" i="13"/>
  <c r="CP58" i="13"/>
  <c r="CQ58" i="13"/>
  <c r="CR58" i="13"/>
  <c r="CS58" i="13"/>
  <c r="CT58" i="13"/>
  <c r="CU58" i="13"/>
  <c r="CV58" i="13"/>
  <c r="CW58" i="13"/>
  <c r="CX58" i="13"/>
  <c r="CY58" i="13"/>
  <c r="CZ58" i="13"/>
  <c r="DA58" i="13"/>
  <c r="DB58" i="13"/>
  <c r="DC58" i="13"/>
  <c r="DD58" i="13"/>
  <c r="DE58" i="13"/>
  <c r="DF58" i="13"/>
  <c r="DG58" i="13"/>
  <c r="DH58" i="13"/>
  <c r="DI58" i="13"/>
  <c r="DJ58" i="13"/>
  <c r="DK58" i="13"/>
  <c r="DL58" i="13"/>
  <c r="DM58" i="13"/>
  <c r="DN58" i="13"/>
  <c r="DO58" i="13"/>
  <c r="DP58" i="13"/>
  <c r="DQ58" i="13"/>
  <c r="DR58" i="13"/>
  <c r="DS58" i="13"/>
  <c r="DT58" i="13"/>
  <c r="DU58" i="13"/>
  <c r="DV58" i="13"/>
  <c r="DW58" i="13"/>
  <c r="DX58" i="13"/>
  <c r="DY58" i="13"/>
  <c r="DZ58" i="13"/>
  <c r="EA58" i="13"/>
  <c r="EB58" i="13"/>
  <c r="EC58" i="13"/>
  <c r="ED58" i="13"/>
  <c r="EE58" i="13"/>
  <c r="EF58" i="13"/>
  <c r="EG58" i="13"/>
  <c r="EH58" i="13"/>
  <c r="EI58" i="13"/>
  <c r="EJ58" i="13"/>
  <c r="EK58" i="13"/>
  <c r="EL58" i="13"/>
  <c r="EM58" i="13"/>
  <c r="EN58" i="13"/>
  <c r="EO58" i="13"/>
  <c r="EP58" i="13"/>
  <c r="EQ58" i="13"/>
  <c r="ER58" i="13"/>
  <c r="ES58" i="13"/>
  <c r="ET58" i="13"/>
  <c r="EU58" i="13"/>
  <c r="EV58" i="13"/>
  <c r="EW58" i="13"/>
  <c r="EX58" i="13"/>
  <c r="EY58" i="13"/>
  <c r="EZ58" i="13"/>
  <c r="FA58" i="13"/>
  <c r="FB58" i="13"/>
  <c r="FC58" i="13"/>
  <c r="FD58" i="13"/>
  <c r="FE58" i="13"/>
  <c r="FF58" i="13"/>
  <c r="FG58" i="13"/>
  <c r="FH58" i="13"/>
  <c r="FI58" i="13"/>
  <c r="FJ58" i="13"/>
  <c r="FK58" i="13"/>
  <c r="FL58" i="13"/>
  <c r="FM58" i="13"/>
  <c r="FN58" i="13"/>
  <c r="FO58" i="13"/>
  <c r="FP58" i="13"/>
  <c r="FQ58" i="13"/>
  <c r="FR58" i="13"/>
  <c r="FS58" i="13"/>
  <c r="FT58" i="13"/>
  <c r="FU58" i="13"/>
  <c r="FV58" i="13"/>
  <c r="FW58" i="13"/>
  <c r="FX58" i="13"/>
  <c r="FY58" i="13"/>
  <c r="FZ58" i="13"/>
  <c r="GA58" i="13"/>
  <c r="GB58" i="13"/>
  <c r="GC58" i="13"/>
  <c r="GD58" i="13"/>
  <c r="GE58" i="13"/>
  <c r="GF58" i="13"/>
  <c r="GG58" i="13"/>
  <c r="GH58" i="13"/>
  <c r="GI58" i="13"/>
  <c r="GJ58" i="13"/>
  <c r="GK58" i="13"/>
  <c r="GL58" i="13"/>
  <c r="GM58" i="13"/>
  <c r="GN58" i="13"/>
  <c r="GO58" i="13"/>
  <c r="GP58" i="13"/>
  <c r="GQ58" i="13"/>
  <c r="GR58" i="13"/>
  <c r="GS58" i="13"/>
  <c r="GT58" i="13"/>
  <c r="GU58" i="13"/>
  <c r="GV58" i="13"/>
  <c r="GW58" i="13"/>
  <c r="GX58" i="13"/>
  <c r="GY58" i="13"/>
  <c r="GZ58" i="13"/>
  <c r="HA58" i="13"/>
  <c r="HB58" i="13"/>
  <c r="HC58" i="13"/>
  <c r="HD58" i="13"/>
  <c r="HE58" i="13"/>
  <c r="HF58" i="13"/>
  <c r="HG58" i="13"/>
  <c r="HH58" i="13"/>
  <c r="HI58" i="13"/>
  <c r="HJ58" i="13"/>
  <c r="HK58" i="13"/>
  <c r="HL58" i="13"/>
  <c r="HM58" i="13"/>
  <c r="HN58" i="13"/>
  <c r="HO58" i="13"/>
  <c r="HP58" i="13"/>
  <c r="HQ58" i="13"/>
  <c r="HR58" i="13"/>
  <c r="HS58" i="13"/>
  <c r="HT58" i="13"/>
  <c r="HU58" i="13"/>
  <c r="HV58" i="13"/>
  <c r="HW58" i="13"/>
  <c r="HX58" i="13"/>
  <c r="HY58" i="13"/>
  <c r="HZ58" i="13"/>
  <c r="IA58" i="13"/>
  <c r="IB58" i="13"/>
  <c r="IC58" i="13"/>
  <c r="ID58" i="13"/>
  <c r="IE58" i="13"/>
  <c r="IF58" i="13"/>
  <c r="IG58" i="13"/>
  <c r="IH58" i="13"/>
  <c r="II58" i="13"/>
  <c r="IJ58" i="13"/>
  <c r="IK58" i="13"/>
  <c r="IL58" i="13"/>
  <c r="IM58" i="13"/>
  <c r="IN58" i="13"/>
  <c r="IO58" i="13"/>
  <c r="IQ58" i="13"/>
  <c r="IR58" i="13"/>
  <c r="E59" i="13"/>
  <c r="F59" i="13"/>
  <c r="AI59" i="13"/>
  <c r="AJ59" i="13"/>
  <c r="AK59" i="13"/>
  <c r="AL59" i="13"/>
  <c r="AM59" i="13"/>
  <c r="AN59" i="13"/>
  <c r="AO59" i="13"/>
  <c r="AP59" i="13"/>
  <c r="AQ59" i="13"/>
  <c r="AR59" i="13"/>
  <c r="AS59" i="13"/>
  <c r="AT59" i="13"/>
  <c r="AU59" i="13"/>
  <c r="AX59" i="13"/>
  <c r="AY59" i="13"/>
  <c r="AZ59" i="13"/>
  <c r="BA59" i="13"/>
  <c r="BB59" i="13"/>
  <c r="BC59" i="13"/>
  <c r="BD59" i="13"/>
  <c r="BE59" i="13"/>
  <c r="BF59" i="13"/>
  <c r="BG59" i="13"/>
  <c r="BH59" i="13"/>
  <c r="BI59" i="13"/>
  <c r="BJ59" i="13"/>
  <c r="BK59" i="13"/>
  <c r="BL59" i="13"/>
  <c r="BM59" i="13"/>
  <c r="BN59" i="13"/>
  <c r="BO59" i="13"/>
  <c r="BP59" i="13"/>
  <c r="BQ59" i="13"/>
  <c r="BR59" i="13"/>
  <c r="BS59" i="13"/>
  <c r="BT59" i="13"/>
  <c r="BU59" i="13"/>
  <c r="BV59" i="13"/>
  <c r="BW59" i="13"/>
  <c r="BX59" i="13"/>
  <c r="BY59" i="13"/>
  <c r="BZ59" i="13"/>
  <c r="CB59" i="13"/>
  <c r="CC59" i="13"/>
  <c r="CD59" i="13"/>
  <c r="CE59" i="13"/>
  <c r="CF59" i="13"/>
  <c r="CG59" i="13"/>
  <c r="CH59" i="13"/>
  <c r="CI59" i="13"/>
  <c r="CJ59" i="13"/>
  <c r="CK59" i="13"/>
  <c r="CL59" i="13"/>
  <c r="CM59" i="13"/>
  <c r="CN59" i="13"/>
  <c r="CO59" i="13"/>
  <c r="CP59" i="13"/>
  <c r="CQ59" i="13"/>
  <c r="CR59" i="13"/>
  <c r="CS59" i="13"/>
  <c r="CT59" i="13"/>
  <c r="CU59" i="13"/>
  <c r="CV59" i="13"/>
  <c r="CW59" i="13"/>
  <c r="CX59" i="13"/>
  <c r="CY59" i="13"/>
  <c r="CZ59" i="13"/>
  <c r="DA59" i="13"/>
  <c r="DB59" i="13"/>
  <c r="DC59" i="13"/>
  <c r="DD59" i="13"/>
  <c r="DE59" i="13"/>
  <c r="DF59" i="13"/>
  <c r="DG59" i="13"/>
  <c r="DH59" i="13"/>
  <c r="DI59" i="13"/>
  <c r="DJ59" i="13"/>
  <c r="DK59" i="13"/>
  <c r="DL59" i="13"/>
  <c r="DM59" i="13"/>
  <c r="DN59" i="13"/>
  <c r="DO59" i="13"/>
  <c r="DP59" i="13"/>
  <c r="DQ59" i="13"/>
  <c r="DR59" i="13"/>
  <c r="DS59" i="13"/>
  <c r="DT59" i="13"/>
  <c r="DU59" i="13"/>
  <c r="DV59" i="13"/>
  <c r="DW59" i="13"/>
  <c r="DX59" i="13"/>
  <c r="DY59" i="13"/>
  <c r="DZ59" i="13"/>
  <c r="EA59" i="13"/>
  <c r="EB59" i="13"/>
  <c r="EC59" i="13"/>
  <c r="ED59" i="13"/>
  <c r="EE59" i="13"/>
  <c r="EF59" i="13"/>
  <c r="EG59" i="13"/>
  <c r="EH59" i="13"/>
  <c r="EI59" i="13"/>
  <c r="EJ59" i="13"/>
  <c r="EK59" i="13"/>
  <c r="EL59" i="13"/>
  <c r="EM59" i="13"/>
  <c r="EN59" i="13"/>
  <c r="EO59" i="13"/>
  <c r="EP59" i="13"/>
  <c r="EQ59" i="13"/>
  <c r="ER59" i="13"/>
  <c r="ES59" i="13"/>
  <c r="ET59" i="13"/>
  <c r="EU59" i="13"/>
  <c r="EV59" i="13"/>
  <c r="EW59" i="13"/>
  <c r="EX59" i="13"/>
  <c r="EY59" i="13"/>
  <c r="EZ59" i="13"/>
  <c r="FA59" i="13"/>
  <c r="FB59" i="13"/>
  <c r="FC59" i="13"/>
  <c r="FD59" i="13"/>
  <c r="FE59" i="13"/>
  <c r="FF59" i="13"/>
  <c r="FG59" i="13"/>
  <c r="FH59" i="13"/>
  <c r="FI59" i="13"/>
  <c r="FJ59" i="13"/>
  <c r="FK59" i="13"/>
  <c r="FL59" i="13"/>
  <c r="FM59" i="13"/>
  <c r="FN59" i="13"/>
  <c r="FO59" i="13"/>
  <c r="FP59" i="13"/>
  <c r="FQ59" i="13"/>
  <c r="FR59" i="13"/>
  <c r="FS59" i="13"/>
  <c r="FT59" i="13"/>
  <c r="FU59" i="13"/>
  <c r="FV59" i="13"/>
  <c r="FW59" i="13"/>
  <c r="FX59" i="13"/>
  <c r="FY59" i="13"/>
  <c r="FZ59" i="13"/>
  <c r="GA59" i="13"/>
  <c r="GB59" i="13"/>
  <c r="GC59" i="13"/>
  <c r="GD59" i="13"/>
  <c r="GE59" i="13"/>
  <c r="GF59" i="13"/>
  <c r="GG59" i="13"/>
  <c r="GH59" i="13"/>
  <c r="GI59" i="13"/>
  <c r="GJ59" i="13"/>
  <c r="GK59" i="13"/>
  <c r="GL59" i="13"/>
  <c r="GM59" i="13"/>
  <c r="GN59" i="13"/>
  <c r="GO59" i="13"/>
  <c r="GP59" i="13"/>
  <c r="GQ59" i="13"/>
  <c r="GR59" i="13"/>
  <c r="GS59" i="13"/>
  <c r="GT59" i="13"/>
  <c r="GU59" i="13"/>
  <c r="GV59" i="13"/>
  <c r="GW59" i="13"/>
  <c r="GX59" i="13"/>
  <c r="GY59" i="13"/>
  <c r="GZ59" i="13"/>
  <c r="HA59" i="13"/>
  <c r="HB59" i="13"/>
  <c r="HC59" i="13"/>
  <c r="HD59" i="13"/>
  <c r="HE59" i="13"/>
  <c r="HF59" i="13"/>
  <c r="HG59" i="13"/>
  <c r="HH59" i="13"/>
  <c r="HI59" i="13"/>
  <c r="HJ59" i="13"/>
  <c r="HK59" i="13"/>
  <c r="HL59" i="13"/>
  <c r="HM59" i="13"/>
  <c r="HN59" i="13"/>
  <c r="HO59" i="13"/>
  <c r="HP59" i="13"/>
  <c r="HQ59" i="13"/>
  <c r="HR59" i="13"/>
  <c r="HS59" i="13"/>
  <c r="HT59" i="13"/>
  <c r="HU59" i="13"/>
  <c r="HV59" i="13"/>
  <c r="HW59" i="13"/>
  <c r="HX59" i="13"/>
  <c r="HY59" i="13"/>
  <c r="HZ59" i="13"/>
  <c r="IA59" i="13"/>
  <c r="IB59" i="13"/>
  <c r="IC59" i="13"/>
  <c r="ID59" i="13"/>
  <c r="IE59" i="13"/>
  <c r="IF59" i="13"/>
  <c r="IG59" i="13"/>
  <c r="IH59" i="13"/>
  <c r="II59" i="13"/>
  <c r="IJ59" i="13"/>
  <c r="IK59" i="13"/>
  <c r="IL59" i="13"/>
  <c r="IM59" i="13"/>
  <c r="IN59" i="13"/>
  <c r="IO59" i="13"/>
  <c r="IQ59" i="13"/>
  <c r="IR59" i="13"/>
  <c r="E60" i="13"/>
  <c r="F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Q60" i="13"/>
  <c r="IR60" i="13"/>
  <c r="E61" i="13"/>
  <c r="F61" i="13"/>
  <c r="AI61" i="13"/>
  <c r="AJ61" i="13"/>
  <c r="AK61" i="13"/>
  <c r="AL61" i="13"/>
  <c r="AM61" i="13"/>
  <c r="AN61" i="13"/>
  <c r="AO61" i="13"/>
  <c r="AP61" i="13"/>
  <c r="AQ61" i="13"/>
  <c r="AR61" i="13"/>
  <c r="AS61" i="13"/>
  <c r="AT61" i="13"/>
  <c r="AU61" i="13"/>
  <c r="AV61" i="13"/>
  <c r="AW61" i="13"/>
  <c r="AX61" i="13"/>
  <c r="AY61" i="13"/>
  <c r="AZ61" i="13"/>
  <c r="BA61" i="13"/>
  <c r="BB61" i="13"/>
  <c r="BC61" i="13"/>
  <c r="BD61" i="13"/>
  <c r="BE61" i="13"/>
  <c r="BF61" i="13"/>
  <c r="BG61" i="13"/>
  <c r="BH61" i="13"/>
  <c r="BI61" i="13"/>
  <c r="BJ61" i="13"/>
  <c r="BK61" i="13"/>
  <c r="BL61" i="13"/>
  <c r="BM61" i="13"/>
  <c r="BN61" i="13"/>
  <c r="BO61" i="13"/>
  <c r="BP61" i="13"/>
  <c r="BQ61" i="13"/>
  <c r="BR61" i="13"/>
  <c r="BS61" i="13"/>
  <c r="BT61" i="13"/>
  <c r="BU61" i="13"/>
  <c r="BV61" i="13"/>
  <c r="BW61" i="13"/>
  <c r="BX61" i="13"/>
  <c r="BY61" i="13"/>
  <c r="BZ61" i="13"/>
  <c r="CB61" i="13"/>
  <c r="CC61" i="13"/>
  <c r="CD61" i="13"/>
  <c r="CE61" i="13"/>
  <c r="CF61" i="13"/>
  <c r="CG61" i="13"/>
  <c r="CH61" i="13"/>
  <c r="CI61" i="13"/>
  <c r="CJ61" i="13"/>
  <c r="CK61" i="13"/>
  <c r="CL61" i="13"/>
  <c r="CM61" i="13"/>
  <c r="CN61" i="13"/>
  <c r="CO61" i="13"/>
  <c r="CP61" i="13"/>
  <c r="CQ61" i="13"/>
  <c r="CR61" i="13"/>
  <c r="CS61" i="13"/>
  <c r="CT61" i="13"/>
  <c r="CU61" i="13"/>
  <c r="CV61" i="13"/>
  <c r="CW61" i="13"/>
  <c r="CX61" i="13"/>
  <c r="CY61" i="13"/>
  <c r="CZ61" i="13"/>
  <c r="DA61" i="13"/>
  <c r="DB61" i="13"/>
  <c r="DC61" i="13"/>
  <c r="DD61" i="13"/>
  <c r="DE61" i="13"/>
  <c r="DF61" i="13"/>
  <c r="DG61" i="13"/>
  <c r="DH61" i="13"/>
  <c r="DI61" i="13"/>
  <c r="DJ61" i="13"/>
  <c r="DK61" i="13"/>
  <c r="DL61" i="13"/>
  <c r="DM61" i="13"/>
  <c r="DN61" i="13"/>
  <c r="DO61" i="13"/>
  <c r="DP61" i="13"/>
  <c r="DQ61" i="13"/>
  <c r="DR61" i="13"/>
  <c r="DS61" i="13"/>
  <c r="DT61" i="13"/>
  <c r="DU61" i="13"/>
  <c r="DV61" i="13"/>
  <c r="DW61" i="13"/>
  <c r="DX61" i="13"/>
  <c r="DY61" i="13"/>
  <c r="DZ61" i="13"/>
  <c r="EA61" i="13"/>
  <c r="EB61" i="13"/>
  <c r="EC61" i="13"/>
  <c r="ED61" i="13"/>
  <c r="EE61" i="13"/>
  <c r="EF61" i="13"/>
  <c r="EG61" i="13"/>
  <c r="EH61" i="13"/>
  <c r="EI61" i="13"/>
  <c r="EJ61" i="13"/>
  <c r="EK61" i="13"/>
  <c r="EL61" i="13"/>
  <c r="EM61" i="13"/>
  <c r="EN61" i="13"/>
  <c r="EO61" i="13"/>
  <c r="EP61" i="13"/>
  <c r="EQ61" i="13"/>
  <c r="ER61" i="13"/>
  <c r="ES61" i="13"/>
  <c r="ET61" i="13"/>
  <c r="EU61" i="13"/>
  <c r="EV61" i="13"/>
  <c r="EW61" i="13"/>
  <c r="EX61" i="13"/>
  <c r="EY61" i="13"/>
  <c r="EZ61" i="13"/>
  <c r="FA61" i="13"/>
  <c r="FB61" i="13"/>
  <c r="FC61" i="13"/>
  <c r="FD61" i="13"/>
  <c r="FE61" i="13"/>
  <c r="FF61" i="13"/>
  <c r="FG61" i="13"/>
  <c r="FH61" i="13"/>
  <c r="FI61" i="13"/>
  <c r="FJ61" i="13"/>
  <c r="FK61" i="13"/>
  <c r="FL61" i="13"/>
  <c r="FM61" i="13"/>
  <c r="FN61" i="13"/>
  <c r="FO61" i="13"/>
  <c r="FP61" i="13"/>
  <c r="FQ61" i="13"/>
  <c r="FR61" i="13"/>
  <c r="FS61" i="13"/>
  <c r="FT61" i="13"/>
  <c r="FU61" i="13"/>
  <c r="FV61" i="13"/>
  <c r="FW61" i="13"/>
  <c r="FX61" i="13"/>
  <c r="FY61" i="13"/>
  <c r="FZ61" i="13"/>
  <c r="GA61" i="13"/>
  <c r="GB61" i="13"/>
  <c r="GC61" i="13"/>
  <c r="GD61" i="13"/>
  <c r="GE61" i="13"/>
  <c r="GF61" i="13"/>
  <c r="GG61" i="13"/>
  <c r="GH61" i="13"/>
  <c r="GI61" i="13"/>
  <c r="GJ61" i="13"/>
  <c r="GK61" i="13"/>
  <c r="GL61" i="13"/>
  <c r="GM61" i="13"/>
  <c r="GN61" i="13"/>
  <c r="GO61" i="13"/>
  <c r="GP61" i="13"/>
  <c r="GQ61" i="13"/>
  <c r="GR61" i="13"/>
  <c r="GS61" i="13"/>
  <c r="GT61" i="13"/>
  <c r="GU61" i="13"/>
  <c r="GV61" i="13"/>
  <c r="GW61" i="13"/>
  <c r="GX61" i="13"/>
  <c r="GY61" i="13"/>
  <c r="GZ61" i="13"/>
  <c r="HA61" i="13"/>
  <c r="HB61" i="13"/>
  <c r="HC61" i="13"/>
  <c r="HD61" i="13"/>
  <c r="HE61" i="13"/>
  <c r="HF61" i="13"/>
  <c r="HG61" i="13"/>
  <c r="HH61" i="13"/>
  <c r="HI61" i="13"/>
  <c r="HJ61" i="13"/>
  <c r="HK61" i="13"/>
  <c r="HL61" i="13"/>
  <c r="HM61" i="13"/>
  <c r="HN61" i="13"/>
  <c r="HO61" i="13"/>
  <c r="HP61" i="13"/>
  <c r="HQ61" i="13"/>
  <c r="HR61" i="13"/>
  <c r="HS61" i="13"/>
  <c r="HT61" i="13"/>
  <c r="HU61" i="13"/>
  <c r="HV61" i="13"/>
  <c r="HW61" i="13"/>
  <c r="HX61" i="13"/>
  <c r="HY61" i="13"/>
  <c r="HZ61" i="13"/>
  <c r="IA61" i="13"/>
  <c r="IB61" i="13"/>
  <c r="IC61" i="13"/>
  <c r="ID61" i="13"/>
  <c r="IE61" i="13"/>
  <c r="IF61" i="13"/>
  <c r="IG61" i="13"/>
  <c r="IH61" i="13"/>
  <c r="II61" i="13"/>
  <c r="IJ61" i="13"/>
  <c r="IK61" i="13"/>
  <c r="IL61" i="13"/>
  <c r="IM61" i="13"/>
  <c r="IN61" i="13"/>
  <c r="IO61" i="13"/>
  <c r="IQ61" i="13"/>
  <c r="IR61" i="13"/>
  <c r="E62" i="13"/>
  <c r="F62" i="13"/>
  <c r="AI62" i="13"/>
  <c r="AJ62" i="13"/>
  <c r="AK62" i="13"/>
  <c r="AL62" i="13"/>
  <c r="AM62" i="13"/>
  <c r="AN62" i="13"/>
  <c r="AO62" i="13"/>
  <c r="AP62" i="13"/>
  <c r="AQ62" i="13"/>
  <c r="AR62" i="13"/>
  <c r="AS62" i="13"/>
  <c r="AT62" i="13"/>
  <c r="AU62" i="13"/>
  <c r="AV62" i="13"/>
  <c r="AW62" i="13"/>
  <c r="AX62" i="13"/>
  <c r="AY62" i="13"/>
  <c r="AZ62" i="13"/>
  <c r="BA62" i="13"/>
  <c r="BB62" i="13"/>
  <c r="BC62" i="13"/>
  <c r="BD62" i="13"/>
  <c r="BE62" i="13"/>
  <c r="BF62" i="13"/>
  <c r="BG62" i="13"/>
  <c r="BH62" i="13"/>
  <c r="BI62" i="13"/>
  <c r="BJ62" i="13"/>
  <c r="BK62" i="13"/>
  <c r="BL62" i="13"/>
  <c r="BM62" i="13"/>
  <c r="BN62" i="13"/>
  <c r="BO62" i="13"/>
  <c r="BP62" i="13"/>
  <c r="BQ62" i="13"/>
  <c r="BR62" i="13"/>
  <c r="BS62" i="13"/>
  <c r="BT62" i="13"/>
  <c r="BU62" i="13"/>
  <c r="BV62" i="13"/>
  <c r="BW62" i="13"/>
  <c r="BX62" i="13"/>
  <c r="BY62" i="13"/>
  <c r="BZ62" i="13"/>
  <c r="CB62" i="13"/>
  <c r="CC62" i="13"/>
  <c r="CD62" i="13"/>
  <c r="CE62" i="13"/>
  <c r="CF62" i="13"/>
  <c r="CG62" i="13"/>
  <c r="CH62" i="13"/>
  <c r="CI62" i="13"/>
  <c r="CJ62" i="13"/>
  <c r="CK62" i="13"/>
  <c r="CL62" i="13"/>
  <c r="CM62" i="13"/>
  <c r="CN62" i="13"/>
  <c r="CO62" i="13"/>
  <c r="CP62" i="13"/>
  <c r="CQ62" i="13"/>
  <c r="CR62" i="13"/>
  <c r="CS62" i="13"/>
  <c r="CT62" i="13"/>
  <c r="CU62" i="13"/>
  <c r="CV62" i="13"/>
  <c r="CW62" i="13"/>
  <c r="CX62" i="13"/>
  <c r="CY62" i="13"/>
  <c r="CZ62" i="13"/>
  <c r="DA62" i="13"/>
  <c r="DB62" i="13"/>
  <c r="DC62" i="13"/>
  <c r="DD62" i="13"/>
  <c r="DE62" i="13"/>
  <c r="DF62" i="13"/>
  <c r="DG62" i="13"/>
  <c r="DH62" i="13"/>
  <c r="DI62" i="13"/>
  <c r="DJ62" i="13"/>
  <c r="DK62" i="13"/>
  <c r="DL62" i="13"/>
  <c r="DM62" i="13"/>
  <c r="DN62" i="13"/>
  <c r="DO62" i="13"/>
  <c r="DP62" i="13"/>
  <c r="DQ62" i="13"/>
  <c r="DR62" i="13"/>
  <c r="DS62" i="13"/>
  <c r="DT62" i="13"/>
  <c r="DU62" i="13"/>
  <c r="DV62" i="13"/>
  <c r="DW62" i="13"/>
  <c r="DX62" i="13"/>
  <c r="DY62" i="13"/>
  <c r="DZ62" i="13"/>
  <c r="EA62" i="13"/>
  <c r="EB62" i="13"/>
  <c r="EC62" i="13"/>
  <c r="ED62" i="13"/>
  <c r="EE62" i="13"/>
  <c r="EF62" i="13"/>
  <c r="EG62" i="13"/>
  <c r="EH62" i="13"/>
  <c r="EI62" i="13"/>
  <c r="EJ62" i="13"/>
  <c r="EK62" i="13"/>
  <c r="EL62" i="13"/>
  <c r="EM62" i="13"/>
  <c r="EN62" i="13"/>
  <c r="EO62" i="13"/>
  <c r="EP62" i="13"/>
  <c r="EQ62" i="13"/>
  <c r="ER62" i="13"/>
  <c r="ES62" i="13"/>
  <c r="ET62" i="13"/>
  <c r="EU62" i="13"/>
  <c r="EV62" i="13"/>
  <c r="EW62" i="13"/>
  <c r="EX62" i="13"/>
  <c r="EY62" i="13"/>
  <c r="EZ62" i="13"/>
  <c r="FA62" i="13"/>
  <c r="FB62" i="13"/>
  <c r="FC62" i="13"/>
  <c r="FD62" i="13"/>
  <c r="FE62" i="13"/>
  <c r="FF62" i="13"/>
  <c r="FG62" i="13"/>
  <c r="FH62" i="13"/>
  <c r="FI62" i="13"/>
  <c r="FJ62" i="13"/>
  <c r="FK62" i="13"/>
  <c r="FL62" i="13"/>
  <c r="FM62" i="13"/>
  <c r="FN62" i="13"/>
  <c r="FO62" i="13"/>
  <c r="FP62" i="13"/>
  <c r="FQ62" i="13"/>
  <c r="FR62" i="13"/>
  <c r="FS62" i="13"/>
  <c r="FT62" i="13"/>
  <c r="FU62" i="13"/>
  <c r="FV62" i="13"/>
  <c r="FW62" i="13"/>
  <c r="FX62" i="13"/>
  <c r="FY62" i="13"/>
  <c r="FZ62" i="13"/>
  <c r="GA62" i="13"/>
  <c r="GB62" i="13"/>
  <c r="GC62" i="13"/>
  <c r="GD62" i="13"/>
  <c r="GE62" i="13"/>
  <c r="GF62" i="13"/>
  <c r="GG62" i="13"/>
  <c r="GH62" i="13"/>
  <c r="GI62" i="13"/>
  <c r="GJ62" i="13"/>
  <c r="GK62" i="13"/>
  <c r="GL62" i="13"/>
  <c r="GM62" i="13"/>
  <c r="GN62" i="13"/>
  <c r="GO62" i="13"/>
  <c r="GP62" i="13"/>
  <c r="GQ62" i="13"/>
  <c r="GR62" i="13"/>
  <c r="GS62" i="13"/>
  <c r="GT62" i="13"/>
  <c r="GU62" i="13"/>
  <c r="GV62" i="13"/>
  <c r="GW62" i="13"/>
  <c r="GX62" i="13"/>
  <c r="GY62" i="13"/>
  <c r="GZ62" i="13"/>
  <c r="HA62" i="13"/>
  <c r="HB62" i="13"/>
  <c r="HC62" i="13"/>
  <c r="HD62" i="13"/>
  <c r="HE62" i="13"/>
  <c r="HF62" i="13"/>
  <c r="HG62" i="13"/>
  <c r="HH62" i="13"/>
  <c r="HI62" i="13"/>
  <c r="HJ62" i="13"/>
  <c r="HK62" i="13"/>
  <c r="HL62" i="13"/>
  <c r="HM62" i="13"/>
  <c r="HN62" i="13"/>
  <c r="HO62" i="13"/>
  <c r="HP62" i="13"/>
  <c r="HQ62" i="13"/>
  <c r="HR62" i="13"/>
  <c r="HS62" i="13"/>
  <c r="HT62" i="13"/>
  <c r="HU62" i="13"/>
  <c r="HV62" i="13"/>
  <c r="HW62" i="13"/>
  <c r="HX62" i="13"/>
  <c r="HY62" i="13"/>
  <c r="HZ62" i="13"/>
  <c r="IA62" i="13"/>
  <c r="IB62" i="13"/>
  <c r="IC62" i="13"/>
  <c r="ID62" i="13"/>
  <c r="IE62" i="13"/>
  <c r="IF62" i="13"/>
  <c r="IG62" i="13"/>
  <c r="IH62" i="13"/>
  <c r="II62" i="13"/>
  <c r="IJ62" i="13"/>
  <c r="IK62" i="13"/>
  <c r="IL62" i="13"/>
  <c r="IM62" i="13"/>
  <c r="IN62" i="13"/>
  <c r="IO62" i="13"/>
  <c r="IQ62" i="13"/>
  <c r="IR62" i="13"/>
  <c r="AJ26" i="5"/>
  <c r="AJ25" i="5"/>
  <c r="D26" i="5"/>
  <c r="H26" i="5"/>
  <c r="K26" i="5"/>
  <c r="R26" i="5"/>
  <c r="T26" i="5" s="1"/>
  <c r="AB26" i="5"/>
  <c r="AC26" i="5"/>
  <c r="AD26" i="5"/>
  <c r="AE26" i="5"/>
  <c r="D25" i="5"/>
  <c r="H25" i="5"/>
  <c r="K25" i="5"/>
  <c r="R25" i="5"/>
  <c r="T25" i="5" s="1"/>
  <c r="AB25" i="5"/>
  <c r="AC25" i="5"/>
  <c r="AD25" i="5"/>
  <c r="AE25" i="5"/>
  <c r="Q571" i="18"/>
  <c r="Q570" i="18"/>
  <c r="Q569" i="18"/>
  <c r="P571" i="18"/>
  <c r="P570" i="18"/>
  <c r="P569" i="18"/>
  <c r="O571" i="18"/>
  <c r="O570" i="18"/>
  <c r="O569" i="18"/>
  <c r="M571" i="18"/>
  <c r="M570" i="18"/>
  <c r="M569" i="18"/>
  <c r="L571" i="18"/>
  <c r="L569" i="18"/>
  <c r="K571" i="18"/>
  <c r="K570" i="18"/>
  <c r="K569" i="18"/>
  <c r="KD28" i="1"/>
  <c r="KC28" i="1"/>
  <c r="KB28" i="1"/>
  <c r="KA28" i="1"/>
  <c r="JZ28" i="1"/>
  <c r="JY28" i="1"/>
  <c r="JX28" i="1"/>
  <c r="JW28" i="1"/>
  <c r="JV28" i="1"/>
  <c r="JU28" i="1"/>
  <c r="C28" i="1"/>
  <c r="D28" i="1"/>
  <c r="G28" i="1"/>
  <c r="H28" i="1"/>
  <c r="I28" i="1"/>
  <c r="KG28" i="1"/>
  <c r="KH28" i="1"/>
  <c r="KI28" i="1"/>
  <c r="KJ28" i="1"/>
  <c r="KK28" i="1"/>
  <c r="KL28" i="1"/>
  <c r="KM28" i="1"/>
  <c r="KQ28" i="1"/>
  <c r="D7" i="7"/>
  <c r="D8" i="7"/>
  <c r="H6" i="7"/>
  <c r="H7" i="7"/>
  <c r="H8" i="7"/>
  <c r="H9" i="7"/>
  <c r="H10" i="7"/>
  <c r="H11" i="7"/>
  <c r="H5" i="7"/>
  <c r="N7" i="7"/>
  <c r="O7" i="7"/>
  <c r="N8" i="7"/>
  <c r="O8" i="7"/>
  <c r="G22" i="1"/>
  <c r="H22" i="1"/>
  <c r="C629" i="18" l="1"/>
  <c r="B630" i="18"/>
  <c r="D629" i="18"/>
  <c r="G629" i="18"/>
  <c r="H629" i="18" s="1"/>
  <c r="KE30" i="1"/>
  <c r="KF29" i="1"/>
  <c r="KF30" i="1"/>
  <c r="KE29" i="1"/>
  <c r="KN29" i="1"/>
  <c r="KF28" i="1"/>
  <c r="KE28" i="1"/>
  <c r="KN28" i="1"/>
  <c r="AJ20" i="5"/>
  <c r="AJ21" i="5"/>
  <c r="AJ22" i="5"/>
  <c r="AJ23" i="5"/>
  <c r="AJ24" i="5"/>
  <c r="KI27" i="1"/>
  <c r="KN27" i="1"/>
  <c r="G630" i="18" l="1"/>
  <c r="H630" i="18" s="1"/>
  <c r="C630" i="18"/>
  <c r="D630" i="18"/>
  <c r="R24" i="5"/>
  <c r="T24" i="5" s="1"/>
  <c r="AB24" i="5"/>
  <c r="AC24" i="5"/>
  <c r="AD24" i="5"/>
  <c r="AE24" i="5"/>
  <c r="D23" i="5"/>
  <c r="H23" i="5"/>
  <c r="K23" i="5"/>
  <c r="R23" i="5"/>
  <c r="T23" i="5" s="1"/>
  <c r="AB23" i="5"/>
  <c r="AC23" i="5"/>
  <c r="AD23" i="5"/>
  <c r="AE23" i="5"/>
  <c r="D22" i="5"/>
  <c r="H22" i="5"/>
  <c r="K22" i="5"/>
  <c r="R22" i="5"/>
  <c r="T22" i="5" s="1"/>
  <c r="AB22" i="5"/>
  <c r="AC22" i="5"/>
  <c r="AD22" i="5"/>
  <c r="AE22" i="5"/>
  <c r="KD27" i="1"/>
  <c r="KC27" i="1"/>
  <c r="JZ27" i="1"/>
  <c r="JX27" i="1"/>
  <c r="KB27" i="1"/>
  <c r="KA27" i="1"/>
  <c r="JY27" i="1"/>
  <c r="JW27" i="1"/>
  <c r="JV27" i="1"/>
  <c r="JU27" i="1"/>
  <c r="C27" i="1"/>
  <c r="D27" i="1"/>
  <c r="G27" i="1"/>
  <c r="H27" i="1"/>
  <c r="I27" i="1"/>
  <c r="KG27" i="1"/>
  <c r="KH27" i="1"/>
  <c r="KJ27" i="1"/>
  <c r="KK27" i="1"/>
  <c r="KL27" i="1"/>
  <c r="KM27" i="1"/>
  <c r="KQ27" i="1"/>
  <c r="D21" i="5"/>
  <c r="H21" i="5"/>
  <c r="K21" i="5"/>
  <c r="R21" i="5"/>
  <c r="T21" i="5" s="1"/>
  <c r="AB21" i="5"/>
  <c r="AC21" i="5"/>
  <c r="AD21" i="5"/>
  <c r="AE21" i="5"/>
  <c r="D20" i="5"/>
  <c r="H20" i="5"/>
  <c r="K20" i="5"/>
  <c r="R20" i="5"/>
  <c r="T20" i="5" s="1"/>
  <c r="AB20" i="5"/>
  <c r="AC20" i="5"/>
  <c r="AD20" i="5"/>
  <c r="AE20" i="5"/>
  <c r="KN26" i="1"/>
  <c r="KD26" i="1"/>
  <c r="KC26" i="1"/>
  <c r="KB26" i="1"/>
  <c r="KA26" i="1"/>
  <c r="JZ26" i="1"/>
  <c r="JY26" i="1"/>
  <c r="JX26" i="1"/>
  <c r="JW26" i="1"/>
  <c r="JV26" i="1"/>
  <c r="JU26" i="1"/>
  <c r="C26" i="1"/>
  <c r="D26" i="1"/>
  <c r="G26" i="1"/>
  <c r="H26" i="1"/>
  <c r="I26" i="1"/>
  <c r="KG26" i="1"/>
  <c r="KH26" i="1"/>
  <c r="KI26" i="1"/>
  <c r="KJ26" i="1"/>
  <c r="KK26" i="1"/>
  <c r="KL26" i="1"/>
  <c r="KM26" i="1"/>
  <c r="KQ26" i="1"/>
  <c r="S24" i="5" l="1"/>
  <c r="AH24" i="5"/>
  <c r="KF27" i="1"/>
  <c r="KE27" i="1"/>
  <c r="KF26" i="1"/>
  <c r="KE26" i="1"/>
  <c r="KN25" i="1"/>
  <c r="KM25" i="1"/>
  <c r="KL25" i="1"/>
  <c r="KK25" i="1"/>
  <c r="KJ25" i="1"/>
  <c r="KI25" i="1"/>
  <c r="KH25" i="1"/>
  <c r="KD25" i="1"/>
  <c r="KC25" i="1"/>
  <c r="KB25" i="1"/>
  <c r="KA25" i="1"/>
  <c r="JZ25" i="1"/>
  <c r="JY25" i="1"/>
  <c r="JX25" i="1"/>
  <c r="JW25" i="1"/>
  <c r="JV25" i="1"/>
  <c r="JU25" i="1"/>
  <c r="I25" i="1"/>
  <c r="H25" i="1"/>
  <c r="G25" i="1"/>
  <c r="D25" i="1"/>
  <c r="C25" i="1"/>
  <c r="KN24" i="1"/>
  <c r="KI24" i="1"/>
  <c r="JU24" i="1"/>
  <c r="JV24" i="1"/>
  <c r="JW24" i="1"/>
  <c r="JX24" i="1"/>
  <c r="JY24" i="1"/>
  <c r="JZ24" i="1"/>
  <c r="KA24" i="1"/>
  <c r="KB24" i="1"/>
  <c r="KD24" i="1"/>
  <c r="C24" i="1"/>
  <c r="D24" i="1"/>
  <c r="G24" i="1"/>
  <c r="H24" i="1"/>
  <c r="I24" i="1"/>
  <c r="KH24" i="1"/>
  <c r="KJ24" i="1"/>
  <c r="KK24" i="1"/>
  <c r="KL24" i="1"/>
  <c r="KM24" i="1"/>
  <c r="KQ24" i="1"/>
  <c r="L565" i="18"/>
  <c r="L564" i="18"/>
  <c r="K566" i="18"/>
  <c r="K565" i="18"/>
  <c r="K564" i="18"/>
  <c r="KN22" i="1"/>
  <c r="KN23" i="1"/>
  <c r="KM23" i="1"/>
  <c r="KI23" i="1"/>
  <c r="KD23" i="1"/>
  <c r="KC23" i="1"/>
  <c r="KB23" i="1"/>
  <c r="KA23" i="1"/>
  <c r="JZ23" i="1"/>
  <c r="JY23" i="1"/>
  <c r="JX23" i="1"/>
  <c r="JW23" i="1"/>
  <c r="JV23" i="1"/>
  <c r="JU23" i="1"/>
  <c r="C23" i="1"/>
  <c r="D23" i="1"/>
  <c r="G23" i="1"/>
  <c r="H23" i="1"/>
  <c r="I23" i="1"/>
  <c r="KG23" i="1"/>
  <c r="KH23" i="1"/>
  <c r="KJ23" i="1"/>
  <c r="KK23" i="1"/>
  <c r="KL23" i="1"/>
  <c r="KQ23" i="1"/>
  <c r="JU22" i="1"/>
  <c r="JV22" i="1"/>
  <c r="JW22" i="1"/>
  <c r="JX22" i="1"/>
  <c r="JY22" i="1"/>
  <c r="JZ22" i="1"/>
  <c r="KA22" i="1"/>
  <c r="KB22" i="1"/>
  <c r="KC22" i="1"/>
  <c r="KD22" i="1"/>
  <c r="C22" i="1"/>
  <c r="D22" i="1"/>
  <c r="I22" i="1"/>
  <c r="KG22" i="1"/>
  <c r="KH22" i="1"/>
  <c r="KI22" i="1"/>
  <c r="KJ22" i="1"/>
  <c r="KK22" i="1"/>
  <c r="KL22" i="1"/>
  <c r="KM22" i="1"/>
  <c r="KQ22" i="1"/>
  <c r="AB18" i="5"/>
  <c r="AB17" i="5"/>
  <c r="AB16" i="5"/>
  <c r="AB15" i="5"/>
  <c r="D19" i="5"/>
  <c r="H19" i="5"/>
  <c r="K19" i="5"/>
  <c r="R19" i="5"/>
  <c r="AC19" i="5"/>
  <c r="AD19" i="5"/>
  <c r="AE19" i="5"/>
  <c r="KN21" i="1"/>
  <c r="KD21" i="1"/>
  <c r="KC21" i="1"/>
  <c r="KB21" i="1"/>
  <c r="KA21" i="1"/>
  <c r="JZ21" i="1"/>
  <c r="JY21" i="1"/>
  <c r="JX21" i="1"/>
  <c r="JW21" i="1"/>
  <c r="JV21" i="1"/>
  <c r="JU21" i="1"/>
  <c r="KF25" i="1" l="1"/>
  <c r="AJ19" i="5"/>
  <c r="KE25" i="1"/>
  <c r="KF24" i="1"/>
  <c r="KE24" i="1"/>
  <c r="KE22" i="1"/>
  <c r="KF23" i="1"/>
  <c r="KE23" i="1"/>
  <c r="KF22" i="1"/>
  <c r="I21" i="1" l="1"/>
  <c r="KE21" i="1"/>
  <c r="KF21" i="1"/>
  <c r="KG21" i="1"/>
  <c r="KH21" i="1"/>
  <c r="KI21" i="1"/>
  <c r="KJ21" i="1"/>
  <c r="KK21" i="1"/>
  <c r="KL21" i="1"/>
  <c r="KM21" i="1"/>
  <c r="KQ21" i="1"/>
  <c r="AD18" i="5"/>
  <c r="AE18" i="5"/>
  <c r="AE17" i="5"/>
  <c r="AC18" i="5"/>
  <c r="H18" i="5"/>
  <c r="AC17" i="5"/>
  <c r="D18" i="5"/>
  <c r="K18" i="5"/>
  <c r="R18" i="5"/>
  <c r="JU20" i="1"/>
  <c r="JV20" i="1"/>
  <c r="JW20" i="1"/>
  <c r="JX20" i="1"/>
  <c r="JY20" i="1"/>
  <c r="JZ20" i="1"/>
  <c r="KA20" i="1"/>
  <c r="KB20" i="1"/>
  <c r="KC20" i="1"/>
  <c r="KD20" i="1"/>
  <c r="I20" i="1"/>
  <c r="KN20" i="1"/>
  <c r="KG20" i="1"/>
  <c r="KH20" i="1"/>
  <c r="KI20" i="1"/>
  <c r="KJ20" i="1"/>
  <c r="KK20" i="1"/>
  <c r="KL20" i="1"/>
  <c r="KM20" i="1"/>
  <c r="KQ20" i="1"/>
  <c r="B561" i="19"/>
  <c r="B562" i="19" s="1"/>
  <c r="B563" i="19" s="1"/>
  <c r="R3" i="18"/>
  <c r="R4" i="18"/>
  <c r="R5" i="18"/>
  <c r="R6" i="18"/>
  <c r="R7" i="18"/>
  <c r="R8" i="18"/>
  <c r="R9" i="18"/>
  <c r="R10" i="18"/>
  <c r="R11" i="18"/>
  <c r="R12" i="18"/>
  <c r="R13" i="18"/>
  <c r="R14" i="18"/>
  <c r="R15" i="18"/>
  <c r="R16" i="18"/>
  <c r="R17" i="18"/>
  <c r="R18" i="18"/>
  <c r="R19" i="18"/>
  <c r="R20" i="18"/>
  <c r="R21" i="18"/>
  <c r="R22" i="18"/>
  <c r="R23" i="18"/>
  <c r="R24" i="18"/>
  <c r="R25" i="18"/>
  <c r="R26" i="18"/>
  <c r="R27" i="18"/>
  <c r="R28" i="18"/>
  <c r="R29" i="18"/>
  <c r="R30" i="18"/>
  <c r="R31" i="18"/>
  <c r="R32" i="18"/>
  <c r="R33" i="18"/>
  <c r="R34" i="18"/>
  <c r="R35" i="18"/>
  <c r="R36" i="18"/>
  <c r="R37" i="18"/>
  <c r="R38" i="18"/>
  <c r="R39" i="18"/>
  <c r="R40" i="18"/>
  <c r="R41" i="18"/>
  <c r="R42" i="18"/>
  <c r="R43" i="18"/>
  <c r="R44" i="18"/>
  <c r="R45" i="18"/>
  <c r="R46" i="18"/>
  <c r="R47" i="18"/>
  <c r="R48" i="18"/>
  <c r="R49" i="18"/>
  <c r="R50" i="18"/>
  <c r="R51" i="18"/>
  <c r="R52" i="18"/>
  <c r="R53" i="18"/>
  <c r="R54" i="18"/>
  <c r="R55" i="18"/>
  <c r="R56" i="18"/>
  <c r="R57" i="18"/>
  <c r="R58" i="18"/>
  <c r="R59" i="18"/>
  <c r="R60" i="18"/>
  <c r="R61" i="18"/>
  <c r="R62" i="18"/>
  <c r="R63" i="18"/>
  <c r="R64" i="18"/>
  <c r="R65" i="18"/>
  <c r="R66" i="18"/>
  <c r="R67" i="18"/>
  <c r="R68" i="18"/>
  <c r="R69" i="18"/>
  <c r="R70" i="18"/>
  <c r="R71" i="18"/>
  <c r="R72" i="18"/>
  <c r="R73" i="18"/>
  <c r="R74" i="18"/>
  <c r="R75" i="18"/>
  <c r="R76" i="18"/>
  <c r="R77" i="18"/>
  <c r="R78" i="18"/>
  <c r="R79" i="18"/>
  <c r="R80" i="18"/>
  <c r="R81" i="18"/>
  <c r="R82" i="18"/>
  <c r="R83" i="18"/>
  <c r="R84" i="18"/>
  <c r="R85" i="18"/>
  <c r="R86" i="18"/>
  <c r="R87" i="18"/>
  <c r="R88" i="18"/>
  <c r="R89" i="18"/>
  <c r="R90" i="18"/>
  <c r="R91" i="18"/>
  <c r="R92" i="18"/>
  <c r="R93" i="18"/>
  <c r="R94" i="18"/>
  <c r="R95" i="18"/>
  <c r="R96" i="18"/>
  <c r="R97" i="18"/>
  <c r="R98" i="18"/>
  <c r="R99" i="18"/>
  <c r="R100" i="18"/>
  <c r="R101" i="18"/>
  <c r="R102" i="18"/>
  <c r="R103" i="18"/>
  <c r="R104" i="18"/>
  <c r="R105" i="18"/>
  <c r="R106" i="18"/>
  <c r="R107" i="18"/>
  <c r="R108" i="18"/>
  <c r="R109" i="18"/>
  <c r="R110" i="18"/>
  <c r="R111" i="18"/>
  <c r="R112" i="18"/>
  <c r="R113" i="18"/>
  <c r="R114" i="18"/>
  <c r="R115" i="18"/>
  <c r="R116" i="18"/>
  <c r="R117" i="18"/>
  <c r="R118" i="18"/>
  <c r="R119" i="18"/>
  <c r="R120" i="18"/>
  <c r="R121" i="18"/>
  <c r="R122" i="18"/>
  <c r="R123" i="18"/>
  <c r="R124" i="18"/>
  <c r="R125" i="18"/>
  <c r="R126" i="18"/>
  <c r="R127" i="18"/>
  <c r="R128" i="18"/>
  <c r="R129" i="18"/>
  <c r="R130" i="18"/>
  <c r="R131" i="18"/>
  <c r="R132" i="18"/>
  <c r="R133" i="18"/>
  <c r="R134" i="18"/>
  <c r="R135" i="18"/>
  <c r="R136" i="18"/>
  <c r="R137" i="18"/>
  <c r="R138" i="18"/>
  <c r="R139" i="18"/>
  <c r="R140" i="18"/>
  <c r="R141" i="18"/>
  <c r="R142" i="18"/>
  <c r="R143" i="18"/>
  <c r="R144" i="18"/>
  <c r="R145" i="18"/>
  <c r="R146" i="18"/>
  <c r="R147" i="18"/>
  <c r="R148" i="18"/>
  <c r="R149" i="18"/>
  <c r="R150" i="18"/>
  <c r="R151" i="18"/>
  <c r="R152" i="18"/>
  <c r="R153" i="18"/>
  <c r="R154" i="18"/>
  <c r="R155" i="18"/>
  <c r="R156" i="18"/>
  <c r="R157" i="18"/>
  <c r="R158" i="18"/>
  <c r="R159" i="18"/>
  <c r="R160" i="18"/>
  <c r="R161" i="18"/>
  <c r="R162" i="18"/>
  <c r="R163" i="18"/>
  <c r="R164" i="18"/>
  <c r="R165" i="18"/>
  <c r="R166" i="18"/>
  <c r="R167" i="18"/>
  <c r="R168" i="18"/>
  <c r="R169" i="18"/>
  <c r="R170" i="18"/>
  <c r="R171" i="18"/>
  <c r="R172" i="18"/>
  <c r="R173" i="18"/>
  <c r="R174" i="18"/>
  <c r="R175" i="18"/>
  <c r="R176" i="18"/>
  <c r="R177" i="18"/>
  <c r="R178" i="18"/>
  <c r="R179" i="18"/>
  <c r="R180" i="18"/>
  <c r="R181" i="18"/>
  <c r="R182" i="18"/>
  <c r="R183" i="18"/>
  <c r="R184" i="18"/>
  <c r="R185" i="18"/>
  <c r="R186" i="18"/>
  <c r="R187" i="18"/>
  <c r="R188" i="18"/>
  <c r="R189" i="18"/>
  <c r="R190" i="18"/>
  <c r="R191" i="18"/>
  <c r="R192" i="18"/>
  <c r="R193" i="18"/>
  <c r="R194" i="18"/>
  <c r="R195" i="18"/>
  <c r="R196" i="18"/>
  <c r="R197" i="18"/>
  <c r="R198" i="18"/>
  <c r="R199" i="18"/>
  <c r="R200" i="18"/>
  <c r="R201" i="18"/>
  <c r="R202" i="18"/>
  <c r="R203" i="18"/>
  <c r="R204" i="18"/>
  <c r="R205" i="18"/>
  <c r="R206" i="18"/>
  <c r="R207" i="18"/>
  <c r="R208" i="18"/>
  <c r="R209" i="18"/>
  <c r="R210" i="18"/>
  <c r="R211" i="18"/>
  <c r="R212" i="18"/>
  <c r="R213" i="18"/>
  <c r="R214" i="18"/>
  <c r="R215" i="18"/>
  <c r="R216" i="18"/>
  <c r="R217" i="18"/>
  <c r="R218" i="18"/>
  <c r="R219" i="18"/>
  <c r="R220" i="18"/>
  <c r="R221" i="18"/>
  <c r="R222" i="18"/>
  <c r="R223" i="18"/>
  <c r="R224" i="18"/>
  <c r="R225" i="18"/>
  <c r="R226" i="18"/>
  <c r="R227" i="18"/>
  <c r="R228" i="18"/>
  <c r="R229" i="18"/>
  <c r="R230" i="18"/>
  <c r="R231" i="18"/>
  <c r="R232" i="18"/>
  <c r="R233" i="18"/>
  <c r="R234" i="18"/>
  <c r="R235" i="18"/>
  <c r="R236" i="18"/>
  <c r="R237" i="18"/>
  <c r="R238" i="18"/>
  <c r="R239" i="18"/>
  <c r="R240" i="18"/>
  <c r="R241" i="18"/>
  <c r="R242" i="18"/>
  <c r="R243" i="18"/>
  <c r="R244" i="18"/>
  <c r="R245" i="18"/>
  <c r="R246" i="18"/>
  <c r="R247" i="18"/>
  <c r="R248" i="18"/>
  <c r="R249" i="18"/>
  <c r="R250" i="18"/>
  <c r="R251" i="18"/>
  <c r="R252" i="18"/>
  <c r="R253" i="18"/>
  <c r="R254" i="18"/>
  <c r="R255" i="18"/>
  <c r="R256" i="18"/>
  <c r="R257" i="18"/>
  <c r="R258" i="18"/>
  <c r="R259" i="18"/>
  <c r="R260" i="18"/>
  <c r="R261" i="18"/>
  <c r="R262" i="18"/>
  <c r="R263" i="18"/>
  <c r="R264" i="18"/>
  <c r="R265" i="18"/>
  <c r="R266" i="18"/>
  <c r="R267" i="18"/>
  <c r="R268" i="18"/>
  <c r="R269" i="18"/>
  <c r="R270" i="18"/>
  <c r="R271" i="18"/>
  <c r="R272" i="18"/>
  <c r="R273" i="18"/>
  <c r="R274" i="18"/>
  <c r="R275" i="18"/>
  <c r="R276" i="18"/>
  <c r="R277" i="18"/>
  <c r="R278" i="18"/>
  <c r="R279" i="18"/>
  <c r="R280" i="18"/>
  <c r="R281" i="18"/>
  <c r="R282" i="18"/>
  <c r="R283" i="18"/>
  <c r="R284" i="18"/>
  <c r="R285" i="18"/>
  <c r="R286" i="18"/>
  <c r="R287" i="18"/>
  <c r="R288" i="18"/>
  <c r="R289" i="18"/>
  <c r="R290" i="18"/>
  <c r="R291" i="18"/>
  <c r="R292" i="18"/>
  <c r="R293" i="18"/>
  <c r="R294" i="18"/>
  <c r="R295" i="18"/>
  <c r="R296" i="18"/>
  <c r="R297" i="18"/>
  <c r="R298" i="18"/>
  <c r="R299" i="18"/>
  <c r="R300" i="18"/>
  <c r="R301" i="18"/>
  <c r="R302" i="18"/>
  <c r="R303" i="18"/>
  <c r="R304" i="18"/>
  <c r="R305" i="18"/>
  <c r="R306" i="18"/>
  <c r="R307" i="18"/>
  <c r="R308" i="18"/>
  <c r="R309" i="18"/>
  <c r="R310" i="18"/>
  <c r="R311" i="18"/>
  <c r="R312" i="18"/>
  <c r="R313" i="18"/>
  <c r="R314" i="18"/>
  <c r="R315" i="18"/>
  <c r="R316" i="18"/>
  <c r="R317" i="18"/>
  <c r="R318" i="18"/>
  <c r="R319" i="18"/>
  <c r="R320" i="18"/>
  <c r="R321" i="18"/>
  <c r="R322" i="18"/>
  <c r="R323" i="18"/>
  <c r="R324" i="18"/>
  <c r="R325" i="18"/>
  <c r="R326" i="18"/>
  <c r="R327" i="18"/>
  <c r="R328" i="18"/>
  <c r="R329" i="18"/>
  <c r="R330" i="18"/>
  <c r="R331" i="18"/>
  <c r="R332" i="18"/>
  <c r="R333" i="18"/>
  <c r="R334" i="18"/>
  <c r="R335" i="18"/>
  <c r="R336" i="18"/>
  <c r="R337" i="18"/>
  <c r="R338" i="18"/>
  <c r="R339" i="18"/>
  <c r="R340" i="18"/>
  <c r="R341" i="18"/>
  <c r="R342" i="18"/>
  <c r="R343" i="18"/>
  <c r="R344" i="18"/>
  <c r="R345" i="18"/>
  <c r="R346" i="18"/>
  <c r="R347" i="18"/>
  <c r="R348" i="18"/>
  <c r="R349" i="18"/>
  <c r="R350" i="18"/>
  <c r="R351" i="18"/>
  <c r="R352" i="18"/>
  <c r="R353" i="18"/>
  <c r="R354" i="18"/>
  <c r="R355" i="18"/>
  <c r="R356" i="18"/>
  <c r="R357" i="18"/>
  <c r="R358" i="18"/>
  <c r="R359" i="18"/>
  <c r="R360" i="18"/>
  <c r="R361" i="18"/>
  <c r="R362" i="18"/>
  <c r="R363" i="18"/>
  <c r="R364" i="18"/>
  <c r="R365" i="18"/>
  <c r="R366" i="18"/>
  <c r="R367" i="18"/>
  <c r="R368" i="18"/>
  <c r="R369" i="18"/>
  <c r="R370" i="18"/>
  <c r="R371" i="18"/>
  <c r="R372" i="18"/>
  <c r="R373" i="18"/>
  <c r="R374" i="18"/>
  <c r="R375" i="18"/>
  <c r="R376" i="18"/>
  <c r="R377" i="18"/>
  <c r="R378" i="18"/>
  <c r="R379" i="18"/>
  <c r="R380" i="18"/>
  <c r="R381" i="18"/>
  <c r="R382" i="18"/>
  <c r="R383" i="18"/>
  <c r="R384" i="18"/>
  <c r="R385" i="18"/>
  <c r="R386" i="18"/>
  <c r="R387" i="18"/>
  <c r="R388" i="18"/>
  <c r="R389" i="18"/>
  <c r="R390" i="18"/>
  <c r="R391" i="18"/>
  <c r="R392" i="18"/>
  <c r="R393" i="18"/>
  <c r="R394" i="18"/>
  <c r="R395" i="18"/>
  <c r="R396" i="18"/>
  <c r="R397" i="18"/>
  <c r="R398" i="18"/>
  <c r="R399" i="18"/>
  <c r="R400" i="18"/>
  <c r="R401" i="18"/>
  <c r="R402" i="18"/>
  <c r="R403" i="18"/>
  <c r="R404" i="18"/>
  <c r="R405" i="18"/>
  <c r="R406" i="18"/>
  <c r="R407" i="18"/>
  <c r="R408" i="18"/>
  <c r="R409" i="18"/>
  <c r="R410" i="18"/>
  <c r="R411" i="18"/>
  <c r="R412" i="18"/>
  <c r="R413" i="18"/>
  <c r="R414" i="18"/>
  <c r="R415" i="18"/>
  <c r="R416" i="18"/>
  <c r="R417" i="18"/>
  <c r="R418" i="18"/>
  <c r="R419" i="18"/>
  <c r="R420" i="18"/>
  <c r="R421" i="18"/>
  <c r="R422" i="18"/>
  <c r="R423" i="18"/>
  <c r="R424" i="18"/>
  <c r="R425" i="18"/>
  <c r="R426" i="18"/>
  <c r="R427" i="18"/>
  <c r="R428" i="18"/>
  <c r="R429" i="18"/>
  <c r="R430" i="18"/>
  <c r="R431" i="18"/>
  <c r="R432" i="18"/>
  <c r="R433" i="18"/>
  <c r="R434" i="18"/>
  <c r="R435" i="18"/>
  <c r="R436" i="18"/>
  <c r="R437" i="18"/>
  <c r="R438" i="18"/>
  <c r="R439" i="18"/>
  <c r="R440" i="18"/>
  <c r="R441" i="18"/>
  <c r="R442" i="18"/>
  <c r="R443" i="18"/>
  <c r="R444" i="18"/>
  <c r="R445" i="18"/>
  <c r="R446" i="18"/>
  <c r="R447" i="18"/>
  <c r="R448" i="18"/>
  <c r="R449" i="18"/>
  <c r="R450" i="18"/>
  <c r="R451" i="18"/>
  <c r="R452" i="18"/>
  <c r="R453" i="18"/>
  <c r="R454" i="18"/>
  <c r="R455" i="18"/>
  <c r="R456" i="18"/>
  <c r="R457" i="18"/>
  <c r="R458" i="18"/>
  <c r="R459" i="18"/>
  <c r="R460" i="18"/>
  <c r="R461" i="18"/>
  <c r="R462" i="18"/>
  <c r="R463" i="18"/>
  <c r="R464" i="18"/>
  <c r="R465" i="18"/>
  <c r="R466" i="18"/>
  <c r="R467" i="18"/>
  <c r="R468" i="18"/>
  <c r="R469" i="18"/>
  <c r="R470" i="18"/>
  <c r="R471" i="18"/>
  <c r="R472" i="18"/>
  <c r="R473" i="18"/>
  <c r="R474" i="18"/>
  <c r="R475" i="18"/>
  <c r="R476" i="18"/>
  <c r="R477" i="18"/>
  <c r="R478" i="18"/>
  <c r="R479" i="18"/>
  <c r="R480" i="18"/>
  <c r="R481" i="18"/>
  <c r="R482" i="18"/>
  <c r="R483" i="18"/>
  <c r="R484" i="18"/>
  <c r="R485" i="18"/>
  <c r="R486" i="18"/>
  <c r="R487" i="18"/>
  <c r="R488" i="18"/>
  <c r="R489" i="18"/>
  <c r="R490" i="18"/>
  <c r="R491" i="18"/>
  <c r="R492" i="18"/>
  <c r="R493" i="18"/>
  <c r="R494" i="18"/>
  <c r="R495" i="18"/>
  <c r="R496" i="18"/>
  <c r="R497" i="18"/>
  <c r="R498" i="18"/>
  <c r="R499" i="18"/>
  <c r="R500" i="18"/>
  <c r="R501" i="18"/>
  <c r="R502" i="18"/>
  <c r="R503" i="18"/>
  <c r="R504" i="18"/>
  <c r="R505" i="18"/>
  <c r="R506" i="18"/>
  <c r="R507" i="18"/>
  <c r="R508" i="18"/>
  <c r="R509" i="18"/>
  <c r="R510" i="18"/>
  <c r="R511" i="18"/>
  <c r="R512" i="18"/>
  <c r="R513" i="18"/>
  <c r="R514" i="18"/>
  <c r="R515" i="18"/>
  <c r="R516" i="18"/>
  <c r="R517" i="18"/>
  <c r="R518" i="18"/>
  <c r="R519" i="18"/>
  <c r="R520" i="18"/>
  <c r="R521" i="18"/>
  <c r="R522" i="18"/>
  <c r="R523" i="18"/>
  <c r="R524" i="18"/>
  <c r="R525" i="18"/>
  <c r="R526" i="18"/>
  <c r="R527" i="18"/>
  <c r="R528" i="18"/>
  <c r="R529" i="18"/>
  <c r="R530" i="18"/>
  <c r="R531" i="18"/>
  <c r="R532" i="18"/>
  <c r="R533" i="18"/>
  <c r="R534" i="18"/>
  <c r="R535" i="18"/>
  <c r="R536" i="18"/>
  <c r="R537" i="18"/>
  <c r="R538" i="18"/>
  <c r="R539" i="18"/>
  <c r="R540" i="18"/>
  <c r="R541" i="18"/>
  <c r="R542" i="18"/>
  <c r="R543" i="18"/>
  <c r="R544" i="18"/>
  <c r="R545" i="18"/>
  <c r="R546" i="18"/>
  <c r="R547" i="18"/>
  <c r="R548" i="18"/>
  <c r="R549" i="18"/>
  <c r="R550" i="18"/>
  <c r="R551" i="18"/>
  <c r="R552" i="18"/>
  <c r="R553" i="18"/>
  <c r="R554" i="18"/>
  <c r="R555" i="18"/>
  <c r="R556" i="18"/>
  <c r="R557" i="18"/>
  <c r="R558" i="18"/>
  <c r="R559" i="18"/>
  <c r="R560" i="18"/>
  <c r="R561" i="18"/>
  <c r="R562" i="18"/>
  <c r="R563" i="18"/>
  <c r="R569" i="18"/>
  <c r="R570" i="18"/>
  <c r="R571" i="18"/>
  <c r="R572" i="18"/>
  <c r="Q563" i="18"/>
  <c r="P563" i="18"/>
  <c r="O563" i="18"/>
  <c r="M563" i="18"/>
  <c r="L563" i="18"/>
  <c r="K563" i="18"/>
  <c r="D17" i="5"/>
  <c r="H17" i="5"/>
  <c r="R17" i="5"/>
  <c r="AD17" i="5"/>
  <c r="KD19" i="1"/>
  <c r="KC19" i="1"/>
  <c r="KB19" i="1"/>
  <c r="KA19" i="1"/>
  <c r="JZ19" i="1"/>
  <c r="JY19" i="1"/>
  <c r="JX19" i="1"/>
  <c r="JW19" i="1"/>
  <c r="JV19" i="1"/>
  <c r="JU19" i="1"/>
  <c r="I19" i="1"/>
  <c r="KN19" i="1"/>
  <c r="KG19" i="1"/>
  <c r="KH19" i="1"/>
  <c r="KI19" i="1"/>
  <c r="KJ19" i="1"/>
  <c r="KK19" i="1"/>
  <c r="KL19" i="1"/>
  <c r="KM19" i="1"/>
  <c r="KQ19" i="1"/>
  <c r="H15" i="5"/>
  <c r="H16" i="5"/>
  <c r="D15" i="5"/>
  <c r="D16" i="5"/>
  <c r="R15" i="5"/>
  <c r="R16" i="5"/>
  <c r="AC15" i="5"/>
  <c r="AC16" i="5"/>
  <c r="AD15" i="5"/>
  <c r="AD16" i="5"/>
  <c r="AE15" i="5"/>
  <c r="AE16" i="5"/>
  <c r="JU18" i="1"/>
  <c r="JV18" i="1"/>
  <c r="JW18" i="1"/>
  <c r="JX18" i="1"/>
  <c r="JY18" i="1"/>
  <c r="JZ18" i="1"/>
  <c r="KA18" i="1"/>
  <c r="KB18" i="1"/>
  <c r="KC18" i="1"/>
  <c r="KD18" i="1"/>
  <c r="AJ17" i="5" l="1"/>
  <c r="AJ18" i="5"/>
  <c r="AJ15" i="5"/>
  <c r="KF20" i="1"/>
  <c r="KF18" i="1"/>
  <c r="KE20" i="1"/>
  <c r="KE18" i="1"/>
  <c r="KF19" i="1"/>
  <c r="KE19" i="1"/>
  <c r="AJ16" i="5"/>
  <c r="I18" i="1"/>
  <c r="KN18" i="1"/>
  <c r="KG18" i="1"/>
  <c r="KH18" i="1"/>
  <c r="KI18" i="1"/>
  <c r="KJ18" i="1"/>
  <c r="KK18" i="1"/>
  <c r="KL18" i="1"/>
  <c r="KM18" i="1"/>
  <c r="KQ18" i="1"/>
  <c r="M561" i="18"/>
  <c r="P561" i="18"/>
  <c r="N561" i="18"/>
  <c r="L561" i="18"/>
  <c r="K561" i="18"/>
  <c r="KI17" i="1" l="1"/>
  <c r="KJ17" i="1"/>
  <c r="KK17" i="1"/>
  <c r="KL17" i="1"/>
  <c r="KM17" i="1"/>
  <c r="KI16" i="1"/>
  <c r="KJ16" i="1"/>
  <c r="KK16" i="1"/>
  <c r="KL16" i="1"/>
  <c r="KM16" i="1"/>
  <c r="JU17" i="1"/>
  <c r="JV17" i="1"/>
  <c r="JW17" i="1"/>
  <c r="JX17" i="1"/>
  <c r="JY17" i="1"/>
  <c r="JZ17" i="1"/>
  <c r="KA17" i="1"/>
  <c r="KB17" i="1"/>
  <c r="KC17" i="1"/>
  <c r="KD17" i="1"/>
  <c r="KG17" i="1"/>
  <c r="JU16" i="1"/>
  <c r="I17" i="1"/>
  <c r="KN17" i="1"/>
  <c r="KH17" i="1"/>
  <c r="KQ17" i="1"/>
  <c r="C555" i="18"/>
  <c r="C556" i="18"/>
  <c r="C557" i="18"/>
  <c r="C558" i="18"/>
  <c r="C559" i="18"/>
  <c r="C560" i="18"/>
  <c r="C561" i="18"/>
  <c r="C562" i="18"/>
  <c r="C563" i="18"/>
  <c r="C564" i="18"/>
  <c r="C565" i="18"/>
  <c r="C566" i="18"/>
  <c r="C567" i="18"/>
  <c r="C568" i="18"/>
  <c r="C569" i="18"/>
  <c r="C570" i="18"/>
  <c r="C571" i="18"/>
  <c r="C572" i="18"/>
  <c r="C573" i="18"/>
  <c r="C574" i="18"/>
  <c r="C575" i="18"/>
  <c r="C576" i="18"/>
  <c r="C577" i="18"/>
  <c r="C578" i="18"/>
  <c r="C579" i="18"/>
  <c r="C580" i="18"/>
  <c r="D555" i="18"/>
  <c r="D556" i="18"/>
  <c r="D557" i="18"/>
  <c r="D558" i="18"/>
  <c r="D559" i="18"/>
  <c r="D560" i="18"/>
  <c r="D561" i="18"/>
  <c r="D562" i="18"/>
  <c r="D563" i="18"/>
  <c r="D564" i="18"/>
  <c r="D565" i="18"/>
  <c r="D566" i="18"/>
  <c r="D567" i="18"/>
  <c r="D568" i="18"/>
  <c r="D569" i="18"/>
  <c r="D570" i="18"/>
  <c r="D571" i="18"/>
  <c r="D572" i="18"/>
  <c r="D573" i="18"/>
  <c r="D574" i="18"/>
  <c r="D575" i="18"/>
  <c r="D576" i="18"/>
  <c r="D577" i="18"/>
  <c r="D578" i="18"/>
  <c r="D579" i="18"/>
  <c r="D580" i="18"/>
  <c r="G555" i="18"/>
  <c r="G556" i="18"/>
  <c r="H556" i="18" s="1"/>
  <c r="G557" i="18"/>
  <c r="H557" i="18" s="1"/>
  <c r="G558" i="18"/>
  <c r="H558" i="18" s="1"/>
  <c r="G559" i="18"/>
  <c r="G560" i="18"/>
  <c r="G561" i="18"/>
  <c r="G562" i="18"/>
  <c r="H562" i="18" s="1"/>
  <c r="G563" i="18"/>
  <c r="H563" i="18" s="1"/>
  <c r="G564" i="18"/>
  <c r="H564" i="18" s="1"/>
  <c r="G565" i="18"/>
  <c r="H565" i="18" s="1"/>
  <c r="G566" i="18"/>
  <c r="H566" i="18" s="1"/>
  <c r="G567" i="18"/>
  <c r="H567" i="18" s="1"/>
  <c r="G568" i="18"/>
  <c r="H568" i="18" s="1"/>
  <c r="G569" i="18"/>
  <c r="H569" i="18" s="1"/>
  <c r="G570" i="18"/>
  <c r="H570" i="18" s="1"/>
  <c r="G571" i="18"/>
  <c r="G572" i="18"/>
  <c r="G573" i="18"/>
  <c r="H573" i="18" s="1"/>
  <c r="G574" i="18"/>
  <c r="H574" i="18" s="1"/>
  <c r="G575" i="18"/>
  <c r="H575" i="18" s="1"/>
  <c r="G576" i="18"/>
  <c r="H576" i="18" s="1"/>
  <c r="G577" i="18"/>
  <c r="H577" i="18" s="1"/>
  <c r="G578" i="18"/>
  <c r="H578" i="18" s="1"/>
  <c r="G579" i="18"/>
  <c r="H579" i="18" s="1"/>
  <c r="G580" i="18"/>
  <c r="H580" i="18" s="1"/>
  <c r="H555" i="18"/>
  <c r="H559" i="18"/>
  <c r="H560" i="18"/>
  <c r="H561" i="18"/>
  <c r="H571" i="18"/>
  <c r="H572" i="18"/>
  <c r="S555" i="18"/>
  <c r="S556" i="18"/>
  <c r="S557" i="18"/>
  <c r="S558" i="18"/>
  <c r="S559" i="18"/>
  <c r="S560" i="18"/>
  <c r="S561" i="18"/>
  <c r="S562" i="18"/>
  <c r="S563" i="18"/>
  <c r="S567" i="18"/>
  <c r="S568" i="18"/>
  <c r="S572" i="18"/>
  <c r="S573" i="18"/>
  <c r="S574" i="18"/>
  <c r="S575" i="18"/>
  <c r="S576" i="18"/>
  <c r="S577" i="18"/>
  <c r="S578" i="18"/>
  <c r="S579" i="18"/>
  <c r="S580" i="18"/>
  <c r="B555" i="18"/>
  <c r="B556" i="18" s="1"/>
  <c r="B557" i="18" s="1"/>
  <c r="B558" i="18" s="1"/>
  <c r="B559" i="18" s="1"/>
  <c r="B560" i="18" s="1"/>
  <c r="B561" i="18" s="1"/>
  <c r="B562" i="18" s="1"/>
  <c r="B563" i="18" s="1"/>
  <c r="B564" i="18" s="1"/>
  <c r="B565" i="18" s="1"/>
  <c r="B566" i="18" s="1"/>
  <c r="B567" i="18" s="1"/>
  <c r="B568" i="18" s="1"/>
  <c r="B569" i="18" s="1"/>
  <c r="B570" i="18" s="1"/>
  <c r="B571" i="18" s="1"/>
  <c r="B572" i="18" s="1"/>
  <c r="B573" i="18" s="1"/>
  <c r="B574" i="18" s="1"/>
  <c r="B575" i="18" s="1"/>
  <c r="B576" i="18" s="1"/>
  <c r="B577" i="18" s="1"/>
  <c r="B578" i="18" s="1"/>
  <c r="B579" i="18" s="1"/>
  <c r="B580" i="18" s="1"/>
  <c r="C551" i="18"/>
  <c r="C552" i="18"/>
  <c r="C553" i="18"/>
  <c r="C554" i="18"/>
  <c r="D551" i="18"/>
  <c r="D552" i="18"/>
  <c r="D553" i="18"/>
  <c r="D554" i="18"/>
  <c r="G551" i="18"/>
  <c r="H551" i="18" s="1"/>
  <c r="G552" i="18"/>
  <c r="H552" i="18" s="1"/>
  <c r="G553" i="18"/>
  <c r="G554" i="18"/>
  <c r="H554" i="18" s="1"/>
  <c r="H553" i="18"/>
  <c r="S551" i="18"/>
  <c r="S552" i="18"/>
  <c r="S553" i="18"/>
  <c r="S554" i="18"/>
  <c r="B551" i="18"/>
  <c r="B552" i="18" s="1"/>
  <c r="B553" i="18" s="1"/>
  <c r="B554" i="18" s="1"/>
  <c r="S7" i="18"/>
  <c r="T560" i="19"/>
  <c r="KF17" i="1" l="1"/>
  <c r="KE17" i="1"/>
  <c r="AB13" i="5"/>
  <c r="D13" i="5"/>
  <c r="D14" i="5"/>
  <c r="H13" i="5"/>
  <c r="H14" i="5"/>
  <c r="R13" i="5"/>
  <c r="R14" i="5"/>
  <c r="AB14" i="5"/>
  <c r="AC13" i="5"/>
  <c r="AC14" i="5"/>
  <c r="AD13" i="5"/>
  <c r="AD14" i="5"/>
  <c r="AE13" i="5"/>
  <c r="AE14" i="5"/>
  <c r="JV16" i="1"/>
  <c r="JW16" i="1"/>
  <c r="JX16" i="1"/>
  <c r="JY16" i="1"/>
  <c r="JZ16" i="1"/>
  <c r="KA16" i="1"/>
  <c r="KB16" i="1"/>
  <c r="KC16" i="1"/>
  <c r="KD16" i="1"/>
  <c r="I16" i="1"/>
  <c r="KH16" i="1"/>
  <c r="KN16" i="1"/>
  <c r="KQ16" i="1"/>
  <c r="B1" i="20"/>
  <c r="B4" i="20" s="1"/>
  <c r="T556" i="19"/>
  <c r="JH15" i="1"/>
  <c r="KI15" i="1" s="1"/>
  <c r="JU15" i="1"/>
  <c r="JV15" i="1"/>
  <c r="JW15" i="1"/>
  <c r="JX15" i="1"/>
  <c r="JY15" i="1"/>
  <c r="JZ15" i="1"/>
  <c r="KA15" i="1"/>
  <c r="KB15" i="1"/>
  <c r="KC15" i="1"/>
  <c r="KD15" i="1"/>
  <c r="KG15" i="1"/>
  <c r="KH15" i="1"/>
  <c r="KJ15" i="1"/>
  <c r="KK15" i="1"/>
  <c r="KL15" i="1"/>
  <c r="KM15" i="1"/>
  <c r="KN15" i="1"/>
  <c r="D11" i="5"/>
  <c r="H11" i="5"/>
  <c r="D12" i="5"/>
  <c r="H12" i="5"/>
  <c r="R11" i="5"/>
  <c r="R12" i="5"/>
  <c r="AB11" i="5"/>
  <c r="AB12" i="5"/>
  <c r="AC11" i="5"/>
  <c r="AC12" i="5"/>
  <c r="AD11" i="5"/>
  <c r="AD12" i="5"/>
  <c r="AE11" i="5"/>
  <c r="AE12" i="5"/>
  <c r="JU14" i="1"/>
  <c r="JV14" i="1"/>
  <c r="JW14" i="1"/>
  <c r="JX14" i="1"/>
  <c r="JY14" i="1"/>
  <c r="JZ14" i="1"/>
  <c r="KA14" i="1"/>
  <c r="KB14" i="1"/>
  <c r="KC14" i="1"/>
  <c r="KD14" i="1"/>
  <c r="I15" i="1"/>
  <c r="KQ15" i="1"/>
  <c r="I14" i="1"/>
  <c r="KN14" i="1"/>
  <c r="KG14" i="1"/>
  <c r="KH14" i="1"/>
  <c r="KI14" i="1"/>
  <c r="KJ14" i="1"/>
  <c r="KK14" i="1"/>
  <c r="KL14" i="1"/>
  <c r="KM14" i="1"/>
  <c r="KQ14" i="1"/>
  <c r="R9" i="5"/>
  <c r="D9" i="5"/>
  <c r="D10" i="5"/>
  <c r="H9" i="5"/>
  <c r="H10" i="5"/>
  <c r="R10" i="5"/>
  <c r="AB9" i="5"/>
  <c r="AB10" i="5"/>
  <c r="AC9" i="5"/>
  <c r="AC10" i="5"/>
  <c r="AD9" i="5"/>
  <c r="AD10" i="5"/>
  <c r="AE9" i="5"/>
  <c r="AE10" i="5"/>
  <c r="JU13" i="1"/>
  <c r="JV13" i="1"/>
  <c r="JW13" i="1"/>
  <c r="JX13" i="1"/>
  <c r="JY13" i="1"/>
  <c r="JZ13" i="1"/>
  <c r="KA13" i="1"/>
  <c r="KB13" i="1"/>
  <c r="KC13" i="1"/>
  <c r="KD13" i="1"/>
  <c r="KG13" i="1"/>
  <c r="KH13" i="1"/>
  <c r="KI13" i="1"/>
  <c r="KJ13" i="1"/>
  <c r="KK13" i="1"/>
  <c r="KL13" i="1"/>
  <c r="KM13" i="1"/>
  <c r="I13" i="1"/>
  <c r="KN13" i="1"/>
  <c r="KQ13" i="1"/>
  <c r="JU12" i="1"/>
  <c r="JV12" i="1"/>
  <c r="JW12" i="1"/>
  <c r="JX12" i="1"/>
  <c r="JY12" i="1"/>
  <c r="JZ12" i="1"/>
  <c r="KA12" i="1"/>
  <c r="KB12" i="1"/>
  <c r="KC12" i="1"/>
  <c r="KD12" i="1"/>
  <c r="I12" i="1"/>
  <c r="KG12" i="1"/>
  <c r="KH12" i="1"/>
  <c r="KI12" i="1"/>
  <c r="KJ12" i="1"/>
  <c r="KK12" i="1"/>
  <c r="KL12" i="1"/>
  <c r="KM12" i="1"/>
  <c r="KN12" i="1"/>
  <c r="KQ12" i="1"/>
  <c r="JU11" i="1"/>
  <c r="JV11" i="1"/>
  <c r="JW11" i="1"/>
  <c r="JX11" i="1"/>
  <c r="JY11" i="1"/>
  <c r="JZ11" i="1"/>
  <c r="KA11" i="1"/>
  <c r="KB11" i="1"/>
  <c r="KC11" i="1"/>
  <c r="KD11" i="1"/>
  <c r="KG11" i="1"/>
  <c r="KH11" i="1"/>
  <c r="KI11" i="1"/>
  <c r="KJ11" i="1"/>
  <c r="KK11" i="1"/>
  <c r="KL11" i="1"/>
  <c r="KM11" i="1"/>
  <c r="KN11" i="1"/>
  <c r="KQ11" i="1"/>
  <c r="I11" i="1"/>
  <c r="T554" i="19"/>
  <c r="S551" i="19"/>
  <c r="B187" i="19"/>
  <c r="B543" i="19"/>
  <c r="B544" i="19"/>
  <c r="D544" i="19" s="1"/>
  <c r="B545" i="19"/>
  <c r="C545" i="19" s="1"/>
  <c r="C543" i="19"/>
  <c r="C561" i="19"/>
  <c r="C562" i="19"/>
  <c r="C563" i="19"/>
  <c r="C564" i="19"/>
  <c r="C565" i="19"/>
  <c r="C566" i="19"/>
  <c r="C567" i="19"/>
  <c r="C568" i="19"/>
  <c r="C569" i="19"/>
  <c r="C570" i="19"/>
  <c r="C571" i="19"/>
  <c r="C572" i="19"/>
  <c r="C573" i="19"/>
  <c r="C574" i="19"/>
  <c r="C575" i="19"/>
  <c r="C576" i="19"/>
  <c r="C577" i="19"/>
  <c r="C578" i="19"/>
  <c r="C579" i="19"/>
  <c r="C580" i="19"/>
  <c r="C581" i="19"/>
  <c r="C582" i="19"/>
  <c r="C583" i="19"/>
  <c r="C584" i="19"/>
  <c r="C585" i="19"/>
  <c r="C586" i="19"/>
  <c r="C587" i="19"/>
  <c r="C588" i="19"/>
  <c r="C589" i="19"/>
  <c r="C590" i="19"/>
  <c r="C591" i="19"/>
  <c r="C592" i="19"/>
  <c r="C593" i="19"/>
  <c r="C594" i="19"/>
  <c r="C595" i="19"/>
  <c r="C596" i="19"/>
  <c r="C597" i="19"/>
  <c r="C598" i="19"/>
  <c r="C599" i="19"/>
  <c r="C600" i="19"/>
  <c r="C601" i="19"/>
  <c r="C602" i="19"/>
  <c r="C603" i="19"/>
  <c r="C604" i="19"/>
  <c r="C605" i="19"/>
  <c r="C606" i="19"/>
  <c r="C607" i="19"/>
  <c r="C608" i="19"/>
  <c r="C609" i="19"/>
  <c r="C610" i="19"/>
  <c r="C611" i="19"/>
  <c r="C612" i="19"/>
  <c r="C613" i="19"/>
  <c r="C614" i="19"/>
  <c r="C615" i="19"/>
  <c r="C616" i="19"/>
  <c r="C617" i="19"/>
  <c r="C618" i="19"/>
  <c r="C619" i="19"/>
  <c r="C620" i="19"/>
  <c r="C621" i="19"/>
  <c r="C622" i="19"/>
  <c r="C623" i="19"/>
  <c r="C624" i="19"/>
  <c r="C625" i="19"/>
  <c r="C626" i="19"/>
  <c r="C627" i="19"/>
  <c r="C628" i="19"/>
  <c r="C629" i="19"/>
  <c r="C630" i="19"/>
  <c r="C631" i="19"/>
  <c r="C632" i="19"/>
  <c r="C633" i="19"/>
  <c r="C634" i="19"/>
  <c r="C635" i="19"/>
  <c r="C636" i="19"/>
  <c r="C637" i="19"/>
  <c r="C638" i="19"/>
  <c r="C639" i="19"/>
  <c r="C640" i="19"/>
  <c r="C641" i="19"/>
  <c r="C642" i="19"/>
  <c r="C643" i="19"/>
  <c r="D543" i="19"/>
  <c r="D561" i="19"/>
  <c r="D562" i="19"/>
  <c r="D563" i="19"/>
  <c r="D564" i="19"/>
  <c r="D565" i="19"/>
  <c r="D566" i="19"/>
  <c r="D567" i="19"/>
  <c r="D568" i="19"/>
  <c r="D569" i="19"/>
  <c r="D570" i="19"/>
  <c r="D571" i="19"/>
  <c r="D572" i="19"/>
  <c r="D573" i="19"/>
  <c r="D574" i="19"/>
  <c r="D575" i="19"/>
  <c r="D576" i="19"/>
  <c r="D577" i="19"/>
  <c r="D578" i="19"/>
  <c r="D579" i="19"/>
  <c r="D580" i="19"/>
  <c r="D581" i="19"/>
  <c r="D582" i="19"/>
  <c r="D583" i="19"/>
  <c r="D584" i="19"/>
  <c r="D585" i="19"/>
  <c r="D586" i="19"/>
  <c r="D587" i="19"/>
  <c r="D588" i="19"/>
  <c r="D589" i="19"/>
  <c r="D590" i="19"/>
  <c r="D591" i="19"/>
  <c r="D592" i="19"/>
  <c r="D593" i="19"/>
  <c r="D594" i="19"/>
  <c r="D595" i="19"/>
  <c r="D596" i="19"/>
  <c r="D597" i="19"/>
  <c r="D598" i="19"/>
  <c r="D599" i="19"/>
  <c r="D600" i="19"/>
  <c r="D601" i="19"/>
  <c r="D602" i="19"/>
  <c r="D603" i="19"/>
  <c r="D604" i="19"/>
  <c r="D605" i="19"/>
  <c r="D606" i="19"/>
  <c r="D607" i="19"/>
  <c r="D608" i="19"/>
  <c r="D609" i="19"/>
  <c r="D610" i="19"/>
  <c r="D611" i="19"/>
  <c r="D612" i="19"/>
  <c r="D613" i="19"/>
  <c r="D614" i="19"/>
  <c r="D615" i="19"/>
  <c r="D616" i="19"/>
  <c r="D617" i="19"/>
  <c r="D618" i="19"/>
  <c r="D619" i="19"/>
  <c r="D620" i="19"/>
  <c r="D621" i="19"/>
  <c r="D622" i="19"/>
  <c r="D623" i="19"/>
  <c r="D624" i="19"/>
  <c r="D625" i="19"/>
  <c r="D626" i="19"/>
  <c r="D627" i="19"/>
  <c r="D628" i="19"/>
  <c r="D629" i="19"/>
  <c r="D630" i="19"/>
  <c r="D631" i="19"/>
  <c r="D632" i="19"/>
  <c r="D633" i="19"/>
  <c r="D634" i="19"/>
  <c r="D635" i="19"/>
  <c r="D636" i="19"/>
  <c r="D637" i="19"/>
  <c r="D638" i="19"/>
  <c r="D639" i="19"/>
  <c r="D640" i="19"/>
  <c r="D641" i="19"/>
  <c r="D642" i="19"/>
  <c r="D643" i="19"/>
  <c r="G543" i="19"/>
  <c r="H543" i="19" s="1"/>
  <c r="G544" i="19"/>
  <c r="H544" i="19" s="1"/>
  <c r="G545" i="19"/>
  <c r="H545" i="19" s="1"/>
  <c r="G561" i="19"/>
  <c r="H561" i="19" s="1"/>
  <c r="G562" i="19"/>
  <c r="H562" i="19" s="1"/>
  <c r="G563" i="19"/>
  <c r="H563" i="19" s="1"/>
  <c r="G564" i="19"/>
  <c r="H564" i="19" s="1"/>
  <c r="G565" i="19"/>
  <c r="H565" i="19" s="1"/>
  <c r="G566" i="19"/>
  <c r="H566" i="19" s="1"/>
  <c r="G567" i="19"/>
  <c r="H567" i="19" s="1"/>
  <c r="G568" i="19"/>
  <c r="H568" i="19" s="1"/>
  <c r="G569" i="19"/>
  <c r="H569" i="19" s="1"/>
  <c r="G570" i="19"/>
  <c r="H570" i="19" s="1"/>
  <c r="G571" i="19"/>
  <c r="H571" i="19" s="1"/>
  <c r="G572" i="19"/>
  <c r="H572" i="19" s="1"/>
  <c r="G573" i="19"/>
  <c r="H573" i="19" s="1"/>
  <c r="G574" i="19"/>
  <c r="H574" i="19" s="1"/>
  <c r="G575" i="19"/>
  <c r="H575" i="19" s="1"/>
  <c r="G576" i="19"/>
  <c r="H576" i="19" s="1"/>
  <c r="G577" i="19"/>
  <c r="H577" i="19" s="1"/>
  <c r="G578" i="19"/>
  <c r="H578" i="19" s="1"/>
  <c r="G579" i="19"/>
  <c r="H579" i="19" s="1"/>
  <c r="G580" i="19"/>
  <c r="H580" i="19" s="1"/>
  <c r="G581" i="19"/>
  <c r="H581" i="19" s="1"/>
  <c r="G582" i="19"/>
  <c r="H582" i="19" s="1"/>
  <c r="G583" i="19"/>
  <c r="H583" i="19" s="1"/>
  <c r="G584" i="19"/>
  <c r="G585" i="19"/>
  <c r="G586" i="19"/>
  <c r="H586" i="19" s="1"/>
  <c r="G587" i="19"/>
  <c r="H587" i="19" s="1"/>
  <c r="G588" i="19"/>
  <c r="H588" i="19" s="1"/>
  <c r="G589" i="19"/>
  <c r="H589" i="19" s="1"/>
  <c r="G590" i="19"/>
  <c r="H590" i="19" s="1"/>
  <c r="G591" i="19"/>
  <c r="H591" i="19" s="1"/>
  <c r="G592" i="19"/>
  <c r="H592" i="19" s="1"/>
  <c r="G593" i="19"/>
  <c r="H593" i="19" s="1"/>
  <c r="G594" i="19"/>
  <c r="G595" i="19"/>
  <c r="H595" i="19" s="1"/>
  <c r="G596" i="19"/>
  <c r="G597" i="19"/>
  <c r="G598" i="19"/>
  <c r="G599" i="19"/>
  <c r="H599" i="19" s="1"/>
  <c r="G600" i="19"/>
  <c r="G601" i="19"/>
  <c r="H601" i="19" s="1"/>
  <c r="G602" i="19"/>
  <c r="H602" i="19" s="1"/>
  <c r="G603" i="19"/>
  <c r="H603" i="19" s="1"/>
  <c r="G604" i="19"/>
  <c r="H604" i="19" s="1"/>
  <c r="G605" i="19"/>
  <c r="H605" i="19" s="1"/>
  <c r="G606" i="19"/>
  <c r="G607" i="19"/>
  <c r="H607" i="19" s="1"/>
  <c r="G608" i="19"/>
  <c r="G609" i="19"/>
  <c r="G610" i="19"/>
  <c r="G611" i="19"/>
  <c r="H611" i="19" s="1"/>
  <c r="G612" i="19"/>
  <c r="G613" i="19"/>
  <c r="G614" i="19"/>
  <c r="G615" i="19"/>
  <c r="H615" i="19" s="1"/>
  <c r="G616" i="19"/>
  <c r="G617" i="19"/>
  <c r="H617" i="19" s="1"/>
  <c r="G618" i="19"/>
  <c r="H618" i="19" s="1"/>
  <c r="G619" i="19"/>
  <c r="H619" i="19" s="1"/>
  <c r="G620" i="19"/>
  <c r="G621" i="19"/>
  <c r="G622" i="19"/>
  <c r="G623" i="19"/>
  <c r="H623" i="19" s="1"/>
  <c r="G624" i="19"/>
  <c r="G625" i="19"/>
  <c r="H625" i="19" s="1"/>
  <c r="G626" i="19"/>
  <c r="H626" i="19" s="1"/>
  <c r="G627" i="19"/>
  <c r="H627" i="19" s="1"/>
  <c r="G628" i="19"/>
  <c r="H628" i="19" s="1"/>
  <c r="G629" i="19"/>
  <c r="G630" i="19"/>
  <c r="G631" i="19"/>
  <c r="H631" i="19" s="1"/>
  <c r="G632" i="19"/>
  <c r="G633" i="19"/>
  <c r="G634" i="19"/>
  <c r="H634" i="19" s="1"/>
  <c r="G635" i="19"/>
  <c r="H635" i="19" s="1"/>
  <c r="G636" i="19"/>
  <c r="H636" i="19" s="1"/>
  <c r="G637" i="19"/>
  <c r="H637" i="19" s="1"/>
  <c r="G638" i="19"/>
  <c r="H638" i="19" s="1"/>
  <c r="G639" i="19"/>
  <c r="H639" i="19" s="1"/>
  <c r="G640" i="19"/>
  <c r="H640" i="19" s="1"/>
  <c r="G641" i="19"/>
  <c r="H641" i="19" s="1"/>
  <c r="G642" i="19"/>
  <c r="G643" i="19"/>
  <c r="H643" i="19" s="1"/>
  <c r="H584" i="19"/>
  <c r="H585" i="19"/>
  <c r="H594" i="19"/>
  <c r="H596" i="19"/>
  <c r="H597" i="19"/>
  <c r="H598" i="19"/>
  <c r="H600" i="19"/>
  <c r="H606" i="19"/>
  <c r="H608" i="19"/>
  <c r="H609" i="19"/>
  <c r="H610" i="19"/>
  <c r="H612" i="19"/>
  <c r="H613" i="19"/>
  <c r="H614" i="19"/>
  <c r="H616" i="19"/>
  <c r="H620" i="19"/>
  <c r="H621" i="19"/>
  <c r="H622" i="19"/>
  <c r="H624" i="19"/>
  <c r="H629" i="19"/>
  <c r="H630" i="19"/>
  <c r="H632" i="19"/>
  <c r="H633" i="19"/>
  <c r="H642" i="19"/>
  <c r="S543" i="19"/>
  <c r="S544" i="19"/>
  <c r="S545" i="19"/>
  <c r="S546" i="19"/>
  <c r="S547" i="19"/>
  <c r="S548" i="19"/>
  <c r="S549" i="19"/>
  <c r="S550" i="19"/>
  <c r="S552" i="19"/>
  <c r="S553" i="19"/>
  <c r="S554" i="19"/>
  <c r="S555" i="19"/>
  <c r="S556" i="19"/>
  <c r="S557" i="19"/>
  <c r="S558" i="19"/>
  <c r="S559" i="19"/>
  <c r="S560" i="19"/>
  <c r="S561" i="19"/>
  <c r="S562" i="19"/>
  <c r="S563" i="19"/>
  <c r="S564" i="19"/>
  <c r="S565" i="19"/>
  <c r="S566" i="19"/>
  <c r="S567" i="19"/>
  <c r="S568" i="19"/>
  <c r="S569" i="19"/>
  <c r="S570" i="19"/>
  <c r="S571" i="19"/>
  <c r="S572" i="19"/>
  <c r="S573" i="19"/>
  <c r="S574" i="19"/>
  <c r="S575" i="19"/>
  <c r="S576" i="19"/>
  <c r="S577" i="19"/>
  <c r="S578" i="19"/>
  <c r="S580" i="19"/>
  <c r="S581" i="19"/>
  <c r="S582" i="19"/>
  <c r="S583" i="19"/>
  <c r="S584" i="19"/>
  <c r="S585" i="19"/>
  <c r="S586" i="19"/>
  <c r="S587" i="19"/>
  <c r="S588" i="19"/>
  <c r="S589" i="19"/>
  <c r="S590" i="19"/>
  <c r="S591" i="19"/>
  <c r="S592" i="19"/>
  <c r="S593" i="19"/>
  <c r="S594" i="19"/>
  <c r="S595" i="19"/>
  <c r="S596" i="19"/>
  <c r="S597" i="19"/>
  <c r="S598" i="19"/>
  <c r="S599" i="19"/>
  <c r="S600" i="19"/>
  <c r="S601" i="19"/>
  <c r="S602" i="19"/>
  <c r="S603" i="19"/>
  <c r="S604" i="19"/>
  <c r="S605" i="19"/>
  <c r="S606" i="19"/>
  <c r="S607" i="19"/>
  <c r="S608" i="19"/>
  <c r="S609" i="19"/>
  <c r="S610" i="19"/>
  <c r="S611" i="19"/>
  <c r="S612" i="19"/>
  <c r="S613" i="19"/>
  <c r="S614" i="19"/>
  <c r="S615" i="19"/>
  <c r="S616" i="19"/>
  <c r="S617" i="19"/>
  <c r="S618" i="19"/>
  <c r="S619" i="19"/>
  <c r="S620" i="19"/>
  <c r="S621" i="19"/>
  <c r="S622" i="19"/>
  <c r="S623" i="19"/>
  <c r="S624" i="19"/>
  <c r="S625" i="19"/>
  <c r="S626" i="19"/>
  <c r="S627" i="19"/>
  <c r="S628" i="19"/>
  <c r="S629" i="19"/>
  <c r="S630" i="19"/>
  <c r="S631" i="19"/>
  <c r="S632" i="19"/>
  <c r="S633" i="19"/>
  <c r="S634" i="19"/>
  <c r="S635" i="19"/>
  <c r="S636" i="19"/>
  <c r="S637" i="19"/>
  <c r="S638" i="19"/>
  <c r="S639" i="19"/>
  <c r="S640" i="19"/>
  <c r="S641" i="19"/>
  <c r="S642" i="19"/>
  <c r="S643" i="19"/>
  <c r="T543" i="19"/>
  <c r="T544" i="19"/>
  <c r="T545" i="19"/>
  <c r="T546" i="19"/>
  <c r="T547" i="19"/>
  <c r="T548" i="19"/>
  <c r="T549" i="19"/>
  <c r="T550" i="19"/>
  <c r="T551" i="19"/>
  <c r="T552" i="19"/>
  <c r="T553" i="19"/>
  <c r="T555" i="19"/>
  <c r="T557" i="19"/>
  <c r="T558" i="19"/>
  <c r="T559" i="19"/>
  <c r="T561" i="19"/>
  <c r="T562" i="19"/>
  <c r="T563" i="19"/>
  <c r="T564" i="19"/>
  <c r="T565" i="19"/>
  <c r="T566" i="19"/>
  <c r="T567" i="19"/>
  <c r="T568" i="19"/>
  <c r="T569" i="19"/>
  <c r="T570" i="19"/>
  <c r="T571" i="19"/>
  <c r="T572" i="19"/>
  <c r="T573" i="19"/>
  <c r="T574" i="19"/>
  <c r="T575" i="19"/>
  <c r="T576" i="19"/>
  <c r="T577" i="19"/>
  <c r="T578" i="19"/>
  <c r="T580" i="19"/>
  <c r="T581" i="19"/>
  <c r="T583" i="19"/>
  <c r="T584" i="19"/>
  <c r="T585" i="19"/>
  <c r="T586" i="19"/>
  <c r="T587" i="19"/>
  <c r="T588" i="19"/>
  <c r="T589" i="19"/>
  <c r="T590" i="19"/>
  <c r="T591" i="19"/>
  <c r="T592" i="19"/>
  <c r="T593" i="19"/>
  <c r="T594" i="19"/>
  <c r="T595" i="19"/>
  <c r="T596" i="19"/>
  <c r="T597" i="19"/>
  <c r="T598" i="19"/>
  <c r="T599" i="19"/>
  <c r="T600" i="19"/>
  <c r="T601" i="19"/>
  <c r="T602" i="19"/>
  <c r="T603" i="19"/>
  <c r="T604" i="19"/>
  <c r="T605" i="19"/>
  <c r="T606" i="19"/>
  <c r="T607" i="19"/>
  <c r="T608" i="19"/>
  <c r="T609" i="19"/>
  <c r="T610" i="19"/>
  <c r="T611" i="19"/>
  <c r="T612" i="19"/>
  <c r="T613" i="19"/>
  <c r="T614" i="19"/>
  <c r="T615" i="19"/>
  <c r="T616" i="19"/>
  <c r="T617" i="19"/>
  <c r="T618" i="19"/>
  <c r="T619" i="19"/>
  <c r="T620" i="19"/>
  <c r="T621" i="19"/>
  <c r="T622" i="19"/>
  <c r="T623" i="19"/>
  <c r="T624" i="19"/>
  <c r="T625" i="19"/>
  <c r="T626" i="19"/>
  <c r="T627" i="19"/>
  <c r="T628" i="19"/>
  <c r="T629" i="19"/>
  <c r="T630" i="19"/>
  <c r="T631" i="19"/>
  <c r="T632" i="19"/>
  <c r="T633" i="19"/>
  <c r="T634" i="19"/>
  <c r="T635" i="19"/>
  <c r="T636" i="19"/>
  <c r="T637" i="19"/>
  <c r="T638" i="19"/>
  <c r="T639" i="19"/>
  <c r="T640" i="19"/>
  <c r="T641" i="19"/>
  <c r="T642" i="19"/>
  <c r="T643" i="19"/>
  <c r="JU10" i="1"/>
  <c r="JV10" i="1"/>
  <c r="JW10" i="1"/>
  <c r="JX10" i="1"/>
  <c r="JY10" i="1"/>
  <c r="JZ10" i="1"/>
  <c r="KA10" i="1"/>
  <c r="KB10" i="1"/>
  <c r="KC10" i="1"/>
  <c r="KD10" i="1"/>
  <c r="I10" i="1"/>
  <c r="KN10" i="1"/>
  <c r="KG10" i="1"/>
  <c r="KH10" i="1"/>
  <c r="KI10" i="1"/>
  <c r="KJ10" i="1"/>
  <c r="KK10" i="1"/>
  <c r="KL10" i="1"/>
  <c r="KM10" i="1"/>
  <c r="KQ10" i="1"/>
  <c r="D8" i="5"/>
  <c r="H8" i="5"/>
  <c r="R8" i="5"/>
  <c r="AB8" i="5"/>
  <c r="AC8" i="5"/>
  <c r="AD8" i="5"/>
  <c r="AE8" i="5"/>
  <c r="D7" i="5"/>
  <c r="H7" i="5"/>
  <c r="R7" i="5"/>
  <c r="AB7" i="5"/>
  <c r="AC7" i="5"/>
  <c r="AD7" i="5"/>
  <c r="AE7" i="5"/>
  <c r="AD5" i="5"/>
  <c r="AD6" i="5"/>
  <c r="AC5" i="5"/>
  <c r="AC6" i="5"/>
  <c r="D6" i="5"/>
  <c r="H6" i="5"/>
  <c r="R6" i="5"/>
  <c r="AB6" i="5"/>
  <c r="AE6" i="5"/>
  <c r="JU9" i="1"/>
  <c r="JV9" i="1"/>
  <c r="JW9" i="1"/>
  <c r="JX9" i="1"/>
  <c r="JY9" i="1"/>
  <c r="JZ9" i="1"/>
  <c r="KA9" i="1"/>
  <c r="KB9" i="1"/>
  <c r="KC9" i="1"/>
  <c r="KD9" i="1"/>
  <c r="I9" i="1"/>
  <c r="KN9" i="1"/>
  <c r="KG9" i="1"/>
  <c r="KH9" i="1"/>
  <c r="KI9" i="1"/>
  <c r="KJ9" i="1"/>
  <c r="KK9" i="1"/>
  <c r="KL9" i="1"/>
  <c r="KM9" i="1"/>
  <c r="KQ9" i="1"/>
  <c r="JU8" i="1"/>
  <c r="JV8" i="1"/>
  <c r="JW8" i="1"/>
  <c r="JX8" i="1"/>
  <c r="JY8" i="1"/>
  <c r="JZ8" i="1"/>
  <c r="KA8" i="1"/>
  <c r="KB8" i="1"/>
  <c r="KC8" i="1"/>
  <c r="KD8" i="1"/>
  <c r="I8" i="1"/>
  <c r="KG8" i="1"/>
  <c r="KH8" i="1"/>
  <c r="KI8" i="1"/>
  <c r="KJ8" i="1"/>
  <c r="KK8" i="1"/>
  <c r="KL8" i="1"/>
  <c r="KM8" i="1"/>
  <c r="KN8" i="1"/>
  <c r="KQ8" i="1"/>
  <c r="C549" i="18"/>
  <c r="C550" i="18"/>
  <c r="D549" i="18"/>
  <c r="D550" i="18"/>
  <c r="G549" i="18"/>
  <c r="H549" i="18" s="1"/>
  <c r="G550" i="18"/>
  <c r="H550" i="18" s="1"/>
  <c r="S549" i="18"/>
  <c r="S550" i="18"/>
  <c r="B549" i="18"/>
  <c r="B550" i="18"/>
  <c r="C545" i="18"/>
  <c r="C546" i="18"/>
  <c r="C547" i="18"/>
  <c r="C548" i="18"/>
  <c r="D545" i="18"/>
  <c r="D546" i="18"/>
  <c r="D547" i="18"/>
  <c r="D548" i="18"/>
  <c r="G545" i="18"/>
  <c r="H545" i="18" s="1"/>
  <c r="G546" i="18"/>
  <c r="G547" i="18"/>
  <c r="H547" i="18" s="1"/>
  <c r="G548" i="18"/>
  <c r="H548" i="18" s="1"/>
  <c r="H546" i="18"/>
  <c r="S545" i="18"/>
  <c r="S546" i="18"/>
  <c r="S547" i="18"/>
  <c r="S548" i="18"/>
  <c r="B545" i="18"/>
  <c r="B546" i="18"/>
  <c r="B547" i="18"/>
  <c r="B548" i="18"/>
  <c r="AJ10" i="5" l="1"/>
  <c r="S7" i="5"/>
  <c r="AJ7" i="5" s="1"/>
  <c r="S6" i="5"/>
  <c r="AJ6" i="5" s="1"/>
  <c r="S12" i="5"/>
  <c r="AJ12" i="5" s="1"/>
  <c r="AJ9" i="5"/>
  <c r="S8" i="5"/>
  <c r="AJ8" i="5" s="1"/>
  <c r="AJ13" i="5"/>
  <c r="KF16" i="1"/>
  <c r="AJ14" i="5"/>
  <c r="KF11" i="1"/>
  <c r="KE14" i="1"/>
  <c r="KF14" i="1"/>
  <c r="KE16" i="1"/>
  <c r="KF15" i="1"/>
  <c r="KE15" i="1"/>
  <c r="S11" i="5"/>
  <c r="AJ11" i="5" s="1"/>
  <c r="KF12" i="1"/>
  <c r="KF13" i="1"/>
  <c r="KE12" i="1"/>
  <c r="KF10" i="1"/>
  <c r="KE10" i="1"/>
  <c r="KE11" i="1"/>
  <c r="KE13" i="1"/>
  <c r="D545" i="19"/>
  <c r="C544" i="19"/>
  <c r="B546" i="19"/>
  <c r="KF9" i="1"/>
  <c r="KE8" i="1"/>
  <c r="KE9" i="1"/>
  <c r="KF8" i="1"/>
  <c r="B547" i="19" l="1"/>
  <c r="D546" i="19"/>
  <c r="G546" i="19"/>
  <c r="H546" i="19" s="1"/>
  <c r="C546" i="19"/>
  <c r="AB4" i="5"/>
  <c r="AB5" i="5"/>
  <c r="D4" i="5"/>
  <c r="D5" i="5"/>
  <c r="H4" i="5"/>
  <c r="H5" i="5"/>
  <c r="R4" i="5"/>
  <c r="R5" i="5"/>
  <c r="AC4" i="5"/>
  <c r="AD4" i="5"/>
  <c r="AE4" i="5"/>
  <c r="AE5" i="5"/>
  <c r="JV4" i="1"/>
  <c r="JW4" i="1"/>
  <c r="JX4" i="1"/>
  <c r="JY4" i="1"/>
  <c r="JZ4" i="1"/>
  <c r="KA4" i="1"/>
  <c r="KB4" i="1"/>
  <c r="KC4" i="1"/>
  <c r="KD4" i="1"/>
  <c r="JV5" i="1"/>
  <c r="JW5" i="1"/>
  <c r="JX5" i="1"/>
  <c r="JY5" i="1"/>
  <c r="JZ5" i="1"/>
  <c r="KA5" i="1"/>
  <c r="KB5" i="1"/>
  <c r="KC5" i="1"/>
  <c r="KD5" i="1"/>
  <c r="JV6" i="1"/>
  <c r="JW6" i="1"/>
  <c r="JX6" i="1"/>
  <c r="JY6" i="1"/>
  <c r="JZ6" i="1"/>
  <c r="KA6" i="1"/>
  <c r="KB6" i="1"/>
  <c r="KC6" i="1"/>
  <c r="KD6" i="1"/>
  <c r="JV7" i="1"/>
  <c r="JW7" i="1"/>
  <c r="JX7" i="1"/>
  <c r="JY7" i="1"/>
  <c r="JZ7" i="1"/>
  <c r="KA7" i="1"/>
  <c r="KB7" i="1"/>
  <c r="KC7" i="1"/>
  <c r="KD7" i="1"/>
  <c r="JU4" i="1"/>
  <c r="JU5" i="1"/>
  <c r="JU6" i="1"/>
  <c r="JU7" i="1"/>
  <c r="C26" i="9"/>
  <c r="C25" i="9"/>
  <c r="C23" i="9"/>
  <c r="C22" i="9"/>
  <c r="M21" i="21"/>
  <c r="K21" i="21"/>
  <c r="C1" i="21"/>
  <c r="M4" i="21" s="1"/>
  <c r="AA3" i="23"/>
  <c r="AA4" i="23"/>
  <c r="AA5" i="23"/>
  <c r="AA6" i="23"/>
  <c r="AA7" i="23"/>
  <c r="AA8" i="23"/>
  <c r="AA9" i="23"/>
  <c r="AA10" i="23"/>
  <c r="AA11" i="23"/>
  <c r="AA12" i="23"/>
  <c r="AA13" i="23"/>
  <c r="AA14" i="23"/>
  <c r="AA15" i="23"/>
  <c r="AA16" i="23"/>
  <c r="AA17" i="23"/>
  <c r="AA18" i="23"/>
  <c r="AA19" i="23"/>
  <c r="AA20" i="23"/>
  <c r="AA21" i="23"/>
  <c r="AA22" i="23"/>
  <c r="AA23" i="23"/>
  <c r="AA24" i="23"/>
  <c r="AA25" i="23"/>
  <c r="K25" i="23"/>
  <c r="O25" i="23"/>
  <c r="H25" i="23"/>
  <c r="G25" i="23"/>
  <c r="T25" i="23" s="1"/>
  <c r="W25" i="23" s="1"/>
  <c r="E25" i="23"/>
  <c r="C25" i="23"/>
  <c r="B25" i="23"/>
  <c r="O24" i="23"/>
  <c r="K24" i="23"/>
  <c r="H24" i="23"/>
  <c r="G24" i="23"/>
  <c r="T24" i="23" s="1"/>
  <c r="E24" i="23"/>
  <c r="C24" i="23"/>
  <c r="B24" i="23"/>
  <c r="O23" i="23"/>
  <c r="K23" i="23"/>
  <c r="H23" i="23"/>
  <c r="G23" i="23"/>
  <c r="T23" i="23" s="1"/>
  <c r="E23" i="23"/>
  <c r="C23" i="23"/>
  <c r="B23" i="23"/>
  <c r="K22" i="23"/>
  <c r="O22" i="23"/>
  <c r="H22" i="23"/>
  <c r="G22" i="23"/>
  <c r="T22" i="23" s="1"/>
  <c r="E22" i="23"/>
  <c r="C22" i="23"/>
  <c r="B22" i="23"/>
  <c r="K21" i="23"/>
  <c r="H21" i="23"/>
  <c r="G21" i="23"/>
  <c r="E21" i="23"/>
  <c r="C21" i="23"/>
  <c r="B21" i="23"/>
  <c r="K20" i="23"/>
  <c r="H20" i="23"/>
  <c r="G20" i="23"/>
  <c r="E20" i="23"/>
  <c r="C20" i="23"/>
  <c r="B20" i="23"/>
  <c r="K19" i="23"/>
  <c r="H19" i="23"/>
  <c r="G19" i="23"/>
  <c r="E19" i="23"/>
  <c r="C19" i="23"/>
  <c r="B19" i="23"/>
  <c r="K18" i="23"/>
  <c r="H18" i="23"/>
  <c r="G18" i="23"/>
  <c r="E18" i="23"/>
  <c r="C18" i="23"/>
  <c r="B18" i="23"/>
  <c r="K17" i="23"/>
  <c r="H17" i="23"/>
  <c r="G17" i="23"/>
  <c r="T17" i="23" s="1"/>
  <c r="E17" i="23"/>
  <c r="C17" i="23"/>
  <c r="B17" i="23"/>
  <c r="K16" i="23"/>
  <c r="O16" i="23"/>
  <c r="H16" i="23"/>
  <c r="G16" i="23"/>
  <c r="T16" i="23" s="1"/>
  <c r="E16" i="23"/>
  <c r="C16" i="23"/>
  <c r="B16" i="23"/>
  <c r="O15" i="23"/>
  <c r="K15" i="23"/>
  <c r="G15" i="23"/>
  <c r="P15" i="23" s="1"/>
  <c r="E15" i="23"/>
  <c r="C15" i="23"/>
  <c r="B15" i="23"/>
  <c r="O14" i="23"/>
  <c r="K14" i="23"/>
  <c r="G14" i="23"/>
  <c r="P14" i="23" s="1"/>
  <c r="E14" i="23"/>
  <c r="C14" i="23"/>
  <c r="B14" i="23"/>
  <c r="O13" i="23"/>
  <c r="G13" i="23"/>
  <c r="E13" i="23"/>
  <c r="O12" i="23"/>
  <c r="G12" i="23"/>
  <c r="T12" i="23" s="1"/>
  <c r="W12" i="23" s="1"/>
  <c r="E12" i="23"/>
  <c r="O11" i="23"/>
  <c r="G11" i="23"/>
  <c r="E11" i="23"/>
  <c r="O10" i="23"/>
  <c r="G10" i="23"/>
  <c r="E10" i="23"/>
  <c r="O9" i="23"/>
  <c r="G9" i="23"/>
  <c r="E9" i="23"/>
  <c r="O8" i="23"/>
  <c r="G8" i="23"/>
  <c r="T8" i="23" s="1"/>
  <c r="W8" i="23" s="1"/>
  <c r="E8" i="23"/>
  <c r="O7" i="23"/>
  <c r="G7" i="23"/>
  <c r="E7" i="23"/>
  <c r="O6" i="23"/>
  <c r="G6" i="23"/>
  <c r="T6" i="23" s="1"/>
  <c r="W6" i="23" s="1"/>
  <c r="E6" i="23"/>
  <c r="O5" i="23"/>
  <c r="G5" i="23"/>
  <c r="E5" i="23"/>
  <c r="O4" i="23"/>
  <c r="G4" i="23"/>
  <c r="T4" i="23" s="1"/>
  <c r="W4" i="23" s="1"/>
  <c r="E4" i="23"/>
  <c r="O3" i="23"/>
  <c r="G3" i="23"/>
  <c r="E3" i="23"/>
  <c r="A3" i="23"/>
  <c r="A4" i="23" s="1"/>
  <c r="A5" i="23" s="1"/>
  <c r="A6" i="23" s="1"/>
  <c r="A7" i="23" s="1"/>
  <c r="A8" i="23" s="1"/>
  <c r="A9" i="23" s="1"/>
  <c r="A10" i="23" s="1"/>
  <c r="A11" i="23" s="1"/>
  <c r="A12" i="23" s="1"/>
  <c r="A13" i="23" s="1"/>
  <c r="A14" i="23" s="1"/>
  <c r="A15" i="23" s="1"/>
  <c r="A16" i="23" s="1"/>
  <c r="A17" i="23" s="1"/>
  <c r="A18" i="23" s="1"/>
  <c r="A19" i="23" s="1"/>
  <c r="A20" i="23" s="1"/>
  <c r="A21" i="23" s="1"/>
  <c r="A22" i="23" s="1"/>
  <c r="A23" i="23" s="1"/>
  <c r="A24" i="23" s="1"/>
  <c r="A25" i="23" s="1"/>
  <c r="AA2" i="23"/>
  <c r="O2" i="23"/>
  <c r="G2" i="23"/>
  <c r="T2" i="23" s="1"/>
  <c r="W2" i="23" s="1"/>
  <c r="E2" i="23"/>
  <c r="B544" i="18"/>
  <c r="C544" i="18"/>
  <c r="D544" i="18"/>
  <c r="G544" i="18"/>
  <c r="H544" i="18" s="1"/>
  <c r="S544" i="18"/>
  <c r="B543" i="18"/>
  <c r="C543" i="18"/>
  <c r="D543" i="18"/>
  <c r="G543" i="18"/>
  <c r="H543" i="18" s="1"/>
  <c r="S543" i="18"/>
  <c r="B542" i="18"/>
  <c r="C542" i="18"/>
  <c r="D542" i="18"/>
  <c r="G542" i="18"/>
  <c r="H542" i="18" s="1"/>
  <c r="S542" i="18"/>
  <c r="B542" i="19"/>
  <c r="C542" i="19"/>
  <c r="D542" i="19"/>
  <c r="G542" i="19"/>
  <c r="H542" i="19" s="1"/>
  <c r="S542" i="19"/>
  <c r="T542" i="19"/>
  <c r="I4" i="1"/>
  <c r="I5" i="1"/>
  <c r="I6" i="1"/>
  <c r="I7" i="1"/>
  <c r="KG4" i="1"/>
  <c r="KG5" i="1"/>
  <c r="KG6" i="1"/>
  <c r="KG7" i="1"/>
  <c r="KH4" i="1"/>
  <c r="KH5" i="1"/>
  <c r="KH6" i="1"/>
  <c r="KH7" i="1"/>
  <c r="KI4" i="1"/>
  <c r="I2" i="22" s="1"/>
  <c r="KI5" i="1"/>
  <c r="KI6" i="1"/>
  <c r="KI7" i="1"/>
  <c r="KJ4" i="1"/>
  <c r="KJ5" i="1"/>
  <c r="KJ6" i="1"/>
  <c r="KJ7" i="1"/>
  <c r="KK4" i="1"/>
  <c r="KK5" i="1"/>
  <c r="KK6" i="1"/>
  <c r="KK7" i="1"/>
  <c r="KL4" i="1"/>
  <c r="KL5" i="1"/>
  <c r="KL6" i="1"/>
  <c r="KL7" i="1"/>
  <c r="KM4" i="1"/>
  <c r="KM5" i="1"/>
  <c r="KM6" i="1"/>
  <c r="KM7" i="1"/>
  <c r="KN4" i="1"/>
  <c r="KN5" i="1"/>
  <c r="KN6" i="1"/>
  <c r="KN7" i="1"/>
  <c r="KQ4" i="1"/>
  <c r="KQ5" i="1"/>
  <c r="KQ6" i="1"/>
  <c r="KQ7" i="1"/>
  <c r="B541" i="18"/>
  <c r="C541" i="18"/>
  <c r="D541" i="18"/>
  <c r="G541" i="18"/>
  <c r="H541" i="18" s="1"/>
  <c r="S541" i="18"/>
  <c r="B541" i="19"/>
  <c r="C541" i="19"/>
  <c r="D541" i="19"/>
  <c r="G541" i="19"/>
  <c r="H541" i="19" s="1"/>
  <c r="S541" i="19"/>
  <c r="T541" i="19"/>
  <c r="B540" i="18"/>
  <c r="C540" i="18"/>
  <c r="D540" i="18"/>
  <c r="G540" i="18"/>
  <c r="H540" i="18" s="1"/>
  <c r="S540" i="18"/>
  <c r="B539" i="18"/>
  <c r="C539" i="18"/>
  <c r="D539" i="18"/>
  <c r="G539" i="18"/>
  <c r="H539" i="18" s="1"/>
  <c r="S539" i="18"/>
  <c r="B540" i="19"/>
  <c r="C540" i="19"/>
  <c r="D540" i="19"/>
  <c r="G540" i="19"/>
  <c r="H540" i="19" s="1"/>
  <c r="S540" i="19"/>
  <c r="T540" i="19"/>
  <c r="B539" i="19"/>
  <c r="C539" i="19"/>
  <c r="D539" i="19"/>
  <c r="G539" i="19"/>
  <c r="H539" i="19" s="1"/>
  <c r="S539" i="19"/>
  <c r="T539" i="19"/>
  <c r="B538" i="19"/>
  <c r="C538" i="19"/>
  <c r="D538" i="19"/>
  <c r="G538" i="19"/>
  <c r="H538" i="19" s="1"/>
  <c r="S538" i="19"/>
  <c r="T538" i="19"/>
  <c r="B538" i="18"/>
  <c r="C538" i="18"/>
  <c r="D538" i="18"/>
  <c r="G538" i="18"/>
  <c r="H538" i="18" s="1"/>
  <c r="S538" i="18"/>
  <c r="C537" i="19"/>
  <c r="D537" i="19"/>
  <c r="G537" i="19"/>
  <c r="H537" i="19" s="1"/>
  <c r="S537" i="19"/>
  <c r="T537" i="19"/>
  <c r="B537" i="19"/>
  <c r="C537" i="18"/>
  <c r="D537" i="18"/>
  <c r="G537" i="18"/>
  <c r="H537" i="18" s="1"/>
  <c r="S537" i="18"/>
  <c r="B537" i="18"/>
  <c r="B536" i="19"/>
  <c r="C536" i="19"/>
  <c r="D536" i="19"/>
  <c r="G536" i="19"/>
  <c r="H536" i="19" s="1"/>
  <c r="S536" i="19"/>
  <c r="T536" i="19"/>
  <c r="B536" i="18"/>
  <c r="C536" i="18"/>
  <c r="D536" i="18"/>
  <c r="G536" i="18"/>
  <c r="H536" i="18" s="1"/>
  <c r="S536" i="18"/>
  <c r="B535" i="19"/>
  <c r="C535" i="19"/>
  <c r="D535" i="19"/>
  <c r="G535" i="19"/>
  <c r="H535" i="19" s="1"/>
  <c r="S535" i="19"/>
  <c r="T535" i="19"/>
  <c r="B535" i="18"/>
  <c r="C535" i="18"/>
  <c r="D535" i="18"/>
  <c r="G535" i="18"/>
  <c r="H535" i="18" s="1"/>
  <c r="S535" i="18"/>
  <c r="B534" i="19"/>
  <c r="C534" i="19"/>
  <c r="D534" i="19"/>
  <c r="G534" i="19"/>
  <c r="H534" i="19" s="1"/>
  <c r="S534" i="19"/>
  <c r="T534" i="19"/>
  <c r="B534" i="18"/>
  <c r="C534" i="18"/>
  <c r="D534" i="18"/>
  <c r="G534" i="18"/>
  <c r="H534" i="18" s="1"/>
  <c r="S534" i="18"/>
  <c r="B532" i="19"/>
  <c r="B533" i="19"/>
  <c r="C532" i="19"/>
  <c r="C533" i="19"/>
  <c r="D532" i="19"/>
  <c r="D533" i="19"/>
  <c r="G532" i="19"/>
  <c r="H532" i="19" s="1"/>
  <c r="G533" i="19"/>
  <c r="H533" i="19" s="1"/>
  <c r="S532" i="19"/>
  <c r="S533" i="19"/>
  <c r="T532" i="19"/>
  <c r="T533" i="19"/>
  <c r="C532" i="18"/>
  <c r="C533" i="18"/>
  <c r="D532" i="18"/>
  <c r="D533" i="18"/>
  <c r="G532" i="18"/>
  <c r="H532" i="18" s="1"/>
  <c r="G533" i="18"/>
  <c r="H533" i="18" s="1"/>
  <c r="S532" i="18"/>
  <c r="S533" i="18"/>
  <c r="B532" i="18"/>
  <c r="B533" i="18"/>
  <c r="B531" i="19"/>
  <c r="C531" i="19"/>
  <c r="D531" i="19"/>
  <c r="G531" i="19"/>
  <c r="H531" i="19" s="1"/>
  <c r="S531" i="19"/>
  <c r="T531" i="19"/>
  <c r="B531" i="18"/>
  <c r="C531" i="18"/>
  <c r="D531" i="18"/>
  <c r="G531" i="18"/>
  <c r="H531" i="18" s="1"/>
  <c r="S531" i="18"/>
  <c r="B530" i="19"/>
  <c r="C530" i="19"/>
  <c r="D530" i="19"/>
  <c r="G530" i="19"/>
  <c r="H530" i="19" s="1"/>
  <c r="S530" i="19"/>
  <c r="T530" i="19"/>
  <c r="IS2" i="13"/>
  <c r="IS1" i="12"/>
  <c r="B529" i="19"/>
  <c r="C529" i="19"/>
  <c r="D529" i="19"/>
  <c r="G529" i="19"/>
  <c r="H529" i="19"/>
  <c r="S529" i="19"/>
  <c r="T529" i="19"/>
  <c r="C528" i="19"/>
  <c r="D528" i="19"/>
  <c r="G528" i="19"/>
  <c r="H528" i="19"/>
  <c r="S528" i="19"/>
  <c r="T528" i="19"/>
  <c r="B528" i="19"/>
  <c r="C528" i="18"/>
  <c r="C529" i="18"/>
  <c r="C530" i="18"/>
  <c r="D528" i="18"/>
  <c r="D529" i="18"/>
  <c r="D530" i="18"/>
  <c r="G528" i="18"/>
  <c r="H528" i="18" s="1"/>
  <c r="G529" i="18"/>
  <c r="H529" i="18" s="1"/>
  <c r="G530" i="18"/>
  <c r="H530" i="18" s="1"/>
  <c r="S528" i="18"/>
  <c r="S529" i="18"/>
  <c r="S530" i="18"/>
  <c r="B528" i="18"/>
  <c r="B529" i="18"/>
  <c r="B530" i="18"/>
  <c r="B527" i="18"/>
  <c r="C527" i="18"/>
  <c r="D527" i="18"/>
  <c r="G527" i="18"/>
  <c r="H527" i="18" s="1"/>
  <c r="S527" i="18"/>
  <c r="B527" i="19"/>
  <c r="C527" i="19"/>
  <c r="D527" i="19"/>
  <c r="G527" i="19"/>
  <c r="H527" i="19" s="1"/>
  <c r="S527" i="19"/>
  <c r="T527" i="19"/>
  <c r="B526" i="19"/>
  <c r="B526" i="18"/>
  <c r="C526" i="18"/>
  <c r="D526" i="18"/>
  <c r="G526" i="18"/>
  <c r="H526" i="18" s="1"/>
  <c r="S526" i="18"/>
  <c r="B525" i="18"/>
  <c r="C526" i="19"/>
  <c r="D526" i="19"/>
  <c r="G526" i="19"/>
  <c r="H526" i="19" s="1"/>
  <c r="S526" i="19"/>
  <c r="T526" i="19"/>
  <c r="C525" i="19"/>
  <c r="D525" i="19"/>
  <c r="G525" i="19"/>
  <c r="H525" i="19" s="1"/>
  <c r="S525" i="19"/>
  <c r="T525" i="19"/>
  <c r="B525" i="19"/>
  <c r="C523" i="19"/>
  <c r="C524" i="19"/>
  <c r="D523" i="19"/>
  <c r="D524" i="19"/>
  <c r="G523" i="19"/>
  <c r="H523" i="19" s="1"/>
  <c r="G524" i="19"/>
  <c r="H524" i="19" s="1"/>
  <c r="S523" i="19"/>
  <c r="S524" i="19"/>
  <c r="T523" i="19"/>
  <c r="T524" i="19"/>
  <c r="B523" i="19"/>
  <c r="B524" i="19"/>
  <c r="C525" i="18"/>
  <c r="D525" i="18"/>
  <c r="G525" i="18"/>
  <c r="H525" i="18" s="1"/>
  <c r="S525" i="18"/>
  <c r="C523" i="18"/>
  <c r="C524" i="18"/>
  <c r="D523" i="18"/>
  <c r="D524" i="18"/>
  <c r="G523" i="18"/>
  <c r="H523" i="18" s="1"/>
  <c r="G524" i="18"/>
  <c r="H524" i="18" s="1"/>
  <c r="S523" i="18"/>
  <c r="S524" i="18"/>
  <c r="B523" i="18"/>
  <c r="B524" i="18"/>
  <c r="C522" i="18"/>
  <c r="D522" i="18"/>
  <c r="G522" i="18"/>
  <c r="H522" i="18" s="1"/>
  <c r="S522" i="18"/>
  <c r="B522" i="18"/>
  <c r="C522" i="19"/>
  <c r="D522" i="19"/>
  <c r="G522" i="19"/>
  <c r="H522" i="19" s="1"/>
  <c r="S522" i="19"/>
  <c r="T522" i="19"/>
  <c r="B522" i="19"/>
  <c r="C521" i="19"/>
  <c r="D521" i="19"/>
  <c r="G521" i="19"/>
  <c r="H521" i="19" s="1"/>
  <c r="S521" i="19"/>
  <c r="T521" i="19"/>
  <c r="B521" i="19"/>
  <c r="C520" i="19"/>
  <c r="D520" i="19"/>
  <c r="G520" i="19"/>
  <c r="H520" i="19"/>
  <c r="S520" i="19"/>
  <c r="T520" i="19"/>
  <c r="B520" i="19"/>
  <c r="B521" i="18"/>
  <c r="C521" i="18"/>
  <c r="D521" i="18"/>
  <c r="G521" i="18"/>
  <c r="H521" i="18" s="1"/>
  <c r="S521" i="18"/>
  <c r="C520" i="18"/>
  <c r="D520" i="18"/>
  <c r="G520" i="18"/>
  <c r="H520" i="18" s="1"/>
  <c r="S520" i="18"/>
  <c r="B520" i="18"/>
  <c r="B518" i="19"/>
  <c r="B519" i="19"/>
  <c r="C519" i="19"/>
  <c r="D519" i="19"/>
  <c r="G519" i="19"/>
  <c r="H519" i="19" s="1"/>
  <c r="S519" i="19"/>
  <c r="T519" i="19"/>
  <c r="C518" i="19"/>
  <c r="D518" i="19"/>
  <c r="G518" i="19"/>
  <c r="H518" i="19" s="1"/>
  <c r="S518" i="19"/>
  <c r="T518" i="19"/>
  <c r="C518" i="18"/>
  <c r="C519" i="18"/>
  <c r="D518" i="18"/>
  <c r="D519" i="18"/>
  <c r="G518" i="18"/>
  <c r="H518" i="18" s="1"/>
  <c r="G519" i="18"/>
  <c r="H519" i="18" s="1"/>
  <c r="S518" i="18"/>
  <c r="S519" i="18"/>
  <c r="B518" i="18"/>
  <c r="B519" i="18"/>
  <c r="B517" i="18"/>
  <c r="C517" i="18"/>
  <c r="D517" i="18"/>
  <c r="G517" i="18"/>
  <c r="H517" i="18" s="1"/>
  <c r="S517" i="18"/>
  <c r="B516" i="19"/>
  <c r="B517" i="19"/>
  <c r="C516" i="19"/>
  <c r="C517" i="19"/>
  <c r="D516" i="19"/>
  <c r="D517" i="19"/>
  <c r="G516" i="19"/>
  <c r="H516" i="19" s="1"/>
  <c r="G517" i="19"/>
  <c r="H517" i="19" s="1"/>
  <c r="S516" i="19"/>
  <c r="S517" i="19"/>
  <c r="T516" i="19"/>
  <c r="T517" i="19"/>
  <c r="C515" i="19"/>
  <c r="D515" i="19"/>
  <c r="G515" i="19"/>
  <c r="H515" i="19" s="1"/>
  <c r="S515" i="19"/>
  <c r="T515" i="19"/>
  <c r="B515" i="19"/>
  <c r="C514" i="19"/>
  <c r="D514" i="19"/>
  <c r="G514" i="19"/>
  <c r="H514" i="19" s="1"/>
  <c r="S514" i="19"/>
  <c r="T514" i="19"/>
  <c r="B514" i="19"/>
  <c r="C512" i="19"/>
  <c r="C513" i="19"/>
  <c r="D512" i="19"/>
  <c r="D513" i="19"/>
  <c r="G512" i="19"/>
  <c r="H512" i="19" s="1"/>
  <c r="G513" i="19"/>
  <c r="H513" i="19" s="1"/>
  <c r="S512" i="19"/>
  <c r="S513" i="19"/>
  <c r="T512" i="19"/>
  <c r="T513" i="19"/>
  <c r="B512" i="19"/>
  <c r="B513" i="19"/>
  <c r="C512" i="18"/>
  <c r="C513" i="18"/>
  <c r="C514" i="18"/>
  <c r="C515" i="18"/>
  <c r="C516" i="18"/>
  <c r="D512" i="18"/>
  <c r="D513" i="18"/>
  <c r="D514" i="18"/>
  <c r="D515" i="18"/>
  <c r="D516" i="18"/>
  <c r="G512" i="18"/>
  <c r="H512" i="18" s="1"/>
  <c r="G513" i="18"/>
  <c r="H513" i="18" s="1"/>
  <c r="G514" i="18"/>
  <c r="H514" i="18" s="1"/>
  <c r="G515" i="18"/>
  <c r="H515" i="18" s="1"/>
  <c r="G516" i="18"/>
  <c r="H516" i="18" s="1"/>
  <c r="S512" i="18"/>
  <c r="S513" i="18"/>
  <c r="S514" i="18"/>
  <c r="S515" i="18"/>
  <c r="S516" i="18"/>
  <c r="B512" i="18"/>
  <c r="B513" i="18"/>
  <c r="B514" i="18"/>
  <c r="B515" i="18"/>
  <c r="B516" i="18"/>
  <c r="B508" i="19"/>
  <c r="B509" i="19"/>
  <c r="B510" i="19"/>
  <c r="B511" i="19"/>
  <c r="C508" i="19"/>
  <c r="C509" i="19"/>
  <c r="C510" i="19"/>
  <c r="C511" i="19"/>
  <c r="D508" i="19"/>
  <c r="D509" i="19"/>
  <c r="D510" i="19"/>
  <c r="D511" i="19"/>
  <c r="G508" i="19"/>
  <c r="G509" i="19"/>
  <c r="H509" i="19" s="1"/>
  <c r="G510" i="19"/>
  <c r="G511" i="19"/>
  <c r="H508" i="19"/>
  <c r="H510" i="19"/>
  <c r="H511" i="19"/>
  <c r="S508" i="19"/>
  <c r="S509" i="19"/>
  <c r="S510" i="19"/>
  <c r="S511" i="19"/>
  <c r="T508" i="19"/>
  <c r="T509" i="19"/>
  <c r="T510" i="19"/>
  <c r="T511" i="19"/>
  <c r="B510" i="18"/>
  <c r="B511" i="18"/>
  <c r="C510" i="18"/>
  <c r="C511" i="18"/>
  <c r="D510" i="18"/>
  <c r="D511" i="18"/>
  <c r="G510" i="18"/>
  <c r="H510" i="18" s="1"/>
  <c r="G511" i="18"/>
  <c r="H511" i="18" s="1"/>
  <c r="S510" i="18"/>
  <c r="S511" i="18"/>
  <c r="C508" i="18"/>
  <c r="C509" i="18"/>
  <c r="D508" i="18"/>
  <c r="D509" i="18"/>
  <c r="G508" i="18"/>
  <c r="H508" i="18" s="1"/>
  <c r="G509" i="18"/>
  <c r="H509" i="18" s="1"/>
  <c r="S508" i="18"/>
  <c r="S509" i="18"/>
  <c r="B508" i="18"/>
  <c r="B509" i="18"/>
  <c r="C506" i="18"/>
  <c r="C507" i="18"/>
  <c r="D506" i="18"/>
  <c r="D507" i="18"/>
  <c r="G506" i="18"/>
  <c r="H506" i="18" s="1"/>
  <c r="G507" i="18"/>
  <c r="H507" i="18" s="1"/>
  <c r="S506" i="18"/>
  <c r="S507" i="18"/>
  <c r="B506" i="18"/>
  <c r="B507" i="18"/>
  <c r="C506" i="19"/>
  <c r="C507" i="19"/>
  <c r="D506" i="19"/>
  <c r="D507" i="19"/>
  <c r="G506" i="19"/>
  <c r="H506" i="19" s="1"/>
  <c r="G507" i="19"/>
  <c r="H507" i="19"/>
  <c r="S506" i="19"/>
  <c r="S507" i="19"/>
  <c r="T506" i="19"/>
  <c r="T507" i="19"/>
  <c r="B506" i="19"/>
  <c r="B507" i="19"/>
  <c r="B505" i="19"/>
  <c r="C505" i="19"/>
  <c r="D505" i="19"/>
  <c r="G505" i="19"/>
  <c r="H505" i="19" s="1"/>
  <c r="S505" i="19"/>
  <c r="T505" i="19"/>
  <c r="B504" i="19"/>
  <c r="C504" i="19"/>
  <c r="D504" i="19"/>
  <c r="G504" i="19"/>
  <c r="H504" i="19" s="1"/>
  <c r="S504" i="19"/>
  <c r="T504" i="19"/>
  <c r="C504" i="18"/>
  <c r="C505" i="18"/>
  <c r="D504" i="18"/>
  <c r="D505" i="18"/>
  <c r="G504" i="18"/>
  <c r="H504" i="18" s="1"/>
  <c r="G505" i="18"/>
  <c r="H505" i="18" s="1"/>
  <c r="S504" i="18"/>
  <c r="S505" i="18"/>
  <c r="B504" i="18"/>
  <c r="B505" i="18"/>
  <c r="C503" i="19"/>
  <c r="D503" i="19"/>
  <c r="G503" i="19"/>
  <c r="H503" i="19"/>
  <c r="S503" i="19"/>
  <c r="T503" i="19"/>
  <c r="B503" i="19"/>
  <c r="B492" i="19"/>
  <c r="D492" i="19"/>
  <c r="G492" i="19"/>
  <c r="H492" i="19" s="1"/>
  <c r="S492" i="19"/>
  <c r="T492" i="19"/>
  <c r="B493" i="19"/>
  <c r="D493" i="19"/>
  <c r="G493" i="19"/>
  <c r="H493" i="19"/>
  <c r="S493" i="19"/>
  <c r="T493" i="19"/>
  <c r="B494" i="19"/>
  <c r="D494" i="19"/>
  <c r="G494" i="19"/>
  <c r="H494" i="19" s="1"/>
  <c r="S494" i="19"/>
  <c r="T494" i="19"/>
  <c r="B495" i="19"/>
  <c r="D495" i="19"/>
  <c r="G495" i="19"/>
  <c r="H495" i="19" s="1"/>
  <c r="S495" i="19"/>
  <c r="T495" i="19"/>
  <c r="B496" i="19"/>
  <c r="D496" i="19"/>
  <c r="G496" i="19"/>
  <c r="H496" i="19" s="1"/>
  <c r="S496" i="19"/>
  <c r="T496" i="19"/>
  <c r="B497" i="19"/>
  <c r="D497" i="19"/>
  <c r="G497" i="19"/>
  <c r="H497" i="19"/>
  <c r="S497" i="19"/>
  <c r="T497" i="19"/>
  <c r="B498" i="19"/>
  <c r="D498" i="19"/>
  <c r="G498" i="19"/>
  <c r="H498" i="19" s="1"/>
  <c r="S498" i="19"/>
  <c r="T498" i="19"/>
  <c r="B499" i="19"/>
  <c r="D499" i="19"/>
  <c r="G499" i="19"/>
  <c r="H499" i="19" s="1"/>
  <c r="S499" i="19"/>
  <c r="T499" i="19"/>
  <c r="B500" i="19"/>
  <c r="D500" i="19"/>
  <c r="G500" i="19"/>
  <c r="H500" i="19" s="1"/>
  <c r="S500" i="19"/>
  <c r="T500" i="19"/>
  <c r="B501" i="19"/>
  <c r="D501" i="19"/>
  <c r="G501" i="19"/>
  <c r="H501" i="19" s="1"/>
  <c r="S501" i="19"/>
  <c r="T501" i="19"/>
  <c r="B502" i="19"/>
  <c r="C502" i="19"/>
  <c r="D502" i="19"/>
  <c r="G502" i="19"/>
  <c r="H502" i="19" s="1"/>
  <c r="S502" i="19"/>
  <c r="T502" i="19"/>
  <c r="B492" i="18"/>
  <c r="D492" i="18"/>
  <c r="G492" i="18"/>
  <c r="H492" i="18" s="1"/>
  <c r="S492" i="18"/>
  <c r="B493" i="18"/>
  <c r="D493" i="18"/>
  <c r="G493" i="18"/>
  <c r="H493" i="18" s="1"/>
  <c r="S493" i="18"/>
  <c r="B494" i="18"/>
  <c r="D494" i="18"/>
  <c r="G494" i="18"/>
  <c r="H494" i="18" s="1"/>
  <c r="S494" i="18"/>
  <c r="B495" i="18"/>
  <c r="D495" i="18"/>
  <c r="G495" i="18"/>
  <c r="H495" i="18" s="1"/>
  <c r="S495" i="18"/>
  <c r="B496" i="18"/>
  <c r="D496" i="18"/>
  <c r="G496" i="18"/>
  <c r="H496" i="18" s="1"/>
  <c r="S496" i="18"/>
  <c r="B497" i="18"/>
  <c r="D497" i="18"/>
  <c r="G497" i="18"/>
  <c r="H497" i="18" s="1"/>
  <c r="S497" i="18"/>
  <c r="B498" i="18"/>
  <c r="D498" i="18"/>
  <c r="G498" i="18"/>
  <c r="H498" i="18" s="1"/>
  <c r="S498" i="18"/>
  <c r="B499" i="18"/>
  <c r="D499" i="18"/>
  <c r="G499" i="18"/>
  <c r="H499" i="18" s="1"/>
  <c r="S499" i="18"/>
  <c r="B500" i="18"/>
  <c r="D500" i="18"/>
  <c r="G500" i="18"/>
  <c r="H500" i="18" s="1"/>
  <c r="S500" i="18"/>
  <c r="B501" i="18"/>
  <c r="D501" i="18"/>
  <c r="G501" i="18"/>
  <c r="H501" i="18" s="1"/>
  <c r="S501" i="18"/>
  <c r="B502" i="18"/>
  <c r="D502" i="18"/>
  <c r="G502" i="18"/>
  <c r="H502" i="18" s="1"/>
  <c r="S502" i="18"/>
  <c r="B503" i="18"/>
  <c r="D503" i="18"/>
  <c r="G503" i="18"/>
  <c r="H503" i="18" s="1"/>
  <c r="S503" i="18"/>
  <c r="B491" i="18"/>
  <c r="D491" i="18"/>
  <c r="G491" i="18"/>
  <c r="H491" i="18" s="1"/>
  <c r="T475" i="19"/>
  <c r="S491" i="19"/>
  <c r="T491" i="19"/>
  <c r="S473" i="19"/>
  <c r="S474" i="19"/>
  <c r="S475" i="19"/>
  <c r="S476" i="19"/>
  <c r="S477" i="19"/>
  <c r="S478" i="19"/>
  <c r="S479" i="19"/>
  <c r="S480" i="19"/>
  <c r="S481" i="19"/>
  <c r="S482" i="19"/>
  <c r="S483" i="19"/>
  <c r="S484" i="19"/>
  <c r="S485" i="19"/>
  <c r="S486" i="19"/>
  <c r="S487" i="19"/>
  <c r="S488" i="19"/>
  <c r="S489" i="19"/>
  <c r="S490" i="19"/>
  <c r="T473" i="19"/>
  <c r="T474" i="19"/>
  <c r="T476" i="19"/>
  <c r="T477" i="19"/>
  <c r="T478" i="19"/>
  <c r="T479" i="19"/>
  <c r="T480" i="19"/>
  <c r="T481" i="19"/>
  <c r="T482" i="19"/>
  <c r="T483" i="19"/>
  <c r="T484" i="19"/>
  <c r="T485" i="19"/>
  <c r="T486" i="19"/>
  <c r="T487" i="19"/>
  <c r="T488" i="19"/>
  <c r="T489" i="19"/>
  <c r="T490" i="19"/>
  <c r="S485" i="18"/>
  <c r="S486" i="18"/>
  <c r="S487" i="18"/>
  <c r="S488" i="18"/>
  <c r="S489" i="18"/>
  <c r="S490" i="18"/>
  <c r="S491" i="18"/>
  <c r="S462" i="18"/>
  <c r="S464" i="18"/>
  <c r="S465" i="18"/>
  <c r="S466" i="18"/>
  <c r="S467" i="18"/>
  <c r="S468" i="18"/>
  <c r="S469" i="18"/>
  <c r="S470" i="18"/>
  <c r="S471" i="18"/>
  <c r="S472" i="18"/>
  <c r="S473" i="18"/>
  <c r="S474" i="18"/>
  <c r="S475" i="18"/>
  <c r="S476" i="18"/>
  <c r="S477" i="18"/>
  <c r="S478" i="18"/>
  <c r="S479" i="18"/>
  <c r="S480" i="18"/>
  <c r="S481" i="18"/>
  <c r="S482" i="18"/>
  <c r="S483" i="18"/>
  <c r="S484" i="18"/>
  <c r="S461" i="18"/>
  <c r="C220" i="3"/>
  <c r="C221" i="3"/>
  <c r="C222" i="3"/>
  <c r="C430" i="3"/>
  <c r="K4" i="21" l="1"/>
  <c r="W23" i="23"/>
  <c r="W24" i="23"/>
  <c r="W17" i="23"/>
  <c r="W16" i="23"/>
  <c r="W22" i="23"/>
  <c r="S5" i="5"/>
  <c r="AJ5" i="5" s="1"/>
  <c r="S4" i="5"/>
  <c r="AJ4" i="5" s="1"/>
  <c r="C547" i="19"/>
  <c r="D547" i="19"/>
  <c r="G547" i="19"/>
  <c r="H547" i="19" s="1"/>
  <c r="B548" i="19"/>
  <c r="KE5" i="1"/>
  <c r="KE7" i="1"/>
  <c r="KE4" i="1"/>
  <c r="KE6" i="1"/>
  <c r="KF4" i="1"/>
  <c r="KF7" i="1"/>
  <c r="KF5" i="1"/>
  <c r="KF6" i="1"/>
  <c r="T15" i="23"/>
  <c r="P24" i="23"/>
  <c r="P25" i="23"/>
  <c r="P16" i="23"/>
  <c r="P23" i="23"/>
  <c r="P8" i="23"/>
  <c r="P10" i="23"/>
  <c r="T10" i="23"/>
  <c r="W10" i="23" s="1"/>
  <c r="P12" i="23"/>
  <c r="T21" i="23"/>
  <c r="P22" i="23"/>
  <c r="P4" i="23"/>
  <c r="P6" i="23"/>
  <c r="P17" i="23"/>
  <c r="P2" i="23"/>
  <c r="O21" i="23"/>
  <c r="P3" i="23"/>
  <c r="P5" i="23"/>
  <c r="P7" i="23"/>
  <c r="P9" i="23"/>
  <c r="P11" i="23"/>
  <c r="P13" i="23"/>
  <c r="O20" i="23"/>
  <c r="P21" i="23"/>
  <c r="T14" i="23"/>
  <c r="O19" i="23"/>
  <c r="P20" i="23"/>
  <c r="O18" i="23"/>
  <c r="P19" i="23"/>
  <c r="O17" i="23"/>
  <c r="P18" i="23"/>
  <c r="T3" i="23"/>
  <c r="W3" i="23" s="1"/>
  <c r="T5" i="23"/>
  <c r="W5" i="23" s="1"/>
  <c r="T7" i="23"/>
  <c r="W7" i="23" s="1"/>
  <c r="T9" i="23"/>
  <c r="W9" i="23" s="1"/>
  <c r="T11" i="23"/>
  <c r="W11" i="23" s="1"/>
  <c r="T13" i="23"/>
  <c r="W13" i="23" s="1"/>
  <c r="T20" i="23"/>
  <c r="T19" i="23"/>
  <c r="T18" i="23"/>
  <c r="W18" i="23" l="1"/>
  <c r="W19" i="23"/>
  <c r="W20" i="23"/>
  <c r="W14" i="23"/>
  <c r="W15" i="23"/>
  <c r="W21" i="23"/>
  <c r="D548" i="19"/>
  <c r="G548" i="19"/>
  <c r="H548" i="19" s="1"/>
  <c r="C548" i="19"/>
  <c r="B549" i="19"/>
  <c r="S447" i="19"/>
  <c r="S448" i="19"/>
  <c r="S449" i="19"/>
  <c r="S450" i="19"/>
  <c r="S451" i="19"/>
  <c r="S452" i="19"/>
  <c r="S453" i="19"/>
  <c r="S454" i="19"/>
  <c r="S455" i="19"/>
  <c r="S456" i="19"/>
  <c r="S457" i="19"/>
  <c r="S458" i="19"/>
  <c r="S459" i="19"/>
  <c r="S460" i="19"/>
  <c r="S461" i="19"/>
  <c r="S462" i="19"/>
  <c r="S463" i="19"/>
  <c r="S464" i="19"/>
  <c r="S465" i="19"/>
  <c r="S466" i="19"/>
  <c r="S467" i="19"/>
  <c r="S468" i="19"/>
  <c r="S469" i="19"/>
  <c r="S470" i="19"/>
  <c r="S471" i="19"/>
  <c r="S472" i="19"/>
  <c r="T447" i="19"/>
  <c r="T448" i="19"/>
  <c r="T449" i="19"/>
  <c r="T450" i="19"/>
  <c r="T451" i="19"/>
  <c r="T452" i="19"/>
  <c r="T453" i="19"/>
  <c r="T454" i="19"/>
  <c r="T455" i="19"/>
  <c r="T456" i="19"/>
  <c r="T457" i="19"/>
  <c r="T458" i="19"/>
  <c r="T459" i="19"/>
  <c r="T460" i="19"/>
  <c r="T461" i="19"/>
  <c r="T462" i="19"/>
  <c r="T463" i="19"/>
  <c r="T464" i="19"/>
  <c r="T465" i="19"/>
  <c r="T466" i="19"/>
  <c r="T467" i="19"/>
  <c r="T468" i="19"/>
  <c r="T469" i="19"/>
  <c r="T470" i="19"/>
  <c r="T471" i="19"/>
  <c r="T472" i="19"/>
  <c r="S411" i="19"/>
  <c r="S412" i="19"/>
  <c r="S413" i="19"/>
  <c r="S414" i="19"/>
  <c r="S415" i="19"/>
  <c r="S416" i="19"/>
  <c r="S417" i="19"/>
  <c r="S418" i="19"/>
  <c r="S419" i="19"/>
  <c r="S420" i="19"/>
  <c r="S421" i="19"/>
  <c r="S422" i="19"/>
  <c r="S423" i="19"/>
  <c r="S424" i="19"/>
  <c r="S425" i="19"/>
  <c r="S426" i="19"/>
  <c r="S427" i="19"/>
  <c r="S428" i="19"/>
  <c r="S429" i="19"/>
  <c r="S430" i="19"/>
  <c r="S431" i="19"/>
  <c r="S432" i="19"/>
  <c r="S433" i="19"/>
  <c r="S434" i="19"/>
  <c r="S435" i="19"/>
  <c r="S436" i="19"/>
  <c r="S437" i="19"/>
  <c r="S438" i="19"/>
  <c r="S439" i="19"/>
  <c r="S440" i="19"/>
  <c r="S441" i="19"/>
  <c r="S442" i="19"/>
  <c r="S443" i="19"/>
  <c r="S444" i="19"/>
  <c r="S445" i="19"/>
  <c r="S446" i="19"/>
  <c r="T411" i="19"/>
  <c r="T412" i="19"/>
  <c r="T413" i="19"/>
  <c r="T414" i="19"/>
  <c r="T415" i="19"/>
  <c r="T416" i="19"/>
  <c r="T417" i="19"/>
  <c r="T418" i="19"/>
  <c r="T419" i="19"/>
  <c r="T420" i="19"/>
  <c r="T421" i="19"/>
  <c r="T422" i="19"/>
  <c r="T423" i="19"/>
  <c r="T424" i="19"/>
  <c r="T425" i="19"/>
  <c r="T426" i="19"/>
  <c r="T427" i="19"/>
  <c r="T428" i="19"/>
  <c r="T429" i="19"/>
  <c r="T430" i="19"/>
  <c r="T431" i="19"/>
  <c r="T432" i="19"/>
  <c r="T433" i="19"/>
  <c r="T434" i="19"/>
  <c r="T435" i="19"/>
  <c r="T436" i="19"/>
  <c r="T437" i="19"/>
  <c r="T438" i="19"/>
  <c r="T439" i="19"/>
  <c r="T440" i="19"/>
  <c r="T441" i="19"/>
  <c r="T442" i="19"/>
  <c r="T443" i="19"/>
  <c r="T444" i="19"/>
  <c r="T445" i="19"/>
  <c r="T446" i="19"/>
  <c r="S339" i="19"/>
  <c r="S340" i="19"/>
  <c r="S341" i="19"/>
  <c r="S342" i="19"/>
  <c r="S343" i="19"/>
  <c r="S344" i="19"/>
  <c r="S345" i="19"/>
  <c r="S346" i="19"/>
  <c r="S347" i="19"/>
  <c r="S348" i="19"/>
  <c r="S349" i="19"/>
  <c r="S350" i="19"/>
  <c r="S351" i="19"/>
  <c r="S352" i="19"/>
  <c r="S353" i="19"/>
  <c r="S354" i="19"/>
  <c r="S355" i="19"/>
  <c r="S356" i="19"/>
  <c r="S357" i="19"/>
  <c r="S358" i="19"/>
  <c r="S359" i="19"/>
  <c r="S360" i="19"/>
  <c r="S361" i="19"/>
  <c r="S362" i="19"/>
  <c r="S363" i="19"/>
  <c r="S364" i="19"/>
  <c r="S365" i="19"/>
  <c r="S366" i="19"/>
  <c r="S367" i="19"/>
  <c r="S368" i="19"/>
  <c r="S369" i="19"/>
  <c r="S370" i="19"/>
  <c r="S371" i="19"/>
  <c r="S372" i="19"/>
  <c r="S373" i="19"/>
  <c r="S374" i="19"/>
  <c r="S375" i="19"/>
  <c r="S376" i="19"/>
  <c r="S377" i="19"/>
  <c r="S378" i="19"/>
  <c r="S379" i="19"/>
  <c r="S380" i="19"/>
  <c r="S381" i="19"/>
  <c r="S382" i="19"/>
  <c r="S383" i="19"/>
  <c r="S384" i="19"/>
  <c r="S385" i="19"/>
  <c r="S386" i="19"/>
  <c r="S387" i="19"/>
  <c r="S388" i="19"/>
  <c r="S389" i="19"/>
  <c r="S390" i="19"/>
  <c r="S391" i="19"/>
  <c r="S392" i="19"/>
  <c r="S393" i="19"/>
  <c r="S394" i="19"/>
  <c r="S395" i="19"/>
  <c r="S396" i="19"/>
  <c r="S397" i="19"/>
  <c r="S398" i="19"/>
  <c r="S399" i="19"/>
  <c r="S400" i="19"/>
  <c r="S401" i="19"/>
  <c r="S402" i="19"/>
  <c r="S403" i="19"/>
  <c r="S404" i="19"/>
  <c r="S405" i="19"/>
  <c r="S406" i="19"/>
  <c r="S407" i="19"/>
  <c r="S408" i="19"/>
  <c r="S409" i="19"/>
  <c r="S410" i="19"/>
  <c r="T339" i="19"/>
  <c r="T340" i="19"/>
  <c r="T341" i="19"/>
  <c r="T342" i="19"/>
  <c r="T343" i="19"/>
  <c r="T344" i="19"/>
  <c r="T345" i="19"/>
  <c r="T346" i="19"/>
  <c r="T347" i="19"/>
  <c r="T348" i="19"/>
  <c r="T349" i="19"/>
  <c r="T350" i="19"/>
  <c r="T351" i="19"/>
  <c r="T352" i="19"/>
  <c r="T353" i="19"/>
  <c r="T354" i="19"/>
  <c r="T355" i="19"/>
  <c r="T356" i="19"/>
  <c r="T357" i="19"/>
  <c r="T358" i="19"/>
  <c r="T359" i="19"/>
  <c r="T360" i="19"/>
  <c r="T361" i="19"/>
  <c r="T362" i="19"/>
  <c r="T363" i="19"/>
  <c r="T364" i="19"/>
  <c r="T365" i="19"/>
  <c r="T366" i="19"/>
  <c r="T367" i="19"/>
  <c r="T368" i="19"/>
  <c r="T369" i="19"/>
  <c r="T370" i="19"/>
  <c r="T371" i="19"/>
  <c r="T372" i="19"/>
  <c r="T373" i="19"/>
  <c r="T374" i="19"/>
  <c r="T375" i="19"/>
  <c r="T376" i="19"/>
  <c r="T377" i="19"/>
  <c r="T378" i="19"/>
  <c r="T379" i="19"/>
  <c r="T380" i="19"/>
  <c r="T381" i="19"/>
  <c r="T382" i="19"/>
  <c r="T383" i="19"/>
  <c r="T384" i="19"/>
  <c r="T385" i="19"/>
  <c r="T386" i="19"/>
  <c r="T387" i="19"/>
  <c r="T388" i="19"/>
  <c r="T389" i="19"/>
  <c r="T390" i="19"/>
  <c r="T391" i="19"/>
  <c r="T392" i="19"/>
  <c r="T393" i="19"/>
  <c r="T394" i="19"/>
  <c r="T395" i="19"/>
  <c r="T396" i="19"/>
  <c r="T397" i="19"/>
  <c r="T398" i="19"/>
  <c r="T399" i="19"/>
  <c r="T400" i="19"/>
  <c r="T401" i="19"/>
  <c r="T402" i="19"/>
  <c r="T403" i="19"/>
  <c r="T404" i="19"/>
  <c r="T405" i="19"/>
  <c r="T406" i="19"/>
  <c r="T407" i="19"/>
  <c r="T408" i="19"/>
  <c r="T409" i="19"/>
  <c r="T410" i="19"/>
  <c r="S456" i="18"/>
  <c r="S457" i="18"/>
  <c r="S458" i="18"/>
  <c r="S459" i="18"/>
  <c r="S339" i="18"/>
  <c r="S340" i="18"/>
  <c r="S341" i="18"/>
  <c r="S342" i="18"/>
  <c r="S343" i="18"/>
  <c r="S344" i="18"/>
  <c r="S345" i="18"/>
  <c r="S346" i="18"/>
  <c r="S347" i="18"/>
  <c r="S348" i="18"/>
  <c r="S349" i="18"/>
  <c r="S350" i="18"/>
  <c r="S351" i="18"/>
  <c r="S352" i="18"/>
  <c r="S353" i="18"/>
  <c r="S354" i="18"/>
  <c r="S355" i="18"/>
  <c r="S356" i="18"/>
  <c r="S357" i="18"/>
  <c r="S358" i="18"/>
  <c r="S359" i="18"/>
  <c r="S360" i="18"/>
  <c r="S361" i="18"/>
  <c r="S362" i="18"/>
  <c r="S363" i="18"/>
  <c r="S364" i="18"/>
  <c r="S365" i="18"/>
  <c r="S366" i="18"/>
  <c r="S367" i="18"/>
  <c r="S368" i="18"/>
  <c r="S369" i="18"/>
  <c r="S370" i="18"/>
  <c r="S371" i="18"/>
  <c r="S372" i="18"/>
  <c r="S373" i="18"/>
  <c r="S374" i="18"/>
  <c r="S375" i="18"/>
  <c r="S376" i="18"/>
  <c r="S377" i="18"/>
  <c r="S378" i="18"/>
  <c r="S379" i="18"/>
  <c r="S380" i="18"/>
  <c r="S381" i="18"/>
  <c r="S382" i="18"/>
  <c r="S383" i="18"/>
  <c r="S384" i="18"/>
  <c r="S385" i="18"/>
  <c r="S386" i="18"/>
  <c r="S387" i="18"/>
  <c r="S388" i="18"/>
  <c r="S389" i="18"/>
  <c r="S390" i="18"/>
  <c r="S391" i="18"/>
  <c r="S392" i="18"/>
  <c r="S393" i="18"/>
  <c r="S394" i="18"/>
  <c r="S395" i="18"/>
  <c r="S396" i="18"/>
  <c r="S397" i="18"/>
  <c r="S398" i="18"/>
  <c r="S399" i="18"/>
  <c r="S400" i="18"/>
  <c r="S401" i="18"/>
  <c r="S402" i="18"/>
  <c r="S403" i="18"/>
  <c r="S404" i="18"/>
  <c r="S405" i="18"/>
  <c r="S406" i="18"/>
  <c r="S407" i="18"/>
  <c r="S408" i="18"/>
  <c r="S409" i="18"/>
  <c r="S410" i="18"/>
  <c r="S411" i="18"/>
  <c r="S412" i="18"/>
  <c r="S413" i="18"/>
  <c r="S414" i="18"/>
  <c r="S415" i="18"/>
  <c r="S416" i="18"/>
  <c r="S417" i="18"/>
  <c r="S418" i="18"/>
  <c r="S419" i="18"/>
  <c r="S420" i="18"/>
  <c r="S421" i="18"/>
  <c r="S422" i="18"/>
  <c r="S423" i="18"/>
  <c r="S424" i="18"/>
  <c r="S425" i="18"/>
  <c r="S426" i="18"/>
  <c r="S427" i="18"/>
  <c r="S428" i="18"/>
  <c r="S429" i="18"/>
  <c r="S430" i="18"/>
  <c r="S431" i="18"/>
  <c r="S432" i="18"/>
  <c r="S433" i="18"/>
  <c r="S434" i="18"/>
  <c r="S435" i="18"/>
  <c r="S436" i="18"/>
  <c r="S437" i="18"/>
  <c r="S438" i="18"/>
  <c r="S439" i="18"/>
  <c r="S440" i="18"/>
  <c r="S441" i="18"/>
  <c r="S442" i="18"/>
  <c r="S443" i="18"/>
  <c r="S444" i="18"/>
  <c r="S445" i="18"/>
  <c r="S446" i="18"/>
  <c r="S447" i="18"/>
  <c r="S448" i="18"/>
  <c r="S449" i="18"/>
  <c r="S450" i="18"/>
  <c r="S451" i="18"/>
  <c r="S452" i="18"/>
  <c r="S453" i="18"/>
  <c r="S454" i="18"/>
  <c r="S455" i="18"/>
  <c r="S338" i="19"/>
  <c r="T338" i="19"/>
  <c r="S310" i="19"/>
  <c r="S311" i="19"/>
  <c r="S312" i="19"/>
  <c r="S313" i="19"/>
  <c r="S314" i="19"/>
  <c r="S315" i="19"/>
  <c r="S316" i="19"/>
  <c r="S317" i="19"/>
  <c r="S318" i="19"/>
  <c r="S319" i="19"/>
  <c r="S320" i="19"/>
  <c r="S321" i="19"/>
  <c r="S322" i="19"/>
  <c r="S323" i="19"/>
  <c r="S324" i="19"/>
  <c r="S325" i="19"/>
  <c r="S326" i="19"/>
  <c r="S327" i="19"/>
  <c r="S328" i="19"/>
  <c r="S329" i="19"/>
  <c r="S330" i="19"/>
  <c r="S331" i="19"/>
  <c r="S332" i="19"/>
  <c r="S333" i="19"/>
  <c r="S334" i="19"/>
  <c r="S335" i="19"/>
  <c r="S336" i="19"/>
  <c r="S337" i="19"/>
  <c r="T310" i="19"/>
  <c r="T311" i="19"/>
  <c r="T312" i="19"/>
  <c r="T313" i="19"/>
  <c r="T314" i="19"/>
  <c r="T315" i="19"/>
  <c r="T316" i="19"/>
  <c r="T317" i="19"/>
  <c r="T318" i="19"/>
  <c r="T319" i="19"/>
  <c r="T320" i="19"/>
  <c r="T321" i="19"/>
  <c r="T322" i="19"/>
  <c r="T323" i="19"/>
  <c r="T324" i="19"/>
  <c r="T325" i="19"/>
  <c r="T326" i="19"/>
  <c r="T327" i="19"/>
  <c r="T328" i="19"/>
  <c r="T329" i="19"/>
  <c r="T330" i="19"/>
  <c r="T331" i="19"/>
  <c r="T332" i="19"/>
  <c r="T333" i="19"/>
  <c r="T334" i="19"/>
  <c r="T335" i="19"/>
  <c r="T336" i="19"/>
  <c r="T337" i="19"/>
  <c r="S308" i="19"/>
  <c r="S309" i="19"/>
  <c r="T308" i="19"/>
  <c r="T309" i="19"/>
  <c r="S331" i="18"/>
  <c r="S332" i="18"/>
  <c r="S333" i="18"/>
  <c r="S334" i="18"/>
  <c r="S335" i="18"/>
  <c r="S336" i="18"/>
  <c r="S337" i="18"/>
  <c r="S338" i="18"/>
  <c r="S312" i="18"/>
  <c r="S313" i="18"/>
  <c r="S314" i="18"/>
  <c r="S315" i="18"/>
  <c r="S316" i="18"/>
  <c r="S317" i="18"/>
  <c r="S318" i="18"/>
  <c r="S319" i="18"/>
  <c r="S320" i="18"/>
  <c r="S321" i="18"/>
  <c r="S322" i="18"/>
  <c r="S323" i="18"/>
  <c r="S324" i="18"/>
  <c r="S325" i="18"/>
  <c r="S326" i="18"/>
  <c r="S327" i="18"/>
  <c r="S328" i="18"/>
  <c r="S329" i="18"/>
  <c r="S330" i="18"/>
  <c r="T285" i="19"/>
  <c r="S307" i="19"/>
  <c r="T307" i="19"/>
  <c r="S304" i="19"/>
  <c r="S305" i="19"/>
  <c r="S306" i="19"/>
  <c r="T304" i="19"/>
  <c r="T305" i="19"/>
  <c r="T306" i="19"/>
  <c r="S277" i="19"/>
  <c r="S278" i="19"/>
  <c r="S279" i="19"/>
  <c r="S280" i="19"/>
  <c r="S281" i="19"/>
  <c r="S282" i="19"/>
  <c r="S283" i="19"/>
  <c r="S284" i="19"/>
  <c r="S285" i="19"/>
  <c r="S286" i="19"/>
  <c r="S287" i="19"/>
  <c r="S288" i="19"/>
  <c r="S289" i="19"/>
  <c r="S290" i="19"/>
  <c r="S291" i="19"/>
  <c r="S292" i="19"/>
  <c r="S293" i="19"/>
  <c r="S294" i="19"/>
  <c r="S295" i="19"/>
  <c r="S296" i="19"/>
  <c r="S297" i="19"/>
  <c r="S298" i="19"/>
  <c r="S299" i="19"/>
  <c r="S300" i="19"/>
  <c r="S301" i="19"/>
  <c r="S302" i="19"/>
  <c r="S303" i="19"/>
  <c r="T277" i="19"/>
  <c r="T278" i="19"/>
  <c r="T279" i="19"/>
  <c r="T280" i="19"/>
  <c r="T281" i="19"/>
  <c r="T283" i="19"/>
  <c r="T284" i="19"/>
  <c r="T286" i="19"/>
  <c r="T287" i="19"/>
  <c r="T288" i="19"/>
  <c r="T289" i="19"/>
  <c r="T290" i="19"/>
  <c r="T291" i="19"/>
  <c r="T292" i="19"/>
  <c r="T293" i="19"/>
  <c r="T294" i="19"/>
  <c r="T295" i="19"/>
  <c r="T296" i="19"/>
  <c r="T297" i="19"/>
  <c r="T298" i="19"/>
  <c r="T299" i="19"/>
  <c r="T300" i="19"/>
  <c r="T301" i="19"/>
  <c r="T302" i="19"/>
  <c r="T303" i="19"/>
  <c r="S295" i="18"/>
  <c r="S296" i="18"/>
  <c r="S297" i="18"/>
  <c r="S298" i="18"/>
  <c r="S299" i="18"/>
  <c r="S300" i="18"/>
  <c r="S301" i="18"/>
  <c r="S302" i="18"/>
  <c r="S303" i="18"/>
  <c r="S304" i="18"/>
  <c r="S305" i="18"/>
  <c r="S306" i="18"/>
  <c r="S307" i="18"/>
  <c r="S308" i="18"/>
  <c r="S309" i="18"/>
  <c r="S310" i="18"/>
  <c r="S311" i="18"/>
  <c r="S279" i="18"/>
  <c r="S280" i="18"/>
  <c r="S281" i="18"/>
  <c r="S282" i="18"/>
  <c r="S283" i="18"/>
  <c r="S284" i="18"/>
  <c r="S285" i="18"/>
  <c r="S286" i="18"/>
  <c r="S287" i="18"/>
  <c r="S288" i="18"/>
  <c r="S289" i="18"/>
  <c r="S290" i="18"/>
  <c r="S291" i="18"/>
  <c r="S293" i="18"/>
  <c r="S294" i="18"/>
  <c r="S277" i="18"/>
  <c r="S278" i="18"/>
  <c r="E8" i="7"/>
  <c r="I8" i="7"/>
  <c r="S8" i="7"/>
  <c r="V8" i="7" s="1"/>
  <c r="C549" i="19" l="1"/>
  <c r="B550" i="19"/>
  <c r="D549" i="19"/>
  <c r="G549" i="19"/>
  <c r="H549" i="19" s="1"/>
  <c r="B551" i="19" l="1"/>
  <c r="D550" i="19"/>
  <c r="G550" i="19"/>
  <c r="H550" i="19" s="1"/>
  <c r="C550" i="19"/>
  <c r="B410" i="3"/>
  <c r="C410" i="3" s="1"/>
  <c r="C153" i="3"/>
  <c r="C24" i="3"/>
  <c r="S273" i="19"/>
  <c r="S274" i="19"/>
  <c r="S275" i="19"/>
  <c r="S276" i="19"/>
  <c r="T273" i="19"/>
  <c r="T274" i="19"/>
  <c r="T275" i="19"/>
  <c r="T276" i="19"/>
  <c r="B4" i="19"/>
  <c r="B5" i="19" s="1"/>
  <c r="B6" i="19" s="1"/>
  <c r="B7" i="19" s="1"/>
  <c r="B8" i="19" s="1"/>
  <c r="B9" i="19" s="1"/>
  <c r="B10" i="19" s="1"/>
  <c r="B11" i="19" s="1"/>
  <c r="B12" i="19" s="1"/>
  <c r="B13" i="19" s="1"/>
  <c r="B14" i="19" s="1"/>
  <c r="B15" i="19" s="1"/>
  <c r="B16" i="19" s="1"/>
  <c r="B17" i="19" s="1"/>
  <c r="B18" i="19" s="1"/>
  <c r="B19" i="19" s="1"/>
  <c r="B20" i="19" s="1"/>
  <c r="B21" i="19" s="1"/>
  <c r="B22" i="19" s="1"/>
  <c r="B23" i="19" s="1"/>
  <c r="B24" i="19" s="1"/>
  <c r="B25" i="19" s="1"/>
  <c r="B26" i="19" s="1"/>
  <c r="B27" i="19" s="1"/>
  <c r="B28" i="19" s="1"/>
  <c r="B29" i="19" s="1"/>
  <c r="B30" i="19" s="1"/>
  <c r="B31" i="19" s="1"/>
  <c r="B32" i="19" s="1"/>
  <c r="B33" i="19" s="1"/>
  <c r="B34" i="19" s="1"/>
  <c r="B35" i="19" s="1"/>
  <c r="B36" i="19" s="1"/>
  <c r="B37" i="19" s="1"/>
  <c r="B38" i="19" s="1"/>
  <c r="B39" i="19" s="1"/>
  <c r="B40" i="19" s="1"/>
  <c r="B41" i="19" s="1"/>
  <c r="B42" i="19" s="1"/>
  <c r="B43" i="19" s="1"/>
  <c r="B44" i="19" s="1"/>
  <c r="B45" i="19" s="1"/>
  <c r="B46" i="19" s="1"/>
  <c r="B47" i="19" s="1"/>
  <c r="B48" i="19" s="1"/>
  <c r="B49" i="19" s="1"/>
  <c r="B50" i="19" s="1"/>
  <c r="B51" i="19" s="1"/>
  <c r="B52" i="19" s="1"/>
  <c r="B53" i="19" s="1"/>
  <c r="B54" i="19" s="1"/>
  <c r="B55" i="19" s="1"/>
  <c r="B56" i="19" s="1"/>
  <c r="B57" i="19" s="1"/>
  <c r="B58" i="19" s="1"/>
  <c r="B59" i="19" s="1"/>
  <c r="B60" i="19" s="1"/>
  <c r="B61" i="19" s="1"/>
  <c r="B62" i="19" s="1"/>
  <c r="B63" i="19" s="1"/>
  <c r="B64" i="19" s="1"/>
  <c r="B65" i="19" s="1"/>
  <c r="B66" i="19" s="1"/>
  <c r="B67" i="19" s="1"/>
  <c r="B68" i="19" s="1"/>
  <c r="B69" i="19" s="1"/>
  <c r="B70" i="19" s="1"/>
  <c r="B71" i="19" s="1"/>
  <c r="B72" i="19" s="1"/>
  <c r="B73" i="19" s="1"/>
  <c r="B74" i="19" s="1"/>
  <c r="B75" i="19" s="1"/>
  <c r="B76" i="19" s="1"/>
  <c r="B77" i="19" s="1"/>
  <c r="B78" i="19" s="1"/>
  <c r="B79" i="19" s="1"/>
  <c r="B80" i="19" s="1"/>
  <c r="B81" i="19" s="1"/>
  <c r="B82" i="19" s="1"/>
  <c r="B83" i="19" s="1"/>
  <c r="B84" i="19" s="1"/>
  <c r="B85" i="19" s="1"/>
  <c r="B86" i="19" s="1"/>
  <c r="B87" i="19" s="1"/>
  <c r="B88" i="19" s="1"/>
  <c r="B89" i="19" s="1"/>
  <c r="B90" i="19" s="1"/>
  <c r="B91" i="19" s="1"/>
  <c r="B92" i="19" s="1"/>
  <c r="B93" i="19" s="1"/>
  <c r="B94" i="19" s="1"/>
  <c r="B95" i="19" s="1"/>
  <c r="B96" i="19" s="1"/>
  <c r="B97" i="19" s="1"/>
  <c r="B98" i="19" s="1"/>
  <c r="B99" i="19" s="1"/>
  <c r="B100" i="19" s="1"/>
  <c r="B101" i="19" s="1"/>
  <c r="B102" i="19" s="1"/>
  <c r="B103" i="19" s="1"/>
  <c r="B104" i="19" s="1"/>
  <c r="B105" i="19" s="1"/>
  <c r="B106" i="19" s="1"/>
  <c r="B107" i="19" s="1"/>
  <c r="B108" i="19" s="1"/>
  <c r="B109" i="19" s="1"/>
  <c r="B110" i="19" s="1"/>
  <c r="B111" i="19" s="1"/>
  <c r="B112" i="19" s="1"/>
  <c r="B113" i="19" s="1"/>
  <c r="B114" i="19" s="1"/>
  <c r="B115" i="19" s="1"/>
  <c r="B116" i="19" s="1"/>
  <c r="B117" i="19" s="1"/>
  <c r="B118" i="19" s="1"/>
  <c r="B119" i="19" s="1"/>
  <c r="B120" i="19" s="1"/>
  <c r="B121" i="19" s="1"/>
  <c r="B122" i="19" s="1"/>
  <c r="B123" i="19" s="1"/>
  <c r="B124" i="19" s="1"/>
  <c r="B125" i="19" s="1"/>
  <c r="B126" i="19" s="1"/>
  <c r="B127" i="19" s="1"/>
  <c r="B128" i="19" s="1"/>
  <c r="B129" i="19" s="1"/>
  <c r="B130" i="19" s="1"/>
  <c r="B131" i="19" s="1"/>
  <c r="B132" i="19" s="1"/>
  <c r="B133" i="19" s="1"/>
  <c r="B134" i="19" s="1"/>
  <c r="B135" i="19" s="1"/>
  <c r="B136" i="19" s="1"/>
  <c r="B137" i="19" s="1"/>
  <c r="B138" i="19" s="1"/>
  <c r="B139" i="19" s="1"/>
  <c r="B140" i="19" s="1"/>
  <c r="B141" i="19" s="1"/>
  <c r="B142" i="19" s="1"/>
  <c r="B143" i="19" s="1"/>
  <c r="B144" i="19" s="1"/>
  <c r="B145" i="19" s="1"/>
  <c r="B146" i="19" s="1"/>
  <c r="B147" i="19" s="1"/>
  <c r="B148" i="19" s="1"/>
  <c r="B149" i="19" s="1"/>
  <c r="B150" i="19" s="1"/>
  <c r="B151" i="19" s="1"/>
  <c r="B152" i="19" s="1"/>
  <c r="B153" i="19" s="1"/>
  <c r="B154" i="19" s="1"/>
  <c r="B155" i="19" s="1"/>
  <c r="B156" i="19" s="1"/>
  <c r="B157" i="19" s="1"/>
  <c r="B158" i="19" s="1"/>
  <c r="B159" i="19" s="1"/>
  <c r="B160" i="19" s="1"/>
  <c r="B161" i="19" s="1"/>
  <c r="B162" i="19" s="1"/>
  <c r="B163" i="19" s="1"/>
  <c r="B164" i="19" s="1"/>
  <c r="B165" i="19" s="1"/>
  <c r="B166" i="19" s="1"/>
  <c r="B167" i="19" s="1"/>
  <c r="B168" i="19" s="1"/>
  <c r="B169" i="19" s="1"/>
  <c r="B170" i="19" s="1"/>
  <c r="B171" i="19" s="1"/>
  <c r="B172" i="19" s="1"/>
  <c r="B173" i="19" s="1"/>
  <c r="B174" i="19" s="1"/>
  <c r="B175" i="19" s="1"/>
  <c r="B176" i="19" s="1"/>
  <c r="B177" i="19" s="1"/>
  <c r="B178" i="19" s="1"/>
  <c r="B179" i="19" s="1"/>
  <c r="B180" i="19" s="1"/>
  <c r="B181" i="19" s="1"/>
  <c r="B182" i="19" s="1"/>
  <c r="B183" i="19" s="1"/>
  <c r="B184" i="19" s="1"/>
  <c r="B185" i="19" s="1"/>
  <c r="B186" i="19" s="1"/>
  <c r="B188" i="19" s="1"/>
  <c r="B189" i="19" s="1"/>
  <c r="B190" i="19" s="1"/>
  <c r="B191" i="19" s="1"/>
  <c r="B192" i="19" s="1"/>
  <c r="B193" i="19" s="1"/>
  <c r="B194" i="19" s="1"/>
  <c r="B195" i="19" s="1"/>
  <c r="B196" i="19" s="1"/>
  <c r="B197" i="19" s="1"/>
  <c r="B198" i="19" s="1"/>
  <c r="B199" i="19" s="1"/>
  <c r="B200" i="19" s="1"/>
  <c r="B201" i="19" s="1"/>
  <c r="B202" i="19" s="1"/>
  <c r="B203" i="19" s="1"/>
  <c r="B204" i="19" s="1"/>
  <c r="B205" i="19" s="1"/>
  <c r="S250" i="19"/>
  <c r="S251" i="19"/>
  <c r="S252" i="19"/>
  <c r="S253" i="19"/>
  <c r="S254" i="19"/>
  <c r="S255" i="19"/>
  <c r="S256" i="19"/>
  <c r="S257" i="19"/>
  <c r="S258" i="19"/>
  <c r="S259" i="19"/>
  <c r="S260" i="19"/>
  <c r="S261" i="19"/>
  <c r="S262" i="19"/>
  <c r="S263" i="19"/>
  <c r="S264" i="19"/>
  <c r="S265" i="19"/>
  <c r="S266" i="19"/>
  <c r="S267" i="19"/>
  <c r="S268" i="19"/>
  <c r="S269" i="19"/>
  <c r="S270" i="19"/>
  <c r="S271" i="19"/>
  <c r="S272" i="19"/>
  <c r="T250" i="19"/>
  <c r="T251" i="19"/>
  <c r="T252" i="19"/>
  <c r="T253" i="19"/>
  <c r="T254" i="19"/>
  <c r="T255" i="19"/>
  <c r="T256" i="19"/>
  <c r="T257" i="19"/>
  <c r="T258" i="19"/>
  <c r="T259" i="19"/>
  <c r="T260" i="19"/>
  <c r="T261" i="19"/>
  <c r="T262" i="19"/>
  <c r="T263" i="19"/>
  <c r="T264" i="19"/>
  <c r="T265" i="19"/>
  <c r="T266" i="19"/>
  <c r="T267" i="19"/>
  <c r="T268" i="19"/>
  <c r="T269" i="19"/>
  <c r="T270" i="19"/>
  <c r="T271" i="19"/>
  <c r="T272" i="19"/>
  <c r="S275" i="18"/>
  <c r="S276" i="18"/>
  <c r="B4" i="18"/>
  <c r="B5" i="18"/>
  <c r="B6" i="18" s="1"/>
  <c r="B7" i="18" s="1"/>
  <c r="B8" i="18" s="1"/>
  <c r="B9" i="18" s="1"/>
  <c r="B10" i="18" s="1"/>
  <c r="B11" i="18" s="1"/>
  <c r="B12" i="18" s="1"/>
  <c r="B13" i="18" s="1"/>
  <c r="B14" i="18" s="1"/>
  <c r="B15" i="18" s="1"/>
  <c r="B16" i="18" s="1"/>
  <c r="B17" i="18" s="1"/>
  <c r="B18" i="18" s="1"/>
  <c r="B19" i="18" s="1"/>
  <c r="B20" i="18" s="1"/>
  <c r="B21" i="18" s="1"/>
  <c r="B22" i="18" s="1"/>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B76" i="18" s="1"/>
  <c r="B77" i="18" s="1"/>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B107" i="18" s="1"/>
  <c r="B108" i="18" s="1"/>
  <c r="B109" i="18" s="1"/>
  <c r="B110" i="18" s="1"/>
  <c r="B111" i="18" s="1"/>
  <c r="B112" i="18" s="1"/>
  <c r="B113" i="18" s="1"/>
  <c r="B114" i="18" s="1"/>
  <c r="B115" i="18" s="1"/>
  <c r="B116" i="18" s="1"/>
  <c r="B117" i="18" s="1"/>
  <c r="B118" i="18" s="1"/>
  <c r="B119" i="18" s="1"/>
  <c r="B120" i="18" s="1"/>
  <c r="B121" i="18" s="1"/>
  <c r="B122" i="18" s="1"/>
  <c r="B123" i="18" s="1"/>
  <c r="B124" i="18" s="1"/>
  <c r="B125" i="18" s="1"/>
  <c r="B126" i="18" s="1"/>
  <c r="B127" i="18" s="1"/>
  <c r="B128" i="18" s="1"/>
  <c r="B129" i="18" s="1"/>
  <c r="B130" i="18" s="1"/>
  <c r="B131" i="18" s="1"/>
  <c r="B132" i="18" s="1"/>
  <c r="B133" i="18" s="1"/>
  <c r="B134" i="18" s="1"/>
  <c r="B135" i="18" s="1"/>
  <c r="B136" i="18" s="1"/>
  <c r="B137" i="18" s="1"/>
  <c r="B138" i="18" s="1"/>
  <c r="B139" i="18" s="1"/>
  <c r="B140" i="18" s="1"/>
  <c r="B141" i="18" s="1"/>
  <c r="B142" i="18" s="1"/>
  <c r="B143" i="18" s="1"/>
  <c r="B144" i="18" s="1"/>
  <c r="B145" i="18" s="1"/>
  <c r="B146" i="18" s="1"/>
  <c r="B147" i="18" s="1"/>
  <c r="B148" i="18" s="1"/>
  <c r="B149" i="18" s="1"/>
  <c r="B150" i="18" s="1"/>
  <c r="B151" i="18" s="1"/>
  <c r="B152" i="18" s="1"/>
  <c r="B153" i="18" s="1"/>
  <c r="B154" i="18" s="1"/>
  <c r="B155" i="18" s="1"/>
  <c r="B156" i="18" s="1"/>
  <c r="B157" i="18" s="1"/>
  <c r="B158" i="18" s="1"/>
  <c r="B159" i="18" s="1"/>
  <c r="B160" i="18" s="1"/>
  <c r="B161" i="18" s="1"/>
  <c r="B162" i="18" s="1"/>
  <c r="B163" i="18" s="1"/>
  <c r="B164" i="18" s="1"/>
  <c r="B165" i="18" s="1"/>
  <c r="B166" i="18" s="1"/>
  <c r="B167" i="18" s="1"/>
  <c r="B168" i="18" s="1"/>
  <c r="B169" i="18" s="1"/>
  <c r="B170" i="18" s="1"/>
  <c r="B171" i="18" s="1"/>
  <c r="B172" i="18" s="1"/>
  <c r="B173" i="18" s="1"/>
  <c r="B174" i="18" s="1"/>
  <c r="B175" i="18" s="1"/>
  <c r="B176" i="18" s="1"/>
  <c r="B177" i="18" s="1"/>
  <c r="B178" i="18" s="1"/>
  <c r="B179" i="18" s="1"/>
  <c r="B180" i="18" s="1"/>
  <c r="B181" i="18" s="1"/>
  <c r="B182" i="18" s="1"/>
  <c r="B183" i="18" s="1"/>
  <c r="B184" i="18" s="1"/>
  <c r="B185" i="18" s="1"/>
  <c r="B186" i="18" s="1"/>
  <c r="B187" i="18" s="1"/>
  <c r="B188" i="18" s="1"/>
  <c r="B189" i="18" s="1"/>
  <c r="B190" i="18" s="1"/>
  <c r="S251" i="18"/>
  <c r="S252" i="18"/>
  <c r="S253" i="18"/>
  <c r="S254" i="18"/>
  <c r="S255" i="18"/>
  <c r="S256" i="18"/>
  <c r="S257" i="18"/>
  <c r="S258" i="18"/>
  <c r="S259" i="18"/>
  <c r="S260" i="18"/>
  <c r="S261" i="18"/>
  <c r="S262" i="18"/>
  <c r="S263" i="18"/>
  <c r="S264" i="18"/>
  <c r="S265" i="18"/>
  <c r="S266" i="18"/>
  <c r="S267" i="18"/>
  <c r="S268" i="18"/>
  <c r="S269" i="18"/>
  <c r="S270" i="18"/>
  <c r="S271" i="18"/>
  <c r="S272" i="18"/>
  <c r="S273" i="18"/>
  <c r="S274" i="18"/>
  <c r="S250" i="18"/>
  <c r="S249" i="19"/>
  <c r="T249" i="19"/>
  <c r="S249" i="18"/>
  <c r="C255" i="3"/>
  <c r="C258" i="3"/>
  <c r="T236" i="5" s="1"/>
  <c r="AH236" i="5" s="1"/>
  <c r="S247" i="19"/>
  <c r="S248" i="19"/>
  <c r="T247" i="19"/>
  <c r="T248" i="19"/>
  <c r="S247" i="18"/>
  <c r="S248" i="18"/>
  <c r="C54" i="3"/>
  <c r="C148" i="3"/>
  <c r="T302" i="5" s="1"/>
  <c r="AH302" i="5" s="1"/>
  <c r="C59" i="3"/>
  <c r="C94" i="3"/>
  <c r="T206" i="5" s="1"/>
  <c r="C102" i="3"/>
  <c r="C53" i="3"/>
  <c r="C60" i="3"/>
  <c r="T230" i="19"/>
  <c r="T231" i="19"/>
  <c r="T229" i="19"/>
  <c r="S9" i="7"/>
  <c r="V9" i="7" s="1"/>
  <c r="S10" i="7"/>
  <c r="V10" i="7" s="1"/>
  <c r="S11" i="7"/>
  <c r="V11" i="7" s="1"/>
  <c r="S7" i="7"/>
  <c r="V7" i="7" s="1"/>
  <c r="E7" i="7"/>
  <c r="I7" i="7"/>
  <c r="S226" i="18"/>
  <c r="S227" i="18"/>
  <c r="S245" i="19"/>
  <c r="S246" i="19"/>
  <c r="T245" i="19"/>
  <c r="T246" i="19"/>
  <c r="S238" i="19"/>
  <c r="S239" i="19"/>
  <c r="S240" i="19"/>
  <c r="S241" i="19"/>
  <c r="S242" i="19"/>
  <c r="S243" i="19"/>
  <c r="S244" i="19"/>
  <c r="T238" i="19"/>
  <c r="T239" i="19"/>
  <c r="T240" i="19"/>
  <c r="T241" i="19"/>
  <c r="T242" i="19"/>
  <c r="T243" i="19"/>
  <c r="T244" i="19"/>
  <c r="S222" i="19"/>
  <c r="S223" i="19"/>
  <c r="S224" i="19"/>
  <c r="S225" i="19"/>
  <c r="S226" i="19"/>
  <c r="S227" i="19"/>
  <c r="S228" i="19"/>
  <c r="S229" i="19"/>
  <c r="S230" i="19"/>
  <c r="S231" i="19"/>
  <c r="S233" i="19"/>
  <c r="S234" i="19"/>
  <c r="S235" i="19"/>
  <c r="S236" i="19"/>
  <c r="S237" i="19"/>
  <c r="T222" i="19"/>
  <c r="T223" i="19"/>
  <c r="T224" i="19"/>
  <c r="T225" i="19"/>
  <c r="T226" i="19"/>
  <c r="T227" i="19"/>
  <c r="T228" i="19"/>
  <c r="T232" i="19"/>
  <c r="T233" i="19"/>
  <c r="T234" i="19"/>
  <c r="T235" i="19"/>
  <c r="T236" i="19"/>
  <c r="T237" i="19"/>
  <c r="S237" i="18"/>
  <c r="S238" i="18"/>
  <c r="S239" i="18"/>
  <c r="S240" i="18"/>
  <c r="S241" i="18"/>
  <c r="S242" i="18"/>
  <c r="S243" i="18"/>
  <c r="S244" i="18"/>
  <c r="S245" i="18"/>
  <c r="S246" i="18"/>
  <c r="S228" i="18"/>
  <c r="S229" i="18"/>
  <c r="S230" i="18"/>
  <c r="S231" i="18"/>
  <c r="S232" i="18"/>
  <c r="S233" i="18"/>
  <c r="S234" i="18"/>
  <c r="S235" i="18"/>
  <c r="S236" i="18"/>
  <c r="S221" i="18"/>
  <c r="S222" i="18"/>
  <c r="S223" i="18"/>
  <c r="S224" i="18"/>
  <c r="S220" i="19"/>
  <c r="S221" i="19"/>
  <c r="T220" i="19"/>
  <c r="T221" i="19"/>
  <c r="S219" i="19"/>
  <c r="T219" i="19"/>
  <c r="S219" i="18"/>
  <c r="S220" i="18"/>
  <c r="S218" i="19"/>
  <c r="T218" i="19"/>
  <c r="S218" i="18"/>
  <c r="S217" i="19"/>
  <c r="T217" i="19"/>
  <c r="S217" i="18"/>
  <c r="A4" i="20"/>
  <c r="S216" i="19"/>
  <c r="T216" i="19"/>
  <c r="T215" i="19"/>
  <c r="S215" i="19"/>
  <c r="S209" i="19"/>
  <c r="S210" i="19"/>
  <c r="S211" i="19"/>
  <c r="S212" i="19"/>
  <c r="S213" i="19"/>
  <c r="S214" i="19"/>
  <c r="T209" i="19"/>
  <c r="T210" i="19"/>
  <c r="T211" i="19"/>
  <c r="T212" i="19"/>
  <c r="T213" i="19"/>
  <c r="T214" i="19"/>
  <c r="S208" i="19"/>
  <c r="T208" i="19"/>
  <c r="S208" i="18"/>
  <c r="S209" i="18"/>
  <c r="S210" i="18"/>
  <c r="S211" i="18"/>
  <c r="S212" i="18"/>
  <c r="S213" i="18"/>
  <c r="S214" i="18"/>
  <c r="S215" i="18"/>
  <c r="S216" i="18"/>
  <c r="S207" i="19"/>
  <c r="T207" i="19"/>
  <c r="S207" i="18"/>
  <c r="C85" i="3"/>
  <c r="C52" i="3"/>
  <c r="S205" i="19"/>
  <c r="S206" i="19"/>
  <c r="T205" i="19"/>
  <c r="T206" i="19"/>
  <c r="S205" i="18"/>
  <c r="S206" i="18"/>
  <c r="S202" i="19"/>
  <c r="S203" i="19"/>
  <c r="S204" i="19"/>
  <c r="T202" i="19"/>
  <c r="T203" i="19"/>
  <c r="T204" i="19"/>
  <c r="S202" i="18"/>
  <c r="S203" i="18"/>
  <c r="S204" i="18"/>
  <c r="S201" i="19"/>
  <c r="T201" i="19"/>
  <c r="S201" i="18"/>
  <c r="S200" i="19"/>
  <c r="T200" i="19"/>
  <c r="S200" i="18"/>
  <c r="S199" i="18"/>
  <c r="S199" i="19"/>
  <c r="T199" i="19"/>
  <c r="S194" i="19"/>
  <c r="S195" i="19"/>
  <c r="S196" i="19"/>
  <c r="S197" i="19"/>
  <c r="S198" i="19"/>
  <c r="T194" i="19"/>
  <c r="T195" i="19"/>
  <c r="T196" i="19"/>
  <c r="T197" i="19"/>
  <c r="T198" i="19"/>
  <c r="S193" i="18"/>
  <c r="S194" i="18"/>
  <c r="S195" i="18"/>
  <c r="S196" i="18"/>
  <c r="S197" i="18"/>
  <c r="S198" i="18"/>
  <c r="S192" i="19"/>
  <c r="S193" i="19"/>
  <c r="T192" i="19"/>
  <c r="T193" i="19"/>
  <c r="S191" i="18"/>
  <c r="S192" i="18"/>
  <c r="S190" i="18"/>
  <c r="B413" i="3"/>
  <c r="S186" i="19"/>
  <c r="S187" i="19"/>
  <c r="S188" i="19"/>
  <c r="S189" i="19"/>
  <c r="S190" i="19"/>
  <c r="S191" i="19"/>
  <c r="T186" i="19"/>
  <c r="T187" i="19"/>
  <c r="T188" i="19"/>
  <c r="T189" i="19"/>
  <c r="T190" i="19"/>
  <c r="T191" i="19"/>
  <c r="D186" i="18"/>
  <c r="G186" i="18"/>
  <c r="H186" i="18" s="1"/>
  <c r="D187" i="18"/>
  <c r="G187" i="18"/>
  <c r="H187" i="18" s="1"/>
  <c r="D188" i="18"/>
  <c r="G188" i="18"/>
  <c r="H188" i="18" s="1"/>
  <c r="D189" i="18"/>
  <c r="G189" i="18"/>
  <c r="H189" i="18" s="1"/>
  <c r="S186" i="18"/>
  <c r="S187" i="18"/>
  <c r="S188" i="18"/>
  <c r="S189" i="18"/>
  <c r="C6" i="3"/>
  <c r="C124" i="3"/>
  <c r="C108" i="3"/>
  <c r="C109" i="3"/>
  <c r="C253" i="3"/>
  <c r="C219" i="3"/>
  <c r="C150" i="3"/>
  <c r="T224" i="5" s="1"/>
  <c r="AH224" i="5" s="1"/>
  <c r="C401" i="3"/>
  <c r="C72" i="3"/>
  <c r="T198" i="5" s="1"/>
  <c r="AH198" i="5" s="1"/>
  <c r="T176" i="19"/>
  <c r="T177" i="19"/>
  <c r="T178" i="19"/>
  <c r="T179" i="19"/>
  <c r="T175" i="19"/>
  <c r="T174" i="19"/>
  <c r="T173" i="19"/>
  <c r="D6" i="7"/>
  <c r="E6" i="7"/>
  <c r="I6" i="7"/>
  <c r="N6" i="7"/>
  <c r="C409" i="3"/>
  <c r="O6" i="7"/>
  <c r="S6" i="7"/>
  <c r="T172" i="19"/>
  <c r="T171" i="19"/>
  <c r="T170" i="19"/>
  <c r="T169" i="19"/>
  <c r="T3" i="19"/>
  <c r="T4" i="19"/>
  <c r="T5" i="19"/>
  <c r="T6" i="19"/>
  <c r="T7" i="19"/>
  <c r="T8" i="19"/>
  <c r="T9" i="19"/>
  <c r="T10" i="19"/>
  <c r="T11" i="19"/>
  <c r="T12" i="19"/>
  <c r="T13" i="19"/>
  <c r="T14" i="19"/>
  <c r="T15" i="19"/>
  <c r="T16" i="19"/>
  <c r="T17" i="19"/>
  <c r="T18" i="19"/>
  <c r="T19" i="19"/>
  <c r="T20" i="19"/>
  <c r="T21" i="19"/>
  <c r="T22" i="19"/>
  <c r="T23" i="19"/>
  <c r="T24" i="19"/>
  <c r="T25" i="19"/>
  <c r="T26" i="19"/>
  <c r="T27" i="19"/>
  <c r="T28" i="19"/>
  <c r="T29" i="19"/>
  <c r="T30" i="19"/>
  <c r="T31" i="19"/>
  <c r="T32" i="19"/>
  <c r="T33" i="19"/>
  <c r="T34" i="19"/>
  <c r="T35" i="19"/>
  <c r="T36" i="19"/>
  <c r="T37" i="19"/>
  <c r="T38" i="19"/>
  <c r="T39" i="19"/>
  <c r="T40" i="19"/>
  <c r="T41" i="19"/>
  <c r="T42" i="19"/>
  <c r="T43" i="19"/>
  <c r="T44" i="19"/>
  <c r="T45" i="19"/>
  <c r="T46" i="19"/>
  <c r="T47" i="19"/>
  <c r="T48" i="19"/>
  <c r="T49" i="19"/>
  <c r="T50" i="19"/>
  <c r="T51" i="19"/>
  <c r="T52" i="19"/>
  <c r="T53" i="19"/>
  <c r="T54" i="19"/>
  <c r="T55" i="19"/>
  <c r="T56" i="19"/>
  <c r="T57" i="19"/>
  <c r="T58" i="19"/>
  <c r="T59" i="19"/>
  <c r="T60" i="19"/>
  <c r="T61" i="19"/>
  <c r="T62" i="19"/>
  <c r="T63" i="19"/>
  <c r="T64" i="19"/>
  <c r="T65" i="19"/>
  <c r="T66" i="19"/>
  <c r="T67" i="19"/>
  <c r="T68" i="19"/>
  <c r="T69" i="19"/>
  <c r="T70" i="19"/>
  <c r="T71" i="19"/>
  <c r="T72" i="19"/>
  <c r="T73" i="19"/>
  <c r="T74" i="19"/>
  <c r="T75" i="19"/>
  <c r="T76" i="19"/>
  <c r="T77" i="19"/>
  <c r="T78" i="19"/>
  <c r="T79" i="19"/>
  <c r="T80" i="19"/>
  <c r="T81" i="19"/>
  <c r="T82" i="19"/>
  <c r="T83" i="19"/>
  <c r="T84" i="19"/>
  <c r="T85" i="19"/>
  <c r="T86" i="19"/>
  <c r="T87" i="19"/>
  <c r="T88" i="19"/>
  <c r="T89" i="19"/>
  <c r="T90" i="19"/>
  <c r="T91" i="19"/>
  <c r="T92" i="19"/>
  <c r="T93" i="19"/>
  <c r="T94" i="19"/>
  <c r="T95" i="19"/>
  <c r="T96" i="19"/>
  <c r="T97" i="19"/>
  <c r="T98" i="19"/>
  <c r="T99" i="19"/>
  <c r="T100" i="19"/>
  <c r="T101" i="19"/>
  <c r="T102" i="19"/>
  <c r="T103" i="19"/>
  <c r="T104" i="19"/>
  <c r="T105" i="19"/>
  <c r="T106" i="19"/>
  <c r="T107" i="19"/>
  <c r="T108" i="19"/>
  <c r="T109" i="19"/>
  <c r="T110" i="19"/>
  <c r="T111" i="19"/>
  <c r="T112" i="19"/>
  <c r="T113" i="19"/>
  <c r="T114" i="19"/>
  <c r="T115" i="19"/>
  <c r="T116" i="19"/>
  <c r="T117" i="19"/>
  <c r="T118" i="19"/>
  <c r="T119" i="19"/>
  <c r="T120" i="19"/>
  <c r="T121" i="19"/>
  <c r="T122" i="19"/>
  <c r="T123" i="19"/>
  <c r="T124" i="19"/>
  <c r="T125" i="19"/>
  <c r="T126" i="19"/>
  <c r="T127" i="19"/>
  <c r="T128" i="19"/>
  <c r="T129" i="19"/>
  <c r="T130" i="19"/>
  <c r="T131" i="19"/>
  <c r="T132" i="19"/>
  <c r="T133" i="19"/>
  <c r="T134" i="19"/>
  <c r="T135" i="19"/>
  <c r="T136" i="19"/>
  <c r="T137" i="19"/>
  <c r="T138" i="19"/>
  <c r="T139" i="19"/>
  <c r="T140" i="19"/>
  <c r="T141" i="19"/>
  <c r="T142" i="19"/>
  <c r="T143" i="19"/>
  <c r="T144" i="19"/>
  <c r="T145" i="19"/>
  <c r="T146" i="19"/>
  <c r="T147" i="19"/>
  <c r="T148" i="19"/>
  <c r="T149" i="19"/>
  <c r="T150" i="19"/>
  <c r="T151" i="19"/>
  <c r="T152" i="19"/>
  <c r="T153" i="19"/>
  <c r="T154" i="19"/>
  <c r="T155" i="19"/>
  <c r="T156" i="19"/>
  <c r="T157" i="19"/>
  <c r="T158" i="19"/>
  <c r="T159" i="19"/>
  <c r="T160" i="19"/>
  <c r="T161" i="19"/>
  <c r="T162" i="19"/>
  <c r="T163" i="19"/>
  <c r="T164" i="19"/>
  <c r="T165" i="19"/>
  <c r="T166" i="19"/>
  <c r="T167" i="19"/>
  <c r="T168" i="19"/>
  <c r="T180" i="19"/>
  <c r="T181" i="19"/>
  <c r="T182" i="19"/>
  <c r="T183" i="19"/>
  <c r="T184" i="19"/>
  <c r="T185" i="19"/>
  <c r="C254" i="3"/>
  <c r="T232" i="5" s="1"/>
  <c r="AH232" i="5" s="1"/>
  <c r="C165" i="3"/>
  <c r="C167" i="3"/>
  <c r="T202" i="5" s="1"/>
  <c r="AH202" i="5" s="1"/>
  <c r="C162" i="3"/>
  <c r="C264" i="3"/>
  <c r="B1" i="21"/>
  <c r="A4" i="21" s="1"/>
  <c r="C75" i="3"/>
  <c r="T170" i="5" s="1"/>
  <c r="AH170" i="5" s="1"/>
  <c r="C240" i="3"/>
  <c r="T193" i="5" s="1"/>
  <c r="AH193" i="5" s="1"/>
  <c r="C241" i="3"/>
  <c r="T296" i="5" s="1"/>
  <c r="AH296" i="5" s="1"/>
  <c r="C45" i="3"/>
  <c r="T12" i="5" s="1"/>
  <c r="AH12" i="5" s="1"/>
  <c r="C188" i="3"/>
  <c r="C239" i="3"/>
  <c r="C74" i="3"/>
  <c r="C44" i="3"/>
  <c r="T172" i="5" s="1"/>
  <c r="AH172" i="5" s="1"/>
  <c r="S25" i="18"/>
  <c r="S26" i="18"/>
  <c r="S27" i="18"/>
  <c r="S28" i="18"/>
  <c r="S29" i="18"/>
  <c r="S30" i="18"/>
  <c r="S31" i="18"/>
  <c r="S32" i="18"/>
  <c r="S33" i="18"/>
  <c r="S34" i="18"/>
  <c r="S35" i="18"/>
  <c r="S36" i="18"/>
  <c r="S37" i="18"/>
  <c r="S38" i="18"/>
  <c r="S39" i="18"/>
  <c r="S40" i="18"/>
  <c r="S41" i="18"/>
  <c r="S42" i="18"/>
  <c r="S43" i="18"/>
  <c r="S44" i="18"/>
  <c r="S45" i="18"/>
  <c r="S46" i="18"/>
  <c r="S47" i="18"/>
  <c r="S48" i="18"/>
  <c r="S49" i="18"/>
  <c r="S50" i="18"/>
  <c r="S51" i="18"/>
  <c r="S52" i="18"/>
  <c r="S53" i="18"/>
  <c r="S54" i="18"/>
  <c r="S55" i="18"/>
  <c r="S56" i="18"/>
  <c r="S57" i="18"/>
  <c r="S58" i="18"/>
  <c r="S59" i="18"/>
  <c r="S60" i="18"/>
  <c r="S61" i="18"/>
  <c r="S62" i="18"/>
  <c r="S63" i="18"/>
  <c r="S64" i="18"/>
  <c r="S65" i="18"/>
  <c r="S66" i="18"/>
  <c r="S67" i="18"/>
  <c r="S68" i="18"/>
  <c r="S69" i="18"/>
  <c r="S70" i="18"/>
  <c r="S71" i="18"/>
  <c r="S72" i="18"/>
  <c r="S73" i="18"/>
  <c r="S74" i="18"/>
  <c r="S75" i="18"/>
  <c r="S76" i="18"/>
  <c r="S77" i="18"/>
  <c r="S78" i="18"/>
  <c r="S79" i="18"/>
  <c r="S80" i="18"/>
  <c r="S81" i="18"/>
  <c r="S82" i="18"/>
  <c r="S83" i="18"/>
  <c r="S84" i="18"/>
  <c r="S85" i="18"/>
  <c r="S86" i="18"/>
  <c r="S87" i="18"/>
  <c r="S88" i="18"/>
  <c r="S89" i="18"/>
  <c r="S90" i="18"/>
  <c r="S91" i="18"/>
  <c r="S92" i="18"/>
  <c r="S93" i="18"/>
  <c r="S94" i="18"/>
  <c r="S95" i="18"/>
  <c r="S96" i="18"/>
  <c r="S97" i="18"/>
  <c r="S98" i="18"/>
  <c r="S99" i="18"/>
  <c r="S100" i="18"/>
  <c r="S101" i="18"/>
  <c r="S102" i="18"/>
  <c r="S103" i="18"/>
  <c r="S104" i="18"/>
  <c r="S105" i="18"/>
  <c r="S106" i="18"/>
  <c r="S107" i="18"/>
  <c r="S108" i="18"/>
  <c r="S109" i="18"/>
  <c r="S110" i="18"/>
  <c r="S111" i="18"/>
  <c r="S112" i="18"/>
  <c r="S113" i="18"/>
  <c r="S114" i="18"/>
  <c r="S115" i="18"/>
  <c r="S116" i="18"/>
  <c r="S117" i="18"/>
  <c r="S118" i="18"/>
  <c r="S119" i="18"/>
  <c r="S120" i="18"/>
  <c r="S121" i="18"/>
  <c r="S122" i="18"/>
  <c r="S123" i="18"/>
  <c r="S124" i="18"/>
  <c r="S125" i="18"/>
  <c r="S126" i="18"/>
  <c r="S127" i="18"/>
  <c r="S128" i="18"/>
  <c r="S129" i="18"/>
  <c r="S130" i="18"/>
  <c r="S131" i="18"/>
  <c r="S132" i="18"/>
  <c r="S133" i="18"/>
  <c r="S134" i="18"/>
  <c r="S135" i="18"/>
  <c r="S136" i="18"/>
  <c r="S137" i="18"/>
  <c r="S138" i="18"/>
  <c r="S139" i="18"/>
  <c r="S140" i="18"/>
  <c r="S141" i="18"/>
  <c r="S142" i="18"/>
  <c r="S143" i="18"/>
  <c r="S144" i="18"/>
  <c r="S145" i="18"/>
  <c r="S146" i="18"/>
  <c r="S147" i="18"/>
  <c r="S148" i="18"/>
  <c r="S149" i="18"/>
  <c r="S150" i="18"/>
  <c r="S151" i="18"/>
  <c r="S152" i="18"/>
  <c r="S153" i="18"/>
  <c r="S154" i="18"/>
  <c r="S155" i="18"/>
  <c r="S156" i="18"/>
  <c r="S157" i="18"/>
  <c r="S158" i="18"/>
  <c r="S159" i="18"/>
  <c r="S160" i="18"/>
  <c r="S161" i="18"/>
  <c r="S162" i="18"/>
  <c r="S163" i="18"/>
  <c r="S164" i="18"/>
  <c r="S165" i="18"/>
  <c r="S166" i="18"/>
  <c r="S167" i="18"/>
  <c r="S168" i="18"/>
  <c r="S169" i="18"/>
  <c r="S170" i="18"/>
  <c r="S171" i="18"/>
  <c r="S172" i="18"/>
  <c r="S173" i="18"/>
  <c r="S174" i="18"/>
  <c r="S175" i="18"/>
  <c r="S176" i="18"/>
  <c r="S177" i="18"/>
  <c r="S178" i="18"/>
  <c r="S179" i="18"/>
  <c r="S180" i="18"/>
  <c r="S181" i="18"/>
  <c r="S182" i="18"/>
  <c r="S183" i="18"/>
  <c r="S184" i="18"/>
  <c r="S185" i="18"/>
  <c r="S24" i="18"/>
  <c r="S4" i="18"/>
  <c r="S5" i="18"/>
  <c r="S6" i="18"/>
  <c r="S8" i="18"/>
  <c r="S9" i="18"/>
  <c r="S10" i="18"/>
  <c r="S11" i="18"/>
  <c r="S12" i="18"/>
  <c r="S13" i="18"/>
  <c r="S14" i="18"/>
  <c r="S15" i="18"/>
  <c r="S16" i="18"/>
  <c r="S17" i="18"/>
  <c r="S18" i="18"/>
  <c r="S19" i="18"/>
  <c r="S20" i="18"/>
  <c r="S21" i="18"/>
  <c r="S22" i="18"/>
  <c r="S23" i="18"/>
  <c r="S25" i="19"/>
  <c r="S26" i="19"/>
  <c r="S27" i="19"/>
  <c r="S28" i="19"/>
  <c r="S29" i="19"/>
  <c r="S30" i="19"/>
  <c r="S31" i="19"/>
  <c r="S32" i="19"/>
  <c r="S33" i="19"/>
  <c r="S34" i="19"/>
  <c r="S35" i="19"/>
  <c r="S36" i="19"/>
  <c r="S37" i="19"/>
  <c r="S38" i="19"/>
  <c r="S39" i="19"/>
  <c r="S40" i="19"/>
  <c r="S41" i="19"/>
  <c r="S42" i="19"/>
  <c r="S43" i="19"/>
  <c r="S44" i="19"/>
  <c r="S45" i="19"/>
  <c r="S46" i="19"/>
  <c r="S47" i="19"/>
  <c r="S48" i="19"/>
  <c r="S49" i="19"/>
  <c r="S50" i="19"/>
  <c r="S51" i="19"/>
  <c r="S52" i="19"/>
  <c r="S53" i="19"/>
  <c r="S54" i="19"/>
  <c r="S55" i="19"/>
  <c r="S56" i="19"/>
  <c r="S57" i="19"/>
  <c r="S58" i="19"/>
  <c r="S59" i="19"/>
  <c r="S60" i="19"/>
  <c r="S61" i="19"/>
  <c r="S62" i="19"/>
  <c r="S63" i="19"/>
  <c r="S64" i="19"/>
  <c r="S65" i="19"/>
  <c r="S66" i="19"/>
  <c r="S67" i="19"/>
  <c r="S68" i="19"/>
  <c r="S69" i="19"/>
  <c r="S70" i="19"/>
  <c r="S71" i="19"/>
  <c r="S72" i="19"/>
  <c r="S73" i="19"/>
  <c r="S74" i="19"/>
  <c r="S75" i="19"/>
  <c r="S76" i="19"/>
  <c r="S77" i="19"/>
  <c r="S78" i="19"/>
  <c r="S79" i="19"/>
  <c r="S80" i="19"/>
  <c r="S81" i="19"/>
  <c r="S82" i="19"/>
  <c r="S83" i="19"/>
  <c r="S84" i="19"/>
  <c r="S85" i="19"/>
  <c r="S86" i="19"/>
  <c r="S87" i="19"/>
  <c r="S88" i="19"/>
  <c r="S89" i="19"/>
  <c r="S90" i="19"/>
  <c r="S91" i="19"/>
  <c r="S92" i="19"/>
  <c r="S93" i="19"/>
  <c r="S94" i="19"/>
  <c r="S95" i="19"/>
  <c r="S96" i="19"/>
  <c r="S97" i="19"/>
  <c r="S98" i="19"/>
  <c r="S99" i="19"/>
  <c r="S100" i="19"/>
  <c r="S101" i="19"/>
  <c r="S102" i="19"/>
  <c r="S103" i="19"/>
  <c r="S104" i="19"/>
  <c r="S105" i="19"/>
  <c r="S106" i="19"/>
  <c r="S107" i="19"/>
  <c r="S108" i="19"/>
  <c r="S109" i="19"/>
  <c r="S110" i="19"/>
  <c r="S111" i="19"/>
  <c r="S112" i="19"/>
  <c r="S113" i="19"/>
  <c r="S114" i="19"/>
  <c r="S115" i="19"/>
  <c r="S116" i="19"/>
  <c r="S117" i="19"/>
  <c r="S118" i="19"/>
  <c r="S119" i="19"/>
  <c r="S120" i="19"/>
  <c r="S121" i="19"/>
  <c r="S122" i="19"/>
  <c r="S123" i="19"/>
  <c r="S124" i="19"/>
  <c r="S125" i="19"/>
  <c r="S126" i="19"/>
  <c r="S127" i="19"/>
  <c r="S128" i="19"/>
  <c r="S129" i="19"/>
  <c r="S130" i="19"/>
  <c r="S131" i="19"/>
  <c r="S132" i="19"/>
  <c r="S133" i="19"/>
  <c r="S134" i="19"/>
  <c r="S135" i="19"/>
  <c r="S136" i="19"/>
  <c r="S137" i="19"/>
  <c r="S138" i="19"/>
  <c r="S139" i="19"/>
  <c r="S140" i="19"/>
  <c r="S141" i="19"/>
  <c r="S142" i="19"/>
  <c r="S143" i="19"/>
  <c r="S144" i="19"/>
  <c r="S145" i="19"/>
  <c r="S146" i="19"/>
  <c r="S147" i="19"/>
  <c r="S148" i="19"/>
  <c r="S149" i="19"/>
  <c r="S150" i="19"/>
  <c r="S151" i="19"/>
  <c r="S152" i="19"/>
  <c r="S153" i="19"/>
  <c r="S154" i="19"/>
  <c r="S155" i="19"/>
  <c r="S156" i="19"/>
  <c r="S157" i="19"/>
  <c r="S158" i="19"/>
  <c r="S159" i="19"/>
  <c r="S160" i="19"/>
  <c r="S161" i="19"/>
  <c r="S162" i="19"/>
  <c r="S163" i="19"/>
  <c r="S164" i="19"/>
  <c r="S165" i="19"/>
  <c r="S166" i="19"/>
  <c r="S167" i="19"/>
  <c r="S168" i="19"/>
  <c r="S169" i="19"/>
  <c r="S170" i="19"/>
  <c r="S171" i="19"/>
  <c r="S172" i="19"/>
  <c r="S173" i="19"/>
  <c r="S174" i="19"/>
  <c r="S175" i="19"/>
  <c r="S176" i="19"/>
  <c r="S177" i="19"/>
  <c r="S178" i="19"/>
  <c r="S179" i="19"/>
  <c r="S180" i="19"/>
  <c r="S181" i="19"/>
  <c r="S182" i="19"/>
  <c r="S183" i="19"/>
  <c r="S184" i="19"/>
  <c r="S185" i="19"/>
  <c r="S24" i="19"/>
  <c r="S4" i="19"/>
  <c r="S5" i="19"/>
  <c r="S6" i="19"/>
  <c r="S7" i="19"/>
  <c r="S8" i="19"/>
  <c r="S9" i="19"/>
  <c r="S10" i="19"/>
  <c r="S11" i="19"/>
  <c r="S12" i="19"/>
  <c r="S13" i="19"/>
  <c r="S14" i="19"/>
  <c r="S15" i="19"/>
  <c r="S16" i="19"/>
  <c r="S17" i="19"/>
  <c r="S18" i="19"/>
  <c r="S19" i="19"/>
  <c r="S20" i="19"/>
  <c r="S21" i="19"/>
  <c r="S22" i="19"/>
  <c r="S23" i="19"/>
  <c r="C247" i="3"/>
  <c r="C248" i="3"/>
  <c r="C28" i="3"/>
  <c r="C166" i="3"/>
  <c r="C190" i="3"/>
  <c r="C189" i="3"/>
  <c r="C191" i="3"/>
  <c r="C163" i="3"/>
  <c r="A11" i="20"/>
  <c r="C234" i="3"/>
  <c r="C137" i="3"/>
  <c r="C266" i="3"/>
  <c r="C193" i="3"/>
  <c r="C149" i="3"/>
  <c r="C184" i="3"/>
  <c r="T205" i="5" s="1"/>
  <c r="C37" i="3"/>
  <c r="G4" i="19"/>
  <c r="H4" i="19" s="1"/>
  <c r="S3" i="19"/>
  <c r="G3" i="19"/>
  <c r="H3" i="19"/>
  <c r="D3" i="19"/>
  <c r="C3" i="19"/>
  <c r="S3" i="18"/>
  <c r="D3" i="18"/>
  <c r="C3" i="18"/>
  <c r="D4" i="18"/>
  <c r="G4" i="18"/>
  <c r="H4" i="18" s="1"/>
  <c r="G3" i="18"/>
  <c r="H3" i="18" s="1"/>
  <c r="C35" i="3"/>
  <c r="C158" i="3"/>
  <c r="T309" i="5" s="1"/>
  <c r="AH309" i="5" s="1"/>
  <c r="C32" i="3"/>
  <c r="C210" i="3"/>
  <c r="C4" i="19"/>
  <c r="C6" i="19"/>
  <c r="D5" i="19"/>
  <c r="D4" i="19"/>
  <c r="G5" i="18"/>
  <c r="H5" i="18" s="1"/>
  <c r="C4" i="18"/>
  <c r="N5" i="7"/>
  <c r="I5" i="7"/>
  <c r="E5" i="7"/>
  <c r="D5" i="7"/>
  <c r="C5" i="19"/>
  <c r="G6" i="19"/>
  <c r="H6" i="19" s="1"/>
  <c r="D6" i="19"/>
  <c r="G5" i="19"/>
  <c r="H5" i="19" s="1"/>
  <c r="G7" i="19"/>
  <c r="H7" i="19" s="1"/>
  <c r="D7" i="19"/>
  <c r="C7" i="19"/>
  <c r="C5" i="18"/>
  <c r="D5" i="18"/>
  <c r="C6" i="18"/>
  <c r="G8" i="19"/>
  <c r="H8" i="19" s="1"/>
  <c r="D8" i="19"/>
  <c r="C8" i="19"/>
  <c r="G6" i="18"/>
  <c r="H6" i="18" s="1"/>
  <c r="D6" i="18"/>
  <c r="D7" i="18"/>
  <c r="C7" i="18"/>
  <c r="G7" i="18"/>
  <c r="H7" i="18" s="1"/>
  <c r="G9" i="19"/>
  <c r="H9" i="19" s="1"/>
  <c r="D9" i="19"/>
  <c r="C9" i="19"/>
  <c r="D8" i="18"/>
  <c r="C8" i="18"/>
  <c r="G8" i="18"/>
  <c r="H8" i="18" s="1"/>
  <c r="C429" i="3"/>
  <c r="C428" i="3"/>
  <c r="C427" i="3"/>
  <c r="C426" i="3"/>
  <c r="C425" i="3"/>
  <c r="C424" i="3"/>
  <c r="C423" i="3"/>
  <c r="C422" i="3"/>
  <c r="C421" i="3"/>
  <c r="C420" i="3"/>
  <c r="T319" i="5" s="1"/>
  <c r="AH319" i="5" s="1"/>
  <c r="C419" i="3"/>
  <c r="C418" i="3"/>
  <c r="C417" i="3"/>
  <c r="C416" i="3"/>
  <c r="C415" i="3"/>
  <c r="C414" i="3"/>
  <c r="C10" i="19"/>
  <c r="G10" i="19"/>
  <c r="H10" i="19"/>
  <c r="D10" i="19"/>
  <c r="D9" i="18"/>
  <c r="C9" i="18"/>
  <c r="G9" i="18"/>
  <c r="H9" i="18" s="1"/>
  <c r="G11" i="19"/>
  <c r="H11" i="19" s="1"/>
  <c r="D11" i="19"/>
  <c r="C11" i="19"/>
  <c r="D10" i="18"/>
  <c r="C10" i="18"/>
  <c r="G10" i="18"/>
  <c r="H10" i="18" s="1"/>
  <c r="G12" i="19"/>
  <c r="H12" i="19" s="1"/>
  <c r="D12" i="19"/>
  <c r="C12" i="19"/>
  <c r="D11" i="18"/>
  <c r="G11" i="18"/>
  <c r="H11" i="18" s="1"/>
  <c r="C11" i="18"/>
  <c r="G13" i="19"/>
  <c r="H13" i="19" s="1"/>
  <c r="D13" i="19"/>
  <c r="C13" i="19"/>
  <c r="D12" i="18"/>
  <c r="G12" i="18"/>
  <c r="H12" i="18" s="1"/>
  <c r="C12" i="18"/>
  <c r="C14" i="19"/>
  <c r="G14" i="19"/>
  <c r="H14" i="19" s="1"/>
  <c r="D14" i="19"/>
  <c r="D13" i="18"/>
  <c r="C13" i="18"/>
  <c r="G13" i="18"/>
  <c r="H13" i="18" s="1"/>
  <c r="G15" i="19"/>
  <c r="H15" i="19" s="1"/>
  <c r="D15" i="19"/>
  <c r="C15" i="19"/>
  <c r="D14" i="18"/>
  <c r="C14" i="18"/>
  <c r="G14" i="18"/>
  <c r="H14" i="18" s="1"/>
  <c r="B412" i="3"/>
  <c r="B411" i="3"/>
  <c r="G16" i="19"/>
  <c r="H16" i="19" s="1"/>
  <c r="D16" i="19"/>
  <c r="C16" i="19"/>
  <c r="D15" i="18"/>
  <c r="C15" i="18"/>
  <c r="G15" i="18"/>
  <c r="H15" i="18" s="1"/>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2" i="3"/>
  <c r="C403" i="3"/>
  <c r="C404" i="3"/>
  <c r="C405" i="3"/>
  <c r="C406" i="3"/>
  <c r="C407" i="3"/>
  <c r="C408" i="3"/>
  <c r="B268" i="3"/>
  <c r="C268" i="3"/>
  <c r="G17" i="19"/>
  <c r="H17" i="19" s="1"/>
  <c r="D17" i="19"/>
  <c r="C17" i="19"/>
  <c r="D16" i="18"/>
  <c r="C16" i="18"/>
  <c r="G16" i="18"/>
  <c r="H16" i="18" s="1"/>
  <c r="C18" i="19"/>
  <c r="D18" i="19"/>
  <c r="G18" i="19"/>
  <c r="H18" i="19"/>
  <c r="D17" i="18"/>
  <c r="C17" i="18"/>
  <c r="G17" i="18"/>
  <c r="H17" i="18" s="1"/>
  <c r="G19" i="19"/>
  <c r="H19" i="19" s="1"/>
  <c r="D19" i="19"/>
  <c r="C19" i="19"/>
  <c r="D18" i="18"/>
  <c r="G18" i="18"/>
  <c r="H18" i="18" s="1"/>
  <c r="C18" i="18"/>
  <c r="G20" i="19"/>
  <c r="H20" i="19" s="1"/>
  <c r="D20" i="19"/>
  <c r="C20" i="19"/>
  <c r="C19" i="18"/>
  <c r="G19" i="18"/>
  <c r="H19" i="18" s="1"/>
  <c r="D19" i="18"/>
  <c r="G21" i="19"/>
  <c r="H21" i="19" s="1"/>
  <c r="D21" i="19"/>
  <c r="C21" i="19"/>
  <c r="D20" i="18"/>
  <c r="C20" i="18"/>
  <c r="G20" i="18"/>
  <c r="H20" i="18" s="1"/>
  <c r="C22" i="19"/>
  <c r="D22" i="19"/>
  <c r="G22" i="19"/>
  <c r="H22" i="19" s="1"/>
  <c r="D21" i="18"/>
  <c r="C21" i="18"/>
  <c r="G21" i="18"/>
  <c r="H21" i="18" s="1"/>
  <c r="G23" i="19"/>
  <c r="H23" i="19"/>
  <c r="D23" i="19"/>
  <c r="C23" i="19"/>
  <c r="D22" i="18"/>
  <c r="C22" i="18"/>
  <c r="G22" i="18"/>
  <c r="H22" i="18" s="1"/>
  <c r="G24" i="19"/>
  <c r="H24" i="19" s="1"/>
  <c r="D24" i="19"/>
  <c r="C24" i="19"/>
  <c r="D23" i="18"/>
  <c r="C23" i="18"/>
  <c r="G23" i="18"/>
  <c r="H23" i="18" s="1"/>
  <c r="C25" i="19"/>
  <c r="G25" i="19"/>
  <c r="H25" i="19" s="1"/>
  <c r="D25" i="19"/>
  <c r="D24" i="18"/>
  <c r="C24" i="18"/>
  <c r="G24" i="18"/>
  <c r="H24" i="18" s="1"/>
  <c r="D26" i="19"/>
  <c r="C26" i="19"/>
  <c r="G26" i="19"/>
  <c r="H26" i="19" s="1"/>
  <c r="D25" i="18"/>
  <c r="C25" i="18"/>
  <c r="G25" i="18"/>
  <c r="H25" i="18" s="1"/>
  <c r="G27" i="19"/>
  <c r="H27" i="19" s="1"/>
  <c r="D27" i="19"/>
  <c r="C27" i="19"/>
  <c r="C26" i="18"/>
  <c r="D26" i="18"/>
  <c r="G26" i="18"/>
  <c r="H26" i="18" s="1"/>
  <c r="G28" i="19"/>
  <c r="H28" i="19" s="1"/>
  <c r="D28" i="19"/>
  <c r="C28" i="19"/>
  <c r="C27" i="18"/>
  <c r="D27" i="18"/>
  <c r="G27" i="18"/>
  <c r="H27" i="18" s="1"/>
  <c r="G29" i="19"/>
  <c r="H29" i="19" s="1"/>
  <c r="D29" i="19"/>
  <c r="C29" i="19"/>
  <c r="D28" i="18"/>
  <c r="C28" i="18"/>
  <c r="G28" i="18"/>
  <c r="H28" i="18" s="1"/>
  <c r="D30" i="19"/>
  <c r="C30" i="19"/>
  <c r="G30" i="19"/>
  <c r="H30" i="19" s="1"/>
  <c r="D29" i="18"/>
  <c r="C29" i="18"/>
  <c r="G29" i="18"/>
  <c r="H29" i="18" s="1"/>
  <c r="G31" i="19"/>
  <c r="H31" i="19"/>
  <c r="D31" i="19"/>
  <c r="C31" i="19"/>
  <c r="D30" i="18"/>
  <c r="C30" i="18"/>
  <c r="G30" i="18"/>
  <c r="H30" i="18" s="1"/>
  <c r="G32" i="19"/>
  <c r="H32" i="19" s="1"/>
  <c r="D32" i="19"/>
  <c r="C32" i="19"/>
  <c r="D31" i="18"/>
  <c r="C31" i="18"/>
  <c r="G31" i="18"/>
  <c r="H31" i="18" s="1"/>
  <c r="G33" i="19"/>
  <c r="H33" i="19" s="1"/>
  <c r="C33" i="19"/>
  <c r="D33" i="19"/>
  <c r="D32" i="18"/>
  <c r="C32" i="18"/>
  <c r="G32" i="18"/>
  <c r="H32" i="18" s="1"/>
  <c r="D34" i="19"/>
  <c r="C34" i="19"/>
  <c r="G34" i="19"/>
  <c r="H34" i="19" s="1"/>
  <c r="D33" i="18"/>
  <c r="C33" i="18"/>
  <c r="G33" i="18"/>
  <c r="H33" i="18" s="1"/>
  <c r="G35" i="19"/>
  <c r="H35" i="19" s="1"/>
  <c r="D35" i="19"/>
  <c r="C35" i="19"/>
  <c r="C34" i="18"/>
  <c r="D34" i="18"/>
  <c r="G34" i="18"/>
  <c r="H34" i="18" s="1"/>
  <c r="G36" i="19"/>
  <c r="H36" i="19" s="1"/>
  <c r="D36" i="19"/>
  <c r="C36" i="19"/>
  <c r="C35" i="18"/>
  <c r="D35" i="18"/>
  <c r="G35" i="18"/>
  <c r="H35" i="18" s="1"/>
  <c r="C37" i="19"/>
  <c r="G37" i="19"/>
  <c r="H37" i="19" s="1"/>
  <c r="D37" i="19"/>
  <c r="D36" i="18"/>
  <c r="C36" i="18"/>
  <c r="G36" i="18"/>
  <c r="H36" i="18" s="1"/>
  <c r="D38" i="19"/>
  <c r="C38" i="19"/>
  <c r="G38" i="19"/>
  <c r="H38" i="19" s="1"/>
  <c r="D37" i="18"/>
  <c r="C37" i="18"/>
  <c r="G37" i="18"/>
  <c r="H37" i="18" s="1"/>
  <c r="G39" i="19"/>
  <c r="H39" i="19" s="1"/>
  <c r="D39" i="19"/>
  <c r="C39" i="19"/>
  <c r="D38" i="18"/>
  <c r="C38" i="18"/>
  <c r="G38" i="18"/>
  <c r="H38" i="18" s="1"/>
  <c r="G40" i="19"/>
  <c r="H40" i="19" s="1"/>
  <c r="D40" i="19"/>
  <c r="C40" i="19"/>
  <c r="D39" i="18"/>
  <c r="C39" i="18"/>
  <c r="G39" i="18"/>
  <c r="H39" i="18" s="1"/>
  <c r="G41" i="19"/>
  <c r="H41" i="19" s="1"/>
  <c r="C41" i="19"/>
  <c r="D41" i="19"/>
  <c r="D40" i="18"/>
  <c r="C40" i="18"/>
  <c r="G40" i="18"/>
  <c r="H40" i="18" s="1"/>
  <c r="D42" i="19"/>
  <c r="C42" i="19"/>
  <c r="G42" i="19"/>
  <c r="H42" i="19" s="1"/>
  <c r="D41" i="18"/>
  <c r="C41" i="18"/>
  <c r="G41" i="18"/>
  <c r="H41" i="18" s="1"/>
  <c r="G43" i="19"/>
  <c r="H43" i="19" s="1"/>
  <c r="D43" i="19"/>
  <c r="C43" i="19"/>
  <c r="D42" i="18"/>
  <c r="C42" i="18"/>
  <c r="G42" i="18"/>
  <c r="H42" i="18" s="1"/>
  <c r="G44" i="19"/>
  <c r="H44" i="19" s="1"/>
  <c r="D44" i="19"/>
  <c r="C44" i="19"/>
  <c r="D43" i="18"/>
  <c r="C43" i="18"/>
  <c r="G43" i="18"/>
  <c r="H43" i="18" s="1"/>
  <c r="G45" i="19"/>
  <c r="H45" i="19" s="1"/>
  <c r="C45" i="19"/>
  <c r="D45" i="19"/>
  <c r="D44" i="18"/>
  <c r="C44" i="18"/>
  <c r="G44" i="18"/>
  <c r="H44" i="18" s="1"/>
  <c r="B4" i="13"/>
  <c r="B5" i="13" s="1"/>
  <c r="B6" i="13" s="1"/>
  <c r="B7" i="13" s="1"/>
  <c r="B8" i="13" s="1"/>
  <c r="B9" i="13" s="1"/>
  <c r="B10" i="13" s="1"/>
  <c r="B11" i="13" s="1"/>
  <c r="B12" i="13" s="1"/>
  <c r="B13" i="13" s="1"/>
  <c r="B14" i="13" s="1"/>
  <c r="B15" i="13" s="1"/>
  <c r="B16" i="13" s="1"/>
  <c r="B17" i="13" s="1"/>
  <c r="B18" i="13" s="1"/>
  <c r="B19" i="13" s="1"/>
  <c r="B20" i="13" s="1"/>
  <c r="B21" i="13" s="1"/>
  <c r="B22" i="13" s="1"/>
  <c r="B23" i="13" s="1"/>
  <c r="B24" i="13" s="1"/>
  <c r="B25" i="13" s="1"/>
  <c r="B26" i="13" s="1"/>
  <c r="B27" i="13" s="1"/>
  <c r="B28" i="13" s="1"/>
  <c r="B29" i="13" s="1"/>
  <c r="B30" i="13" s="1"/>
  <c r="B31" i="13" s="1"/>
  <c r="B32" i="13" s="1"/>
  <c r="B33" i="13" s="1"/>
  <c r="B34" i="13" s="1"/>
  <c r="B35" i="13" s="1"/>
  <c r="B36" i="13" s="1"/>
  <c r="B37" i="13" s="1"/>
  <c r="B38" i="13" s="1"/>
  <c r="B39" i="13" s="1"/>
  <c r="B40" i="13" s="1"/>
  <c r="B41" i="13" s="1"/>
  <c r="B42" i="13" s="1"/>
  <c r="B43" i="13" s="1"/>
  <c r="B44" i="13" s="1"/>
  <c r="B45" i="13" s="1"/>
  <c r="B46" i="13" s="1"/>
  <c r="B47" i="13" s="1"/>
  <c r="B48" i="13" s="1"/>
  <c r="B49" i="13" s="1"/>
  <c r="B50" i="13" s="1"/>
  <c r="B51" i="13" s="1"/>
  <c r="B52" i="13" s="1"/>
  <c r="B53" i="13" s="1"/>
  <c r="B54" i="13" s="1"/>
  <c r="B55" i="13" s="1"/>
  <c r="B56" i="13" s="1"/>
  <c r="B57" i="13" s="1"/>
  <c r="B58" i="13" s="1"/>
  <c r="B59" i="13" s="1"/>
  <c r="B60" i="13" s="1"/>
  <c r="B61" i="13" s="1"/>
  <c r="B62" i="13" s="1"/>
  <c r="D46" i="19"/>
  <c r="C46" i="19"/>
  <c r="G46" i="19"/>
  <c r="H46" i="19" s="1"/>
  <c r="D45" i="18"/>
  <c r="C45" i="18"/>
  <c r="G45" i="18"/>
  <c r="H45" i="18" s="1"/>
  <c r="G47" i="19"/>
  <c r="H47" i="19" s="1"/>
  <c r="D47" i="19"/>
  <c r="C47" i="19"/>
  <c r="D46" i="18"/>
  <c r="C46" i="18"/>
  <c r="G46" i="18"/>
  <c r="H46" i="18" s="1"/>
  <c r="G48" i="19"/>
  <c r="H48" i="19" s="1"/>
  <c r="D48" i="19"/>
  <c r="C48" i="19"/>
  <c r="D47" i="18"/>
  <c r="C47" i="18"/>
  <c r="G47" i="18"/>
  <c r="H47" i="18" s="1"/>
  <c r="C49" i="19"/>
  <c r="G49" i="19"/>
  <c r="H49" i="19"/>
  <c r="D49" i="19"/>
  <c r="D48" i="18"/>
  <c r="C48" i="18"/>
  <c r="G48" i="18"/>
  <c r="H48" i="18" s="1"/>
  <c r="D50" i="19"/>
  <c r="C50" i="19"/>
  <c r="G50" i="19"/>
  <c r="H50" i="19" s="1"/>
  <c r="D49" i="18"/>
  <c r="C49" i="18"/>
  <c r="G49" i="18"/>
  <c r="H49" i="18" s="1"/>
  <c r="G51" i="19"/>
  <c r="H51" i="19" s="1"/>
  <c r="D51" i="19"/>
  <c r="C51" i="19"/>
  <c r="D50" i="18"/>
  <c r="C50" i="18"/>
  <c r="G50" i="18"/>
  <c r="H50" i="18" s="1"/>
  <c r="G52" i="19"/>
  <c r="H52" i="19" s="1"/>
  <c r="D52" i="19"/>
  <c r="C52" i="19"/>
  <c r="D51" i="18"/>
  <c r="C51" i="18"/>
  <c r="G51" i="18"/>
  <c r="H51" i="18" s="1"/>
  <c r="C53" i="19"/>
  <c r="G53" i="19"/>
  <c r="H53" i="19" s="1"/>
  <c r="D53" i="19"/>
  <c r="D52" i="18"/>
  <c r="C52" i="18"/>
  <c r="G52" i="18"/>
  <c r="H52" i="18" s="1"/>
  <c r="G54" i="19"/>
  <c r="H54" i="19" s="1"/>
  <c r="D54" i="19"/>
  <c r="C54" i="19"/>
  <c r="D53" i="18"/>
  <c r="C53" i="18"/>
  <c r="G53" i="18"/>
  <c r="H53" i="18" s="1"/>
  <c r="G55" i="19"/>
  <c r="H55" i="19" s="1"/>
  <c r="D55" i="19"/>
  <c r="C55" i="19"/>
  <c r="D54" i="18"/>
  <c r="C54" i="18"/>
  <c r="G54" i="18"/>
  <c r="H54" i="18" s="1"/>
  <c r="G56" i="19"/>
  <c r="H56" i="19" s="1"/>
  <c r="D56" i="19"/>
  <c r="C56" i="19"/>
  <c r="D55" i="18"/>
  <c r="C55" i="18"/>
  <c r="G55" i="18"/>
  <c r="H55" i="18" s="1"/>
  <c r="C57" i="19"/>
  <c r="D57" i="19"/>
  <c r="G57" i="19"/>
  <c r="H57" i="19" s="1"/>
  <c r="D56" i="18"/>
  <c r="C56" i="18"/>
  <c r="G56" i="18"/>
  <c r="H56" i="18" s="1"/>
  <c r="G58" i="19"/>
  <c r="H58" i="19" s="1"/>
  <c r="D58" i="19"/>
  <c r="C58" i="19"/>
  <c r="D57" i="18"/>
  <c r="C57" i="18"/>
  <c r="G57" i="18"/>
  <c r="H57" i="18" s="1"/>
  <c r="G59" i="19"/>
  <c r="H59" i="19" s="1"/>
  <c r="D59" i="19"/>
  <c r="C59" i="19"/>
  <c r="D58" i="18"/>
  <c r="C58" i="18"/>
  <c r="G58" i="18"/>
  <c r="H58" i="18" s="1"/>
  <c r="G60" i="19"/>
  <c r="H60" i="19" s="1"/>
  <c r="D60" i="19"/>
  <c r="C60" i="19"/>
  <c r="D59" i="18"/>
  <c r="C59" i="18"/>
  <c r="G59" i="18"/>
  <c r="H59" i="18" s="1"/>
  <c r="C61" i="19"/>
  <c r="D61" i="19"/>
  <c r="G61" i="19"/>
  <c r="H61" i="19" s="1"/>
  <c r="D60" i="18"/>
  <c r="C60" i="18"/>
  <c r="G60" i="18"/>
  <c r="H60" i="18" s="1"/>
  <c r="G62" i="19"/>
  <c r="H62" i="19" s="1"/>
  <c r="D62" i="19"/>
  <c r="C62" i="19"/>
  <c r="D61" i="18"/>
  <c r="C61" i="18"/>
  <c r="G61" i="18"/>
  <c r="H61" i="18" s="1"/>
  <c r="G63" i="19"/>
  <c r="H63" i="19" s="1"/>
  <c r="D63" i="19"/>
  <c r="C63" i="19"/>
  <c r="D62" i="18"/>
  <c r="C62" i="18"/>
  <c r="G62" i="18"/>
  <c r="H62" i="18" s="1"/>
  <c r="G64" i="19"/>
  <c r="H64" i="19" s="1"/>
  <c r="D64" i="19"/>
  <c r="C64" i="19"/>
  <c r="D63" i="18"/>
  <c r="C63" i="18"/>
  <c r="G63" i="18"/>
  <c r="H63" i="18" s="1"/>
  <c r="C65" i="19"/>
  <c r="D65" i="19"/>
  <c r="G65" i="19"/>
  <c r="H65" i="19" s="1"/>
  <c r="D64" i="18"/>
  <c r="C64" i="18"/>
  <c r="G64" i="18"/>
  <c r="H64" i="18" s="1"/>
  <c r="G66" i="19"/>
  <c r="H66" i="19" s="1"/>
  <c r="D66" i="19"/>
  <c r="C66" i="19"/>
  <c r="D65" i="18"/>
  <c r="C65" i="18"/>
  <c r="G65" i="18"/>
  <c r="H65" i="18" s="1"/>
  <c r="G67" i="19"/>
  <c r="H67" i="19"/>
  <c r="D67" i="19"/>
  <c r="C67" i="19"/>
  <c r="C66" i="18"/>
  <c r="D66" i="18"/>
  <c r="G66" i="18"/>
  <c r="H66" i="18" s="1"/>
  <c r="G68" i="19"/>
  <c r="H68" i="19" s="1"/>
  <c r="D68" i="19"/>
  <c r="C68" i="19"/>
  <c r="C67" i="18"/>
  <c r="D67" i="18"/>
  <c r="G67" i="18"/>
  <c r="H67" i="18" s="1"/>
  <c r="D69" i="19"/>
  <c r="C69" i="19"/>
  <c r="G69" i="19"/>
  <c r="H69" i="19" s="1"/>
  <c r="D68" i="18"/>
  <c r="C68" i="18"/>
  <c r="G68" i="18"/>
  <c r="H68" i="18" s="1"/>
  <c r="G70" i="19"/>
  <c r="H70" i="19"/>
  <c r="D70" i="19"/>
  <c r="C70" i="19"/>
  <c r="D69" i="18"/>
  <c r="C69" i="18"/>
  <c r="G69" i="18"/>
  <c r="H69" i="18" s="1"/>
  <c r="C71" i="19"/>
  <c r="G71" i="19"/>
  <c r="H71" i="19"/>
  <c r="D71" i="19"/>
  <c r="D70" i="18"/>
  <c r="C70" i="18"/>
  <c r="G70" i="18"/>
  <c r="H70" i="18" s="1"/>
  <c r="G72" i="19"/>
  <c r="H72" i="19" s="1"/>
  <c r="D72" i="19"/>
  <c r="C72" i="19"/>
  <c r="D71" i="18"/>
  <c r="C71" i="18"/>
  <c r="G71" i="18"/>
  <c r="H71" i="18" s="1"/>
  <c r="G73" i="19"/>
  <c r="H73" i="19" s="1"/>
  <c r="D73" i="19"/>
  <c r="C73" i="19"/>
  <c r="D72" i="18"/>
  <c r="C72" i="18"/>
  <c r="G72" i="18"/>
  <c r="H72" i="18" s="1"/>
  <c r="G74" i="19"/>
  <c r="H74" i="19" s="1"/>
  <c r="C74" i="19"/>
  <c r="D74" i="19"/>
  <c r="D73" i="18"/>
  <c r="C73" i="18"/>
  <c r="G73" i="18"/>
  <c r="H73" i="18" s="1"/>
  <c r="C75" i="19"/>
  <c r="G75" i="19"/>
  <c r="H75" i="19" s="1"/>
  <c r="D75" i="19"/>
  <c r="D74" i="18"/>
  <c r="C74" i="18"/>
  <c r="G74" i="18"/>
  <c r="H74" i="18" s="1"/>
  <c r="G76" i="19"/>
  <c r="H76" i="19"/>
  <c r="D76" i="19"/>
  <c r="C76" i="19"/>
  <c r="D75" i="18"/>
  <c r="C75" i="18"/>
  <c r="G75" i="18"/>
  <c r="H75" i="18" s="1"/>
  <c r="G77" i="19"/>
  <c r="H77" i="19"/>
  <c r="D77" i="19"/>
  <c r="C77" i="19"/>
  <c r="D76" i="18"/>
  <c r="C76" i="18"/>
  <c r="G76" i="18"/>
  <c r="H76" i="18" s="1"/>
  <c r="B4" i="12"/>
  <c r="G78" i="19"/>
  <c r="H78" i="19"/>
  <c r="C78" i="19"/>
  <c r="D78" i="19"/>
  <c r="D77" i="18"/>
  <c r="C77" i="18"/>
  <c r="G77" i="18"/>
  <c r="H77" i="18" s="1"/>
  <c r="C79" i="19"/>
  <c r="G79" i="19"/>
  <c r="H79" i="19" s="1"/>
  <c r="D79" i="19"/>
  <c r="D78" i="18"/>
  <c r="C78" i="18"/>
  <c r="G78" i="18"/>
  <c r="H78" i="18"/>
  <c r="G80" i="19"/>
  <c r="H80" i="19" s="1"/>
  <c r="D80" i="19"/>
  <c r="C80" i="19"/>
  <c r="D79" i="18"/>
  <c r="C79" i="18"/>
  <c r="G79" i="18"/>
  <c r="H79" i="18" s="1"/>
  <c r="G81" i="19"/>
  <c r="H81" i="19" s="1"/>
  <c r="D81" i="19"/>
  <c r="C81" i="19"/>
  <c r="D80" i="18"/>
  <c r="C80" i="18"/>
  <c r="G80" i="18"/>
  <c r="H80" i="18" s="1"/>
  <c r="G82" i="19"/>
  <c r="H82" i="19"/>
  <c r="D82" i="19"/>
  <c r="C82" i="19"/>
  <c r="D81" i="18"/>
  <c r="C81" i="18"/>
  <c r="G81" i="18"/>
  <c r="H81" i="18" s="1"/>
  <c r="C83" i="19"/>
  <c r="G83" i="19"/>
  <c r="H83" i="19" s="1"/>
  <c r="D83" i="19"/>
  <c r="D82" i="18"/>
  <c r="C82" i="18"/>
  <c r="G82" i="18"/>
  <c r="H82" i="18" s="1"/>
  <c r="G84" i="19"/>
  <c r="H84" i="19" s="1"/>
  <c r="D84" i="19"/>
  <c r="C84" i="19"/>
  <c r="C83" i="18"/>
  <c r="D83" i="18"/>
  <c r="G83" i="18"/>
  <c r="H83" i="18" s="1"/>
  <c r="G85" i="19"/>
  <c r="H85" i="19" s="1"/>
  <c r="D85" i="19"/>
  <c r="C85" i="19"/>
  <c r="D84" i="18"/>
  <c r="C84" i="18"/>
  <c r="G84" i="18"/>
  <c r="H84" i="18" s="1"/>
  <c r="G86" i="19"/>
  <c r="H86" i="19"/>
  <c r="D86" i="19"/>
  <c r="C86" i="19"/>
  <c r="D85" i="18"/>
  <c r="C85" i="18"/>
  <c r="G85" i="18"/>
  <c r="H85" i="18" s="1"/>
  <c r="C87" i="19"/>
  <c r="G87" i="19"/>
  <c r="H87" i="19" s="1"/>
  <c r="D87" i="19"/>
  <c r="D86" i="18"/>
  <c r="C86" i="18"/>
  <c r="G86" i="18"/>
  <c r="H86" i="18" s="1"/>
  <c r="G88" i="19"/>
  <c r="H88" i="19" s="1"/>
  <c r="D88" i="19"/>
  <c r="C88" i="19"/>
  <c r="D87" i="18"/>
  <c r="C87" i="18"/>
  <c r="G87" i="18"/>
  <c r="H87" i="18" s="1"/>
  <c r="G89" i="19"/>
  <c r="H89" i="19"/>
  <c r="D89" i="19"/>
  <c r="C89" i="19"/>
  <c r="D88" i="18"/>
  <c r="C88" i="18"/>
  <c r="G88" i="18"/>
  <c r="H88" i="18" s="1"/>
  <c r="G90" i="19"/>
  <c r="H90" i="19"/>
  <c r="D90" i="19"/>
  <c r="C90" i="19"/>
  <c r="D89" i="18"/>
  <c r="C89" i="18"/>
  <c r="G89" i="18"/>
  <c r="H89" i="18" s="1"/>
  <c r="C91" i="19"/>
  <c r="G91" i="19"/>
  <c r="H91" i="19" s="1"/>
  <c r="D91" i="19"/>
  <c r="D90" i="18"/>
  <c r="C90" i="18"/>
  <c r="G90" i="18"/>
  <c r="H90" i="18" s="1"/>
  <c r="G92" i="19"/>
  <c r="H92" i="19" s="1"/>
  <c r="D92" i="19"/>
  <c r="C92" i="19"/>
  <c r="C91" i="18"/>
  <c r="D91" i="18"/>
  <c r="G91" i="18"/>
  <c r="H91" i="18" s="1"/>
  <c r="G93" i="19"/>
  <c r="H93" i="19"/>
  <c r="D93" i="19"/>
  <c r="C93" i="19"/>
  <c r="D92" i="18"/>
  <c r="C92" i="18"/>
  <c r="G92" i="18"/>
  <c r="H92" i="18" s="1"/>
  <c r="G94" i="19"/>
  <c r="H94" i="19"/>
  <c r="D94" i="19"/>
  <c r="C94" i="19"/>
  <c r="D93" i="18"/>
  <c r="C93" i="18"/>
  <c r="G93" i="18"/>
  <c r="H93" i="18" s="1"/>
  <c r="C95" i="19"/>
  <c r="G95" i="19"/>
  <c r="H95" i="19" s="1"/>
  <c r="D95" i="19"/>
  <c r="D94" i="18"/>
  <c r="C94" i="18"/>
  <c r="G94" i="18"/>
  <c r="H94" i="18" s="1"/>
  <c r="G96" i="19"/>
  <c r="H96" i="19" s="1"/>
  <c r="D96" i="19"/>
  <c r="C96" i="19"/>
  <c r="D95" i="18"/>
  <c r="C95" i="18"/>
  <c r="G95" i="18"/>
  <c r="H95" i="18" s="1"/>
  <c r="G97" i="19"/>
  <c r="H97" i="19"/>
  <c r="D97" i="19"/>
  <c r="C97" i="19"/>
  <c r="D96" i="18"/>
  <c r="C96" i="18"/>
  <c r="G96" i="18"/>
  <c r="H96" i="18" s="1"/>
  <c r="G98" i="19"/>
  <c r="H98" i="19"/>
  <c r="D98" i="19"/>
  <c r="C98" i="19"/>
  <c r="D97" i="18"/>
  <c r="C97" i="18"/>
  <c r="G97" i="18"/>
  <c r="H97" i="18" s="1"/>
  <c r="G99" i="19"/>
  <c r="H99" i="19" s="1"/>
  <c r="D99" i="19"/>
  <c r="C99" i="19"/>
  <c r="C98" i="18"/>
  <c r="D98" i="18"/>
  <c r="G98" i="18"/>
  <c r="H98" i="18" s="1"/>
  <c r="G100" i="19"/>
  <c r="H100" i="19" s="1"/>
  <c r="D100" i="19"/>
  <c r="C100" i="19"/>
  <c r="C99" i="18"/>
  <c r="D99" i="18"/>
  <c r="G99" i="18"/>
  <c r="H99" i="18" s="1"/>
  <c r="C101" i="19"/>
  <c r="G101" i="19"/>
  <c r="H101" i="19" s="1"/>
  <c r="D101" i="19"/>
  <c r="D100" i="18"/>
  <c r="C100" i="18"/>
  <c r="G100" i="18"/>
  <c r="H100" i="18" s="1"/>
  <c r="G102" i="19"/>
  <c r="H102" i="19"/>
  <c r="D102" i="19"/>
  <c r="C102" i="19"/>
  <c r="D101" i="18"/>
  <c r="C101" i="18"/>
  <c r="G101" i="18"/>
  <c r="H101" i="18" s="1"/>
  <c r="G103" i="19"/>
  <c r="H103" i="19" s="1"/>
  <c r="D103" i="19"/>
  <c r="C103" i="19"/>
  <c r="D102" i="18"/>
  <c r="C102" i="18"/>
  <c r="G102" i="18"/>
  <c r="H102" i="18" s="1"/>
  <c r="D104" i="19"/>
  <c r="C104" i="19"/>
  <c r="G104" i="19"/>
  <c r="H104" i="19" s="1"/>
  <c r="D103" i="18"/>
  <c r="C103" i="18"/>
  <c r="G103" i="18"/>
  <c r="H103" i="18" s="1"/>
  <c r="G105" i="19"/>
  <c r="H105" i="19" s="1"/>
  <c r="D105" i="19"/>
  <c r="C105" i="19"/>
  <c r="D104" i="18"/>
  <c r="C104" i="18"/>
  <c r="G104" i="18"/>
  <c r="H104" i="18" s="1"/>
  <c r="G106" i="19"/>
  <c r="H106" i="19"/>
  <c r="D106" i="19"/>
  <c r="C106" i="19"/>
  <c r="D105" i="18"/>
  <c r="C105" i="18"/>
  <c r="G105" i="18"/>
  <c r="H105" i="18" s="1"/>
  <c r="D3" i="7"/>
  <c r="E3" i="7"/>
  <c r="F3" i="7" s="1"/>
  <c r="G3" i="7" s="1"/>
  <c r="H3" i="7" s="1"/>
  <c r="I3" i="7" s="1"/>
  <c r="J3" i="7" s="1"/>
  <c r="K3" i="7" s="1"/>
  <c r="L3" i="7" s="1"/>
  <c r="M3" i="7" s="1"/>
  <c r="N3" i="7" s="1"/>
  <c r="O3" i="7" s="1"/>
  <c r="P3" i="7" s="1"/>
  <c r="Q3" i="7" s="1"/>
  <c r="R3" i="7" s="1"/>
  <c r="S3" i="7" s="1"/>
  <c r="T3" i="7" s="1"/>
  <c r="U3" i="7" s="1"/>
  <c r="V3" i="7" s="1"/>
  <c r="W3" i="7" s="1"/>
  <c r="X3" i="7" s="1"/>
  <c r="S5" i="7"/>
  <c r="C2" i="5"/>
  <c r="D2" i="5" s="1"/>
  <c r="E2" i="5" s="1"/>
  <c r="F2" i="5" s="1"/>
  <c r="G2" i="5" s="1"/>
  <c r="H2" i="5" s="1"/>
  <c r="I2" i="5" s="1"/>
  <c r="J2" i="5" s="1"/>
  <c r="K2" i="5" s="1"/>
  <c r="L2" i="5" s="1"/>
  <c r="O2" i="5" s="1"/>
  <c r="P2" i="5"/>
  <c r="Q2" i="5" s="1"/>
  <c r="R2" i="5"/>
  <c r="S2" i="5" s="1"/>
  <c r="T2" i="5" s="1"/>
  <c r="U2" i="5" s="1"/>
  <c r="V2" i="5" s="1"/>
  <c r="W2" i="5" s="1"/>
  <c r="X2" i="5" s="1"/>
  <c r="Y2" i="5" s="1"/>
  <c r="Z2" i="5" s="1"/>
  <c r="AA2" i="5" s="1"/>
  <c r="AB2" i="5" s="1"/>
  <c r="AC2" i="5" s="1"/>
  <c r="AD2" i="5" s="1"/>
  <c r="AE2" i="5" s="1"/>
  <c r="AF2" i="5" s="1"/>
  <c r="AG2" i="5" s="1"/>
  <c r="AH2" i="5" s="1"/>
  <c r="AI2" i="5" s="1"/>
  <c r="AJ2" i="5" s="1"/>
  <c r="C107" i="19"/>
  <c r="G107" i="19"/>
  <c r="H107" i="19" s="1"/>
  <c r="D107" i="19"/>
  <c r="D106" i="18"/>
  <c r="C106" i="18"/>
  <c r="G106" i="18"/>
  <c r="H106" i="18" s="1"/>
  <c r="G108" i="19"/>
  <c r="H108" i="19" s="1"/>
  <c r="D108" i="19"/>
  <c r="C108" i="19"/>
  <c r="D107" i="18"/>
  <c r="C107" i="18"/>
  <c r="G107" i="18"/>
  <c r="H107" i="18"/>
  <c r="G109" i="19"/>
  <c r="H109" i="19" s="1"/>
  <c r="D109" i="19"/>
  <c r="C109" i="19"/>
  <c r="D108" i="18"/>
  <c r="C108" i="18"/>
  <c r="G108" i="18"/>
  <c r="H108" i="18" s="1"/>
  <c r="G110" i="19"/>
  <c r="H110" i="19" s="1"/>
  <c r="D110" i="19"/>
  <c r="C110" i="19"/>
  <c r="D109" i="18"/>
  <c r="C109" i="18"/>
  <c r="G109" i="18"/>
  <c r="H109" i="18" s="1"/>
  <c r="C411" i="3"/>
  <c r="C412" i="3"/>
  <c r="O5" i="7"/>
  <c r="C251" i="3"/>
  <c r="C252" i="3"/>
  <c r="C256" i="3"/>
  <c r="T234" i="5" s="1"/>
  <c r="AH234" i="5" s="1"/>
  <c r="C257" i="3"/>
  <c r="T235" i="5" s="1"/>
  <c r="AH235" i="5" s="1"/>
  <c r="C259" i="3"/>
  <c r="T237" i="5" s="1"/>
  <c r="AH237" i="5" s="1"/>
  <c r="C260" i="3"/>
  <c r="C261" i="3"/>
  <c r="C262" i="3"/>
  <c r="C263" i="3"/>
  <c r="C265" i="3"/>
  <c r="T239" i="5" s="1"/>
  <c r="AH239" i="5" s="1"/>
  <c r="C267" i="3"/>
  <c r="C164" i="3"/>
  <c r="C168" i="3"/>
  <c r="C169" i="3"/>
  <c r="C170" i="3"/>
  <c r="C171" i="3"/>
  <c r="T201" i="5" s="1"/>
  <c r="AH201" i="5" s="1"/>
  <c r="C172" i="3"/>
  <c r="C173" i="3"/>
  <c r="T203" i="5" s="1"/>
  <c r="AH203" i="5" s="1"/>
  <c r="C174" i="3"/>
  <c r="C175" i="3"/>
  <c r="C176" i="3"/>
  <c r="T176" i="5" s="1"/>
  <c r="AH176" i="5" s="1"/>
  <c r="C177" i="3"/>
  <c r="C178" i="3"/>
  <c r="C179" i="3"/>
  <c r="C180" i="3"/>
  <c r="C181" i="3"/>
  <c r="C182" i="3"/>
  <c r="C183" i="3"/>
  <c r="T261" i="5" s="1"/>
  <c r="AH261" i="5" s="1"/>
  <c r="C185" i="3"/>
  <c r="T204" i="5" s="1"/>
  <c r="C186" i="3"/>
  <c r="C187" i="3"/>
  <c r="C192" i="3"/>
  <c r="C194" i="3"/>
  <c r="C195" i="3"/>
  <c r="C196" i="3"/>
  <c r="T209" i="5" s="1"/>
  <c r="C197" i="3"/>
  <c r="C198" i="3"/>
  <c r="C199" i="3"/>
  <c r="C200" i="3"/>
  <c r="C201" i="3"/>
  <c r="C202" i="3"/>
  <c r="C203" i="3"/>
  <c r="T188" i="5" s="1"/>
  <c r="AH188" i="5" s="1"/>
  <c r="C204" i="3"/>
  <c r="T189" i="5" s="1"/>
  <c r="AH189" i="5" s="1"/>
  <c r="C205" i="3"/>
  <c r="C206" i="3"/>
  <c r="C207" i="3"/>
  <c r="C208" i="3"/>
  <c r="C209" i="3"/>
  <c r="C211" i="3"/>
  <c r="C212" i="3"/>
  <c r="C213" i="3"/>
  <c r="C214" i="3"/>
  <c r="C215" i="3"/>
  <c r="C216" i="3"/>
  <c r="C217" i="3"/>
  <c r="C218" i="3"/>
  <c r="C224" i="3"/>
  <c r="C225" i="3"/>
  <c r="C226" i="3"/>
  <c r="C227" i="3"/>
  <c r="C228" i="3"/>
  <c r="C229" i="3"/>
  <c r="C230" i="3"/>
  <c r="C231" i="3"/>
  <c r="C232" i="3"/>
  <c r="T178" i="5" s="1"/>
  <c r="AH178" i="5" s="1"/>
  <c r="C233" i="3"/>
  <c r="C235" i="3"/>
  <c r="C236" i="3"/>
  <c r="C237" i="3"/>
  <c r="C238" i="3"/>
  <c r="T293" i="5" s="1"/>
  <c r="AH293" i="5" s="1"/>
  <c r="C242" i="3"/>
  <c r="C243" i="3"/>
  <c r="C244" i="3"/>
  <c r="T294" i="5" s="1"/>
  <c r="AH294" i="5" s="1"/>
  <c r="C245" i="3"/>
  <c r="C246" i="3"/>
  <c r="C249" i="3"/>
  <c r="C250" i="3"/>
  <c r="C110" i="3"/>
  <c r="C111" i="3"/>
  <c r="C112" i="3"/>
  <c r="C113" i="3"/>
  <c r="C114" i="3"/>
  <c r="C115" i="3"/>
  <c r="C116" i="3"/>
  <c r="C117" i="3"/>
  <c r="T324" i="5" s="1"/>
  <c r="AH324" i="5" s="1"/>
  <c r="C118" i="3"/>
  <c r="C119" i="3"/>
  <c r="C120" i="3"/>
  <c r="T213" i="5" s="1"/>
  <c r="AH213" i="5" s="1"/>
  <c r="C121" i="3"/>
  <c r="C122" i="3"/>
  <c r="C123" i="3"/>
  <c r="T325" i="5" s="1"/>
  <c r="AH325" i="5" s="1"/>
  <c r="C125" i="3"/>
  <c r="C126" i="3"/>
  <c r="C127" i="3"/>
  <c r="T212" i="5" s="1"/>
  <c r="C128" i="3"/>
  <c r="C129" i="3"/>
  <c r="C130" i="3"/>
  <c r="C131" i="3"/>
  <c r="C132" i="3"/>
  <c r="C133" i="3"/>
  <c r="C134" i="3"/>
  <c r="C135" i="3"/>
  <c r="T301" i="5" s="1"/>
  <c r="AH301" i="5" s="1"/>
  <c r="C136" i="3"/>
  <c r="C138" i="3"/>
  <c r="C139" i="3"/>
  <c r="C140" i="3"/>
  <c r="C141" i="3"/>
  <c r="C142" i="3"/>
  <c r="C143" i="3"/>
  <c r="T290" i="5" s="1"/>
  <c r="AH290" i="5" s="1"/>
  <c r="C144" i="3"/>
  <c r="C145" i="3"/>
  <c r="C146" i="3"/>
  <c r="C147" i="3"/>
  <c r="T272" i="5" s="1"/>
  <c r="AH272" i="5" s="1"/>
  <c r="C151" i="3"/>
  <c r="C152" i="3"/>
  <c r="C154" i="3"/>
  <c r="C155" i="3"/>
  <c r="T308" i="5" s="1"/>
  <c r="AH308" i="5" s="1"/>
  <c r="C156" i="3"/>
  <c r="T306" i="5" s="1"/>
  <c r="AH306" i="5" s="1"/>
  <c r="C157" i="3"/>
  <c r="T307" i="5" s="1"/>
  <c r="AH307" i="5" s="1"/>
  <c r="C159" i="3"/>
  <c r="C160" i="3"/>
  <c r="C161" i="3"/>
  <c r="C3" i="3"/>
  <c r="T286" i="5" s="1"/>
  <c r="C4" i="3"/>
  <c r="T287" i="5" s="1"/>
  <c r="C5" i="3"/>
  <c r="C7" i="3"/>
  <c r="C8" i="3"/>
  <c r="C9" i="3"/>
  <c r="C10" i="3"/>
  <c r="C11" i="3"/>
  <c r="C12" i="3"/>
  <c r="C13" i="3"/>
  <c r="C14" i="3"/>
  <c r="C15" i="3"/>
  <c r="C16" i="3"/>
  <c r="T168" i="5" s="1"/>
  <c r="AH168" i="5" s="1"/>
  <c r="C17" i="3"/>
  <c r="C18" i="3"/>
  <c r="T225" i="5" s="1"/>
  <c r="AH225" i="5" s="1"/>
  <c r="C19" i="3"/>
  <c r="C20" i="3"/>
  <c r="C21" i="3"/>
  <c r="C22" i="3"/>
  <c r="T169" i="5" s="1"/>
  <c r="AH169" i="5" s="1"/>
  <c r="C23" i="3"/>
  <c r="C25" i="3"/>
  <c r="C26" i="3"/>
  <c r="C27" i="3"/>
  <c r="C29" i="3"/>
  <c r="T199" i="5" s="1"/>
  <c r="AH199" i="5" s="1"/>
  <c r="C30" i="3"/>
  <c r="C31" i="3"/>
  <c r="C34" i="3"/>
  <c r="T288" i="5" s="1"/>
  <c r="C36" i="3"/>
  <c r="T351" i="5" s="1"/>
  <c r="AH351" i="5" s="1"/>
  <c r="C38" i="3"/>
  <c r="C39" i="3"/>
  <c r="C40" i="3"/>
  <c r="C41" i="3"/>
  <c r="C42" i="3"/>
  <c r="C43" i="3"/>
  <c r="C46" i="3"/>
  <c r="T173" i="5" s="1"/>
  <c r="AH173" i="5" s="1"/>
  <c r="C47" i="3"/>
  <c r="C48" i="3"/>
  <c r="C49" i="3"/>
  <c r="T334" i="5" s="1"/>
  <c r="AH334" i="5" s="1"/>
  <c r="C50" i="3"/>
  <c r="C51" i="3"/>
  <c r="T333" i="5" s="1"/>
  <c r="AH333" i="5" s="1"/>
  <c r="C55" i="3"/>
  <c r="C56" i="3"/>
  <c r="T11" i="5" s="1"/>
  <c r="AH11" i="5" s="1"/>
  <c r="C57" i="3"/>
  <c r="T208" i="5" s="1"/>
  <c r="C58" i="3"/>
  <c r="C61" i="3"/>
  <c r="C62" i="3"/>
  <c r="C63" i="3"/>
  <c r="T322" i="5" s="1"/>
  <c r="AH322" i="5" s="1"/>
  <c r="C64" i="3"/>
  <c r="C66" i="3"/>
  <c r="C67" i="3"/>
  <c r="C68" i="3"/>
  <c r="C69" i="3"/>
  <c r="C70" i="3"/>
  <c r="C71" i="3"/>
  <c r="C73" i="3"/>
  <c r="C76" i="3"/>
  <c r="C77" i="3"/>
  <c r="T183" i="5" s="1"/>
  <c r="AH183" i="5" s="1"/>
  <c r="C78" i="3"/>
  <c r="T182" i="5" s="1"/>
  <c r="AH182" i="5" s="1"/>
  <c r="C79" i="3"/>
  <c r="C80" i="3"/>
  <c r="C81" i="3"/>
  <c r="T181" i="5" s="1"/>
  <c r="AH181" i="5" s="1"/>
  <c r="C82" i="3"/>
  <c r="T323" i="5" s="1"/>
  <c r="AH323" i="5" s="1"/>
  <c r="C83" i="3"/>
  <c r="C84" i="3"/>
  <c r="C86" i="3"/>
  <c r="C87" i="3"/>
  <c r="C88" i="3"/>
  <c r="C89" i="3"/>
  <c r="C90" i="3"/>
  <c r="C91" i="3"/>
  <c r="C92" i="3"/>
  <c r="C93" i="3"/>
  <c r="T299" i="5" s="1"/>
  <c r="AH299" i="5" s="1"/>
  <c r="C95" i="3"/>
  <c r="C96" i="3"/>
  <c r="C97" i="3"/>
  <c r="T349" i="5" s="1"/>
  <c r="AH349" i="5" s="1"/>
  <c r="C98" i="3"/>
  <c r="C99" i="3"/>
  <c r="C100" i="3"/>
  <c r="T300" i="5" s="1"/>
  <c r="AH300" i="5" s="1"/>
  <c r="C101" i="3"/>
  <c r="C103" i="3"/>
  <c r="C104" i="3"/>
  <c r="C105" i="3"/>
  <c r="T171" i="5" s="1"/>
  <c r="AH171" i="5" s="1"/>
  <c r="C106" i="3"/>
  <c r="C107" i="3"/>
  <c r="C2" i="3"/>
  <c r="C111" i="19"/>
  <c r="G111" i="19"/>
  <c r="H111" i="19" s="1"/>
  <c r="D111" i="19"/>
  <c r="D110" i="18"/>
  <c r="C110" i="18"/>
  <c r="G110" i="18"/>
  <c r="H110" i="18" s="1"/>
  <c r="C2" i="1"/>
  <c r="D2" i="1" s="1"/>
  <c r="E2" i="1" s="1"/>
  <c r="F2" i="1" s="1"/>
  <c r="G2" i="1" s="1"/>
  <c r="H2" i="1" s="1"/>
  <c r="I2" i="1" s="1"/>
  <c r="J2" i="1" s="1"/>
  <c r="K2" i="1" s="1"/>
  <c r="L2" i="1" s="1"/>
  <c r="M2" i="1" s="1"/>
  <c r="N2" i="1" s="1"/>
  <c r="O2" i="1" s="1"/>
  <c r="P2" i="1" s="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 r="G112" i="19"/>
  <c r="H112" i="19" s="1"/>
  <c r="D112" i="19"/>
  <c r="C112" i="19"/>
  <c r="D111" i="18"/>
  <c r="C111" i="18"/>
  <c r="G111" i="18"/>
  <c r="H111" i="18" s="1"/>
  <c r="G113" i="19"/>
  <c r="H113" i="19" s="1"/>
  <c r="D113" i="19"/>
  <c r="C113" i="19"/>
  <c r="D112" i="18"/>
  <c r="C112" i="18"/>
  <c r="G112" i="18"/>
  <c r="H112" i="18" s="1"/>
  <c r="G114" i="19"/>
  <c r="H114" i="19" s="1"/>
  <c r="D114" i="19"/>
  <c r="C114" i="19"/>
  <c r="D113" i="18"/>
  <c r="C113" i="18"/>
  <c r="G113" i="18"/>
  <c r="H113" i="18" s="1"/>
  <c r="C115" i="19"/>
  <c r="G115" i="19"/>
  <c r="H115" i="19" s="1"/>
  <c r="D115" i="19"/>
  <c r="D114" i="18"/>
  <c r="C114" i="18"/>
  <c r="G114" i="18"/>
  <c r="H114" i="18" s="1"/>
  <c r="G116" i="19"/>
  <c r="H116" i="19" s="1"/>
  <c r="D116" i="19"/>
  <c r="C116" i="19"/>
  <c r="D115" i="18"/>
  <c r="C115" i="18"/>
  <c r="G115" i="18"/>
  <c r="H115" i="18" s="1"/>
  <c r="G117" i="19"/>
  <c r="H117" i="19" s="1"/>
  <c r="D117" i="19"/>
  <c r="C117" i="19"/>
  <c r="D116" i="18"/>
  <c r="C116" i="18"/>
  <c r="G116" i="18"/>
  <c r="H116" i="18" s="1"/>
  <c r="G118" i="19"/>
  <c r="H118" i="19" s="1"/>
  <c r="D118" i="19"/>
  <c r="C118" i="19"/>
  <c r="D117" i="18"/>
  <c r="C117" i="18"/>
  <c r="G117" i="18"/>
  <c r="H117" i="18" s="1"/>
  <c r="C119" i="19"/>
  <c r="G119" i="19"/>
  <c r="H119" i="19" s="1"/>
  <c r="D119" i="19"/>
  <c r="D118" i="18"/>
  <c r="C118" i="18"/>
  <c r="G118" i="18"/>
  <c r="H118" i="18" s="1"/>
  <c r="G120" i="19"/>
  <c r="H120" i="19" s="1"/>
  <c r="D120" i="19"/>
  <c r="C120" i="19"/>
  <c r="D119" i="18"/>
  <c r="C119" i="18"/>
  <c r="G119" i="18"/>
  <c r="H119" i="18" s="1"/>
  <c r="G121" i="19"/>
  <c r="H121" i="19" s="1"/>
  <c r="D121" i="19"/>
  <c r="C121" i="19"/>
  <c r="D120" i="18"/>
  <c r="C120" i="18"/>
  <c r="G120" i="18"/>
  <c r="H120" i="18" s="1"/>
  <c r="G122" i="19"/>
  <c r="H122" i="19" s="1"/>
  <c r="D122" i="19"/>
  <c r="C122" i="19"/>
  <c r="D121" i="18"/>
  <c r="C121" i="18"/>
  <c r="G121" i="18"/>
  <c r="H121" i="18" s="1"/>
  <c r="C123" i="19"/>
  <c r="G123" i="19"/>
  <c r="H123" i="19" s="1"/>
  <c r="D123" i="19"/>
  <c r="D122" i="18"/>
  <c r="C122" i="18"/>
  <c r="G122" i="18"/>
  <c r="H122" i="18" s="1"/>
  <c r="G124" i="19"/>
  <c r="H124" i="19" s="1"/>
  <c r="D124" i="19"/>
  <c r="C124" i="19"/>
  <c r="D123" i="18"/>
  <c r="C123" i="18"/>
  <c r="G123" i="18"/>
  <c r="H123" i="18" s="1"/>
  <c r="G125" i="19"/>
  <c r="H125" i="19" s="1"/>
  <c r="D125" i="19"/>
  <c r="C125" i="19"/>
  <c r="D124" i="18"/>
  <c r="C124" i="18"/>
  <c r="G124" i="18"/>
  <c r="H124" i="18" s="1"/>
  <c r="G126" i="19"/>
  <c r="H126" i="19" s="1"/>
  <c r="D126" i="19"/>
  <c r="C126" i="19"/>
  <c r="D125" i="18"/>
  <c r="C125" i="18"/>
  <c r="G125" i="18"/>
  <c r="H125" i="18" s="1"/>
  <c r="C127" i="19"/>
  <c r="G127" i="19"/>
  <c r="H127" i="19" s="1"/>
  <c r="D127" i="19"/>
  <c r="D126" i="18"/>
  <c r="C126" i="18"/>
  <c r="G126" i="18"/>
  <c r="H126" i="18" s="1"/>
  <c r="G128" i="19"/>
  <c r="H128" i="19" s="1"/>
  <c r="D128" i="19"/>
  <c r="C128" i="19"/>
  <c r="D127" i="18"/>
  <c r="C127" i="18"/>
  <c r="G127" i="18"/>
  <c r="H127" i="18" s="1"/>
  <c r="G129" i="19"/>
  <c r="H129" i="19" s="1"/>
  <c r="D129" i="19"/>
  <c r="C129" i="19"/>
  <c r="D128" i="18"/>
  <c r="C128" i="18"/>
  <c r="G128" i="18"/>
  <c r="H128" i="18" s="1"/>
  <c r="G130" i="19"/>
  <c r="H130" i="19" s="1"/>
  <c r="D130" i="19"/>
  <c r="C130" i="19"/>
  <c r="D129" i="18"/>
  <c r="C129" i="18"/>
  <c r="G129" i="18"/>
  <c r="H129" i="18" s="1"/>
  <c r="C131" i="19"/>
  <c r="G131" i="19"/>
  <c r="H131" i="19" s="1"/>
  <c r="D131" i="19"/>
  <c r="C130" i="18"/>
  <c r="D130" i="18"/>
  <c r="G130" i="18"/>
  <c r="H130" i="18" s="1"/>
  <c r="G132" i="19"/>
  <c r="H132" i="19" s="1"/>
  <c r="D132" i="19"/>
  <c r="C132" i="19"/>
  <c r="C131" i="18"/>
  <c r="D131" i="18"/>
  <c r="G131" i="18"/>
  <c r="H131" i="18" s="1"/>
  <c r="G133" i="19"/>
  <c r="H133" i="19" s="1"/>
  <c r="D133" i="19"/>
  <c r="C133" i="19"/>
  <c r="D132" i="18"/>
  <c r="C132" i="18"/>
  <c r="G132" i="18"/>
  <c r="H132" i="18" s="1"/>
  <c r="G134" i="19"/>
  <c r="H134" i="19" s="1"/>
  <c r="D134" i="19"/>
  <c r="C134" i="19"/>
  <c r="D133" i="18"/>
  <c r="C133" i="18"/>
  <c r="G133" i="18"/>
  <c r="H133" i="18" s="1"/>
  <c r="C135" i="19"/>
  <c r="G135" i="19"/>
  <c r="H135" i="19" s="1"/>
  <c r="D135" i="19"/>
  <c r="D134" i="18"/>
  <c r="C134" i="18"/>
  <c r="G134" i="18"/>
  <c r="H134" i="18" s="1"/>
  <c r="G136" i="19"/>
  <c r="H136" i="19" s="1"/>
  <c r="D136" i="19"/>
  <c r="C136" i="19"/>
  <c r="D135" i="18"/>
  <c r="C135" i="18"/>
  <c r="G135" i="18"/>
  <c r="H135" i="18" s="1"/>
  <c r="G137" i="19"/>
  <c r="H137" i="19" s="1"/>
  <c r="D137" i="19"/>
  <c r="C137" i="19"/>
  <c r="D136" i="18"/>
  <c r="C136" i="18"/>
  <c r="G136" i="18"/>
  <c r="H136" i="18" s="1"/>
  <c r="G138" i="19"/>
  <c r="H138" i="19"/>
  <c r="D138" i="19"/>
  <c r="C138" i="19"/>
  <c r="D137" i="18"/>
  <c r="C137" i="18"/>
  <c r="G137" i="18"/>
  <c r="H137" i="18" s="1"/>
  <c r="C139" i="19"/>
  <c r="G139" i="19"/>
  <c r="H139" i="19"/>
  <c r="D139" i="19"/>
  <c r="D138" i="18"/>
  <c r="C138" i="18"/>
  <c r="G138" i="18"/>
  <c r="H138" i="18" s="1"/>
  <c r="G140" i="19"/>
  <c r="H140" i="19" s="1"/>
  <c r="D140" i="19"/>
  <c r="C140" i="19"/>
  <c r="D139" i="18"/>
  <c r="C139" i="18"/>
  <c r="G139" i="18"/>
  <c r="H139" i="18" s="1"/>
  <c r="G141" i="19"/>
  <c r="H141" i="19"/>
  <c r="D141" i="19"/>
  <c r="C141" i="19"/>
  <c r="D140" i="18"/>
  <c r="C140" i="18"/>
  <c r="G140" i="18"/>
  <c r="H140" i="18" s="1"/>
  <c r="G142" i="19"/>
  <c r="H142" i="19" s="1"/>
  <c r="D142" i="19"/>
  <c r="C142" i="19"/>
  <c r="D141" i="18"/>
  <c r="C141" i="18"/>
  <c r="G141" i="18"/>
  <c r="H141" i="18" s="1"/>
  <c r="C143" i="19"/>
  <c r="G143" i="19"/>
  <c r="H143" i="19" s="1"/>
  <c r="D143" i="19"/>
  <c r="D142" i="18"/>
  <c r="C142" i="18"/>
  <c r="G142" i="18"/>
  <c r="H142" i="18" s="1"/>
  <c r="G144" i="19"/>
  <c r="H144" i="19" s="1"/>
  <c r="D144" i="19"/>
  <c r="C144" i="19"/>
  <c r="D143" i="18"/>
  <c r="C143" i="18"/>
  <c r="G143" i="18"/>
  <c r="H143" i="18" s="1"/>
  <c r="G145" i="19"/>
  <c r="H145" i="19"/>
  <c r="D145" i="19"/>
  <c r="C145" i="19"/>
  <c r="D144" i="18"/>
  <c r="C144" i="18"/>
  <c r="G144" i="18"/>
  <c r="H144" i="18" s="1"/>
  <c r="G146" i="19"/>
  <c r="H146" i="19" s="1"/>
  <c r="D146" i="19"/>
  <c r="C146" i="19"/>
  <c r="D145" i="18"/>
  <c r="C145" i="18"/>
  <c r="G145" i="18"/>
  <c r="H145" i="18" s="1"/>
  <c r="C147" i="19"/>
  <c r="G147" i="19"/>
  <c r="H147" i="19" s="1"/>
  <c r="D147" i="19"/>
  <c r="C146" i="18"/>
  <c r="D146" i="18"/>
  <c r="G146" i="18"/>
  <c r="H146" i="18" s="1"/>
  <c r="G148" i="19"/>
  <c r="H148" i="19" s="1"/>
  <c r="D148" i="19"/>
  <c r="C148" i="19"/>
  <c r="C147" i="18"/>
  <c r="D147" i="18"/>
  <c r="G147" i="18"/>
  <c r="H147" i="18" s="1"/>
  <c r="G149" i="19"/>
  <c r="H149" i="19" s="1"/>
  <c r="D149" i="19"/>
  <c r="C149" i="19"/>
  <c r="D148" i="18"/>
  <c r="C148" i="18"/>
  <c r="G148" i="18"/>
  <c r="H148" i="18" s="1"/>
  <c r="G150" i="19"/>
  <c r="H150" i="19" s="1"/>
  <c r="D150" i="19"/>
  <c r="C150" i="19"/>
  <c r="D149" i="18"/>
  <c r="C149" i="18"/>
  <c r="G149" i="18"/>
  <c r="H149" i="18" s="1"/>
  <c r="C151" i="19"/>
  <c r="G151" i="19"/>
  <c r="H151" i="19" s="1"/>
  <c r="D151" i="19"/>
  <c r="D150" i="18"/>
  <c r="C150" i="18"/>
  <c r="G150" i="18"/>
  <c r="H150" i="18" s="1"/>
  <c r="G152" i="19"/>
  <c r="H152" i="19" s="1"/>
  <c r="D152" i="19"/>
  <c r="C152" i="19"/>
  <c r="D151" i="18"/>
  <c r="C151" i="18"/>
  <c r="G151" i="18"/>
  <c r="H151" i="18" s="1"/>
  <c r="G153" i="19"/>
  <c r="H153" i="19" s="1"/>
  <c r="D153" i="19"/>
  <c r="C153" i="19"/>
  <c r="D152" i="18"/>
  <c r="C152" i="18"/>
  <c r="G152" i="18"/>
  <c r="H152" i="18" s="1"/>
  <c r="G154" i="19"/>
  <c r="H154" i="19"/>
  <c r="D154" i="19"/>
  <c r="C154" i="19"/>
  <c r="D153" i="18"/>
  <c r="C153" i="18"/>
  <c r="G153" i="18"/>
  <c r="H153" i="18" s="1"/>
  <c r="G154" i="18"/>
  <c r="H154" i="18" s="1"/>
  <c r="C155" i="19"/>
  <c r="G155" i="19"/>
  <c r="H155" i="19" s="1"/>
  <c r="D155" i="19"/>
  <c r="C154" i="18"/>
  <c r="D154" i="18"/>
  <c r="G156" i="19"/>
  <c r="H156" i="19" s="1"/>
  <c r="D156" i="19"/>
  <c r="C156" i="19"/>
  <c r="D155" i="18"/>
  <c r="C155" i="18"/>
  <c r="G155" i="18"/>
  <c r="H155" i="18" s="1"/>
  <c r="G157" i="19"/>
  <c r="H157" i="19" s="1"/>
  <c r="D157" i="19"/>
  <c r="C157" i="19"/>
  <c r="D156" i="18"/>
  <c r="C156" i="18"/>
  <c r="G156" i="18"/>
  <c r="H156" i="18" s="1"/>
  <c r="G158" i="19"/>
  <c r="H158" i="19" s="1"/>
  <c r="D158" i="19"/>
  <c r="C158" i="19"/>
  <c r="D157" i="18"/>
  <c r="C157" i="18"/>
  <c r="G157" i="18"/>
  <c r="H157" i="18" s="1"/>
  <c r="C159" i="19"/>
  <c r="G159" i="19"/>
  <c r="H159" i="19" s="1"/>
  <c r="D159" i="19"/>
  <c r="D158" i="18"/>
  <c r="C158" i="18"/>
  <c r="G158" i="18"/>
  <c r="H158" i="18" s="1"/>
  <c r="G160" i="19"/>
  <c r="H160" i="19" s="1"/>
  <c r="D160" i="19"/>
  <c r="C160" i="19"/>
  <c r="D159" i="18"/>
  <c r="C159" i="18"/>
  <c r="G159" i="18"/>
  <c r="H159" i="18" s="1"/>
  <c r="G161" i="19"/>
  <c r="H161" i="19" s="1"/>
  <c r="D161" i="19"/>
  <c r="C161" i="19"/>
  <c r="D160" i="18"/>
  <c r="C160" i="18"/>
  <c r="G160" i="18"/>
  <c r="H160" i="18" s="1"/>
  <c r="G162" i="19"/>
  <c r="H162" i="19" s="1"/>
  <c r="D162" i="19"/>
  <c r="C162" i="19"/>
  <c r="D161" i="18"/>
  <c r="C161" i="18"/>
  <c r="G161" i="18"/>
  <c r="H161" i="18" s="1"/>
  <c r="C163" i="19"/>
  <c r="G163" i="19"/>
  <c r="H163" i="19" s="1"/>
  <c r="D163" i="19"/>
  <c r="C162" i="18"/>
  <c r="D162" i="18"/>
  <c r="G162" i="18"/>
  <c r="H162" i="18" s="1"/>
  <c r="G164" i="19"/>
  <c r="H164" i="19" s="1"/>
  <c r="D164" i="19"/>
  <c r="C164" i="19"/>
  <c r="C163" i="18"/>
  <c r="D163" i="18"/>
  <c r="G163" i="18"/>
  <c r="H163" i="18" s="1"/>
  <c r="G165" i="19"/>
  <c r="H165" i="19" s="1"/>
  <c r="D165" i="19"/>
  <c r="C165" i="19"/>
  <c r="D164" i="18"/>
  <c r="C164" i="18"/>
  <c r="G164" i="18"/>
  <c r="H164" i="18" s="1"/>
  <c r="G166" i="19"/>
  <c r="H166" i="19" s="1"/>
  <c r="D166" i="19"/>
  <c r="C166" i="19"/>
  <c r="D165" i="18"/>
  <c r="C165" i="18"/>
  <c r="G165" i="18"/>
  <c r="H165" i="18" s="1"/>
  <c r="C167" i="19"/>
  <c r="G167" i="19"/>
  <c r="H167" i="19" s="1"/>
  <c r="D167" i="19"/>
  <c r="D166" i="18"/>
  <c r="C166" i="18"/>
  <c r="G166" i="18"/>
  <c r="H166" i="18" s="1"/>
  <c r="G168" i="19"/>
  <c r="H168" i="19" s="1"/>
  <c r="D168" i="19"/>
  <c r="C168" i="19"/>
  <c r="D167" i="18"/>
  <c r="C167" i="18"/>
  <c r="G167" i="18"/>
  <c r="H167" i="18" s="1"/>
  <c r="G169" i="19"/>
  <c r="H169" i="19" s="1"/>
  <c r="D169" i="19"/>
  <c r="C169" i="19"/>
  <c r="D168" i="18"/>
  <c r="C168" i="18"/>
  <c r="G168" i="18"/>
  <c r="H168" i="18" s="1"/>
  <c r="G170" i="19"/>
  <c r="H170" i="19" s="1"/>
  <c r="D170" i="19"/>
  <c r="C170" i="19"/>
  <c r="D169" i="18"/>
  <c r="C169" i="18"/>
  <c r="G169" i="18"/>
  <c r="H169" i="18" s="1"/>
  <c r="C171" i="19"/>
  <c r="G171" i="19"/>
  <c r="H171" i="19" s="1"/>
  <c r="D171" i="19"/>
  <c r="D170" i="18"/>
  <c r="C170" i="18"/>
  <c r="G170" i="18"/>
  <c r="H170" i="18" s="1"/>
  <c r="G172" i="19"/>
  <c r="H172" i="19" s="1"/>
  <c r="D172" i="19"/>
  <c r="C172" i="19"/>
  <c r="D171" i="18"/>
  <c r="C171" i="18"/>
  <c r="G171" i="18"/>
  <c r="H171" i="18" s="1"/>
  <c r="G173" i="19"/>
  <c r="H173" i="19" s="1"/>
  <c r="D173" i="19"/>
  <c r="C173" i="19"/>
  <c r="D172" i="18"/>
  <c r="C172" i="18"/>
  <c r="G172" i="18"/>
  <c r="H172" i="18" s="1"/>
  <c r="G174" i="19"/>
  <c r="H174" i="19" s="1"/>
  <c r="D174" i="19"/>
  <c r="C174" i="19"/>
  <c r="D173" i="18"/>
  <c r="C173" i="18"/>
  <c r="G173" i="18"/>
  <c r="H173" i="18" s="1"/>
  <c r="C175" i="19"/>
  <c r="G175" i="19"/>
  <c r="H175" i="19" s="1"/>
  <c r="D175" i="19"/>
  <c r="D174" i="18"/>
  <c r="C174" i="18"/>
  <c r="G174" i="18"/>
  <c r="H174" i="18" s="1"/>
  <c r="G176" i="19"/>
  <c r="H176" i="19" s="1"/>
  <c r="D176" i="19"/>
  <c r="C176" i="19"/>
  <c r="D175" i="18"/>
  <c r="C175" i="18"/>
  <c r="G175" i="18"/>
  <c r="H175" i="18" s="1"/>
  <c r="G177" i="19"/>
  <c r="H177" i="19" s="1"/>
  <c r="D177" i="19"/>
  <c r="C177" i="19"/>
  <c r="D176" i="18"/>
  <c r="C176" i="18"/>
  <c r="G176" i="18"/>
  <c r="H176" i="18" s="1"/>
  <c r="G178" i="19"/>
  <c r="H178" i="19" s="1"/>
  <c r="D178" i="19"/>
  <c r="C178" i="19"/>
  <c r="D177" i="18"/>
  <c r="C177" i="18"/>
  <c r="G177" i="18"/>
  <c r="H177" i="18" s="1"/>
  <c r="C179" i="19"/>
  <c r="G179" i="19"/>
  <c r="H179" i="19" s="1"/>
  <c r="D179" i="19"/>
  <c r="C178" i="18"/>
  <c r="D178" i="18"/>
  <c r="G178" i="18"/>
  <c r="H178" i="18" s="1"/>
  <c r="G180" i="19"/>
  <c r="H180" i="19" s="1"/>
  <c r="D180" i="19"/>
  <c r="C180" i="19"/>
  <c r="C179" i="18"/>
  <c r="D179" i="18"/>
  <c r="G179" i="18"/>
  <c r="H179" i="18" s="1"/>
  <c r="G181" i="19"/>
  <c r="H181" i="19" s="1"/>
  <c r="D181" i="19"/>
  <c r="C181" i="19"/>
  <c r="D180" i="18"/>
  <c r="C180" i="18"/>
  <c r="G180" i="18"/>
  <c r="H180" i="18" s="1"/>
  <c r="G182" i="19"/>
  <c r="H182" i="19"/>
  <c r="D182" i="19"/>
  <c r="C182" i="19"/>
  <c r="D181" i="18"/>
  <c r="C181" i="18"/>
  <c r="G181" i="18"/>
  <c r="H181" i="18" s="1"/>
  <c r="C183" i="19"/>
  <c r="G183" i="19"/>
  <c r="H183" i="19"/>
  <c r="D183" i="19"/>
  <c r="D182" i="18"/>
  <c r="C182" i="18"/>
  <c r="G182" i="18"/>
  <c r="H182" i="18" s="1"/>
  <c r="G184" i="19"/>
  <c r="H184" i="19" s="1"/>
  <c r="D184" i="19"/>
  <c r="C184" i="19"/>
  <c r="D183" i="18"/>
  <c r="C183" i="18"/>
  <c r="G183" i="18"/>
  <c r="H183" i="18" s="1"/>
  <c r="D186" i="19"/>
  <c r="G186" i="19"/>
  <c r="H186" i="19" s="1"/>
  <c r="G185" i="19"/>
  <c r="H185" i="19" s="1"/>
  <c r="D185" i="19"/>
  <c r="C185" i="19"/>
  <c r="D184" i="18"/>
  <c r="C184" i="18"/>
  <c r="G184" i="18"/>
  <c r="H184" i="18" s="1"/>
  <c r="D187" i="19"/>
  <c r="G187" i="19"/>
  <c r="H187" i="19" s="1"/>
  <c r="D185" i="18"/>
  <c r="C185" i="18"/>
  <c r="G185" i="18"/>
  <c r="H185" i="18" s="1"/>
  <c r="D188" i="19"/>
  <c r="G188" i="19"/>
  <c r="H188" i="19"/>
  <c r="D189" i="19"/>
  <c r="G189" i="19"/>
  <c r="H189" i="19" s="1"/>
  <c r="D190" i="19"/>
  <c r="G190" i="19"/>
  <c r="H190" i="19" s="1"/>
  <c r="D191" i="19"/>
  <c r="G191" i="19"/>
  <c r="H191" i="19" s="1"/>
  <c r="D192" i="19"/>
  <c r="G192" i="19"/>
  <c r="H192" i="19" s="1"/>
  <c r="D193" i="19"/>
  <c r="G193" i="19"/>
  <c r="H193" i="19" s="1"/>
  <c r="D194" i="19"/>
  <c r="G194" i="19"/>
  <c r="H194" i="19" s="1"/>
  <c r="D195" i="19"/>
  <c r="G195" i="19"/>
  <c r="H195" i="19" s="1"/>
  <c r="D196" i="19"/>
  <c r="G196" i="19"/>
  <c r="H196" i="19" s="1"/>
  <c r="D197" i="19"/>
  <c r="G197" i="19"/>
  <c r="H197" i="19" s="1"/>
  <c r="D198" i="19"/>
  <c r="G198" i="19"/>
  <c r="H198" i="19" s="1"/>
  <c r="D199" i="19"/>
  <c r="G199" i="19"/>
  <c r="H199" i="19" s="1"/>
  <c r="D200" i="19"/>
  <c r="G200" i="19"/>
  <c r="H200" i="19" s="1"/>
  <c r="D201" i="19"/>
  <c r="G201" i="19"/>
  <c r="H201" i="19" s="1"/>
  <c r="D202" i="19"/>
  <c r="G202" i="19"/>
  <c r="H202" i="19" s="1"/>
  <c r="D203" i="19"/>
  <c r="G203" i="19"/>
  <c r="H203" i="19" s="1"/>
  <c r="D204" i="19"/>
  <c r="G204" i="19"/>
  <c r="H204" i="19" s="1"/>
  <c r="T336" i="5" l="1"/>
  <c r="AH336" i="5" s="1"/>
  <c r="T350" i="5"/>
  <c r="AH350" i="5" s="1"/>
  <c r="T207" i="5"/>
  <c r="T340" i="5"/>
  <c r="AH340" i="5" s="1"/>
  <c r="T341" i="5"/>
  <c r="AH341" i="5" s="1"/>
  <c r="T326" i="5"/>
  <c r="AH326" i="5" s="1"/>
  <c r="T339" i="5"/>
  <c r="AH339" i="5" s="1"/>
  <c r="T295" i="5"/>
  <c r="AH295" i="5" s="1"/>
  <c r="T217" i="5"/>
  <c r="AH217" i="5" s="1"/>
  <c r="T191" i="5"/>
  <c r="AH191" i="5" s="1"/>
  <c r="T192" i="5"/>
  <c r="AH192" i="5" s="1"/>
  <c r="T190" i="5"/>
  <c r="AH190" i="5" s="1"/>
  <c r="T247" i="5"/>
  <c r="AH247" i="5" s="1"/>
  <c r="T242" i="5"/>
  <c r="AH242" i="5" s="1"/>
  <c r="T256" i="5"/>
  <c r="AH256" i="5" s="1"/>
  <c r="T255" i="5"/>
  <c r="AH255" i="5" s="1"/>
  <c r="T230" i="5"/>
  <c r="AH230" i="5" s="1"/>
  <c r="T327" i="5"/>
  <c r="AH327" i="5" s="1"/>
  <c r="T342" i="5"/>
  <c r="AH342" i="5" s="1"/>
  <c r="T257" i="5"/>
  <c r="AH257" i="5" s="1"/>
  <c r="T258" i="5"/>
  <c r="AH258" i="5" s="1"/>
  <c r="T233" i="5"/>
  <c r="AH233" i="5" s="1"/>
  <c r="T19" i="5"/>
  <c r="T18" i="5"/>
  <c r="T17" i="5"/>
  <c r="AH17" i="5" s="1"/>
  <c r="T16" i="5"/>
  <c r="AH16" i="5" s="1"/>
  <c r="T15" i="5"/>
  <c r="AH15" i="5" s="1"/>
  <c r="T13" i="5"/>
  <c r="AH13" i="5" s="1"/>
  <c r="T9" i="5"/>
  <c r="AH9" i="5" s="1"/>
  <c r="T10" i="5"/>
  <c r="AH10" i="5" s="1"/>
  <c r="T4" i="5"/>
  <c r="AH4" i="5" s="1"/>
  <c r="AH288" i="5"/>
  <c r="AK288" i="5"/>
  <c r="T348" i="5"/>
  <c r="AH348" i="5" s="1"/>
  <c r="T310" i="5"/>
  <c r="AH310" i="5" s="1"/>
  <c r="T220" i="5"/>
  <c r="AH220" i="5" s="1"/>
  <c r="T262" i="5"/>
  <c r="AH262" i="5" s="1"/>
  <c r="T180" i="5"/>
  <c r="AH180" i="5" s="1"/>
  <c r="T337" i="5"/>
  <c r="AH337" i="5" s="1"/>
  <c r="T297" i="5"/>
  <c r="AH297" i="5" s="1"/>
  <c r="T216" i="5"/>
  <c r="AH216" i="5" s="1"/>
  <c r="T187" i="5"/>
  <c r="AH187" i="5" s="1"/>
  <c r="T252" i="5"/>
  <c r="AH252" i="5" s="1"/>
  <c r="T253" i="5"/>
  <c r="AH253" i="5" s="1"/>
  <c r="T254" i="5"/>
  <c r="AH254" i="5" s="1"/>
  <c r="T250" i="5"/>
  <c r="AH250" i="5" s="1"/>
  <c r="T245" i="5"/>
  <c r="AH245" i="5" s="1"/>
  <c r="T196" i="5"/>
  <c r="AH196" i="5" s="1"/>
  <c r="T179" i="5"/>
  <c r="AH179" i="5" s="1"/>
  <c r="T313" i="5"/>
  <c r="AH313" i="5" s="1"/>
  <c r="T268" i="5"/>
  <c r="AH268" i="5" s="1"/>
  <c r="T278" i="5"/>
  <c r="AH278" i="5" s="1"/>
  <c r="T265" i="5"/>
  <c r="AH265" i="5" s="1"/>
  <c r="T356" i="5"/>
  <c r="AH356" i="5" s="1"/>
  <c r="T358" i="5"/>
  <c r="AH358" i="5" s="1"/>
  <c r="T315" i="5"/>
  <c r="AH315" i="5" s="1"/>
  <c r="T318" i="5"/>
  <c r="AH318" i="5" s="1"/>
  <c r="T282" i="5"/>
  <c r="AH282" i="5" s="1"/>
  <c r="T275" i="5"/>
  <c r="AH275" i="5" s="1"/>
  <c r="T280" i="5"/>
  <c r="AH280" i="5" s="1"/>
  <c r="T270" i="5"/>
  <c r="AH270" i="5" s="1"/>
  <c r="T266" i="5"/>
  <c r="AH266" i="5" s="1"/>
  <c r="T304" i="5"/>
  <c r="AH304" i="5" s="1"/>
  <c r="T277" i="5"/>
  <c r="AH277" i="5" s="1"/>
  <c r="T291" i="5"/>
  <c r="AH291" i="5" s="1"/>
  <c r="T186" i="5"/>
  <c r="AH186" i="5" s="1"/>
  <c r="T211" i="5"/>
  <c r="T219" i="5"/>
  <c r="AH219" i="5" s="1"/>
  <c r="T352" i="5"/>
  <c r="AH352" i="5" s="1"/>
  <c r="T332" i="5"/>
  <c r="AH332" i="5" s="1"/>
  <c r="T321" i="5"/>
  <c r="AH321" i="5" s="1"/>
  <c r="T263" i="5"/>
  <c r="AH263" i="5" s="1"/>
  <c r="T197" i="5"/>
  <c r="AH197" i="5" s="1"/>
  <c r="T174" i="5"/>
  <c r="AH174" i="5" s="1"/>
  <c r="T329" i="5"/>
  <c r="AH329" i="5" s="1"/>
  <c r="T328" i="5"/>
  <c r="AH328" i="5" s="1"/>
  <c r="AH287" i="5"/>
  <c r="AK287" i="5"/>
  <c r="T305" i="5"/>
  <c r="AH305" i="5" s="1"/>
  <c r="T229" i="5"/>
  <c r="AH229" i="5" s="1"/>
  <c r="T200" i="5"/>
  <c r="AH200" i="5" s="1"/>
  <c r="T185" i="5"/>
  <c r="AH185" i="5" s="1"/>
  <c r="T346" i="5"/>
  <c r="AH346" i="5" s="1"/>
  <c r="T228" i="5"/>
  <c r="AH228" i="5" s="1"/>
  <c r="T8" i="5"/>
  <c r="AH8" i="5" s="1"/>
  <c r="T353" i="5"/>
  <c r="AH353" i="5" s="1"/>
  <c r="T264" i="5"/>
  <c r="AH264" i="5" s="1"/>
  <c r="T312" i="5"/>
  <c r="AH312" i="5" s="1"/>
  <c r="T223" i="5"/>
  <c r="AH223" i="5" s="1"/>
  <c r="T221" i="5"/>
  <c r="AH221" i="5" s="1"/>
  <c r="T338" i="5"/>
  <c r="AH338" i="5" s="1"/>
  <c r="T354" i="5"/>
  <c r="AH354" i="5" s="1"/>
  <c r="T298" i="5"/>
  <c r="AH298" i="5" s="1"/>
  <c r="T215" i="5"/>
  <c r="AH215" i="5" s="1"/>
  <c r="T249" i="5"/>
  <c r="AH249" i="5" s="1"/>
  <c r="T244" i="5"/>
  <c r="AH244" i="5" s="1"/>
  <c r="T357" i="5"/>
  <c r="AH357" i="5" s="1"/>
  <c r="T355" i="5"/>
  <c r="AH355" i="5" s="1"/>
  <c r="T317" i="5"/>
  <c r="AH317" i="5" s="1"/>
  <c r="T314" i="5"/>
  <c r="AH314" i="5" s="1"/>
  <c r="T279" i="5"/>
  <c r="AH279" i="5" s="1"/>
  <c r="T269" i="5"/>
  <c r="AH269" i="5" s="1"/>
  <c r="T303" i="5"/>
  <c r="AH303" i="5" s="1"/>
  <c r="T281" i="5"/>
  <c r="AH281" i="5" s="1"/>
  <c r="T274" i="5"/>
  <c r="AH274" i="5" s="1"/>
  <c r="T276" i="5"/>
  <c r="AH276" i="5" s="1"/>
  <c r="T316" i="5"/>
  <c r="AH316" i="5" s="1"/>
  <c r="T283" i="5"/>
  <c r="AH283" i="5" s="1"/>
  <c r="T271" i="5"/>
  <c r="AH271" i="5" s="1"/>
  <c r="T267" i="5"/>
  <c r="AH267" i="5" s="1"/>
  <c r="T335" i="5"/>
  <c r="AH335" i="5" s="1"/>
  <c r="T289" i="5"/>
  <c r="T246" i="5"/>
  <c r="AH246" i="5" s="1"/>
  <c r="T210" i="5"/>
  <c r="T177" i="5"/>
  <c r="AH177" i="5" s="1"/>
  <c r="T292" i="5"/>
  <c r="AH292" i="5" s="1"/>
  <c r="T218" i="5"/>
  <c r="AH218" i="5" s="1"/>
  <c r="T195" i="5"/>
  <c r="AH195" i="5" s="1"/>
  <c r="T194" i="5"/>
  <c r="AH194" i="5" s="1"/>
  <c r="T231" i="5"/>
  <c r="AH231" i="5" s="1"/>
  <c r="T226" i="5"/>
  <c r="AH226" i="5" s="1"/>
  <c r="T320" i="5"/>
  <c r="AH320" i="5" s="1"/>
  <c r="T285" i="5"/>
  <c r="AK286" i="5"/>
  <c r="AH286" i="5"/>
  <c r="T347" i="5"/>
  <c r="AH347" i="5" s="1"/>
  <c r="T273" i="5"/>
  <c r="AH273" i="5" s="1"/>
  <c r="T311" i="5"/>
  <c r="AH311" i="5" s="1"/>
  <c r="T345" i="5"/>
  <c r="AH345" i="5" s="1"/>
  <c r="T344" i="5"/>
  <c r="AH344" i="5" s="1"/>
  <c r="T227" i="5"/>
  <c r="AH227" i="5" s="1"/>
  <c r="T184" i="5"/>
  <c r="AH184" i="5" s="1"/>
  <c r="T7" i="5"/>
  <c r="AH7" i="5" s="1"/>
  <c r="T6" i="5"/>
  <c r="AH6" i="5" s="1"/>
  <c r="T5" i="5"/>
  <c r="AH5" i="5" s="1"/>
  <c r="T259" i="5"/>
  <c r="AH259" i="5" s="1"/>
  <c r="T241" i="5"/>
  <c r="AH241" i="5" s="1"/>
  <c r="T14" i="5"/>
  <c r="AH14" i="5" s="1"/>
  <c r="T248" i="5"/>
  <c r="AH248" i="5" s="1"/>
  <c r="T243" i="5"/>
  <c r="AH243" i="5" s="1"/>
  <c r="T240" i="5"/>
  <c r="AH240" i="5" s="1"/>
  <c r="T251" i="5"/>
  <c r="AH251" i="5" s="1"/>
  <c r="T222" i="5"/>
  <c r="AH222" i="5" s="1"/>
  <c r="T70" i="5"/>
  <c r="T284" i="5"/>
  <c r="AH284" i="5" s="1"/>
  <c r="T238" i="5"/>
  <c r="AH238" i="5" s="1"/>
  <c r="T331" i="5"/>
  <c r="AH331" i="5" s="1"/>
  <c r="T214" i="5"/>
  <c r="AH214" i="5" s="1"/>
  <c r="B4" i="21"/>
  <c r="C551" i="19"/>
  <c r="D551" i="19"/>
  <c r="G551" i="19"/>
  <c r="H551" i="19" s="1"/>
  <c r="B552" i="19"/>
  <c r="M11" i="20"/>
  <c r="K11" i="20"/>
  <c r="M4" i="20"/>
  <c r="K4" i="20"/>
  <c r="AQ2" i="1"/>
  <c r="AR2" i="1" s="1"/>
  <c r="AS2" i="1" s="1"/>
  <c r="AT2" i="1" s="1"/>
  <c r="AU2" i="1" s="1"/>
  <c r="AV2" i="1" s="1"/>
  <c r="AW2" i="1" s="1"/>
  <c r="AX2" i="1" s="1"/>
  <c r="AY2" i="1" s="1"/>
  <c r="AZ2" i="1" s="1"/>
  <c r="BA2" i="1" s="1"/>
  <c r="BB2" i="1" s="1"/>
  <c r="BC2" i="1" s="1"/>
  <c r="BD2" i="1" s="1"/>
  <c r="BE2" i="1" s="1"/>
  <c r="BF2" i="1" s="1"/>
  <c r="BG2" i="1" s="1"/>
  <c r="BH2" i="1" s="1"/>
  <c r="BI2" i="1" s="1"/>
  <c r="BJ2" i="1" s="1"/>
  <c r="BK2" i="1" s="1"/>
  <c r="BL2" i="1" s="1"/>
  <c r="BM2" i="1" s="1"/>
  <c r="BN2" i="1" s="1"/>
  <c r="BO2" i="1" s="1"/>
  <c r="BP2" i="1" s="1"/>
  <c r="BQ2" i="1" s="1"/>
  <c r="BR2" i="1" s="1"/>
  <c r="BS2" i="1" s="1"/>
  <c r="BT2" i="1" s="1"/>
  <c r="BU2" i="1" s="1"/>
  <c r="BV2" i="1" s="1"/>
  <c r="BY2" i="1" s="1"/>
  <c r="BZ2" i="1" s="1"/>
  <c r="CA2" i="1" s="1"/>
  <c r="CB2" i="1" s="1"/>
  <c r="CC2" i="1" s="1"/>
  <c r="CD2" i="1" s="1"/>
  <c r="CE2" i="1" s="1"/>
  <c r="CF2" i="1" s="1"/>
  <c r="CG2" i="1" s="1"/>
  <c r="CH2" i="1" s="1"/>
  <c r="CI2" i="1" s="1"/>
  <c r="CJ2" i="1" s="1"/>
  <c r="CK2" i="1" s="1"/>
  <c r="CL2" i="1" s="1"/>
  <c r="CM2" i="1" s="1"/>
  <c r="CN2" i="1" s="1"/>
  <c r="CO2" i="1" s="1"/>
  <c r="CP2" i="1" s="1"/>
  <c r="CQ2" i="1" s="1"/>
  <c r="CR2" i="1" s="1"/>
  <c r="CS2" i="1" s="1"/>
  <c r="CT2" i="1" s="1"/>
  <c r="CU2" i="1" s="1"/>
  <c r="CV2" i="1" s="1"/>
  <c r="CW2" i="1" s="1"/>
  <c r="CX2" i="1" s="1"/>
  <c r="CY2" i="1" s="1"/>
  <c r="CZ2" i="1" s="1"/>
  <c r="DA2" i="1" s="1"/>
  <c r="DB2" i="1" s="1"/>
  <c r="DC2" i="1" s="1"/>
  <c r="DD2" i="1" s="1"/>
  <c r="DE2" i="1" s="1"/>
  <c r="DF2" i="1" s="1"/>
  <c r="DG2" i="1" s="1"/>
  <c r="DH2" i="1" s="1"/>
  <c r="DI2" i="1" s="1"/>
  <c r="DJ2" i="1" s="1"/>
  <c r="DK2" i="1" s="1"/>
  <c r="DL2" i="1" s="1"/>
  <c r="DM2" i="1" s="1"/>
  <c r="DN2" i="1" s="1"/>
  <c r="DO2" i="1" s="1"/>
  <c r="DP2" i="1" s="1"/>
  <c r="DQ2" i="1" s="1"/>
  <c r="DR2" i="1" s="1"/>
  <c r="DS2" i="1" s="1"/>
  <c r="DT2" i="1" s="1"/>
  <c r="DU2" i="1" s="1"/>
  <c r="DV2" i="1" s="1"/>
  <c r="DW2" i="1" s="1"/>
  <c r="DX2" i="1" s="1"/>
  <c r="DY2" i="1" s="1"/>
  <c r="DZ2" i="1" s="1"/>
  <c r="EA2" i="1" s="1"/>
  <c r="EB2" i="1" s="1"/>
  <c r="EC2" i="1" s="1"/>
  <c r="ED2" i="1" s="1"/>
  <c r="EE2" i="1" s="1"/>
  <c r="EF2" i="1" s="1"/>
  <c r="EG2" i="1" s="1"/>
  <c r="EH2" i="1" s="1"/>
  <c r="EI2" i="1" s="1"/>
  <c r="EJ2" i="1" s="1"/>
  <c r="EK2" i="1" s="1"/>
  <c r="EL2" i="1" s="1"/>
  <c r="EM2" i="1" s="1"/>
  <c r="EN2" i="1" s="1"/>
  <c r="EO2" i="1" s="1"/>
  <c r="EP2" i="1" s="1"/>
  <c r="EQ2" i="1" s="1"/>
  <c r="ER2" i="1" s="1"/>
  <c r="ES2" i="1" s="1"/>
  <c r="ET2" i="1" s="1"/>
  <c r="EU2" i="1" s="1"/>
  <c r="EV2" i="1" s="1"/>
  <c r="EW2" i="1" s="1"/>
  <c r="EX2" i="1" s="1"/>
  <c r="EY2" i="1" s="1"/>
  <c r="EZ2" i="1" s="1"/>
  <c r="FA2" i="1" s="1"/>
  <c r="FB2" i="1" s="1"/>
  <c r="FC2" i="1" s="1"/>
  <c r="FD2" i="1" s="1"/>
  <c r="FE2" i="1" s="1"/>
  <c r="FF2" i="1" s="1"/>
  <c r="FG2" i="1" s="1"/>
  <c r="FH2" i="1" s="1"/>
  <c r="FI2" i="1" s="1"/>
  <c r="FJ2" i="1" s="1"/>
  <c r="FK2" i="1" s="1"/>
  <c r="FL2" i="1" s="1"/>
  <c r="FM2" i="1" s="1"/>
  <c r="FN2" i="1" s="1"/>
  <c r="FO2" i="1" s="1"/>
  <c r="FP2" i="1" s="1"/>
  <c r="FQ2" i="1" s="1"/>
  <c r="FR2" i="1" s="1"/>
  <c r="FS2" i="1" s="1"/>
  <c r="FT2" i="1" s="1"/>
  <c r="FU2" i="1" s="1"/>
  <c r="FV2" i="1" s="1"/>
  <c r="FW2" i="1" s="1"/>
  <c r="FX2" i="1" s="1"/>
  <c r="FY2" i="1" s="1"/>
  <c r="FZ2" i="1" s="1"/>
  <c r="GA2" i="1" s="1"/>
  <c r="GB2" i="1" s="1"/>
  <c r="GC2" i="1" s="1"/>
  <c r="GD2" i="1" s="1"/>
  <c r="GE2" i="1" s="1"/>
  <c r="GF2" i="1" s="1"/>
  <c r="GG2" i="1" s="1"/>
  <c r="GH2" i="1" s="1"/>
  <c r="GI2" i="1" s="1"/>
  <c r="GJ2" i="1" s="1"/>
  <c r="GK2" i="1" s="1"/>
  <c r="GL2" i="1" s="1"/>
  <c r="GM2" i="1" s="1"/>
  <c r="GN2" i="1" s="1"/>
  <c r="GO2" i="1" s="1"/>
  <c r="GP2" i="1" s="1"/>
  <c r="GQ2" i="1" s="1"/>
  <c r="GR2" i="1" s="1"/>
  <c r="GS2" i="1" s="1"/>
  <c r="GT2" i="1" s="1"/>
  <c r="GU2" i="1" s="1"/>
  <c r="GV2" i="1" s="1"/>
  <c r="GW2" i="1" s="1"/>
  <c r="GX2" i="1" s="1"/>
  <c r="GY2" i="1" s="1"/>
  <c r="GZ2" i="1" s="1"/>
  <c r="HA2" i="1" s="1"/>
  <c r="HB2" i="1" s="1"/>
  <c r="HC2" i="1" s="1"/>
  <c r="HD2" i="1" s="1"/>
  <c r="HE2" i="1" s="1"/>
  <c r="HF2" i="1" s="1"/>
  <c r="HG2" i="1" s="1"/>
  <c r="HH2" i="1" s="1"/>
  <c r="HI2" i="1" s="1"/>
  <c r="HJ2" i="1" s="1"/>
  <c r="HK2" i="1" s="1"/>
  <c r="HL2" i="1" s="1"/>
  <c r="HM2" i="1" s="1"/>
  <c r="HN2" i="1" s="1"/>
  <c r="HO2" i="1" s="1"/>
  <c r="HP2" i="1" s="1"/>
  <c r="HQ2" i="1" s="1"/>
  <c r="HR2" i="1" s="1"/>
  <c r="HS2" i="1" s="1"/>
  <c r="HT2" i="1" s="1"/>
  <c r="C413" i="3"/>
  <c r="G205" i="19"/>
  <c r="H205" i="19" s="1"/>
  <c r="B206" i="19"/>
  <c r="D205" i="19"/>
  <c r="D190" i="18"/>
  <c r="B191" i="18"/>
  <c r="G190" i="18"/>
  <c r="H190" i="18" s="1"/>
  <c r="V6" i="7"/>
  <c r="V5" i="7"/>
  <c r="B5" i="12"/>
  <c r="B8" i="20"/>
  <c r="B7" i="20" s="1"/>
  <c r="AH289" i="5" l="1"/>
  <c r="AK289" i="5"/>
  <c r="AH285" i="5"/>
  <c r="AK285" i="5"/>
  <c r="D552" i="19"/>
  <c r="G552" i="19"/>
  <c r="H552" i="19" s="1"/>
  <c r="C552" i="19"/>
  <c r="B553" i="19"/>
  <c r="HU2" i="1"/>
  <c r="HV2" i="1" s="1"/>
  <c r="HW2" i="1" s="1"/>
  <c r="HX2" i="1" s="1"/>
  <c r="HY2" i="1" s="1"/>
  <c r="HZ2" i="1" s="1"/>
  <c r="IA2" i="1" s="1"/>
  <c r="IB2" i="1" s="1"/>
  <c r="IC2" i="1" s="1"/>
  <c r="ID2" i="1" s="1"/>
  <c r="IE2" i="1" s="1"/>
  <c r="IF2" i="1" s="1"/>
  <c r="IG2" i="1" s="1"/>
  <c r="IH2" i="1" s="1"/>
  <c r="II2" i="1" s="1"/>
  <c r="IJ2" i="1" s="1"/>
  <c r="IK2" i="1" s="1"/>
  <c r="IL2" i="1" s="1"/>
  <c r="IM2" i="1" s="1"/>
  <c r="IN2" i="1" s="1"/>
  <c r="IO2" i="1" s="1"/>
  <c r="IP2" i="1" s="1"/>
  <c r="IQ2" i="1" s="1"/>
  <c r="IR2" i="1" s="1"/>
  <c r="IS2" i="1" s="1"/>
  <c r="IT2" i="1" s="1"/>
  <c r="IU2" i="1" s="1"/>
  <c r="IV2" i="1" s="1"/>
  <c r="IW2" i="1" s="1"/>
  <c r="IX2" i="1" s="1"/>
  <c r="IY2" i="1" s="1"/>
  <c r="IZ2" i="1" s="1"/>
  <c r="B207" i="19"/>
  <c r="D206" i="19"/>
  <c r="G206" i="19"/>
  <c r="H206" i="19" s="1"/>
  <c r="B192" i="18"/>
  <c r="D191" i="18"/>
  <c r="G191" i="18"/>
  <c r="H191" i="18" s="1"/>
  <c r="B11" i="20"/>
  <c r="B6" i="12"/>
  <c r="C553" i="19" l="1"/>
  <c r="B554" i="19"/>
  <c r="D553" i="19"/>
  <c r="G553" i="19"/>
  <c r="H553" i="19" s="1"/>
  <c r="JA2" i="1"/>
  <c r="JB2" i="1" s="1"/>
  <c r="JC2" i="1" s="1"/>
  <c r="JD2" i="1" s="1"/>
  <c r="JE2" i="1" s="1"/>
  <c r="B193" i="18"/>
  <c r="D192" i="18"/>
  <c r="G192" i="18"/>
  <c r="H192" i="18" s="1"/>
  <c r="D207" i="19"/>
  <c r="B208" i="19"/>
  <c r="G207" i="19"/>
  <c r="H207" i="19" s="1"/>
  <c r="B7" i="12"/>
  <c r="B555" i="19" l="1"/>
  <c r="G554" i="19"/>
  <c r="H554" i="19" s="1"/>
  <c r="C554" i="19"/>
  <c r="D554" i="19"/>
  <c r="JF2" i="1"/>
  <c r="JG2" i="1" s="1"/>
  <c r="JH2" i="1" s="1"/>
  <c r="JI2" i="1" s="1"/>
  <c r="JJ2" i="1" s="1"/>
  <c r="JK2" i="1" s="1"/>
  <c r="JL2" i="1" s="1"/>
  <c r="JM2" i="1" s="1"/>
  <c r="JN2" i="1" s="1"/>
  <c r="JO2" i="1" s="1"/>
  <c r="JP2" i="1" s="1"/>
  <c r="JQ2" i="1" s="1"/>
  <c r="JR2" i="1" s="1"/>
  <c r="JS2" i="1" s="1"/>
  <c r="JT2" i="1" s="1"/>
  <c r="JU2" i="1" s="1"/>
  <c r="JV2" i="1" s="1"/>
  <c r="JW2" i="1" s="1"/>
  <c r="JX2" i="1" s="1"/>
  <c r="JY2" i="1" s="1"/>
  <c r="JZ2" i="1" s="1"/>
  <c r="KA2" i="1" s="1"/>
  <c r="KB2" i="1" s="1"/>
  <c r="KC2" i="1" s="1"/>
  <c r="KD2" i="1" s="1"/>
  <c r="KE2" i="1" s="1"/>
  <c r="KF2" i="1" s="1"/>
  <c r="KG2" i="1" s="1"/>
  <c r="KH2" i="1" s="1"/>
  <c r="KI2" i="1" s="1"/>
  <c r="KJ2" i="1" s="1"/>
  <c r="KK2" i="1" s="1"/>
  <c r="KL2" i="1" s="1"/>
  <c r="KM2" i="1" s="1"/>
  <c r="KN2" i="1" s="1"/>
  <c r="KO2" i="1" s="1"/>
  <c r="KP2" i="1" s="1"/>
  <c r="KQ2" i="1" s="1"/>
  <c r="G208" i="19"/>
  <c r="H208" i="19" s="1"/>
  <c r="B209" i="19"/>
  <c r="D208" i="19"/>
  <c r="G193" i="18"/>
  <c r="H193" i="18" s="1"/>
  <c r="B194" i="18"/>
  <c r="D193" i="18"/>
  <c r="B8" i="12"/>
  <c r="C555" i="19" l="1"/>
  <c r="D555" i="19"/>
  <c r="G555" i="19"/>
  <c r="H555" i="19" s="1"/>
  <c r="B556" i="19"/>
  <c r="B210" i="19"/>
  <c r="D209" i="19"/>
  <c r="G209" i="19"/>
  <c r="H209" i="19" s="1"/>
  <c r="B195" i="18"/>
  <c r="G194" i="18"/>
  <c r="H194" i="18" s="1"/>
  <c r="D194" i="18"/>
  <c r="B9" i="12"/>
  <c r="D556" i="19" l="1"/>
  <c r="G556" i="19"/>
  <c r="H556" i="19" s="1"/>
  <c r="B557" i="19"/>
  <c r="C556" i="19"/>
  <c r="G195" i="18"/>
  <c r="H195" i="18" s="1"/>
  <c r="B196" i="18"/>
  <c r="D195" i="18"/>
  <c r="D210" i="19"/>
  <c r="B211" i="19"/>
  <c r="G210" i="19"/>
  <c r="H210" i="19" s="1"/>
  <c r="B10" i="12"/>
  <c r="C557" i="19" l="1"/>
  <c r="B558" i="19"/>
  <c r="D557" i="19"/>
  <c r="G557" i="19"/>
  <c r="H557" i="19" s="1"/>
  <c r="G211" i="19"/>
  <c r="H211" i="19" s="1"/>
  <c r="B212" i="19"/>
  <c r="D211" i="19"/>
  <c r="G196" i="18"/>
  <c r="H196" i="18" s="1"/>
  <c r="B197" i="18"/>
  <c r="D196" i="18"/>
  <c r="B11" i="12"/>
  <c r="B559" i="19" l="1"/>
  <c r="D558" i="19"/>
  <c r="G558" i="19"/>
  <c r="H558" i="19" s="1"/>
  <c r="C558" i="19"/>
  <c r="B198" i="18"/>
  <c r="G197" i="18"/>
  <c r="H197" i="18" s="1"/>
  <c r="D197" i="18"/>
  <c r="B213" i="19"/>
  <c r="D212" i="19"/>
  <c r="G212" i="19"/>
  <c r="H212" i="19" s="1"/>
  <c r="B12" i="12"/>
  <c r="C559" i="19" l="1"/>
  <c r="D559" i="19"/>
  <c r="G559" i="19"/>
  <c r="H559" i="19" s="1"/>
  <c r="B560" i="19"/>
  <c r="D213" i="19"/>
  <c r="B214" i="19"/>
  <c r="G213" i="19"/>
  <c r="H213" i="19" s="1"/>
  <c r="G198" i="18"/>
  <c r="H198" i="18" s="1"/>
  <c r="B199" i="18"/>
  <c r="D198" i="18"/>
  <c r="B13" i="12"/>
  <c r="D560" i="19" l="1"/>
  <c r="G560" i="19"/>
  <c r="H560" i="19" s="1"/>
  <c r="C560" i="19"/>
  <c r="D199" i="18"/>
  <c r="B200" i="18"/>
  <c r="G199" i="18"/>
  <c r="H199" i="18" s="1"/>
  <c r="G214" i="19"/>
  <c r="H214" i="19" s="1"/>
  <c r="B215" i="19"/>
  <c r="D214" i="19"/>
  <c r="B14" i="12"/>
  <c r="B216" i="19" l="1"/>
  <c r="D215" i="19"/>
  <c r="G215" i="19"/>
  <c r="H215" i="19" s="1"/>
  <c r="B201" i="18"/>
  <c r="D200" i="18"/>
  <c r="G200" i="18"/>
  <c r="H200" i="18" s="1"/>
  <c r="B15" i="12"/>
  <c r="D216" i="19" l="1"/>
  <c r="B217" i="19"/>
  <c r="G216" i="19"/>
  <c r="H216" i="19" s="1"/>
  <c r="G201" i="18"/>
  <c r="H201" i="18" s="1"/>
  <c r="B202" i="18"/>
  <c r="D201" i="18"/>
  <c r="B16" i="12"/>
  <c r="G202" i="18" l="1"/>
  <c r="H202" i="18" s="1"/>
  <c r="B203" i="18"/>
  <c r="D202" i="18"/>
  <c r="G217" i="19"/>
  <c r="H217" i="19" s="1"/>
  <c r="B218" i="19"/>
  <c r="D217" i="19"/>
  <c r="B17" i="12"/>
  <c r="B219" i="19" l="1"/>
  <c r="D218" i="19"/>
  <c r="G218" i="19"/>
  <c r="H218" i="19" s="1"/>
  <c r="B204" i="18"/>
  <c r="G203" i="18"/>
  <c r="H203" i="18" s="1"/>
  <c r="D203" i="18"/>
  <c r="B18" i="12"/>
  <c r="G204" i="18" l="1"/>
  <c r="H204" i="18" s="1"/>
  <c r="B205" i="18"/>
  <c r="D204" i="18"/>
  <c r="G219" i="19"/>
  <c r="H219" i="19" s="1"/>
  <c r="B220" i="19"/>
  <c r="D219" i="19"/>
  <c r="B19" i="12"/>
  <c r="D205" i="18" l="1"/>
  <c r="B206" i="18"/>
  <c r="G205" i="18"/>
  <c r="H205" i="18" s="1"/>
  <c r="D220" i="19"/>
  <c r="G220" i="19"/>
  <c r="H220" i="19" s="1"/>
  <c r="B221" i="19"/>
  <c r="B20" i="12"/>
  <c r="B222" i="19" l="1"/>
  <c r="D221" i="19"/>
  <c r="G221" i="19"/>
  <c r="H221" i="19" s="1"/>
  <c r="B207" i="18"/>
  <c r="G206" i="18"/>
  <c r="H206" i="18" s="1"/>
  <c r="D206" i="18"/>
  <c r="B21" i="12"/>
  <c r="G207" i="18" l="1"/>
  <c r="H207" i="18" s="1"/>
  <c r="B208" i="18"/>
  <c r="D207" i="18"/>
  <c r="D222" i="19"/>
  <c r="B223" i="19"/>
  <c r="G222" i="19"/>
  <c r="H222" i="19" s="1"/>
  <c r="B22" i="12"/>
  <c r="D223" i="19" l="1"/>
  <c r="G223" i="19"/>
  <c r="H223" i="19" s="1"/>
  <c r="B224" i="19"/>
  <c r="D208" i="18"/>
  <c r="B209" i="18"/>
  <c r="G208" i="18"/>
  <c r="H208" i="18" s="1"/>
  <c r="B23" i="12"/>
  <c r="B210" i="18" l="1"/>
  <c r="D209" i="18"/>
  <c r="G209" i="18"/>
  <c r="H209" i="18" s="1"/>
  <c r="B225" i="19"/>
  <c r="D224" i="19"/>
  <c r="G224" i="19"/>
  <c r="H224" i="19" s="1"/>
  <c r="B24" i="12"/>
  <c r="D225" i="19" l="1"/>
  <c r="B226" i="19"/>
  <c r="G225" i="19"/>
  <c r="H225" i="19" s="1"/>
  <c r="B211" i="18"/>
  <c r="D210" i="18"/>
  <c r="G210" i="18"/>
  <c r="H210" i="18" s="1"/>
  <c r="B25" i="12"/>
  <c r="D226" i="19" l="1"/>
  <c r="G226" i="19"/>
  <c r="H226" i="19" s="1"/>
  <c r="B227" i="19"/>
  <c r="D211" i="18"/>
  <c r="B212" i="18"/>
  <c r="G211" i="18"/>
  <c r="H211" i="18" s="1"/>
  <c r="B26" i="12"/>
  <c r="B228" i="19" l="1"/>
  <c r="D227" i="19"/>
  <c r="G227" i="19"/>
  <c r="H227" i="19" s="1"/>
  <c r="B213" i="18"/>
  <c r="D212" i="18"/>
  <c r="G212" i="18"/>
  <c r="H212" i="18" s="1"/>
  <c r="B27" i="12"/>
  <c r="B214" i="18" l="1"/>
  <c r="D213" i="18"/>
  <c r="G213" i="18"/>
  <c r="H213" i="18" s="1"/>
  <c r="D228" i="19"/>
  <c r="B229" i="19"/>
  <c r="G228" i="19"/>
  <c r="H228" i="19" s="1"/>
  <c r="B28" i="12"/>
  <c r="D214" i="18" l="1"/>
  <c r="B215" i="18"/>
  <c r="G214" i="18"/>
  <c r="H214" i="18" s="1"/>
  <c r="D229" i="19"/>
  <c r="G229" i="19"/>
  <c r="H229" i="19" s="1"/>
  <c r="B230" i="19"/>
  <c r="B29" i="12"/>
  <c r="B231" i="19" l="1"/>
  <c r="D230" i="19"/>
  <c r="G230" i="19"/>
  <c r="H230" i="19" s="1"/>
  <c r="B216" i="18"/>
  <c r="D215" i="18"/>
  <c r="G215" i="18"/>
  <c r="H215" i="18" s="1"/>
  <c r="B30" i="12"/>
  <c r="D216" i="18" l="1"/>
  <c r="B217" i="18"/>
  <c r="G216" i="18"/>
  <c r="H216" i="18" s="1"/>
  <c r="D231" i="19"/>
  <c r="B232" i="19"/>
  <c r="G231" i="19"/>
  <c r="H231" i="19" s="1"/>
  <c r="B31" i="12"/>
  <c r="D232" i="19" l="1"/>
  <c r="G232" i="19"/>
  <c r="H232" i="19" s="1"/>
  <c r="B233" i="19"/>
  <c r="G217" i="18"/>
  <c r="H217" i="18" s="1"/>
  <c r="B218" i="18"/>
  <c r="D217" i="18"/>
  <c r="B32" i="12"/>
  <c r="B219" i="18" l="1"/>
  <c r="D218" i="18"/>
  <c r="G218" i="18"/>
  <c r="H218" i="18" s="1"/>
  <c r="B234" i="19"/>
  <c r="D233" i="19"/>
  <c r="G233" i="19"/>
  <c r="H233" i="19" s="1"/>
  <c r="B33" i="12"/>
  <c r="D219" i="18" l="1"/>
  <c r="B220" i="18"/>
  <c r="G219" i="18"/>
  <c r="H219" i="18" s="1"/>
  <c r="D234" i="19"/>
  <c r="B235" i="19"/>
  <c r="G234" i="19"/>
  <c r="H234" i="19" s="1"/>
  <c r="B34" i="12"/>
  <c r="D235" i="19" l="1"/>
  <c r="G235" i="19"/>
  <c r="H235" i="19" s="1"/>
  <c r="B236" i="19"/>
  <c r="D220" i="18"/>
  <c r="G220" i="18"/>
  <c r="H220" i="18" s="1"/>
  <c r="B221" i="18"/>
  <c r="B35" i="12"/>
  <c r="B237" i="19" l="1"/>
  <c r="D236" i="19"/>
  <c r="G236" i="19"/>
  <c r="H236" i="19" s="1"/>
  <c r="B222" i="18"/>
  <c r="D221" i="18"/>
  <c r="G221" i="18"/>
  <c r="H221" i="18" s="1"/>
  <c r="B36" i="12"/>
  <c r="B223" i="18" l="1"/>
  <c r="D222" i="18"/>
  <c r="G222" i="18"/>
  <c r="H222" i="18" s="1"/>
  <c r="D237" i="19"/>
  <c r="B238" i="19"/>
  <c r="G237" i="19"/>
  <c r="H237" i="19" s="1"/>
  <c r="B37" i="12"/>
  <c r="D223" i="18" l="1"/>
  <c r="B224" i="18"/>
  <c r="G223" i="18"/>
  <c r="H223" i="18" s="1"/>
  <c r="D238" i="19"/>
  <c r="G238" i="19"/>
  <c r="H238" i="19" s="1"/>
  <c r="B239" i="19"/>
  <c r="B38" i="12"/>
  <c r="B240" i="19" l="1"/>
  <c r="G239" i="19"/>
  <c r="H239" i="19" s="1"/>
  <c r="D239" i="19"/>
  <c r="B225" i="18"/>
  <c r="D224" i="18"/>
  <c r="G224" i="18"/>
  <c r="H224" i="18" s="1"/>
  <c r="B39" i="12"/>
  <c r="B241" i="19" l="1"/>
  <c r="D240" i="19"/>
  <c r="G240" i="19"/>
  <c r="H240" i="19" s="1"/>
  <c r="B226" i="18"/>
  <c r="D225" i="18"/>
  <c r="G225" i="18"/>
  <c r="H225" i="18" s="1"/>
  <c r="B40" i="12"/>
  <c r="D241" i="19" l="1"/>
  <c r="G241" i="19"/>
  <c r="H241" i="19" s="1"/>
  <c r="B242" i="19"/>
  <c r="D226" i="18"/>
  <c r="B227" i="18"/>
  <c r="G226" i="18"/>
  <c r="H226" i="18" s="1"/>
  <c r="B41" i="12"/>
  <c r="B228" i="18" l="1"/>
  <c r="D227" i="18"/>
  <c r="G227" i="18"/>
  <c r="H227" i="18" s="1"/>
  <c r="B243" i="19"/>
  <c r="G242" i="19"/>
  <c r="H242" i="19" s="1"/>
  <c r="D242" i="19"/>
  <c r="B42" i="12"/>
  <c r="B244" i="19" l="1"/>
  <c r="D243" i="19"/>
  <c r="G243" i="19"/>
  <c r="H243" i="19" s="1"/>
  <c r="B229" i="18"/>
  <c r="D228" i="18"/>
  <c r="G228" i="18"/>
  <c r="H228" i="18" s="1"/>
  <c r="B43" i="12"/>
  <c r="D229" i="18" l="1"/>
  <c r="B230" i="18"/>
  <c r="G229" i="18"/>
  <c r="H229" i="18" s="1"/>
  <c r="D244" i="19"/>
  <c r="G244" i="19"/>
  <c r="H244" i="19" s="1"/>
  <c r="B245" i="19"/>
  <c r="B44" i="12"/>
  <c r="B231" i="18" l="1"/>
  <c r="D230" i="18"/>
  <c r="G230" i="18"/>
  <c r="H230" i="18" s="1"/>
  <c r="B246" i="19"/>
  <c r="D245" i="19"/>
  <c r="G245" i="19"/>
  <c r="H245" i="19" s="1"/>
  <c r="B45" i="12"/>
  <c r="B232" i="18" l="1"/>
  <c r="D231" i="18"/>
  <c r="G231" i="18"/>
  <c r="H231" i="18" s="1"/>
  <c r="G246" i="19"/>
  <c r="H246" i="19" s="1"/>
  <c r="B247" i="19"/>
  <c r="D246" i="19"/>
  <c r="B46" i="12"/>
  <c r="D247" i="19" l="1"/>
  <c r="B248" i="19"/>
  <c r="G247" i="19"/>
  <c r="H247" i="19" s="1"/>
  <c r="D232" i="18"/>
  <c r="B233" i="18"/>
  <c r="G232" i="18"/>
  <c r="H232" i="18" s="1"/>
  <c r="B47" i="12"/>
  <c r="B249" i="19" l="1"/>
  <c r="D248" i="19"/>
  <c r="G248" i="19"/>
  <c r="H248" i="19" s="1"/>
  <c r="B234" i="18"/>
  <c r="D233" i="18"/>
  <c r="G233" i="18"/>
  <c r="H233" i="18" s="1"/>
  <c r="B48" i="12"/>
  <c r="B235" i="18" l="1"/>
  <c r="D234" i="18"/>
  <c r="G234" i="18"/>
  <c r="H234" i="18" s="1"/>
  <c r="G249" i="19"/>
  <c r="H249" i="19" s="1"/>
  <c r="B250" i="19"/>
  <c r="D249" i="19"/>
  <c r="B49" i="12"/>
  <c r="D250" i="19" l="1"/>
  <c r="B251" i="19"/>
  <c r="G250" i="19"/>
  <c r="H250" i="19" s="1"/>
  <c r="D235" i="18"/>
  <c r="B236" i="18"/>
  <c r="G235" i="18"/>
  <c r="H235" i="18" s="1"/>
  <c r="B50" i="12"/>
  <c r="B252" i="19" l="1"/>
  <c r="D251" i="19"/>
  <c r="G251" i="19"/>
  <c r="H251" i="19" s="1"/>
  <c r="B237" i="18"/>
  <c r="D236" i="18"/>
  <c r="G236" i="18"/>
  <c r="H236" i="18" s="1"/>
  <c r="B51" i="12"/>
  <c r="G252" i="19" l="1"/>
  <c r="H252" i="19" s="1"/>
  <c r="B253" i="19"/>
  <c r="D252" i="19"/>
  <c r="B238" i="18"/>
  <c r="D237" i="18"/>
  <c r="G237" i="18"/>
  <c r="H237" i="18" s="1"/>
  <c r="B52" i="12"/>
  <c r="D253" i="19" l="1"/>
  <c r="B254" i="19"/>
  <c r="G253" i="19"/>
  <c r="H253" i="19" s="1"/>
  <c r="D238" i="18"/>
  <c r="B239" i="18"/>
  <c r="G238" i="18"/>
  <c r="H238" i="18" s="1"/>
  <c r="B53" i="12"/>
  <c r="B240" i="18" l="1"/>
  <c r="D239" i="18"/>
  <c r="G239" i="18"/>
  <c r="H239" i="18" s="1"/>
  <c r="B255" i="19"/>
  <c r="D254" i="19"/>
  <c r="G254" i="19"/>
  <c r="H254" i="19" s="1"/>
  <c r="G255" i="19" l="1"/>
  <c r="H255" i="19" s="1"/>
  <c r="B256" i="19"/>
  <c r="D255" i="19"/>
  <c r="B241" i="18"/>
  <c r="D240" i="18"/>
  <c r="G240" i="18"/>
  <c r="H240" i="18" s="1"/>
  <c r="D241" i="18" l="1"/>
  <c r="B242" i="18"/>
  <c r="G241" i="18"/>
  <c r="H241" i="18" s="1"/>
  <c r="D256" i="19"/>
  <c r="B257" i="19"/>
  <c r="G256" i="19"/>
  <c r="H256" i="19" s="1"/>
  <c r="B243" i="18" l="1"/>
  <c r="D242" i="18"/>
  <c r="G242" i="18"/>
  <c r="H242" i="18" s="1"/>
  <c r="B258" i="19"/>
  <c r="D257" i="19"/>
  <c r="G257" i="19"/>
  <c r="H257" i="19" s="1"/>
  <c r="G258" i="19" l="1"/>
  <c r="H258" i="19" s="1"/>
  <c r="B259" i="19"/>
  <c r="D258" i="19"/>
  <c r="B244" i="18"/>
  <c r="D243" i="18"/>
  <c r="G243" i="18"/>
  <c r="H243" i="18" s="1"/>
  <c r="D259" i="19" l="1"/>
  <c r="B260" i="19"/>
  <c r="G259" i="19"/>
  <c r="H259" i="19" s="1"/>
  <c r="D244" i="18"/>
  <c r="B245" i="18"/>
  <c r="G244" i="18"/>
  <c r="H244" i="18" s="1"/>
  <c r="B261" i="19" l="1"/>
  <c r="D260" i="19"/>
  <c r="G260" i="19"/>
  <c r="H260" i="19" s="1"/>
  <c r="B246" i="18"/>
  <c r="D245" i="18"/>
  <c r="G245" i="18"/>
  <c r="H245" i="18" s="1"/>
  <c r="G261" i="19" l="1"/>
  <c r="H261" i="19" s="1"/>
  <c r="B262" i="19"/>
  <c r="D261" i="19"/>
  <c r="B247" i="18"/>
  <c r="D246" i="18"/>
  <c r="G246" i="18"/>
  <c r="H246" i="18" s="1"/>
  <c r="D247" i="18" l="1"/>
  <c r="B248" i="18"/>
  <c r="G247" i="18"/>
  <c r="H247" i="18" s="1"/>
  <c r="D262" i="19"/>
  <c r="B263" i="19"/>
  <c r="G262" i="19"/>
  <c r="H262" i="19" s="1"/>
  <c r="B264" i="19" l="1"/>
  <c r="D263" i="19"/>
  <c r="G263" i="19"/>
  <c r="H263" i="19" s="1"/>
  <c r="B249" i="18"/>
  <c r="D248" i="18"/>
  <c r="G248" i="18"/>
  <c r="H248" i="18" s="1"/>
  <c r="B265" i="19" l="1"/>
  <c r="G264" i="19"/>
  <c r="H264" i="19" s="1"/>
  <c r="D264" i="19"/>
  <c r="D249" i="18"/>
  <c r="B250" i="18"/>
  <c r="G249" i="18"/>
  <c r="H249" i="18" s="1"/>
  <c r="D250" i="18" l="1"/>
  <c r="B251" i="18"/>
  <c r="G250" i="18"/>
  <c r="H250" i="18" s="1"/>
  <c r="B266" i="19"/>
  <c r="D265" i="19"/>
  <c r="G265" i="19"/>
  <c r="H265" i="19" s="1"/>
  <c r="B252" i="18" l="1"/>
  <c r="D251" i="18"/>
  <c r="G251" i="18"/>
  <c r="H251" i="18" s="1"/>
  <c r="B267" i="19"/>
  <c r="D266" i="19"/>
  <c r="G266" i="19"/>
  <c r="H266" i="19" s="1"/>
  <c r="B268" i="19" l="1"/>
  <c r="G267" i="19"/>
  <c r="H267" i="19" s="1"/>
  <c r="D267" i="19"/>
  <c r="B253" i="18"/>
  <c r="D252" i="18"/>
  <c r="G252" i="18"/>
  <c r="H252" i="18" s="1"/>
  <c r="D253" i="18" l="1"/>
  <c r="B254" i="18"/>
  <c r="G253" i="18"/>
  <c r="H253" i="18" s="1"/>
  <c r="B269" i="19"/>
  <c r="D268" i="19"/>
  <c r="G268" i="19"/>
  <c r="H268" i="19" s="1"/>
  <c r="B270" i="19" l="1"/>
  <c r="D269" i="19"/>
  <c r="G269" i="19"/>
  <c r="H269" i="19" s="1"/>
  <c r="B255" i="18"/>
  <c r="D254" i="18"/>
  <c r="G254" i="18"/>
  <c r="H254" i="18" s="1"/>
  <c r="B271" i="19" l="1"/>
  <c r="G270" i="19"/>
  <c r="H270" i="19" s="1"/>
  <c r="D270" i="19"/>
  <c r="B256" i="18"/>
  <c r="D255" i="18"/>
  <c r="G255" i="18"/>
  <c r="H255" i="18" s="1"/>
  <c r="D256" i="18" l="1"/>
  <c r="B257" i="18"/>
  <c r="G256" i="18"/>
  <c r="H256" i="18" s="1"/>
  <c r="B272" i="19"/>
  <c r="D271" i="19"/>
  <c r="G271" i="19"/>
  <c r="H271" i="19" s="1"/>
  <c r="B273" i="19" l="1"/>
  <c r="D272" i="19"/>
  <c r="G272" i="19"/>
  <c r="H272" i="19" s="1"/>
  <c r="B258" i="18"/>
  <c r="D257" i="18"/>
  <c r="G257" i="18"/>
  <c r="H257" i="18" s="1"/>
  <c r="B274" i="19" l="1"/>
  <c r="D273" i="19"/>
  <c r="G273" i="19"/>
  <c r="H273" i="19" s="1"/>
  <c r="B259" i="18"/>
  <c r="D258" i="18"/>
  <c r="G258" i="18"/>
  <c r="H258" i="18" s="1"/>
  <c r="D259" i="18" l="1"/>
  <c r="B260" i="18"/>
  <c r="G259" i="18"/>
  <c r="H259" i="18" s="1"/>
  <c r="B275" i="19"/>
  <c r="D274" i="19"/>
  <c r="G274" i="19"/>
  <c r="H274" i="19" s="1"/>
  <c r="B276" i="19" l="1"/>
  <c r="G275" i="19"/>
  <c r="H275" i="19" s="1"/>
  <c r="D275" i="19"/>
  <c r="B261" i="18"/>
  <c r="D260" i="18"/>
  <c r="G260" i="18"/>
  <c r="H260" i="18" s="1"/>
  <c r="B277" i="19" l="1"/>
  <c r="D276" i="19"/>
  <c r="G276" i="19"/>
  <c r="H276" i="19" s="1"/>
  <c r="B262" i="18"/>
  <c r="D261" i="18"/>
  <c r="G261" i="18"/>
  <c r="H261" i="18" s="1"/>
  <c r="G277" i="19" l="1"/>
  <c r="H277" i="19" s="1"/>
  <c r="B278" i="19"/>
  <c r="D277" i="19"/>
  <c r="D262" i="18"/>
  <c r="B263" i="18"/>
  <c r="G262" i="18"/>
  <c r="H262" i="18" s="1"/>
  <c r="G278" i="19" l="1"/>
  <c r="H278" i="19" s="1"/>
  <c r="D278" i="19"/>
  <c r="B279" i="19"/>
  <c r="B264" i="18"/>
  <c r="D263" i="18"/>
  <c r="G263" i="18"/>
  <c r="H263" i="18" s="1"/>
  <c r="D279" i="19" l="1"/>
  <c r="B280" i="19"/>
  <c r="G279" i="19"/>
  <c r="H279" i="19" s="1"/>
  <c r="B265" i="18"/>
  <c r="D264" i="18"/>
  <c r="G264" i="18"/>
  <c r="H264" i="18" s="1"/>
  <c r="G280" i="19" l="1"/>
  <c r="H280" i="19" s="1"/>
  <c r="B281" i="19"/>
  <c r="D280" i="19"/>
  <c r="D265" i="18"/>
  <c r="B266" i="18"/>
  <c r="G265" i="18"/>
  <c r="H265" i="18" s="1"/>
  <c r="B267" i="18" l="1"/>
  <c r="D266" i="18"/>
  <c r="G266" i="18"/>
  <c r="H266" i="18" s="1"/>
  <c r="G281" i="19"/>
  <c r="H281" i="19" s="1"/>
  <c r="D281" i="19"/>
  <c r="B282" i="19"/>
  <c r="B268" i="18" l="1"/>
  <c r="D267" i="18"/>
  <c r="G267" i="18"/>
  <c r="H267" i="18" s="1"/>
  <c r="D282" i="19"/>
  <c r="B283" i="19"/>
  <c r="G282" i="19"/>
  <c r="H282" i="19" s="1"/>
  <c r="G283" i="19" l="1"/>
  <c r="H283" i="19" s="1"/>
  <c r="B284" i="19"/>
  <c r="D283" i="19"/>
  <c r="D268" i="18"/>
  <c r="B269" i="18"/>
  <c r="G268" i="18"/>
  <c r="H268" i="18" s="1"/>
  <c r="B270" i="18" l="1"/>
  <c r="D269" i="18"/>
  <c r="G269" i="18"/>
  <c r="H269" i="18" s="1"/>
  <c r="G284" i="19"/>
  <c r="H284" i="19" s="1"/>
  <c r="D284" i="19"/>
  <c r="B285" i="19"/>
  <c r="D285" i="19" l="1"/>
  <c r="B286" i="19"/>
  <c r="G285" i="19"/>
  <c r="H285" i="19" s="1"/>
  <c r="B271" i="18"/>
  <c r="D270" i="18"/>
  <c r="G270" i="18"/>
  <c r="H270" i="18" s="1"/>
  <c r="G286" i="19" l="1"/>
  <c r="H286" i="19" s="1"/>
  <c r="B287" i="19"/>
  <c r="D286" i="19"/>
  <c r="D271" i="18"/>
  <c r="B272" i="18"/>
  <c r="G271" i="18"/>
  <c r="H271" i="18" s="1"/>
  <c r="B273" i="18" l="1"/>
  <c r="D272" i="18"/>
  <c r="G272" i="18"/>
  <c r="H272" i="18" s="1"/>
  <c r="G287" i="19"/>
  <c r="H287" i="19" s="1"/>
  <c r="D287" i="19"/>
  <c r="B288" i="19"/>
  <c r="B274" i="18" l="1"/>
  <c r="D273" i="18"/>
  <c r="G273" i="18"/>
  <c r="H273" i="18" s="1"/>
  <c r="D288" i="19"/>
  <c r="B289" i="19"/>
  <c r="G288" i="19"/>
  <c r="H288" i="19" s="1"/>
  <c r="G289" i="19" l="1"/>
  <c r="H289" i="19" s="1"/>
  <c r="B290" i="19"/>
  <c r="D289" i="19"/>
  <c r="D274" i="18"/>
  <c r="B275" i="18"/>
  <c r="G274" i="18"/>
  <c r="H274" i="18" s="1"/>
  <c r="G290" i="19" l="1"/>
  <c r="H290" i="19" s="1"/>
  <c r="D290" i="19"/>
  <c r="B291" i="19"/>
  <c r="D275" i="18"/>
  <c r="B276" i="18"/>
  <c r="G275" i="18"/>
  <c r="H275" i="18" s="1"/>
  <c r="B277" i="18" l="1"/>
  <c r="D276" i="18"/>
  <c r="G276" i="18"/>
  <c r="H276" i="18" s="1"/>
  <c r="D291" i="19"/>
  <c r="B292" i="19"/>
  <c r="G291" i="19"/>
  <c r="H291" i="19" s="1"/>
  <c r="G292" i="19" l="1"/>
  <c r="H292" i="19" s="1"/>
  <c r="B293" i="19"/>
  <c r="D292" i="19"/>
  <c r="G277" i="18"/>
  <c r="H277" i="18" s="1"/>
  <c r="D277" i="18"/>
  <c r="B278" i="18"/>
  <c r="B279" i="18" l="1"/>
  <c r="G278" i="18"/>
  <c r="H278" i="18" s="1"/>
  <c r="D278" i="18"/>
  <c r="G293" i="19"/>
  <c r="H293" i="19" s="1"/>
  <c r="D293" i="19"/>
  <c r="B294" i="19"/>
  <c r="D279" i="18" l="1"/>
  <c r="B280" i="18"/>
  <c r="G279" i="18"/>
  <c r="H279" i="18" s="1"/>
  <c r="D294" i="19"/>
  <c r="B295" i="19"/>
  <c r="G294" i="19"/>
  <c r="H294" i="19" s="1"/>
  <c r="G280" i="18" l="1"/>
  <c r="H280" i="18" s="1"/>
  <c r="D280" i="18"/>
  <c r="B281" i="18"/>
  <c r="G295" i="19"/>
  <c r="H295" i="19" s="1"/>
  <c r="B296" i="19"/>
  <c r="D295" i="19"/>
  <c r="G296" i="19" l="1"/>
  <c r="H296" i="19" s="1"/>
  <c r="D296" i="19"/>
  <c r="B297" i="19"/>
  <c r="D281" i="18"/>
  <c r="B282" i="18"/>
  <c r="G281" i="18"/>
  <c r="H281" i="18" s="1"/>
  <c r="D282" i="18" l="1"/>
  <c r="B283" i="18"/>
  <c r="G282" i="18"/>
  <c r="H282" i="18" s="1"/>
  <c r="D297" i="19"/>
  <c r="B298" i="19"/>
  <c r="G297" i="19"/>
  <c r="H297" i="19" s="1"/>
  <c r="G283" i="18" l="1"/>
  <c r="H283" i="18" s="1"/>
  <c r="D283" i="18"/>
  <c r="B284" i="18"/>
  <c r="G298" i="19"/>
  <c r="H298" i="19" s="1"/>
  <c r="B299" i="19"/>
  <c r="D298" i="19"/>
  <c r="D284" i="18" l="1"/>
  <c r="B285" i="18"/>
  <c r="G284" i="18"/>
  <c r="H284" i="18" s="1"/>
  <c r="G299" i="19"/>
  <c r="H299" i="19" s="1"/>
  <c r="D299" i="19"/>
  <c r="B300" i="19"/>
  <c r="D285" i="18" l="1"/>
  <c r="B286" i="18"/>
  <c r="G285" i="18"/>
  <c r="H285" i="18" s="1"/>
  <c r="D300" i="19"/>
  <c r="B301" i="19"/>
  <c r="G300" i="19"/>
  <c r="H300" i="19" s="1"/>
  <c r="G286" i="18" l="1"/>
  <c r="H286" i="18" s="1"/>
  <c r="D286" i="18"/>
  <c r="B287" i="18"/>
  <c r="G301" i="19"/>
  <c r="H301" i="19" s="1"/>
  <c r="B302" i="19"/>
  <c r="D301" i="19"/>
  <c r="G302" i="19" l="1"/>
  <c r="H302" i="19" s="1"/>
  <c r="D302" i="19"/>
  <c r="B303" i="19"/>
  <c r="D287" i="18"/>
  <c r="B288" i="18"/>
  <c r="G287" i="18"/>
  <c r="H287" i="18" s="1"/>
  <c r="D288" i="18" l="1"/>
  <c r="B289" i="18"/>
  <c r="G288" i="18"/>
  <c r="H288" i="18" s="1"/>
  <c r="B304" i="19"/>
  <c r="D303" i="19"/>
  <c r="G303" i="19"/>
  <c r="H303" i="19" s="1"/>
  <c r="D304" i="19" l="1"/>
  <c r="G304" i="19"/>
  <c r="H304" i="19" s="1"/>
  <c r="B305" i="19"/>
  <c r="G289" i="18"/>
  <c r="H289" i="18" s="1"/>
  <c r="D289" i="18"/>
  <c r="B290" i="18"/>
  <c r="G305" i="19" l="1"/>
  <c r="H305" i="19" s="1"/>
  <c r="D305" i="19"/>
  <c r="B306" i="19"/>
  <c r="D290" i="18"/>
  <c r="B291" i="18"/>
  <c r="G290" i="18"/>
  <c r="H290" i="18" s="1"/>
  <c r="D291" i="18" l="1"/>
  <c r="B292" i="18"/>
  <c r="G291" i="18"/>
  <c r="H291" i="18" s="1"/>
  <c r="B307" i="19"/>
  <c r="G306" i="19"/>
  <c r="H306" i="19" s="1"/>
  <c r="D306" i="19"/>
  <c r="B308" i="19" l="1"/>
  <c r="G307" i="19"/>
  <c r="H307" i="19" s="1"/>
  <c r="D307" i="19"/>
  <c r="G292" i="18"/>
  <c r="H292" i="18" s="1"/>
  <c r="D292" i="18"/>
  <c r="B293" i="18"/>
  <c r="D293" i="18" l="1"/>
  <c r="B294" i="18"/>
  <c r="G293" i="18"/>
  <c r="H293" i="18" s="1"/>
  <c r="D308" i="19"/>
  <c r="G308" i="19"/>
  <c r="H308" i="19" s="1"/>
  <c r="B309" i="19"/>
  <c r="B295" i="18" l="1"/>
  <c r="D294" i="18"/>
  <c r="G294" i="18"/>
  <c r="H294" i="18" s="1"/>
  <c r="B310" i="19"/>
  <c r="D309" i="19"/>
  <c r="G309" i="19"/>
  <c r="H309" i="19" s="1"/>
  <c r="D295" i="18" l="1"/>
  <c r="B296" i="18"/>
  <c r="G295" i="18"/>
  <c r="H295" i="18" s="1"/>
  <c r="D310" i="19"/>
  <c r="B311" i="19"/>
  <c r="G310" i="19"/>
  <c r="H310" i="19" s="1"/>
  <c r="G296" i="18" l="1"/>
  <c r="H296" i="18" s="1"/>
  <c r="D296" i="18"/>
  <c r="B297" i="18"/>
  <c r="G311" i="19"/>
  <c r="H311" i="19" s="1"/>
  <c r="B312" i="19"/>
  <c r="D311" i="19"/>
  <c r="D297" i="18" l="1"/>
  <c r="B298" i="18"/>
  <c r="G297" i="18"/>
  <c r="H297" i="18" s="1"/>
  <c r="G312" i="19"/>
  <c r="H312" i="19" s="1"/>
  <c r="B313" i="19"/>
  <c r="D312" i="19"/>
  <c r="G313" i="19" l="1"/>
  <c r="H313" i="19" s="1"/>
  <c r="D313" i="19"/>
  <c r="B314" i="19"/>
  <c r="D298" i="18"/>
  <c r="B299" i="18"/>
  <c r="G298" i="18"/>
  <c r="H298" i="18" s="1"/>
  <c r="G299" i="18" l="1"/>
  <c r="H299" i="18" s="1"/>
  <c r="D299" i="18"/>
  <c r="B300" i="18"/>
  <c r="D314" i="19"/>
  <c r="B315" i="19"/>
  <c r="G314" i="19"/>
  <c r="H314" i="19" s="1"/>
  <c r="B316" i="19" l="1"/>
  <c r="D315" i="19"/>
  <c r="G315" i="19"/>
  <c r="H315" i="19" s="1"/>
  <c r="D300" i="18"/>
  <c r="B301" i="18"/>
  <c r="G300" i="18"/>
  <c r="H300" i="18" s="1"/>
  <c r="D301" i="18" l="1"/>
  <c r="B302" i="18"/>
  <c r="G301" i="18"/>
  <c r="H301" i="18" s="1"/>
  <c r="B317" i="19"/>
  <c r="D316" i="19"/>
  <c r="G316" i="19"/>
  <c r="H316" i="19" s="1"/>
  <c r="D317" i="19" l="1"/>
  <c r="B318" i="19"/>
  <c r="G317" i="19"/>
  <c r="H317" i="19" s="1"/>
  <c r="G302" i="18"/>
  <c r="H302" i="18" s="1"/>
  <c r="D302" i="18"/>
  <c r="B303" i="18"/>
  <c r="G318" i="19" l="1"/>
  <c r="H318" i="19" s="1"/>
  <c r="B319" i="19"/>
  <c r="D318" i="19"/>
  <c r="D303" i="18"/>
  <c r="B304" i="18"/>
  <c r="G303" i="18"/>
  <c r="H303" i="18" s="1"/>
  <c r="G319" i="19" l="1"/>
  <c r="H319" i="19" s="1"/>
  <c r="D319" i="19"/>
  <c r="B320" i="19"/>
  <c r="D304" i="18"/>
  <c r="B305" i="18"/>
  <c r="G304" i="18"/>
  <c r="H304" i="18" s="1"/>
  <c r="G305" i="18" l="1"/>
  <c r="H305" i="18" s="1"/>
  <c r="D305" i="18"/>
  <c r="B306" i="18"/>
  <c r="D320" i="19"/>
  <c r="G320" i="19"/>
  <c r="H320" i="19" s="1"/>
  <c r="B321" i="19"/>
  <c r="D321" i="19" l="1"/>
  <c r="G321" i="19"/>
  <c r="H321" i="19" s="1"/>
  <c r="B322" i="19"/>
  <c r="D306" i="18"/>
  <c r="B307" i="18"/>
  <c r="G306" i="18"/>
  <c r="H306" i="18" s="1"/>
  <c r="B308" i="18" l="1"/>
  <c r="D307" i="18"/>
  <c r="G307" i="18"/>
  <c r="H307" i="18" s="1"/>
  <c r="D322" i="19"/>
  <c r="B323" i="19"/>
  <c r="G322" i="19"/>
  <c r="H322" i="19" s="1"/>
  <c r="D323" i="19" l="1"/>
  <c r="B324" i="19"/>
  <c r="G323" i="19"/>
  <c r="H323" i="19" s="1"/>
  <c r="D308" i="18"/>
  <c r="B309" i="18"/>
  <c r="G308" i="18"/>
  <c r="H308" i="18" s="1"/>
  <c r="G324" i="19" l="1"/>
  <c r="H324" i="19" s="1"/>
  <c r="B325" i="19"/>
  <c r="D324" i="19"/>
  <c r="D309" i="18"/>
  <c r="B310" i="18"/>
  <c r="G309" i="18"/>
  <c r="H309" i="18" s="1"/>
  <c r="G310" i="18" l="1"/>
  <c r="H310" i="18" s="1"/>
  <c r="D310" i="18"/>
  <c r="B311" i="18"/>
  <c r="G325" i="19"/>
  <c r="H325" i="19" s="1"/>
  <c r="B326" i="19"/>
  <c r="D325" i="19"/>
  <c r="G326" i="19" l="1"/>
  <c r="H326" i="19" s="1"/>
  <c r="D326" i="19"/>
  <c r="B327" i="19"/>
  <c r="D311" i="18"/>
  <c r="B312" i="18"/>
  <c r="G311" i="18"/>
  <c r="H311" i="18" s="1"/>
  <c r="D312" i="18" l="1"/>
  <c r="B313" i="18"/>
  <c r="G312" i="18"/>
  <c r="H312" i="18" s="1"/>
  <c r="D327" i="19"/>
  <c r="G327" i="19"/>
  <c r="H327" i="19" s="1"/>
  <c r="B328" i="19"/>
  <c r="D328" i="19" l="1"/>
  <c r="B329" i="19"/>
  <c r="G328" i="19"/>
  <c r="H328" i="19" s="1"/>
  <c r="G313" i="18"/>
  <c r="H313" i="18" s="1"/>
  <c r="D313" i="18"/>
  <c r="B314" i="18"/>
  <c r="B330" i="19" l="1"/>
  <c r="D329" i="19"/>
  <c r="G329" i="19"/>
  <c r="H329" i="19" s="1"/>
  <c r="D314" i="18"/>
  <c r="B315" i="18"/>
  <c r="G314" i="18"/>
  <c r="H314" i="18" s="1"/>
  <c r="D315" i="18" l="1"/>
  <c r="B316" i="18"/>
  <c r="G315" i="18"/>
  <c r="H315" i="18" s="1"/>
  <c r="B331" i="19"/>
  <c r="D330" i="19"/>
  <c r="G330" i="19"/>
  <c r="H330" i="19" s="1"/>
  <c r="D331" i="19" l="1"/>
  <c r="B332" i="19"/>
  <c r="G331" i="19"/>
  <c r="H331" i="19" s="1"/>
  <c r="G316" i="18"/>
  <c r="H316" i="18" s="1"/>
  <c r="D316" i="18"/>
  <c r="B317" i="18"/>
  <c r="G332" i="19" l="1"/>
  <c r="H332" i="19" s="1"/>
  <c r="D332" i="19"/>
  <c r="B333" i="19"/>
  <c r="D317" i="18"/>
  <c r="B318" i="18"/>
  <c r="G317" i="18"/>
  <c r="H317" i="18" s="1"/>
  <c r="D318" i="18" l="1"/>
  <c r="B319" i="18"/>
  <c r="G318" i="18"/>
  <c r="H318" i="18" s="1"/>
  <c r="D333" i="19"/>
  <c r="G333" i="19"/>
  <c r="H333" i="19" s="1"/>
  <c r="B334" i="19"/>
  <c r="D334" i="19" l="1"/>
  <c r="G334" i="19"/>
  <c r="H334" i="19" s="1"/>
  <c r="B335" i="19"/>
  <c r="G319" i="18"/>
  <c r="H319" i="18" s="1"/>
  <c r="D319" i="18"/>
  <c r="B320" i="18"/>
  <c r="D320" i="18" l="1"/>
  <c r="B321" i="18"/>
  <c r="G320" i="18"/>
  <c r="H320" i="18" s="1"/>
  <c r="D335" i="19"/>
  <c r="B336" i="19"/>
  <c r="G335" i="19"/>
  <c r="H335" i="19" s="1"/>
  <c r="D321" i="18" l="1"/>
  <c r="B322" i="18"/>
  <c r="G321" i="18"/>
  <c r="H321" i="18" s="1"/>
  <c r="B337" i="19"/>
  <c r="D336" i="19"/>
  <c r="G336" i="19"/>
  <c r="H336" i="19" s="1"/>
  <c r="G322" i="18" l="1"/>
  <c r="H322" i="18" s="1"/>
  <c r="D322" i="18"/>
  <c r="B323" i="18"/>
  <c r="B338" i="19"/>
  <c r="D337" i="19"/>
  <c r="G337" i="19"/>
  <c r="H337" i="19" s="1"/>
  <c r="B339" i="19" l="1"/>
  <c r="D338" i="19"/>
  <c r="G338" i="19"/>
  <c r="H338" i="19" s="1"/>
  <c r="D323" i="18"/>
  <c r="B324" i="18"/>
  <c r="G323" i="18"/>
  <c r="H323" i="18" s="1"/>
  <c r="D324" i="18" l="1"/>
  <c r="B325" i="18"/>
  <c r="G324" i="18"/>
  <c r="H324" i="18" s="1"/>
  <c r="D339" i="19"/>
  <c r="B340" i="19"/>
  <c r="G339" i="19"/>
  <c r="H339" i="19" s="1"/>
  <c r="D340" i="19" l="1"/>
  <c r="B341" i="19"/>
  <c r="G340" i="19"/>
  <c r="H340" i="19" s="1"/>
  <c r="G325" i="18"/>
  <c r="H325" i="18" s="1"/>
  <c r="D325" i="18"/>
  <c r="B326" i="18"/>
  <c r="D341" i="19" l="1"/>
  <c r="B342" i="19"/>
  <c r="G341" i="19"/>
  <c r="H341" i="19" s="1"/>
  <c r="D326" i="18"/>
  <c r="B327" i="18"/>
  <c r="G326" i="18"/>
  <c r="H326" i="18" s="1"/>
  <c r="D327" i="18" l="1"/>
  <c r="B328" i="18"/>
  <c r="G327" i="18"/>
  <c r="H327" i="18" s="1"/>
  <c r="G342" i="19"/>
  <c r="H342" i="19" s="1"/>
  <c r="D342" i="19"/>
  <c r="B343" i="19"/>
  <c r="G343" i="19" l="1"/>
  <c r="H343" i="19" s="1"/>
  <c r="D343" i="19"/>
  <c r="B344" i="19"/>
  <c r="G328" i="18"/>
  <c r="H328" i="18" s="1"/>
  <c r="D328" i="18"/>
  <c r="B329" i="18"/>
  <c r="G344" i="19" l="1"/>
  <c r="H344" i="19" s="1"/>
  <c r="D344" i="19"/>
  <c r="B345" i="19"/>
  <c r="D329" i="18"/>
  <c r="B330" i="18"/>
  <c r="G329" i="18"/>
  <c r="H329" i="18" s="1"/>
  <c r="D330" i="18" l="1"/>
  <c r="B331" i="18"/>
  <c r="G330" i="18"/>
  <c r="H330" i="18" s="1"/>
  <c r="G345" i="19"/>
  <c r="H345" i="19" s="1"/>
  <c r="D345" i="19"/>
  <c r="B346" i="19"/>
  <c r="D346" i="19" l="1"/>
  <c r="B347" i="19"/>
  <c r="G346" i="19"/>
  <c r="H346" i="19" s="1"/>
  <c r="D331" i="18"/>
  <c r="B332" i="18"/>
  <c r="G331" i="18"/>
  <c r="H331" i="18" s="1"/>
  <c r="D332" i="18" l="1"/>
  <c r="B333" i="18"/>
  <c r="G332" i="18"/>
  <c r="H332" i="18" s="1"/>
  <c r="D347" i="19"/>
  <c r="B348" i="19"/>
  <c r="G347" i="19"/>
  <c r="H347" i="19" s="1"/>
  <c r="G348" i="19" l="1"/>
  <c r="H348" i="19" s="1"/>
  <c r="B349" i="19"/>
  <c r="D348" i="19"/>
  <c r="G333" i="18"/>
  <c r="H333" i="18" s="1"/>
  <c r="D333" i="18"/>
  <c r="B334" i="18"/>
  <c r="G349" i="19" l="1"/>
  <c r="H349" i="19" s="1"/>
  <c r="B350" i="19"/>
  <c r="D349" i="19"/>
  <c r="D334" i="18"/>
  <c r="B335" i="18"/>
  <c r="G334" i="18"/>
  <c r="H334" i="18" s="1"/>
  <c r="G350" i="19" l="1"/>
  <c r="H350" i="19" s="1"/>
  <c r="D350" i="19"/>
  <c r="B351" i="19"/>
  <c r="D335" i="18"/>
  <c r="B336" i="18"/>
  <c r="G335" i="18"/>
  <c r="H335" i="18" s="1"/>
  <c r="G336" i="18" l="1"/>
  <c r="H336" i="18" s="1"/>
  <c r="D336" i="18"/>
  <c r="B337" i="18"/>
  <c r="D351" i="19"/>
  <c r="B352" i="19"/>
  <c r="G351" i="19"/>
  <c r="H351" i="19" s="1"/>
  <c r="B353" i="19" l="1"/>
  <c r="D352" i="19"/>
  <c r="G352" i="19"/>
  <c r="H352" i="19" s="1"/>
  <c r="D337" i="18"/>
  <c r="B338" i="18"/>
  <c r="G337" i="18"/>
  <c r="H337" i="18" s="1"/>
  <c r="B354" i="19" l="1"/>
  <c r="D353" i="19"/>
  <c r="G353" i="19"/>
  <c r="H353" i="19" s="1"/>
  <c r="B339" i="18"/>
  <c r="D338" i="18"/>
  <c r="G338" i="18"/>
  <c r="H338" i="18" s="1"/>
  <c r="D354" i="19" l="1"/>
  <c r="B355" i="19"/>
  <c r="G354" i="19"/>
  <c r="H354" i="19" s="1"/>
  <c r="D339" i="18"/>
  <c r="B340" i="18"/>
  <c r="G339" i="18"/>
  <c r="H339" i="18" s="1"/>
  <c r="G355" i="19" l="1"/>
  <c r="H355" i="19" s="1"/>
  <c r="B356" i="19"/>
  <c r="D355" i="19"/>
  <c r="G340" i="18"/>
  <c r="H340" i="18" s="1"/>
  <c r="D340" i="18"/>
  <c r="B341" i="18"/>
  <c r="D341" i="18" l="1"/>
  <c r="B342" i="18"/>
  <c r="G341" i="18"/>
  <c r="H341" i="18" s="1"/>
  <c r="G356" i="19"/>
  <c r="H356" i="19" s="1"/>
  <c r="D356" i="19"/>
  <c r="B357" i="19"/>
  <c r="D357" i="19" l="1"/>
  <c r="G357" i="19"/>
  <c r="H357" i="19" s="1"/>
  <c r="B358" i="19"/>
  <c r="D342" i="18"/>
  <c r="B343" i="18"/>
  <c r="G342" i="18"/>
  <c r="H342" i="18" s="1"/>
  <c r="D358" i="19" l="1"/>
  <c r="G358" i="19"/>
  <c r="H358" i="19" s="1"/>
  <c r="B359" i="19"/>
  <c r="G343" i="18"/>
  <c r="H343" i="18" s="1"/>
  <c r="D343" i="18"/>
  <c r="B344" i="18"/>
  <c r="D344" i="18" l="1"/>
  <c r="B345" i="18"/>
  <c r="G344" i="18"/>
  <c r="H344" i="18" s="1"/>
  <c r="D359" i="19"/>
  <c r="B360" i="19"/>
  <c r="G359" i="19"/>
  <c r="H359" i="19" s="1"/>
  <c r="D360" i="19" l="1"/>
  <c r="B361" i="19"/>
  <c r="G360" i="19"/>
  <c r="H360" i="19" s="1"/>
  <c r="D345" i="18"/>
  <c r="B346" i="18"/>
  <c r="G345" i="18"/>
  <c r="H345" i="18" s="1"/>
  <c r="G361" i="19" l="1"/>
  <c r="H361" i="19" s="1"/>
  <c r="B362" i="19"/>
  <c r="D361" i="19"/>
  <c r="G346" i="18"/>
  <c r="H346" i="18" s="1"/>
  <c r="D346" i="18"/>
  <c r="B347" i="18"/>
  <c r="D347" i="18" l="1"/>
  <c r="B348" i="18"/>
  <c r="G347" i="18"/>
  <c r="H347" i="18" s="1"/>
  <c r="G362" i="19"/>
  <c r="H362" i="19" s="1"/>
  <c r="B363" i="19"/>
  <c r="D362" i="19"/>
  <c r="G363" i="19" l="1"/>
  <c r="H363" i="19" s="1"/>
  <c r="D363" i="19"/>
  <c r="B364" i="19"/>
  <c r="D348" i="18"/>
  <c r="B349" i="18"/>
  <c r="G348" i="18"/>
  <c r="H348" i="18" s="1"/>
  <c r="D364" i="19" l="1"/>
  <c r="G364" i="19"/>
  <c r="H364" i="19" s="1"/>
  <c r="B365" i="19"/>
  <c r="G349" i="18"/>
  <c r="H349" i="18" s="1"/>
  <c r="D349" i="18"/>
  <c r="B350" i="18"/>
  <c r="D365" i="19" l="1"/>
  <c r="B366" i="19"/>
  <c r="G365" i="19"/>
  <c r="H365" i="19" s="1"/>
  <c r="D350" i="18"/>
  <c r="B351" i="18"/>
  <c r="G350" i="18"/>
  <c r="H350" i="18" s="1"/>
  <c r="B367" i="19" l="1"/>
  <c r="D366" i="19"/>
  <c r="G366" i="19"/>
  <c r="H366" i="19" s="1"/>
  <c r="D351" i="18"/>
  <c r="B352" i="18"/>
  <c r="G351" i="18"/>
  <c r="H351" i="18" s="1"/>
  <c r="G352" i="18" l="1"/>
  <c r="H352" i="18" s="1"/>
  <c r="D352" i="18"/>
  <c r="B353" i="18"/>
  <c r="B368" i="19"/>
  <c r="D367" i="19"/>
  <c r="G367" i="19"/>
  <c r="H367" i="19" s="1"/>
  <c r="D353" i="18" l="1"/>
  <c r="B354" i="18"/>
  <c r="G353" i="18"/>
  <c r="H353" i="18" s="1"/>
  <c r="D368" i="19"/>
  <c r="B369" i="19"/>
  <c r="G368" i="19"/>
  <c r="H368" i="19" s="1"/>
  <c r="G369" i="19" l="1"/>
  <c r="H369" i="19" s="1"/>
  <c r="D369" i="19"/>
  <c r="B370" i="19"/>
  <c r="D354" i="18"/>
  <c r="B355" i="18"/>
  <c r="G354" i="18"/>
  <c r="H354" i="18" s="1"/>
  <c r="G355" i="18" l="1"/>
  <c r="H355" i="18" s="1"/>
  <c r="D355" i="18"/>
  <c r="B356" i="18"/>
  <c r="D370" i="19"/>
  <c r="G370" i="19"/>
  <c r="H370" i="19" s="1"/>
  <c r="B371" i="19"/>
  <c r="D371" i="19" l="1"/>
  <c r="G371" i="19"/>
  <c r="H371" i="19" s="1"/>
  <c r="B372" i="19"/>
  <c r="D356" i="18"/>
  <c r="B357" i="18"/>
  <c r="G356" i="18"/>
  <c r="H356" i="18" s="1"/>
  <c r="D357" i="18" l="1"/>
  <c r="B358" i="18"/>
  <c r="G357" i="18"/>
  <c r="H357" i="18" s="1"/>
  <c r="D372" i="19"/>
  <c r="B373" i="19"/>
  <c r="G372" i="19"/>
  <c r="H372" i="19" s="1"/>
  <c r="G358" i="18" l="1"/>
  <c r="H358" i="18" s="1"/>
  <c r="D358" i="18"/>
  <c r="B359" i="18"/>
  <c r="B374" i="19"/>
  <c r="D373" i="19"/>
  <c r="G373" i="19"/>
  <c r="H373" i="19" s="1"/>
  <c r="D374" i="19" l="1"/>
  <c r="B375" i="19"/>
  <c r="G374" i="19"/>
  <c r="H374" i="19" s="1"/>
  <c r="D359" i="18"/>
  <c r="B360" i="18"/>
  <c r="G359" i="18"/>
  <c r="H359" i="18" s="1"/>
  <c r="G375" i="19" l="1"/>
  <c r="H375" i="19" s="1"/>
  <c r="B376" i="19"/>
  <c r="D375" i="19"/>
  <c r="D360" i="18"/>
  <c r="B361" i="18"/>
  <c r="G360" i="18"/>
  <c r="H360" i="18" s="1"/>
  <c r="G376" i="19" l="1"/>
  <c r="H376" i="19" s="1"/>
  <c r="B377" i="19"/>
  <c r="D376" i="19"/>
  <c r="G361" i="18"/>
  <c r="H361" i="18" s="1"/>
  <c r="D361" i="18"/>
  <c r="B362" i="18"/>
  <c r="D362" i="18" l="1"/>
  <c r="B363" i="18"/>
  <c r="G362" i="18"/>
  <c r="H362" i="18" s="1"/>
  <c r="G377" i="19"/>
  <c r="H377" i="19" s="1"/>
  <c r="D377" i="19"/>
  <c r="B378" i="19"/>
  <c r="D363" i="18" l="1"/>
  <c r="B364" i="18"/>
  <c r="G363" i="18"/>
  <c r="H363" i="18" s="1"/>
  <c r="D378" i="19"/>
  <c r="B379" i="19"/>
  <c r="G378" i="19"/>
  <c r="H378" i="19" s="1"/>
  <c r="G364" i="18" l="1"/>
  <c r="H364" i="18" s="1"/>
  <c r="D364" i="18"/>
  <c r="B365" i="18"/>
  <c r="B380" i="19"/>
  <c r="D379" i="19"/>
  <c r="G379" i="19"/>
  <c r="H379" i="19" s="1"/>
  <c r="B381" i="19" l="1"/>
  <c r="D380" i="19"/>
  <c r="G380" i="19"/>
  <c r="H380" i="19" s="1"/>
  <c r="D365" i="18"/>
  <c r="B366" i="18"/>
  <c r="G365" i="18"/>
  <c r="H365" i="18" s="1"/>
  <c r="D366" i="18" l="1"/>
  <c r="B367" i="18"/>
  <c r="G366" i="18"/>
  <c r="H366" i="18" s="1"/>
  <c r="D381" i="19"/>
  <c r="B382" i="19"/>
  <c r="G381" i="19"/>
  <c r="H381" i="19" s="1"/>
  <c r="D367" i="18" l="1"/>
  <c r="B368" i="18"/>
  <c r="G367" i="18"/>
  <c r="H367" i="18" s="1"/>
  <c r="G382" i="19"/>
  <c r="H382" i="19" s="1"/>
  <c r="B383" i="19"/>
  <c r="D382" i="19"/>
  <c r="G368" i="18" l="1"/>
  <c r="H368" i="18" s="1"/>
  <c r="D368" i="18"/>
  <c r="B369" i="18"/>
  <c r="G383" i="19"/>
  <c r="H383" i="19" s="1"/>
  <c r="D383" i="19"/>
  <c r="B384" i="19"/>
  <c r="D384" i="19" l="1"/>
  <c r="G384" i="19"/>
  <c r="H384" i="19" s="1"/>
  <c r="B385" i="19"/>
  <c r="D369" i="18"/>
  <c r="B370" i="18"/>
  <c r="G369" i="18"/>
  <c r="H369" i="18" s="1"/>
  <c r="D370" i="18" l="1"/>
  <c r="B371" i="18"/>
  <c r="G370" i="18"/>
  <c r="H370" i="18" s="1"/>
  <c r="D385" i="19"/>
  <c r="G385" i="19"/>
  <c r="H385" i="19" s="1"/>
  <c r="B386" i="19"/>
  <c r="G371" i="18" l="1"/>
  <c r="H371" i="18" s="1"/>
  <c r="D371" i="18"/>
  <c r="B372" i="18"/>
  <c r="D386" i="19"/>
  <c r="B387" i="19"/>
  <c r="G386" i="19"/>
  <c r="H386" i="19" s="1"/>
  <c r="D387" i="19" l="1"/>
  <c r="B388" i="19"/>
  <c r="G387" i="19"/>
  <c r="H387" i="19" s="1"/>
  <c r="D372" i="18"/>
  <c r="B373" i="18"/>
  <c r="G372" i="18"/>
  <c r="H372" i="18" s="1"/>
  <c r="G388" i="19" l="1"/>
  <c r="H388" i="19" s="1"/>
  <c r="B389" i="19"/>
  <c r="D388" i="19"/>
  <c r="D373" i="18"/>
  <c r="B374" i="18"/>
  <c r="G373" i="18"/>
  <c r="H373" i="18" s="1"/>
  <c r="G374" i="18" l="1"/>
  <c r="H374" i="18" s="1"/>
  <c r="B375" i="18"/>
  <c r="D374" i="18"/>
  <c r="G389" i="19"/>
  <c r="H389" i="19" s="1"/>
  <c r="B390" i="19"/>
  <c r="D389" i="19"/>
  <c r="G390" i="19" l="1"/>
  <c r="H390" i="19" s="1"/>
  <c r="D390" i="19"/>
  <c r="B391" i="19"/>
  <c r="D375" i="18"/>
  <c r="B376" i="18"/>
  <c r="G375" i="18"/>
  <c r="H375" i="18" s="1"/>
  <c r="D376" i="18" l="1"/>
  <c r="B377" i="18"/>
  <c r="G376" i="18"/>
  <c r="H376" i="18" s="1"/>
  <c r="D391" i="19"/>
  <c r="G391" i="19"/>
  <c r="H391" i="19" s="1"/>
  <c r="B392" i="19"/>
  <c r="G377" i="18" l="1"/>
  <c r="H377" i="18" s="1"/>
  <c r="D377" i="18"/>
  <c r="B378" i="18"/>
  <c r="D392" i="19"/>
  <c r="B393" i="19"/>
  <c r="G392" i="19"/>
  <c r="H392" i="19" s="1"/>
  <c r="B394" i="19" l="1"/>
  <c r="D393" i="19"/>
  <c r="G393" i="19"/>
  <c r="H393" i="19" s="1"/>
  <c r="D378" i="18"/>
  <c r="B379" i="18"/>
  <c r="G378" i="18"/>
  <c r="H378" i="18" s="1"/>
  <c r="D379" i="18" l="1"/>
  <c r="B380" i="18"/>
  <c r="G379" i="18"/>
  <c r="H379" i="18" s="1"/>
  <c r="B395" i="19"/>
  <c r="D394" i="19"/>
  <c r="G394" i="19"/>
  <c r="H394" i="19" s="1"/>
  <c r="D395" i="19" l="1"/>
  <c r="B396" i="19"/>
  <c r="G395" i="19"/>
  <c r="H395" i="19" s="1"/>
  <c r="G380" i="18"/>
  <c r="H380" i="18" s="1"/>
  <c r="D380" i="18"/>
  <c r="B381" i="18"/>
  <c r="D381" i="18" l="1"/>
  <c r="B382" i="18"/>
  <c r="G381" i="18"/>
  <c r="H381" i="18" s="1"/>
  <c r="G396" i="19"/>
  <c r="H396" i="19" s="1"/>
  <c r="D396" i="19"/>
  <c r="B397" i="19"/>
  <c r="D397" i="19" l="1"/>
  <c r="G397" i="19"/>
  <c r="H397" i="19" s="1"/>
  <c r="B398" i="19"/>
  <c r="D382" i="18"/>
  <c r="B383" i="18"/>
  <c r="G382" i="18"/>
  <c r="H382" i="18" s="1"/>
  <c r="G383" i="18" l="1"/>
  <c r="H383" i="18" s="1"/>
  <c r="B384" i="18"/>
  <c r="D383" i="18"/>
  <c r="D398" i="19"/>
  <c r="G398" i="19"/>
  <c r="H398" i="19" s="1"/>
  <c r="B399" i="19"/>
  <c r="D399" i="19" l="1"/>
  <c r="B400" i="19"/>
  <c r="G399" i="19"/>
  <c r="H399" i="19" s="1"/>
  <c r="D384" i="18"/>
  <c r="B385" i="18"/>
  <c r="G384" i="18"/>
  <c r="H384" i="18" s="1"/>
  <c r="B401" i="19" l="1"/>
  <c r="D400" i="19"/>
  <c r="G400" i="19"/>
  <c r="H400" i="19" s="1"/>
  <c r="D385" i="18"/>
  <c r="B386" i="18"/>
  <c r="G385" i="18"/>
  <c r="H385" i="18" s="1"/>
  <c r="D401" i="19" l="1"/>
  <c r="B402" i="19"/>
  <c r="G401" i="19"/>
  <c r="H401" i="19" s="1"/>
  <c r="G386" i="18"/>
  <c r="H386" i="18" s="1"/>
  <c r="D386" i="18"/>
  <c r="B387" i="18"/>
  <c r="G402" i="19" l="1"/>
  <c r="H402" i="19" s="1"/>
  <c r="B403" i="19"/>
  <c r="D402" i="19"/>
  <c r="D387" i="18"/>
  <c r="B388" i="18"/>
  <c r="G387" i="18"/>
  <c r="H387" i="18" s="1"/>
  <c r="D388" i="18" l="1"/>
  <c r="B389" i="18"/>
  <c r="G388" i="18"/>
  <c r="H388" i="18" s="1"/>
  <c r="G403" i="19"/>
  <c r="H403" i="19" s="1"/>
  <c r="B404" i="19"/>
  <c r="D403" i="19"/>
  <c r="G404" i="19" l="1"/>
  <c r="H404" i="19" s="1"/>
  <c r="D404" i="19"/>
  <c r="B405" i="19"/>
  <c r="G389" i="18"/>
  <c r="H389" i="18" s="1"/>
  <c r="D389" i="18"/>
  <c r="B390" i="18"/>
  <c r="D405" i="19" l="1"/>
  <c r="B406" i="19"/>
  <c r="G405" i="19"/>
  <c r="H405" i="19" s="1"/>
  <c r="D390" i="18"/>
  <c r="B391" i="18"/>
  <c r="G390" i="18"/>
  <c r="H390" i="18" s="1"/>
  <c r="B407" i="19" l="1"/>
  <c r="D406" i="19"/>
  <c r="G406" i="19"/>
  <c r="H406" i="19" s="1"/>
  <c r="D391" i="18"/>
  <c r="B392" i="18"/>
  <c r="G391" i="18"/>
  <c r="H391" i="18" s="1"/>
  <c r="B408" i="19" l="1"/>
  <c r="D407" i="19"/>
  <c r="G407" i="19"/>
  <c r="H407" i="19" s="1"/>
  <c r="G392" i="18"/>
  <c r="H392" i="18" s="1"/>
  <c r="B393" i="18"/>
  <c r="D392" i="18"/>
  <c r="D393" i="18" l="1"/>
  <c r="B394" i="18"/>
  <c r="G393" i="18"/>
  <c r="H393" i="18" s="1"/>
  <c r="D408" i="19"/>
  <c r="B409" i="19"/>
  <c r="G408" i="19"/>
  <c r="H408" i="19" s="1"/>
  <c r="G409" i="19" l="1"/>
  <c r="H409" i="19" s="1"/>
  <c r="B410" i="19"/>
  <c r="D409" i="19"/>
  <c r="D394" i="18"/>
  <c r="B395" i="18"/>
  <c r="G394" i="18"/>
  <c r="H394" i="18" s="1"/>
  <c r="B411" i="19" l="1"/>
  <c r="G410" i="19"/>
  <c r="H410" i="19" s="1"/>
  <c r="D410" i="19"/>
  <c r="G395" i="18"/>
  <c r="H395" i="18" s="1"/>
  <c r="D395" i="18"/>
  <c r="B396" i="18"/>
  <c r="D396" i="18" l="1"/>
  <c r="B397" i="18"/>
  <c r="G396" i="18"/>
  <c r="H396" i="18" s="1"/>
  <c r="G411" i="19"/>
  <c r="H411" i="19" s="1"/>
  <c r="B412" i="19"/>
  <c r="D411" i="19"/>
  <c r="D397" i="18" l="1"/>
  <c r="B398" i="18"/>
  <c r="G397" i="18"/>
  <c r="H397" i="18" s="1"/>
  <c r="G412" i="19"/>
  <c r="H412" i="19" s="1"/>
  <c r="B413" i="19"/>
  <c r="D412" i="19"/>
  <c r="G398" i="18" l="1"/>
  <c r="H398" i="18" s="1"/>
  <c r="D398" i="18"/>
  <c r="B399" i="18"/>
  <c r="G413" i="19"/>
  <c r="H413" i="19" s="1"/>
  <c r="D413" i="19"/>
  <c r="B414" i="19"/>
  <c r="D414" i="19" l="1"/>
  <c r="B415" i="19"/>
  <c r="G414" i="19"/>
  <c r="H414" i="19" s="1"/>
  <c r="D399" i="18"/>
  <c r="B400" i="18"/>
  <c r="G399" i="18"/>
  <c r="H399" i="18" s="1"/>
  <c r="D400" i="18" l="1"/>
  <c r="B401" i="18"/>
  <c r="G400" i="18"/>
  <c r="H400" i="18" s="1"/>
  <c r="B416" i="19"/>
  <c r="D415" i="19"/>
  <c r="G415" i="19"/>
  <c r="H415" i="19" s="1"/>
  <c r="B417" i="19" l="1"/>
  <c r="D416" i="19"/>
  <c r="G416" i="19"/>
  <c r="H416" i="19" s="1"/>
  <c r="G401" i="18"/>
  <c r="H401" i="18" s="1"/>
  <c r="D401" i="18"/>
  <c r="B402" i="18"/>
  <c r="D402" i="18" l="1"/>
  <c r="B403" i="18"/>
  <c r="G402" i="18"/>
  <c r="H402" i="18" s="1"/>
  <c r="D417" i="19"/>
  <c r="B418" i="19"/>
  <c r="G417" i="19"/>
  <c r="H417" i="19" s="1"/>
  <c r="D403" i="18" l="1"/>
  <c r="B404" i="18"/>
  <c r="G403" i="18"/>
  <c r="H403" i="18" s="1"/>
  <c r="G418" i="19"/>
  <c r="H418" i="19" s="1"/>
  <c r="B419" i="19"/>
  <c r="D418" i="19"/>
  <c r="G404" i="18" l="1"/>
  <c r="H404" i="18" s="1"/>
  <c r="D404" i="18"/>
  <c r="B405" i="18"/>
  <c r="G419" i="19"/>
  <c r="H419" i="19" s="1"/>
  <c r="D419" i="19"/>
  <c r="B420" i="19"/>
  <c r="D420" i="19" l="1"/>
  <c r="G420" i="19"/>
  <c r="H420" i="19" s="1"/>
  <c r="B421" i="19"/>
  <c r="D405" i="18"/>
  <c r="B406" i="18"/>
  <c r="G405" i="18"/>
  <c r="H405" i="18" s="1"/>
  <c r="D421" i="19" l="1"/>
  <c r="G421" i="19"/>
  <c r="H421" i="19" s="1"/>
  <c r="B422" i="19"/>
  <c r="D406" i="18"/>
  <c r="B407" i="18"/>
  <c r="G406" i="18"/>
  <c r="H406" i="18" s="1"/>
  <c r="D422" i="19" l="1"/>
  <c r="B423" i="19"/>
  <c r="G422" i="19"/>
  <c r="H422" i="19" s="1"/>
  <c r="G407" i="18"/>
  <c r="H407" i="18" s="1"/>
  <c r="D407" i="18"/>
  <c r="B408" i="18"/>
  <c r="D423" i="19" l="1"/>
  <c r="B424" i="19"/>
  <c r="G423" i="19"/>
  <c r="H423" i="19" s="1"/>
  <c r="D408" i="18"/>
  <c r="B409" i="18"/>
  <c r="G408" i="18"/>
  <c r="H408" i="18" s="1"/>
  <c r="D409" i="18" l="1"/>
  <c r="B410" i="18"/>
  <c r="G409" i="18"/>
  <c r="H409" i="18" s="1"/>
  <c r="G424" i="19"/>
  <c r="H424" i="19" s="1"/>
  <c r="B425" i="19"/>
  <c r="D424" i="19"/>
  <c r="G425" i="19" l="1"/>
  <c r="H425" i="19" s="1"/>
  <c r="B426" i="19"/>
  <c r="D425" i="19"/>
  <c r="G410" i="18"/>
  <c r="H410" i="18" s="1"/>
  <c r="D410" i="18"/>
  <c r="B411" i="18"/>
  <c r="D411" i="18" l="1"/>
  <c r="B412" i="18"/>
  <c r="G411" i="18"/>
  <c r="H411" i="18" s="1"/>
  <c r="G426" i="19"/>
  <c r="H426" i="19" s="1"/>
  <c r="D426" i="19"/>
  <c r="B427" i="19"/>
  <c r="D427" i="19" l="1"/>
  <c r="G427" i="19"/>
  <c r="H427" i="19" s="1"/>
  <c r="B428" i="19"/>
  <c r="D412" i="18"/>
  <c r="B413" i="18"/>
  <c r="G412" i="18"/>
  <c r="H412" i="18" s="1"/>
  <c r="G413" i="18" l="1"/>
  <c r="H413" i="18" s="1"/>
  <c r="D413" i="18"/>
  <c r="B414" i="18"/>
  <c r="D428" i="19"/>
  <c r="B429" i="19"/>
  <c r="G428" i="19"/>
  <c r="H428" i="19" s="1"/>
  <c r="D414" i="18" l="1"/>
  <c r="B415" i="18"/>
  <c r="G414" i="18"/>
  <c r="H414" i="18" s="1"/>
  <c r="B430" i="19"/>
  <c r="D429" i="19"/>
  <c r="G429" i="19"/>
  <c r="H429" i="19" s="1"/>
  <c r="B431" i="19" l="1"/>
  <c r="D430" i="19"/>
  <c r="G430" i="19"/>
  <c r="H430" i="19" s="1"/>
  <c r="D415" i="18"/>
  <c r="B416" i="18"/>
  <c r="G415" i="18"/>
  <c r="H415" i="18" s="1"/>
  <c r="G416" i="18" l="1"/>
  <c r="H416" i="18" s="1"/>
  <c r="D416" i="18"/>
  <c r="B417" i="18"/>
  <c r="D431" i="19"/>
  <c r="B432" i="19"/>
  <c r="G431" i="19"/>
  <c r="H431" i="19" s="1"/>
  <c r="G432" i="19" l="1"/>
  <c r="H432" i="19" s="1"/>
  <c r="D432" i="19"/>
  <c r="B433" i="19"/>
  <c r="D417" i="18"/>
  <c r="B418" i="18"/>
  <c r="G417" i="18"/>
  <c r="H417" i="18" s="1"/>
  <c r="D418" i="18" l="1"/>
  <c r="B419" i="18"/>
  <c r="G418" i="18"/>
  <c r="H418" i="18" s="1"/>
  <c r="D433" i="19"/>
  <c r="B434" i="19"/>
  <c r="G433" i="19"/>
  <c r="H433" i="19" s="1"/>
  <c r="G419" i="18" l="1"/>
  <c r="H419" i="18" s="1"/>
  <c r="D419" i="18"/>
  <c r="B420" i="18"/>
  <c r="D434" i="19"/>
  <c r="B435" i="19"/>
  <c r="G434" i="19"/>
  <c r="H434" i="19" s="1"/>
  <c r="D435" i="19" l="1"/>
  <c r="B436" i="19"/>
  <c r="G435" i="19"/>
  <c r="H435" i="19" s="1"/>
  <c r="D420" i="18"/>
  <c r="B421" i="18"/>
  <c r="G420" i="18"/>
  <c r="H420" i="18" s="1"/>
  <c r="D421" i="18" l="1"/>
  <c r="B422" i="18"/>
  <c r="G421" i="18"/>
  <c r="H421" i="18" s="1"/>
  <c r="B437" i="19"/>
  <c r="G436" i="19"/>
  <c r="H436" i="19" s="1"/>
  <c r="D436" i="19"/>
  <c r="G437" i="19" l="1"/>
  <c r="H437" i="19" s="1"/>
  <c r="D437" i="19"/>
  <c r="B438" i="19"/>
  <c r="G422" i="18"/>
  <c r="H422" i="18" s="1"/>
  <c r="D422" i="18"/>
  <c r="B423" i="18"/>
  <c r="G438" i="19" l="1"/>
  <c r="H438" i="19" s="1"/>
  <c r="D438" i="19"/>
  <c r="B439" i="19"/>
  <c r="D423" i="18"/>
  <c r="B424" i="18"/>
  <c r="G423" i="18"/>
  <c r="H423" i="18" s="1"/>
  <c r="G439" i="19" l="1"/>
  <c r="H439" i="19" s="1"/>
  <c r="D439" i="19"/>
  <c r="B440" i="19"/>
  <c r="D424" i="18"/>
  <c r="B425" i="18"/>
  <c r="G424" i="18"/>
  <c r="H424" i="18" s="1"/>
  <c r="G440" i="19" l="1"/>
  <c r="H440" i="19" s="1"/>
  <c r="D440" i="19"/>
  <c r="B441" i="19"/>
  <c r="G425" i="18"/>
  <c r="H425" i="18" s="1"/>
  <c r="D425" i="18"/>
  <c r="B426" i="18"/>
  <c r="D426" i="18" l="1"/>
  <c r="B427" i="18"/>
  <c r="G426" i="18"/>
  <c r="H426" i="18" s="1"/>
  <c r="D441" i="19"/>
  <c r="B442" i="19"/>
  <c r="G441" i="19"/>
  <c r="H441" i="19" s="1"/>
  <c r="D427" i="18" l="1"/>
  <c r="B428" i="18"/>
  <c r="G427" i="18"/>
  <c r="H427" i="18" s="1"/>
  <c r="B443" i="19"/>
  <c r="G442" i="19"/>
  <c r="H442" i="19" s="1"/>
  <c r="D442" i="19"/>
  <c r="B444" i="19" l="1"/>
  <c r="G443" i="19"/>
  <c r="H443" i="19" s="1"/>
  <c r="D443" i="19"/>
  <c r="G428" i="18"/>
  <c r="H428" i="18" s="1"/>
  <c r="D428" i="18"/>
  <c r="B429" i="18"/>
  <c r="D429" i="18" l="1"/>
  <c r="B430" i="18"/>
  <c r="G429" i="18"/>
  <c r="H429" i="18" s="1"/>
  <c r="G444" i="19"/>
  <c r="H444" i="19" s="1"/>
  <c r="D444" i="19"/>
  <c r="B445" i="19"/>
  <c r="G445" i="19" l="1"/>
  <c r="H445" i="19" s="1"/>
  <c r="D445" i="19"/>
  <c r="B446" i="19"/>
  <c r="D430" i="18"/>
  <c r="B431" i="18"/>
  <c r="G430" i="18"/>
  <c r="H430" i="18" s="1"/>
  <c r="G431" i="18" l="1"/>
  <c r="H431" i="18" s="1"/>
  <c r="D431" i="18"/>
  <c r="B432" i="18"/>
  <c r="G446" i="19"/>
  <c r="H446" i="19" s="1"/>
  <c r="B447" i="19"/>
  <c r="D446" i="19"/>
  <c r="D432" i="18" l="1"/>
  <c r="B433" i="18"/>
  <c r="G432" i="18"/>
  <c r="H432" i="18" s="1"/>
  <c r="G447" i="19"/>
  <c r="H447" i="19" s="1"/>
  <c r="B448" i="19"/>
  <c r="D447" i="19"/>
  <c r="D433" i="18" l="1"/>
  <c r="B434" i="18"/>
  <c r="G433" i="18"/>
  <c r="H433" i="18" s="1"/>
  <c r="G448" i="19"/>
  <c r="H448" i="19" s="1"/>
  <c r="B449" i="19"/>
  <c r="D448" i="19"/>
  <c r="G434" i="18" l="1"/>
  <c r="H434" i="18" s="1"/>
  <c r="D434" i="18"/>
  <c r="B435" i="18"/>
  <c r="G449" i="19"/>
  <c r="H449" i="19" s="1"/>
  <c r="D449" i="19"/>
  <c r="B450" i="19"/>
  <c r="D450" i="19" l="1"/>
  <c r="G450" i="19"/>
  <c r="H450" i="19" s="1"/>
  <c r="B451" i="19"/>
  <c r="D435" i="18"/>
  <c r="B436" i="18"/>
  <c r="G435" i="18"/>
  <c r="H435" i="18" s="1"/>
  <c r="D436" i="18" l="1"/>
  <c r="B437" i="18"/>
  <c r="G436" i="18"/>
  <c r="H436" i="18" s="1"/>
  <c r="D451" i="19"/>
  <c r="B452" i="19"/>
  <c r="G451" i="19"/>
  <c r="H451" i="19" s="1"/>
  <c r="B453" i="19" l="1"/>
  <c r="D452" i="19"/>
  <c r="G452" i="19"/>
  <c r="H452" i="19" s="1"/>
  <c r="G437" i="18"/>
  <c r="H437" i="18" s="1"/>
  <c r="D437" i="18"/>
  <c r="B438" i="18"/>
  <c r="B454" i="19" l="1"/>
  <c r="D453" i="19"/>
  <c r="G453" i="19"/>
  <c r="H453" i="19" s="1"/>
  <c r="D438" i="18"/>
  <c r="B439" i="18"/>
  <c r="G438" i="18"/>
  <c r="H438" i="18" s="1"/>
  <c r="D454" i="19" l="1"/>
  <c r="B455" i="19"/>
  <c r="G454" i="19"/>
  <c r="H454" i="19" s="1"/>
  <c r="D439" i="18"/>
  <c r="B440" i="18"/>
  <c r="G439" i="18"/>
  <c r="H439" i="18" s="1"/>
  <c r="G440" i="18" l="1"/>
  <c r="H440" i="18" s="1"/>
  <c r="D440" i="18"/>
  <c r="B441" i="18"/>
  <c r="G455" i="19"/>
  <c r="H455" i="19" s="1"/>
  <c r="D455" i="19"/>
  <c r="B456" i="19"/>
  <c r="D456" i="19" l="1"/>
  <c r="G456" i="19"/>
  <c r="H456" i="19" s="1"/>
  <c r="B457" i="19"/>
  <c r="D441" i="18"/>
  <c r="B442" i="18"/>
  <c r="G441" i="18"/>
  <c r="H441" i="18" s="1"/>
  <c r="D442" i="18" l="1"/>
  <c r="B443" i="18"/>
  <c r="G442" i="18"/>
  <c r="H442" i="18" s="1"/>
  <c r="D457" i="19"/>
  <c r="G457" i="19"/>
  <c r="H457" i="19" s="1"/>
  <c r="B458" i="19"/>
  <c r="G443" i="18" l="1"/>
  <c r="H443" i="18" s="1"/>
  <c r="D443" i="18"/>
  <c r="B444" i="18"/>
  <c r="D458" i="19"/>
  <c r="B459" i="19"/>
  <c r="G458" i="19"/>
  <c r="H458" i="19" s="1"/>
  <c r="B460" i="19" l="1"/>
  <c r="B461" i="19" s="1"/>
  <c r="D459" i="19"/>
  <c r="G459" i="19"/>
  <c r="H459" i="19" s="1"/>
  <c r="D444" i="18"/>
  <c r="B445" i="18"/>
  <c r="G444" i="18"/>
  <c r="H444" i="18" s="1"/>
  <c r="B462" i="19" l="1"/>
  <c r="D461" i="19"/>
  <c r="G461" i="19"/>
  <c r="H461" i="19" s="1"/>
  <c r="D445" i="18"/>
  <c r="B446" i="18"/>
  <c r="G445" i="18"/>
  <c r="H445" i="18" s="1"/>
  <c r="D460" i="19"/>
  <c r="G460" i="19"/>
  <c r="H460" i="19" s="1"/>
  <c r="D462" i="19" l="1"/>
  <c r="G462" i="19"/>
  <c r="H462" i="19" s="1"/>
  <c r="B463" i="19"/>
  <c r="G446" i="18"/>
  <c r="H446" i="18" s="1"/>
  <c r="D446" i="18"/>
  <c r="B447" i="18"/>
  <c r="D463" i="19" l="1"/>
  <c r="G463" i="19"/>
  <c r="H463" i="19" s="1"/>
  <c r="B464" i="19"/>
  <c r="D447" i="18"/>
  <c r="B448" i="18"/>
  <c r="G447" i="18"/>
  <c r="H447" i="18" s="1"/>
  <c r="D464" i="19" l="1"/>
  <c r="G464" i="19"/>
  <c r="H464" i="19" s="1"/>
  <c r="B465" i="19"/>
  <c r="D448" i="18"/>
  <c r="B449" i="18"/>
  <c r="G448" i="18"/>
  <c r="H448" i="18" s="1"/>
  <c r="D465" i="19" l="1"/>
  <c r="G465" i="19"/>
  <c r="H465" i="19" s="1"/>
  <c r="B466" i="19"/>
  <c r="G449" i="18"/>
  <c r="H449" i="18" s="1"/>
  <c r="D449" i="18"/>
  <c r="B450" i="18"/>
  <c r="D466" i="19" l="1"/>
  <c r="G466" i="19"/>
  <c r="H466" i="19" s="1"/>
  <c r="B467" i="19"/>
  <c r="D450" i="18"/>
  <c r="B451" i="18"/>
  <c r="G450" i="18"/>
  <c r="H450" i="18" s="1"/>
  <c r="D467" i="19" l="1"/>
  <c r="G467" i="19"/>
  <c r="H467" i="19" s="1"/>
  <c r="B468" i="19"/>
  <c r="D451" i="18"/>
  <c r="B452" i="18"/>
  <c r="G451" i="18"/>
  <c r="H451" i="18" s="1"/>
  <c r="D468" i="19" l="1"/>
  <c r="G468" i="19"/>
  <c r="H468" i="19" s="1"/>
  <c r="B469" i="19"/>
  <c r="G452" i="18"/>
  <c r="H452" i="18" s="1"/>
  <c r="D452" i="18"/>
  <c r="B453" i="18"/>
  <c r="D469" i="19" l="1"/>
  <c r="G469" i="19"/>
  <c r="H469" i="19" s="1"/>
  <c r="B470" i="19"/>
  <c r="D453" i="18"/>
  <c r="B454" i="18"/>
  <c r="G453" i="18"/>
  <c r="H453" i="18" s="1"/>
  <c r="D470" i="19" l="1"/>
  <c r="G470" i="19"/>
  <c r="H470" i="19" s="1"/>
  <c r="B471" i="19"/>
  <c r="D454" i="18"/>
  <c r="B455" i="18"/>
  <c r="G454" i="18"/>
  <c r="H454" i="18" s="1"/>
  <c r="D471" i="19" l="1"/>
  <c r="G471" i="19"/>
  <c r="H471" i="19" s="1"/>
  <c r="B472" i="19"/>
  <c r="B456" i="18"/>
  <c r="G455" i="18"/>
  <c r="H455" i="18" s="1"/>
  <c r="D455" i="18"/>
  <c r="D472" i="19" l="1"/>
  <c r="G472" i="19"/>
  <c r="H472" i="19" s="1"/>
  <c r="B473" i="19"/>
  <c r="D456" i="18"/>
  <c r="B457" i="18"/>
  <c r="G456" i="18"/>
  <c r="H456" i="18" s="1"/>
  <c r="D473" i="19" l="1"/>
  <c r="G473" i="19"/>
  <c r="H473" i="19" s="1"/>
  <c r="B474" i="19"/>
  <c r="D457" i="18"/>
  <c r="B458" i="18"/>
  <c r="G457" i="18"/>
  <c r="H457" i="18" s="1"/>
  <c r="D474" i="19" l="1"/>
  <c r="G474" i="19"/>
  <c r="H474" i="19" s="1"/>
  <c r="B475" i="19"/>
  <c r="G458" i="18"/>
  <c r="H458" i="18" s="1"/>
  <c r="D458" i="18"/>
  <c r="B459" i="18"/>
  <c r="D475" i="19" l="1"/>
  <c r="G475" i="19"/>
  <c r="H475" i="19" s="1"/>
  <c r="B476" i="19"/>
  <c r="B460" i="18"/>
  <c r="B461" i="18" s="1"/>
  <c r="D459" i="18"/>
  <c r="G459" i="18"/>
  <c r="H459" i="18" s="1"/>
  <c r="D476" i="19" l="1"/>
  <c r="G476" i="19"/>
  <c r="H476" i="19" s="1"/>
  <c r="B477" i="19"/>
  <c r="B462" i="18"/>
  <c r="D461" i="18"/>
  <c r="G461" i="18"/>
  <c r="H461" i="18" s="1"/>
  <c r="D460" i="18"/>
  <c r="G460" i="18"/>
  <c r="H460" i="18" s="1"/>
  <c r="D462" i="18" l="1"/>
  <c r="G462" i="18"/>
  <c r="H462" i="18" s="1"/>
  <c r="B463" i="18"/>
  <c r="D477" i="19"/>
  <c r="G477" i="19"/>
  <c r="H477" i="19" s="1"/>
  <c r="B478" i="19"/>
  <c r="D463" i="18" l="1"/>
  <c r="G463" i="18"/>
  <c r="H463" i="18" s="1"/>
  <c r="B464" i="18"/>
  <c r="D478" i="19"/>
  <c r="G478" i="19"/>
  <c r="H478" i="19" s="1"/>
  <c r="B479" i="19"/>
  <c r="D464" i="18" l="1"/>
  <c r="G464" i="18"/>
  <c r="H464" i="18" s="1"/>
  <c r="B465" i="18"/>
  <c r="D479" i="19"/>
  <c r="G479" i="19"/>
  <c r="H479" i="19" s="1"/>
  <c r="B480" i="19"/>
  <c r="D465" i="18" l="1"/>
  <c r="G465" i="18"/>
  <c r="H465" i="18" s="1"/>
  <c r="B466" i="18"/>
  <c r="D480" i="19"/>
  <c r="G480" i="19"/>
  <c r="H480" i="19" s="1"/>
  <c r="B481" i="19"/>
  <c r="D466" i="18" l="1"/>
  <c r="G466" i="18"/>
  <c r="H466" i="18" s="1"/>
  <c r="B467" i="18"/>
  <c r="D481" i="19"/>
  <c r="G481" i="19"/>
  <c r="H481" i="19" s="1"/>
  <c r="B482" i="19"/>
  <c r="D467" i="18" l="1"/>
  <c r="G467" i="18"/>
  <c r="H467" i="18" s="1"/>
  <c r="B468" i="18"/>
  <c r="D482" i="19"/>
  <c r="G482" i="19"/>
  <c r="H482" i="19" s="1"/>
  <c r="B483" i="19"/>
  <c r="D483" i="19" l="1"/>
  <c r="G483" i="19"/>
  <c r="H483" i="19" s="1"/>
  <c r="B484" i="19"/>
  <c r="D468" i="18"/>
  <c r="G468" i="18"/>
  <c r="H468" i="18" s="1"/>
  <c r="B469" i="18"/>
  <c r="D469" i="18" l="1"/>
  <c r="G469" i="18"/>
  <c r="H469" i="18" s="1"/>
  <c r="B470" i="18"/>
  <c r="D484" i="19"/>
  <c r="G484" i="19"/>
  <c r="H484" i="19" s="1"/>
  <c r="B485" i="19"/>
  <c r="D485" i="19" l="1"/>
  <c r="G485" i="19"/>
  <c r="H485" i="19" s="1"/>
  <c r="B486" i="19"/>
  <c r="D470" i="18"/>
  <c r="G470" i="18"/>
  <c r="H470" i="18" s="1"/>
  <c r="B471" i="18"/>
  <c r="D486" i="19" l="1"/>
  <c r="G486" i="19"/>
  <c r="H486" i="19" s="1"/>
  <c r="B487" i="19"/>
  <c r="D471" i="18"/>
  <c r="G471" i="18"/>
  <c r="H471" i="18" s="1"/>
  <c r="B472" i="18"/>
  <c r="D472" i="18" l="1"/>
  <c r="G472" i="18"/>
  <c r="H472" i="18" s="1"/>
  <c r="B473" i="18"/>
  <c r="D487" i="19"/>
  <c r="G487" i="19"/>
  <c r="H487" i="19" s="1"/>
  <c r="B488" i="19"/>
  <c r="D473" i="18" l="1"/>
  <c r="G473" i="18"/>
  <c r="H473" i="18" s="1"/>
  <c r="B474" i="18"/>
  <c r="D488" i="19"/>
  <c r="G488" i="19"/>
  <c r="H488" i="19" s="1"/>
  <c r="B489" i="19"/>
  <c r="D489" i="19" l="1"/>
  <c r="G489" i="19"/>
  <c r="H489" i="19" s="1"/>
  <c r="B490" i="19"/>
  <c r="D474" i="18"/>
  <c r="G474" i="18"/>
  <c r="H474" i="18" s="1"/>
  <c r="B475" i="18"/>
  <c r="D475" i="18" l="1"/>
  <c r="G475" i="18"/>
  <c r="H475" i="18" s="1"/>
  <c r="B476" i="18"/>
  <c r="B491" i="19"/>
  <c r="D490" i="19"/>
  <c r="G490" i="19"/>
  <c r="H490" i="19" s="1"/>
  <c r="D491" i="19" l="1"/>
  <c r="G491" i="19"/>
  <c r="H491" i="19" s="1"/>
  <c r="D476" i="18"/>
  <c r="G476" i="18"/>
  <c r="H476" i="18" s="1"/>
  <c r="B477" i="18"/>
  <c r="D477" i="18" l="1"/>
  <c r="G477" i="18"/>
  <c r="H477" i="18" s="1"/>
  <c r="B478" i="18"/>
  <c r="D478" i="18" l="1"/>
  <c r="G478" i="18"/>
  <c r="H478" i="18" s="1"/>
  <c r="B479" i="18"/>
  <c r="D479" i="18" l="1"/>
  <c r="G479" i="18"/>
  <c r="H479" i="18" s="1"/>
  <c r="B480" i="18"/>
  <c r="D480" i="18" l="1"/>
  <c r="G480" i="18"/>
  <c r="H480" i="18" s="1"/>
  <c r="B481" i="18"/>
  <c r="D481" i="18" l="1"/>
  <c r="G481" i="18"/>
  <c r="H481" i="18" s="1"/>
  <c r="B482" i="18"/>
  <c r="D482" i="18" l="1"/>
  <c r="G482" i="18"/>
  <c r="H482" i="18" s="1"/>
  <c r="B483" i="18"/>
  <c r="D483" i="18" l="1"/>
  <c r="G483" i="18"/>
  <c r="H483" i="18" s="1"/>
  <c r="B484" i="18"/>
  <c r="B485" i="18" l="1"/>
  <c r="D484" i="18"/>
  <c r="G484" i="18"/>
  <c r="H484" i="18" s="1"/>
  <c r="D485" i="18" l="1"/>
  <c r="G485" i="18"/>
  <c r="H485" i="18" s="1"/>
  <c r="B486" i="18"/>
  <c r="D486" i="18" l="1"/>
  <c r="G486" i="18"/>
  <c r="H486" i="18" s="1"/>
  <c r="B487" i="18"/>
  <c r="D487" i="18" l="1"/>
  <c r="G487" i="18"/>
  <c r="H487" i="18" s="1"/>
  <c r="B488" i="18"/>
  <c r="D488" i="18" l="1"/>
  <c r="G488" i="18"/>
  <c r="H488" i="18" s="1"/>
  <c r="B489" i="18"/>
  <c r="D489" i="18" l="1"/>
  <c r="G489" i="18"/>
  <c r="H489" i="18" s="1"/>
  <c r="B490" i="18"/>
  <c r="D490" i="18" l="1"/>
  <c r="G490" i="18"/>
  <c r="H490" i="18" s="1"/>
  <c r="A3" i="22" l="1"/>
  <c r="B2" i="22"/>
  <c r="C2" i="22"/>
  <c r="E2" i="22"/>
  <c r="D2" i="22"/>
  <c r="AD2" i="22" l="1"/>
  <c r="AR3" i="22"/>
  <c r="AH2" i="22"/>
  <c r="AG2" i="22"/>
  <c r="AF2" i="22"/>
  <c r="AE2" i="22"/>
  <c r="AC2" i="22"/>
  <c r="X2" i="22"/>
  <c r="A4" i="22"/>
  <c r="C3" i="22"/>
  <c r="B3" i="22"/>
  <c r="D3" i="22"/>
  <c r="E3" i="22"/>
  <c r="AD3" i="22" l="1"/>
  <c r="AR4" i="22"/>
  <c r="AA2" i="22"/>
  <c r="O2" i="22" s="1"/>
  <c r="V2" i="22"/>
  <c r="AB2" i="22"/>
  <c r="Z2" i="22"/>
  <c r="Y2" i="22"/>
  <c r="AH3" i="22"/>
  <c r="AG3" i="22"/>
  <c r="AF3" i="22"/>
  <c r="AE3" i="22"/>
  <c r="AC3" i="22"/>
  <c r="D4" i="1"/>
  <c r="H4" i="1"/>
  <c r="B5" i="1"/>
  <c r="C4" i="1"/>
  <c r="G4" i="1"/>
  <c r="F2" i="22"/>
  <c r="G2" i="22"/>
  <c r="A5" i="22"/>
  <c r="B4" i="22"/>
  <c r="C4" i="22"/>
  <c r="D4" i="22"/>
  <c r="E4" i="22"/>
  <c r="AD4" i="22" l="1"/>
  <c r="AR5" i="22"/>
  <c r="M3" i="22"/>
  <c r="N3" i="22"/>
  <c r="K3" i="22"/>
  <c r="I3" i="22"/>
  <c r="L3" i="22"/>
  <c r="R2" i="22"/>
  <c r="U2" i="22"/>
  <c r="W2" i="22"/>
  <c r="AH4" i="22"/>
  <c r="AG4" i="22"/>
  <c r="AF4" i="22"/>
  <c r="AE4" i="22"/>
  <c r="AC4" i="22"/>
  <c r="D5" i="1"/>
  <c r="B6" i="1"/>
  <c r="C5" i="1"/>
  <c r="G5" i="1"/>
  <c r="H5" i="1"/>
  <c r="AB3" i="22"/>
  <c r="AA3" i="22"/>
  <c r="X3" i="22"/>
  <c r="Z3" i="22"/>
  <c r="V3" i="22"/>
  <c r="F3" i="22"/>
  <c r="G3" i="22"/>
  <c r="Y3" i="22"/>
  <c r="A6" i="22"/>
  <c r="B5" i="22"/>
  <c r="C5" i="22"/>
  <c r="D5" i="22"/>
  <c r="E5" i="22"/>
  <c r="AD5" i="22" l="1"/>
  <c r="AR6" i="22"/>
  <c r="I4" i="22"/>
  <c r="AB4" i="22"/>
  <c r="AH5" i="22"/>
  <c r="AG5" i="22"/>
  <c r="AC5" i="22"/>
  <c r="AE5" i="22"/>
  <c r="AF5" i="22"/>
  <c r="O3" i="22"/>
  <c r="R3" i="22"/>
  <c r="V4" i="22"/>
  <c r="X4" i="22"/>
  <c r="M4" i="22"/>
  <c r="K4" i="22"/>
  <c r="AA4" i="22"/>
  <c r="R4" i="22" s="1"/>
  <c r="Z4" i="22"/>
  <c r="N4" i="22"/>
  <c r="L4" i="22"/>
  <c r="U3" i="22"/>
  <c r="W3" i="22"/>
  <c r="G6" i="1"/>
  <c r="C6" i="1"/>
  <c r="B7" i="1"/>
  <c r="D6" i="1"/>
  <c r="H6" i="1"/>
  <c r="F4" i="22"/>
  <c r="G4" i="22"/>
  <c r="A7" i="22"/>
  <c r="B6" i="22"/>
  <c r="C6" i="22"/>
  <c r="D6" i="22"/>
  <c r="E6" i="22"/>
  <c r="AD6" i="22" l="1"/>
  <c r="AR7" i="22"/>
  <c r="AH6" i="22"/>
  <c r="AG6" i="22"/>
  <c r="AC6" i="22"/>
  <c r="AE6" i="22"/>
  <c r="AF6" i="22"/>
  <c r="W4" i="22"/>
  <c r="O4" i="22"/>
  <c r="C7" i="1"/>
  <c r="U4" i="22"/>
  <c r="B8" i="1"/>
  <c r="I5" i="5"/>
  <c r="I4" i="5"/>
  <c r="D7" i="1"/>
  <c r="H7" i="1"/>
  <c r="G7" i="1"/>
  <c r="AA5" i="22"/>
  <c r="Z5" i="22"/>
  <c r="N5" i="22"/>
  <c r="V5" i="22"/>
  <c r="AB5" i="22"/>
  <c r="Y5" i="22"/>
  <c r="I5" i="22"/>
  <c r="L5" i="22"/>
  <c r="F5" i="22"/>
  <c r="M5" i="22"/>
  <c r="K5" i="22"/>
  <c r="G5" i="22"/>
  <c r="X5" i="22"/>
  <c r="A8" i="22"/>
  <c r="B7" i="22"/>
  <c r="D7" i="22"/>
  <c r="C7" i="22"/>
  <c r="E7" i="22"/>
  <c r="AD7" i="22" l="1"/>
  <c r="AR8" i="22"/>
  <c r="I6" i="22"/>
  <c r="AH7" i="22"/>
  <c r="AG7" i="22"/>
  <c r="AC7" i="22"/>
  <c r="AE7" i="22"/>
  <c r="AF7" i="22"/>
  <c r="O5" i="22"/>
  <c r="R5" i="22"/>
  <c r="AB6" i="22"/>
  <c r="K6" i="22"/>
  <c r="X6" i="22"/>
  <c r="AA6" i="22"/>
  <c r="M6" i="22"/>
  <c r="N6" i="22"/>
  <c r="Y6" i="22"/>
  <c r="L6" i="22"/>
  <c r="V6" i="22"/>
  <c r="Z6" i="22"/>
  <c r="B9" i="1"/>
  <c r="D8" i="1"/>
  <c r="H8" i="1"/>
  <c r="C8" i="1"/>
  <c r="G8" i="1"/>
  <c r="G6" i="22"/>
  <c r="F6" i="22"/>
  <c r="U5" i="22"/>
  <c r="W5" i="22"/>
  <c r="J4" i="5"/>
  <c r="K4" i="5" s="1"/>
  <c r="J5" i="5"/>
  <c r="K5" i="5" s="1"/>
  <c r="A9" i="22"/>
  <c r="B8" i="22"/>
  <c r="C8" i="22"/>
  <c r="D8" i="22"/>
  <c r="E8" i="22"/>
  <c r="AD8" i="22" l="1"/>
  <c r="AR9" i="22"/>
  <c r="I7" i="22"/>
  <c r="AH8" i="22"/>
  <c r="AG8" i="22"/>
  <c r="AC8" i="22"/>
  <c r="AE8" i="22"/>
  <c r="AF8" i="22"/>
  <c r="O6" i="22"/>
  <c r="R6" i="22"/>
  <c r="W6" i="22"/>
  <c r="U6" i="22"/>
  <c r="H9" i="1"/>
  <c r="C9" i="1"/>
  <c r="G9" i="1"/>
  <c r="D9" i="1"/>
  <c r="B10" i="1"/>
  <c r="I8" i="5"/>
  <c r="I6" i="5"/>
  <c r="I7" i="5"/>
  <c r="Z7" i="22"/>
  <c r="AA7" i="22"/>
  <c r="AB7" i="22"/>
  <c r="Y7" i="22"/>
  <c r="K7" i="22"/>
  <c r="X7" i="22"/>
  <c r="V7" i="22"/>
  <c r="N7" i="22"/>
  <c r="L7" i="22"/>
  <c r="M7" i="22"/>
  <c r="G7" i="22"/>
  <c r="A10" i="22"/>
  <c r="C9" i="22"/>
  <c r="B9" i="22"/>
  <c r="D9" i="22"/>
  <c r="E9" i="22"/>
  <c r="AD9" i="22" l="1"/>
  <c r="AR10" i="22"/>
  <c r="L8" i="22"/>
  <c r="AH9" i="22"/>
  <c r="AG9" i="22"/>
  <c r="AC9" i="22"/>
  <c r="AE9" i="22"/>
  <c r="AF9" i="22"/>
  <c r="O7" i="22"/>
  <c r="R7" i="22"/>
  <c r="AA8" i="22"/>
  <c r="K8" i="22"/>
  <c r="AB8" i="22"/>
  <c r="H10" i="1"/>
  <c r="B11" i="1"/>
  <c r="G11" i="1" s="1"/>
  <c r="G10" i="1"/>
  <c r="Y8" i="22"/>
  <c r="Z8" i="22"/>
  <c r="C10" i="1"/>
  <c r="V8" i="22"/>
  <c r="X8" i="22"/>
  <c r="N8" i="22"/>
  <c r="M8" i="22"/>
  <c r="D10" i="1"/>
  <c r="Y4" i="22"/>
  <c r="U7" i="22"/>
  <c r="J7" i="5"/>
  <c r="K7" i="5" s="1"/>
  <c r="J8" i="5"/>
  <c r="K8" i="5" s="1"/>
  <c r="J6" i="5"/>
  <c r="K6" i="5" s="1"/>
  <c r="W7" i="22"/>
  <c r="F8" i="22"/>
  <c r="G8" i="22"/>
  <c r="A11" i="22"/>
  <c r="B10" i="22"/>
  <c r="C10" i="22"/>
  <c r="D10" i="22"/>
  <c r="E10" i="22"/>
  <c r="AD10" i="22" l="1"/>
  <c r="AR11" i="22"/>
  <c r="D11" i="1"/>
  <c r="C11" i="1"/>
  <c r="H11" i="1"/>
  <c r="AH10" i="22"/>
  <c r="AG10" i="22"/>
  <c r="AC10" i="22"/>
  <c r="AE10" i="22"/>
  <c r="AF10" i="22"/>
  <c r="O8" i="22"/>
  <c r="R8" i="22"/>
  <c r="W8" i="22"/>
  <c r="B12" i="1"/>
  <c r="C12" i="1" s="1"/>
  <c r="AA9" i="22"/>
  <c r="V9" i="22"/>
  <c r="M9" i="22"/>
  <c r="K9" i="22"/>
  <c r="X9" i="22"/>
  <c r="L9" i="22"/>
  <c r="Z9" i="22"/>
  <c r="AB9" i="22"/>
  <c r="Y9" i="22"/>
  <c r="N9" i="22"/>
  <c r="F9" i="22"/>
  <c r="G9" i="22"/>
  <c r="A12" i="22"/>
  <c r="B11" i="22"/>
  <c r="C11" i="22"/>
  <c r="E11" i="22"/>
  <c r="D11" i="22"/>
  <c r="AD11" i="22" l="1"/>
  <c r="AR12" i="22"/>
  <c r="M10" i="22"/>
  <c r="X10" i="22"/>
  <c r="K10" i="22"/>
  <c r="AH11" i="22"/>
  <c r="AG11" i="22"/>
  <c r="AC11" i="22"/>
  <c r="AE11" i="22"/>
  <c r="AF11" i="22"/>
  <c r="O9" i="22"/>
  <c r="R9" i="22"/>
  <c r="AB10" i="22"/>
  <c r="V10" i="22"/>
  <c r="H12" i="1"/>
  <c r="AA10" i="22"/>
  <c r="B13" i="1"/>
  <c r="H13" i="1" s="1"/>
  <c r="G12" i="1"/>
  <c r="L10" i="22"/>
  <c r="Y10" i="22"/>
  <c r="D12" i="1"/>
  <c r="G10" i="22"/>
  <c r="F10" i="22"/>
  <c r="Z10" i="22"/>
  <c r="N10" i="22"/>
  <c r="W9" i="22"/>
  <c r="A13" i="22"/>
  <c r="B12" i="22"/>
  <c r="C12" i="22"/>
  <c r="E12" i="22"/>
  <c r="D12" i="22"/>
  <c r="AD12" i="22" l="1"/>
  <c r="AR13" i="22"/>
  <c r="V11" i="22"/>
  <c r="M11" i="22"/>
  <c r="C13" i="1"/>
  <c r="D13" i="1"/>
  <c r="AH12" i="22"/>
  <c r="AG12" i="22"/>
  <c r="AE12" i="22"/>
  <c r="AC12" i="22"/>
  <c r="AF12" i="22"/>
  <c r="X11" i="22"/>
  <c r="G13" i="1"/>
  <c r="B14" i="1"/>
  <c r="AA12" i="22" s="1"/>
  <c r="O10" i="22"/>
  <c r="R10" i="22"/>
  <c r="W10" i="22"/>
  <c r="I9" i="5"/>
  <c r="N11" i="22"/>
  <c r="AA11" i="22"/>
  <c r="L11" i="22"/>
  <c r="F11" i="22"/>
  <c r="AB11" i="22"/>
  <c r="G11" i="22"/>
  <c r="Y11" i="22"/>
  <c r="K11" i="22"/>
  <c r="Z11" i="22"/>
  <c r="A14" i="22"/>
  <c r="B13" i="22"/>
  <c r="D13" i="22"/>
  <c r="C13" i="22"/>
  <c r="E13" i="22"/>
  <c r="AD13" i="22" l="1"/>
  <c r="AR14" i="22"/>
  <c r="X12" i="22"/>
  <c r="Z12" i="22"/>
  <c r="G14" i="1"/>
  <c r="K12" i="22"/>
  <c r="V12" i="22"/>
  <c r="Y12" i="22"/>
  <c r="D14" i="1"/>
  <c r="C14" i="1"/>
  <c r="H14" i="1"/>
  <c r="L12" i="22"/>
  <c r="B15" i="1"/>
  <c r="D15" i="1" s="1"/>
  <c r="AH13" i="22"/>
  <c r="AG13" i="22"/>
  <c r="AE13" i="22"/>
  <c r="AC13" i="22"/>
  <c r="AF13" i="22"/>
  <c r="O12" i="22"/>
  <c r="R12" i="22"/>
  <c r="O11" i="22"/>
  <c r="R11" i="22"/>
  <c r="J9" i="5"/>
  <c r="K9" i="5" s="1"/>
  <c r="J12" i="5"/>
  <c r="J10" i="5"/>
  <c r="J11" i="5"/>
  <c r="N12" i="22"/>
  <c r="W11" i="22"/>
  <c r="F7" i="22"/>
  <c r="M12" i="22"/>
  <c r="AB12" i="22"/>
  <c r="W12" i="22" s="1"/>
  <c r="F12" i="22"/>
  <c r="G12" i="22"/>
  <c r="A15" i="22"/>
  <c r="B14" i="22"/>
  <c r="D14" i="22"/>
  <c r="C14" i="22"/>
  <c r="E14" i="22"/>
  <c r="AD14" i="22" l="1"/>
  <c r="AR15" i="22"/>
  <c r="X13" i="22"/>
  <c r="Y13" i="22"/>
  <c r="Z13" i="22"/>
  <c r="K13" i="22"/>
  <c r="V13" i="22"/>
  <c r="G15" i="1"/>
  <c r="L13" i="22"/>
  <c r="M13" i="22"/>
  <c r="C15" i="1"/>
  <c r="B16" i="1"/>
  <c r="H16" i="1" s="1"/>
  <c r="H15" i="1"/>
  <c r="N13" i="22"/>
  <c r="AB13" i="22"/>
  <c r="AA13" i="22"/>
  <c r="F13" i="22"/>
  <c r="G13" i="22"/>
  <c r="AG14" i="22"/>
  <c r="AH14" i="22"/>
  <c r="AC14" i="22"/>
  <c r="AE14" i="22"/>
  <c r="AF14" i="22"/>
  <c r="A16" i="22"/>
  <c r="B15" i="22"/>
  <c r="C15" i="22"/>
  <c r="D15" i="22"/>
  <c r="E15" i="22"/>
  <c r="AD15" i="22" l="1"/>
  <c r="AR16" i="22"/>
  <c r="N14" i="22"/>
  <c r="V14" i="22"/>
  <c r="L14" i="22"/>
  <c r="Y14" i="22"/>
  <c r="G14" i="22"/>
  <c r="K14" i="22"/>
  <c r="Z14" i="22"/>
  <c r="F14" i="22"/>
  <c r="M14" i="22"/>
  <c r="D16" i="1"/>
  <c r="G16" i="1"/>
  <c r="B17" i="1"/>
  <c r="C16" i="1"/>
  <c r="AB14" i="22"/>
  <c r="X14" i="22"/>
  <c r="AA14" i="22"/>
  <c r="R14" i="22" s="1"/>
  <c r="O13" i="22"/>
  <c r="R13" i="22"/>
  <c r="W13" i="22"/>
  <c r="AG15" i="22"/>
  <c r="AH15" i="22"/>
  <c r="AC15" i="22"/>
  <c r="AE15" i="22"/>
  <c r="AF15" i="22"/>
  <c r="I12" i="5"/>
  <c r="K12" i="5" s="1"/>
  <c r="I10" i="5"/>
  <c r="K10" i="5" s="1"/>
  <c r="I14" i="5"/>
  <c r="I13" i="5"/>
  <c r="I11" i="5"/>
  <c r="K11" i="5" s="1"/>
  <c r="A17" i="22"/>
  <c r="B16" i="22"/>
  <c r="C16" i="22"/>
  <c r="E16" i="22"/>
  <c r="D16" i="22"/>
  <c r="AD16" i="22" l="1"/>
  <c r="AR17" i="22"/>
  <c r="O14" i="22"/>
  <c r="W14" i="22"/>
  <c r="X15" i="22"/>
  <c r="F15" i="22"/>
  <c r="M15" i="22"/>
  <c r="N15" i="22"/>
  <c r="D17" i="1"/>
  <c r="C17" i="1"/>
  <c r="Y15" i="22"/>
  <c r="H17" i="1"/>
  <c r="G15" i="22"/>
  <c r="AA15" i="22"/>
  <c r="V15" i="22"/>
  <c r="B18" i="1"/>
  <c r="V16" i="22" s="1"/>
  <c r="AB15" i="22"/>
  <c r="L15" i="22"/>
  <c r="K15" i="22"/>
  <c r="G17" i="1"/>
  <c r="Z15" i="22"/>
  <c r="AH16" i="22"/>
  <c r="AG16" i="22"/>
  <c r="AE16" i="22"/>
  <c r="AC16" i="22"/>
  <c r="AF16" i="22"/>
  <c r="J14" i="5"/>
  <c r="K14" i="5" s="1"/>
  <c r="J13" i="5"/>
  <c r="K13" i="5" s="1"/>
  <c r="B17" i="22"/>
  <c r="C17" i="22"/>
  <c r="A18" i="22"/>
  <c r="D17" i="22"/>
  <c r="E17" i="22"/>
  <c r="AD17" i="22" l="1"/>
  <c r="AR18" i="22"/>
  <c r="AB16" i="22"/>
  <c r="R15" i="22"/>
  <c r="O15" i="22"/>
  <c r="Y16" i="22"/>
  <c r="AA16" i="22"/>
  <c r="O16" i="22" s="1"/>
  <c r="Z16" i="22"/>
  <c r="L16" i="22"/>
  <c r="C18" i="1"/>
  <c r="W15" i="22"/>
  <c r="N16" i="22"/>
  <c r="K16" i="22"/>
  <c r="F16" i="22"/>
  <c r="G16" i="22"/>
  <c r="D18" i="1"/>
  <c r="M16" i="22"/>
  <c r="B19" i="1"/>
  <c r="AA17" i="22" s="1"/>
  <c r="G18" i="1"/>
  <c r="X16" i="22"/>
  <c r="H18" i="1"/>
  <c r="AH17" i="22"/>
  <c r="AG17" i="22"/>
  <c r="AE17" i="22"/>
  <c r="AC17" i="22"/>
  <c r="AF17" i="22"/>
  <c r="I16" i="5"/>
  <c r="I15" i="5"/>
  <c r="A19" i="22"/>
  <c r="B18" i="22"/>
  <c r="C18" i="22"/>
  <c r="D18" i="22"/>
  <c r="E18" i="22"/>
  <c r="AD18" i="22" l="1"/>
  <c r="AR19" i="22"/>
  <c r="W16" i="22"/>
  <c r="R16" i="22"/>
  <c r="X17" i="22"/>
  <c r="N17" i="22"/>
  <c r="Y17" i="22"/>
  <c r="V17" i="22"/>
  <c r="G17" i="22"/>
  <c r="L17" i="22"/>
  <c r="F17" i="22"/>
  <c r="AB17" i="22"/>
  <c r="W17" i="22" s="1"/>
  <c r="G19" i="1"/>
  <c r="M17" i="22"/>
  <c r="D19" i="1"/>
  <c r="Z17" i="22"/>
  <c r="C19" i="1"/>
  <c r="K17" i="22"/>
  <c r="B20" i="1"/>
  <c r="AA18" i="22" s="1"/>
  <c r="R18" i="22" s="1"/>
  <c r="H19" i="1"/>
  <c r="AH18" i="22"/>
  <c r="AG18" i="22"/>
  <c r="AC18" i="22"/>
  <c r="AE18" i="22"/>
  <c r="AF18" i="22"/>
  <c r="O17" i="22"/>
  <c r="R17" i="22"/>
  <c r="I17" i="5"/>
  <c r="J15" i="5"/>
  <c r="K15" i="5" s="1"/>
  <c r="J16" i="5"/>
  <c r="K16" i="5" s="1"/>
  <c r="A20" i="22"/>
  <c r="B19" i="22"/>
  <c r="C19" i="22"/>
  <c r="D19" i="22"/>
  <c r="E19" i="22"/>
  <c r="AD19" i="22" l="1"/>
  <c r="AR20" i="22"/>
  <c r="Z18" i="22"/>
  <c r="L18" i="22"/>
  <c r="AB18" i="22"/>
  <c r="W18" i="22" s="1"/>
  <c r="H20" i="1"/>
  <c r="G20" i="1"/>
  <c r="O18" i="22"/>
  <c r="M18" i="22"/>
  <c r="X18" i="22"/>
  <c r="C20" i="1"/>
  <c r="J17" i="5" s="1"/>
  <c r="K17" i="5" s="1"/>
  <c r="D20" i="1"/>
  <c r="K18" i="22"/>
  <c r="B21" i="1"/>
  <c r="L19" i="22" s="1"/>
  <c r="Y18" i="22"/>
  <c r="N18" i="22"/>
  <c r="V18" i="22"/>
  <c r="G18" i="22"/>
  <c r="F18" i="22"/>
  <c r="AH19" i="22"/>
  <c r="AG19" i="22"/>
  <c r="AC19" i="22"/>
  <c r="AE19" i="22"/>
  <c r="AF19" i="22"/>
  <c r="A21" i="22"/>
  <c r="B20" i="22"/>
  <c r="D20" i="22"/>
  <c r="C20" i="22"/>
  <c r="E20" i="22"/>
  <c r="AD20" i="22" l="1"/>
  <c r="AR21" i="22"/>
  <c r="O11" i="20"/>
  <c r="K19" i="22"/>
  <c r="Z19" i="22"/>
  <c r="N19" i="22"/>
  <c r="C21" i="1"/>
  <c r="V20" i="22"/>
  <c r="Z21" i="22"/>
  <c r="G20" i="22"/>
  <c r="X20" i="22"/>
  <c r="H21" i="1"/>
  <c r="AB19" i="22"/>
  <c r="AB20" i="22"/>
  <c r="K20" i="22"/>
  <c r="X19" i="22"/>
  <c r="G19" i="22"/>
  <c r="F20" i="22"/>
  <c r="N20" i="22"/>
  <c r="G21" i="1"/>
  <c r="M19" i="22"/>
  <c r="AA20" i="22"/>
  <c r="R20" i="22" s="1"/>
  <c r="V19" i="22"/>
  <c r="P11" i="20"/>
  <c r="L20" i="22"/>
  <c r="M20" i="22"/>
  <c r="Z20" i="22"/>
  <c r="D21" i="1"/>
  <c r="AA19" i="22"/>
  <c r="R19" i="22" s="1"/>
  <c r="F19" i="22"/>
  <c r="Y20" i="22"/>
  <c r="I86" i="22"/>
  <c r="I18" i="22"/>
  <c r="U18" i="22" s="1"/>
  <c r="I280" i="22"/>
  <c r="I367" i="22"/>
  <c r="I37" i="22"/>
  <c r="I122" i="22"/>
  <c r="I137" i="22"/>
  <c r="I49" i="22"/>
  <c r="I52" i="22"/>
  <c r="I347" i="22"/>
  <c r="I277" i="22"/>
  <c r="I289" i="22"/>
  <c r="I129" i="22"/>
  <c r="I105" i="22"/>
  <c r="I64" i="22"/>
  <c r="I297" i="22"/>
  <c r="I16" i="22"/>
  <c r="U16" i="22" s="1"/>
  <c r="I273" i="22"/>
  <c r="I225" i="22"/>
  <c r="I109" i="22"/>
  <c r="I19" i="22"/>
  <c r="I51" i="22"/>
  <c r="I84" i="22"/>
  <c r="I40" i="22"/>
  <c r="I44" i="22"/>
  <c r="I8" i="22"/>
  <c r="U8" i="22" s="1"/>
  <c r="I213" i="22"/>
  <c r="I162" i="22"/>
  <c r="I163" i="22"/>
  <c r="I151" i="22"/>
  <c r="I43" i="22"/>
  <c r="I23" i="22"/>
  <c r="I202" i="22"/>
  <c r="I158" i="22"/>
  <c r="I207" i="22"/>
  <c r="I147" i="22"/>
  <c r="I217" i="22"/>
  <c r="I32" i="22"/>
  <c r="I198" i="22"/>
  <c r="I231" i="22"/>
  <c r="I187" i="22"/>
  <c r="I191" i="22"/>
  <c r="I67" i="22"/>
  <c r="I164" i="22"/>
  <c r="I120" i="22"/>
  <c r="I38" i="22"/>
  <c r="I24" i="22"/>
  <c r="I265" i="22"/>
  <c r="I178" i="22"/>
  <c r="I243" i="22"/>
  <c r="I276" i="22"/>
  <c r="I232" i="22"/>
  <c r="I236" i="22"/>
  <c r="I195" i="22"/>
  <c r="I292" i="22"/>
  <c r="I248" i="22"/>
  <c r="I42" i="22"/>
  <c r="I14" i="22"/>
  <c r="U14" i="22" s="1"/>
  <c r="I54" i="22"/>
  <c r="I239" i="22"/>
  <c r="I304" i="22"/>
  <c r="I34" i="22"/>
  <c r="I149" i="22"/>
  <c r="I258" i="22"/>
  <c r="I150" i="22"/>
  <c r="I247" i="22"/>
  <c r="I203" i="22"/>
  <c r="I252" i="22"/>
  <c r="I208" i="22"/>
  <c r="I352" i="22"/>
  <c r="I324" i="22"/>
  <c r="I216" i="22"/>
  <c r="I278" i="22"/>
  <c r="I36" i="22"/>
  <c r="I331" i="22"/>
  <c r="I281" i="22"/>
  <c r="I336" i="22"/>
  <c r="I249" i="22"/>
  <c r="I306" i="22"/>
  <c r="I48" i="22"/>
  <c r="I169" i="22"/>
  <c r="I360" i="22"/>
  <c r="I364" i="22"/>
  <c r="I256" i="22"/>
  <c r="I141" i="22"/>
  <c r="I293" i="22"/>
  <c r="I310" i="22"/>
  <c r="I298" i="22"/>
  <c r="I340" i="22"/>
  <c r="I313" i="22"/>
  <c r="I328" i="22"/>
  <c r="I113" i="22"/>
  <c r="I103" i="22"/>
  <c r="I59" i="22"/>
  <c r="I63" i="22"/>
  <c r="I98" i="22"/>
  <c r="I85" i="22"/>
  <c r="I193" i="22"/>
  <c r="I99" i="22"/>
  <c r="I87" i="22"/>
  <c r="I318" i="22"/>
  <c r="I26" i="22"/>
  <c r="I353" i="22"/>
  <c r="I177" i="22"/>
  <c r="I143" i="22"/>
  <c r="I83" i="22"/>
  <c r="I346" i="22"/>
  <c r="I302" i="22"/>
  <c r="I76" i="22"/>
  <c r="I309" i="22"/>
  <c r="I233" i="22"/>
  <c r="I145" i="22"/>
  <c r="I183" i="22"/>
  <c r="I139" i="22"/>
  <c r="I188" i="22"/>
  <c r="I144" i="22"/>
  <c r="I185" i="22"/>
  <c r="I257" i="22"/>
  <c r="I179" i="22"/>
  <c r="I212" i="22"/>
  <c r="I168" i="22"/>
  <c r="I172" i="22"/>
  <c r="I154" i="22"/>
  <c r="I241" i="22"/>
  <c r="I223" i="22"/>
  <c r="I224" i="22"/>
  <c r="I196" i="22"/>
  <c r="I88" i="22"/>
  <c r="I92" i="22"/>
  <c r="I78" i="22"/>
  <c r="I12" i="22"/>
  <c r="U12" i="22" s="1"/>
  <c r="I146" i="22"/>
  <c r="I209" i="22"/>
  <c r="I199" i="22"/>
  <c r="I155" i="22"/>
  <c r="I268" i="22"/>
  <c r="I58" i="22"/>
  <c r="I285" i="22"/>
  <c r="I62" i="22"/>
  <c r="I220" i="22"/>
  <c r="I114" i="22"/>
  <c r="I349" i="22"/>
  <c r="I274" i="22"/>
  <c r="I230" i="22"/>
  <c r="I244" i="22"/>
  <c r="I200" i="22"/>
  <c r="I106" i="22"/>
  <c r="I314" i="22"/>
  <c r="I270" i="22"/>
  <c r="I171" i="22"/>
  <c r="I175" i="22"/>
  <c r="I240" i="22"/>
  <c r="I201" i="22"/>
  <c r="I301" i="22"/>
  <c r="I134" i="22"/>
  <c r="I31" i="22"/>
  <c r="I357" i="22"/>
  <c r="I221" i="22"/>
  <c r="I303" i="22"/>
  <c r="I368" i="22"/>
  <c r="I133" i="22"/>
  <c r="I21" i="22"/>
  <c r="I325" i="22"/>
  <c r="I327" i="22"/>
  <c r="I283" i="22"/>
  <c r="I345" i="22"/>
  <c r="I89" i="22"/>
  <c r="I17" i="22"/>
  <c r="U17" i="22" s="1"/>
  <c r="I82" i="22"/>
  <c r="I317" i="22"/>
  <c r="I330" i="22"/>
  <c r="I286" i="22"/>
  <c r="I335" i="22"/>
  <c r="I275" i="22"/>
  <c r="I300" i="22"/>
  <c r="I29" i="22"/>
  <c r="I95" i="22"/>
  <c r="I96" i="22"/>
  <c r="I68" i="22"/>
  <c r="I299" i="22"/>
  <c r="I25" i="22"/>
  <c r="I119" i="22"/>
  <c r="I75" i="22"/>
  <c r="I124" i="22"/>
  <c r="I80" i="22"/>
  <c r="I61" i="22"/>
  <c r="I73" i="22"/>
  <c r="I115" i="22"/>
  <c r="I148" i="22"/>
  <c r="I104" i="22"/>
  <c r="I108" i="22"/>
  <c r="I323" i="22"/>
  <c r="I125" i="22"/>
  <c r="I138" i="22"/>
  <c r="I81" i="22"/>
  <c r="I57" i="22"/>
  <c r="I111" i="22"/>
  <c r="I176" i="22"/>
  <c r="I117" i="22"/>
  <c r="I94" i="22"/>
  <c r="I20" i="22"/>
  <c r="I135" i="22"/>
  <c r="I91" i="22"/>
  <c r="I204" i="22"/>
  <c r="I205" i="22"/>
  <c r="I153" i="22"/>
  <c r="I15" i="22"/>
  <c r="U15" i="22" s="1"/>
  <c r="I131" i="22"/>
  <c r="I228" i="22"/>
  <c r="I184" i="22"/>
  <c r="I189" i="22"/>
  <c r="I142" i="22"/>
  <c r="I77" i="22"/>
  <c r="I245" i="22"/>
  <c r="I337" i="22"/>
  <c r="I167" i="22"/>
  <c r="I123" i="22"/>
  <c r="I127" i="22"/>
  <c r="I192" i="22"/>
  <c r="I66" i="22"/>
  <c r="I365" i="22"/>
  <c r="I246" i="22"/>
  <c r="I234" i="22"/>
  <c r="I305" i="22"/>
  <c r="I173" i="22"/>
  <c r="I262" i="22"/>
  <c r="I295" i="22"/>
  <c r="I251" i="22"/>
  <c r="I255" i="22"/>
  <c r="I333" i="22"/>
  <c r="I157" i="22"/>
  <c r="I290" i="22"/>
  <c r="I291" i="22"/>
  <c r="I279" i="22"/>
  <c r="I180" i="22"/>
  <c r="I136" i="22"/>
  <c r="I253" i="22"/>
  <c r="I250" i="22"/>
  <c r="I206" i="22"/>
  <c r="I194" i="22"/>
  <c r="I338" i="22"/>
  <c r="I294" i="22"/>
  <c r="I308" i="22"/>
  <c r="I264" i="22"/>
  <c r="I9" i="22"/>
  <c r="U9" i="22" s="1"/>
  <c r="I39" i="22"/>
  <c r="I334" i="22"/>
  <c r="I322" i="22"/>
  <c r="I320" i="22"/>
  <c r="I329" i="22"/>
  <c r="I41" i="22"/>
  <c r="I35" i="22"/>
  <c r="I362" i="22"/>
  <c r="I341" i="22"/>
  <c r="I242" i="22"/>
  <c r="I307" i="22"/>
  <c r="I296" i="22"/>
  <c r="I342" i="22"/>
  <c r="I100" i="22"/>
  <c r="I56" i="22"/>
  <c r="I165" i="22"/>
  <c r="I181" i="22"/>
  <c r="I361" i="22"/>
  <c r="I47" i="22"/>
  <c r="I112" i="22"/>
  <c r="I10" i="22"/>
  <c r="U10" i="22" s="1"/>
  <c r="I93" i="22"/>
  <c r="I90" i="22"/>
  <c r="I71" i="22"/>
  <c r="I366" i="22"/>
  <c r="I140" i="22"/>
  <c r="I46" i="22"/>
  <c r="I11" i="22"/>
  <c r="U11" i="22" s="1"/>
  <c r="I344" i="22"/>
  <c r="I348" i="22"/>
  <c r="I121" i="22"/>
  <c r="I33" i="22"/>
  <c r="I79" i="22"/>
  <c r="I358" i="22"/>
  <c r="I116" i="22"/>
  <c r="I72" i="22"/>
  <c r="I70" i="22"/>
  <c r="I186" i="22"/>
  <c r="I369" i="22"/>
  <c r="I321" i="22"/>
  <c r="I128" i="22"/>
  <c r="I69" i="22"/>
  <c r="I126" i="22"/>
  <c r="I182" i="22"/>
  <c r="I170" i="22"/>
  <c r="I97" i="22"/>
  <c r="I156" i="22"/>
  <c r="I269" i="22"/>
  <c r="I118" i="22"/>
  <c r="I210" i="22"/>
  <c r="I166" i="22"/>
  <c r="I161" i="22"/>
  <c r="I65" i="22"/>
  <c r="I159" i="22"/>
  <c r="I160" i="22"/>
  <c r="I132" i="22"/>
  <c r="I363" i="22"/>
  <c r="I102" i="22"/>
  <c r="I266" i="22"/>
  <c r="I222" i="22"/>
  <c r="I271" i="22"/>
  <c r="I211" i="22"/>
  <c r="I218" i="22"/>
  <c r="I174" i="22"/>
  <c r="I287" i="22"/>
  <c r="I288" i="22"/>
  <c r="I260" i="22"/>
  <c r="I152" i="22"/>
  <c r="I214" i="22"/>
  <c r="I311" i="22"/>
  <c r="I267" i="22"/>
  <c r="I316" i="22"/>
  <c r="I272" i="22"/>
  <c r="I110" i="22"/>
  <c r="I28" i="22"/>
  <c r="I226" i="22"/>
  <c r="I227" i="22"/>
  <c r="I215" i="22"/>
  <c r="I107" i="22"/>
  <c r="I315" i="22"/>
  <c r="I319" i="22"/>
  <c r="I229" i="22"/>
  <c r="I22" i="22"/>
  <c r="I354" i="22"/>
  <c r="I355" i="22"/>
  <c r="I343" i="22"/>
  <c r="I235" i="22"/>
  <c r="I197" i="22"/>
  <c r="I55" i="22"/>
  <c r="I350" i="22"/>
  <c r="I60" i="22"/>
  <c r="I339" i="22"/>
  <c r="I263" i="22"/>
  <c r="I219" i="22"/>
  <c r="I332" i="22"/>
  <c r="I53" i="22"/>
  <c r="I130" i="22"/>
  <c r="I237" i="22"/>
  <c r="I254" i="22"/>
  <c r="I74" i="22"/>
  <c r="I13" i="22"/>
  <c r="U13" i="22" s="1"/>
  <c r="I261" i="22"/>
  <c r="I259" i="22"/>
  <c r="I45" i="22"/>
  <c r="I359" i="22"/>
  <c r="I238" i="22"/>
  <c r="I326" i="22"/>
  <c r="I27" i="22"/>
  <c r="I50" i="22"/>
  <c r="I312" i="22"/>
  <c r="I284" i="22"/>
  <c r="I356" i="22"/>
  <c r="I190" i="22"/>
  <c r="I101" i="22"/>
  <c r="I351" i="22"/>
  <c r="I282" i="22"/>
  <c r="I30" i="22"/>
  <c r="M21" i="22"/>
  <c r="N21" i="22"/>
  <c r="X21" i="22"/>
  <c r="K21" i="22"/>
  <c r="AB21" i="22"/>
  <c r="L21" i="22"/>
  <c r="Y21" i="22"/>
  <c r="V21" i="22"/>
  <c r="AA21" i="22"/>
  <c r="O21" i="22" s="1"/>
  <c r="K6" i="7"/>
  <c r="J5" i="7"/>
  <c r="J6" i="7"/>
  <c r="K7" i="7"/>
  <c r="J7" i="7"/>
  <c r="K8" i="7"/>
  <c r="J8" i="7"/>
  <c r="K5" i="7"/>
  <c r="O17" i="21"/>
  <c r="O10" i="21"/>
  <c r="O19" i="21"/>
  <c r="P20" i="21"/>
  <c r="O15" i="21"/>
  <c r="O11" i="21"/>
  <c r="P13" i="21"/>
  <c r="O18" i="21"/>
  <c r="O14" i="21"/>
  <c r="P14" i="21"/>
  <c r="P18" i="21"/>
  <c r="O13" i="21"/>
  <c r="P15" i="21"/>
  <c r="O20" i="21"/>
  <c r="P11" i="21"/>
  <c r="O16" i="21"/>
  <c r="P17" i="21"/>
  <c r="O12" i="21"/>
  <c r="P19" i="21"/>
  <c r="P10" i="21"/>
  <c r="P12" i="21"/>
  <c r="P16" i="21"/>
  <c r="Y19" i="22"/>
  <c r="AH20" i="22"/>
  <c r="AG20" i="22"/>
  <c r="AE20" i="22"/>
  <c r="AC20" i="22"/>
  <c r="AF20" i="22"/>
  <c r="V20" i="12"/>
  <c r="IH35" i="12"/>
  <c r="HH48" i="12"/>
  <c r="GX45" i="12"/>
  <c r="FT4" i="12"/>
  <c r="FX52" i="12"/>
  <c r="FD4" i="12"/>
  <c r="CG49" i="12"/>
  <c r="IL4" i="12"/>
  <c r="HK16" i="12"/>
  <c r="DS42" i="12"/>
  <c r="CK33" i="12"/>
  <c r="DI48" i="12"/>
  <c r="GT31" i="12"/>
  <c r="FU31" i="12"/>
  <c r="T53" i="12"/>
  <c r="DO14" i="12"/>
  <c r="J4" i="12"/>
  <c r="CW50" i="12"/>
  <c r="HT19" i="12"/>
  <c r="GP40" i="12"/>
  <c r="CK36" i="12"/>
  <c r="J46" i="12"/>
  <c r="HL37" i="12"/>
  <c r="CD44" i="12"/>
  <c r="CN53" i="12"/>
  <c r="EI43" i="12"/>
  <c r="GQ36" i="12"/>
  <c r="FU46" i="12"/>
  <c r="HY42" i="12"/>
  <c r="D40" i="12"/>
  <c r="BV49" i="12"/>
  <c r="EB35" i="12"/>
  <c r="AX48" i="12"/>
  <c r="AU25" i="12"/>
  <c r="CM38" i="12"/>
  <c r="DB53" i="12"/>
  <c r="HD50" i="12"/>
  <c r="GG39" i="12"/>
  <c r="DD45" i="12"/>
  <c r="FC40" i="12"/>
  <c r="AW42" i="12"/>
  <c r="AH37" i="12"/>
  <c r="BZ47" i="12"/>
  <c r="BA52" i="12"/>
  <c r="HI45" i="12"/>
  <c r="AL42" i="12"/>
  <c r="ED52" i="12"/>
  <c r="CJ37" i="12"/>
  <c r="GT50" i="12"/>
  <c r="AQ39" i="12"/>
  <c r="CR50" i="12"/>
  <c r="HT53" i="12"/>
  <c r="BI33" i="12"/>
  <c r="BJ28" i="12"/>
  <c r="HO37" i="12"/>
  <c r="G41" i="12"/>
  <c r="BM33" i="12"/>
  <c r="DZ40" i="12"/>
  <c r="GG36" i="12"/>
  <c r="AJ47" i="12"/>
  <c r="BB52" i="12"/>
  <c r="BU50" i="12"/>
  <c r="GV38" i="12"/>
  <c r="DK32" i="12"/>
  <c r="IC39" i="12"/>
  <c r="AL46" i="12"/>
  <c r="EE37" i="12"/>
  <c r="CV34" i="12"/>
  <c r="IG43" i="12"/>
  <c r="EM41" i="12"/>
  <c r="IR52" i="12"/>
  <c r="CV29" i="12"/>
  <c r="J43" i="12"/>
  <c r="HR47" i="12"/>
  <c r="BP32" i="12"/>
  <c r="D37" i="12"/>
  <c r="O42" i="12"/>
  <c r="GE49" i="12"/>
  <c r="AR51" i="12"/>
  <c r="BM4" i="12"/>
  <c r="GY34" i="12"/>
  <c r="AM45" i="12"/>
  <c r="EU48" i="12"/>
  <c r="CD49" i="12"/>
  <c r="GD47" i="12"/>
  <c r="CX27" i="12"/>
  <c r="IO40" i="12"/>
  <c r="HD40" i="12"/>
  <c r="BK4" i="12"/>
  <c r="W30" i="12"/>
  <c r="AC42" i="12"/>
  <c r="E44" i="12"/>
  <c r="FP40" i="12"/>
  <c r="FT39" i="12"/>
  <c r="F26" i="12"/>
  <c r="DV53" i="12"/>
  <c r="BE52" i="12"/>
  <c r="I51" i="12"/>
  <c r="HS11" i="12"/>
  <c r="DE5" i="12"/>
  <c r="BO23" i="12"/>
  <c r="DY8" i="12"/>
  <c r="IE5" i="12"/>
  <c r="FY30" i="12"/>
  <c r="DD37" i="12"/>
  <c r="IH43" i="12"/>
  <c r="FT9" i="12"/>
  <c r="HJ8" i="12"/>
  <c r="DO25" i="12"/>
  <c r="BX48" i="12"/>
  <c r="DE9" i="12"/>
  <c r="HY9" i="12"/>
  <c r="ES30" i="12"/>
  <c r="GC52" i="12"/>
  <c r="DV47" i="12"/>
  <c r="N13" i="12"/>
  <c r="GC11" i="12"/>
  <c r="HQ36" i="12"/>
  <c r="FH48" i="12"/>
  <c r="EH15" i="12"/>
  <c r="CW21" i="12"/>
  <c r="DF20" i="12"/>
  <c r="DR37" i="12"/>
  <c r="DO39" i="12"/>
  <c r="FA38" i="12"/>
  <c r="DO11" i="12"/>
  <c r="CF46" i="12"/>
  <c r="BG12" i="12"/>
  <c r="BT11" i="12"/>
  <c r="GJ4" i="12"/>
  <c r="AO52" i="12"/>
  <c r="BN23" i="12"/>
  <c r="DG18" i="12"/>
  <c r="BP36" i="12"/>
  <c r="CL37" i="12"/>
  <c r="O35" i="12"/>
  <c r="GX5" i="12"/>
  <c r="AG6" i="12"/>
  <c r="FP8" i="12"/>
  <c r="CM53" i="12"/>
  <c r="GP8" i="12"/>
  <c r="ID6" i="12"/>
  <c r="GW46" i="12"/>
  <c r="GP51" i="12"/>
  <c r="BW5" i="12"/>
  <c r="EF11" i="12"/>
  <c r="G20" i="12"/>
  <c r="Y49" i="12"/>
  <c r="FK8" i="12"/>
  <c r="GH13" i="12"/>
  <c r="EY27" i="12"/>
  <c r="FW34" i="12"/>
  <c r="EZ51" i="12"/>
  <c r="CJ48" i="12"/>
  <c r="AP50" i="12"/>
  <c r="GW49" i="12"/>
  <c r="HW39" i="12"/>
  <c r="GM37" i="12"/>
  <c r="CC39" i="12"/>
  <c r="BD11" i="12"/>
  <c r="HL6" i="12"/>
  <c r="AQ5" i="12"/>
  <c r="FZ14" i="12"/>
  <c r="DS51" i="12"/>
  <c r="BM45" i="12"/>
  <c r="BO46" i="12"/>
  <c r="HO40" i="12"/>
  <c r="DE8" i="12"/>
  <c r="GF50" i="12"/>
  <c r="BL7" i="12"/>
  <c r="EX8" i="12"/>
  <c r="DA6" i="12"/>
  <c r="FK52" i="12"/>
  <c r="GG22" i="12"/>
  <c r="CV43" i="12"/>
  <c r="FP43" i="12"/>
  <c r="CE40" i="12"/>
  <c r="HT49" i="12"/>
  <c r="FW9" i="12"/>
  <c r="GM6" i="12"/>
  <c r="GQ5" i="12"/>
  <c r="EW11" i="12"/>
  <c r="CM11" i="12"/>
  <c r="GZ27" i="12"/>
  <c r="CD52" i="12"/>
  <c r="CN34" i="12"/>
  <c r="AG27" i="12"/>
  <c r="CT9" i="12"/>
  <c r="EV9" i="12"/>
  <c r="GO19" i="12"/>
  <c r="EU11" i="12"/>
  <c r="FM9" i="12"/>
  <c r="CL10" i="12"/>
  <c r="CC30" i="12"/>
  <c r="EQ33" i="12"/>
  <c r="FP49" i="12"/>
  <c r="EF44" i="12"/>
  <c r="DL11" i="12"/>
  <c r="ED10" i="12"/>
  <c r="EL11" i="12"/>
  <c r="D28" i="12"/>
  <c r="HK51" i="12"/>
  <c r="EC52" i="12"/>
  <c r="GL53" i="12"/>
  <c r="EW44" i="12"/>
  <c r="FW51" i="12"/>
  <c r="BQ4" i="12"/>
  <c r="CG47" i="12"/>
  <c r="AT10" i="12"/>
  <c r="IO9" i="12"/>
  <c r="R12" i="12"/>
  <c r="U10" i="12"/>
  <c r="EI9" i="12"/>
  <c r="BC12" i="12"/>
  <c r="CG53" i="12"/>
  <c r="FJ44" i="12"/>
  <c r="DB12" i="12"/>
  <c r="EP10" i="12"/>
  <c r="EM46" i="12"/>
  <c r="HH45" i="12"/>
  <c r="HQ15" i="12"/>
  <c r="FP18" i="12"/>
  <c r="HU17" i="12"/>
  <c r="FI39" i="12"/>
  <c r="EC41" i="12"/>
  <c r="DF42" i="12"/>
  <c r="FS13" i="12"/>
  <c r="GQ53" i="12"/>
  <c r="HK7" i="12"/>
  <c r="FE15" i="12"/>
  <c r="DC4" i="12"/>
  <c r="EV53" i="12"/>
  <c r="BL16" i="12"/>
  <c r="IO39" i="12"/>
  <c r="BT40" i="12"/>
  <c r="AP47" i="12"/>
  <c r="FA53" i="12"/>
  <c r="HP7" i="12"/>
  <c r="GB10" i="12"/>
  <c r="D10" i="12"/>
  <c r="DD7" i="12"/>
  <c r="DX9" i="12"/>
  <c r="S31" i="12"/>
  <c r="CF18" i="12"/>
  <c r="BJ51" i="12"/>
  <c r="ER50" i="12"/>
  <c r="Z53" i="12"/>
  <c r="EI8" i="12"/>
  <c r="DG16" i="12"/>
  <c r="DT53" i="12"/>
  <c r="GW5" i="12"/>
  <c r="CA7" i="12"/>
  <c r="EE22" i="12"/>
  <c r="ER36" i="12"/>
  <c r="HV49" i="12"/>
  <c r="CH7" i="12"/>
  <c r="IC52" i="12"/>
  <c r="EH5" i="12"/>
  <c r="IM7" i="12"/>
  <c r="FG6" i="12"/>
  <c r="EA51" i="12"/>
  <c r="HI4" i="12"/>
  <c r="HX45" i="12"/>
  <c r="AH9" i="12"/>
  <c r="CZ8" i="12"/>
  <c r="EB9" i="12"/>
  <c r="W8" i="12"/>
  <c r="DA9" i="12"/>
  <c r="BN13" i="12"/>
  <c r="BD14" i="12"/>
  <c r="AV49" i="12"/>
  <c r="EL42" i="12"/>
  <c r="GQ35" i="12"/>
  <c r="AT29" i="12"/>
  <c r="R51" i="12"/>
  <c r="L47" i="12"/>
  <c r="W41" i="12"/>
  <c r="BI47" i="12"/>
  <c r="BM48" i="12"/>
  <c r="X9" i="12"/>
  <c r="BZ11" i="12"/>
  <c r="FD8" i="12"/>
  <c r="FQ7" i="12"/>
  <c r="IR47" i="12"/>
  <c r="FW41" i="12"/>
  <c r="HU42" i="12"/>
  <c r="AL38" i="12"/>
  <c r="FP12" i="12"/>
  <c r="D47" i="12"/>
  <c r="AJ10" i="12"/>
  <c r="FH10" i="12"/>
  <c r="F11" i="12"/>
  <c r="IF48" i="12"/>
  <c r="DH23" i="12"/>
  <c r="BW40" i="12"/>
  <c r="EQ40" i="12"/>
  <c r="BD49" i="12"/>
  <c r="C8" i="12"/>
  <c r="CY7" i="12"/>
  <c r="BJ11" i="12"/>
  <c r="FZ10" i="12"/>
  <c r="CP5" i="12"/>
  <c r="AE9" i="12"/>
  <c r="E29" i="12"/>
  <c r="CW46" i="12"/>
  <c r="BD30" i="12"/>
  <c r="HI52" i="12"/>
  <c r="HN7" i="12"/>
  <c r="BZ13" i="12"/>
  <c r="CF15" i="12"/>
  <c r="GL5" i="12"/>
  <c r="HA5" i="12"/>
  <c r="AX5" i="12"/>
  <c r="AM36" i="12"/>
  <c r="EW26" i="12"/>
  <c r="Z46" i="12"/>
  <c r="DB43" i="12"/>
  <c r="GJ9" i="12"/>
  <c r="AT15" i="12"/>
  <c r="DA5" i="12"/>
  <c r="GT5" i="12"/>
  <c r="FV7" i="12"/>
  <c r="FB21" i="12"/>
  <c r="ED49" i="12"/>
  <c r="GX49" i="12"/>
  <c r="FE43" i="12"/>
  <c r="HA4" i="12"/>
  <c r="HD6" i="12"/>
  <c r="BL13" i="12"/>
  <c r="DO13" i="12"/>
  <c r="T6" i="12"/>
  <c r="CU38" i="12"/>
  <c r="GZ45" i="12"/>
  <c r="FQ45" i="12"/>
  <c r="EH8" i="12"/>
  <c r="AT8" i="12"/>
  <c r="DA8" i="12"/>
  <c r="EA7" i="12"/>
  <c r="IC47" i="12"/>
  <c r="AD12" i="12"/>
  <c r="GK17" i="12"/>
  <c r="GF19" i="12"/>
  <c r="FK10" i="12"/>
  <c r="HW26" i="12"/>
  <c r="CC31" i="12"/>
  <c r="DB30" i="12"/>
  <c r="EE17" i="12"/>
  <c r="AZ24" i="12"/>
  <c r="AV30" i="12"/>
  <c r="BO36" i="12"/>
  <c r="CC49" i="12"/>
  <c r="IJ52" i="12"/>
  <c r="AT46" i="12"/>
  <c r="CE45" i="12"/>
  <c r="EF29" i="12"/>
  <c r="F52" i="12"/>
  <c r="BH51" i="12"/>
  <c r="CS7" i="12"/>
  <c r="BG5" i="12"/>
  <c r="HS4" i="12"/>
  <c r="AQ8" i="12"/>
  <c r="CH8" i="12"/>
  <c r="CR24" i="12"/>
  <c r="ED53" i="12"/>
  <c r="DQ52" i="12"/>
  <c r="GD50" i="12"/>
  <c r="H8" i="12"/>
  <c r="O13" i="12"/>
  <c r="CM52" i="12"/>
  <c r="CQ7" i="12"/>
  <c r="DV9" i="12"/>
  <c r="AF24" i="12"/>
  <c r="FV34" i="12"/>
  <c r="EQ44" i="12"/>
  <c r="HI33" i="12"/>
  <c r="DX13" i="12"/>
  <c r="BW16" i="12"/>
  <c r="O5" i="12"/>
  <c r="GI10" i="12"/>
  <c r="AI10" i="12"/>
  <c r="EB27" i="12"/>
  <c r="IN26" i="12"/>
  <c r="DK39" i="12"/>
  <c r="T39" i="12"/>
  <c r="EN40" i="12"/>
  <c r="GC9" i="12"/>
  <c r="DS10" i="12"/>
  <c r="IM6" i="12"/>
  <c r="GX8" i="12"/>
  <c r="IN11" i="12"/>
  <c r="HU10" i="12"/>
  <c r="EC27" i="12"/>
  <c r="N22" i="12"/>
  <c r="DO53" i="12"/>
  <c r="ID29" i="12"/>
  <c r="IA26" i="12"/>
  <c r="HS5" i="12"/>
  <c r="CT13" i="12"/>
  <c r="AF13" i="12"/>
  <c r="CR11" i="12"/>
  <c r="DL12" i="12"/>
  <c r="GQ11" i="12"/>
  <c r="BI48" i="12"/>
  <c r="Z48" i="12"/>
  <c r="HP5" i="12"/>
  <c r="CO10" i="12"/>
  <c r="W11" i="12"/>
  <c r="IA9" i="12"/>
  <c r="GV11" i="12"/>
  <c r="FF16" i="12"/>
  <c r="GX51" i="12"/>
  <c r="AQ51" i="12"/>
  <c r="FT6" i="12"/>
  <c r="DP5" i="12"/>
  <c r="DI53" i="12"/>
  <c r="AN7" i="12"/>
  <c r="FM6" i="12"/>
  <c r="BP20" i="12"/>
  <c r="CC53" i="12"/>
  <c r="FC49" i="12"/>
  <c r="GS53" i="12"/>
  <c r="CR43" i="12"/>
  <c r="FC35" i="12"/>
  <c r="IK50" i="12"/>
  <c r="Y52" i="12"/>
  <c r="GN6" i="12"/>
  <c r="FK5" i="12"/>
  <c r="GQ49" i="12"/>
  <c r="DG10" i="12"/>
  <c r="DP12" i="12"/>
  <c r="IK14" i="12"/>
  <c r="CV50" i="12"/>
  <c r="CS53" i="12"/>
  <c r="FY51" i="12"/>
  <c r="GF10" i="12"/>
  <c r="D16" i="12"/>
  <c r="HX46" i="12"/>
  <c r="AF5" i="12"/>
  <c r="HR11" i="12"/>
  <c r="FC16" i="12"/>
  <c r="EJ35" i="12"/>
  <c r="DK37" i="12"/>
  <c r="IL42" i="12"/>
  <c r="FC15" i="12"/>
  <c r="BT19" i="12"/>
  <c r="Z12" i="12"/>
  <c r="DS12" i="12"/>
  <c r="CG13" i="12"/>
  <c r="I4" i="12"/>
  <c r="AO15" i="12"/>
  <c r="HF35" i="12"/>
  <c r="GZ40" i="12"/>
  <c r="IP46" i="12"/>
  <c r="CG10" i="12"/>
  <c r="HH10" i="12"/>
  <c r="GG9" i="12"/>
  <c r="AJ9" i="12"/>
  <c r="DO16" i="12"/>
  <c r="GF12" i="12"/>
  <c r="W28" i="12"/>
  <c r="IJ20" i="12"/>
  <c r="AH49" i="12"/>
  <c r="DJ27" i="12"/>
  <c r="HA52" i="12"/>
  <c r="J7" i="12"/>
  <c r="AW12" i="12"/>
  <c r="BH14" i="12"/>
  <c r="EX6" i="12"/>
  <c r="FN5" i="12"/>
  <c r="J6" i="12"/>
  <c r="CL48" i="12"/>
  <c r="DM50" i="12"/>
  <c r="DF50" i="12"/>
  <c r="AS51" i="12"/>
  <c r="FY43" i="12"/>
  <c r="Q42" i="12"/>
  <c r="IE39" i="12"/>
  <c r="ET23" i="12"/>
  <c r="HY52" i="12"/>
  <c r="IQ43" i="12"/>
  <c r="DG44" i="12"/>
  <c r="GA11" i="12"/>
  <c r="HR12" i="12"/>
  <c r="BK46" i="12"/>
  <c r="BJ6" i="12"/>
  <c r="HF12" i="12"/>
  <c r="DM45" i="12"/>
  <c r="EZ26" i="12"/>
  <c r="GN46" i="12"/>
  <c r="HQ10" i="12"/>
  <c r="I19" i="12"/>
  <c r="IR48" i="12"/>
  <c r="DW5" i="12"/>
  <c r="FN13" i="12"/>
  <c r="HE16" i="12"/>
  <c r="FG24" i="12"/>
  <c r="HW35" i="12"/>
  <c r="E42" i="12"/>
  <c r="DJ6" i="12"/>
  <c r="CU4" i="12"/>
  <c r="EU13" i="12"/>
  <c r="EA8" i="12"/>
  <c r="EO7" i="12"/>
  <c r="FF53" i="12"/>
  <c r="AO18" i="12"/>
  <c r="IH46" i="12"/>
  <c r="BM47" i="12"/>
  <c r="GB34" i="12"/>
  <c r="DU4" i="12"/>
  <c r="ER5" i="12"/>
  <c r="CJ10" i="12"/>
  <c r="U13" i="12"/>
  <c r="AJ7" i="12"/>
  <c r="E7" i="12"/>
  <c r="GM33" i="12"/>
  <c r="HO26" i="12"/>
  <c r="AM47" i="12"/>
  <c r="EX52" i="12"/>
  <c r="CF51" i="12"/>
  <c r="DS9" i="12"/>
  <c r="HM5" i="12"/>
  <c r="GC17" i="12"/>
  <c r="HW7" i="12"/>
  <c r="DU8" i="12"/>
  <c r="BI7" i="12"/>
  <c r="I43" i="12"/>
  <c r="BD34" i="12"/>
  <c r="Y9" i="12"/>
  <c r="ED16" i="12"/>
  <c r="BN5" i="12"/>
  <c r="FF6" i="12"/>
  <c r="AA8" i="12"/>
  <c r="HI19" i="12"/>
  <c r="CV4" i="12"/>
  <c r="AZ45" i="12"/>
  <c r="GJ8" i="12"/>
  <c r="DZ8" i="12"/>
  <c r="AD51" i="12"/>
  <c r="IJ9" i="12"/>
  <c r="CB42" i="12"/>
  <c r="GN41" i="12"/>
  <c r="U39" i="12"/>
  <c r="FD34" i="12"/>
  <c r="GM40" i="12"/>
  <c r="X35" i="12"/>
  <c r="GA48" i="12"/>
  <c r="BR49" i="12"/>
  <c r="Q43" i="12"/>
  <c r="HH51" i="12"/>
  <c r="AN10" i="12"/>
  <c r="DI6" i="12"/>
  <c r="BT16" i="12"/>
  <c r="ED8" i="12"/>
  <c r="EV34" i="12"/>
  <c r="ET38" i="12"/>
  <c r="HF37" i="12"/>
  <c r="HY7" i="12"/>
  <c r="CL9" i="12"/>
  <c r="CM7" i="12"/>
  <c r="AV7" i="12"/>
  <c r="HX11" i="12"/>
  <c r="AX11" i="12"/>
  <c r="AP29" i="12"/>
  <c r="IJ26" i="12"/>
  <c r="HA32" i="12"/>
  <c r="BW41" i="12"/>
  <c r="DR13" i="12"/>
  <c r="AY11" i="12"/>
  <c r="EQ15" i="12"/>
  <c r="EP6" i="12"/>
  <c r="HV13" i="12"/>
  <c r="FX12" i="12"/>
  <c r="EJ33" i="12"/>
  <c r="BL49" i="12"/>
  <c r="EU49" i="12"/>
  <c r="FR10" i="12"/>
  <c r="R11" i="12"/>
  <c r="FB46" i="12"/>
  <c r="HO45" i="12"/>
  <c r="EV17" i="12"/>
  <c r="DK23" i="12"/>
  <c r="IR22" i="12"/>
  <c r="GR14" i="12"/>
  <c r="BU42" i="12"/>
  <c r="DK41" i="12"/>
  <c r="GC40" i="12"/>
  <c r="BI12" i="12"/>
  <c r="AC7" i="12"/>
  <c r="HP14" i="12"/>
  <c r="BD13" i="12"/>
  <c r="IC53" i="12"/>
  <c r="T9" i="12"/>
  <c r="W35" i="12"/>
  <c r="HL41" i="12"/>
  <c r="EJ40" i="12"/>
  <c r="EE15" i="12"/>
  <c r="BB14" i="12"/>
  <c r="BU19" i="12"/>
  <c r="IG52" i="12"/>
  <c r="BA6" i="12"/>
  <c r="AP46" i="12"/>
  <c r="FV46" i="12"/>
  <c r="I44" i="12"/>
  <c r="DQ50" i="12"/>
  <c r="EM5" i="12"/>
  <c r="CF7" i="12"/>
  <c r="EB14" i="12"/>
  <c r="CB8" i="12"/>
  <c r="HO10" i="12"/>
  <c r="IK32" i="12"/>
  <c r="BM26" i="12"/>
  <c r="EW10" i="12"/>
  <c r="CH29" i="12"/>
  <c r="AZ31" i="12"/>
  <c r="FZ24" i="12"/>
  <c r="BC20" i="12"/>
  <c r="GX17" i="12"/>
  <c r="CZ18" i="12"/>
  <c r="II11" i="12"/>
  <c r="FX13" i="12"/>
  <c r="FY37" i="12"/>
  <c r="IN6" i="12"/>
  <c r="GH14" i="12"/>
  <c r="FF14" i="12"/>
  <c r="O33" i="12"/>
  <c r="GE46" i="12"/>
  <c r="FL21" i="12"/>
  <c r="IH25" i="12"/>
  <c r="FN28" i="12"/>
  <c r="ED11" i="12"/>
  <c r="AH16" i="12"/>
  <c r="BD18" i="12"/>
  <c r="DV17" i="12"/>
  <c r="AJ18" i="12"/>
  <c r="CA50" i="12"/>
  <c r="CT17" i="12"/>
  <c r="I26" i="12"/>
  <c r="AU22" i="12"/>
  <c r="CU24" i="12"/>
  <c r="HS34" i="12"/>
  <c r="DS32" i="12"/>
  <c r="R28" i="12"/>
  <c r="GB19" i="12"/>
  <c r="DB14" i="12"/>
  <c r="GK45" i="12"/>
  <c r="BW21" i="12"/>
  <c r="DP31" i="12"/>
  <c r="FZ16" i="12"/>
  <c r="F16" i="12"/>
  <c r="AN30" i="12"/>
  <c r="CS27" i="12"/>
  <c r="IR32" i="12"/>
  <c r="GI23" i="12"/>
  <c r="GZ24" i="12"/>
  <c r="DC5" i="12"/>
  <c r="BN31" i="12"/>
  <c r="L28" i="12"/>
  <c r="EQ32" i="12"/>
  <c r="F21" i="12"/>
  <c r="FN18" i="12"/>
  <c r="AA21" i="12"/>
  <c r="AD20" i="12"/>
  <c r="FI29" i="12"/>
  <c r="Z44" i="12"/>
  <c r="EZ15" i="12"/>
  <c r="EC28" i="12"/>
  <c r="CX26" i="12"/>
  <c r="IL15" i="12"/>
  <c r="AF25" i="12"/>
  <c r="DG34" i="12"/>
  <c r="BJ29" i="12"/>
  <c r="IR20" i="12"/>
  <c r="FM21" i="12"/>
  <c r="GR53" i="12"/>
  <c r="DG11" i="12"/>
  <c r="FD29" i="12"/>
  <c r="I24" i="12"/>
  <c r="EN30" i="12"/>
  <c r="F14" i="12"/>
  <c r="FF19" i="12"/>
  <c r="O23" i="12"/>
  <c r="Z33" i="12"/>
  <c r="BZ9" i="12"/>
  <c r="DO22" i="12"/>
  <c r="GV33" i="12"/>
  <c r="GB21" i="12"/>
  <c r="HO22" i="12"/>
  <c r="HK20" i="12"/>
  <c r="HQ34" i="12"/>
  <c r="GS30" i="12"/>
  <c r="BM34" i="12"/>
  <c r="IP18" i="12"/>
  <c r="HE53" i="12"/>
  <c r="GC25" i="12"/>
  <c r="GL29" i="12"/>
  <c r="DN15" i="12"/>
  <c r="BJ18" i="12"/>
  <c r="IN13" i="12"/>
  <c r="AF31" i="12"/>
  <c r="AD34" i="12"/>
  <c r="DC37" i="12"/>
  <c r="BR38" i="12"/>
  <c r="BO40" i="12"/>
  <c r="ES33" i="12"/>
  <c r="FK44" i="12"/>
  <c r="FM30" i="12"/>
  <c r="BC38" i="12"/>
  <c r="II40" i="12"/>
  <c r="BT47" i="12"/>
  <c r="GW42" i="12"/>
  <c r="DE42" i="12"/>
  <c r="ED31" i="12"/>
  <c r="GS28" i="12"/>
  <c r="FP36" i="12"/>
  <c r="HP37" i="12"/>
  <c r="GO37" i="12"/>
  <c r="GR42" i="12"/>
  <c r="DX19" i="12"/>
  <c r="N46" i="12"/>
  <c r="T4" i="12"/>
  <c r="AU43" i="12"/>
  <c r="BF39" i="12"/>
  <c r="X33" i="12"/>
  <c r="FS33" i="12"/>
  <c r="BG52" i="12"/>
  <c r="CE37" i="12"/>
  <c r="EQ4" i="12"/>
  <c r="HL48" i="12"/>
  <c r="AF43" i="12"/>
  <c r="AB53" i="12"/>
  <c r="GE39" i="12"/>
  <c r="IQ7" i="12"/>
  <c r="FC43" i="12"/>
  <c r="GL12" i="12"/>
  <c r="DG19" i="12"/>
  <c r="HU9" i="12"/>
  <c r="GI16" i="12"/>
  <c r="FS17" i="12"/>
  <c r="HY18" i="12"/>
  <c r="BA15" i="12"/>
  <c r="IQ24" i="12"/>
  <c r="AR25" i="12"/>
  <c r="BG22" i="12"/>
  <c r="DF47" i="12"/>
  <c r="EL7" i="12"/>
  <c r="EJ26" i="12"/>
  <c r="CO25" i="12"/>
  <c r="AR28" i="12"/>
  <c r="FZ17" i="12"/>
  <c r="HT16" i="12"/>
  <c r="G15" i="12"/>
  <c r="HC36" i="12"/>
  <c r="DT28" i="12"/>
  <c r="DY30" i="12"/>
  <c r="N16" i="12"/>
  <c r="GM23" i="12"/>
  <c r="GH33" i="12"/>
  <c r="AT23" i="12"/>
  <c r="HE20" i="12"/>
  <c r="CY23" i="12"/>
  <c r="ER19" i="12"/>
  <c r="AF32" i="12"/>
  <c r="EH36" i="12"/>
  <c r="BM46" i="12"/>
  <c r="CE8" i="12"/>
  <c r="GD24" i="12"/>
  <c r="DR14" i="12"/>
  <c r="FM41" i="12"/>
  <c r="GM29" i="12"/>
  <c r="GD29" i="12"/>
  <c r="FV20" i="12"/>
  <c r="BI14" i="12"/>
  <c r="FC23" i="12"/>
  <c r="FB20" i="12"/>
  <c r="HZ34" i="12"/>
  <c r="HR33" i="12"/>
  <c r="CD35" i="12"/>
  <c r="ER13" i="12"/>
  <c r="CE23" i="12"/>
  <c r="IC21" i="12"/>
  <c r="H23" i="12"/>
  <c r="HO29" i="12"/>
  <c r="ER31" i="12"/>
  <c r="HC40" i="12"/>
  <c r="I9" i="12"/>
  <c r="I14" i="12"/>
  <c r="FW18" i="12"/>
  <c r="GW33" i="12"/>
  <c r="EU33" i="12"/>
  <c r="BG34" i="12"/>
  <c r="GO13" i="12"/>
  <c r="GO23" i="12"/>
  <c r="BV7" i="12"/>
  <c r="HP17" i="12"/>
  <c r="BP40" i="12"/>
  <c r="HF28" i="12"/>
  <c r="GC27" i="12"/>
  <c r="DL16" i="12"/>
  <c r="FU23" i="12"/>
  <c r="O22" i="12"/>
  <c r="DY24" i="12"/>
  <c r="CY31" i="12"/>
  <c r="BP50" i="12"/>
  <c r="CU18" i="12"/>
  <c r="ES35" i="12"/>
  <c r="HL24" i="12"/>
  <c r="GL23" i="12"/>
  <c r="HH24" i="12"/>
  <c r="IQ18" i="12"/>
  <c r="Z16" i="12"/>
  <c r="R46" i="12"/>
  <c r="HQ39" i="12"/>
  <c r="EO47" i="12"/>
  <c r="HV47" i="12"/>
  <c r="AR9" i="12"/>
  <c r="CL41" i="12"/>
  <c r="AP9" i="12"/>
  <c r="HV15" i="12"/>
  <c r="AU26" i="12"/>
  <c r="CS35" i="12"/>
  <c r="IG4" i="12"/>
  <c r="FX20" i="12"/>
  <c r="HS32" i="12"/>
  <c r="DO29" i="12"/>
  <c r="HB22" i="12"/>
  <c r="CP14" i="12"/>
  <c r="DR21" i="12"/>
  <c r="FX27" i="12"/>
  <c r="HL33" i="12"/>
  <c r="HK43" i="12"/>
  <c r="EX17" i="12"/>
  <c r="FS23" i="12"/>
  <c r="EZ12" i="12"/>
  <c r="FO18" i="12"/>
  <c r="FP24" i="12"/>
  <c r="AG26" i="12"/>
  <c r="IP33" i="12"/>
  <c r="CR25" i="12"/>
  <c r="GK23" i="12"/>
  <c r="HX36" i="12"/>
  <c r="FR25" i="12"/>
  <c r="HF32" i="12"/>
  <c r="EK21" i="12"/>
  <c r="FW19" i="12"/>
  <c r="ID30" i="12"/>
  <c r="EN28" i="12"/>
  <c r="AO24" i="12"/>
  <c r="L17" i="12"/>
  <c r="BI17" i="12"/>
  <c r="AB11" i="12"/>
  <c r="BP15" i="12"/>
  <c r="ES34" i="12"/>
  <c r="P26" i="12"/>
  <c r="AL24" i="12"/>
  <c r="IP22" i="12"/>
  <c r="IB17" i="12"/>
  <c r="GR11" i="12"/>
  <c r="AG37" i="12"/>
  <c r="L36" i="12"/>
  <c r="BS26" i="12"/>
  <c r="FI34" i="12"/>
  <c r="D19" i="12"/>
  <c r="HJ22" i="12"/>
  <c r="CS31" i="12"/>
  <c r="GO27" i="12"/>
  <c r="FP35" i="12"/>
  <c r="N32" i="12"/>
  <c r="GG14" i="12"/>
  <c r="M52" i="12"/>
  <c r="CI5" i="12"/>
  <c r="GV26" i="12"/>
  <c r="AZ30" i="12"/>
  <c r="CO31" i="12"/>
  <c r="HC18" i="12"/>
  <c r="BB19" i="12"/>
  <c r="GG17" i="12"/>
  <c r="BR35" i="12"/>
  <c r="CB6" i="12"/>
  <c r="CO16" i="12"/>
  <c r="FN26" i="12"/>
  <c r="GM25" i="12"/>
  <c r="ID12" i="12"/>
  <c r="AX17" i="12"/>
  <c r="AM26" i="12"/>
  <c r="FC36" i="12"/>
  <c r="J25" i="12"/>
  <c r="CC23" i="12"/>
  <c r="FV11" i="12"/>
  <c r="CK22" i="12"/>
  <c r="HJ35" i="12"/>
  <c r="IA19" i="12"/>
  <c r="Y21" i="12"/>
  <c r="D20" i="12"/>
  <c r="IE36" i="12"/>
  <c r="ES25" i="12"/>
  <c r="CW42" i="12"/>
  <c r="BR41" i="12"/>
  <c r="CN43" i="12"/>
  <c r="EX37" i="12"/>
  <c r="DW44" i="12"/>
  <c r="AA35" i="12"/>
  <c r="EN47" i="12"/>
  <c r="CY41" i="12"/>
  <c r="GB44" i="12"/>
  <c r="AD42" i="12"/>
  <c r="BH37" i="12"/>
  <c r="IR24" i="12"/>
  <c r="X37" i="12"/>
  <c r="GU44" i="12"/>
  <c r="HK42" i="12"/>
  <c r="CC38" i="12"/>
  <c r="HR41" i="12"/>
  <c r="FC25" i="12"/>
  <c r="GG50" i="12"/>
  <c r="EE51" i="12"/>
  <c r="DM42" i="12"/>
  <c r="BQ44" i="12"/>
  <c r="GX36" i="12"/>
  <c r="HM29" i="12"/>
  <c r="HD48" i="12"/>
  <c r="DA4" i="12"/>
  <c r="FB50" i="12"/>
  <c r="II51" i="12"/>
  <c r="FA50" i="12"/>
  <c r="IE14" i="12"/>
  <c r="AY39" i="12"/>
  <c r="GY4" i="12"/>
  <c r="BC16" i="12"/>
  <c r="AA14" i="12"/>
  <c r="CW18" i="12"/>
  <c r="AE8" i="12"/>
  <c r="EA24" i="12"/>
  <c r="EF24" i="12"/>
  <c r="EU26" i="12"/>
  <c r="EH22" i="12"/>
  <c r="EX31" i="12"/>
  <c r="FZ29" i="12"/>
  <c r="ED19" i="12"/>
  <c r="DP53" i="12"/>
  <c r="HV20" i="12"/>
  <c r="DF34" i="12"/>
  <c r="AQ34" i="12"/>
  <c r="FQ34" i="12"/>
  <c r="R21" i="12"/>
  <c r="HB19" i="12"/>
  <c r="GR21" i="12"/>
  <c r="DV32" i="12"/>
  <c r="DB34" i="12"/>
  <c r="CI36" i="12"/>
  <c r="CW11" i="12"/>
  <c r="IK34" i="12"/>
  <c r="DA29" i="12"/>
  <c r="II29" i="12"/>
  <c r="HQ13" i="12"/>
  <c r="AE12" i="12"/>
  <c r="AZ27" i="12"/>
  <c r="CN33" i="12"/>
  <c r="CE26" i="12"/>
  <c r="CU44" i="12"/>
  <c r="HA10" i="12"/>
  <c r="HF20" i="12"/>
  <c r="FT20" i="12"/>
  <c r="CB44" i="12"/>
  <c r="FU35" i="12"/>
  <c r="EN35" i="12"/>
  <c r="HU24" i="12"/>
  <c r="CW17" i="12"/>
  <c r="EK16" i="12"/>
  <c r="IK48" i="12"/>
  <c r="DR31" i="12"/>
  <c r="U36" i="12"/>
  <c r="DM24" i="12"/>
  <c r="BM25" i="12"/>
  <c r="HL23" i="12"/>
  <c r="CQ12" i="12"/>
  <c r="IQ27" i="12"/>
  <c r="IK35" i="12"/>
  <c r="EK32" i="12"/>
  <c r="FU37" i="12"/>
  <c r="BX9" i="12"/>
  <c r="BR17" i="12"/>
  <c r="GA14" i="12"/>
  <c r="EV23" i="12"/>
  <c r="CI32" i="12"/>
  <c r="DS26" i="12"/>
  <c r="U23" i="12"/>
  <c r="CM24" i="12"/>
  <c r="AH5" i="12"/>
  <c r="HL21" i="12"/>
  <c r="D44" i="12"/>
  <c r="CD36" i="12"/>
  <c r="DC35" i="12"/>
  <c r="K19" i="12"/>
  <c r="AX16" i="12"/>
  <c r="EY16" i="12"/>
  <c r="AH33" i="12"/>
  <c r="DC24" i="12"/>
  <c r="DK10" i="12"/>
  <c r="CC12" i="12"/>
  <c r="HJ32" i="12"/>
  <c r="HT30" i="12"/>
  <c r="D30" i="12"/>
  <c r="BS17" i="12"/>
  <c r="W24" i="12"/>
  <c r="I21" i="12"/>
  <c r="HH37" i="12"/>
  <c r="GB38" i="12"/>
  <c r="DS41" i="12"/>
  <c r="FF37" i="12"/>
  <c r="DG38" i="12"/>
  <c r="DJ12" i="12"/>
  <c r="AK53" i="12"/>
  <c r="CS51" i="12"/>
  <c r="GH4" i="12"/>
  <c r="GR45" i="12"/>
  <c r="C51" i="12"/>
  <c r="DB40" i="12"/>
  <c r="BJ44" i="12"/>
  <c r="IP51" i="12"/>
  <c r="AY48" i="12"/>
  <c r="GK50" i="12"/>
  <c r="HU4" i="12"/>
  <c r="IB37" i="12"/>
  <c r="ID37" i="12"/>
  <c r="II34" i="12"/>
  <c r="CN51" i="12"/>
  <c r="IP4" i="12"/>
  <c r="FD52" i="12"/>
  <c r="DC47" i="12"/>
  <c r="DA40" i="12"/>
  <c r="S38" i="12"/>
  <c r="BD40" i="12"/>
  <c r="IM29" i="12"/>
  <c r="GB33" i="12"/>
  <c r="AD44" i="12"/>
  <c r="CV44" i="12"/>
  <c r="HG41" i="12"/>
  <c r="O34" i="12"/>
  <c r="FN11" i="12"/>
  <c r="HA12" i="12"/>
  <c r="CB38" i="12"/>
  <c r="CT6" i="12"/>
  <c r="CR5" i="12"/>
  <c r="DE15" i="12"/>
  <c r="FB32" i="12"/>
  <c r="HI16" i="12"/>
  <c r="Z27" i="12"/>
  <c r="HE25" i="12"/>
  <c r="J29" i="12"/>
  <c r="AJ23" i="12"/>
  <c r="EG12" i="12"/>
  <c r="HJ28" i="12"/>
  <c r="EH28" i="12"/>
  <c r="AQ49" i="12"/>
  <c r="DI7" i="12"/>
  <c r="HC23" i="12"/>
  <c r="AF19" i="12"/>
  <c r="GM30" i="12"/>
  <c r="CP30" i="12"/>
  <c r="GS27" i="12"/>
  <c r="EZ23" i="12"/>
  <c r="BA16" i="12"/>
  <c r="HS15" i="12"/>
  <c r="HK41" i="12"/>
  <c r="HA13" i="12"/>
  <c r="DD15" i="12"/>
  <c r="FY23" i="12"/>
  <c r="CD32" i="12"/>
  <c r="R25" i="12"/>
  <c r="ET33" i="12"/>
  <c r="F19" i="12"/>
  <c r="BG20" i="12"/>
  <c r="FZ18" i="12"/>
  <c r="HG9" i="12"/>
  <c r="GV24" i="12"/>
  <c r="K29" i="12"/>
  <c r="GO28" i="12"/>
  <c r="DM18" i="12"/>
  <c r="AH14" i="12"/>
  <c r="EK20" i="12"/>
  <c r="IE32" i="12"/>
  <c r="P31" i="12"/>
  <c r="HM53" i="12"/>
  <c r="BR13" i="12"/>
  <c r="GE17" i="12"/>
  <c r="FC22" i="12"/>
  <c r="EW28" i="12"/>
  <c r="HA37" i="12"/>
  <c r="EP34" i="12"/>
  <c r="CJ16" i="12"/>
  <c r="AU20" i="12"/>
  <c r="BQ17" i="12"/>
  <c r="FR28" i="12"/>
  <c r="FB9" i="12"/>
  <c r="EF26" i="12"/>
  <c r="IC35" i="12"/>
  <c r="X24" i="12"/>
  <c r="BX23" i="12"/>
  <c r="HX25" i="12"/>
  <c r="EJ34" i="12"/>
  <c r="GX28" i="12"/>
  <c r="GK32" i="12"/>
  <c r="FJ22" i="12"/>
  <c r="HI28" i="12"/>
  <c r="FM18" i="12"/>
  <c r="BZ21" i="12"/>
  <c r="DS27" i="12"/>
  <c r="EZ30" i="12"/>
  <c r="GT24" i="12"/>
  <c r="GM17" i="12"/>
  <c r="DK15" i="12"/>
  <c r="EG49" i="12"/>
  <c r="GJ19" i="12"/>
  <c r="FV28" i="12"/>
  <c r="FE13" i="12"/>
  <c r="HZ13" i="12"/>
  <c r="CF25" i="12"/>
  <c r="FF26" i="12"/>
  <c r="CQ30" i="12"/>
  <c r="BQ25" i="12"/>
  <c r="BH31" i="12"/>
  <c r="FJ4" i="12"/>
  <c r="IE44" i="12"/>
  <c r="AO51" i="12"/>
  <c r="DY45" i="12"/>
  <c r="GR40" i="12"/>
  <c r="HO39" i="12"/>
  <c r="CY37" i="12"/>
  <c r="CW40" i="12"/>
  <c r="CI34" i="12"/>
  <c r="EP30" i="12"/>
  <c r="L44" i="12"/>
  <c r="EM35" i="12"/>
  <c r="FY36" i="12"/>
  <c r="HI32" i="12"/>
  <c r="FZ49" i="12"/>
  <c r="CK29" i="12"/>
  <c r="CS42" i="12"/>
  <c r="BO45" i="12"/>
  <c r="I49" i="12"/>
  <c r="AX47" i="12"/>
  <c r="HS46" i="12"/>
  <c r="AP28" i="12"/>
  <c r="K45" i="12"/>
  <c r="FD49" i="12"/>
  <c r="EP46" i="12"/>
  <c r="GL41" i="12"/>
  <c r="IC51" i="12"/>
  <c r="EW23" i="12"/>
  <c r="EI39" i="12"/>
  <c r="AV5" i="12"/>
  <c r="C6" i="12"/>
  <c r="CU5" i="12"/>
  <c r="AD15" i="12"/>
  <c r="HG51" i="12"/>
  <c r="AN14" i="12"/>
  <c r="GP18" i="12"/>
  <c r="BV19" i="12"/>
  <c r="EB19" i="12"/>
  <c r="GT22" i="12"/>
  <c r="AD18" i="12"/>
  <c r="II16" i="12"/>
  <c r="EU47" i="12"/>
  <c r="GW45" i="12"/>
  <c r="GG32" i="12"/>
  <c r="AU36" i="12"/>
  <c r="AF36" i="12"/>
  <c r="GW23" i="12"/>
  <c r="EB22" i="12"/>
  <c r="GZ12" i="12"/>
  <c r="HD25" i="12"/>
  <c r="GM32" i="12"/>
  <c r="BG27" i="12"/>
  <c r="J11" i="12"/>
  <c r="U31" i="12"/>
  <c r="DJ26" i="12"/>
  <c r="I28" i="12"/>
  <c r="GB8" i="12"/>
  <c r="DJ21" i="12"/>
  <c r="BZ26" i="12"/>
  <c r="CR35" i="12"/>
  <c r="DT17" i="12"/>
  <c r="DK52" i="12"/>
  <c r="BR7" i="12"/>
  <c r="FX23" i="12"/>
  <c r="BG18" i="12"/>
  <c r="DM29" i="12"/>
  <c r="Q34" i="12"/>
  <c r="Z32" i="12"/>
  <c r="DX23" i="12"/>
  <c r="EL18" i="12"/>
  <c r="CD14" i="12"/>
  <c r="GZ7" i="12"/>
  <c r="GW25" i="12"/>
  <c r="BI32" i="12"/>
  <c r="HP26" i="12"/>
  <c r="CN27" i="12"/>
  <c r="EZ18" i="12"/>
  <c r="IM17" i="12"/>
  <c r="FW30" i="12"/>
  <c r="DM34" i="12"/>
  <c r="GM34" i="12"/>
  <c r="GC43" i="12"/>
  <c r="U15" i="12"/>
  <c r="EM13" i="12"/>
  <c r="FQ17" i="12"/>
  <c r="AP25" i="12"/>
  <c r="Q28" i="12"/>
  <c r="GL24" i="12"/>
  <c r="BR20" i="12"/>
  <c r="EC26" i="12"/>
  <c r="HW10" i="12"/>
  <c r="HO28" i="12"/>
  <c r="BC29" i="12"/>
  <c r="S34" i="12"/>
  <c r="CO23" i="12"/>
  <c r="T22" i="12"/>
  <c r="GN27" i="12"/>
  <c r="HG21" i="12"/>
  <c r="FI30" i="12"/>
  <c r="CG30" i="12"/>
  <c r="FA6" i="12"/>
  <c r="DY28" i="12"/>
  <c r="DP30" i="12"/>
  <c r="CN29" i="12"/>
  <c r="IR16" i="12"/>
  <c r="GB16" i="12"/>
  <c r="CJ19" i="12"/>
  <c r="DH13" i="12"/>
  <c r="Y39" i="12"/>
  <c r="DP37" i="12"/>
  <c r="EV40" i="12"/>
  <c r="Y5" i="12"/>
  <c r="CX7" i="12"/>
  <c r="V39" i="12"/>
  <c r="GP10" i="12"/>
  <c r="GK51" i="12"/>
  <c r="X19" i="12"/>
  <c r="CJ35" i="12"/>
  <c r="DX38" i="12"/>
  <c r="AZ33" i="12"/>
  <c r="BF41" i="12"/>
  <c r="BL43" i="12"/>
  <c r="EY15" i="12"/>
  <c r="BX13" i="12"/>
  <c r="GO21" i="12"/>
  <c r="FM24" i="12"/>
  <c r="FQ29" i="12"/>
  <c r="FG5" i="12"/>
  <c r="H25" i="12"/>
  <c r="AC31" i="12"/>
  <c r="BG21" i="12"/>
  <c r="GZ19" i="12"/>
  <c r="IG28" i="12"/>
  <c r="GN34" i="12"/>
  <c r="CT31" i="12"/>
  <c r="FQ32" i="12"/>
  <c r="CI19" i="12"/>
  <c r="FX32" i="12"/>
  <c r="IM24" i="12"/>
  <c r="GD36" i="12"/>
  <c r="IC15" i="12"/>
  <c r="HS20" i="12"/>
  <c r="BB24" i="12"/>
  <c r="BV29" i="12"/>
  <c r="GK37" i="12"/>
  <c r="FU27" i="12"/>
  <c r="EE27" i="12"/>
  <c r="BQ10" i="12"/>
  <c r="P22" i="12"/>
  <c r="W40" i="12"/>
  <c r="HK34" i="12"/>
  <c r="IJ33" i="12"/>
  <c r="EC22" i="12"/>
  <c r="FB16" i="12"/>
  <c r="DF28" i="12"/>
  <c r="DR39" i="12"/>
  <c r="CS41" i="12"/>
  <c r="AW4" i="12"/>
  <c r="F50" i="12"/>
  <c r="FU53" i="12"/>
  <c r="IG30" i="12"/>
  <c r="II43" i="12"/>
  <c r="AD35" i="12"/>
  <c r="BU43" i="12"/>
  <c r="DA52" i="12"/>
  <c r="DW24" i="12"/>
  <c r="HO44" i="12"/>
  <c r="AJ31" i="12"/>
  <c r="FO46" i="12"/>
  <c r="FT31" i="12"/>
  <c r="CU49" i="12"/>
  <c r="HN39" i="12"/>
  <c r="AV17" i="12"/>
  <c r="CS38" i="12"/>
  <c r="FB38" i="12"/>
  <c r="AD41" i="12"/>
  <c r="DY43" i="12"/>
  <c r="GX39" i="12"/>
  <c r="BX33" i="12"/>
  <c r="X34" i="12"/>
  <c r="EV39" i="12"/>
  <c r="FM50" i="12"/>
  <c r="Z43" i="12"/>
  <c r="EH50" i="12"/>
  <c r="DA51" i="12"/>
  <c r="AF40" i="12"/>
  <c r="DO4" i="12"/>
  <c r="EP40" i="12"/>
  <c r="CS43" i="12"/>
  <c r="IM39" i="12"/>
  <c r="DT36" i="12"/>
  <c r="FZ39" i="12"/>
  <c r="BN40" i="12"/>
  <c r="DL4" i="12"/>
  <c r="DE47" i="12"/>
  <c r="GL42" i="12"/>
  <c r="BJ37" i="12"/>
  <c r="EK37" i="12"/>
  <c r="BD39" i="12"/>
  <c r="DT48" i="12"/>
  <c r="FQ39" i="12"/>
  <c r="BC22" i="12"/>
  <c r="CR39" i="12"/>
  <c r="EF48" i="12"/>
  <c r="IR21" i="12"/>
  <c r="T35" i="12"/>
  <c r="DL44" i="12"/>
  <c r="GC36" i="12"/>
  <c r="BA42" i="12"/>
  <c r="EU40" i="12"/>
  <c r="DU38" i="12"/>
  <c r="HH53" i="12"/>
  <c r="ES52" i="12"/>
  <c r="HJ51" i="12"/>
  <c r="CX42" i="12"/>
  <c r="BI43" i="12"/>
  <c r="EY40" i="12"/>
  <c r="IN41" i="12"/>
  <c r="FQ47" i="12"/>
  <c r="HM47" i="12"/>
  <c r="EL27" i="12"/>
  <c r="FT50" i="12"/>
  <c r="GR47" i="12"/>
  <c r="FX24" i="12"/>
  <c r="IQ49" i="12"/>
  <c r="GZ33" i="12"/>
  <c r="FT34" i="12"/>
  <c r="CI39" i="12"/>
  <c r="BL40" i="12"/>
  <c r="EF43" i="12"/>
  <c r="FO51" i="12"/>
  <c r="IJ47" i="12"/>
  <c r="EN44" i="12"/>
  <c r="G39" i="12"/>
  <c r="CP42" i="12"/>
  <c r="M50" i="12"/>
  <c r="ID44" i="12"/>
  <c r="HG52" i="12"/>
  <c r="E49" i="12"/>
  <c r="HE52" i="12"/>
  <c r="ED35" i="12"/>
  <c r="BH46" i="12"/>
  <c r="EN53" i="12"/>
  <c r="EL46" i="12"/>
  <c r="CL38" i="12"/>
  <c r="BZ34" i="12"/>
  <c r="I34" i="12"/>
  <c r="DI49" i="12"/>
  <c r="IQ52" i="12"/>
  <c r="IP8" i="12"/>
  <c r="AO6" i="12"/>
  <c r="FV51" i="12"/>
  <c r="EP4" i="12"/>
  <c r="FM10" i="12"/>
  <c r="CO14" i="12"/>
  <c r="HW49" i="12"/>
  <c r="EZ4" i="12"/>
  <c r="CZ43" i="12"/>
  <c r="GF11" i="12"/>
  <c r="EE8" i="12"/>
  <c r="HG20" i="12"/>
  <c r="GA10" i="12"/>
  <c r="CL8" i="12"/>
  <c r="AM10" i="12"/>
  <c r="BC34" i="12"/>
  <c r="CD53" i="12"/>
  <c r="GE48" i="12"/>
  <c r="GD11" i="12"/>
  <c r="AH10" i="12"/>
  <c r="HT9" i="12"/>
  <c r="DO10" i="12"/>
  <c r="GV8" i="12"/>
  <c r="Q15" i="12"/>
  <c r="IA17" i="12"/>
  <c r="DU36" i="12"/>
  <c r="ES46" i="12"/>
  <c r="EG47" i="12"/>
  <c r="CD8" i="12"/>
  <c r="FV13" i="12"/>
  <c r="BV11" i="12"/>
  <c r="CT8" i="12"/>
  <c r="CQ50" i="12"/>
  <c r="GS12" i="12"/>
  <c r="ET20" i="12"/>
  <c r="GQ24" i="12"/>
  <c r="GJ33" i="12"/>
  <c r="HW42" i="12"/>
  <c r="BG40" i="12"/>
  <c r="V11" i="12"/>
  <c r="Z13" i="12"/>
  <c r="HI10" i="12"/>
  <c r="HE6" i="12"/>
  <c r="DQ10" i="12"/>
  <c r="DW11" i="12"/>
  <c r="BO47" i="12"/>
  <c r="AZ52" i="12"/>
  <c r="BF13" i="12"/>
  <c r="T11" i="12"/>
  <c r="J49" i="12"/>
  <c r="CW13" i="12"/>
  <c r="FJ13" i="12"/>
  <c r="HX18" i="12"/>
  <c r="EZ42" i="12"/>
  <c r="AC45" i="12"/>
  <c r="HF39" i="12"/>
  <c r="DK47" i="12"/>
  <c r="IP49" i="12"/>
  <c r="Y53" i="12"/>
  <c r="FN47" i="12"/>
  <c r="IH47" i="12"/>
  <c r="ES43" i="12"/>
  <c r="C21" i="12"/>
  <c r="DI5" i="12"/>
  <c r="CL13" i="12"/>
  <c r="BH12" i="12"/>
  <c r="I6" i="12"/>
  <c r="HB37" i="12"/>
  <c r="EV42" i="12"/>
  <c r="IJ36" i="12"/>
  <c r="BD5" i="12"/>
  <c r="DV7" i="12"/>
  <c r="BE7" i="12"/>
  <c r="O14" i="12"/>
  <c r="GQ47" i="12"/>
  <c r="AN9" i="12"/>
  <c r="GC10" i="12"/>
  <c r="Y40" i="12"/>
  <c r="EG33" i="12"/>
  <c r="BQ50" i="12"/>
  <c r="AI9" i="12"/>
  <c r="IG7" i="12"/>
  <c r="FN15" i="12"/>
  <c r="DN44" i="12"/>
  <c r="BB12" i="12"/>
  <c r="HZ10" i="12"/>
  <c r="CW32" i="12"/>
  <c r="AN52" i="12"/>
  <c r="AS4" i="12"/>
  <c r="AE52" i="12"/>
  <c r="FL8" i="12"/>
  <c r="F15" i="12"/>
  <c r="BV52" i="12"/>
  <c r="AF8" i="12"/>
  <c r="HP9" i="12"/>
  <c r="AC20" i="12"/>
  <c r="AI34" i="12"/>
  <c r="FZ40" i="12"/>
  <c r="AB43" i="12"/>
  <c r="GJ36" i="12"/>
  <c r="CX10" i="12"/>
  <c r="CB46" i="12"/>
  <c r="HA9" i="12"/>
  <c r="DK34" i="12"/>
  <c r="HM36" i="12"/>
  <c r="FJ52" i="12"/>
  <c r="GY53" i="12"/>
  <c r="X45" i="12"/>
  <c r="FL49" i="12"/>
  <c r="F36" i="12"/>
  <c r="FF42" i="12"/>
  <c r="HQ38" i="12"/>
  <c r="HQ9" i="12"/>
  <c r="EM49" i="12"/>
  <c r="BQ9" i="12"/>
  <c r="EF10" i="12"/>
  <c r="G9" i="12"/>
  <c r="AD50" i="12"/>
  <c r="CK52" i="12"/>
  <c r="BS45" i="12"/>
  <c r="CZ12" i="12"/>
  <c r="Q10" i="12"/>
  <c r="HT11" i="12"/>
  <c r="Z8" i="12"/>
  <c r="FI10" i="12"/>
  <c r="AE14" i="12"/>
  <c r="HM15" i="12"/>
  <c r="CF36" i="12"/>
  <c r="FG48" i="12"/>
  <c r="IJ43" i="12"/>
  <c r="BA11" i="12"/>
  <c r="DG14" i="12"/>
  <c r="BJ12" i="12"/>
  <c r="CB10" i="12"/>
  <c r="GT7" i="12"/>
  <c r="P16" i="12"/>
  <c r="BD21" i="12"/>
  <c r="DH42" i="12"/>
  <c r="CF42" i="12"/>
  <c r="HG38" i="12"/>
  <c r="HF14" i="12"/>
  <c r="ES12" i="12"/>
  <c r="FF17" i="12"/>
  <c r="DW43" i="12"/>
  <c r="IA5" i="12"/>
  <c r="GY14" i="12"/>
  <c r="DG27" i="12"/>
  <c r="IA29" i="12"/>
  <c r="FI51" i="12"/>
  <c r="HZ50" i="12"/>
  <c r="IH15" i="12"/>
  <c r="EZ9" i="12"/>
  <c r="BC53" i="12"/>
  <c r="GN5" i="12"/>
  <c r="AS7" i="12"/>
  <c r="HD19" i="12"/>
  <c r="L42" i="12"/>
  <c r="CW39" i="12"/>
  <c r="FO38" i="12"/>
  <c r="GI11" i="12"/>
  <c r="FE7" i="12"/>
  <c r="X17" i="12"/>
  <c r="GJ11" i="12"/>
  <c r="EX53" i="12"/>
  <c r="D42" i="12"/>
  <c r="AE48" i="12"/>
  <c r="P41" i="12"/>
  <c r="BM8" i="12"/>
  <c r="EY49" i="12"/>
  <c r="FR7" i="12"/>
  <c r="DA11" i="12"/>
  <c r="FD9" i="12"/>
  <c r="CF50" i="12"/>
  <c r="HK19" i="12"/>
  <c r="IK40" i="12"/>
  <c r="FB37" i="12"/>
  <c r="IR41" i="12"/>
  <c r="HY38" i="12"/>
  <c r="ER38" i="12"/>
  <c r="FM26" i="12"/>
  <c r="CW44" i="12"/>
  <c r="AG38" i="12"/>
  <c r="HE39" i="12"/>
  <c r="IG49" i="12"/>
  <c r="EO9" i="12"/>
  <c r="BQ7" i="12"/>
  <c r="DW6" i="12"/>
  <c r="R8" i="12"/>
  <c r="I39" i="12"/>
  <c r="AR45" i="12"/>
  <c r="AY46" i="12"/>
  <c r="AB8" i="12"/>
  <c r="GW10" i="12"/>
  <c r="GT10" i="12"/>
  <c r="FZ6" i="12"/>
  <c r="BI45" i="12"/>
  <c r="FT12" i="12"/>
  <c r="BM19" i="12"/>
  <c r="GX43" i="12"/>
  <c r="IP37" i="12"/>
  <c r="HU40" i="12"/>
  <c r="CS12" i="12"/>
  <c r="HK14" i="12"/>
  <c r="GV17" i="12"/>
  <c r="HF4" i="12"/>
  <c r="Z5" i="12"/>
  <c r="CA12" i="12"/>
  <c r="DL21" i="12"/>
  <c r="T46" i="12"/>
  <c r="FA51" i="12"/>
  <c r="EF5" i="12"/>
  <c r="IG10" i="12"/>
  <c r="CP20" i="12"/>
  <c r="R49" i="12"/>
  <c r="HU8" i="12"/>
  <c r="FP13" i="12"/>
  <c r="EC17" i="12"/>
  <c r="FP23" i="12"/>
  <c r="HO41" i="12"/>
  <c r="CQ35" i="12"/>
  <c r="CD38" i="12"/>
  <c r="V15" i="12"/>
  <c r="C41" i="12"/>
  <c r="L8" i="12"/>
  <c r="CJ17" i="12"/>
  <c r="HR53" i="12"/>
  <c r="BX51" i="12"/>
  <c r="DT39" i="12"/>
  <c r="K40" i="12"/>
  <c r="EE41" i="12"/>
  <c r="ES5" i="12"/>
  <c r="IH6" i="12"/>
  <c r="V12" i="12"/>
  <c r="FO4" i="12"/>
  <c r="BL9" i="12"/>
  <c r="AW38" i="12"/>
  <c r="DW40" i="12"/>
  <c r="AM38" i="12"/>
  <c r="BB4" i="12"/>
  <c r="L6" i="12"/>
  <c r="IR6" i="12"/>
  <c r="BH6" i="12"/>
  <c r="IO6" i="12"/>
  <c r="HQ8" i="12"/>
  <c r="DG26" i="12"/>
  <c r="J17" i="12"/>
  <c r="DR8" i="12"/>
  <c r="CK26" i="12"/>
  <c r="HC35" i="12"/>
  <c r="HU34" i="12"/>
  <c r="FP20" i="12"/>
  <c r="BX18" i="12"/>
  <c r="GZ17" i="12"/>
  <c r="GR37" i="12"/>
  <c r="EA48" i="12"/>
  <c r="FR4" i="12"/>
  <c r="CR45" i="12"/>
  <c r="DI51" i="12"/>
  <c r="CZ4" i="12"/>
  <c r="HI48" i="12"/>
  <c r="HG43" i="12"/>
  <c r="BT7" i="12"/>
  <c r="IB9" i="12"/>
  <c r="FT15" i="12"/>
  <c r="BM14" i="12"/>
  <c r="BN6" i="12"/>
  <c r="AY18" i="12"/>
  <c r="HA49" i="12"/>
  <c r="BV53" i="12"/>
  <c r="ET5" i="12"/>
  <c r="BU7" i="12"/>
  <c r="DW47" i="12"/>
  <c r="IC7" i="12"/>
  <c r="CX9" i="12"/>
  <c r="HO24" i="12"/>
  <c r="FT13" i="12"/>
  <c r="AK48" i="12"/>
  <c r="FR42" i="12"/>
  <c r="HD42" i="12"/>
  <c r="W6" i="12"/>
  <c r="CP51" i="12"/>
  <c r="GV9" i="12"/>
  <c r="AL9" i="12"/>
  <c r="DK50" i="12"/>
  <c r="EL47" i="12"/>
  <c r="BK19" i="12"/>
  <c r="EX42" i="12"/>
  <c r="BY43" i="12"/>
  <c r="HN43" i="12"/>
  <c r="EB49" i="12"/>
  <c r="AU11" i="12"/>
  <c r="L9" i="12"/>
  <c r="HW11" i="12"/>
  <c r="BF11" i="12"/>
  <c r="AT13" i="12"/>
  <c r="GP31" i="12"/>
  <c r="IP27" i="12"/>
  <c r="EZ53" i="12"/>
  <c r="AU44" i="12"/>
  <c r="BP44" i="12"/>
  <c r="EI12" i="12"/>
  <c r="CX18" i="12"/>
  <c r="AL51" i="12"/>
  <c r="HZ6" i="12"/>
  <c r="CE6" i="12"/>
  <c r="FL38" i="12"/>
  <c r="BL44" i="12"/>
  <c r="EK40" i="12"/>
  <c r="BI10" i="12"/>
  <c r="HW46" i="12"/>
  <c r="HR9" i="12"/>
  <c r="AS12" i="12"/>
  <c r="EA11" i="12"/>
  <c r="K48" i="12"/>
  <c r="BX46" i="12"/>
  <c r="CY48" i="12"/>
  <c r="EX7" i="12"/>
  <c r="R14" i="12"/>
  <c r="FS14" i="12"/>
  <c r="CQ11" i="12"/>
  <c r="EO5" i="12"/>
  <c r="FZ37" i="12"/>
  <c r="ID4" i="12"/>
  <c r="AC49" i="12"/>
  <c r="CE4" i="12"/>
  <c r="DD52" i="12"/>
  <c r="GY47" i="12"/>
  <c r="CY44" i="12"/>
  <c r="FZ41" i="12"/>
  <c r="BG10" i="12"/>
  <c r="AM15" i="12"/>
  <c r="CO6" i="12"/>
  <c r="ET7" i="12"/>
  <c r="EE7" i="12"/>
  <c r="EG20" i="12"/>
  <c r="J53" i="12"/>
  <c r="FA49" i="12"/>
  <c r="CQ6" i="12"/>
  <c r="FB6" i="12"/>
  <c r="CX53" i="12"/>
  <c r="GK9" i="12"/>
  <c r="GT11" i="12"/>
  <c r="EF13" i="12"/>
  <c r="BU17" i="12"/>
  <c r="BN48" i="12"/>
  <c r="AD49" i="12"/>
  <c r="DV39" i="12"/>
  <c r="BB6" i="12"/>
  <c r="FA46" i="12"/>
  <c r="IA13" i="12"/>
  <c r="EH11" i="12"/>
  <c r="GR43" i="12"/>
  <c r="BT5" i="12"/>
  <c r="GB22" i="12"/>
  <c r="ET43" i="12"/>
  <c r="AK44" i="12"/>
  <c r="BY39" i="12"/>
  <c r="EM43" i="12"/>
  <c r="BE12" i="12"/>
  <c r="CR8" i="12"/>
  <c r="R17" i="12"/>
  <c r="DL7" i="12"/>
  <c r="V17" i="12"/>
  <c r="EV27" i="12"/>
  <c r="BD32" i="12"/>
  <c r="BW43" i="12"/>
  <c r="DQ49" i="12"/>
  <c r="FL6" i="12"/>
  <c r="EY14" i="12"/>
  <c r="DD22" i="12"/>
  <c r="BY46" i="12"/>
  <c r="IC5" i="12"/>
  <c r="GR12" i="12"/>
  <c r="U38" i="12"/>
  <c r="GW40" i="12"/>
  <c r="CK41" i="12"/>
  <c r="IJ49" i="12"/>
  <c r="GI50" i="12"/>
  <c r="IR51" i="12"/>
  <c r="BU45" i="12"/>
  <c r="EK41" i="12"/>
  <c r="HM49" i="12"/>
  <c r="AI45" i="12"/>
  <c r="AB9" i="12"/>
  <c r="FZ8" i="12"/>
  <c r="ID50" i="12"/>
  <c r="AQ12" i="12"/>
  <c r="GH12" i="12"/>
  <c r="CE17" i="12"/>
  <c r="EY50" i="12"/>
  <c r="V47" i="12"/>
  <c r="AF12" i="12"/>
  <c r="GS7" i="12"/>
  <c r="IC48" i="12"/>
  <c r="CR10" i="12"/>
  <c r="EI13" i="12"/>
  <c r="CG18" i="12"/>
  <c r="DU21" i="12"/>
  <c r="IH41" i="12"/>
  <c r="AW43" i="12"/>
  <c r="BV40" i="12"/>
  <c r="HV10" i="12"/>
  <c r="U6" i="12"/>
  <c r="O16" i="12"/>
  <c r="BB13" i="12"/>
  <c r="BF51" i="12"/>
  <c r="V6" i="12"/>
  <c r="FD24" i="12"/>
  <c r="E39" i="12"/>
  <c r="EK39" i="12"/>
  <c r="HC38" i="12"/>
  <c r="D5" i="12"/>
  <c r="BT6" i="12"/>
  <c r="CS10" i="12"/>
  <c r="AM53" i="12"/>
  <c r="GN8" i="12"/>
  <c r="DM6" i="12"/>
  <c r="FW28" i="12"/>
  <c r="FY25" i="12"/>
  <c r="AL48" i="12"/>
  <c r="FT52" i="12"/>
  <c r="AH7" i="12"/>
  <c r="FM15" i="12"/>
  <c r="CE53" i="12"/>
  <c r="J51" i="12"/>
  <c r="DZ10" i="12"/>
  <c r="GR16" i="12"/>
  <c r="HA39" i="12"/>
  <c r="EW41" i="12"/>
  <c r="HD37" i="12"/>
  <c r="DF16" i="12"/>
  <c r="DJ51" i="12"/>
  <c r="CW8" i="12"/>
  <c r="FL5" i="12"/>
  <c r="HD51" i="12"/>
  <c r="BT46" i="12"/>
  <c r="ER42" i="12"/>
  <c r="N39" i="12"/>
  <c r="HM11" i="12"/>
  <c r="DX15" i="12"/>
  <c r="CD7" i="12"/>
  <c r="CQ8" i="12"/>
  <c r="DI33" i="12"/>
  <c r="HU43" i="12"/>
  <c r="DR47" i="12"/>
  <c r="AP44" i="12"/>
  <c r="DG43" i="12"/>
  <c r="IN28" i="12"/>
  <c r="AI35" i="12"/>
  <c r="BH39" i="12"/>
  <c r="AP38" i="12"/>
  <c r="GF6" i="12"/>
  <c r="DN5" i="12"/>
  <c r="DY21" i="12"/>
  <c r="HA50" i="12"/>
  <c r="O10" i="12"/>
  <c r="FM46" i="12"/>
  <c r="BD47" i="12"/>
  <c r="HM42" i="12"/>
  <c r="EO49" i="12"/>
  <c r="CV12" i="12"/>
  <c r="IN5" i="12"/>
  <c r="HZ15" i="12"/>
  <c r="GD10" i="12"/>
  <c r="AQ13" i="12"/>
  <c r="DD34" i="12"/>
  <c r="AF52" i="12"/>
  <c r="D46" i="12"/>
  <c r="ET47" i="12"/>
  <c r="IH12" i="12"/>
  <c r="HK10" i="12"/>
  <c r="FV21" i="12"/>
  <c r="GJ10" i="12"/>
  <c r="CM12" i="12"/>
  <c r="CJ13" i="12"/>
  <c r="EY26" i="12"/>
  <c r="AC4" i="12"/>
  <c r="FQ46" i="12"/>
  <c r="EY11" i="12"/>
  <c r="BU11" i="12"/>
  <c r="BX12" i="12"/>
  <c r="GS9" i="12"/>
  <c r="Y12" i="12"/>
  <c r="DX16" i="12"/>
  <c r="IC18" i="12"/>
  <c r="Z17" i="12"/>
  <c r="HM35" i="12"/>
  <c r="GL38" i="12"/>
  <c r="HP44" i="12"/>
  <c r="EB12" i="12"/>
  <c r="HV12" i="12"/>
  <c r="BL12" i="12"/>
  <c r="AG12" i="12"/>
  <c r="GS15" i="12"/>
  <c r="EV5" i="12"/>
  <c r="CC4" i="12"/>
  <c r="AS25" i="12"/>
  <c r="IJ24" i="12"/>
  <c r="CN5" i="12"/>
  <c r="FY11" i="12"/>
  <c r="IL13" i="12"/>
  <c r="EL16" i="12"/>
  <c r="FZ11" i="12"/>
  <c r="U34" i="12"/>
  <c r="GH38" i="12"/>
  <c r="DN36" i="12"/>
  <c r="HF5" i="12"/>
  <c r="AY5" i="12"/>
  <c r="BL21" i="12"/>
  <c r="IM47" i="12"/>
  <c r="FJ9" i="12"/>
  <c r="CR7" i="12"/>
  <c r="DZ29" i="12"/>
  <c r="CG31" i="12"/>
  <c r="AP4" i="12"/>
  <c r="FI21" i="12"/>
  <c r="FR35" i="12"/>
  <c r="GO20" i="12"/>
  <c r="J26" i="12"/>
  <c r="HV26" i="12"/>
  <c r="FZ20" i="12"/>
  <c r="HX17" i="12"/>
  <c r="GK15" i="12"/>
  <c r="BT28" i="12"/>
  <c r="EK12" i="12"/>
  <c r="BZ16" i="12"/>
  <c r="HD20" i="12"/>
  <c r="Q31" i="12"/>
  <c r="GA44" i="12"/>
  <c r="DK36" i="12"/>
  <c r="DW15" i="12"/>
  <c r="BS12" i="12"/>
  <c r="BH13" i="12"/>
  <c r="EC23" i="12"/>
  <c r="CF27" i="12"/>
  <c r="GF22" i="12"/>
  <c r="AO37" i="12"/>
  <c r="EJ8" i="12"/>
  <c r="HY21" i="12"/>
  <c r="ED23" i="12"/>
  <c r="DY16" i="12"/>
  <c r="IF17" i="12"/>
  <c r="AW14" i="12"/>
  <c r="ER25" i="12"/>
  <c r="DE33" i="12"/>
  <c r="IC24" i="12"/>
  <c r="BF24" i="12"/>
  <c r="CE5" i="12"/>
  <c r="BJ22" i="12"/>
  <c r="GK31" i="12"/>
  <c r="CN24" i="12"/>
  <c r="BJ17" i="12"/>
  <c r="AY33" i="12"/>
  <c r="AF35" i="12"/>
  <c r="FW27" i="12"/>
  <c r="GB28" i="12"/>
  <c r="FU18" i="12"/>
  <c r="GM51" i="12"/>
  <c r="DK18" i="12"/>
  <c r="EW40" i="12"/>
  <c r="FH24" i="12"/>
  <c r="BG26" i="12"/>
  <c r="IO22" i="12"/>
  <c r="EC21" i="12"/>
  <c r="DE19" i="12"/>
  <c r="DO33" i="12"/>
  <c r="D53" i="12"/>
  <c r="IJ15" i="12"/>
  <c r="AP31" i="12"/>
  <c r="EW17" i="12"/>
  <c r="HJ18" i="12"/>
  <c r="DR12" i="12"/>
  <c r="DK30" i="12"/>
  <c r="EP25" i="12"/>
  <c r="GV29" i="12"/>
  <c r="Q17" i="12"/>
  <c r="F48" i="12"/>
  <c r="IL8" i="12"/>
  <c r="IQ31" i="12"/>
  <c r="AA22" i="12"/>
  <c r="AN29" i="12"/>
  <c r="CA21" i="12"/>
  <c r="F20" i="12"/>
  <c r="IE24" i="12"/>
  <c r="ES22" i="12"/>
  <c r="EO6" i="12"/>
  <c r="E32" i="12"/>
  <c r="FE29" i="12"/>
  <c r="DJ29" i="12"/>
  <c r="FT17" i="12"/>
  <c r="BP27" i="12"/>
  <c r="GC26" i="12"/>
  <c r="ER33" i="12"/>
  <c r="EP27" i="12"/>
  <c r="DZ25" i="12"/>
  <c r="GF13" i="12"/>
  <c r="S22" i="12"/>
  <c r="K36" i="12"/>
  <c r="AJ35" i="12"/>
  <c r="IO23" i="12"/>
  <c r="HA18" i="12"/>
  <c r="IA34" i="12"/>
  <c r="HM28" i="12"/>
  <c r="BV43" i="12"/>
  <c r="II45" i="12"/>
  <c r="BY50" i="12"/>
  <c r="FT47" i="12"/>
  <c r="EL40" i="12"/>
  <c r="FN34" i="12"/>
  <c r="FS41" i="12"/>
  <c r="AY40" i="12"/>
  <c r="EB38" i="12"/>
  <c r="BQ36" i="12"/>
  <c r="BU41" i="12"/>
  <c r="AF22" i="12"/>
  <c r="Z45" i="12"/>
  <c r="EB45" i="12"/>
  <c r="AL49" i="12"/>
  <c r="DP44" i="12"/>
  <c r="BE45" i="12"/>
  <c r="DA19" i="12"/>
  <c r="BG49" i="12"/>
  <c r="GB46" i="12"/>
  <c r="HV50" i="12"/>
  <c r="IK43" i="12"/>
  <c r="IR44" i="12"/>
  <c r="FB25" i="12"/>
  <c r="DB4" i="12"/>
  <c r="GA52" i="12"/>
  <c r="AP41" i="12"/>
  <c r="DO45" i="12"/>
  <c r="CF32" i="12"/>
  <c r="GA9" i="12"/>
  <c r="EG35" i="12"/>
  <c r="HC11" i="12"/>
  <c r="CD12" i="12"/>
  <c r="FM14" i="12"/>
  <c r="DC21" i="12"/>
  <c r="FU10" i="12"/>
  <c r="HW23" i="12"/>
  <c r="P14" i="12"/>
  <c r="DD18" i="12"/>
  <c r="CL31" i="12"/>
  <c r="BZ27" i="12"/>
  <c r="K33" i="12"/>
  <c r="CH20" i="12"/>
  <c r="BH48" i="12"/>
  <c r="HG6" i="12"/>
  <c r="HM13" i="12"/>
  <c r="FN36" i="12"/>
  <c r="IL35" i="12"/>
  <c r="HU26" i="12"/>
  <c r="EO22" i="12"/>
  <c r="GH18" i="12"/>
  <c r="FB23" i="12"/>
  <c r="E33" i="12"/>
  <c r="FR32" i="12"/>
  <c r="DE13" i="12"/>
  <c r="N28" i="12"/>
  <c r="AV31" i="12"/>
  <c r="AB30" i="12"/>
  <c r="GO16" i="12"/>
  <c r="AY16" i="12"/>
  <c r="BH22" i="12"/>
  <c r="AW16" i="12"/>
  <c r="CF26" i="12"/>
  <c r="BD41" i="12"/>
  <c r="CP21" i="12"/>
  <c r="BW25" i="12"/>
  <c r="DH22" i="12"/>
  <c r="FL25" i="12"/>
  <c r="BX34" i="12"/>
  <c r="CV28" i="12"/>
  <c r="BS32" i="12"/>
  <c r="H20" i="12"/>
  <c r="GP20" i="12"/>
  <c r="BW4" i="12"/>
  <c r="GQ22" i="12"/>
  <c r="DV42" i="12"/>
  <c r="AF30" i="12"/>
  <c r="BE29" i="12"/>
  <c r="GJ26" i="12"/>
  <c r="FL20" i="12"/>
  <c r="EU18" i="12"/>
  <c r="AM27" i="12"/>
  <c r="DS24" i="12"/>
  <c r="IE35" i="12"/>
  <c r="BZ8" i="12"/>
  <c r="F13" i="12"/>
  <c r="CV16" i="12"/>
  <c r="IC38" i="12"/>
  <c r="CF28" i="12"/>
  <c r="CZ28" i="12"/>
  <c r="CE20" i="12"/>
  <c r="BJ16" i="12"/>
  <c r="GY5" i="12"/>
  <c r="CG20" i="12"/>
  <c r="GG13" i="12"/>
  <c r="FL32" i="12"/>
  <c r="CY27" i="12"/>
  <c r="AG22" i="12"/>
  <c r="BZ18" i="12"/>
  <c r="HI21" i="12"/>
  <c r="HI23" i="12"/>
  <c r="DJ34" i="12"/>
  <c r="HK6" i="12"/>
  <c r="FR19" i="12"/>
  <c r="DQ20" i="12"/>
  <c r="FD28" i="12"/>
  <c r="DR33" i="12"/>
  <c r="GC18" i="12"/>
  <c r="CA26" i="12"/>
  <c r="HW18" i="12"/>
  <c r="IF52" i="12"/>
  <c r="FB53" i="12"/>
  <c r="DA38" i="12"/>
  <c r="DD10" i="12"/>
  <c r="HU52" i="12"/>
  <c r="DG47" i="12"/>
  <c r="C23" i="12"/>
  <c r="AA6" i="12"/>
  <c r="N48" i="12"/>
  <c r="U32" i="12"/>
  <c r="K49" i="12"/>
  <c r="CE33" i="12"/>
  <c r="GH26" i="12"/>
  <c r="DE26" i="12"/>
  <c r="DN20" i="12"/>
  <c r="CT14" i="12"/>
  <c r="AR16" i="12"/>
  <c r="GD15" i="12"/>
  <c r="AX27" i="12"/>
  <c r="FL9" i="12"/>
  <c r="S18" i="12"/>
  <c r="HG29" i="12"/>
  <c r="GI20" i="12"/>
  <c r="HV21" i="12"/>
  <c r="W21" i="12"/>
  <c r="AK30" i="12"/>
  <c r="CD27" i="12"/>
  <c r="DV29" i="12"/>
  <c r="CP18" i="12"/>
  <c r="CM14" i="12"/>
  <c r="IM18" i="12"/>
  <c r="M32" i="12"/>
  <c r="IP24" i="12"/>
  <c r="AO23" i="12"/>
  <c r="FS27" i="12"/>
  <c r="FS26" i="12"/>
  <c r="GL33" i="12"/>
  <c r="CW24" i="12"/>
  <c r="DL20" i="12"/>
  <c r="DP6" i="12"/>
  <c r="CG15" i="12"/>
  <c r="HU21" i="12"/>
  <c r="FP30" i="12"/>
  <c r="GO30" i="12"/>
  <c r="DL17" i="12"/>
  <c r="T27" i="12"/>
  <c r="EZ16" i="12"/>
  <c r="FU16" i="12"/>
  <c r="DS6" i="12"/>
  <c r="FC26" i="12"/>
  <c r="HO33" i="12"/>
  <c r="J22" i="12"/>
  <c r="AW23" i="12"/>
  <c r="EV19" i="12"/>
  <c r="DD32" i="12"/>
  <c r="AW32" i="12"/>
  <c r="FB27" i="12"/>
  <c r="BT20" i="12"/>
  <c r="DL52" i="12"/>
  <c r="IE16" i="12"/>
  <c r="HV18" i="12"/>
  <c r="BK33" i="12"/>
  <c r="EX25" i="12"/>
  <c r="FW24" i="12"/>
  <c r="EL25" i="12"/>
  <c r="O17" i="12"/>
  <c r="EV15" i="12"/>
  <c r="C49" i="12"/>
  <c r="GR28" i="12"/>
  <c r="DF30" i="12"/>
  <c r="BT35" i="12"/>
  <c r="DN21" i="12"/>
  <c r="AG19" i="12"/>
  <c r="FM27" i="12"/>
  <c r="GN21" i="12"/>
  <c r="AI32" i="12"/>
  <c r="AG32" i="12"/>
  <c r="HB10" i="12"/>
  <c r="CW34" i="12"/>
  <c r="FS31" i="12"/>
  <c r="DX31" i="12"/>
  <c r="DR16" i="12"/>
  <c r="DP13" i="12"/>
  <c r="GA23" i="12"/>
  <c r="FF35" i="12"/>
  <c r="BU39" i="12"/>
  <c r="GB37" i="12"/>
  <c r="FM40" i="12"/>
  <c r="CE38" i="12"/>
  <c r="M43" i="12"/>
  <c r="BB35" i="12"/>
  <c r="ED40" i="12"/>
  <c r="BX43" i="12"/>
  <c r="P43" i="12"/>
  <c r="IM38" i="12"/>
  <c r="HY43" i="12"/>
  <c r="EM22" i="12"/>
  <c r="DZ42" i="12"/>
  <c r="DW4" i="12"/>
  <c r="AG41" i="12"/>
  <c r="GP36" i="12"/>
  <c r="CH44" i="12"/>
  <c r="IL23" i="12"/>
  <c r="BV4" i="12"/>
  <c r="IO50" i="12"/>
  <c r="BG53" i="12"/>
  <c r="GX46" i="12"/>
  <c r="FL34" i="12"/>
  <c r="EY36" i="12"/>
  <c r="AY27" i="12"/>
  <c r="BC49" i="12"/>
  <c r="AF50" i="12"/>
  <c r="DL51" i="12"/>
  <c r="CP40" i="12"/>
  <c r="FJ14" i="12"/>
  <c r="FC4" i="12"/>
  <c r="EU7" i="12"/>
  <c r="AT11" i="12"/>
  <c r="CV9" i="12"/>
  <c r="BJ19" i="12"/>
  <c r="Y13" i="12"/>
  <c r="FM20" i="12"/>
  <c r="DG25" i="12"/>
  <c r="HG24" i="12"/>
  <c r="HW27" i="12"/>
  <c r="GX29" i="12"/>
  <c r="AY24" i="12"/>
  <c r="HN25" i="12"/>
  <c r="GN51" i="12"/>
  <c r="FS10" i="12"/>
  <c r="BJ23" i="12"/>
  <c r="DA41" i="12"/>
  <c r="EA29" i="12"/>
  <c r="EZ28" i="12"/>
  <c r="HW16" i="12"/>
  <c r="EW21" i="12"/>
  <c r="AZ22" i="12"/>
  <c r="EF23" i="12"/>
  <c r="AP26" i="12"/>
  <c r="AO9" i="12"/>
  <c r="FF33" i="12"/>
  <c r="F37" i="12"/>
  <c r="EO37" i="12"/>
  <c r="BL22" i="12"/>
  <c r="F22" i="12"/>
  <c r="EV16" i="12"/>
  <c r="CA23" i="12"/>
  <c r="CL33" i="12"/>
  <c r="FA41" i="12"/>
  <c r="IR18" i="12"/>
  <c r="II32" i="12"/>
  <c r="DI13" i="12"/>
  <c r="DQ19" i="12"/>
  <c r="AB25" i="12"/>
  <c r="CU25" i="12"/>
  <c r="GN32" i="12"/>
  <c r="BO22" i="12"/>
  <c r="CG26" i="12"/>
  <c r="HR7" i="12"/>
  <c r="FR17" i="12"/>
  <c r="CG41" i="12"/>
  <c r="HV30" i="12"/>
  <c r="F30" i="12"/>
  <c r="HR17" i="12"/>
  <c r="DX25" i="12"/>
  <c r="HW24" i="12"/>
  <c r="FQ28" i="12"/>
  <c r="HF24" i="12"/>
  <c r="CR34" i="12"/>
  <c r="EY12" i="12"/>
  <c r="EK22" i="12"/>
  <c r="EB18" i="12"/>
  <c r="CJ41" i="12"/>
  <c r="AH35" i="12"/>
  <c r="CL34" i="12"/>
  <c r="AO27" i="12"/>
  <c r="CG21" i="12"/>
  <c r="FQ23" i="12"/>
  <c r="ED18" i="12"/>
  <c r="CO19" i="12"/>
  <c r="BS28" i="12"/>
  <c r="GW28" i="12"/>
  <c r="DQ29" i="12"/>
  <c r="AO21" i="12"/>
  <c r="AJ15" i="12"/>
  <c r="BL14" i="12"/>
  <c r="CD24" i="12"/>
  <c r="DT10" i="12"/>
  <c r="BX27" i="12"/>
  <c r="BF14" i="12"/>
  <c r="FZ34" i="12"/>
  <c r="AM24" i="12"/>
  <c r="DT20" i="12"/>
  <c r="BC18" i="12"/>
  <c r="BA19" i="12"/>
  <c r="GS45" i="12"/>
  <c r="CL47" i="12"/>
  <c r="HP49" i="12"/>
  <c r="HB46" i="12"/>
  <c r="EA44" i="12"/>
  <c r="GE29" i="12"/>
  <c r="FG35" i="12"/>
  <c r="EI51" i="12"/>
  <c r="AR53" i="12"/>
  <c r="IB49" i="12"/>
  <c r="DZ49" i="12"/>
  <c r="R42" i="12"/>
  <c r="AQ42" i="12"/>
  <c r="IO26" i="12"/>
  <c r="FY47" i="12"/>
  <c r="BZ4" i="12"/>
  <c r="N47" i="12"/>
  <c r="BK40" i="12"/>
  <c r="IN47" i="12"/>
  <c r="CT45" i="12"/>
  <c r="AC40" i="12"/>
  <c r="IB46" i="12"/>
  <c r="BT36" i="12"/>
  <c r="CY42" i="12"/>
  <c r="HX44" i="12"/>
  <c r="GT43" i="12"/>
  <c r="BT37" i="12"/>
  <c r="X44" i="12"/>
  <c r="Y26" i="12"/>
  <c r="HN36" i="12"/>
  <c r="FW42" i="12"/>
  <c r="GA38" i="12"/>
  <c r="GS51" i="12"/>
  <c r="DI14" i="12"/>
  <c r="HX14" i="12"/>
  <c r="HJ49" i="12"/>
  <c r="EV8" i="12"/>
  <c r="BK8" i="12"/>
  <c r="BK29" i="12"/>
  <c r="CT34" i="12"/>
  <c r="CN20" i="12"/>
  <c r="FG26" i="12"/>
  <c r="DR26" i="12"/>
  <c r="EQ28" i="12"/>
  <c r="Y23" i="12"/>
  <c r="CO18" i="12"/>
  <c r="CA28" i="12"/>
  <c r="HP35" i="12"/>
  <c r="CW49" i="12"/>
  <c r="J12" i="12"/>
  <c r="CI27" i="12"/>
  <c r="EU25" i="12"/>
  <c r="DI39" i="12"/>
  <c r="X26" i="12"/>
  <c r="FU24" i="12"/>
  <c r="EB30" i="12"/>
  <c r="AZ20" i="12"/>
  <c r="HJ20" i="12"/>
  <c r="AP42" i="12"/>
  <c r="EK13" i="12"/>
  <c r="GD14" i="12"/>
  <c r="IL17" i="12"/>
  <c r="GY38" i="12"/>
  <c r="HU27" i="12"/>
  <c r="CK27" i="12"/>
  <c r="CP25" i="12"/>
  <c r="EP14" i="12"/>
  <c r="FD16" i="12"/>
  <c r="DM26" i="12"/>
  <c r="BR28" i="12"/>
  <c r="EK33" i="12"/>
  <c r="CI33" i="12"/>
  <c r="DS21" i="12"/>
  <c r="Z20" i="12"/>
  <c r="CI23" i="12"/>
  <c r="AN31" i="12"/>
  <c r="HD33" i="12"/>
  <c r="IB47" i="12"/>
  <c r="FE24" i="12"/>
  <c r="AP30" i="12"/>
  <c r="CR17" i="12"/>
  <c r="GE12" i="12"/>
  <c r="GU28" i="12"/>
  <c r="HO31" i="12"/>
  <c r="BW32" i="12"/>
  <c r="GU10" i="12"/>
  <c r="GK24" i="12"/>
  <c r="DP46" i="12"/>
  <c r="IH5" i="12"/>
  <c r="BV27" i="12"/>
  <c r="IB26" i="12"/>
  <c r="HU25" i="12"/>
  <c r="ES17" i="12"/>
  <c r="FG16" i="12"/>
  <c r="BK31" i="12"/>
  <c r="R37" i="12"/>
  <c r="BX14" i="12"/>
  <c r="CS16" i="12"/>
  <c r="D33" i="12"/>
  <c r="AM25" i="12"/>
  <c r="BV20" i="12"/>
  <c r="CU32" i="12"/>
  <c r="CY33" i="12"/>
  <c r="T31" i="12"/>
  <c r="DP29" i="12"/>
  <c r="DB20" i="12"/>
  <c r="X12" i="12"/>
  <c r="BX22" i="12"/>
  <c r="II28" i="12"/>
  <c r="E22" i="12"/>
  <c r="ER15" i="12"/>
  <c r="HV31" i="12"/>
  <c r="CQ29" i="12"/>
  <c r="GN23" i="12"/>
  <c r="DH37" i="12"/>
  <c r="AV43" i="12"/>
  <c r="T38" i="12"/>
  <c r="GV49" i="12"/>
  <c r="S51" i="12"/>
  <c r="HQ48" i="12"/>
  <c r="CB48" i="12"/>
  <c r="CN47" i="12"/>
  <c r="EU34" i="12"/>
  <c r="FU48" i="12"/>
  <c r="AO48" i="12"/>
  <c r="HR31" i="12"/>
  <c r="Q41" i="12"/>
  <c r="EC40" i="12"/>
  <c r="DA43" i="12"/>
  <c r="FK40" i="12"/>
  <c r="CK38" i="12"/>
  <c r="H30" i="12"/>
  <c r="DM39" i="12"/>
  <c r="BY44" i="12"/>
  <c r="HM27" i="12"/>
  <c r="EG36" i="12"/>
  <c r="AM39" i="12"/>
  <c r="AT20" i="12"/>
  <c r="DJ50" i="12"/>
  <c r="BK51" i="12"/>
  <c r="DI45" i="12"/>
  <c r="EX32" i="12"/>
  <c r="BE51" i="12"/>
  <c r="FN6" i="12"/>
  <c r="EN38" i="12"/>
  <c r="HS50" i="12"/>
  <c r="EZ10" i="12"/>
  <c r="BA10" i="12"/>
  <c r="BJ25" i="12"/>
  <c r="BO13" i="12"/>
  <c r="AF21" i="12"/>
  <c r="BC17" i="12"/>
  <c r="DW18" i="12"/>
  <c r="AF28" i="12"/>
  <c r="AT28" i="12"/>
  <c r="AQ36" i="12"/>
  <c r="K20" i="12"/>
  <c r="Q45" i="12"/>
  <c r="FF44" i="12"/>
  <c r="HX35" i="12"/>
  <c r="BI20" i="12"/>
  <c r="GM27" i="12"/>
  <c r="CH16" i="12"/>
  <c r="IG25" i="12"/>
  <c r="CM16" i="12"/>
  <c r="HK32" i="12"/>
  <c r="BS24" i="12"/>
  <c r="HF23" i="12"/>
  <c r="CJ14" i="12"/>
  <c r="CX30" i="12"/>
  <c r="BB30" i="12"/>
  <c r="HQ35" i="12"/>
  <c r="DX20" i="12"/>
  <c r="ED17" i="12"/>
  <c r="Q19" i="12"/>
  <c r="IL19" i="12"/>
  <c r="HM30" i="12"/>
  <c r="FK4" i="12"/>
  <c r="HM14" i="12"/>
  <c r="EI22" i="12"/>
  <c r="EF25" i="12"/>
  <c r="GR34" i="12"/>
  <c r="FF25" i="12"/>
  <c r="IK20" i="12"/>
  <c r="DN29" i="12"/>
  <c r="CB24" i="12"/>
  <c r="DS20" i="12"/>
  <c r="ES7" i="12"/>
  <c r="BK24" i="12"/>
  <c r="HK29" i="12"/>
  <c r="N29" i="12"/>
  <c r="EV18" i="12"/>
  <c r="FW17" i="12"/>
  <c r="GF18" i="12"/>
  <c r="HN16" i="12"/>
  <c r="FD31" i="12"/>
  <c r="CB31" i="12"/>
  <c r="GP46" i="12"/>
  <c r="AY7" i="12"/>
  <c r="R15" i="12"/>
  <c r="D22" i="12"/>
  <c r="CT28" i="12"/>
  <c r="HD32" i="12"/>
  <c r="L31" i="12"/>
  <c r="CD23" i="12"/>
  <c r="FP17" i="12"/>
  <c r="ET4" i="12"/>
  <c r="HN21" i="12"/>
  <c r="AY14" i="12"/>
  <c r="AH27" i="12"/>
  <c r="O31" i="12"/>
  <c r="DY25" i="12"/>
  <c r="AS19" i="12"/>
  <c r="AA19" i="12"/>
  <c r="BZ35" i="12"/>
  <c r="IF33" i="12"/>
  <c r="ID7" i="12"/>
  <c r="GF23" i="12"/>
  <c r="HJ45" i="12"/>
  <c r="DW30" i="12"/>
  <c r="DQ37" i="12"/>
  <c r="DH21" i="12"/>
  <c r="FH15" i="12"/>
  <c r="ER16" i="12"/>
  <c r="AW44" i="12"/>
  <c r="HJ46" i="12"/>
  <c r="IP44" i="12"/>
  <c r="ED15" i="12"/>
  <c r="EP5" i="12"/>
  <c r="FN52" i="12"/>
  <c r="HJ12" i="12"/>
  <c r="FI11" i="12"/>
  <c r="BZ5" i="12"/>
  <c r="EQ35" i="12"/>
  <c r="CP12" i="12"/>
  <c r="GN35" i="12"/>
  <c r="FH19" i="12"/>
  <c r="GW15" i="12"/>
  <c r="BQ23" i="12"/>
  <c r="GA15" i="12"/>
  <c r="BE25" i="12"/>
  <c r="V26" i="12"/>
  <c r="EV52" i="12"/>
  <c r="CU12" i="12"/>
  <c r="FZ23" i="12"/>
  <c r="ED27" i="12"/>
  <c r="DP32" i="12"/>
  <c r="HY13" i="12"/>
  <c r="BT21" i="12"/>
  <c r="BJ32" i="12"/>
  <c r="HH32" i="12"/>
  <c r="CA32" i="12"/>
  <c r="DD25" i="12"/>
  <c r="ET9" i="12"/>
  <c r="CH25" i="12"/>
  <c r="AT33" i="12"/>
  <c r="EX21" i="12"/>
  <c r="GK22" i="12"/>
  <c r="FQ26" i="12"/>
  <c r="AB33" i="12"/>
  <c r="IC27" i="12"/>
  <c r="CM32" i="12"/>
  <c r="IN19" i="12"/>
  <c r="GQ12" i="12"/>
  <c r="AJ16" i="12"/>
  <c r="EV20" i="12"/>
  <c r="HR26" i="12"/>
  <c r="S28" i="12"/>
  <c r="FI24" i="12"/>
  <c r="CF24" i="12"/>
  <c r="FM25" i="12"/>
  <c r="ES18" i="12"/>
  <c r="FZ48" i="12"/>
  <c r="BF23" i="12"/>
  <c r="CK34" i="12"/>
  <c r="DJ33" i="12"/>
  <c r="FY22" i="12"/>
  <c r="BP13" i="12"/>
  <c r="EI27" i="12"/>
  <c r="GX23" i="12"/>
  <c r="BD28" i="12"/>
  <c r="BW30" i="12"/>
  <c r="HC47" i="12"/>
  <c r="IL14" i="12"/>
  <c r="Z22" i="12"/>
  <c r="Z41" i="12"/>
  <c r="BP34" i="12"/>
  <c r="CO33" i="12"/>
  <c r="GX22" i="12"/>
  <c r="CB17" i="12"/>
  <c r="CT16" i="12"/>
  <c r="EN9" i="12"/>
  <c r="AH17" i="12"/>
  <c r="AU32" i="12"/>
  <c r="IE23" i="12"/>
  <c r="BP19" i="12"/>
  <c r="IA15" i="12"/>
  <c r="BE13" i="12"/>
  <c r="HJ36" i="12"/>
  <c r="CE27" i="12"/>
  <c r="GS29" i="12"/>
  <c r="HD5" i="12"/>
  <c r="HS30" i="12"/>
  <c r="BK34" i="12"/>
  <c r="D21" i="12"/>
  <c r="EC24" i="12"/>
  <c r="GE23" i="12"/>
  <c r="AY23" i="12"/>
  <c r="DK31" i="12"/>
  <c r="BN46" i="12"/>
  <c r="BZ45" i="12"/>
  <c r="W14" i="12"/>
  <c r="HM43" i="12"/>
  <c r="BB43" i="12"/>
  <c r="R45" i="12"/>
  <c r="DF49" i="12"/>
  <c r="BM43" i="12"/>
  <c r="P32" i="12"/>
  <c r="IF36" i="12"/>
  <c r="HD45" i="12"/>
  <c r="EF4" i="12"/>
  <c r="AF47" i="12"/>
  <c r="IM46" i="12"/>
  <c r="GJ46" i="12"/>
  <c r="FZ42" i="12"/>
  <c r="CL51" i="12"/>
  <c r="EZ37" i="12"/>
  <c r="DU40" i="12"/>
  <c r="IB39" i="12"/>
  <c r="BZ32" i="12"/>
  <c r="CV46" i="12"/>
  <c r="EB37" i="12"/>
  <c r="DP43" i="12"/>
  <c r="GW36" i="12"/>
  <c r="EO38" i="12"/>
  <c r="CT33" i="12"/>
  <c r="AX35" i="12"/>
  <c r="GF47" i="12"/>
  <c r="C4" i="12"/>
  <c r="CU40" i="12"/>
  <c r="HT47" i="12"/>
  <c r="GS39" i="12"/>
  <c r="IR31" i="12"/>
  <c r="CO45" i="12"/>
  <c r="BA32" i="12"/>
  <c r="C39" i="12"/>
  <c r="HU33" i="12"/>
  <c r="GX44" i="12"/>
  <c r="DQ47" i="12"/>
  <c r="W39" i="12"/>
  <c r="DN50" i="12"/>
  <c r="BO48" i="12"/>
  <c r="CL4" i="12"/>
  <c r="FG40" i="12"/>
  <c r="HL36" i="12"/>
  <c r="BA41" i="12"/>
  <c r="DC41" i="12"/>
  <c r="EZ35" i="12"/>
  <c r="ED48" i="12"/>
  <c r="EF34" i="12"/>
  <c r="DN52" i="12"/>
  <c r="CY35" i="12"/>
  <c r="AJ53" i="12"/>
  <c r="EZ44" i="12"/>
  <c r="IH4" i="12"/>
  <c r="L32" i="12"/>
  <c r="K38" i="12"/>
  <c r="AT26" i="12"/>
  <c r="CT37" i="12"/>
  <c r="EC45" i="12"/>
  <c r="FK41" i="12"/>
  <c r="HR37" i="12"/>
  <c r="HJ31" i="12"/>
  <c r="FE40" i="12"/>
  <c r="DW51" i="12"/>
  <c r="DV41" i="12"/>
  <c r="FO44" i="12"/>
  <c r="BQ40" i="12"/>
  <c r="FX38" i="12"/>
  <c r="IL51" i="12"/>
  <c r="AE44" i="12"/>
  <c r="K50" i="12"/>
  <c r="EA47" i="12"/>
  <c r="HY30" i="12"/>
  <c r="CS46" i="12"/>
  <c r="GI22" i="12"/>
  <c r="AM49" i="12"/>
  <c r="HP47" i="12"/>
  <c r="W48" i="12"/>
  <c r="H33" i="12"/>
  <c r="GR29" i="12"/>
  <c r="FG47" i="12"/>
  <c r="DR49" i="12"/>
  <c r="BX42" i="12"/>
  <c r="BC50" i="12"/>
  <c r="HH44" i="12"/>
  <c r="AU37" i="12"/>
  <c r="GM49" i="12"/>
  <c r="AK46" i="12"/>
  <c r="C27" i="12"/>
  <c r="EJ48" i="12"/>
  <c r="CY49" i="12"/>
  <c r="O44" i="12"/>
  <c r="AQ50" i="12"/>
  <c r="V48" i="12"/>
  <c r="T5" i="12"/>
  <c r="HI5" i="12"/>
  <c r="DO7" i="12"/>
  <c r="BU15" i="12"/>
  <c r="II5" i="12"/>
  <c r="BM20" i="12"/>
  <c r="GJ51" i="12"/>
  <c r="AI53" i="12"/>
  <c r="IQ8" i="12"/>
  <c r="IP6" i="12"/>
  <c r="AP51" i="12"/>
  <c r="AH4" i="12"/>
  <c r="GM12" i="12"/>
  <c r="GA12" i="12"/>
  <c r="DC22" i="12"/>
  <c r="CW43" i="12"/>
  <c r="EY43" i="12"/>
  <c r="BQ41" i="12"/>
  <c r="J10" i="12"/>
  <c r="AS49" i="12"/>
  <c r="AN8" i="12"/>
  <c r="EA12" i="12"/>
  <c r="IC9" i="12"/>
  <c r="BB45" i="12"/>
  <c r="HU19" i="12"/>
  <c r="GZ38" i="12"/>
  <c r="AE39" i="12"/>
  <c r="BQ38" i="12"/>
  <c r="HV51" i="12"/>
  <c r="HJ10" i="12"/>
  <c r="CZ7" i="12"/>
  <c r="FO6" i="12"/>
  <c r="IA10" i="12"/>
  <c r="AZ11" i="12"/>
  <c r="K25" i="12"/>
  <c r="GQ18" i="12"/>
  <c r="S53" i="12"/>
  <c r="GO46" i="12"/>
  <c r="FI47" i="12"/>
  <c r="IK12" i="12"/>
  <c r="DV10" i="12"/>
  <c r="AH22" i="12"/>
  <c r="AC12" i="12"/>
  <c r="GC6" i="12"/>
  <c r="FK14" i="12"/>
  <c r="CN41" i="12"/>
  <c r="HQ41" i="12"/>
  <c r="EP12" i="12"/>
  <c r="GW18" i="12"/>
  <c r="EX9" i="12"/>
  <c r="BF10" i="12"/>
  <c r="AA12" i="12"/>
  <c r="HH11" i="12"/>
  <c r="BL34" i="12"/>
  <c r="H42" i="12"/>
  <c r="FO39" i="12"/>
  <c r="EV36" i="12"/>
  <c r="CL32" i="12"/>
  <c r="CE35" i="12"/>
  <c r="CP39" i="12"/>
  <c r="HV39" i="12"/>
  <c r="DJ40" i="12"/>
  <c r="GR5" i="12"/>
  <c r="AZ14" i="12"/>
  <c r="HD10" i="12"/>
  <c r="HY53" i="12"/>
  <c r="BS5" i="12"/>
  <c r="EZ45" i="12"/>
  <c r="HT45" i="12"/>
  <c r="Q38" i="12"/>
  <c r="GU50" i="12"/>
  <c r="BV5" i="12"/>
  <c r="FQ11" i="12"/>
  <c r="DV11" i="12"/>
  <c r="HJ6" i="12"/>
  <c r="FP7" i="12"/>
  <c r="IO34" i="12"/>
  <c r="CO46" i="12"/>
  <c r="EI41" i="12"/>
  <c r="AW37" i="12"/>
  <c r="DG7" i="12"/>
  <c r="ET6" i="12"/>
  <c r="FA22" i="12"/>
  <c r="AP10" i="12"/>
  <c r="S8" i="12"/>
  <c r="GG8" i="12"/>
  <c r="AN27" i="12"/>
  <c r="AD4" i="12"/>
  <c r="EW53" i="12"/>
  <c r="CH6" i="12"/>
  <c r="EJ7" i="12"/>
  <c r="CE52" i="12"/>
  <c r="EY7" i="12"/>
  <c r="GR9" i="12"/>
  <c r="N24" i="12"/>
  <c r="BM16" i="12"/>
  <c r="GK21" i="12"/>
  <c r="IC37" i="12"/>
  <c r="FB48" i="12"/>
  <c r="GU43" i="12"/>
  <c r="AZ6" i="12"/>
  <c r="GU11" i="12"/>
  <c r="HA8" i="12"/>
  <c r="GW44" i="12"/>
  <c r="DH49" i="12"/>
  <c r="CK42" i="12"/>
  <c r="AQ26" i="12"/>
  <c r="EG44" i="12"/>
  <c r="HO51" i="12"/>
  <c r="CF39" i="12"/>
  <c r="EO39" i="12"/>
  <c r="IL46" i="12"/>
  <c r="CV6" i="12"/>
  <c r="CU9" i="12"/>
  <c r="CY5" i="12"/>
  <c r="W7" i="12"/>
  <c r="CW52" i="12"/>
  <c r="AI43" i="12"/>
  <c r="EX41" i="12"/>
  <c r="EO42" i="12"/>
  <c r="IH9" i="12"/>
  <c r="FJ51" i="12"/>
  <c r="AC10" i="12"/>
  <c r="CF10" i="12"/>
  <c r="AA9" i="12"/>
  <c r="ID47" i="12"/>
  <c r="EH21" i="12"/>
  <c r="HN40" i="12"/>
  <c r="AS41" i="12"/>
  <c r="V42" i="12"/>
  <c r="DJ44" i="12"/>
  <c r="AP6" i="12"/>
  <c r="CE9" i="12"/>
  <c r="GK8" i="12"/>
  <c r="HO11" i="12"/>
  <c r="DG6" i="12"/>
  <c r="IA28" i="12"/>
  <c r="H53" i="12"/>
  <c r="FQ27" i="12"/>
  <c r="FU29" i="12"/>
  <c r="R5" i="12"/>
  <c r="CF11" i="12"/>
  <c r="FT25" i="12"/>
  <c r="IM12" i="12"/>
  <c r="BL10" i="12"/>
  <c r="BQ12" i="12"/>
  <c r="CV30" i="12"/>
  <c r="DE34" i="12"/>
  <c r="HA44" i="12"/>
  <c r="HC45" i="12"/>
  <c r="DF7" i="12"/>
  <c r="FA13" i="12"/>
  <c r="AW13" i="12"/>
  <c r="ER12" i="12"/>
  <c r="DD13" i="12"/>
  <c r="M16" i="12"/>
  <c r="AQ47" i="12"/>
  <c r="DX34" i="12"/>
  <c r="EL49" i="12"/>
  <c r="GP11" i="12"/>
  <c r="GD13" i="12"/>
  <c r="EP11" i="12"/>
  <c r="IQ11" i="12"/>
  <c r="DJ15" i="12"/>
  <c r="HF38" i="12"/>
  <c r="GY35" i="12"/>
  <c r="EN45" i="12"/>
  <c r="BX7" i="12"/>
  <c r="BM9" i="12"/>
  <c r="CK6" i="12"/>
  <c r="Y16" i="12"/>
  <c r="ET52" i="12"/>
  <c r="HA11" i="12"/>
  <c r="BO15" i="12"/>
  <c r="DZ48" i="12"/>
  <c r="FI48" i="12"/>
  <c r="AP39" i="12"/>
  <c r="BV37" i="12"/>
  <c r="GN36" i="12"/>
  <c r="IK24" i="12"/>
  <c r="HR46" i="12"/>
  <c r="AZ37" i="12"/>
  <c r="FU47" i="12"/>
  <c r="II8" i="12"/>
  <c r="DJ8" i="12"/>
  <c r="FS16" i="12"/>
  <c r="GV44" i="12"/>
  <c r="EJ10" i="12"/>
  <c r="K42" i="12"/>
  <c r="DI42" i="12"/>
  <c r="GD37" i="12"/>
  <c r="AD52" i="12"/>
  <c r="FF9" i="12"/>
  <c r="FZ7" i="12"/>
  <c r="U7" i="12"/>
  <c r="DJ10" i="12"/>
  <c r="DR11" i="12"/>
  <c r="GL25" i="12"/>
  <c r="AW50" i="12"/>
  <c r="DI37" i="12"/>
  <c r="CD28" i="12"/>
  <c r="BE5" i="12"/>
  <c r="DS11" i="12"/>
  <c r="AV23" i="12"/>
  <c r="GY13" i="12"/>
  <c r="S12" i="12"/>
  <c r="GY9" i="12"/>
  <c r="BW28" i="12"/>
  <c r="FE4" i="12"/>
  <c r="HF47" i="12"/>
  <c r="CE11" i="12"/>
  <c r="CL11" i="12"/>
  <c r="IJ48" i="12"/>
  <c r="GX11" i="12"/>
  <c r="EL13" i="12"/>
  <c r="DB17" i="12"/>
  <c r="AL21" i="12"/>
  <c r="EQ17" i="12"/>
  <c r="IH45" i="12"/>
  <c r="GE45" i="12"/>
  <c r="H43" i="12"/>
  <c r="BT8" i="12"/>
  <c r="DH15" i="12"/>
  <c r="IF11" i="12"/>
  <c r="HB11" i="12"/>
  <c r="AE5" i="12"/>
  <c r="CB5" i="12"/>
  <c r="CF35" i="12"/>
  <c r="EL43" i="12"/>
  <c r="EL37" i="12"/>
  <c r="EA10" i="12"/>
  <c r="DE11" i="12"/>
  <c r="EJ16" i="12"/>
  <c r="DX7" i="12"/>
  <c r="EM14" i="12"/>
  <c r="FP37" i="12"/>
  <c r="GC39" i="12"/>
  <c r="CM46" i="12"/>
  <c r="BS9" i="12"/>
  <c r="FS8" i="12"/>
  <c r="GL14" i="12"/>
  <c r="AT53" i="12"/>
  <c r="J13" i="12"/>
  <c r="CA10" i="12"/>
  <c r="GP29" i="12"/>
  <c r="HT34" i="12"/>
  <c r="BI9" i="12"/>
  <c r="IN33" i="12"/>
  <c r="ED32" i="12"/>
  <c r="DB31" i="12"/>
  <c r="D18" i="12"/>
  <c r="AR10" i="12"/>
  <c r="CK19" i="12"/>
  <c r="DE38" i="12"/>
  <c r="CG44" i="12"/>
  <c r="FF36" i="12"/>
  <c r="HG49" i="12"/>
  <c r="AA51" i="12"/>
  <c r="GH51" i="12"/>
  <c r="GF38" i="12"/>
  <c r="DL40" i="12"/>
  <c r="GD39" i="12"/>
  <c r="FQ13" i="12"/>
  <c r="AZ4" i="12"/>
  <c r="FQ6" i="12"/>
  <c r="FJ16" i="12"/>
  <c r="BU52" i="12"/>
  <c r="FU45" i="12"/>
  <c r="GU46" i="12"/>
  <c r="AU42" i="12"/>
  <c r="BU8" i="12"/>
  <c r="EC14" i="12"/>
  <c r="HL14" i="12"/>
  <c r="HK13" i="12"/>
  <c r="FX5" i="12"/>
  <c r="HW19" i="12"/>
  <c r="BX24" i="12"/>
  <c r="AN44" i="12"/>
  <c r="BG44" i="12"/>
  <c r="HK40" i="12"/>
  <c r="AI8" i="12"/>
  <c r="HY6" i="12"/>
  <c r="DK5" i="12"/>
  <c r="DL5" i="12"/>
  <c r="GG10" i="12"/>
  <c r="FU8" i="12"/>
  <c r="BO25" i="12"/>
  <c r="CB36" i="12"/>
  <c r="HS39" i="12"/>
  <c r="CT46" i="12"/>
  <c r="ED7" i="12"/>
  <c r="GH6" i="12"/>
  <c r="CU19" i="12"/>
  <c r="FI52" i="12"/>
  <c r="EA9" i="12"/>
  <c r="GQ7" i="12"/>
  <c r="HE28" i="12"/>
  <c r="HI35" i="12"/>
  <c r="C50" i="12"/>
  <c r="CI50" i="12"/>
  <c r="DH9" i="12"/>
  <c r="HV8" i="12"/>
  <c r="CA51" i="12"/>
  <c r="Q11" i="12"/>
  <c r="EP13" i="12"/>
  <c r="EF17" i="12"/>
  <c r="DI40" i="12"/>
  <c r="HN47" i="12"/>
  <c r="GE47" i="12"/>
  <c r="GI8" i="12"/>
  <c r="FH11" i="12"/>
  <c r="BT9" i="12"/>
  <c r="IE6" i="12"/>
  <c r="AS45" i="12"/>
  <c r="HH42" i="12"/>
  <c r="GI38" i="12"/>
  <c r="BW39" i="12"/>
  <c r="II13" i="12"/>
  <c r="AF53" i="12"/>
  <c r="DB6" i="12"/>
  <c r="AD13" i="12"/>
  <c r="HN4" i="12"/>
  <c r="U44" i="12"/>
  <c r="IE48" i="12"/>
  <c r="EY29" i="12"/>
  <c r="W50" i="12"/>
  <c r="E52" i="12"/>
  <c r="EB46" i="12"/>
  <c r="FC34" i="12"/>
  <c r="IP39" i="12"/>
  <c r="BV46" i="12"/>
  <c r="IF14" i="12"/>
  <c r="EC50" i="12"/>
  <c r="BY9" i="12"/>
  <c r="DQ7" i="12"/>
  <c r="DL49" i="12"/>
  <c r="IP50" i="12"/>
  <c r="EB42" i="12"/>
  <c r="BR43" i="12"/>
  <c r="DH12" i="12"/>
  <c r="BD17" i="12"/>
  <c r="GQ6" i="12"/>
  <c r="BI5" i="12"/>
  <c r="IN7" i="12"/>
  <c r="EU22" i="12"/>
  <c r="BE23" i="12"/>
  <c r="FY40" i="12"/>
  <c r="FY41" i="12"/>
  <c r="FB42" i="12"/>
  <c r="CY10" i="12"/>
  <c r="DC9" i="12"/>
  <c r="CA6" i="12"/>
  <c r="GB7" i="12"/>
  <c r="GC14" i="12"/>
  <c r="S11" i="12"/>
  <c r="BD31" i="12"/>
  <c r="FY29" i="12"/>
  <c r="FF46" i="12"/>
  <c r="EQ37" i="12"/>
  <c r="Z9" i="12"/>
  <c r="CB9" i="12"/>
  <c r="CZ25" i="12"/>
  <c r="CE48" i="12"/>
  <c r="DF11" i="12"/>
  <c r="R10" i="12"/>
  <c r="EU29" i="12"/>
  <c r="FW36" i="12"/>
  <c r="GZ49" i="12"/>
  <c r="I50" i="12"/>
  <c r="AR11" i="12"/>
  <c r="BG11" i="12"/>
  <c r="BJ46" i="12"/>
  <c r="CI11" i="12"/>
  <c r="FF12" i="12"/>
  <c r="FB19" i="12"/>
  <c r="BE48" i="12"/>
  <c r="IQ47" i="12"/>
  <c r="IE42" i="12"/>
  <c r="FE49" i="12"/>
  <c r="FD50" i="12"/>
  <c r="GM53" i="12"/>
  <c r="BF48" i="12"/>
  <c r="AR52" i="12"/>
  <c r="AX42" i="12"/>
  <c r="GF40" i="12"/>
  <c r="EV10" i="12"/>
  <c r="DL13" i="12"/>
  <c r="ID8" i="12"/>
  <c r="FB7" i="12"/>
  <c r="HC9" i="12"/>
  <c r="AI22" i="12"/>
  <c r="IM4" i="12"/>
  <c r="HU47" i="12"/>
  <c r="FZ12" i="12"/>
  <c r="HB16" i="12"/>
  <c r="GX9" i="12"/>
  <c r="EL8" i="12"/>
  <c r="IP10" i="12"/>
  <c r="DN25" i="12"/>
  <c r="HZ24" i="12"/>
  <c r="DY41" i="12"/>
  <c r="Y33" i="12"/>
  <c r="O49" i="12"/>
  <c r="AI12" i="12"/>
  <c r="CH11" i="12"/>
  <c r="H9" i="12"/>
  <c r="FT10" i="12"/>
  <c r="GX16" i="12"/>
  <c r="AV11" i="12"/>
  <c r="BW31" i="12"/>
  <c r="AZ23" i="12"/>
  <c r="GB39" i="12"/>
  <c r="FZ38" i="12"/>
  <c r="GW11" i="12"/>
  <c r="L11" i="12"/>
  <c r="HR14" i="12"/>
  <c r="K6" i="12"/>
  <c r="G13" i="12"/>
  <c r="IL11" i="12"/>
  <c r="EX35" i="12"/>
  <c r="CE22" i="12"/>
  <c r="FF49" i="12"/>
  <c r="FM45" i="12"/>
  <c r="X13" i="12"/>
  <c r="BM12" i="12"/>
  <c r="R6" i="12"/>
  <c r="EW12" i="12"/>
  <c r="FT16" i="12"/>
  <c r="CH21" i="12"/>
  <c r="BL41" i="12"/>
  <c r="CO50" i="12"/>
  <c r="AV44" i="12"/>
  <c r="N12" i="12"/>
  <c r="AX14" i="12"/>
  <c r="HL12" i="12"/>
  <c r="FW11" i="12"/>
  <c r="BZ6" i="12"/>
  <c r="DG45" i="12"/>
  <c r="ID35" i="12"/>
  <c r="GM44" i="12"/>
  <c r="D7" i="12"/>
  <c r="EV51" i="12"/>
  <c r="IQ9" i="12"/>
  <c r="CB7" i="12"/>
  <c r="FL42" i="12"/>
  <c r="AV34" i="12"/>
  <c r="DE39" i="12"/>
  <c r="BE40" i="12"/>
  <c r="CP27" i="12"/>
  <c r="BD15" i="12"/>
  <c r="T49" i="12"/>
  <c r="EK34" i="12"/>
  <c r="GI47" i="12"/>
  <c r="FC9" i="12"/>
  <c r="GT6" i="12"/>
  <c r="DV15" i="12"/>
  <c r="AC5" i="12"/>
  <c r="DC7" i="12"/>
  <c r="DH29" i="12"/>
  <c r="GS36" i="12"/>
  <c r="AR37" i="12"/>
  <c r="CJ7" i="12"/>
  <c r="EB7" i="12"/>
  <c r="EM23" i="12"/>
  <c r="HF52" i="12"/>
  <c r="CS9" i="12"/>
  <c r="AK5" i="12"/>
  <c r="BN30" i="12"/>
  <c r="GX53" i="12"/>
  <c r="DI4" i="12"/>
  <c r="AJ11" i="12"/>
  <c r="GA8" i="12"/>
  <c r="IL48" i="12"/>
  <c r="DZ44" i="12"/>
  <c r="EC12" i="12"/>
  <c r="AK17" i="12"/>
  <c r="CY12" i="12"/>
  <c r="FV41" i="12"/>
  <c r="AT41" i="12"/>
  <c r="BC39" i="12"/>
  <c r="AW11" i="12"/>
  <c r="DU51" i="12"/>
  <c r="DW10" i="12"/>
  <c r="HE10" i="12"/>
  <c r="CB12" i="12"/>
  <c r="IK47" i="12"/>
  <c r="II21" i="12"/>
  <c r="BN15" i="12"/>
  <c r="Y38" i="12"/>
  <c r="DJ41" i="12"/>
  <c r="IB36" i="12"/>
  <c r="IK46" i="12"/>
  <c r="GQ14" i="12"/>
  <c r="FF10" i="12"/>
  <c r="EB16" i="12"/>
  <c r="HG5" i="12"/>
  <c r="CZ16" i="12"/>
  <c r="AC53" i="12"/>
  <c r="AR47" i="12"/>
  <c r="BQ47" i="12"/>
  <c r="HN10" i="12"/>
  <c r="CA18" i="12"/>
  <c r="I45" i="12"/>
  <c r="AL5" i="12"/>
  <c r="D12" i="12"/>
  <c r="AA49" i="12"/>
  <c r="CH28" i="12"/>
  <c r="GG4" i="12"/>
  <c r="FR8" i="12"/>
  <c r="AF6" i="12"/>
  <c r="GQ17" i="12"/>
  <c r="HM6" i="12"/>
  <c r="IJ5" i="12"/>
  <c r="BY6" i="12"/>
  <c r="DN31" i="12"/>
  <c r="AE24" i="12"/>
  <c r="DP8" i="12"/>
  <c r="IN18" i="12"/>
  <c r="CN17" i="12"/>
  <c r="FR30" i="12"/>
  <c r="EF35" i="12"/>
  <c r="BF18" i="12"/>
  <c r="F24" i="12"/>
  <c r="HR39" i="12"/>
  <c r="D11" i="12"/>
  <c r="HS49" i="12"/>
  <c r="CR12" i="12"/>
  <c r="EJ11" i="12"/>
  <c r="FL13" i="12"/>
  <c r="EX30" i="12"/>
  <c r="BC5" i="12"/>
  <c r="EB26" i="12"/>
  <c r="FN16" i="12"/>
  <c r="EO15" i="12"/>
  <c r="FN23" i="12"/>
  <c r="HS19" i="12"/>
  <c r="EN18" i="12"/>
  <c r="FQ18" i="12"/>
  <c r="DT46" i="12"/>
  <c r="L12" i="12"/>
  <c r="ES32" i="12"/>
  <c r="EY34" i="12"/>
  <c r="FX33" i="12"/>
  <c r="HC19" i="12"/>
  <c r="HD15" i="12"/>
  <c r="EY32" i="12"/>
  <c r="T26" i="12"/>
  <c r="GV32" i="12"/>
  <c r="IL29" i="12"/>
  <c r="EV6" i="12"/>
  <c r="ET22" i="12"/>
  <c r="HI29" i="12"/>
  <c r="IH28" i="12"/>
  <c r="I13" i="12"/>
  <c r="GT18" i="12"/>
  <c r="GB27" i="12"/>
  <c r="HC34" i="12"/>
  <c r="FY24" i="12"/>
  <c r="BX37" i="12"/>
  <c r="GC45" i="12"/>
  <c r="IQ20" i="12"/>
  <c r="IO15" i="12"/>
  <c r="CU28" i="12"/>
  <c r="Z34" i="12"/>
  <c r="BB29" i="12"/>
  <c r="IH24" i="12"/>
  <c r="G19" i="12"/>
  <c r="CE21" i="12"/>
  <c r="BS10" i="12"/>
  <c r="FO29" i="12"/>
  <c r="FW23" i="12"/>
  <c r="AC24" i="12"/>
  <c r="CR23" i="12"/>
  <c r="FI22" i="12"/>
  <c r="BY34" i="12"/>
  <c r="EM28" i="12"/>
  <c r="CP34" i="12"/>
  <c r="GH31" i="12"/>
  <c r="BT44" i="12"/>
  <c r="CM48" i="12"/>
  <c r="EA23" i="12"/>
  <c r="CH13" i="12"/>
  <c r="T25" i="12"/>
  <c r="IP28" i="12"/>
  <c r="DS22" i="12"/>
  <c r="AT21" i="12"/>
  <c r="CC21" i="12"/>
  <c r="AS26" i="12"/>
  <c r="DA36" i="12"/>
  <c r="FP32" i="12"/>
  <c r="FX34" i="12"/>
  <c r="S19" i="12"/>
  <c r="DE16" i="12"/>
  <c r="HM22" i="12"/>
  <c r="FN27" i="12"/>
  <c r="EP33" i="12"/>
  <c r="ET30" i="12"/>
  <c r="BX11" i="12"/>
  <c r="DB26" i="12"/>
  <c r="GV28" i="12"/>
  <c r="BY29" i="12"/>
  <c r="ET18" i="12"/>
  <c r="CV15" i="12"/>
  <c r="GX10" i="12"/>
  <c r="GA32" i="12"/>
  <c r="V34" i="12"/>
  <c r="HH36" i="12"/>
  <c r="FO41" i="12"/>
  <c r="FR37" i="12"/>
  <c r="BZ37" i="12"/>
  <c r="CK35" i="12"/>
  <c r="GZ51" i="12"/>
  <c r="DW46" i="12"/>
  <c r="FD47" i="12"/>
  <c r="BP43" i="12"/>
  <c r="DN43" i="12"/>
  <c r="AS35" i="12"/>
  <c r="CL50" i="12"/>
  <c r="BT51" i="12"/>
  <c r="EY53" i="12"/>
  <c r="AT38" i="12"/>
  <c r="CO38" i="12"/>
  <c r="FC30" i="12"/>
  <c r="DE48" i="12"/>
  <c r="DB41" i="12"/>
  <c r="DW50" i="12"/>
  <c r="GF51" i="12"/>
  <c r="BW48" i="12"/>
  <c r="EY44" i="12"/>
  <c r="FU39" i="12"/>
  <c r="DT31" i="12"/>
  <c r="CW4" i="12"/>
  <c r="ER44" i="12"/>
  <c r="HW5" i="12"/>
  <c r="FM11" i="12"/>
  <c r="DK49" i="12"/>
  <c r="R9" i="12"/>
  <c r="BO7" i="12"/>
  <c r="IL25" i="12"/>
  <c r="ET25" i="12"/>
  <c r="CM6" i="12"/>
  <c r="X36" i="12"/>
  <c r="DO28" i="12"/>
  <c r="GO29" i="12"/>
  <c r="EL29" i="12"/>
  <c r="IL32" i="12"/>
  <c r="CJ30" i="12"/>
  <c r="GN24" i="12"/>
  <c r="DF38" i="12"/>
  <c r="GC7" i="12"/>
  <c r="BT17" i="12"/>
  <c r="FH17" i="12"/>
  <c r="IP31" i="12"/>
  <c r="HC31" i="12"/>
  <c r="BO17" i="12"/>
  <c r="DX24" i="12"/>
  <c r="I15" i="12"/>
  <c r="AM14" i="12"/>
  <c r="AG29" i="12"/>
  <c r="DB5" i="12"/>
  <c r="EM12" i="12"/>
  <c r="CM45" i="12"/>
  <c r="HP32" i="12"/>
  <c r="IO28" i="12"/>
  <c r="T18" i="12"/>
  <c r="AS18" i="12"/>
  <c r="HO18" i="12"/>
  <c r="H36" i="12"/>
  <c r="BP10" i="12"/>
  <c r="H24" i="12"/>
  <c r="BW26" i="12"/>
  <c r="BH15" i="12"/>
  <c r="CU16" i="12"/>
  <c r="GX14" i="12"/>
  <c r="CB28" i="12"/>
  <c r="EG37" i="12"/>
  <c r="BM27" i="12"/>
  <c r="AA24" i="12"/>
  <c r="BY7" i="12"/>
  <c r="FX18" i="12"/>
  <c r="R22" i="12"/>
  <c r="AQ33" i="12"/>
  <c r="GF33" i="12"/>
  <c r="EO17" i="12"/>
  <c r="CY13" i="12"/>
  <c r="BN19" i="12"/>
  <c r="HN20" i="12"/>
  <c r="HU29" i="12"/>
  <c r="BN37" i="12"/>
  <c r="BU20" i="12"/>
  <c r="GL27" i="12"/>
  <c r="Q22" i="12"/>
  <c r="GA13" i="12"/>
  <c r="GI30" i="12"/>
  <c r="J36" i="12"/>
  <c r="IH30" i="12"/>
  <c r="DH51" i="12"/>
  <c r="CN9" i="12"/>
  <c r="BT24" i="12"/>
  <c r="HE17" i="12"/>
  <c r="AH30" i="12"/>
  <c r="BZ29" i="12"/>
  <c r="HT23" i="12"/>
  <c r="P24" i="12"/>
  <c r="GK13" i="12"/>
  <c r="H13" i="12"/>
  <c r="DD41" i="12"/>
  <c r="CP6" i="12"/>
  <c r="EF18" i="12"/>
  <c r="GW19" i="12"/>
  <c r="AK19" i="12"/>
  <c r="GU26" i="12"/>
  <c r="AL28" i="12"/>
  <c r="CL19" i="12"/>
  <c r="BR25" i="12"/>
  <c r="EC53" i="12"/>
  <c r="FM51" i="12"/>
  <c r="C12" i="12"/>
  <c r="IN35" i="12"/>
  <c r="DN9" i="12"/>
  <c r="FK48" i="12"/>
  <c r="IP7" i="12"/>
  <c r="HD11" i="12"/>
  <c r="G5" i="12"/>
  <c r="HL11" i="12"/>
  <c r="DC13" i="12"/>
  <c r="IE29" i="12"/>
  <c r="HQ19" i="12"/>
  <c r="AM23" i="12"/>
  <c r="FZ21" i="12"/>
  <c r="EA14" i="12"/>
  <c r="HB21" i="12"/>
  <c r="FK22" i="12"/>
  <c r="EP50" i="12"/>
  <c r="DI8" i="12"/>
  <c r="G29" i="12"/>
  <c r="CE24" i="12"/>
  <c r="IJ25" i="12"/>
  <c r="K14" i="12"/>
  <c r="CQ23" i="12"/>
  <c r="GQ34" i="12"/>
  <c r="CD33" i="12"/>
  <c r="HB25" i="12"/>
  <c r="DC36" i="12"/>
  <c r="EE4" i="12"/>
  <c r="Z23" i="12"/>
  <c r="FJ30" i="12"/>
  <c r="GI29" i="12"/>
  <c r="S23" i="12"/>
  <c r="IB21" i="12"/>
  <c r="HV28" i="12"/>
  <c r="V23" i="12"/>
  <c r="BR29" i="12"/>
  <c r="EU35" i="12"/>
  <c r="DH6" i="12"/>
  <c r="DT14" i="12"/>
  <c r="P21" i="12"/>
  <c r="DV34" i="12"/>
  <c r="AF27" i="12"/>
  <c r="FH35" i="12"/>
  <c r="CB18" i="12"/>
  <c r="BU22" i="12"/>
  <c r="CX19" i="12"/>
  <c r="CU10" i="12"/>
  <c r="BQ20" i="12"/>
  <c r="Y31" i="12"/>
  <c r="HC30" i="12"/>
  <c r="FX17" i="12"/>
  <c r="AO13" i="12"/>
  <c r="AW29" i="12"/>
  <c r="D35" i="12"/>
  <c r="AW27" i="12"/>
  <c r="GK27" i="12"/>
  <c r="FE41" i="12"/>
  <c r="DB8" i="12"/>
  <c r="FB17" i="12"/>
  <c r="P20" i="12"/>
  <c r="FB29" i="12"/>
  <c r="GQ29" i="12"/>
  <c r="EL19" i="12"/>
  <c r="CP26" i="12"/>
  <c r="FP19" i="12"/>
  <c r="FG4" i="12"/>
  <c r="BF32" i="12"/>
  <c r="FL26" i="12"/>
  <c r="AG24" i="12"/>
  <c r="EG14" i="12"/>
  <c r="GR23" i="12"/>
  <c r="FD15" i="12"/>
  <c r="M20" i="12"/>
  <c r="G25" i="12"/>
  <c r="CP23" i="12"/>
  <c r="DG15" i="12"/>
  <c r="FZ33" i="12"/>
  <c r="GD34" i="12"/>
  <c r="GL36" i="12"/>
  <c r="DI21" i="12"/>
  <c r="BC21" i="12"/>
  <c r="HO21" i="12"/>
  <c r="CM28" i="12"/>
  <c r="II41" i="12"/>
  <c r="IF39" i="12"/>
  <c r="BD45" i="12"/>
  <c r="Q44" i="12"/>
  <c r="GL43" i="12"/>
  <c r="G33" i="12"/>
  <c r="FF51" i="12"/>
  <c r="C16" i="12"/>
  <c r="AJ45" i="12"/>
  <c r="DN42" i="12"/>
  <c r="ER37" i="12"/>
  <c r="BA28" i="12"/>
  <c r="DO46" i="12"/>
  <c r="HP4" i="12"/>
  <c r="CX44" i="12"/>
  <c r="F41" i="12"/>
  <c r="EV47" i="12"/>
  <c r="EF27" i="12"/>
  <c r="DS4" i="12"/>
  <c r="FT46" i="12"/>
  <c r="HE4" i="12"/>
  <c r="AZ48" i="12"/>
  <c r="EM52" i="12"/>
  <c r="GF39" i="12"/>
  <c r="ET40" i="12"/>
  <c r="AH38" i="12"/>
  <c r="BW50" i="12"/>
  <c r="CU53" i="12"/>
  <c r="HH5" i="12"/>
  <c r="CK16" i="12"/>
  <c r="CG36" i="12"/>
  <c r="M7" i="12"/>
  <c r="GZ50" i="12"/>
  <c r="Z18" i="12"/>
  <c r="BP17" i="12"/>
  <c r="ES13" i="12"/>
  <c r="AX29" i="12"/>
  <c r="CE25" i="12"/>
  <c r="CC26" i="12"/>
  <c r="IR35" i="12"/>
  <c r="DP23" i="12"/>
  <c r="AK31" i="12"/>
  <c r="GV30" i="12"/>
  <c r="GF45" i="12"/>
  <c r="DU6" i="12"/>
  <c r="EP20" i="12"/>
  <c r="AN25" i="12"/>
  <c r="L34" i="12"/>
  <c r="AD33" i="12"/>
  <c r="AW20" i="12"/>
  <c r="IP16" i="12"/>
  <c r="HX20" i="12"/>
  <c r="BS22" i="12"/>
  <c r="HW29" i="12"/>
  <c r="HB6" i="12"/>
  <c r="FO20" i="12"/>
  <c r="AX15" i="12"/>
  <c r="EI28" i="12"/>
  <c r="CO28" i="12"/>
  <c r="CP13" i="12"/>
  <c r="AM22" i="12"/>
  <c r="BB25" i="12"/>
  <c r="AX25" i="12"/>
  <c r="CU13" i="12"/>
  <c r="GC19" i="12"/>
  <c r="EV35" i="12"/>
  <c r="O21" i="12"/>
  <c r="BB22" i="12"/>
  <c r="IO20" i="12"/>
  <c r="AM29" i="12"/>
  <c r="X30" i="12"/>
  <c r="DX28" i="12"/>
  <c r="DD17" i="12"/>
  <c r="GM10" i="12"/>
  <c r="DH26" i="12"/>
  <c r="AO17" i="12"/>
  <c r="FQ19" i="12"/>
  <c r="IR25" i="12"/>
  <c r="DD21" i="12"/>
  <c r="EI18" i="12"/>
  <c r="DE24" i="12"/>
  <c r="ID13" i="12"/>
  <c r="CS37" i="12"/>
  <c r="GB40" i="12"/>
  <c r="Q20" i="12"/>
  <c r="V37" i="12"/>
  <c r="HP15" i="12"/>
  <c r="AE21" i="12"/>
  <c r="EO27" i="12"/>
  <c r="GV25" i="12"/>
  <c r="FS30" i="12"/>
  <c r="AC52" i="12"/>
  <c r="G14" i="12"/>
  <c r="IK17" i="12"/>
  <c r="HP22" i="12"/>
  <c r="P36" i="12"/>
  <c r="GF35" i="12"/>
  <c r="IR33" i="12"/>
  <c r="EH16" i="12"/>
  <c r="DP20" i="12"/>
  <c r="BI21" i="12"/>
  <c r="BY49" i="12"/>
  <c r="AN12" i="12"/>
  <c r="HE26" i="12"/>
  <c r="BY16" i="12"/>
  <c r="AV32" i="12"/>
  <c r="CN31" i="12"/>
  <c r="BX29" i="12"/>
  <c r="EK24" i="12"/>
  <c r="FW16" i="12"/>
  <c r="IB42" i="12"/>
  <c r="EP48" i="12"/>
  <c r="IN50" i="12"/>
  <c r="EH4" i="12"/>
  <c r="AM48" i="12"/>
  <c r="AO47" i="12"/>
  <c r="BJ49" i="12"/>
  <c r="N40" i="12"/>
  <c r="X48" i="12"/>
  <c r="GC49" i="12"/>
  <c r="HE50" i="12"/>
  <c r="FL36" i="12"/>
  <c r="CS33" i="12"/>
  <c r="GO39" i="12"/>
  <c r="N33" i="12"/>
  <c r="EQ43" i="12"/>
  <c r="IG29" i="12"/>
  <c r="FG38" i="12"/>
  <c r="CO39" i="12"/>
  <c r="BT42" i="12"/>
  <c r="IA39" i="12"/>
  <c r="CU39" i="12"/>
  <c r="GT36" i="12"/>
  <c r="Q47" i="12"/>
  <c r="GK40" i="12"/>
  <c r="D26" i="12"/>
  <c r="AB36" i="12"/>
  <c r="GY41" i="12"/>
  <c r="CY26" i="12"/>
  <c r="FP44" i="12"/>
  <c r="HD44" i="12"/>
  <c r="BB42" i="12"/>
  <c r="AI11" i="12"/>
  <c r="EH10" i="12"/>
  <c r="HT38" i="12"/>
  <c r="HS7" i="12"/>
  <c r="HB49" i="12"/>
  <c r="FC21" i="12"/>
  <c r="F23" i="12"/>
  <c r="FC41" i="12"/>
  <c r="BK20" i="12"/>
  <c r="CM39" i="12"/>
  <c r="Q40" i="12"/>
  <c r="HF17" i="12"/>
  <c r="DU19" i="12"/>
  <c r="X14" i="12"/>
  <c r="AS17" i="12"/>
  <c r="BB23" i="12"/>
  <c r="DM4" i="12"/>
  <c r="IH16" i="12"/>
  <c r="HH27" i="12"/>
  <c r="DP19" i="12"/>
  <c r="IF25" i="12"/>
  <c r="FX30" i="12"/>
  <c r="FB24" i="12"/>
  <c r="GM24" i="12"/>
  <c r="DI31" i="12"/>
  <c r="BN16" i="12"/>
  <c r="HG35" i="12"/>
  <c r="ED13" i="12"/>
  <c r="ES27" i="12"/>
  <c r="AB27" i="12"/>
  <c r="EC15" i="12"/>
  <c r="FU32" i="12"/>
  <c r="FJ34" i="12"/>
  <c r="BX30" i="12"/>
  <c r="EQ20" i="12"/>
  <c r="CZ21" i="12"/>
  <c r="DS14" i="12"/>
  <c r="GN12" i="12"/>
  <c r="FQ38" i="12"/>
  <c r="IN27" i="12"/>
  <c r="EH23" i="12"/>
  <c r="DS15" i="12"/>
  <c r="BF21" i="12"/>
  <c r="DT18" i="12"/>
  <c r="HZ27" i="12"/>
  <c r="HF8" i="12"/>
  <c r="AU23" i="12"/>
  <c r="DA32" i="12"/>
  <c r="DX14" i="12"/>
  <c r="HQ17" i="12"/>
  <c r="FA32" i="12"/>
  <c r="HS33" i="12"/>
  <c r="O32" i="12"/>
  <c r="BQ32" i="12"/>
  <c r="GD17" i="12"/>
  <c r="FA4" i="12"/>
  <c r="BI16" i="12"/>
  <c r="IM23" i="12"/>
  <c r="FM37" i="12"/>
  <c r="GX26" i="12"/>
  <c r="HK23" i="12"/>
  <c r="FX19" i="12"/>
  <c r="GV20" i="12"/>
  <c r="HC29" i="12"/>
  <c r="C48" i="12"/>
  <c r="EL32" i="12"/>
  <c r="DL26" i="12"/>
  <c r="GU31" i="12"/>
  <c r="DQ17" i="12"/>
  <c r="AG23" i="12"/>
  <c r="FE31" i="12"/>
  <c r="GE22" i="12"/>
  <c r="FF31" i="12"/>
  <c r="HS28" i="12"/>
  <c r="EL6" i="12"/>
  <c r="FH22" i="12"/>
  <c r="L25" i="12"/>
  <c r="IN23" i="12"/>
  <c r="EN13" i="12"/>
  <c r="W18" i="12"/>
  <c r="AF26" i="12"/>
  <c r="CM33" i="12"/>
  <c r="HL45" i="12"/>
  <c r="IP38" i="12"/>
  <c r="IO33" i="12"/>
  <c r="HK45" i="12"/>
  <c r="U28" i="12"/>
  <c r="HS23" i="12"/>
  <c r="CV39" i="12"/>
  <c r="BJ40" i="12"/>
  <c r="HS40" i="12"/>
  <c r="ID40" i="12"/>
  <c r="ID39" i="12"/>
  <c r="DP22" i="12"/>
  <c r="FE44" i="12"/>
  <c r="HF36" i="12"/>
  <c r="T37" i="12"/>
  <c r="AH44" i="12"/>
  <c r="BN38" i="12"/>
  <c r="AN19" i="12"/>
  <c r="HN46" i="12"/>
  <c r="AM4" i="12"/>
  <c r="GK38" i="12"/>
  <c r="EH47" i="12"/>
  <c r="EG46" i="12"/>
  <c r="CZ26" i="12"/>
  <c r="IP53" i="12"/>
  <c r="FU50" i="12"/>
  <c r="DY52" i="12"/>
  <c r="EY48" i="12"/>
  <c r="CZ47" i="12"/>
  <c r="DT52" i="12"/>
  <c r="HZ52" i="12"/>
  <c r="GR15" i="12"/>
  <c r="EM7" i="12"/>
  <c r="DM9" i="12"/>
  <c r="AL26" i="12"/>
  <c r="DY14" i="12"/>
  <c r="F17" i="12"/>
  <c r="GG30" i="12"/>
  <c r="R32" i="12"/>
  <c r="T29" i="12"/>
  <c r="BI24" i="12"/>
  <c r="CF30" i="12"/>
  <c r="GT26" i="12"/>
  <c r="IM44" i="12"/>
  <c r="AJ5" i="12"/>
  <c r="DY20" i="12"/>
  <c r="P44" i="12"/>
  <c r="DI35" i="12"/>
  <c r="EH34" i="12"/>
  <c r="HL22" i="12"/>
  <c r="FA14" i="12"/>
  <c r="CM13" i="12"/>
  <c r="CI28" i="12"/>
  <c r="AX32" i="12"/>
  <c r="HP45" i="12"/>
  <c r="HN22" i="12"/>
  <c r="CT38" i="12"/>
  <c r="CL27" i="12"/>
  <c r="DK26" i="12"/>
  <c r="HG26" i="12"/>
  <c r="CQ20" i="12"/>
  <c r="U18" i="12"/>
  <c r="IR23" i="12"/>
  <c r="HN51" i="12"/>
  <c r="BR18" i="12"/>
  <c r="DT25" i="12"/>
  <c r="EQ18" i="12"/>
  <c r="BR14" i="12"/>
  <c r="FJ29" i="12"/>
  <c r="DC31" i="12"/>
  <c r="HG23" i="12"/>
  <c r="K30" i="12"/>
  <c r="AP15" i="12"/>
  <c r="GL9" i="12"/>
  <c r="DQ15" i="12"/>
  <c r="CJ33" i="12"/>
  <c r="FM32" i="12"/>
  <c r="DJ23" i="12"/>
  <c r="FO19" i="12"/>
  <c r="AZ17" i="12"/>
  <c r="IN14" i="12"/>
  <c r="DJ35" i="12"/>
  <c r="AA34" i="12"/>
  <c r="IM51" i="12"/>
  <c r="H19" i="12"/>
  <c r="FG23" i="12"/>
  <c r="DI25" i="12"/>
  <c r="HI40" i="12"/>
  <c r="HT24" i="12"/>
  <c r="CR27" i="12"/>
  <c r="DP28" i="12"/>
  <c r="DS44" i="12"/>
  <c r="CN7" i="12"/>
  <c r="GP23" i="12"/>
  <c r="BY15" i="12"/>
  <c r="AO34" i="12"/>
  <c r="EP35" i="12"/>
  <c r="BR30" i="12"/>
  <c r="FZ13" i="12"/>
  <c r="IP17" i="12"/>
  <c r="CO20" i="12"/>
  <c r="IQ30" i="12"/>
  <c r="EX22" i="12"/>
  <c r="FE17" i="12"/>
  <c r="CB22" i="12"/>
  <c r="CS30" i="12"/>
  <c r="HK30" i="12"/>
  <c r="EE31" i="12"/>
  <c r="BC23" i="12"/>
  <c r="GB13" i="12"/>
  <c r="C25" i="12"/>
  <c r="FV49" i="12"/>
  <c r="GZ52" i="12"/>
  <c r="AN42" i="12"/>
  <c r="CM19" i="12"/>
  <c r="H41" i="12"/>
  <c r="GI5" i="12"/>
  <c r="EJ45" i="12"/>
  <c r="AU6" i="12"/>
  <c r="AS23" i="12"/>
  <c r="CD9" i="12"/>
  <c r="CJ20" i="12"/>
  <c r="FE21" i="12"/>
  <c r="FD21" i="12"/>
  <c r="GX20" i="12"/>
  <c r="CN28" i="12"/>
  <c r="AJ22" i="12"/>
  <c r="AR17" i="12"/>
  <c r="N4" i="12"/>
  <c r="IH13" i="12"/>
  <c r="EY25" i="12"/>
  <c r="HQ37" i="12"/>
  <c r="II36" i="12"/>
  <c r="GD22" i="12"/>
  <c r="CK21" i="12"/>
  <c r="BI15" i="12"/>
  <c r="R30" i="12"/>
  <c r="DT34" i="12"/>
  <c r="BW33" i="12"/>
  <c r="K7" i="12"/>
  <c r="HI25" i="12"/>
  <c r="CY32" i="12"/>
  <c r="BL32" i="12"/>
  <c r="DK17" i="12"/>
  <c r="X16" i="12"/>
  <c r="DC26" i="12"/>
  <c r="Y37" i="12"/>
  <c r="IQ28" i="12"/>
  <c r="IH52" i="12"/>
  <c r="DN12" i="12"/>
  <c r="FQ15" i="12"/>
  <c r="EO20" i="12"/>
  <c r="BD35" i="12"/>
  <c r="GM35" i="12"/>
  <c r="DR32" i="12"/>
  <c r="FT14" i="12"/>
  <c r="ER22" i="12"/>
  <c r="GN17" i="12"/>
  <c r="AO11" i="12"/>
  <c r="BV33" i="12"/>
  <c r="IG26" i="12"/>
  <c r="DZ28" i="12"/>
  <c r="FY13" i="12"/>
  <c r="BL25" i="12"/>
  <c r="BO21" i="12"/>
  <c r="AH39" i="12"/>
  <c r="I41" i="12"/>
  <c r="FV32" i="12"/>
  <c r="CD40" i="12"/>
  <c r="EK36" i="12"/>
  <c r="ER26" i="12"/>
  <c r="BC32" i="12"/>
  <c r="BK26" i="12"/>
  <c r="FY49" i="12"/>
  <c r="DT43" i="12"/>
  <c r="GL4" i="12"/>
  <c r="GL46" i="12"/>
  <c r="AJ43" i="12"/>
  <c r="IK41" i="12"/>
  <c r="FE46" i="12"/>
  <c r="IJ4" i="12"/>
  <c r="DE28" i="12"/>
  <c r="FY27" i="12"/>
  <c r="CA39" i="12"/>
  <c r="HG39" i="12"/>
  <c r="EW38" i="12"/>
  <c r="AL43" i="12"/>
  <c r="DN39" i="12"/>
  <c r="IF51" i="12"/>
  <c r="C37" i="12"/>
  <c r="Z50" i="12"/>
  <c r="CR47" i="12"/>
  <c r="GX41" i="12"/>
  <c r="Y47" i="12"/>
  <c r="CJ45" i="12"/>
  <c r="GL39" i="12"/>
  <c r="HH21" i="12"/>
  <c r="EM37" i="12"/>
  <c r="DL43" i="12"/>
  <c r="BQ33" i="12"/>
  <c r="BR31" i="12"/>
  <c r="EC39" i="12"/>
  <c r="BH30" i="12"/>
  <c r="BS37" i="12"/>
  <c r="CZ45" i="12"/>
  <c r="DV40" i="12"/>
  <c r="FR36" i="12"/>
  <c r="DQ34" i="12"/>
  <c r="CD42" i="12"/>
  <c r="HQ45" i="12"/>
  <c r="AR36" i="12"/>
  <c r="AO33" i="12"/>
  <c r="FK35" i="12"/>
  <c r="HI44" i="12"/>
  <c r="IE49" i="12"/>
  <c r="CG52" i="12"/>
  <c r="DV45" i="12"/>
  <c r="HI53" i="12"/>
  <c r="FR52" i="12"/>
  <c r="HT51" i="12"/>
  <c r="HS22" i="12"/>
  <c r="X42" i="12"/>
  <c r="IN37" i="12"/>
  <c r="AA40" i="12"/>
  <c r="BR42" i="12"/>
  <c r="AU17" i="12"/>
  <c r="DB36" i="12"/>
  <c r="EZ40" i="12"/>
  <c r="DL39" i="12"/>
  <c r="CO4" i="12"/>
  <c r="GK47" i="12"/>
  <c r="R48" i="12"/>
  <c r="IC41" i="12"/>
  <c r="DT51" i="12"/>
  <c r="EE50" i="12"/>
  <c r="GA42" i="12"/>
  <c r="FH51" i="12"/>
  <c r="FM53" i="12"/>
  <c r="EZ33" i="12"/>
  <c r="DL36" i="12"/>
  <c r="GN38" i="12"/>
  <c r="BT48" i="12"/>
  <c r="DU43" i="12"/>
  <c r="AQ16" i="12"/>
  <c r="DX49" i="12"/>
  <c r="HI43" i="12"/>
  <c r="CV25" i="12"/>
  <c r="FM4" i="12"/>
  <c r="DU39" i="12"/>
  <c r="CP44" i="12"/>
  <c r="FA24" i="12"/>
  <c r="FK28" i="12"/>
  <c r="BU53" i="12"/>
  <c r="GH47" i="12"/>
  <c r="G47" i="12"/>
  <c r="AZ51" i="12"/>
  <c r="EG40" i="12"/>
  <c r="Q48" i="12"/>
  <c r="GK5" i="12"/>
  <c r="FL53" i="12"/>
  <c r="AS13" i="12"/>
  <c r="FC7" i="12"/>
  <c r="HP6" i="12"/>
  <c r="W4" i="12"/>
  <c r="BZ52" i="12"/>
  <c r="EB51" i="12"/>
  <c r="HN5" i="12"/>
  <c r="FV5" i="12"/>
  <c r="HT7" i="12"/>
  <c r="FD14" i="12"/>
  <c r="DD5" i="12"/>
  <c r="CA22" i="12"/>
  <c r="L27" i="12"/>
  <c r="BP41" i="12"/>
  <c r="EH40" i="12"/>
  <c r="CU48" i="12"/>
  <c r="EY6" i="12"/>
  <c r="EV12" i="12"/>
  <c r="IE8" i="12"/>
  <c r="AR5" i="12"/>
  <c r="BH52" i="12"/>
  <c r="IA12" i="12"/>
  <c r="FY16" i="12"/>
  <c r="CL45" i="12"/>
  <c r="AB46" i="12"/>
  <c r="BC48" i="12"/>
  <c r="K10" i="12"/>
  <c r="AD8" i="12"/>
  <c r="GB17" i="12"/>
  <c r="HO50" i="12"/>
  <c r="GY12" i="12"/>
  <c r="IE9" i="12"/>
  <c r="EG34" i="12"/>
  <c r="FO22" i="12"/>
  <c r="BD4" i="12"/>
  <c r="AY47" i="12"/>
  <c r="EC11" i="12"/>
  <c r="DX8" i="12"/>
  <c r="FR48" i="12"/>
  <c r="HX43" i="12"/>
  <c r="AT14" i="12"/>
  <c r="CH19" i="12"/>
  <c r="GK48" i="12"/>
  <c r="AG43" i="12"/>
  <c r="FZ43" i="12"/>
  <c r="DO8" i="12"/>
  <c r="BX49" i="12"/>
  <c r="FH12" i="12"/>
  <c r="GS8" i="12"/>
  <c r="CF48" i="12"/>
  <c r="GS44" i="12"/>
  <c r="G40" i="12"/>
  <c r="BF44" i="12"/>
  <c r="FS42" i="12"/>
  <c r="DC44" i="12"/>
  <c r="HL43" i="12"/>
  <c r="IJ35" i="12"/>
  <c r="IN30" i="12"/>
  <c r="ER43" i="12"/>
  <c r="AJ41" i="12"/>
  <c r="EQ11" i="12"/>
  <c r="IO11" i="12"/>
  <c r="AL17" i="12"/>
  <c r="HQ5" i="12"/>
  <c r="HD13" i="12"/>
  <c r="U37" i="12"/>
  <c r="GZ37" i="12"/>
  <c r="CV38" i="12"/>
  <c r="HX6" i="12"/>
  <c r="HA16" i="12"/>
  <c r="HS12" i="12"/>
  <c r="C36" i="12"/>
  <c r="DO6" i="12"/>
  <c r="AX6" i="12"/>
  <c r="P30" i="12"/>
  <c r="DU45" i="12"/>
  <c r="BZ50" i="12"/>
  <c r="CK53" i="12"/>
  <c r="FL7" i="12"/>
  <c r="T14" i="12"/>
  <c r="CI53" i="12"/>
  <c r="CY6" i="12"/>
  <c r="P7" i="12"/>
  <c r="CP22" i="12"/>
  <c r="AR31" i="12"/>
  <c r="AN48" i="12"/>
  <c r="HV41" i="12"/>
  <c r="CQ9" i="12"/>
  <c r="IB12" i="12"/>
  <c r="GC16" i="12"/>
  <c r="IG5" i="12"/>
  <c r="N7" i="12"/>
  <c r="EC19" i="12"/>
  <c r="HW22" i="12"/>
  <c r="BH23" i="12"/>
  <c r="BM42" i="12"/>
  <c r="FE42" i="12"/>
  <c r="BC35" i="12"/>
  <c r="HD41" i="12"/>
  <c r="IO8" i="12"/>
  <c r="E6" i="12"/>
  <c r="GK41" i="12"/>
  <c r="BH41" i="12"/>
  <c r="HO38" i="12"/>
  <c r="Z42" i="12"/>
  <c r="IN32" i="12"/>
  <c r="EG27" i="12"/>
  <c r="EK43" i="12"/>
  <c r="HE43" i="12"/>
  <c r="DE44" i="12"/>
  <c r="AH53" i="12"/>
  <c r="GG7" i="12"/>
  <c r="Q5" i="12"/>
  <c r="DX5" i="12"/>
  <c r="HE8" i="12"/>
  <c r="IO36" i="12"/>
  <c r="CQ37" i="12"/>
  <c r="HL44" i="12"/>
  <c r="HO5" i="12"/>
  <c r="DH10" i="12"/>
  <c r="EB6" i="12"/>
  <c r="FW5" i="12"/>
  <c r="BV50" i="12"/>
  <c r="HM10" i="12"/>
  <c r="BH16" i="12"/>
  <c r="DG48" i="12"/>
  <c r="AP48" i="12"/>
  <c r="CJ44" i="12"/>
  <c r="N11" i="12"/>
  <c r="GU12" i="12"/>
  <c r="BW15" i="12"/>
  <c r="FW48" i="12"/>
  <c r="GJ13" i="12"/>
  <c r="BC11" i="12"/>
  <c r="AZ34" i="12"/>
  <c r="GZ53" i="12"/>
  <c r="ER46" i="12"/>
  <c r="BJ47" i="12"/>
  <c r="CP10" i="12"/>
  <c r="T19" i="12"/>
  <c r="FD46" i="12"/>
  <c r="Y6" i="12"/>
  <c r="EZ11" i="12"/>
  <c r="HJ16" i="12"/>
  <c r="BB34" i="12"/>
  <c r="AI40" i="12"/>
  <c r="BI37" i="12"/>
  <c r="CC33" i="12"/>
  <c r="EC13" i="12"/>
  <c r="FE48" i="12"/>
  <c r="GC5" i="12"/>
  <c r="FI14" i="12"/>
  <c r="C47" i="12"/>
  <c r="EW52" i="12"/>
  <c r="V40" i="12"/>
  <c r="FB40" i="12"/>
  <c r="GN39" i="12"/>
  <c r="FD43" i="12"/>
  <c r="AL16" i="12"/>
  <c r="GS11" i="12"/>
  <c r="CO17" i="12"/>
  <c r="FH6" i="12"/>
  <c r="DP47" i="12"/>
  <c r="GJ47" i="12"/>
  <c r="DI38" i="12"/>
  <c r="CV53" i="12"/>
  <c r="EK7" i="12"/>
  <c r="GD12" i="12"/>
  <c r="HT13" i="12"/>
  <c r="BK5" i="12"/>
  <c r="AB6" i="12"/>
  <c r="BN35" i="12"/>
  <c r="CF41" i="12"/>
  <c r="EE40" i="12"/>
  <c r="AV37" i="12"/>
  <c r="CG42" i="12"/>
  <c r="N43" i="12"/>
  <c r="GC15" i="12"/>
  <c r="E51" i="12"/>
  <c r="I33" i="12"/>
  <c r="AI36" i="12"/>
  <c r="BB7" i="12"/>
  <c r="GH5" i="12"/>
  <c r="IJ22" i="12"/>
  <c r="H10" i="12"/>
  <c r="IQ6" i="12"/>
  <c r="IE43" i="12"/>
  <c r="CY34" i="12"/>
  <c r="FG45" i="12"/>
  <c r="Q9" i="12"/>
  <c r="IR8" i="12"/>
  <c r="H16" i="12"/>
  <c r="W51" i="12"/>
  <c r="ES9" i="12"/>
  <c r="GM9" i="12"/>
  <c r="HF30" i="12"/>
  <c r="IH49" i="12"/>
  <c r="AN49" i="12"/>
  <c r="HN48" i="12"/>
  <c r="EQ10" i="12"/>
  <c r="ER14" i="12"/>
  <c r="CI51" i="12"/>
  <c r="BL6" i="12"/>
  <c r="GM11" i="12"/>
  <c r="AN17" i="12"/>
  <c r="BS30" i="12"/>
  <c r="F40" i="12"/>
  <c r="AR39" i="12"/>
  <c r="IP12" i="12"/>
  <c r="GG15" i="12"/>
  <c r="BC10" i="12"/>
  <c r="X10" i="12"/>
  <c r="GO9" i="12"/>
  <c r="DN13" i="12"/>
  <c r="BA13" i="12"/>
  <c r="HI18" i="12"/>
  <c r="G43" i="12"/>
  <c r="EB32" i="12"/>
  <c r="II37" i="12"/>
  <c r="DV44" i="12"/>
  <c r="DE6" i="12"/>
  <c r="EF12" i="12"/>
  <c r="P12" i="12"/>
  <c r="GK14" i="12"/>
  <c r="FW6" i="12"/>
  <c r="EU53" i="12"/>
  <c r="HG42" i="12"/>
  <c r="HB44" i="12"/>
  <c r="AB10" i="12"/>
  <c r="FG12" i="12"/>
  <c r="AV24" i="12"/>
  <c r="FC11" i="12"/>
  <c r="E12" i="12"/>
  <c r="BS46" i="12"/>
  <c r="AV42" i="12"/>
  <c r="H29" i="12"/>
  <c r="AK6" i="12"/>
  <c r="DS5" i="12"/>
  <c r="AX19" i="12"/>
  <c r="DL8" i="12"/>
  <c r="FP5" i="12"/>
  <c r="GD7" i="12"/>
  <c r="EN23" i="12"/>
  <c r="BK28" i="12"/>
  <c r="DR9" i="12"/>
  <c r="GP26" i="12"/>
  <c r="HX47" i="12"/>
  <c r="BI34" i="12"/>
  <c r="CH33" i="12"/>
  <c r="FC19" i="12"/>
  <c r="K15" i="12"/>
  <c r="BZ42" i="12"/>
  <c r="GU40" i="12"/>
  <c r="BA38" i="12"/>
  <c r="GD35" i="12"/>
  <c r="AB51" i="12"/>
  <c r="EI24" i="12"/>
  <c r="DY47" i="12"/>
  <c r="DY48" i="12"/>
  <c r="HT41" i="12"/>
  <c r="GS10" i="12"/>
  <c r="HE12" i="12"/>
  <c r="ET10" i="12"/>
  <c r="BF9" i="12"/>
  <c r="N5" i="12"/>
  <c r="CB34" i="12"/>
  <c r="CX38" i="12"/>
  <c r="ET37" i="12"/>
  <c r="DE14" i="12"/>
  <c r="BT53" i="12"/>
  <c r="BW7" i="12"/>
  <c r="CA16" i="12"/>
  <c r="E53" i="12"/>
  <c r="FS53" i="12"/>
  <c r="DH14" i="12"/>
  <c r="N42" i="12"/>
  <c r="CH42" i="12"/>
  <c r="HF44" i="12"/>
  <c r="GO50" i="12"/>
  <c r="GE9" i="12"/>
  <c r="CR6" i="12"/>
  <c r="DF10" i="12"/>
  <c r="HO8" i="12"/>
  <c r="CU11" i="12"/>
  <c r="GK34" i="12"/>
  <c r="BB51" i="12"/>
  <c r="EJ50" i="12"/>
  <c r="CT53" i="12"/>
  <c r="DB9" i="12"/>
  <c r="GL7" i="12"/>
  <c r="CC18" i="12"/>
  <c r="ES8" i="12"/>
  <c r="BQ5" i="12"/>
  <c r="E8" i="12"/>
  <c r="HI37" i="12"/>
  <c r="BO27" i="12"/>
  <c r="FN43" i="12"/>
  <c r="FA37" i="12"/>
  <c r="DT11" i="12"/>
  <c r="HZ12" i="12"/>
  <c r="FY7" i="12"/>
  <c r="FA8" i="12"/>
  <c r="FK7" i="12"/>
  <c r="DC20" i="12"/>
  <c r="EW43" i="12"/>
  <c r="HQ43" i="12"/>
  <c r="BA40" i="12"/>
  <c r="GL50" i="12"/>
  <c r="HF9" i="12"/>
  <c r="BC6" i="12"/>
  <c r="ER7" i="12"/>
  <c r="HL8" i="12"/>
  <c r="AQ46" i="12"/>
  <c r="IC45" i="12"/>
  <c r="O48" i="12"/>
  <c r="Z11" i="12"/>
  <c r="HB12" i="12"/>
  <c r="R13" i="12"/>
  <c r="GZ9" i="12"/>
  <c r="IP5" i="12"/>
  <c r="EI40" i="12"/>
  <c r="CW41" i="12"/>
  <c r="GR38" i="12"/>
  <c r="CV37" i="12"/>
  <c r="AL52" i="12"/>
  <c r="DJ25" i="12"/>
  <c r="HG40" i="12"/>
  <c r="EU43" i="12"/>
  <c r="DG40" i="12"/>
  <c r="EO12" i="12"/>
  <c r="AO5" i="12"/>
  <c r="AZ15" i="12"/>
  <c r="IC11" i="12"/>
  <c r="EM8" i="12"/>
  <c r="EJ49" i="12"/>
  <c r="IA37" i="12"/>
  <c r="FS43" i="12"/>
  <c r="AF17" i="12"/>
  <c r="DZ52" i="12"/>
  <c r="AK10" i="12"/>
  <c r="FR5" i="12"/>
  <c r="EG51" i="12"/>
  <c r="EF39" i="12"/>
  <c r="GH17" i="12"/>
  <c r="HY48" i="12"/>
  <c r="DP49" i="12"/>
  <c r="FK42" i="12"/>
  <c r="GY51" i="12"/>
  <c r="FJ11" i="12"/>
  <c r="FK6" i="12"/>
  <c r="IN17" i="12"/>
  <c r="HQ11" i="12"/>
  <c r="FC12" i="12"/>
  <c r="DR36" i="12"/>
  <c r="BG50" i="12"/>
  <c r="HW53" i="12"/>
  <c r="BX50" i="12"/>
  <c r="AJ12" i="12"/>
  <c r="AX8" i="12"/>
  <c r="AM21" i="12"/>
  <c r="AG10" i="12"/>
  <c r="IG9" i="12"/>
  <c r="EH9" i="12"/>
  <c r="ED24" i="12"/>
  <c r="DA27" i="12"/>
  <c r="IG37" i="12"/>
  <c r="FM36" i="12"/>
  <c r="EA13" i="12"/>
  <c r="GU17" i="12"/>
  <c r="EG9" i="12"/>
  <c r="DG5" i="12"/>
  <c r="HR8" i="12"/>
  <c r="U14" i="12"/>
  <c r="AS40" i="12"/>
  <c r="DM40" i="12"/>
  <c r="FS48" i="12"/>
  <c r="BU33" i="12"/>
  <c r="AW34" i="12"/>
  <c r="DA49" i="12"/>
  <c r="DT47" i="12"/>
  <c r="M53" i="12"/>
  <c r="HE46" i="12"/>
  <c r="EH46" i="12"/>
  <c r="HJ43" i="12"/>
  <c r="FA5" i="12"/>
  <c r="EM51" i="12"/>
  <c r="CN10" i="12"/>
  <c r="IA6" i="12"/>
  <c r="FC50" i="12"/>
  <c r="IK51" i="12"/>
  <c r="ED43" i="12"/>
  <c r="FR38" i="12"/>
  <c r="EQ8" i="12"/>
  <c r="DF48" i="12"/>
  <c r="AW10" i="12"/>
  <c r="EH7" i="12"/>
  <c r="EB52" i="12"/>
  <c r="GA49" i="12"/>
  <c r="HE21" i="12"/>
  <c r="EB44" i="12"/>
  <c r="AL45" i="12"/>
  <c r="CM41" i="12"/>
  <c r="HV46" i="12"/>
  <c r="CC13" i="12"/>
  <c r="BP8" i="12"/>
  <c r="GZ14" i="12"/>
  <c r="CX5" i="12"/>
  <c r="HJ14" i="12"/>
  <c r="EH25" i="12"/>
  <c r="EO53" i="12"/>
  <c r="AO43" i="12"/>
  <c r="GT44" i="12"/>
  <c r="HN13" i="12"/>
  <c r="FW10" i="12"/>
  <c r="T20" i="12"/>
  <c r="IN8" i="12"/>
  <c r="FD10" i="12"/>
  <c r="BQ14" i="12"/>
  <c r="GH24" i="12"/>
  <c r="EH33" i="12"/>
  <c r="AS37" i="12"/>
  <c r="HJ38" i="12"/>
  <c r="CQ13" i="12"/>
  <c r="IM53" i="12"/>
  <c r="IM9" i="12"/>
  <c r="HB5" i="12"/>
  <c r="GM13" i="12"/>
  <c r="FB4" i="12"/>
  <c r="IH40" i="12"/>
  <c r="BM41" i="12"/>
  <c r="DT37" i="12"/>
  <c r="HD46" i="12"/>
  <c r="HQ6" i="12"/>
  <c r="HJ11" i="12"/>
  <c r="CT11" i="12"/>
  <c r="AU12" i="12"/>
  <c r="GO42" i="12"/>
  <c r="AB42" i="12"/>
  <c r="FS38" i="12"/>
  <c r="GF5" i="12"/>
  <c r="AP7" i="12"/>
  <c r="AV16" i="12"/>
  <c r="EV13" i="12"/>
  <c r="DE51" i="12"/>
  <c r="FY45" i="12"/>
  <c r="HB47" i="12"/>
  <c r="FV44" i="12"/>
  <c r="BE42" i="12"/>
  <c r="BV28" i="12"/>
  <c r="EJ42" i="12"/>
  <c r="GO49" i="12"/>
  <c r="EZ7" i="12"/>
  <c r="AN13" i="12"/>
  <c r="IP52" i="12"/>
  <c r="IN4" i="12"/>
  <c r="IH8" i="12"/>
  <c r="CY14" i="12"/>
  <c r="M51" i="12"/>
  <c r="DT32" i="12"/>
  <c r="GC53" i="12"/>
  <c r="G10" i="12"/>
  <c r="F5" i="12"/>
  <c r="AL19" i="12"/>
  <c r="DK8" i="12"/>
  <c r="II7" i="12"/>
  <c r="HL7" i="12"/>
  <c r="GG33" i="12"/>
  <c r="BD50" i="12"/>
  <c r="FP53" i="12"/>
  <c r="CH9" i="12"/>
  <c r="HG7" i="12"/>
  <c r="DY9" i="12"/>
  <c r="AY8" i="12"/>
  <c r="GM8" i="12"/>
  <c r="BH27" i="12"/>
  <c r="BS13" i="12"/>
  <c r="IQ39" i="12"/>
  <c r="AE34" i="12"/>
  <c r="CG46" i="12"/>
  <c r="D9" i="12"/>
  <c r="HZ11" i="12"/>
  <c r="GZ8" i="12"/>
  <c r="IL5" i="12"/>
  <c r="S50" i="12"/>
  <c r="BQ11" i="12"/>
  <c r="BX19" i="12"/>
  <c r="HX21" i="12"/>
  <c r="J31" i="12"/>
  <c r="BO43" i="12"/>
  <c r="EP42" i="12"/>
  <c r="AQ9" i="12"/>
  <c r="DN8" i="12"/>
  <c r="AT12" i="12"/>
  <c r="ET45" i="12"/>
  <c r="IF10" i="12"/>
  <c r="BE11" i="12"/>
  <c r="ER4" i="12"/>
  <c r="GM47" i="12"/>
  <c r="FM8" i="12"/>
  <c r="CJ9" i="12"/>
  <c r="CR46" i="12"/>
  <c r="BH10" i="12"/>
  <c r="HU11" i="12"/>
  <c r="CL16" i="12"/>
  <c r="AY43" i="12"/>
  <c r="GD49" i="12"/>
  <c r="CK7" i="12"/>
  <c r="FQ14" i="12"/>
  <c r="U22" i="12"/>
  <c r="BY45" i="12"/>
  <c r="CV8" i="12"/>
  <c r="GT12" i="12"/>
  <c r="V21" i="12"/>
  <c r="CU26" i="12"/>
  <c r="BD42" i="12"/>
  <c r="HG8" i="12"/>
  <c r="DA18" i="12"/>
  <c r="FF22" i="12"/>
  <c r="AU27" i="12"/>
  <c r="BX26" i="12"/>
  <c r="GE24" i="12"/>
  <c r="U21" i="12"/>
  <c r="GS41" i="12"/>
  <c r="FT53" i="12"/>
  <c r="CA48" i="12"/>
  <c r="HE9" i="12"/>
  <c r="DA50" i="12"/>
  <c r="EN11" i="12"/>
  <c r="D14" i="12"/>
  <c r="HD9" i="12"/>
  <c r="GS20" i="12"/>
  <c r="FY14" i="12"/>
  <c r="IB15" i="12"/>
  <c r="BZ10" i="12"/>
  <c r="BE34" i="12"/>
  <c r="FP27" i="12"/>
  <c r="FW21" i="12"/>
  <c r="CF4" i="12"/>
  <c r="EB8" i="12"/>
  <c r="HW32" i="12"/>
  <c r="E25" i="12"/>
  <c r="FI27" i="12"/>
  <c r="BG15" i="12"/>
  <c r="AC14" i="12"/>
  <c r="BY24" i="12"/>
  <c r="IO35" i="12"/>
  <c r="AP24" i="12"/>
  <c r="EG24" i="12"/>
  <c r="FI53" i="12"/>
  <c r="GU34" i="12"/>
  <c r="HT32" i="12"/>
  <c r="DT33" i="12"/>
  <c r="CS20" i="12"/>
  <c r="AE20" i="12"/>
  <c r="DQ13" i="12"/>
  <c r="HR27" i="12"/>
  <c r="HA34" i="12"/>
  <c r="CI37" i="12"/>
  <c r="FW13" i="12"/>
  <c r="EI20" i="12"/>
  <c r="FT26" i="12"/>
  <c r="DQ33" i="12"/>
  <c r="EJ25" i="12"/>
  <c r="DN23" i="12"/>
  <c r="HM21" i="12"/>
  <c r="CV21" i="12"/>
  <c r="AP22" i="12"/>
  <c r="FG13" i="12"/>
  <c r="IR28" i="12"/>
  <c r="K28" i="12"/>
  <c r="CA29" i="12"/>
  <c r="BE19" i="12"/>
  <c r="E16" i="12"/>
  <c r="L16" i="12"/>
  <c r="BD33" i="12"/>
  <c r="AJ29" i="12"/>
  <c r="BM31" i="12"/>
  <c r="EM44" i="12"/>
  <c r="HJ44" i="12"/>
  <c r="DQ23" i="12"/>
  <c r="IH14" i="12"/>
  <c r="HH29" i="12"/>
  <c r="EB33" i="12"/>
  <c r="AI28" i="12"/>
  <c r="DM13" i="12"/>
  <c r="CT18" i="12"/>
  <c r="BQ48" i="12"/>
  <c r="FM22" i="12"/>
  <c r="GT39" i="12"/>
  <c r="GM28" i="12"/>
  <c r="EQ27" i="12"/>
  <c r="HO12" i="12"/>
  <c r="BP18" i="12"/>
  <c r="CB19" i="12"/>
  <c r="AW26" i="12"/>
  <c r="HC24" i="12"/>
  <c r="FQ9" i="12"/>
  <c r="BV12" i="12"/>
  <c r="EI32" i="12"/>
  <c r="GX27" i="12"/>
  <c r="CJ24" i="12"/>
  <c r="IF22" i="12"/>
  <c r="AJ17" i="12"/>
  <c r="DL27" i="12"/>
  <c r="FF43" i="12"/>
  <c r="CD46" i="12"/>
  <c r="X41" i="12"/>
  <c r="I47" i="12"/>
  <c r="BL47" i="12"/>
  <c r="GA18" i="12"/>
  <c r="FK49" i="12"/>
  <c r="ET50" i="12"/>
  <c r="IA51" i="12"/>
  <c r="EQ49" i="12"/>
  <c r="DP41" i="12"/>
  <c r="CU35" i="12"/>
  <c r="EA4" i="12"/>
  <c r="IF46" i="12"/>
  <c r="C35" i="12"/>
  <c r="ER48" i="12"/>
  <c r="GL51" i="12"/>
  <c r="J39" i="12"/>
  <c r="ET39" i="12"/>
  <c r="II47" i="12"/>
  <c r="CH50" i="12"/>
  <c r="DE53" i="12"/>
  <c r="EX50" i="12"/>
  <c r="DE40" i="12"/>
  <c r="AF44" i="12"/>
  <c r="HX37" i="12"/>
  <c r="CF38" i="12"/>
  <c r="CT49" i="12"/>
  <c r="HK9" i="12"/>
  <c r="BU12" i="12"/>
  <c r="HN35" i="12"/>
  <c r="HS8" i="12"/>
  <c r="P5" i="12"/>
  <c r="FN14" i="12"/>
  <c r="GJ23" i="12"/>
  <c r="GJ6" i="12"/>
  <c r="GZ31" i="12"/>
  <c r="AR32" i="12"/>
  <c r="BO28" i="12"/>
  <c r="CG27" i="12"/>
  <c r="DH30" i="12"/>
  <c r="ID31" i="12"/>
  <c r="BU34" i="12"/>
  <c r="FU36" i="12"/>
  <c r="HH14" i="12"/>
  <c r="II15" i="12"/>
  <c r="HP20" i="12"/>
  <c r="HD35" i="12"/>
  <c r="DN28" i="12"/>
  <c r="GC37" i="12"/>
  <c r="AC19" i="12"/>
  <c r="FL22" i="12"/>
  <c r="HM18" i="12"/>
  <c r="CY30" i="12"/>
  <c r="EP18" i="12"/>
  <c r="GM18" i="12"/>
  <c r="CL22" i="12"/>
  <c r="AG31" i="12"/>
  <c r="EY31" i="12"/>
  <c r="BK32" i="12"/>
  <c r="AY21" i="12"/>
  <c r="FL17" i="12"/>
  <c r="DL22" i="12"/>
  <c r="DQ16" i="12"/>
  <c r="FO36" i="12"/>
  <c r="D34" i="12"/>
  <c r="AC33" i="12"/>
  <c r="BW19" i="12"/>
  <c r="DJ17" i="12"/>
  <c r="GA36" i="12"/>
  <c r="EV31" i="12"/>
  <c r="IE30" i="12"/>
  <c r="E43" i="12"/>
  <c r="BY11" i="12"/>
  <c r="CM23" i="12"/>
  <c r="AB15" i="12"/>
  <c r="DS25" i="12"/>
  <c r="BU30" i="12"/>
  <c r="CQ24" i="12"/>
  <c r="G21" i="12"/>
  <c r="EM26" i="12"/>
  <c r="I20" i="12"/>
  <c r="GA33" i="12"/>
  <c r="AS9" i="12"/>
  <c r="EL23" i="12"/>
  <c r="Q29" i="12"/>
  <c r="GF16" i="12"/>
  <c r="HS17" i="12"/>
  <c r="GC13" i="12"/>
  <c r="DN32" i="12"/>
  <c r="DL35" i="12"/>
  <c r="FN51" i="12"/>
  <c r="GI9" i="12"/>
  <c r="BN24" i="12"/>
  <c r="AH24" i="12"/>
  <c r="HH33" i="12"/>
  <c r="HY32" i="12"/>
  <c r="GG25" i="12"/>
  <c r="GN29" i="12"/>
  <c r="BD22" i="12"/>
  <c r="L24" i="12"/>
  <c r="HR32" i="12"/>
  <c r="EY8" i="12"/>
  <c r="X18" i="12"/>
  <c r="GH20" i="12"/>
  <c r="IQ42" i="12"/>
  <c r="GU32" i="12"/>
  <c r="CO27" i="12"/>
  <c r="BF25" i="12"/>
  <c r="BR19" i="12"/>
  <c r="DU49" i="12"/>
  <c r="EQ51" i="12"/>
  <c r="BX53" i="12"/>
  <c r="HB39" i="12"/>
  <c r="ES6" i="12"/>
  <c r="BA36" i="12"/>
  <c r="AU16" i="12"/>
  <c r="Z14" i="12"/>
  <c r="K12" i="12"/>
  <c r="ES14" i="12"/>
  <c r="BI51" i="12"/>
  <c r="CC20" i="12"/>
  <c r="AG20" i="12"/>
  <c r="GI21" i="12"/>
  <c r="FA23" i="12"/>
  <c r="EM31" i="12"/>
  <c r="CU29" i="12"/>
  <c r="CZ17" i="12"/>
  <c r="BS52" i="12"/>
  <c r="FM13" i="12"/>
  <c r="BY28" i="12"/>
  <c r="M28" i="12"/>
  <c r="HC33" i="12"/>
  <c r="BQ22" i="12"/>
  <c r="CA17" i="12"/>
  <c r="P19" i="12"/>
  <c r="HZ25" i="12"/>
  <c r="GY28" i="12"/>
  <c r="ER30" i="12"/>
  <c r="HL5" i="12"/>
  <c r="EE28" i="12"/>
  <c r="BZ28" i="12"/>
  <c r="GF25" i="12"/>
  <c r="DX26" i="12"/>
  <c r="CA25" i="12"/>
  <c r="AR24" i="12"/>
  <c r="ID24" i="12"/>
  <c r="IE25" i="12"/>
  <c r="GB36" i="12"/>
  <c r="IQ13" i="12"/>
  <c r="DT16" i="12"/>
  <c r="GW17" i="12"/>
  <c r="HM40" i="12"/>
  <c r="AC30" i="12"/>
  <c r="GW29" i="12"/>
  <c r="DD27" i="12"/>
  <c r="IJ16" i="12"/>
  <c r="G18" i="12"/>
  <c r="IM15" i="12"/>
  <c r="HK24" i="12"/>
  <c r="EY35" i="12"/>
  <c r="CW35" i="12"/>
  <c r="EG23" i="12"/>
  <c r="AN22" i="12"/>
  <c r="FN21" i="12"/>
  <c r="CW27" i="12"/>
  <c r="HR35" i="12"/>
  <c r="DC32" i="12"/>
  <c r="CJ43" i="12"/>
  <c r="CH5" i="12"/>
  <c r="HX16" i="12"/>
  <c r="EV22" i="12"/>
  <c r="BS34" i="12"/>
  <c r="CT26" i="12"/>
  <c r="EL26" i="12"/>
  <c r="EL17" i="12"/>
  <c r="FV22" i="12"/>
  <c r="HL10" i="12"/>
  <c r="CX20" i="12"/>
  <c r="CZ39" i="12"/>
  <c r="EW34" i="12"/>
  <c r="FV33" i="12"/>
  <c r="O15" i="12"/>
  <c r="DA25" i="12"/>
  <c r="DW25" i="12"/>
  <c r="AK25" i="12"/>
  <c r="DJ31" i="12"/>
  <c r="AR44" i="12"/>
  <c r="DZ19" i="12"/>
  <c r="O37" i="12"/>
  <c r="HA30" i="12"/>
  <c r="HZ29" i="12"/>
  <c r="ED14" i="12"/>
  <c r="CJ21" i="12"/>
  <c r="CC19" i="12"/>
  <c r="FE39" i="12"/>
  <c r="AK38" i="12"/>
  <c r="DL32" i="12"/>
  <c r="EM32" i="12"/>
  <c r="BG39" i="12"/>
  <c r="GA24" i="12"/>
  <c r="E45" i="12"/>
  <c r="BM52" i="12"/>
  <c r="EQ48" i="12"/>
  <c r="P51" i="12"/>
  <c r="DS48" i="12"/>
  <c r="FC42" i="12"/>
  <c r="EL50" i="12"/>
  <c r="S42" i="12"/>
  <c r="EK52" i="12"/>
  <c r="GT53" i="12"/>
  <c r="DW45" i="12"/>
  <c r="I38" i="12"/>
  <c r="GC33" i="12"/>
  <c r="HW28" i="12"/>
  <c r="HX52" i="12"/>
  <c r="CX47" i="12"/>
  <c r="GG53" i="12"/>
  <c r="GP49" i="12"/>
  <c r="FO47" i="12"/>
  <c r="N45" i="12"/>
  <c r="H37" i="12"/>
  <c r="IK27" i="12"/>
  <c r="HV48" i="12"/>
  <c r="IC10" i="12"/>
  <c r="V35" i="12"/>
  <c r="ET11" i="12"/>
  <c r="BK6" i="12"/>
  <c r="BW14" i="12"/>
  <c r="EQ30" i="12"/>
  <c r="AG8" i="12"/>
  <c r="HI24" i="12"/>
  <c r="HX33" i="12"/>
  <c r="CA19" i="12"/>
  <c r="EC34" i="12"/>
  <c r="BI31" i="12"/>
  <c r="FC27" i="12"/>
  <c r="HX26" i="12"/>
  <c r="L49" i="12"/>
  <c r="FB5" i="12"/>
  <c r="AH20" i="12"/>
  <c r="AI16" i="12"/>
  <c r="GB30" i="12"/>
  <c r="EZ29" i="12"/>
  <c r="FG27" i="12"/>
  <c r="IG21" i="12"/>
  <c r="IM13" i="12"/>
  <c r="EY21" i="12"/>
  <c r="CM43" i="12"/>
  <c r="FN10" i="12"/>
  <c r="BT25" i="12"/>
  <c r="EJ17" i="12"/>
  <c r="IL31" i="12"/>
  <c r="HO32" i="12"/>
  <c r="GF32" i="12"/>
  <c r="DA16" i="12"/>
  <c r="DF21" i="12"/>
  <c r="DU14" i="12"/>
  <c r="DA12" i="12"/>
  <c r="EI33" i="12"/>
  <c r="GW24" i="12"/>
  <c r="GD28" i="12"/>
  <c r="GZ13" i="12"/>
  <c r="ER20" i="12"/>
  <c r="HZ23" i="12"/>
  <c r="HP29" i="12"/>
  <c r="AA25" i="12"/>
  <c r="CY4" i="12"/>
  <c r="HN6" i="12"/>
  <c r="IO25" i="12"/>
  <c r="IE19" i="12"/>
  <c r="EA31" i="12"/>
  <c r="AE36" i="12"/>
  <c r="IM28" i="12"/>
  <c r="HH25" i="12"/>
  <c r="DO18" i="12"/>
  <c r="HL16" i="12"/>
  <c r="EY28" i="12"/>
  <c r="FY5" i="12"/>
  <c r="DA20" i="12"/>
  <c r="DH36" i="12"/>
  <c r="FL19" i="12"/>
  <c r="HA20" i="12"/>
  <c r="GR22" i="12"/>
  <c r="HC32" i="12"/>
  <c r="GE28" i="12"/>
  <c r="DK51" i="12"/>
  <c r="EU14" i="12"/>
  <c r="GU30" i="12"/>
  <c r="FP15" i="12"/>
  <c r="EG16" i="12"/>
  <c r="AB26" i="12"/>
  <c r="EG30" i="12"/>
  <c r="IR26" i="12"/>
  <c r="HP12" i="12"/>
  <c r="FN24" i="12"/>
  <c r="BL53" i="12"/>
  <c r="GE10" i="12"/>
  <c r="CW26" i="12"/>
  <c r="BY26" i="12"/>
  <c r="HU36" i="12"/>
  <c r="IM34" i="12"/>
  <c r="HG33" i="12"/>
  <c r="HB31" i="12"/>
  <c r="GN19" i="12"/>
  <c r="I27" i="12"/>
  <c r="AA48" i="12"/>
  <c r="DD50" i="12"/>
  <c r="DH50" i="12"/>
  <c r="C53" i="12"/>
  <c r="HZ47" i="12"/>
  <c r="BX39" i="12"/>
  <c r="BJ36" i="12"/>
  <c r="AW41" i="12"/>
  <c r="HU32" i="12"/>
  <c r="HL26" i="12"/>
  <c r="AY44" i="12"/>
  <c r="ED44" i="12"/>
  <c r="GC47" i="12"/>
  <c r="AD45" i="12"/>
  <c r="BH42" i="12"/>
  <c r="AL30" i="12"/>
  <c r="GA35" i="12"/>
  <c r="FY42" i="12"/>
  <c r="FD44" i="12"/>
  <c r="K43" i="12"/>
  <c r="FH42" i="12"/>
  <c r="IQ34" i="12"/>
  <c r="HL42" i="12"/>
  <c r="CD45" i="12"/>
  <c r="AO44" i="12"/>
  <c r="FS39" i="12"/>
  <c r="FX43" i="12"/>
  <c r="AD19" i="12"/>
  <c r="HW47" i="12"/>
  <c r="IA48" i="12"/>
  <c r="CB51" i="12"/>
  <c r="HV9" i="12"/>
  <c r="EV11" i="12"/>
  <c r="CN50" i="12"/>
  <c r="DM51" i="12"/>
  <c r="CY8" i="12"/>
  <c r="BG51" i="12"/>
  <c r="HP27" i="12"/>
  <c r="HD38" i="12"/>
  <c r="IR34" i="12"/>
  <c r="FJ20" i="12"/>
  <c r="IQ19" i="12"/>
  <c r="GL13" i="12"/>
  <c r="IL21" i="12"/>
  <c r="ER24" i="12"/>
  <c r="HO20" i="12"/>
  <c r="HP43" i="12"/>
  <c r="FV6" i="12"/>
  <c r="H14" i="12"/>
  <c r="EG25" i="12"/>
  <c r="CT23" i="12"/>
  <c r="AC27" i="12"/>
  <c r="T13" i="12"/>
  <c r="EQ36" i="12"/>
  <c r="HL31" i="12"/>
  <c r="IB35" i="12"/>
  <c r="BE21" i="12"/>
  <c r="BR47" i="12"/>
  <c r="HH13" i="12"/>
  <c r="EN32" i="12"/>
  <c r="CJ18" i="12"/>
  <c r="M17" i="12"/>
  <c r="EK18" i="12"/>
  <c r="HI31" i="12"/>
  <c r="HQ25" i="12"/>
  <c r="BE31" i="12"/>
  <c r="FX14" i="12"/>
  <c r="L10" i="12"/>
  <c r="AY20" i="12"/>
  <c r="Q13" i="12"/>
  <c r="FU28" i="12"/>
  <c r="BV23" i="12"/>
  <c r="DJ20" i="12"/>
  <c r="HU15" i="12"/>
  <c r="DS19" i="12"/>
  <c r="ER18" i="12"/>
  <c r="FB8" i="12"/>
  <c r="EE23" i="12"/>
  <c r="EA28" i="12"/>
  <c r="HT26" i="12"/>
  <c r="FO15" i="12"/>
  <c r="DE21" i="12"/>
  <c r="BX21" i="12"/>
  <c r="BH34" i="12"/>
  <c r="L26" i="12"/>
  <c r="BP23" i="12"/>
  <c r="HQ52" i="12"/>
  <c r="EI7" i="12"/>
  <c r="EZ14" i="12"/>
  <c r="BB38" i="12"/>
  <c r="BE32" i="12"/>
  <c r="CD31" i="12"/>
  <c r="IQ16" i="12"/>
  <c r="FG21" i="12"/>
  <c r="FJ17" i="12"/>
  <c r="AE11" i="12"/>
  <c r="AC28" i="12"/>
  <c r="EM30" i="12"/>
  <c r="Q26" i="12"/>
  <c r="FJ26" i="12"/>
  <c r="DI23" i="12"/>
  <c r="HG19" i="12"/>
  <c r="CW29" i="12"/>
  <c r="AE33" i="12"/>
  <c r="AR34" i="12"/>
  <c r="AT50" i="12"/>
  <c r="EU36" i="12"/>
  <c r="EV29" i="12"/>
  <c r="AF29" i="12"/>
  <c r="FU19" i="12"/>
  <c r="GE18" i="12"/>
  <c r="IK29" i="12"/>
  <c r="DC25" i="12"/>
  <c r="AF38" i="12"/>
  <c r="Y44" i="12"/>
  <c r="CN42" i="12"/>
  <c r="CP43" i="12"/>
  <c r="FU42" i="12"/>
  <c r="DB23" i="12"/>
  <c r="FL48" i="12"/>
  <c r="FX47" i="12"/>
  <c r="CH35" i="12"/>
  <c r="CI48" i="12"/>
  <c r="DS47" i="12"/>
  <c r="HR36" i="12"/>
  <c r="GU52" i="12"/>
  <c r="DN48" i="12"/>
  <c r="GK43" i="12"/>
  <c r="GR41" i="12"/>
  <c r="IB40" i="12"/>
  <c r="IC31" i="12"/>
  <c r="O46" i="12"/>
  <c r="EV4" i="12"/>
  <c r="FP52" i="12"/>
  <c r="GU49" i="12"/>
  <c r="FT43" i="12"/>
  <c r="BK36" i="12"/>
  <c r="GQ30" i="12"/>
  <c r="DH46" i="12"/>
  <c r="GW4" i="12"/>
  <c r="GW47" i="12"/>
  <c r="FL16" i="12"/>
  <c r="AQ14" i="12"/>
  <c r="FB35" i="12"/>
  <c r="M4" i="12"/>
  <c r="EJ51" i="12"/>
  <c r="IJ23" i="12"/>
  <c r="GM21" i="12"/>
  <c r="BP52" i="12"/>
  <c r="GT25" i="12"/>
  <c r="CM31" i="12"/>
  <c r="BN33" i="12"/>
  <c r="FO30" i="12"/>
  <c r="BX28" i="12"/>
  <c r="HQ32" i="12"/>
  <c r="GB29" i="12"/>
  <c r="BG42" i="12"/>
  <c r="CW23" i="12"/>
  <c r="X15" i="12"/>
  <c r="DS23" i="12"/>
  <c r="HE24" i="12"/>
  <c r="DR29" i="12"/>
  <c r="AD24" i="12"/>
  <c r="BD20" i="12"/>
  <c r="GJ25" i="12"/>
  <c r="EQ16" i="12"/>
  <c r="D36" i="12"/>
  <c r="HY12" i="12"/>
  <c r="IE17" i="12"/>
  <c r="CM20" i="12"/>
  <c r="CS34" i="12"/>
  <c r="CD34" i="12"/>
  <c r="EA19" i="12"/>
  <c r="CN12" i="12"/>
  <c r="DF17" i="12"/>
  <c r="GK18" i="12"/>
  <c r="BV10" i="12"/>
  <c r="FB18" i="12"/>
  <c r="CL25" i="12"/>
  <c r="CY24" i="12"/>
  <c r="N27" i="12"/>
  <c r="EJ15" i="12"/>
  <c r="BI35" i="12"/>
  <c r="HN30" i="12"/>
  <c r="P23" i="12"/>
  <c r="HC20" i="12"/>
  <c r="HR22" i="12"/>
  <c r="EJ22" i="12"/>
  <c r="BA26" i="12"/>
  <c r="FX29" i="12"/>
  <c r="EK30" i="12"/>
  <c r="HZ30" i="12"/>
  <c r="DD23" i="12"/>
  <c r="HT15" i="12"/>
  <c r="HA19" i="12"/>
  <c r="AW28" i="12"/>
  <c r="EL5" i="12"/>
  <c r="AC17" i="12"/>
  <c r="CB30" i="12"/>
  <c r="CN22" i="12"/>
  <c r="DA13" i="12"/>
  <c r="FL28" i="12"/>
  <c r="CO30" i="12"/>
  <c r="DB24" i="12"/>
  <c r="DN40" i="12"/>
  <c r="GZ15" i="12"/>
  <c r="IK22" i="12"/>
  <c r="CX14" i="12"/>
  <c r="GH42" i="12"/>
  <c r="CR30" i="12"/>
  <c r="BO26" i="12"/>
  <c r="GK19" i="12"/>
  <c r="CB25" i="12"/>
  <c r="GO26" i="12"/>
  <c r="AY51" i="12"/>
  <c r="Q16" i="12"/>
  <c r="ID16" i="12"/>
  <c r="DK20" i="12"/>
  <c r="DD33" i="12"/>
  <c r="GX31" i="12"/>
  <c r="Q36" i="12"/>
  <c r="IR15" i="12"/>
  <c r="ED22" i="12"/>
  <c r="HT52" i="12"/>
  <c r="GX48" i="12"/>
  <c r="DA53" i="12"/>
  <c r="BS35" i="12"/>
  <c r="HW13" i="12"/>
  <c r="BP42" i="12"/>
  <c r="AG5" i="12"/>
  <c r="II10" i="12"/>
  <c r="BT10" i="12"/>
  <c r="CP11" i="12"/>
  <c r="EZ19" i="12"/>
  <c r="AJ21" i="12"/>
  <c r="BL20" i="12"/>
  <c r="DW23" i="12"/>
  <c r="IH33" i="12"/>
  <c r="BU29" i="12"/>
  <c r="EP26" i="12"/>
  <c r="DF26" i="12"/>
  <c r="DY50" i="12"/>
  <c r="BR10" i="12"/>
  <c r="HO23" i="12"/>
  <c r="AH29" i="12"/>
  <c r="HT27" i="12"/>
  <c r="Y17" i="12"/>
  <c r="GD16" i="12"/>
  <c r="AM19" i="12"/>
  <c r="FL15" i="12"/>
  <c r="HX30" i="12"/>
  <c r="EV30" i="12"/>
  <c r="GE19" i="12"/>
  <c r="CA30" i="12"/>
  <c r="BE36" i="12"/>
  <c r="GE36" i="12"/>
  <c r="BC19" i="12"/>
  <c r="HP21" i="12"/>
  <c r="GL20" i="12"/>
  <c r="Z29" i="12"/>
  <c r="IL24" i="12"/>
  <c r="BG4" i="12"/>
  <c r="IM25" i="12"/>
  <c r="IL27" i="12"/>
  <c r="FU15" i="12"/>
  <c r="EF16" i="12"/>
  <c r="BB32" i="12"/>
  <c r="HA29" i="12"/>
  <c r="Q35" i="12"/>
  <c r="H26" i="12"/>
  <c r="HN26" i="12"/>
  <c r="BO6" i="12"/>
  <c r="EW27" i="12"/>
  <c r="BA30" i="12"/>
  <c r="FF34" i="12"/>
  <c r="IG17" i="12"/>
  <c r="BW18" i="12"/>
  <c r="FM23" i="12"/>
  <c r="HV17" i="12"/>
  <c r="FW31" i="12"/>
  <c r="CU31" i="12"/>
  <c r="ER47" i="12"/>
  <c r="FR14" i="12"/>
  <c r="V18" i="12"/>
  <c r="HB20" i="12"/>
  <c r="IQ33" i="12"/>
  <c r="FR33" i="12"/>
  <c r="FE28" i="12"/>
  <c r="GR17" i="12"/>
  <c r="BI22" i="12"/>
  <c r="V14" i="12"/>
  <c r="EK10" i="12"/>
  <c r="FV17" i="12"/>
  <c r="CK31" i="12"/>
  <c r="Z31" i="12"/>
  <c r="BV16" i="12"/>
  <c r="I22" i="12"/>
  <c r="IG13" i="12"/>
  <c r="ET12" i="12"/>
  <c r="BA24" i="12"/>
  <c r="HV6" i="12"/>
  <c r="HK17" i="12"/>
  <c r="AW39" i="12"/>
  <c r="EO25" i="12"/>
  <c r="EG26" i="12"/>
  <c r="BC24" i="12"/>
  <c r="FE18" i="12"/>
  <c r="DT22" i="12"/>
  <c r="EX46" i="12"/>
  <c r="FJ45" i="12"/>
  <c r="FB34" i="12"/>
  <c r="CI40" i="12"/>
  <c r="T42" i="12"/>
  <c r="FW44" i="12"/>
  <c r="V49" i="12"/>
  <c r="GT42" i="12"/>
  <c r="HS43" i="12"/>
  <c r="AX53" i="12"/>
  <c r="AB52" i="12"/>
  <c r="IK44" i="12"/>
  <c r="BE46" i="12"/>
  <c r="GQ38" i="12"/>
  <c r="M48" i="12"/>
  <c r="Y48" i="12"/>
  <c r="GP32" i="12"/>
  <c r="GB43" i="12"/>
  <c r="GM39" i="12"/>
  <c r="GF28" i="12"/>
  <c r="HR28" i="12"/>
  <c r="HR30" i="12"/>
  <c r="HQ46" i="12"/>
  <c r="HF31" i="12"/>
  <c r="DM36" i="12"/>
  <c r="EG38" i="12"/>
  <c r="FW47" i="12"/>
  <c r="DV4" i="12"/>
  <c r="AM46" i="12"/>
  <c r="BI41" i="12"/>
  <c r="AM40" i="12"/>
  <c r="CA40" i="12"/>
  <c r="D48" i="12"/>
  <c r="EH37" i="12"/>
  <c r="GV50" i="12"/>
  <c r="GB42" i="12"/>
  <c r="CT50" i="12"/>
  <c r="K39" i="12"/>
  <c r="T48" i="12"/>
  <c r="FV25" i="12"/>
  <c r="GT29" i="12"/>
  <c r="BX41" i="12"/>
  <c r="GK36" i="12"/>
  <c r="FR40" i="12"/>
  <c r="CP41" i="12"/>
  <c r="IK16" i="12"/>
  <c r="GA41" i="12"/>
  <c r="FU40" i="12"/>
  <c r="HC41" i="12"/>
  <c r="DH48" i="12"/>
  <c r="CM22" i="12"/>
  <c r="CP45" i="12"/>
  <c r="FT38" i="12"/>
  <c r="DW39" i="12"/>
  <c r="DN47" i="12"/>
  <c r="R4" i="12"/>
  <c r="GW52" i="12"/>
  <c r="AP52" i="12"/>
  <c r="FG22" i="12"/>
  <c r="CV45" i="12"/>
  <c r="AO45" i="12"/>
  <c r="AG40" i="12"/>
  <c r="DL48" i="12"/>
  <c r="AY36" i="12"/>
  <c r="DO40" i="12"/>
  <c r="CF14" i="12"/>
  <c r="DM43" i="12"/>
  <c r="II44" i="12"/>
  <c r="BV25" i="12"/>
  <c r="ET35" i="12"/>
  <c r="HM26" i="12"/>
  <c r="EQ39" i="12"/>
  <c r="EQ47" i="12"/>
  <c r="GP48" i="12"/>
  <c r="HS51" i="12"/>
  <c r="CC52" i="12"/>
  <c r="GB20" i="12"/>
  <c r="BF45" i="12"/>
  <c r="EF47" i="12"/>
  <c r="AI47" i="12"/>
  <c r="IB51" i="12"/>
  <c r="T21" i="12"/>
  <c r="BV45" i="12"/>
  <c r="GB26" i="12"/>
  <c r="J47" i="12"/>
  <c r="BT43" i="12"/>
  <c r="CS24" i="12"/>
  <c r="DF40" i="12"/>
  <c r="CE41" i="12"/>
  <c r="IH42" i="12"/>
  <c r="EH39" i="12"/>
  <c r="L52" i="12"/>
  <c r="IF44" i="12"/>
  <c r="IM43" i="12"/>
  <c r="AS42" i="12"/>
  <c r="CZ38" i="12"/>
  <c r="DF37" i="12"/>
  <c r="DA10" i="12"/>
  <c r="GU5" i="12"/>
  <c r="N15" i="12"/>
  <c r="BY10" i="12"/>
  <c r="IK4" i="12"/>
  <c r="DO5" i="12"/>
  <c r="DS38" i="12"/>
  <c r="IR45" i="12"/>
  <c r="EX5" i="12"/>
  <c r="AU4" i="12"/>
  <c r="IP13" i="12"/>
  <c r="CO5" i="12"/>
  <c r="EA5" i="12"/>
  <c r="IN53" i="12"/>
  <c r="BT18" i="12"/>
  <c r="G49" i="12"/>
  <c r="BM38" i="12"/>
  <c r="HV40" i="12"/>
  <c r="BR44" i="12"/>
  <c r="CO7" i="12"/>
  <c r="GE5" i="12"/>
  <c r="BO5" i="12"/>
  <c r="EU8" i="12"/>
  <c r="W9" i="12"/>
  <c r="EJ32" i="12"/>
  <c r="HP46" i="12"/>
  <c r="FM39" i="12"/>
  <c r="AB34" i="12"/>
  <c r="HF7" i="12"/>
  <c r="BD7" i="12"/>
  <c r="HH20" i="12"/>
  <c r="CC11" i="12"/>
  <c r="HE7" i="12"/>
  <c r="BY5" i="12"/>
  <c r="BU24" i="12"/>
  <c r="GU27" i="12"/>
  <c r="FH53" i="12"/>
  <c r="CI49" i="12"/>
  <c r="GB9" i="12"/>
  <c r="DD6" i="12"/>
  <c r="FG9" i="12"/>
  <c r="CG8" i="12"/>
  <c r="FS9" i="12"/>
  <c r="ED26" i="12"/>
  <c r="CN40" i="12"/>
  <c r="D41" i="12"/>
  <c r="EG41" i="12"/>
  <c r="EP7" i="12"/>
  <c r="EL9" i="12"/>
  <c r="BA5" i="12"/>
  <c r="CT7" i="12"/>
  <c r="E11" i="12"/>
  <c r="CV42" i="12"/>
  <c r="EB36" i="12"/>
  <c r="CR42" i="12"/>
  <c r="EH38" i="12"/>
  <c r="W43" i="12"/>
  <c r="GS33" i="12"/>
  <c r="IG20" i="12"/>
  <c r="P50" i="12"/>
  <c r="BM53" i="12"/>
  <c r="D52" i="12"/>
  <c r="CI13" i="12"/>
  <c r="CT10" i="12"/>
  <c r="X22" i="12"/>
  <c r="BJ10" i="12"/>
  <c r="CE10" i="12"/>
  <c r="BE28" i="12"/>
  <c r="BE44" i="12"/>
  <c r="O38" i="12"/>
  <c r="DD11" i="12"/>
  <c r="CD11" i="12"/>
  <c r="AG16" i="12"/>
  <c r="GD5" i="12"/>
  <c r="D13" i="12"/>
  <c r="ES10" i="12"/>
  <c r="AV36" i="12"/>
  <c r="DY53" i="12"/>
  <c r="CA52" i="12"/>
  <c r="IM16" i="12"/>
  <c r="F12" i="12"/>
  <c r="AG52" i="12"/>
  <c r="DR5" i="12"/>
  <c r="HS6" i="12"/>
  <c r="BF20" i="12"/>
  <c r="AQ20" i="12"/>
  <c r="FZ36" i="12"/>
  <c r="HM38" i="12"/>
  <c r="CR40" i="12"/>
  <c r="GV12" i="12"/>
  <c r="IQ53" i="12"/>
  <c r="BO8" i="12"/>
  <c r="BV15" i="12"/>
  <c r="CG4" i="12"/>
  <c r="CL53" i="12"/>
  <c r="GJ17" i="12"/>
  <c r="AM20" i="12"/>
  <c r="GI41" i="12"/>
  <c r="ED36" i="12"/>
  <c r="DO50" i="12"/>
  <c r="AH8" i="12"/>
  <c r="IC8" i="12"/>
  <c r="BZ14" i="12"/>
  <c r="EV43" i="12"/>
  <c r="GL48" i="12"/>
  <c r="IA46" i="12"/>
  <c r="DT44" i="12"/>
  <c r="S43" i="12"/>
  <c r="ED29" i="12"/>
  <c r="AP40" i="12"/>
  <c r="FV40" i="12"/>
  <c r="IC36" i="12"/>
  <c r="II6" i="12"/>
  <c r="HZ7" i="12"/>
  <c r="FE12" i="12"/>
  <c r="AA52" i="12"/>
  <c r="EP8" i="12"/>
  <c r="GH37" i="12"/>
  <c r="AE40" i="12"/>
  <c r="W42" i="12"/>
  <c r="T51" i="12"/>
  <c r="AC8" i="12"/>
  <c r="AE7" i="12"/>
  <c r="FD6" i="12"/>
  <c r="FQ5" i="12"/>
  <c r="V9" i="12"/>
  <c r="FV36" i="12"/>
  <c r="AT51" i="12"/>
  <c r="BJ42" i="12"/>
  <c r="BJ30" i="12"/>
  <c r="CC9" i="12"/>
  <c r="BC9" i="12"/>
  <c r="DB21" i="12"/>
  <c r="U12" i="12"/>
  <c r="CI10" i="12"/>
  <c r="DM7" i="12"/>
  <c r="AX28" i="12"/>
  <c r="BP53" i="12"/>
  <c r="FT48" i="12"/>
  <c r="M9" i="12"/>
  <c r="HT8" i="12"/>
  <c r="FL46" i="12"/>
  <c r="HS9" i="12"/>
  <c r="EB11" i="12"/>
  <c r="IG15" i="12"/>
  <c r="DF19" i="12"/>
  <c r="HQ24" i="12"/>
  <c r="P33" i="12"/>
  <c r="CQ44" i="12"/>
  <c r="DS45" i="12"/>
  <c r="EX10" i="12"/>
  <c r="BC13" i="12"/>
  <c r="AQ11" i="12"/>
  <c r="DF9" i="12"/>
  <c r="H5" i="12"/>
  <c r="T15" i="12"/>
  <c r="DH32" i="12"/>
  <c r="FL47" i="12"/>
  <c r="BZ43" i="12"/>
  <c r="AD10" i="12"/>
  <c r="EO8" i="12"/>
  <c r="BG13" i="12"/>
  <c r="CD48" i="12"/>
  <c r="E13" i="12"/>
  <c r="BO37" i="12"/>
  <c r="IL37" i="12"/>
  <c r="DQ39" i="12"/>
  <c r="FS6" i="12"/>
  <c r="AT5" i="12"/>
  <c r="FA12" i="12"/>
  <c r="EX4" i="12"/>
  <c r="CN8" i="12"/>
  <c r="K8" i="12"/>
  <c r="DK29" i="12"/>
  <c r="HJ48" i="12"/>
  <c r="D49" i="12"/>
  <c r="DZ39" i="12"/>
  <c r="GI37" i="12"/>
  <c r="GN48" i="12"/>
  <c r="CL29" i="12"/>
  <c r="CQ46" i="12"/>
  <c r="GB51" i="12"/>
  <c r="FX4" i="12"/>
  <c r="AQ6" i="12"/>
  <c r="N14" i="12"/>
  <c r="CS52" i="12"/>
  <c r="AM6" i="12"/>
  <c r="M6" i="12"/>
  <c r="CC45" i="12"/>
  <c r="EA38" i="12"/>
  <c r="EL33" i="12"/>
  <c r="FW7" i="12"/>
  <c r="CG5" i="12"/>
  <c r="EM20" i="12"/>
  <c r="Y10" i="12"/>
  <c r="FM7" i="12"/>
  <c r="AT6" i="12"/>
  <c r="Z25" i="12"/>
  <c r="O52" i="12"/>
  <c r="S4" i="12"/>
  <c r="K9" i="12"/>
  <c r="F9" i="12"/>
  <c r="CJ51" i="12"/>
  <c r="HB9" i="12"/>
  <c r="FO11" i="12"/>
  <c r="IN12" i="12"/>
  <c r="AM17" i="12"/>
  <c r="AZ46" i="12"/>
  <c r="P47" i="12"/>
  <c r="FM42" i="12"/>
  <c r="FY8" i="12"/>
  <c r="HH46" i="12"/>
  <c r="BO12" i="12"/>
  <c r="AM9" i="12"/>
  <c r="BY48" i="12"/>
  <c r="GK44" i="12"/>
  <c r="DV21" i="12"/>
  <c r="CI25" i="12"/>
  <c r="GJ38" i="12"/>
  <c r="DA46" i="12"/>
  <c r="FF41" i="12"/>
  <c r="FB12" i="12"/>
  <c r="BM10" i="12"/>
  <c r="GU16" i="12"/>
  <c r="GD48" i="12"/>
  <c r="AV14" i="12"/>
  <c r="Y14" i="12"/>
  <c r="IR53" i="12"/>
  <c r="GI44" i="12"/>
  <c r="GK10" i="12"/>
  <c r="O9" i="12"/>
  <c r="CX51" i="12"/>
  <c r="HG50" i="12"/>
  <c r="DK13" i="12"/>
  <c r="FD18" i="12"/>
  <c r="CX46" i="12"/>
  <c r="FS51" i="12"/>
  <c r="II53" i="12"/>
  <c r="HJ5" i="12"/>
  <c r="AX12" i="12"/>
  <c r="H15" i="12"/>
  <c r="AR7" i="12"/>
  <c r="GM5" i="12"/>
  <c r="AI18" i="12"/>
  <c r="IO27" i="12"/>
  <c r="BH35" i="12"/>
  <c r="GM14" i="12"/>
  <c r="DO17" i="12"/>
  <c r="FG20" i="12"/>
  <c r="DG32" i="12"/>
  <c r="AR26" i="12"/>
  <c r="G28" i="12"/>
  <c r="GM20" i="12"/>
  <c r="CZ44" i="12"/>
  <c r="CH41" i="12"/>
  <c r="BK48" i="12"/>
  <c r="FF45" i="12"/>
  <c r="IO37" i="12"/>
  <c r="CZ29" i="12"/>
  <c r="GW39" i="12"/>
  <c r="AB40" i="12"/>
  <c r="CT39" i="12"/>
  <c r="CF44" i="12"/>
  <c r="DQ5" i="12"/>
  <c r="AW9" i="12"/>
  <c r="EN8" i="12"/>
  <c r="V10" i="12"/>
  <c r="DK45" i="12"/>
  <c r="DK46" i="12"/>
  <c r="DH41" i="12"/>
  <c r="HK12" i="12"/>
  <c r="AC15" i="12"/>
  <c r="FY9" i="12"/>
  <c r="BW9" i="12"/>
  <c r="AB7" i="12"/>
  <c r="GA16" i="12"/>
  <c r="FQ16" i="12"/>
  <c r="AS38" i="12"/>
  <c r="HA36" i="12"/>
  <c r="FU41" i="12"/>
  <c r="GZ5" i="12"/>
  <c r="HY15" i="12"/>
  <c r="CG22" i="12"/>
  <c r="DY49" i="12"/>
  <c r="HV7" i="12"/>
  <c r="FF5" i="12"/>
  <c r="Y28" i="12"/>
  <c r="CO51" i="12"/>
  <c r="FF50" i="12"/>
  <c r="EJ6" i="12"/>
  <c r="CI16" i="12"/>
  <c r="CQ4" i="12"/>
  <c r="C28" i="12"/>
  <c r="AR8" i="12"/>
  <c r="AB14" i="12"/>
  <c r="EG21" i="12"/>
  <c r="HJ29" i="12"/>
  <c r="HR42" i="12"/>
  <c r="EP38" i="12"/>
  <c r="FL44" i="12"/>
  <c r="GD6" i="12"/>
  <c r="AI50" i="12"/>
  <c r="HI9" i="12"/>
  <c r="AD7" i="12"/>
  <c r="HI50" i="12"/>
  <c r="CH52" i="12"/>
  <c r="FN38" i="12"/>
  <c r="GQ41" i="12"/>
  <c r="DA48" i="12"/>
  <c r="BR9" i="12"/>
  <c r="G6" i="12"/>
  <c r="FB13" i="12"/>
  <c r="DT49" i="12"/>
  <c r="IK10" i="12"/>
  <c r="AE38" i="12"/>
  <c r="CY38" i="12"/>
  <c r="IB38" i="12"/>
  <c r="AK49" i="12"/>
  <c r="AH12" i="12"/>
  <c r="DO9" i="12"/>
  <c r="IG8" i="12"/>
  <c r="FW12" i="12"/>
  <c r="CG50" i="12"/>
  <c r="CG37" i="12"/>
  <c r="HM45" i="12"/>
  <c r="IF49" i="12"/>
  <c r="CJ39" i="12"/>
  <c r="GT30" i="12"/>
  <c r="CL39" i="12"/>
  <c r="FF39" i="12"/>
  <c r="FH46" i="12"/>
  <c r="DM53" i="12"/>
  <c r="GO7" i="12"/>
  <c r="FF13" i="12"/>
  <c r="AP13" i="12"/>
  <c r="AA5" i="12"/>
  <c r="IK42" i="12"/>
  <c r="I42" i="12"/>
  <c r="HA42" i="12"/>
  <c r="IA14" i="12"/>
  <c r="BC7" i="12"/>
  <c r="DN14" i="12"/>
  <c r="BB11" i="12"/>
  <c r="BJ8" i="12"/>
  <c r="CV7" i="12"/>
  <c r="EO23" i="12"/>
  <c r="CO36" i="12"/>
  <c r="AR41" i="12"/>
  <c r="ET31" i="12"/>
  <c r="F7" i="12"/>
  <c r="O6" i="12"/>
  <c r="AH21" i="12"/>
  <c r="GR50" i="12"/>
  <c r="DJ9" i="12"/>
  <c r="DM8" i="12"/>
  <c r="CB32" i="12"/>
  <c r="CK50" i="12"/>
  <c r="C34" i="12"/>
  <c r="EZ8" i="12"/>
  <c r="BP7" i="12"/>
  <c r="EK50" i="12"/>
  <c r="HE49" i="12"/>
  <c r="BB10" i="12"/>
  <c r="CK15" i="12"/>
  <c r="HY24" i="12"/>
  <c r="IC29" i="12"/>
  <c r="DK43" i="12"/>
  <c r="IG44" i="12"/>
  <c r="DJ42" i="12"/>
  <c r="AS5" i="12"/>
  <c r="BA51" i="12"/>
  <c r="DX10" i="12"/>
  <c r="EF9" i="12"/>
  <c r="EF45" i="12"/>
  <c r="FA47" i="12"/>
  <c r="CM44" i="12"/>
  <c r="FM48" i="12"/>
  <c r="AK41" i="12"/>
  <c r="HT43" i="12"/>
  <c r="DY44" i="12"/>
  <c r="FX39" i="12"/>
  <c r="CO47" i="12"/>
  <c r="F33" i="12"/>
  <c r="CQ39" i="12"/>
  <c r="DN41" i="12"/>
  <c r="CV40" i="12"/>
  <c r="AA7" i="12"/>
  <c r="CW7" i="12"/>
  <c r="FT5" i="12"/>
  <c r="AP5" i="12"/>
  <c r="EO11" i="12"/>
  <c r="FZ44" i="12"/>
  <c r="BV44" i="12"/>
  <c r="BS40" i="12"/>
  <c r="GE7" i="12"/>
  <c r="GX7" i="12"/>
  <c r="GZ6" i="12"/>
  <c r="IQ5" i="12"/>
  <c r="HS10" i="12"/>
  <c r="FT8" i="12"/>
  <c r="DU20" i="12"/>
  <c r="AY34" i="12"/>
  <c r="IG41" i="12"/>
  <c r="AT36" i="12"/>
  <c r="E9" i="12"/>
  <c r="HK8" i="12"/>
  <c r="FP21" i="12"/>
  <c r="EM45" i="12"/>
  <c r="AR12" i="12"/>
  <c r="IP9" i="12"/>
  <c r="DT26" i="12"/>
  <c r="GF4" i="12"/>
  <c r="GJ49" i="12"/>
  <c r="AX13" i="12"/>
  <c r="DV8" i="12"/>
  <c r="EU51" i="12"/>
  <c r="O51" i="12"/>
  <c r="HU14" i="12"/>
  <c r="IC16" i="12"/>
  <c r="CM17" i="12"/>
  <c r="FT35" i="12"/>
  <c r="DY46" i="12"/>
  <c r="GQ42" i="12"/>
  <c r="AY41" i="12"/>
  <c r="CD10" i="12"/>
  <c r="GG45" i="12"/>
  <c r="FH13" i="12"/>
  <c r="BP11" i="12"/>
  <c r="DP4" i="12"/>
  <c r="K5" i="12"/>
  <c r="FH41" i="12"/>
  <c r="G44" i="12"/>
  <c r="BB41" i="12"/>
  <c r="CR13" i="12"/>
  <c r="DM12" i="12"/>
  <c r="BP16" i="12"/>
  <c r="FY44" i="12"/>
  <c r="GY16" i="12"/>
  <c r="HW34" i="12"/>
  <c r="DV35" i="12"/>
  <c r="DJ46" i="12"/>
  <c r="HL4" i="12"/>
  <c r="ED6" i="12"/>
  <c r="AG13" i="12"/>
  <c r="CI12" i="12"/>
  <c r="F51" i="12"/>
  <c r="GP45" i="12"/>
  <c r="CE43" i="12"/>
  <c r="EY4" i="12"/>
  <c r="Y46" i="12"/>
  <c r="GJ44" i="12"/>
  <c r="DX50" i="12"/>
  <c r="AQ10" i="12"/>
  <c r="FP10" i="12"/>
  <c r="BH45" i="12"/>
  <c r="BG14" i="12"/>
  <c r="CA14" i="12"/>
  <c r="HJ17" i="12"/>
  <c r="GI46" i="12"/>
  <c r="G52" i="12"/>
  <c r="BU6" i="12"/>
  <c r="FC13" i="12"/>
  <c r="AQ53" i="12"/>
  <c r="HY49" i="12"/>
  <c r="FT7" i="12"/>
  <c r="GI15" i="12"/>
  <c r="IP19" i="12"/>
  <c r="BC31" i="12"/>
  <c r="HG30" i="12"/>
  <c r="GN43" i="12"/>
  <c r="GI7" i="12"/>
  <c r="EN52" i="12"/>
  <c r="HC7" i="12"/>
  <c r="GQ10" i="12"/>
  <c r="X7" i="12"/>
  <c r="EW50" i="12"/>
  <c r="IN20" i="12"/>
  <c r="FN32" i="12"/>
  <c r="GS38" i="12"/>
  <c r="HH38" i="12"/>
  <c r="IR50" i="12"/>
  <c r="HH7" i="12"/>
  <c r="AZ5" i="12"/>
  <c r="CC7" i="12"/>
  <c r="BV8" i="12"/>
  <c r="DP9" i="12"/>
  <c r="FA34" i="12"/>
  <c r="IP15" i="12"/>
  <c r="CL52" i="12"/>
  <c r="CZ53" i="12"/>
  <c r="CP52" i="12"/>
  <c r="CX11" i="12"/>
  <c r="GR8" i="12"/>
  <c r="BA23" i="12"/>
  <c r="AX10" i="12"/>
  <c r="I10" i="12"/>
  <c r="EY9" i="12"/>
  <c r="GC38" i="12"/>
  <c r="AB41" i="12"/>
  <c r="EH13" i="12"/>
  <c r="DW14" i="12"/>
  <c r="U8" i="12"/>
  <c r="IE7" i="12"/>
  <c r="CQ10" i="12"/>
  <c r="DQ22" i="12"/>
  <c r="GR44" i="12"/>
  <c r="BL50" i="12"/>
  <c r="EK11" i="12"/>
  <c r="AH13" i="12"/>
  <c r="BQ46" i="12"/>
  <c r="BE14" i="12"/>
  <c r="FK12" i="12"/>
  <c r="GS18" i="12"/>
  <c r="DU23" i="12"/>
  <c r="GP15" i="12"/>
  <c r="GJ42" i="12"/>
  <c r="AJ8" i="12"/>
  <c r="IC17" i="12"/>
  <c r="GV22" i="12"/>
  <c r="AF41" i="12"/>
  <c r="HI34" i="12"/>
  <c r="GY29" i="12"/>
  <c r="BT27" i="12"/>
  <c r="AC50" i="12"/>
  <c r="DG9" i="12"/>
  <c r="T45" i="12"/>
  <c r="GZ16" i="12"/>
  <c r="IQ10" i="12"/>
  <c r="FL10" i="12"/>
  <c r="DV22" i="12"/>
  <c r="FR50" i="12"/>
  <c r="HJ19" i="12"/>
  <c r="BT14" i="12"/>
  <c r="FM12" i="12"/>
  <c r="CA31" i="12"/>
  <c r="Y36" i="12"/>
  <c r="FQ25" i="12"/>
  <c r="L19" i="12"/>
  <c r="EJ53" i="12"/>
  <c r="BF7" i="12"/>
  <c r="D32" i="12"/>
  <c r="IG34" i="12"/>
  <c r="EA35" i="12"/>
  <c r="AX20" i="12"/>
  <c r="IG19" i="12"/>
  <c r="ET16" i="12"/>
  <c r="GD20" i="12"/>
  <c r="FY31" i="12"/>
  <c r="CW31" i="12"/>
  <c r="GM7" i="12"/>
  <c r="FH32" i="12"/>
  <c r="BG25" i="12"/>
  <c r="I30" i="12"/>
  <c r="CC15" i="12"/>
  <c r="T10" i="12"/>
  <c r="CF16" i="12"/>
  <c r="HY34" i="12"/>
  <c r="DA26" i="12"/>
  <c r="CG35" i="12"/>
  <c r="DF12" i="12"/>
  <c r="IH36" i="12"/>
  <c r="AS16" i="12"/>
  <c r="EF22" i="12"/>
  <c r="EP32" i="12"/>
  <c r="FB30" i="12"/>
  <c r="CD26" i="12"/>
  <c r="CG16" i="12"/>
  <c r="DT19" i="12"/>
  <c r="IR12" i="12"/>
  <c r="EI17" i="12"/>
  <c r="FG36" i="12"/>
  <c r="D23" i="12"/>
  <c r="AD28" i="12"/>
  <c r="HI22" i="12"/>
  <c r="GL17" i="12"/>
  <c r="HG12" i="12"/>
  <c r="IM32" i="12"/>
  <c r="FK32" i="12"/>
  <c r="HS42" i="12"/>
  <c r="AS14" i="12"/>
  <c r="I23" i="12"/>
  <c r="FI12" i="12"/>
  <c r="FT40" i="12"/>
  <c r="BQ28" i="12"/>
  <c r="U24" i="12"/>
  <c r="ED21" i="12"/>
  <c r="HU20" i="12"/>
  <c r="IA11" i="12"/>
  <c r="EY19" i="12"/>
  <c r="HV25" i="12"/>
  <c r="ER32" i="12"/>
  <c r="AK33" i="12"/>
  <c r="DC19" i="12"/>
  <c r="HH15" i="12"/>
  <c r="K23" i="12"/>
  <c r="HE22" i="12"/>
  <c r="HG28" i="12"/>
  <c r="AV6" i="12"/>
  <c r="BC14" i="12"/>
  <c r="GJ14" i="12"/>
  <c r="ET27" i="12"/>
  <c r="BU27" i="12"/>
  <c r="GF15" i="12"/>
  <c r="CV20" i="12"/>
  <c r="IO13" i="12"/>
  <c r="GK53" i="12"/>
  <c r="AX51" i="12"/>
  <c r="J42" i="12"/>
  <c r="AC38" i="12"/>
  <c r="AS43" i="12"/>
  <c r="EU28" i="12"/>
  <c r="EH49" i="12"/>
  <c r="DB50" i="12"/>
  <c r="DD51" i="12"/>
  <c r="EE43" i="12"/>
  <c r="GX47" i="12"/>
  <c r="E31" i="12"/>
  <c r="BD29" i="12"/>
  <c r="BZ48" i="12"/>
  <c r="IN52" i="12"/>
  <c r="GP47" i="12"/>
  <c r="FA44" i="12"/>
  <c r="DF35" i="12"/>
  <c r="DC39" i="12"/>
  <c r="CI35" i="12"/>
  <c r="DI34" i="12"/>
  <c r="HQ4" i="12"/>
  <c r="Q32" i="12"/>
  <c r="DQ48" i="12"/>
  <c r="P29" i="12"/>
  <c r="BM39" i="12"/>
  <c r="N36" i="12"/>
  <c r="DL9" i="12"/>
  <c r="CD15" i="12"/>
  <c r="DI16" i="12"/>
  <c r="DC28" i="12"/>
  <c r="AU9" i="12"/>
  <c r="HB13" i="12"/>
  <c r="Z21" i="12"/>
  <c r="AK35" i="12"/>
  <c r="FU22" i="12"/>
  <c r="CG28" i="12"/>
  <c r="IB29" i="12"/>
  <c r="IB31" i="12"/>
  <c r="IF31" i="12"/>
  <c r="IB18" i="12"/>
  <c r="DK25" i="12"/>
  <c r="IB23" i="12"/>
  <c r="DH39" i="12"/>
  <c r="CE12" i="12"/>
  <c r="EA15" i="12"/>
  <c r="FS18" i="12"/>
  <c r="HX34" i="12"/>
  <c r="AQ31" i="12"/>
  <c r="AH31" i="12"/>
  <c r="CN21" i="12"/>
  <c r="DL15" i="12"/>
  <c r="BL15" i="12"/>
  <c r="FW43" i="12"/>
  <c r="FD7" i="12"/>
  <c r="CE18" i="12"/>
  <c r="HZ22" i="12"/>
  <c r="HL34" i="12"/>
  <c r="AU34" i="12"/>
  <c r="DY37" i="12"/>
  <c r="EC18" i="12"/>
  <c r="GV18" i="12"/>
  <c r="AU21" i="12"/>
  <c r="IJ12" i="12"/>
  <c r="CZ33" i="12"/>
  <c r="DO31" i="12"/>
  <c r="H32" i="12"/>
  <c r="GE16" i="12"/>
  <c r="AD16" i="12"/>
  <c r="IF24" i="12"/>
  <c r="DB35" i="12"/>
  <c r="CS28" i="12"/>
  <c r="HM41" i="12"/>
  <c r="DL10" i="12"/>
  <c r="HT22" i="12"/>
  <c r="GH22" i="12"/>
  <c r="AX43" i="12"/>
  <c r="T33" i="12"/>
  <c r="DF31" i="12"/>
  <c r="II26" i="12"/>
  <c r="AR18" i="12"/>
  <c r="EL15" i="12"/>
  <c r="M47" i="12"/>
  <c r="IF9" i="12"/>
  <c r="CJ26" i="12"/>
  <c r="DG28" i="12"/>
  <c r="BE37" i="12"/>
  <c r="HM19" i="12"/>
  <c r="CQ18" i="12"/>
  <c r="DY35" i="12"/>
  <c r="BV30" i="12"/>
  <c r="IO45" i="12"/>
  <c r="AB12" i="12"/>
  <c r="DO26" i="12"/>
  <c r="BK18" i="12"/>
  <c r="FY26" i="12"/>
  <c r="IJ29" i="12"/>
  <c r="X32" i="12"/>
  <c r="FZ26" i="12"/>
  <c r="FU30" i="12"/>
  <c r="GH16" i="12"/>
  <c r="DX42" i="12"/>
  <c r="GB18" i="12"/>
  <c r="CE31" i="12"/>
  <c r="Q24" i="12"/>
  <c r="BU18" i="12"/>
  <c r="DB25" i="12"/>
  <c r="W27" i="12"/>
  <c r="BZ30" i="12"/>
  <c r="FM38" i="12"/>
  <c r="GO44" i="12"/>
  <c r="AE28" i="12"/>
  <c r="AV48" i="12"/>
  <c r="IP40" i="12"/>
  <c r="IF8" i="12"/>
  <c r="FO52" i="12"/>
  <c r="BM13" i="12"/>
  <c r="BO9" i="12"/>
  <c r="HI8" i="12"/>
  <c r="HQ16" i="12"/>
  <c r="I5" i="12"/>
  <c r="GJ16" i="12"/>
  <c r="IO21" i="12"/>
  <c r="IN21" i="12"/>
  <c r="AB32" i="12"/>
  <c r="DS29" i="12"/>
  <c r="HN33" i="12"/>
  <c r="HU16" i="12"/>
  <c r="GX52" i="12"/>
  <c r="AF51" i="12"/>
  <c r="GS19" i="12"/>
  <c r="HT37" i="12"/>
  <c r="BX25" i="12"/>
  <c r="CG24" i="12"/>
  <c r="GS24" i="12"/>
  <c r="GN22" i="12"/>
  <c r="BX16" i="12"/>
  <c r="DP33" i="12"/>
  <c r="AN33" i="12"/>
  <c r="BU13" i="12"/>
  <c r="AZ29" i="12"/>
  <c r="BO31" i="12"/>
  <c r="HH35" i="12"/>
  <c r="DC23" i="12"/>
  <c r="AV19" i="12"/>
  <c r="IH21" i="12"/>
  <c r="AG17" i="12"/>
  <c r="HB26" i="12"/>
  <c r="GY33" i="12"/>
  <c r="AP16" i="12"/>
  <c r="IO31" i="12"/>
  <c r="BO24" i="12"/>
  <c r="AQ15" i="12"/>
  <c r="GI34" i="12"/>
  <c r="AC32" i="12"/>
  <c r="AP23" i="12"/>
  <c r="FE22" i="12"/>
  <c r="EQ19" i="12"/>
  <c r="EG15" i="12"/>
  <c r="W12" i="12"/>
  <c r="GE40" i="12"/>
  <c r="AQ30" i="12"/>
  <c r="BP29" i="12"/>
  <c r="FH14" i="12"/>
  <c r="EI19" i="12"/>
  <c r="AL22" i="12"/>
  <c r="FF28" i="12"/>
  <c r="DN24" i="12"/>
  <c r="EL44" i="12"/>
  <c r="L7" i="12"/>
  <c r="EJ19" i="12"/>
  <c r="BK13" i="12"/>
  <c r="EE39" i="12"/>
  <c r="AE29" i="12"/>
  <c r="GI28" i="12"/>
  <c r="BU25" i="12"/>
  <c r="E17" i="12"/>
  <c r="GS14" i="12"/>
  <c r="HO13" i="12"/>
  <c r="J18" i="12"/>
  <c r="BD27" i="12"/>
  <c r="GL28" i="12"/>
  <c r="CP28" i="12"/>
  <c r="CF22" i="12"/>
  <c r="DF23" i="12"/>
  <c r="AE16" i="12"/>
  <c r="BX35" i="12"/>
  <c r="CS13" i="12"/>
  <c r="GG23" i="12"/>
  <c r="FV23" i="12"/>
  <c r="FG34" i="12"/>
  <c r="AY35" i="12"/>
  <c r="EM21" i="12"/>
  <c r="CR14" i="12"/>
  <c r="FC20" i="12"/>
  <c r="HN53" i="12"/>
  <c r="BH49" i="12"/>
  <c r="EP45" i="12"/>
  <c r="DA44" i="12"/>
  <c r="EO36" i="12"/>
  <c r="EP24" i="12"/>
  <c r="FT28" i="12"/>
  <c r="C11" i="12"/>
  <c r="GO47" i="12"/>
  <c r="AK45" i="12"/>
  <c r="HW44" i="12"/>
  <c r="CV32" i="12"/>
  <c r="DV36" i="12"/>
  <c r="CH45" i="12"/>
  <c r="DF52" i="12"/>
  <c r="EB53" i="12"/>
  <c r="FL52" i="12"/>
  <c r="CQ38" i="12"/>
  <c r="CX41" i="12"/>
  <c r="GI35" i="12"/>
  <c r="CC40" i="12"/>
  <c r="GO51" i="12"/>
  <c r="DX33" i="12"/>
  <c r="AQ41" i="12"/>
  <c r="GF42" i="12"/>
  <c r="X38" i="12"/>
  <c r="AZ41" i="12"/>
  <c r="ED5" i="12"/>
  <c r="IG12" i="12"/>
  <c r="EE19" i="12"/>
  <c r="AS52" i="12"/>
  <c r="GE11" i="12"/>
  <c r="BK11" i="12"/>
  <c r="DU28" i="12"/>
  <c r="GQ28" i="12"/>
  <c r="U20" i="12"/>
  <c r="HT18" i="12"/>
  <c r="CE32" i="12"/>
  <c r="HX32" i="12"/>
  <c r="GX21" i="12"/>
  <c r="HF10" i="12"/>
  <c r="DS31" i="12"/>
  <c r="AJ30" i="12"/>
  <c r="AA39" i="12"/>
  <c r="DT5" i="12"/>
  <c r="FM19" i="12"/>
  <c r="CX17" i="12"/>
  <c r="AG46" i="12"/>
  <c r="BY32" i="12"/>
  <c r="AS33" i="12"/>
  <c r="DI30" i="12"/>
  <c r="BS21" i="12"/>
  <c r="L22" i="12"/>
  <c r="EM40" i="12"/>
  <c r="IA7" i="12"/>
  <c r="HA24" i="12"/>
  <c r="DC15" i="12"/>
  <c r="EY39" i="12"/>
  <c r="BQ27" i="12"/>
  <c r="AQ27" i="12"/>
  <c r="DW22" i="12"/>
  <c r="BU14" i="12"/>
  <c r="G26" i="12"/>
  <c r="CF19" i="12"/>
  <c r="HL32" i="12"/>
  <c r="DF27" i="12"/>
  <c r="BP33" i="12"/>
  <c r="EL22" i="12"/>
  <c r="BQ21" i="12"/>
  <c r="DJ19" i="12"/>
  <c r="AY25" i="12"/>
  <c r="DU27" i="12"/>
  <c r="AK47" i="12"/>
  <c r="CN14" i="12"/>
  <c r="EA25" i="12"/>
  <c r="IJ21" i="12"/>
  <c r="GU38" i="12"/>
  <c r="FT27" i="12"/>
  <c r="CD25" i="12"/>
  <c r="EB31" i="12"/>
  <c r="GY24" i="12"/>
  <c r="EG22" i="12"/>
  <c r="HM50" i="12"/>
  <c r="BM7" i="12"/>
  <c r="J35" i="12"/>
  <c r="GL26" i="12"/>
  <c r="BY25" i="12"/>
  <c r="BD16" i="12"/>
  <c r="CT24" i="12"/>
  <c r="FO24" i="12"/>
  <c r="BD36" i="12"/>
  <c r="EY5" i="12"/>
  <c r="AQ21" i="12"/>
  <c r="AA31" i="12"/>
  <c r="BK23" i="12"/>
  <c r="HB18" i="12"/>
  <c r="AV29" i="12"/>
  <c r="CF33" i="12"/>
  <c r="GD30" i="12"/>
  <c r="EE36" i="12"/>
  <c r="ES21" i="12"/>
  <c r="IO49" i="12"/>
  <c r="GJ15" i="12"/>
  <c r="CV23" i="12"/>
  <c r="CS17" i="12"/>
  <c r="GB24" i="12"/>
  <c r="I32" i="12"/>
  <c r="FA28" i="12"/>
  <c r="BG24" i="12"/>
  <c r="CN38" i="12"/>
  <c r="GP37" i="12"/>
  <c r="CT32" i="12"/>
  <c r="V44" i="12"/>
  <c r="EK4" i="12"/>
  <c r="FZ51" i="12"/>
  <c r="EA42" i="12"/>
  <c r="EN48" i="12"/>
  <c r="GC46" i="12"/>
  <c r="W44" i="12"/>
  <c r="FL37" i="12"/>
  <c r="IC33" i="12"/>
  <c r="EJ37" i="12"/>
  <c r="CC41" i="12"/>
  <c r="IL39" i="12"/>
  <c r="IR36" i="12"/>
  <c r="CV36" i="12"/>
  <c r="GX30" i="12"/>
  <c r="IQ38" i="12"/>
  <c r="FY39" i="12"/>
  <c r="FD42" i="12"/>
  <c r="GT38" i="12"/>
  <c r="EK38" i="12"/>
  <c r="BW23" i="12"/>
  <c r="IB53" i="12"/>
  <c r="AB50" i="12"/>
  <c r="HN44" i="12"/>
  <c r="IN36" i="12"/>
  <c r="AT42" i="12"/>
  <c r="EG29" i="12"/>
  <c r="IL52" i="12"/>
  <c r="AJ48" i="12"/>
  <c r="BC47" i="12"/>
  <c r="ED51" i="12"/>
  <c r="H11" i="12"/>
  <c r="ES36" i="12"/>
  <c r="FP6" i="12"/>
  <c r="CI15" i="12"/>
  <c r="CM5" i="12"/>
  <c r="GU21" i="12"/>
  <c r="AP8" i="12"/>
  <c r="FJ25" i="12"/>
  <c r="GQ16" i="12"/>
  <c r="HV14" i="12"/>
  <c r="BC15" i="12"/>
  <c r="HM23" i="12"/>
  <c r="DP15" i="12"/>
  <c r="AM11" i="12"/>
  <c r="P49" i="12"/>
  <c r="GO14" i="12"/>
  <c r="DY31" i="12"/>
  <c r="DD30" i="12"/>
  <c r="EC30" i="12"/>
  <c r="DB18" i="12"/>
  <c r="DV18" i="12"/>
  <c r="ER28" i="12"/>
  <c r="GQ23" i="12"/>
  <c r="DI32" i="12"/>
  <c r="U25" i="12"/>
  <c r="IJ11" i="12"/>
  <c r="BT30" i="12"/>
  <c r="BO32" i="12"/>
  <c r="IC20" i="12"/>
  <c r="DV23" i="12"/>
  <c r="FY21" i="12"/>
  <c r="CT36" i="12"/>
  <c r="FA29" i="12"/>
  <c r="FX35" i="12"/>
  <c r="FW49" i="12"/>
  <c r="HA6" i="12"/>
  <c r="GT21" i="12"/>
  <c r="FG17" i="12"/>
  <c r="CT29" i="12"/>
  <c r="BL28" i="12"/>
  <c r="G32" i="12"/>
  <c r="EP21" i="12"/>
  <c r="CQ16" i="12"/>
  <c r="FZ25" i="12"/>
  <c r="GC44" i="12"/>
  <c r="AS34" i="12"/>
  <c r="FZ31" i="12"/>
  <c r="HN32" i="12"/>
  <c r="FF20" i="12"/>
  <c r="CZ20" i="12"/>
  <c r="AG15" i="12"/>
  <c r="FL30" i="12"/>
  <c r="EY33" i="12"/>
  <c r="GJ28" i="12"/>
  <c r="FJ49" i="12"/>
  <c r="GO6" i="12"/>
  <c r="FN22" i="12"/>
  <c r="DI15" i="12"/>
  <c r="S36" i="12"/>
  <c r="AZ21" i="12"/>
  <c r="S20" i="12"/>
  <c r="IK18" i="12"/>
  <c r="GU19" i="12"/>
  <c r="IC6" i="12"/>
  <c r="AO29" i="12"/>
  <c r="DL28" i="12"/>
  <c r="HV27" i="12"/>
  <c r="ID17" i="12"/>
  <c r="N18" i="12"/>
  <c r="IR17" i="12"/>
  <c r="DU15" i="12"/>
  <c r="CD30" i="12"/>
  <c r="IQ29" i="12"/>
  <c r="DJ49" i="12"/>
  <c r="AT30" i="12"/>
  <c r="FO23" i="12"/>
  <c r="CC29" i="12"/>
  <c r="CG14" i="12"/>
  <c r="O26" i="12"/>
  <c r="FF15" i="12"/>
  <c r="AU29" i="12"/>
  <c r="DZ45" i="12"/>
  <c r="CK39" i="12"/>
  <c r="BP48" i="12"/>
  <c r="P40" i="12"/>
  <c r="EM34" i="12"/>
  <c r="DR27" i="12"/>
  <c r="ET53" i="12"/>
  <c r="HE48" i="12"/>
  <c r="Q50" i="12"/>
  <c r="BY41" i="12"/>
  <c r="E41" i="12"/>
  <c r="AC34" i="12"/>
  <c r="HJ4" i="12"/>
  <c r="N53" i="12"/>
  <c r="G53" i="12"/>
  <c r="FR44" i="12"/>
  <c r="DT40" i="12"/>
  <c r="ER34" i="12"/>
  <c r="AA29" i="12"/>
  <c r="DX41" i="12"/>
  <c r="BQ52" i="12"/>
  <c r="DZ53" i="12"/>
  <c r="C42" i="12"/>
  <c r="GC42" i="12"/>
  <c r="GB48" i="12"/>
  <c r="DK42" i="12"/>
  <c r="IM33" i="12"/>
  <c r="CH47" i="12"/>
  <c r="AX7" i="12"/>
  <c r="DF8" i="12"/>
  <c r="FG37" i="12"/>
  <c r="GA7" i="12"/>
  <c r="BX6" i="12"/>
  <c r="DJ18" i="12"/>
  <c r="CR26" i="12"/>
  <c r="IK9" i="12"/>
  <c r="FH31" i="12"/>
  <c r="DC27" i="12"/>
  <c r="AC29" i="12"/>
  <c r="BG30" i="12"/>
  <c r="V19" i="12"/>
  <c r="HU28" i="12"/>
  <c r="ES28" i="12"/>
  <c r="AX44" i="12"/>
  <c r="FA11" i="12"/>
  <c r="BF12" i="12"/>
  <c r="IE21" i="12"/>
  <c r="EC31" i="12"/>
  <c r="CS36" i="12"/>
  <c r="GD33" i="12"/>
  <c r="P11" i="12"/>
  <c r="GU18" i="12"/>
  <c r="DP18" i="12"/>
  <c r="IM40" i="12"/>
  <c r="FV10" i="12"/>
  <c r="CL17" i="12"/>
  <c r="DU26" i="12"/>
  <c r="BE26" i="12"/>
  <c r="FC31" i="12"/>
  <c r="GV23" i="12"/>
  <c r="GA20" i="12"/>
  <c r="FB26" i="12"/>
  <c r="AF20" i="12"/>
  <c r="EB10" i="12"/>
  <c r="HD30" i="12"/>
  <c r="CP29" i="12"/>
  <c r="EE29" i="12"/>
  <c r="GI19" i="12"/>
  <c r="ET17" i="12"/>
  <c r="J23" i="12"/>
  <c r="AE27" i="12"/>
  <c r="AI31" i="12"/>
  <c r="DA42" i="12"/>
  <c r="AS8" i="12"/>
  <c r="FT19" i="12"/>
  <c r="DV25" i="12"/>
  <c r="GQ32" i="12"/>
  <c r="FK26" i="12"/>
  <c r="DD35" i="12"/>
  <c r="FN17" i="12"/>
  <c r="DO23" i="12"/>
  <c r="GT19" i="12"/>
  <c r="FK43" i="12"/>
  <c r="IE13" i="12"/>
  <c r="EU17" i="12"/>
  <c r="EZ24" i="12"/>
  <c r="CH23" i="12"/>
  <c r="IF26" i="12"/>
  <c r="D17" i="12"/>
  <c r="F35" i="12"/>
  <c r="EO34" i="12"/>
  <c r="EZ39" i="12"/>
  <c r="EN17" i="12"/>
  <c r="IA36" i="12"/>
  <c r="DW21" i="12"/>
  <c r="EP22" i="12"/>
  <c r="DC33" i="12"/>
  <c r="CQ36" i="12"/>
  <c r="GO25" i="12"/>
  <c r="CM18" i="12"/>
  <c r="H18" i="12"/>
  <c r="IC4" i="12"/>
  <c r="HC16" i="12"/>
  <c r="DU29" i="12"/>
  <c r="AA15" i="12"/>
  <c r="K16" i="12"/>
  <c r="EI29" i="12"/>
  <c r="II22" i="12"/>
  <c r="HM33" i="12"/>
  <c r="IK30" i="12"/>
  <c r="U33" i="12"/>
  <c r="HF48" i="12"/>
  <c r="BT4" i="12"/>
  <c r="FP33" i="12"/>
  <c r="CZ10" i="12"/>
  <c r="HC53" i="12"/>
  <c r="IM11" i="12"/>
  <c r="HM7" i="12"/>
  <c r="HE18" i="12"/>
  <c r="CQ14" i="12"/>
  <c r="BJ33" i="12"/>
  <c r="FU34" i="12"/>
  <c r="R39" i="12"/>
  <c r="DZ37" i="12"/>
  <c r="II39" i="12"/>
  <c r="BE47" i="12"/>
  <c r="EM53" i="12"/>
  <c r="EM47" i="12"/>
  <c r="HX4" i="12"/>
  <c r="FD33" i="12"/>
  <c r="HS44" i="12"/>
  <c r="AI48" i="12"/>
  <c r="CB39" i="12"/>
  <c r="AW47" i="12"/>
  <c r="EC51" i="12"/>
  <c r="HE35" i="12"/>
  <c r="DG52" i="12"/>
  <c r="HU38" i="12"/>
  <c r="T47" i="12"/>
  <c r="AJ51" i="12"/>
  <c r="J50" i="12"/>
  <c r="CH36" i="12"/>
  <c r="AC44" i="12"/>
  <c r="EL34" i="12"/>
  <c r="S44" i="12"/>
  <c r="Q53" i="12"/>
  <c r="IC42" i="12"/>
  <c r="DQ46" i="12"/>
  <c r="Q23" i="12"/>
  <c r="EK44" i="12"/>
  <c r="IG50" i="12"/>
  <c r="BP49" i="12"/>
  <c r="GT32" i="12"/>
  <c r="BB36" i="12"/>
  <c r="DU41" i="12"/>
  <c r="I35" i="12"/>
  <c r="EI48" i="12"/>
  <c r="EW45" i="12"/>
  <c r="EE12" i="12"/>
  <c r="DX37" i="12"/>
  <c r="H45" i="12"/>
  <c r="ER40" i="12"/>
  <c r="C40" i="12"/>
  <c r="AZ25" i="12"/>
  <c r="GM50" i="12"/>
  <c r="AO28" i="12"/>
  <c r="DT50" i="12"/>
  <c r="AJ42" i="12"/>
  <c r="K31" i="12"/>
  <c r="GZ47" i="12"/>
  <c r="AM31" i="12"/>
  <c r="HM37" i="12"/>
  <c r="DQ43" i="12"/>
  <c r="X39" i="12"/>
  <c r="EV46" i="12"/>
  <c r="DX52" i="12"/>
  <c r="GH28" i="12"/>
  <c r="AI37" i="12"/>
  <c r="DD38" i="12"/>
  <c r="IF28" i="12"/>
  <c r="AY53" i="12"/>
  <c r="IK31" i="12"/>
  <c r="AC41" i="12"/>
  <c r="AL44" i="12"/>
  <c r="BM44" i="12"/>
  <c r="CA47" i="12"/>
  <c r="DP45" i="12"/>
  <c r="EZ52" i="12"/>
  <c r="FT33" i="12"/>
  <c r="P37" i="12"/>
  <c r="M40" i="12"/>
  <c r="BQ42" i="12"/>
  <c r="BL52" i="12"/>
  <c r="BY4" i="12"/>
  <c r="BF36" i="12"/>
  <c r="AJ38" i="12"/>
  <c r="IA45" i="12"/>
  <c r="BR32" i="12"/>
  <c r="HU46" i="12"/>
  <c r="BI28" i="12"/>
  <c r="FK37" i="12"/>
  <c r="HW43" i="12"/>
  <c r="IJ41" i="12"/>
  <c r="FG51" i="12"/>
  <c r="EQ45" i="12"/>
  <c r="HF50" i="12"/>
  <c r="BS49" i="12"/>
  <c r="AZ36" i="12"/>
  <c r="AK36" i="12"/>
  <c r="DN49" i="12"/>
  <c r="DT29" i="12"/>
  <c r="AI26" i="12"/>
  <c r="EF40" i="12"/>
  <c r="AW40" i="12"/>
  <c r="FV47" i="12"/>
  <c r="HM9" i="12"/>
  <c r="ER8" i="12"/>
  <c r="HC8" i="12"/>
  <c r="DZ9" i="12"/>
  <c r="CE13" i="12"/>
  <c r="EP43" i="12"/>
  <c r="GV41" i="12"/>
  <c r="CJ42" i="12"/>
  <c r="EQ12" i="12"/>
  <c r="BP5" i="12"/>
  <c r="CX16" i="12"/>
  <c r="DV12" i="12"/>
  <c r="GS49" i="12"/>
  <c r="DV6" i="12"/>
  <c r="CV27" i="12"/>
  <c r="S41" i="12"/>
  <c r="EY41" i="12"/>
  <c r="HS47" i="12"/>
  <c r="DN6" i="12"/>
  <c r="FC5" i="12"/>
  <c r="GI12" i="12"/>
  <c r="J52" i="12"/>
  <c r="HY11" i="12"/>
  <c r="HX7" i="12"/>
  <c r="AO32" i="12"/>
  <c r="HA45" i="12"/>
  <c r="CZ52" i="12"/>
  <c r="BO53" i="12"/>
  <c r="DU5" i="12"/>
  <c r="GP16" i="12"/>
  <c r="IK52" i="12"/>
  <c r="HM8" i="12"/>
  <c r="EV7" i="12"/>
  <c r="FV19" i="12"/>
  <c r="IR27" i="12"/>
  <c r="BH43" i="12"/>
  <c r="EI45" i="12"/>
  <c r="GK42" i="12"/>
  <c r="CG9" i="12"/>
  <c r="ID53" i="12"/>
  <c r="D8" i="12"/>
  <c r="BR6" i="12"/>
  <c r="BJ9" i="12"/>
  <c r="EN50" i="12"/>
  <c r="BD48" i="12"/>
  <c r="GJ48" i="12"/>
  <c r="GM42" i="12"/>
  <c r="EF52" i="12"/>
  <c r="CW9" i="12"/>
  <c r="BR5" i="12"/>
  <c r="BK15" i="12"/>
  <c r="BD9" i="12"/>
  <c r="GU37" i="12"/>
  <c r="EP41" i="12"/>
  <c r="GF44" i="12"/>
  <c r="AQ43" i="12"/>
  <c r="EH41" i="12"/>
  <c r="GD45" i="12"/>
  <c r="AL25" i="12"/>
  <c r="GE52" i="12"/>
  <c r="IE4" i="12"/>
  <c r="DB11" i="12"/>
  <c r="IK8" i="12"/>
  <c r="FR53" i="12"/>
  <c r="AL53" i="12"/>
  <c r="CK12" i="12"/>
  <c r="K17" i="12"/>
  <c r="IQ4" i="12"/>
  <c r="I48" i="12"/>
  <c r="GL49" i="12"/>
  <c r="GV13" i="12"/>
  <c r="EG11" i="12"/>
  <c r="FD19" i="12"/>
  <c r="DK12" i="12"/>
  <c r="S10" i="12"/>
  <c r="AC13" i="12"/>
  <c r="EH24" i="12"/>
  <c r="CT51" i="12"/>
  <c r="BX44" i="12"/>
  <c r="IF5" i="12"/>
  <c r="M12" i="12"/>
  <c r="AU13" i="12"/>
  <c r="AY12" i="12"/>
  <c r="M13" i="12"/>
  <c r="HY17" i="12"/>
  <c r="EA18" i="12"/>
  <c r="G48" i="12"/>
  <c r="GS47" i="12"/>
  <c r="IQ40" i="12"/>
  <c r="CH10" i="12"/>
  <c r="GQ15" i="12"/>
  <c r="HI12" i="12"/>
  <c r="DX12" i="12"/>
  <c r="IM5" i="12"/>
  <c r="FV15" i="12"/>
  <c r="AY19" i="12"/>
  <c r="DM10" i="12"/>
  <c r="CH46" i="12"/>
  <c r="DS40" i="12"/>
  <c r="EE35" i="12"/>
  <c r="HK5" i="12"/>
  <c r="GB5" i="12"/>
  <c r="CK17" i="12"/>
  <c r="AF42" i="12"/>
  <c r="ER41" i="12"/>
  <c r="AE35" i="12"/>
  <c r="DO35" i="12"/>
  <c r="FG41" i="12"/>
  <c r="BZ24" i="12"/>
  <c r="CW45" i="12"/>
  <c r="CV41" i="12"/>
  <c r="HA40" i="12"/>
  <c r="HU12" i="12"/>
  <c r="BR12" i="12"/>
  <c r="ID18" i="12"/>
  <c r="EC5" i="12"/>
  <c r="EF14" i="12"/>
  <c r="AB38" i="12"/>
  <c r="FH38" i="12"/>
  <c r="HP33" i="12"/>
  <c r="DS7" i="12"/>
  <c r="BW6" i="12"/>
  <c r="II14" i="12"/>
  <c r="HQ49" i="12"/>
  <c r="GL10" i="12"/>
  <c r="DJ7" i="12"/>
  <c r="AA30" i="12"/>
  <c r="U51" i="12"/>
  <c r="FP4" i="12"/>
  <c r="AT4" i="12"/>
  <c r="I8" i="12"/>
  <c r="EZ13" i="12"/>
  <c r="BH50" i="12"/>
  <c r="IH7" i="12"/>
  <c r="DW9" i="12"/>
  <c r="CX25" i="12"/>
  <c r="FL29" i="12"/>
  <c r="BY42" i="12"/>
  <c r="GI39" i="12"/>
  <c r="FG11" i="12"/>
  <c r="IO10" i="12"/>
  <c r="IB7" i="12"/>
  <c r="GO5" i="12"/>
  <c r="IL9" i="12"/>
  <c r="HH22" i="12"/>
  <c r="GP25" i="12"/>
  <c r="HL15" i="12"/>
  <c r="IF34" i="12"/>
  <c r="EN36" i="12"/>
  <c r="O43" i="12"/>
  <c r="FG49" i="12"/>
  <c r="GN9" i="12"/>
  <c r="DH8" i="12"/>
  <c r="N9" i="12"/>
  <c r="GR10" i="12"/>
  <c r="FD5" i="12"/>
  <c r="CD50" i="12"/>
  <c r="EW4" i="12"/>
  <c r="BM50" i="12"/>
  <c r="HX10" i="12"/>
  <c r="AE6" i="12"/>
  <c r="GL19" i="12"/>
  <c r="CK11" i="12"/>
  <c r="Z10" i="12"/>
  <c r="BY33" i="12"/>
  <c r="U41" i="12"/>
  <c r="HY41" i="12"/>
  <c r="FJ12" i="12"/>
  <c r="FE10" i="12"/>
  <c r="CY17" i="12"/>
  <c r="J8" i="12"/>
  <c r="HW15" i="12"/>
  <c r="CS14" i="12"/>
  <c r="Q37" i="12"/>
  <c r="CJ46" i="12"/>
  <c r="IH48" i="12"/>
  <c r="BS51" i="12"/>
  <c r="GU42" i="12"/>
  <c r="EB43" i="12"/>
  <c r="GX24" i="12"/>
  <c r="AS47" i="12"/>
  <c r="BR52" i="12"/>
  <c r="BS15" i="12"/>
  <c r="BX10" i="12"/>
  <c r="EX47" i="12"/>
  <c r="DL45" i="12"/>
  <c r="ID5" i="12"/>
  <c r="IH19" i="12"/>
  <c r="AB49" i="12"/>
  <c r="GP53" i="12"/>
  <c r="FU4" i="12"/>
  <c r="IK6" i="12"/>
  <c r="BT13" i="12"/>
  <c r="BS4" i="12"/>
  <c r="CQ5" i="12"/>
  <c r="BS6" i="12"/>
  <c r="DR19" i="12"/>
  <c r="AD29" i="12"/>
  <c r="FN44" i="12"/>
  <c r="GW41" i="12"/>
  <c r="GL11" i="12"/>
  <c r="U11" i="12"/>
  <c r="DZ7" i="12"/>
  <c r="DS8" i="12"/>
  <c r="AK9" i="12"/>
  <c r="GT20" i="12"/>
  <c r="CN23" i="12"/>
  <c r="FK38" i="12"/>
  <c r="FK39" i="12"/>
  <c r="GW38" i="12"/>
  <c r="HU7" i="12"/>
  <c r="EF7" i="12"/>
  <c r="DY7" i="12"/>
  <c r="BQ6" i="12"/>
  <c r="EG10" i="12"/>
  <c r="AV9" i="12"/>
  <c r="AN23" i="12"/>
  <c r="BD19" i="12"/>
  <c r="BT50" i="12"/>
  <c r="BI25" i="12"/>
  <c r="FR29" i="12"/>
  <c r="DK9" i="12"/>
  <c r="HN8" i="12"/>
  <c r="HC21" i="12"/>
  <c r="FI13" i="12"/>
  <c r="GD9" i="12"/>
  <c r="DY11" i="12"/>
  <c r="C24" i="12"/>
  <c r="IL47" i="12"/>
  <c r="P9" i="12"/>
  <c r="DQ6" i="12"/>
  <c r="GO10" i="12"/>
  <c r="FI7" i="12"/>
  <c r="W10" i="12"/>
  <c r="CL24" i="12"/>
  <c r="BH47" i="12"/>
  <c r="U52" i="12"/>
  <c r="ET14" i="12"/>
  <c r="HC12" i="12"/>
  <c r="ET41" i="12"/>
  <c r="FV48" i="12"/>
  <c r="FO5" i="12"/>
  <c r="CI21" i="12"/>
  <c r="ID22" i="12"/>
  <c r="HI15" i="12"/>
  <c r="FQ4" i="12"/>
  <c r="DY5" i="12"/>
  <c r="U16" i="12"/>
  <c r="DY22" i="12"/>
  <c r="DR35" i="12"/>
  <c r="CX34" i="12"/>
  <c r="CW33" i="12"/>
  <c r="DM15" i="12"/>
  <c r="CW48" i="12"/>
  <c r="FV39" i="12"/>
  <c r="FA39" i="12"/>
  <c r="EF42" i="12"/>
  <c r="BL42" i="12"/>
  <c r="FY32" i="12"/>
  <c r="BV42" i="12"/>
  <c r="IG47" i="12"/>
  <c r="DF41" i="12"/>
  <c r="DJ13" i="12"/>
  <c r="HT10" i="12"/>
  <c r="EE16" i="12"/>
  <c r="FP48" i="12"/>
  <c r="AR15" i="12"/>
  <c r="FS37" i="12"/>
  <c r="N38" i="12"/>
  <c r="AC37" i="12"/>
  <c r="BY47" i="12"/>
  <c r="CD5" i="12"/>
  <c r="BN9" i="12"/>
  <c r="FN8" i="12"/>
  <c r="CO12" i="12"/>
  <c r="FX7" i="12"/>
  <c r="CH32" i="12"/>
  <c r="EE53" i="12"/>
  <c r="DV30" i="12"/>
  <c r="AY4" i="12"/>
  <c r="DR7" i="12"/>
  <c r="GO12" i="12"/>
  <c r="HK15" i="12"/>
  <c r="HY5" i="12"/>
  <c r="AI14" i="12"/>
  <c r="CK5" i="12"/>
  <c r="Y34" i="12"/>
  <c r="ED47" i="12"/>
  <c r="EU52" i="12"/>
  <c r="DW12" i="12"/>
  <c r="IE12" i="12"/>
  <c r="BF5" i="12"/>
  <c r="EE13" i="12"/>
  <c r="FU13" i="12"/>
  <c r="AZ18" i="12"/>
  <c r="IB19" i="12"/>
  <c r="BG23" i="12"/>
  <c r="AH41" i="12"/>
  <c r="CD43" i="12"/>
  <c r="AK37" i="12"/>
  <c r="DJ5" i="12"/>
  <c r="AC6" i="12"/>
  <c r="BP14" i="12"/>
  <c r="ET13" i="12"/>
  <c r="EQ6" i="12"/>
  <c r="AR6" i="12"/>
  <c r="S49" i="12"/>
  <c r="HS37" i="12"/>
  <c r="HG34" i="12"/>
  <c r="CF5" i="12"/>
  <c r="HH6" i="12"/>
  <c r="HN15" i="12"/>
  <c r="HO6" i="12"/>
  <c r="BF6" i="12"/>
  <c r="DQ44" i="12"/>
  <c r="EY46" i="12"/>
  <c r="HH41" i="12"/>
  <c r="EI11" i="12"/>
  <c r="FU11" i="12"/>
  <c r="AL14" i="12"/>
  <c r="FA48" i="12"/>
  <c r="Z15" i="12"/>
  <c r="DJ39" i="12"/>
  <c r="AR40" i="12"/>
  <c r="BA44" i="12"/>
  <c r="GF41" i="12"/>
  <c r="DL41" i="12"/>
  <c r="DQ31" i="12"/>
  <c r="BI39" i="12"/>
  <c r="G42" i="12"/>
  <c r="EM39" i="12"/>
  <c r="CL12" i="12"/>
  <c r="HI14" i="12"/>
  <c r="FJ18" i="12"/>
  <c r="IO4" i="12"/>
  <c r="HH17" i="12"/>
  <c r="M37" i="12"/>
  <c r="DN37" i="12"/>
  <c r="DU44" i="12"/>
  <c r="GQ4" i="12"/>
  <c r="AK8" i="12"/>
  <c r="IK11" i="12"/>
  <c r="DU11" i="12"/>
  <c r="AO7" i="12"/>
  <c r="AD9" i="12"/>
  <c r="CS32" i="12"/>
  <c r="AW49" i="12"/>
  <c r="HK28" i="12"/>
  <c r="FG53" i="12"/>
  <c r="CK9" i="12"/>
  <c r="T7" i="12"/>
  <c r="DH18" i="12"/>
  <c r="FI5" i="12"/>
  <c r="CM8" i="12"/>
  <c r="FF7" i="12"/>
  <c r="GU35" i="12"/>
  <c r="CI52" i="12"/>
  <c r="HS53" i="12"/>
  <c r="GS6" i="12"/>
  <c r="IR5" i="12"/>
  <c r="M8" i="12"/>
  <c r="FM5" i="12"/>
  <c r="ER6" i="12"/>
  <c r="EN22" i="12"/>
  <c r="CH26" i="12"/>
  <c r="AB18" i="12"/>
  <c r="FE33" i="12"/>
  <c r="DU37" i="12"/>
  <c r="HH34" i="12"/>
  <c r="BQ8" i="12"/>
  <c r="ET8" i="12"/>
  <c r="FZ5" i="12"/>
  <c r="FE6" i="12"/>
  <c r="FO12" i="12"/>
  <c r="BN8" i="12"/>
  <c r="AU47" i="12"/>
  <c r="CP35" i="12"/>
  <c r="HT36" i="12"/>
  <c r="EN42" i="12"/>
  <c r="EY38" i="12"/>
  <c r="U43" i="12"/>
  <c r="DP40" i="12"/>
  <c r="IL26" i="12"/>
  <c r="CN46" i="12"/>
  <c r="HT46" i="12"/>
  <c r="F49" i="12"/>
  <c r="HM52" i="12"/>
  <c r="EW9" i="12"/>
  <c r="GG12" i="12"/>
  <c r="CK10" i="12"/>
  <c r="AM5" i="12"/>
  <c r="W37" i="12"/>
  <c r="AR43" i="12"/>
  <c r="CH38" i="12"/>
  <c r="HC52" i="12"/>
  <c r="FN9" i="12"/>
  <c r="BL5" i="12"/>
  <c r="AA13" i="12"/>
  <c r="DC6" i="12"/>
  <c r="DZ11" i="12"/>
  <c r="FW32" i="12"/>
  <c r="EO45" i="12"/>
  <c r="AI4" i="12"/>
  <c r="CY52" i="12"/>
  <c r="BH9" i="12"/>
  <c r="AW8" i="12"/>
  <c r="HU22" i="12"/>
  <c r="P10" i="12"/>
  <c r="FC10" i="12"/>
  <c r="DQ9" i="12"/>
  <c r="U27" i="12"/>
  <c r="EK53" i="12"/>
  <c r="DH4" i="12"/>
  <c r="CI9" i="12"/>
  <c r="BS8" i="12"/>
  <c r="EP9" i="12"/>
  <c r="IK7" i="12"/>
  <c r="FR9" i="12"/>
  <c r="DF24" i="12"/>
  <c r="GI14" i="12"/>
  <c r="AB13" i="12"/>
  <c r="BC37" i="12"/>
  <c r="DQ36" i="12"/>
  <c r="DZ38" i="12"/>
  <c r="GT9" i="12"/>
  <c r="FD12" i="12"/>
  <c r="HA7" i="12"/>
  <c r="FZ9" i="12"/>
  <c r="GE14" i="12"/>
  <c r="II12" i="12"/>
  <c r="CU52" i="12"/>
  <c r="IB33" i="12"/>
  <c r="GP19" i="12"/>
  <c r="EC10" i="12"/>
  <c r="IJ8" i="12"/>
  <c r="HQ23" i="12"/>
  <c r="DQ14" i="12"/>
  <c r="GU9" i="12"/>
  <c r="GM38" i="12"/>
  <c r="CH43" i="12"/>
  <c r="DV38" i="12"/>
  <c r="AU15" i="12"/>
  <c r="DV13" i="12"/>
  <c r="HS18" i="12"/>
  <c r="BS48" i="12"/>
  <c r="HM24" i="12"/>
  <c r="CI45" i="12"/>
  <c r="DW52" i="12"/>
  <c r="IG45" i="12"/>
  <c r="EV48" i="12"/>
  <c r="IR40" i="12"/>
  <c r="BU40" i="12"/>
  <c r="ID14" i="12"/>
  <c r="AB17" i="12"/>
  <c r="FH9" i="12"/>
  <c r="DU10" i="12"/>
  <c r="GH11" i="12"/>
  <c r="GK16" i="12"/>
  <c r="EK47" i="12"/>
  <c r="EL52" i="12"/>
  <c r="CX12" i="12"/>
  <c r="HW9" i="12"/>
  <c r="DS46" i="12"/>
  <c r="EB13" i="12"/>
  <c r="FK15" i="12"/>
  <c r="EW19" i="12"/>
  <c r="CD20" i="12"/>
  <c r="IH37" i="12"/>
  <c r="GH39" i="12"/>
  <c r="GO36" i="12"/>
  <c r="CJ6" i="12"/>
  <c r="EG8" i="12"/>
  <c r="DF5" i="12"/>
  <c r="CY15" i="12"/>
  <c r="BM51" i="12"/>
  <c r="BB8" i="12"/>
  <c r="AD14" i="12"/>
  <c r="CR37" i="12"/>
  <c r="Z39" i="12"/>
  <c r="HE45" i="12"/>
  <c r="AK7" i="12"/>
  <c r="DY6" i="12"/>
  <c r="L15" i="12"/>
  <c r="GT49" i="12"/>
  <c r="BN11" i="12"/>
  <c r="U9" i="12"/>
  <c r="GP28" i="12"/>
  <c r="DL33" i="12"/>
  <c r="DH52" i="12"/>
  <c r="EB4" i="12"/>
  <c r="FX8" i="12"/>
  <c r="W5" i="12"/>
  <c r="EH52" i="12"/>
  <c r="IQ51" i="12"/>
  <c r="DE12" i="12"/>
  <c r="P17" i="12"/>
  <c r="DU47" i="12"/>
  <c r="IH32" i="12"/>
  <c r="GN42" i="12"/>
  <c r="AY6" i="12"/>
  <c r="FJ53" i="12"/>
  <c r="HZ9" i="12"/>
  <c r="GI6" i="12"/>
  <c r="HN52" i="12"/>
  <c r="BB50" i="12"/>
  <c r="BZ39" i="12"/>
  <c r="HC39" i="12"/>
  <c r="EY13" i="12"/>
  <c r="AL18" i="12"/>
  <c r="FO9" i="12"/>
  <c r="CS11" i="12"/>
  <c r="BW10" i="12"/>
  <c r="V16" i="12"/>
  <c r="FS15" i="12"/>
  <c r="FS19" i="12"/>
  <c r="BK37" i="12"/>
  <c r="EW18" i="12"/>
  <c r="AH28" i="12"/>
  <c r="BL26" i="12"/>
  <c r="EH18" i="12"/>
  <c r="DP27" i="12"/>
  <c r="HP23" i="12"/>
  <c r="EO28" i="12"/>
  <c r="L51" i="12"/>
  <c r="FC8" i="12"/>
  <c r="EE47" i="12"/>
  <c r="FO8" i="12"/>
  <c r="DG13" i="12"/>
  <c r="AL15" i="12"/>
  <c r="GA22" i="12"/>
  <c r="EF50" i="12"/>
  <c r="GJ30" i="12"/>
  <c r="H28" i="12"/>
  <c r="FV29" i="12"/>
  <c r="D25" i="12"/>
  <c r="FQ31" i="12"/>
  <c r="DL23" i="12"/>
  <c r="CO34" i="12"/>
  <c r="IG42" i="12"/>
  <c r="BA45" i="12"/>
  <c r="CJ22" i="12"/>
  <c r="BM15" i="12"/>
  <c r="IE31" i="12"/>
  <c r="GJ31" i="12"/>
  <c r="HE14" i="12"/>
  <c r="Y20" i="12"/>
  <c r="HY23" i="12"/>
  <c r="ID19" i="12"/>
  <c r="F28" i="12"/>
  <c r="CE7" i="12"/>
  <c r="FU17" i="12"/>
  <c r="HE42" i="12"/>
  <c r="GW32" i="12"/>
  <c r="CL28" i="12"/>
  <c r="DO20" i="12"/>
  <c r="S13" i="12"/>
  <c r="EQ13" i="12"/>
  <c r="DE30" i="12"/>
  <c r="DA15" i="12"/>
  <c r="HP16" i="12"/>
  <c r="DS36" i="12"/>
  <c r="O27" i="12"/>
  <c r="M24" i="12"/>
  <c r="CO24" i="12"/>
  <c r="EV26" i="12"/>
  <c r="GZ35" i="12"/>
  <c r="CC25" i="12"/>
  <c r="DZ22" i="12"/>
  <c r="GX6" i="12"/>
  <c r="CU17" i="12"/>
  <c r="GQ20" i="12"/>
  <c r="FX26" i="12"/>
  <c r="BY27" i="12"/>
  <c r="CG17" i="12"/>
  <c r="BE24" i="12"/>
  <c r="DU17" i="12"/>
  <c r="HF13" i="12"/>
  <c r="HB29" i="12"/>
  <c r="BB40" i="12"/>
  <c r="AT17" i="12"/>
  <c r="HM34" i="12"/>
  <c r="BO19" i="12"/>
  <c r="GG19" i="12"/>
  <c r="FS36" i="12"/>
  <c r="CC34" i="12"/>
  <c r="GE26" i="12"/>
  <c r="GH30" i="12"/>
  <c r="AL12" i="12"/>
  <c r="BK21" i="12"/>
  <c r="FN12" i="12"/>
  <c r="HT25" i="12"/>
  <c r="IJ28" i="12"/>
  <c r="CL23" i="12"/>
  <c r="FA19" i="12"/>
  <c r="DP26" i="12"/>
  <c r="EO21" i="12"/>
  <c r="GB49" i="12"/>
  <c r="HY10" i="12"/>
  <c r="BB16" i="12"/>
  <c r="DL18" i="12"/>
  <c r="HY37" i="12"/>
  <c r="BL23" i="12"/>
  <c r="FA33" i="12"/>
  <c r="FA17" i="12"/>
  <c r="CY22" i="12"/>
  <c r="FI45" i="12"/>
  <c r="AV53" i="12"/>
  <c r="II48" i="12"/>
  <c r="CS47" i="12"/>
  <c r="E36" i="12"/>
  <c r="GD18" i="12"/>
  <c r="FN40" i="12"/>
  <c r="DZ34" i="12"/>
  <c r="FQ53" i="12"/>
  <c r="K47" i="12"/>
  <c r="HJ52" i="12"/>
  <c r="R41" i="12"/>
  <c r="EC44" i="12"/>
  <c r="BT41" i="12"/>
  <c r="HT33" i="12"/>
  <c r="GW51" i="12"/>
  <c r="HB52" i="12"/>
  <c r="AH43" i="12"/>
  <c r="CL42" i="12"/>
  <c r="AQ44" i="12"/>
  <c r="BU38" i="12"/>
  <c r="IE37" i="12"/>
  <c r="G30" i="12"/>
  <c r="CG38" i="12"/>
  <c r="AU39" i="12"/>
  <c r="CK44" i="12"/>
  <c r="FV42" i="12"/>
  <c r="FF11" i="12"/>
  <c r="IH11" i="12"/>
  <c r="DF43" i="12"/>
  <c r="EN7" i="12"/>
  <c r="CI24" i="12"/>
  <c r="EB15" i="12"/>
  <c r="BH25" i="12"/>
  <c r="HH52" i="12"/>
  <c r="GQ27" i="12"/>
  <c r="ER21" i="12"/>
  <c r="FY28" i="12"/>
  <c r="DX17" i="12"/>
  <c r="Q21" i="12"/>
  <c r="FQ22" i="12"/>
  <c r="BQ19" i="12"/>
  <c r="EK27" i="12"/>
  <c r="HS41" i="12"/>
  <c r="HE11" i="12"/>
  <c r="BL31" i="12"/>
  <c r="N25" i="12"/>
  <c r="BX15" i="12"/>
  <c r="IL34" i="12"/>
  <c r="EU32" i="12"/>
  <c r="AQ28" i="12"/>
  <c r="G23" i="12"/>
  <c r="GN18" i="12"/>
  <c r="CK46" i="12"/>
  <c r="CP19" i="12"/>
  <c r="DU30" i="12"/>
  <c r="CP17" i="12"/>
  <c r="HP18" i="12"/>
  <c r="AY30" i="12"/>
  <c r="DN27" i="12"/>
  <c r="HF33" i="12"/>
  <c r="AE13" i="12"/>
  <c r="DV14" i="12"/>
  <c r="EX13" i="12"/>
  <c r="BV32" i="12"/>
  <c r="GE33" i="12"/>
  <c r="DF33" i="12"/>
  <c r="GV19" i="12"/>
  <c r="T24" i="12"/>
  <c r="CU15" i="12"/>
  <c r="FF21" i="12"/>
  <c r="CZ35" i="12"/>
  <c r="FB31" i="12"/>
  <c r="DG21" i="12"/>
  <c r="H35" i="12"/>
  <c r="HO14" i="12"/>
  <c r="AC22" i="12"/>
  <c r="AP27" i="12"/>
  <c r="CZ23" i="12"/>
  <c r="HB34" i="12"/>
  <c r="DR25" i="12"/>
  <c r="N23" i="12"/>
  <c r="EB47" i="12"/>
  <c r="AQ7" i="12"/>
  <c r="I25" i="12"/>
  <c r="AG30" i="12"/>
  <c r="EY30" i="12"/>
  <c r="DM16" i="12"/>
  <c r="GS16" i="12"/>
  <c r="IQ12" i="12"/>
  <c r="GV34" i="12"/>
  <c r="I12" i="12"/>
  <c r="AK12" i="12"/>
  <c r="FL33" i="12"/>
  <c r="EU24" i="12"/>
  <c r="GH25" i="12"/>
  <c r="BL11" i="12"/>
  <c r="EX36" i="12"/>
  <c r="HL30" i="12"/>
  <c r="II35" i="12"/>
  <c r="CV24" i="12"/>
  <c r="EG48" i="12"/>
  <c r="W19" i="12"/>
  <c r="HE30" i="12"/>
  <c r="AC21" i="12"/>
  <c r="BP22" i="12"/>
  <c r="IB22" i="12"/>
  <c r="AY31" i="12"/>
  <c r="EC20" i="12"/>
  <c r="F38" i="12"/>
  <c r="GE42" i="12"/>
  <c r="HF40" i="12"/>
  <c r="HR38" i="12"/>
  <c r="EN5" i="12"/>
  <c r="FG7" i="12"/>
  <c r="BK42" i="12"/>
  <c r="BM6" i="12"/>
  <c r="EI49" i="12"/>
  <c r="IJ14" i="12"/>
  <c r="FK11" i="12"/>
  <c r="EN15" i="12"/>
  <c r="HH26" i="12"/>
  <c r="R34" i="12"/>
  <c r="BM37" i="12"/>
  <c r="AO35" i="12"/>
  <c r="DH33" i="12"/>
  <c r="CU30" i="12"/>
  <c r="GC30" i="12"/>
  <c r="IJ37" i="12"/>
  <c r="CO11" i="12"/>
  <c r="CL18" i="12"/>
  <c r="H22" i="12"/>
  <c r="FJ31" i="12"/>
  <c r="AT31" i="12"/>
  <c r="GO17" i="12"/>
  <c r="BD26" i="12"/>
  <c r="Y18" i="12"/>
  <c r="ET19" i="12"/>
  <c r="AR29" i="12"/>
  <c r="BD46" i="12"/>
  <c r="GA17" i="12"/>
  <c r="EI38" i="12"/>
  <c r="DH27" i="12"/>
  <c r="J24" i="12"/>
  <c r="FK25" i="12"/>
  <c r="CE19" i="12"/>
  <c r="DF22" i="12"/>
  <c r="HK36" i="12"/>
  <c r="HG53" i="12"/>
  <c r="DZ16" i="12"/>
  <c r="AB29" i="12"/>
  <c r="BE18" i="12"/>
  <c r="CR19" i="12"/>
  <c r="FY17" i="12"/>
  <c r="CQ28" i="12"/>
  <c r="HY22" i="12"/>
  <c r="CH27" i="12"/>
  <c r="EJ14" i="12"/>
  <c r="BY13" i="12"/>
  <c r="BM22" i="12"/>
  <c r="EV14" i="12"/>
  <c r="E34" i="12"/>
  <c r="FL24" i="12"/>
  <c r="DX22" i="12"/>
  <c r="II17" i="12"/>
  <c r="EV21" i="12"/>
  <c r="AO22" i="12"/>
  <c r="FL35" i="12"/>
  <c r="AN41" i="12"/>
  <c r="AI17" i="12"/>
  <c r="EX23" i="12"/>
  <c r="AU24" i="12"/>
  <c r="GI17" i="12"/>
  <c r="EW25" i="12"/>
  <c r="FK23" i="12"/>
  <c r="BX31" i="12"/>
  <c r="GA51" i="12"/>
  <c r="HD8" i="12"/>
  <c r="GJ12" i="12"/>
  <c r="EN19" i="12"/>
  <c r="DM30" i="12"/>
  <c r="HR34" i="12"/>
  <c r="GW27" i="12"/>
  <c r="GK25" i="12"/>
  <c r="DZ17" i="12"/>
  <c r="DU16" i="12"/>
  <c r="FF29" i="12"/>
  <c r="GB6" i="12"/>
  <c r="BY23" i="12"/>
  <c r="FD17" i="12"/>
  <c r="IH27" i="12"/>
  <c r="I31" i="12"/>
  <c r="BM29" i="12"/>
  <c r="FT21" i="12"/>
  <c r="FB11" i="12"/>
  <c r="HY51" i="12"/>
  <c r="FH52" i="12"/>
  <c r="GK49" i="12"/>
  <c r="IF4" i="12"/>
  <c r="J41" i="12"/>
  <c r="AV40" i="12"/>
  <c r="CC43" i="12"/>
  <c r="FF40" i="12"/>
  <c r="FJ47" i="12"/>
  <c r="BB44" i="12"/>
  <c r="AE4" i="12"/>
  <c r="GX34" i="12"/>
  <c r="AQ37" i="12"/>
  <c r="BW38" i="12"/>
  <c r="HX27" i="12"/>
  <c r="HT4" i="12"/>
  <c r="GF30" i="12"/>
  <c r="DC46" i="12"/>
  <c r="HS38" i="12"/>
  <c r="HD36" i="12"/>
  <c r="DE36" i="12"/>
  <c r="AH46" i="12"/>
  <c r="EQ26" i="12"/>
  <c r="IG36" i="12"/>
  <c r="CC47" i="12"/>
  <c r="EL45" i="12"/>
  <c r="N34" i="12"/>
  <c r="BX8" i="12"/>
  <c r="Q14" i="12"/>
  <c r="W45" i="12"/>
  <c r="CC16" i="12"/>
  <c r="GZ21" i="12"/>
  <c r="GV15" i="12"/>
  <c r="BG36" i="12"/>
  <c r="Q46" i="12"/>
  <c r="DR15" i="12"/>
  <c r="EZ34" i="12"/>
  <c r="EK35" i="12"/>
  <c r="DN16" i="12"/>
  <c r="DD19" i="12"/>
  <c r="CB23" i="12"/>
  <c r="EX16" i="12"/>
  <c r="IE33" i="12"/>
  <c r="GI33" i="12"/>
  <c r="DP24" i="12"/>
  <c r="FP34" i="12"/>
  <c r="DS16" i="12"/>
  <c r="GZ22" i="12"/>
  <c r="FE30" i="12"/>
  <c r="GY23" i="12"/>
  <c r="FW35" i="12"/>
  <c r="BF27" i="12"/>
  <c r="DQ25" i="12"/>
  <c r="IP45" i="12"/>
  <c r="CV17" i="12"/>
  <c r="GG20" i="12"/>
  <c r="CT20" i="12"/>
  <c r="E27" i="12"/>
  <c r="IM30" i="12"/>
  <c r="EQ34" i="12"/>
  <c r="BE30" i="12"/>
  <c r="GP21" i="12"/>
  <c r="R19" i="12"/>
  <c r="GB4" i="12"/>
  <c r="BE20" i="12"/>
  <c r="DH40" i="12"/>
  <c r="HY27" i="12"/>
  <c r="EY22" i="12"/>
  <c r="FV24" i="12"/>
  <c r="DE22" i="12"/>
  <c r="AT18" i="12"/>
  <c r="FJ15" i="12"/>
  <c r="BX47" i="12"/>
  <c r="AU18" i="12"/>
  <c r="EH27" i="12"/>
  <c r="BZ20" i="12"/>
  <c r="DV16" i="12"/>
  <c r="FX31" i="12"/>
  <c r="BN28" i="12"/>
  <c r="Z26" i="12"/>
  <c r="Y32" i="12"/>
  <c r="BG17" i="12"/>
  <c r="AI51" i="12"/>
  <c r="BS19" i="12"/>
  <c r="CM34" i="12"/>
  <c r="IF35" i="12"/>
  <c r="FJ32" i="12"/>
  <c r="AV21" i="12"/>
  <c r="HW20" i="12"/>
  <c r="O20" i="12"/>
  <c r="EZ25" i="12"/>
  <c r="P13" i="12"/>
  <c r="EA21" i="12"/>
  <c r="DR23" i="12"/>
  <c r="GB31" i="12"/>
  <c r="AZ13" i="12"/>
  <c r="CO22" i="12"/>
  <c r="DB27" i="12"/>
  <c r="BK30" i="12"/>
  <c r="EU31" i="12"/>
  <c r="GR27" i="12"/>
  <c r="GT13" i="12"/>
  <c r="DW16" i="12"/>
  <c r="FZ35" i="12"/>
  <c r="FI26" i="12"/>
  <c r="GV27" i="12"/>
  <c r="BJ14" i="12"/>
  <c r="CO32" i="12"/>
  <c r="CM27" i="12"/>
  <c r="HH39" i="12"/>
  <c r="AI46" i="12"/>
  <c r="IN48" i="12"/>
  <c r="GS42" i="12"/>
  <c r="EX24" i="12"/>
  <c r="FC28" i="12"/>
  <c r="AM41" i="12"/>
  <c r="FH39" i="12"/>
  <c r="FJ42" i="12"/>
  <c r="CM40" i="12"/>
  <c r="GD40" i="12"/>
  <c r="EY18" i="12"/>
  <c r="EI44" i="12"/>
  <c r="HZ44" i="12"/>
  <c r="ED41" i="12"/>
  <c r="FP45" i="12"/>
  <c r="EU44" i="12"/>
  <c r="HJ15" i="12"/>
  <c r="GQ51" i="12"/>
  <c r="ED46" i="12"/>
  <c r="L45" i="12"/>
  <c r="DE43" i="12"/>
  <c r="CE42" i="12"/>
  <c r="Z35" i="12"/>
  <c r="ES44" i="12"/>
  <c r="GD53" i="12"/>
  <c r="EE44" i="12"/>
  <c r="BK43" i="12"/>
  <c r="FL45" i="12"/>
  <c r="ED34" i="12"/>
  <c r="CT40" i="12"/>
  <c r="E48" i="12"/>
  <c r="DX46" i="12"/>
  <c r="HL50" i="12"/>
  <c r="HF11" i="12"/>
  <c r="BU44" i="12"/>
  <c r="HK52" i="12"/>
  <c r="BK7" i="12"/>
  <c r="AI15" i="12"/>
  <c r="CQ22" i="12"/>
  <c r="HW6" i="12"/>
  <c r="BS16" i="12"/>
  <c r="I17" i="12"/>
  <c r="CT15" i="12"/>
  <c r="H27" i="12"/>
  <c r="FI33" i="12"/>
  <c r="CC35" i="12"/>
  <c r="BJ21" i="12"/>
  <c r="H4" i="12"/>
  <c r="M49" i="12"/>
  <c r="Y30" i="12"/>
  <c r="BJ34" i="12"/>
  <c r="HI26" i="12"/>
  <c r="AR21" i="12"/>
  <c r="BL24" i="12"/>
  <c r="BK25" i="12"/>
  <c r="DM19" i="12"/>
  <c r="BP35" i="12"/>
  <c r="FR27" i="12"/>
  <c r="HH9" i="12"/>
  <c r="EW29" i="12"/>
  <c r="DL29" i="12"/>
  <c r="BY30" i="12"/>
  <c r="EK17" i="12"/>
  <c r="HM17" i="12"/>
  <c r="HC15" i="12"/>
  <c r="DG33" i="12"/>
  <c r="EH30" i="12"/>
  <c r="IJ32" i="12"/>
  <c r="DE7" i="12"/>
  <c r="CL21" i="12"/>
  <c r="EU19" i="12"/>
  <c r="BI50" i="12"/>
  <c r="EI36" i="12"/>
  <c r="BU37" i="12"/>
  <c r="AI29" i="12"/>
  <c r="HR19" i="12"/>
  <c r="FR21" i="12"/>
  <c r="DD9" i="12"/>
  <c r="EC33" i="12"/>
  <c r="FH25" i="12"/>
  <c r="FX28" i="12"/>
  <c r="J16" i="12"/>
  <c r="FY12" i="12"/>
  <c r="BB18" i="12"/>
  <c r="FW33" i="12"/>
  <c r="FO25" i="12"/>
  <c r="CM25" i="12"/>
  <c r="CA46" i="12"/>
  <c r="GT8" i="12"/>
  <c r="BF22" i="12"/>
  <c r="IJ17" i="12"/>
  <c r="IB27" i="12"/>
  <c r="IP23" i="12"/>
  <c r="FV30" i="12"/>
  <c r="IQ21" i="12"/>
  <c r="AN15" i="12"/>
  <c r="GJ5" i="12"/>
  <c r="HT14" i="12"/>
  <c r="FX36" i="12"/>
  <c r="IG24" i="12"/>
  <c r="DJ24" i="12"/>
  <c r="GS23" i="12"/>
  <c r="GJ18" i="12"/>
  <c r="FG19" i="12"/>
  <c r="HD34" i="12"/>
  <c r="DU33" i="12"/>
  <c r="HA14" i="12"/>
  <c r="ET21" i="12"/>
  <c r="GA40" i="12"/>
  <c r="FK36" i="12"/>
  <c r="GJ35" i="12"/>
  <c r="Z19" i="12"/>
  <c r="DO27" i="12"/>
  <c r="E24" i="12"/>
  <c r="DP38" i="12"/>
  <c r="DI44" i="12"/>
  <c r="HB42" i="12"/>
  <c r="AL36" i="12"/>
  <c r="GI40" i="12"/>
  <c r="DF25" i="12"/>
  <c r="FE51" i="12"/>
  <c r="CN52" i="12"/>
  <c r="CS49" i="12"/>
  <c r="FL4" i="12"/>
  <c r="GA47" i="12"/>
  <c r="IM48" i="12"/>
  <c r="AA53" i="12"/>
  <c r="CK51" i="12"/>
  <c r="DN4" i="12"/>
  <c r="DH45" i="12"/>
  <c r="DA45" i="12"/>
  <c r="EV37" i="12"/>
  <c r="EF38" i="12"/>
  <c r="AJ37" i="12"/>
  <c r="CX52" i="12"/>
  <c r="DQ53" i="12"/>
  <c r="F47" i="12"/>
  <c r="AO40" i="12"/>
  <c r="HL40" i="12"/>
  <c r="ED38" i="12"/>
  <c r="EA40" i="12"/>
  <c r="HC6" i="12"/>
  <c r="DX53" i="12"/>
  <c r="D4" i="12"/>
  <c r="GA6" i="12"/>
  <c r="AH11" i="12"/>
  <c r="BM11" i="12"/>
  <c r="DZ27" i="12"/>
  <c r="DI43" i="12"/>
  <c r="AF14" i="12"/>
  <c r="HJ30" i="12"/>
  <c r="HV24" i="12"/>
  <c r="FJ28" i="12"/>
  <c r="IP14" i="12"/>
  <c r="EU20" i="12"/>
  <c r="GI32" i="12"/>
  <c r="EW37" i="12"/>
  <c r="AG50" i="12"/>
  <c r="DA22" i="12"/>
  <c r="DB29" i="12"/>
  <c r="AY13" i="12"/>
  <c r="DT13" i="12"/>
  <c r="IJ27" i="12"/>
  <c r="R27" i="12"/>
  <c r="BS36" i="12"/>
  <c r="AE26" i="12"/>
  <c r="ER27" i="12"/>
  <c r="DD44" i="12"/>
  <c r="AU5" i="12"/>
  <c r="AH19" i="12"/>
  <c r="DM22" i="12"/>
  <c r="HP41" i="12"/>
  <c r="FG33" i="12"/>
  <c r="DZ33" i="12"/>
  <c r="EH26" i="12"/>
  <c r="HT17" i="12"/>
  <c r="HO17" i="12"/>
  <c r="DF53" i="12"/>
  <c r="DD29" i="12"/>
  <c r="G34" i="12"/>
  <c r="AH26" i="12"/>
  <c r="DE20" i="12"/>
  <c r="GW26" i="12"/>
  <c r="ES11" i="12"/>
  <c r="BG31" i="12"/>
  <c r="HW33" i="12"/>
  <c r="CX36" i="12"/>
  <c r="FX22" i="12"/>
  <c r="EK31" i="12"/>
  <c r="DV19" i="12"/>
  <c r="DB19" i="12"/>
  <c r="HN28" i="12"/>
  <c r="HZ31" i="12"/>
  <c r="DJ32" i="12"/>
  <c r="BO16" i="12"/>
  <c r="HO16" i="12"/>
  <c r="IN43" i="12"/>
  <c r="CB20" i="12"/>
  <c r="HD31" i="12"/>
  <c r="CJ28" i="12"/>
  <c r="BF33" i="12"/>
  <c r="AQ19" i="12"/>
  <c r="CH15" i="12"/>
  <c r="BV31" i="12"/>
  <c r="AO26" i="12"/>
  <c r="FA10" i="12"/>
  <c r="FS20" i="12"/>
  <c r="EP23" i="12"/>
  <c r="AK15" i="12"/>
  <c r="DO12" i="12"/>
  <c r="GE25" i="12"/>
  <c r="FZ19" i="12"/>
  <c r="HQ28" i="12"/>
  <c r="CB27" i="12"/>
  <c r="AJ27" i="12"/>
  <c r="EM6" i="12"/>
  <c r="HD27" i="12"/>
  <c r="M30" i="12"/>
  <c r="GU20" i="12"/>
  <c r="II18" i="12"/>
  <c r="T34" i="12"/>
  <c r="CT35" i="12"/>
  <c r="BM24" i="12"/>
  <c r="HC42" i="12"/>
  <c r="AV47" i="12"/>
  <c r="BX36" i="12"/>
  <c r="G50" i="12"/>
  <c r="CK14" i="12"/>
  <c r="ER53" i="12"/>
  <c r="EZ36" i="12"/>
  <c r="CB52" i="12"/>
  <c r="GW8" i="12"/>
  <c r="ID21" i="12"/>
  <c r="M25" i="12"/>
  <c r="FH8" i="12"/>
  <c r="H31" i="12"/>
  <c r="FC32" i="12"/>
  <c r="IJ34" i="12"/>
  <c r="DE31" i="12"/>
  <c r="IA33" i="12"/>
  <c r="HS25" i="12"/>
  <c r="CJ27" i="12"/>
  <c r="HJ37" i="12"/>
  <c r="EK15" i="12"/>
  <c r="AO19" i="12"/>
  <c r="DK19" i="12"/>
  <c r="S29" i="12"/>
  <c r="EK29" i="12"/>
  <c r="AW30" i="12"/>
  <c r="CX15" i="12"/>
  <c r="AF16" i="12"/>
  <c r="HO19" i="12"/>
  <c r="FW25" i="12"/>
  <c r="AC9" i="12"/>
  <c r="FD22" i="12"/>
  <c r="DH11" i="12"/>
  <c r="Z36" i="12"/>
  <c r="AR35" i="12"/>
  <c r="BK22" i="12"/>
  <c r="DK16" i="12"/>
  <c r="IL22" i="12"/>
  <c r="IP20" i="12"/>
  <c r="H7" i="12"/>
  <c r="DQ21" i="12"/>
  <c r="HW31" i="12"/>
  <c r="G31" i="12"/>
  <c r="BU16" i="12"/>
  <c r="IA18" i="12"/>
  <c r="IB24" i="12"/>
  <c r="DO30" i="12"/>
  <c r="GM26" i="12"/>
  <c r="HS48" i="12"/>
  <c r="IC49" i="12"/>
  <c r="HL18" i="12"/>
  <c r="HQ14" i="12"/>
  <c r="DN30" i="12"/>
  <c r="AN36" i="12"/>
  <c r="BP31" i="12"/>
  <c r="G27" i="12"/>
  <c r="HQ18" i="12"/>
  <c r="AN24" i="12"/>
  <c r="CZ32" i="12"/>
  <c r="GV10" i="12"/>
  <c r="GS22" i="12"/>
  <c r="M29" i="12"/>
  <c r="AW21" i="12"/>
  <c r="EO18" i="12"/>
  <c r="FO34" i="12"/>
  <c r="IG35" i="12"/>
  <c r="FP28" i="12"/>
  <c r="EU37" i="12"/>
  <c r="EU10" i="12"/>
  <c r="FB14" i="12"/>
  <c r="AW17" i="12"/>
  <c r="EN29" i="12"/>
  <c r="DC30" i="12"/>
  <c r="DR30" i="12"/>
  <c r="CS22" i="12"/>
  <c r="BE15" i="12"/>
  <c r="HS14" i="12"/>
  <c r="BT33" i="12"/>
  <c r="FV9" i="12"/>
  <c r="AB24" i="12"/>
  <c r="HF26" i="12"/>
  <c r="DW33" i="12"/>
  <c r="HJ25" i="12"/>
  <c r="IR4" i="12"/>
  <c r="AT52" i="12"/>
  <c r="IC44" i="12"/>
  <c r="E37" i="12"/>
  <c r="BQ43" i="12"/>
  <c r="EX45" i="12"/>
  <c r="CY50" i="12"/>
  <c r="FX49" i="12"/>
  <c r="FD48" i="12"/>
  <c r="W34" i="12"/>
  <c r="N35" i="12"/>
  <c r="IG48" i="12"/>
  <c r="DQ28" i="12"/>
  <c r="AY45" i="12"/>
  <c r="GV42" i="12"/>
  <c r="BP45" i="12"/>
  <c r="FJ37" i="12"/>
  <c r="DO44" i="12"/>
  <c r="BN53" i="12"/>
  <c r="CU51" i="12"/>
  <c r="HR49" i="12"/>
  <c r="AO4" i="12"/>
  <c r="DT30" i="12"/>
  <c r="W29" i="12"/>
  <c r="BE38" i="12"/>
  <c r="CJ47" i="12"/>
  <c r="AZ43" i="12"/>
  <c r="AP45" i="12"/>
  <c r="GN14" i="12"/>
  <c r="K41" i="12"/>
  <c r="H49" i="12"/>
  <c r="GX42" i="12"/>
  <c r="EV49" i="12"/>
  <c r="HO34" i="12"/>
  <c r="S48" i="12"/>
  <c r="FI38" i="12"/>
  <c r="DP34" i="12"/>
  <c r="FJ48" i="12"/>
  <c r="EN27" i="12"/>
  <c r="EG42" i="12"/>
  <c r="ED37" i="12"/>
  <c r="BC41" i="12"/>
  <c r="DJ52" i="12"/>
  <c r="AU31" i="12"/>
  <c r="IO41" i="12"/>
  <c r="FE27" i="12"/>
  <c r="FC38" i="12"/>
  <c r="CV51" i="12"/>
  <c r="HB51" i="12"/>
  <c r="GI31" i="12"/>
  <c r="IB8" i="12"/>
  <c r="FN39" i="12"/>
  <c r="AD47" i="12"/>
  <c r="V36" i="12"/>
  <c r="HJ40" i="12"/>
  <c r="AB37" i="12"/>
  <c r="ID27" i="12"/>
  <c r="FV43" i="12"/>
  <c r="GP42" i="12"/>
  <c r="BU4" i="12"/>
  <c r="CA34" i="12"/>
  <c r="F4" i="12"/>
  <c r="CP53" i="12"/>
  <c r="P39" i="12"/>
  <c r="M44" i="12"/>
  <c r="CH49" i="12"/>
  <c r="BS41" i="12"/>
  <c r="AB47" i="12"/>
  <c r="HT20" i="12"/>
  <c r="DJ47" i="12"/>
  <c r="BG47" i="12"/>
  <c r="AK50" i="12"/>
  <c r="CN37" i="12"/>
  <c r="FC48" i="12"/>
  <c r="EI35" i="12"/>
  <c r="GE37" i="12"/>
  <c r="IA43" i="12"/>
  <c r="FZ52" i="12"/>
  <c r="EO46" i="12"/>
  <c r="BP4" i="12"/>
  <c r="AG47" i="12"/>
  <c r="GD46" i="12"/>
  <c r="DR42" i="12"/>
  <c r="BP37" i="12"/>
  <c r="BX40" i="12"/>
  <c r="ER39" i="12"/>
  <c r="EB41" i="12"/>
  <c r="CD41" i="12"/>
  <c r="FJ43" i="12"/>
  <c r="HU41" i="12"/>
  <c r="CO41" i="12"/>
  <c r="BN29" i="12"/>
  <c r="FN42" i="12"/>
  <c r="CK43" i="12"/>
  <c r="FJ39" i="12"/>
  <c r="HO46" i="12"/>
  <c r="CA13" i="12"/>
  <c r="AF9" i="12"/>
  <c r="I16" i="12"/>
  <c r="AI5" i="12"/>
  <c r="DR38" i="12"/>
  <c r="AI38" i="12"/>
  <c r="FH45" i="12"/>
  <c r="AZ9" i="12"/>
  <c r="T12" i="12"/>
  <c r="HZ8" i="12"/>
  <c r="EQ9" i="12"/>
  <c r="AR14" i="12"/>
  <c r="GC12" i="12"/>
  <c r="BI29" i="12"/>
  <c r="EJ21" i="12"/>
  <c r="IO38" i="12"/>
  <c r="IM41" i="12"/>
  <c r="AW5" i="12"/>
  <c r="AP12" i="12"/>
  <c r="AN18" i="12"/>
  <c r="HO7" i="12"/>
  <c r="EW16" i="12"/>
  <c r="HZ5" i="12"/>
  <c r="FC33" i="12"/>
  <c r="AD48" i="12"/>
  <c r="CP4" i="12"/>
  <c r="CB16" i="12"/>
  <c r="DU12" i="12"/>
  <c r="BH4" i="12"/>
  <c r="CD6" i="12"/>
  <c r="DP7" i="12"/>
  <c r="BT22" i="12"/>
  <c r="CN18" i="12"/>
  <c r="BZ17" i="12"/>
  <c r="GH36" i="12"/>
  <c r="AD31" i="12"/>
  <c r="EN46" i="12"/>
  <c r="I7" i="12"/>
  <c r="EE9" i="12"/>
  <c r="IK5" i="12"/>
  <c r="AD17" i="12"/>
  <c r="FC52" i="12"/>
  <c r="DD8" i="12"/>
  <c r="AP37" i="12"/>
  <c r="GV40" i="12"/>
  <c r="EP39" i="12"/>
  <c r="L5" i="12"/>
  <c r="EN6" i="12"/>
  <c r="CC17" i="12"/>
  <c r="DY51" i="12"/>
  <c r="GC8" i="12"/>
  <c r="GD43" i="12"/>
  <c r="HU53" i="12"/>
  <c r="IG51" i="12"/>
  <c r="W53" i="12"/>
  <c r="EO33" i="12"/>
  <c r="CN36" i="12"/>
  <c r="AI27" i="12"/>
  <c r="H46" i="12"/>
  <c r="EL4" i="12"/>
  <c r="BJ7" i="12"/>
  <c r="CW5" i="12"/>
  <c r="GQ9" i="12"/>
  <c r="BA7" i="12"/>
  <c r="AI7" i="12"/>
  <c r="GX19" i="12"/>
  <c r="AW52" i="12"/>
  <c r="FO53" i="12"/>
  <c r="BW11" i="12"/>
  <c r="AD6" i="12"/>
  <c r="FD51" i="12"/>
  <c r="X51" i="12"/>
  <c r="HC14" i="12"/>
  <c r="M18" i="12"/>
  <c r="GW12" i="12"/>
  <c r="BI44" i="12"/>
  <c r="K44" i="12"/>
  <c r="FO40" i="12"/>
  <c r="ID11" i="12"/>
  <c r="GA43" i="12"/>
  <c r="FP9" i="12"/>
  <c r="EQ14" i="12"/>
  <c r="DE10" i="12"/>
  <c r="AN4" i="12"/>
  <c r="GZ25" i="12"/>
  <c r="BI38" i="12"/>
  <c r="EC38" i="12"/>
  <c r="H40" i="12"/>
  <c r="CF47" i="12"/>
  <c r="EZ5" i="12"/>
  <c r="CM10" i="12"/>
  <c r="CS8" i="12"/>
  <c r="AO12" i="12"/>
  <c r="R7" i="12"/>
  <c r="IO30" i="12"/>
  <c r="DW20" i="12"/>
  <c r="DM46" i="12"/>
  <c r="DV51" i="12"/>
  <c r="C13" i="12"/>
  <c r="IG14" i="12"/>
  <c r="GB11" i="12"/>
  <c r="BK16" i="12"/>
  <c r="DB44" i="12"/>
  <c r="AG49" i="12"/>
  <c r="BV47" i="12"/>
  <c r="FO43" i="12"/>
  <c r="O50" i="12"/>
  <c r="O24" i="12"/>
  <c r="CB50" i="12"/>
  <c r="GA46" i="12"/>
  <c r="CM47" i="12"/>
  <c r="EF15" i="12"/>
  <c r="BY12" i="12"/>
  <c r="AD11" i="12"/>
  <c r="GF9" i="12"/>
  <c r="DA14" i="12"/>
  <c r="AO49" i="12"/>
  <c r="CA38" i="12"/>
  <c r="BO38" i="12"/>
  <c r="DF13" i="12"/>
  <c r="HT12" i="12"/>
  <c r="HG18" i="12"/>
  <c r="EK8" i="12"/>
  <c r="GB12" i="12"/>
  <c r="X6" i="12"/>
  <c r="J37" i="12"/>
  <c r="AL47" i="12"/>
  <c r="EA53" i="12"/>
  <c r="FH7" i="12"/>
  <c r="DV5" i="12"/>
  <c r="CT4" i="12"/>
  <c r="BY8" i="12"/>
  <c r="CY9" i="12"/>
  <c r="IC26" i="12"/>
  <c r="GB15" i="12"/>
  <c r="W46" i="12"/>
  <c r="FD40" i="12"/>
  <c r="GS46" i="12"/>
  <c r="HR5" i="12"/>
  <c r="BT52" i="12"/>
  <c r="EE10" i="12"/>
  <c r="DT6" i="12"/>
  <c r="HW52" i="12"/>
  <c r="BN50" i="12"/>
  <c r="HD14" i="12"/>
  <c r="DG23" i="12"/>
  <c r="HT42" i="12"/>
  <c r="AD43" i="12"/>
  <c r="AO46" i="12"/>
  <c r="CJ12" i="12"/>
  <c r="BE8" i="12"/>
  <c r="CW12" i="12"/>
  <c r="GN52" i="12"/>
  <c r="FT11" i="12"/>
  <c r="EC9" i="12"/>
  <c r="EZ50" i="12"/>
  <c r="CK4" i="12"/>
  <c r="GU8" i="12"/>
  <c r="CI6" i="12"/>
  <c r="DS50" i="12"/>
  <c r="GI49" i="12"/>
  <c r="IE11" i="12"/>
  <c r="R16" i="12"/>
  <c r="CN4" i="12"/>
  <c r="GH46" i="12"/>
  <c r="FP47" i="12"/>
  <c r="EE14" i="12"/>
  <c r="IL10" i="12"/>
  <c r="FS24" i="12"/>
  <c r="DT9" i="12"/>
  <c r="EE11" i="12"/>
  <c r="IG16" i="12"/>
  <c r="FT42" i="12"/>
  <c r="GO52" i="12"/>
  <c r="AQ48" i="12"/>
  <c r="GC50" i="12"/>
  <c r="GK52" i="12"/>
  <c r="CP50" i="12"/>
  <c r="ES47" i="12"/>
  <c r="EW48" i="12"/>
  <c r="AB5" i="12"/>
  <c r="FO10" i="12"/>
  <c r="EJ13" i="12"/>
  <c r="N10" i="12"/>
  <c r="DN11" i="12"/>
  <c r="EY17" i="12"/>
  <c r="AJ44" i="12"/>
  <c r="AR50" i="12"/>
  <c r="EX14" i="12"/>
  <c r="AL7" i="12"/>
  <c r="IN46" i="12"/>
  <c r="FE5" i="12"/>
  <c r="N6" i="12"/>
  <c r="G22" i="12"/>
  <c r="HA21" i="12"/>
  <c r="AX39" i="12"/>
  <c r="IA40" i="12"/>
  <c r="HG48" i="12"/>
  <c r="P6" i="12"/>
  <c r="DI50" i="12"/>
  <c r="AZ8" i="12"/>
  <c r="U5" i="12"/>
  <c r="BJ48" i="12"/>
  <c r="CQ52" i="12"/>
  <c r="FC17" i="12"/>
  <c r="HK46" i="12"/>
  <c r="DB47" i="12"/>
  <c r="IP42" i="12"/>
  <c r="GL52" i="12"/>
  <c r="HR10" i="12"/>
  <c r="BE6" i="12"/>
  <c r="EL14" i="12"/>
  <c r="GD8" i="12"/>
  <c r="BH11" i="12"/>
  <c r="GY36" i="12"/>
  <c r="FQ20" i="12"/>
  <c r="BR50" i="12"/>
  <c r="IG53" i="12"/>
  <c r="HU49" i="12"/>
  <c r="GY10" i="12"/>
  <c r="G16" i="12"/>
  <c r="AL50" i="12"/>
  <c r="DR10" i="12"/>
  <c r="BE9" i="12"/>
  <c r="CS44" i="12"/>
  <c r="AS50" i="12"/>
  <c r="IO43" i="12"/>
  <c r="AS10" i="12"/>
  <c r="HP51" i="12"/>
  <c r="CO8" i="12"/>
  <c r="BN10" i="12"/>
  <c r="BK9" i="12"/>
  <c r="DE52" i="12"/>
  <c r="AU46" i="12"/>
  <c r="L46" i="12"/>
  <c r="G7" i="12"/>
  <c r="AL10" i="12"/>
  <c r="AK13" i="12"/>
  <c r="Y11" i="12"/>
  <c r="EK9" i="12"/>
  <c r="AA16" i="12"/>
  <c r="BX17" i="12"/>
  <c r="R18" i="12"/>
  <c r="BT39" i="12"/>
  <c r="S17" i="12"/>
  <c r="EI31" i="12"/>
  <c r="AY17" i="12"/>
  <c r="BY18" i="12"/>
  <c r="EW31" i="12"/>
  <c r="BG29" i="12"/>
  <c r="IA35" i="12"/>
  <c r="DQ38" i="12"/>
  <c r="GM43" i="12"/>
  <c r="R43" i="12"/>
  <c r="HY44" i="12"/>
  <c r="AU45" i="12"/>
  <c r="HG17" i="12"/>
  <c r="HL49" i="12"/>
  <c r="CU36" i="12"/>
  <c r="DP35" i="12"/>
  <c r="EU9" i="12"/>
  <c r="F8" i="12"/>
  <c r="GS21" i="12"/>
  <c r="FY10" i="12"/>
  <c r="ID9" i="12"/>
  <c r="FU33" i="12"/>
  <c r="HS45" i="12"/>
  <c r="BF43" i="12"/>
  <c r="GO11" i="12"/>
  <c r="FX10" i="12"/>
  <c r="DZ15" i="12"/>
  <c r="HW45" i="12"/>
  <c r="DF14" i="12"/>
  <c r="FR11" i="12"/>
  <c r="BC30" i="12"/>
  <c r="C9" i="12"/>
  <c r="HG47" i="12"/>
  <c r="CJ49" i="12"/>
  <c r="EW14" i="12"/>
  <c r="FG18" i="12"/>
  <c r="BR46" i="12"/>
  <c r="DL6" i="12"/>
  <c r="AR13" i="12"/>
  <c r="HM16" i="12"/>
  <c r="FU26" i="12"/>
  <c r="DD39" i="12"/>
  <c r="HX40" i="12"/>
  <c r="BT15" i="12"/>
  <c r="GL18" i="12"/>
  <c r="IB11" i="12"/>
  <c r="IO5" i="12"/>
  <c r="AO14" i="12"/>
  <c r="BK53" i="12"/>
  <c r="EG13" i="12"/>
  <c r="FS21" i="12"/>
  <c r="HZ37" i="12"/>
  <c r="BF38" i="12"/>
  <c r="V45" i="12"/>
  <c r="AJ4" i="12"/>
  <c r="J9" i="12"/>
  <c r="GX12" i="12"/>
  <c r="CH12" i="12"/>
  <c r="GA5" i="12"/>
  <c r="GH8" i="12"/>
  <c r="AX49" i="12"/>
  <c r="CL49" i="12"/>
  <c r="EI50" i="12"/>
  <c r="H6" i="12"/>
  <c r="FW14" i="12"/>
  <c r="BF15" i="12"/>
  <c r="AD5" i="12"/>
  <c r="AM7" i="12"/>
  <c r="CZ51" i="12"/>
  <c r="V31" i="12"/>
  <c r="BU35" i="12"/>
  <c r="FF8" i="12"/>
  <c r="CN6" i="12"/>
  <c r="EF21" i="12"/>
  <c r="AY10" i="12"/>
  <c r="IF7" i="12"/>
  <c r="FP42" i="12"/>
  <c r="GT37" i="12"/>
  <c r="EA45" i="12"/>
  <c r="BU49" i="12"/>
  <c r="U35" i="12"/>
  <c r="EW20" i="12"/>
  <c r="II4" i="12"/>
  <c r="GB35" i="12"/>
  <c r="AO31" i="12"/>
  <c r="HK11" i="12"/>
  <c r="BT12" i="12"/>
  <c r="BZ23" i="12"/>
  <c r="CV10" i="12"/>
  <c r="FI9" i="12"/>
  <c r="AF34" i="12"/>
  <c r="DR43" i="12"/>
  <c r="CO37" i="12"/>
  <c r="DS13" i="12"/>
  <c r="DG12" i="12"/>
  <c r="EM18" i="12"/>
  <c r="EG53" i="12"/>
  <c r="BM5" i="12"/>
  <c r="CN13" i="12"/>
  <c r="GJ24" i="12"/>
  <c r="AG48" i="12"/>
  <c r="V4" i="12"/>
  <c r="HT6" i="12"/>
  <c r="FR16" i="12"/>
  <c r="EM4" i="12"/>
  <c r="HO53" i="12"/>
  <c r="Q8" i="12"/>
  <c r="CZ15" i="12"/>
  <c r="GY22" i="12"/>
  <c r="DK27" i="12"/>
  <c r="AU41" i="12"/>
  <c r="CK47" i="12"/>
  <c r="HT5" i="12"/>
  <c r="IB4" i="12"/>
  <c r="IR13" i="12"/>
  <c r="HU5" i="12"/>
  <c r="GP5" i="12"/>
  <c r="ER51" i="12"/>
  <c r="EB17" i="12"/>
  <c r="EZ20" i="12"/>
  <c r="GG44" i="12"/>
  <c r="CN45" i="12"/>
  <c r="IA44" i="12"/>
  <c r="FX50" i="12"/>
  <c r="HL9" i="12"/>
  <c r="Q7" i="12"/>
  <c r="HP13" i="12"/>
  <c r="GE8" i="12"/>
  <c r="BV13" i="12"/>
  <c r="CY47" i="12"/>
  <c r="FF52" i="12"/>
  <c r="HU39" i="12"/>
  <c r="FE38" i="12"/>
  <c r="CO43" i="12"/>
  <c r="BJ41" i="12"/>
  <c r="DX39" i="12"/>
  <c r="DP25" i="12"/>
  <c r="HY39" i="12"/>
  <c r="GY39" i="12"/>
  <c r="IK38" i="12"/>
  <c r="EN16" i="12"/>
  <c r="EX12" i="12"/>
  <c r="FP22" i="12"/>
  <c r="HJ53" i="12"/>
  <c r="GN7" i="12"/>
  <c r="HO43" i="12"/>
  <c r="GQ44" i="12"/>
  <c r="IG46" i="12"/>
  <c r="BE16" i="12"/>
  <c r="EU16" i="12"/>
  <c r="BS20" i="12"/>
  <c r="GV51" i="12"/>
  <c r="EC7" i="12"/>
  <c r="GS5" i="12"/>
  <c r="K26" i="12"/>
  <c r="IO44" i="12"/>
  <c r="BE53" i="12"/>
  <c r="CZ9" i="12"/>
  <c r="BB5" i="12"/>
  <c r="EY52" i="12"/>
  <c r="S52" i="12"/>
  <c r="AC11" i="12"/>
  <c r="CP16" i="12"/>
  <c r="BR26" i="12"/>
  <c r="HZ32" i="12"/>
  <c r="EW47" i="12"/>
  <c r="EN39" i="12"/>
  <c r="AU8" i="12"/>
  <c r="DZ50" i="12"/>
  <c r="BG8" i="12"/>
  <c r="AF10" i="12"/>
  <c r="V8" i="12"/>
  <c r="FB52" i="12"/>
  <c r="M23" i="12"/>
  <c r="EE26" i="12"/>
  <c r="FG44" i="12"/>
  <c r="AX45" i="12"/>
  <c r="CY40" i="12"/>
  <c r="FB51" i="12"/>
  <c r="BI13" i="12"/>
  <c r="BP6" i="12"/>
  <c r="AV13" i="12"/>
  <c r="AA11" i="12"/>
  <c r="DX11" i="12"/>
  <c r="CT52" i="12"/>
  <c r="DK53" i="12"/>
  <c r="V52" i="12"/>
  <c r="CA5" i="12"/>
  <c r="GT14" i="12"/>
  <c r="P52" i="12"/>
  <c r="FE11" i="12"/>
  <c r="BV9" i="12"/>
  <c r="FE52" i="12"/>
  <c r="ID28" i="12"/>
  <c r="AN26" i="12"/>
  <c r="AS6" i="12"/>
  <c r="IM10" i="12"/>
  <c r="X11" i="12"/>
  <c r="CK40" i="12"/>
  <c r="EQ41" i="12"/>
  <c r="CN35" i="12"/>
  <c r="Q51" i="12"/>
  <c r="AA4" i="12"/>
  <c r="FH49" i="12"/>
  <c r="P48" i="12"/>
  <c r="AG44" i="12"/>
  <c r="AN38" i="12"/>
  <c r="FV8" i="12"/>
  <c r="ET46" i="12"/>
  <c r="DU13" i="12"/>
  <c r="FA9" i="12"/>
  <c r="FB45" i="12"/>
  <c r="BW47" i="12"/>
  <c r="ID38" i="12"/>
  <c r="BG38" i="12"/>
  <c r="BS14" i="12"/>
  <c r="ES16" i="12"/>
  <c r="HH8" i="12"/>
  <c r="BU10" i="12"/>
  <c r="BS11" i="12"/>
  <c r="DX4" i="12"/>
  <c r="FW15" i="12"/>
  <c r="EU30" i="12"/>
  <c r="HN42" i="12"/>
  <c r="DD43" i="12"/>
  <c r="E4" i="12"/>
  <c r="AH6" i="12"/>
  <c r="IE10" i="12"/>
  <c r="G11" i="12"/>
  <c r="V5" i="12"/>
  <c r="CU6" i="12"/>
  <c r="N37" i="12"/>
  <c r="Z49" i="12"/>
  <c r="IL38" i="12"/>
  <c r="DA39" i="12"/>
  <c r="J5" i="12"/>
  <c r="HW12" i="12"/>
  <c r="I18" i="12"/>
  <c r="CA8" i="12"/>
  <c r="EG5" i="12"/>
  <c r="GL6" i="12"/>
  <c r="FQ35" i="12"/>
  <c r="Q27" i="12"/>
  <c r="CX4" i="12"/>
  <c r="IO53" i="12"/>
  <c r="CU7" i="12"/>
  <c r="GW6" i="12"/>
  <c r="BS7" i="12"/>
  <c r="DZ5" i="12"/>
  <c r="CI7" i="12"/>
  <c r="AI20" i="12"/>
  <c r="AU40" i="12"/>
  <c r="DH44" i="12"/>
  <c r="GG40" i="12"/>
  <c r="BV6" i="12"/>
  <c r="CS6" i="12"/>
  <c r="HG16" i="12"/>
  <c r="W13" i="12"/>
  <c r="DB7" i="12"/>
  <c r="FW46" i="12"/>
  <c r="J45" i="12"/>
  <c r="AF39" i="12"/>
  <c r="X8" i="12"/>
  <c r="EE46" i="12"/>
  <c r="HV11" i="12"/>
  <c r="HP8" i="12"/>
  <c r="EU45" i="12"/>
  <c r="FH47" i="12"/>
  <c r="HE23" i="12"/>
  <c r="HV19" i="12"/>
  <c r="BZ7" i="12"/>
  <c r="IG18" i="12"/>
  <c r="DE27" i="12"/>
  <c r="AQ23" i="12"/>
  <c r="HH19" i="12"/>
  <c r="EL21" i="12"/>
  <c r="IF27" i="12"/>
  <c r="BP25" i="12"/>
  <c r="GK11" i="12"/>
  <c r="AN6" i="12"/>
  <c r="EN41" i="12"/>
  <c r="CG6" i="12"/>
  <c r="GW14" i="12"/>
  <c r="AK27" i="12"/>
  <c r="AX33" i="12"/>
  <c r="DA7" i="12"/>
  <c r="EE24" i="12"/>
  <c r="CQ31" i="12"/>
  <c r="FH26" i="12"/>
  <c r="IG22" i="12"/>
  <c r="FD23" i="12"/>
  <c r="IA31" i="12"/>
  <c r="ED28" i="12"/>
  <c r="AK43" i="12"/>
  <c r="FJ8" i="12"/>
  <c r="FI20" i="12"/>
  <c r="DM17" i="12"/>
  <c r="IP34" i="12"/>
  <c r="I37" i="12"/>
  <c r="G36" i="12"/>
  <c r="IK13" i="12"/>
  <c r="IJ18" i="12"/>
  <c r="BD10" i="12"/>
  <c r="GE31" i="12"/>
  <c r="CD22" i="12"/>
  <c r="DW13" i="12"/>
  <c r="HF21" i="12"/>
  <c r="HS26" i="12"/>
  <c r="EF31" i="12"/>
  <c r="BV26" i="12"/>
  <c r="BR22" i="12"/>
  <c r="AH23" i="12"/>
  <c r="GV16" i="12"/>
  <c r="EQ52" i="12"/>
  <c r="BI30" i="12"/>
  <c r="CX31" i="12"/>
  <c r="GW31" i="12"/>
  <c r="FK20" i="12"/>
  <c r="BC26" i="12"/>
  <c r="IJ30" i="12"/>
  <c r="FG25" i="12"/>
  <c r="CF31" i="12"/>
  <c r="GQ33" i="12"/>
  <c r="AG7" i="12"/>
  <c r="IB16" i="12"/>
  <c r="GM19" i="12"/>
  <c r="GY30" i="12"/>
  <c r="BJ24" i="12"/>
  <c r="N31" i="12"/>
  <c r="AW18" i="12"/>
  <c r="FH20" i="12"/>
  <c r="IF16" i="12"/>
  <c r="FH33" i="12"/>
  <c r="Y8" i="12"/>
  <c r="AA23" i="12"/>
  <c r="GQ25" i="12"/>
  <c r="GX13" i="12"/>
  <c r="IF12" i="12"/>
  <c r="BR23" i="12"/>
  <c r="HR25" i="12"/>
  <c r="EX34" i="12"/>
  <c r="IN40" i="12"/>
  <c r="CZ11" i="12"/>
  <c r="GR20" i="12"/>
  <c r="CR21" i="12"/>
  <c r="AA44" i="12"/>
  <c r="CN32" i="12"/>
  <c r="CZ36" i="12"/>
  <c r="GC29" i="12"/>
  <c r="CU23" i="12"/>
  <c r="FF18" i="12"/>
  <c r="EA32" i="12"/>
  <c r="DI10" i="12"/>
  <c r="CA15" i="12"/>
  <c r="DL19" i="12"/>
  <c r="DN38" i="12"/>
  <c r="DQ32" i="12"/>
  <c r="EF32" i="12"/>
  <c r="GF20" i="12"/>
  <c r="HY16" i="12"/>
  <c r="GH45" i="12"/>
  <c r="C19" i="12"/>
  <c r="AR48" i="12"/>
  <c r="DO47" i="12"/>
  <c r="AE53" i="12"/>
  <c r="T40" i="12"/>
  <c r="GR39" i="12"/>
  <c r="CZ37" i="12"/>
  <c r="GN40" i="12"/>
  <c r="CV47" i="12"/>
  <c r="M33" i="12"/>
  <c r="HF42" i="12"/>
  <c r="HP34" i="12"/>
  <c r="D39" i="12"/>
  <c r="CB29" i="12"/>
  <c r="IP35" i="12"/>
  <c r="AZ32" i="12"/>
  <c r="FS45" i="12"/>
  <c r="BV38" i="12"/>
  <c r="GZ42" i="12"/>
  <c r="HK38" i="12"/>
  <c r="EQ38" i="12"/>
  <c r="GR32" i="12"/>
  <c r="HA48" i="12"/>
  <c r="GZ34" i="12"/>
  <c r="EW39" i="12"/>
  <c r="EB48" i="12"/>
  <c r="BJ45" i="12"/>
  <c r="HA53" i="12"/>
  <c r="BK47" i="12"/>
  <c r="I11" i="12"/>
  <c r="GV5" i="12"/>
  <c r="AJ50" i="12"/>
  <c r="CV31" i="12"/>
  <c r="BC40" i="12"/>
  <c r="CG25" i="12"/>
  <c r="CR18" i="12"/>
  <c r="FI23" i="12"/>
  <c r="AR19" i="12"/>
  <c r="DJ22" i="12"/>
  <c r="EW13" i="12"/>
  <c r="GC22" i="12"/>
  <c r="BD25" i="12"/>
  <c r="AM52" i="12"/>
  <c r="F10" i="12"/>
  <c r="DZ30" i="12"/>
  <c r="N19" i="12"/>
  <c r="BM17" i="12"/>
  <c r="L14" i="12"/>
  <c r="GU29" i="12"/>
  <c r="GB25" i="12"/>
  <c r="AQ29" i="12"/>
  <c r="IN15" i="12"/>
  <c r="EZ6" i="12"/>
  <c r="V27" i="12"/>
  <c r="GE32" i="12"/>
  <c r="BU23" i="12"/>
  <c r="CW22" i="12"/>
  <c r="M34" i="12"/>
  <c r="HB36" i="12"/>
  <c r="HI27" i="12"/>
  <c r="GE34" i="12"/>
  <c r="EE21" i="12"/>
  <c r="EK5" i="12"/>
  <c r="DY19" i="12"/>
  <c r="S9" i="12"/>
  <c r="EW30" i="12"/>
  <c r="DJ30" i="12"/>
  <c r="HF16" i="12"/>
  <c r="CL20" i="12"/>
  <c r="FA20" i="12"/>
  <c r="BL27" i="12"/>
  <c r="HP11" i="12"/>
  <c r="GQ21" i="12"/>
  <c r="FR31" i="12"/>
  <c r="AC23" i="12"/>
  <c r="BP24" i="12"/>
  <c r="II19" i="12"/>
  <c r="BA31" i="12"/>
  <c r="AL32" i="12"/>
  <c r="EL30" i="12"/>
  <c r="BN17" i="12"/>
  <c r="BV48" i="12"/>
  <c r="EW7" i="12"/>
  <c r="CO13" i="12"/>
  <c r="AR33" i="12"/>
  <c r="GJ29" i="12"/>
  <c r="BH20" i="12"/>
  <c r="FS22" i="12"/>
  <c r="HS16" i="12"/>
  <c r="CK23" i="12"/>
  <c r="GO8" i="12"/>
  <c r="HA27" i="12"/>
  <c r="FP29" i="12"/>
  <c r="EC29" i="12"/>
  <c r="AP14" i="12"/>
  <c r="AB16" i="12"/>
  <c r="EA27" i="12"/>
  <c r="FK33" i="12"/>
  <c r="GS31" i="12"/>
  <c r="V32" i="12"/>
  <c r="S15" i="12"/>
  <c r="GE27" i="12"/>
  <c r="AH25" i="12"/>
  <c r="EI25" i="12"/>
  <c r="FU25" i="12"/>
  <c r="EN21" i="12"/>
  <c r="E35" i="12"/>
  <c r="FC29" i="12"/>
  <c r="FW45" i="12"/>
  <c r="EG39" i="12"/>
  <c r="IA47" i="12"/>
  <c r="CG45" i="12"/>
  <c r="GG51" i="12"/>
  <c r="ER10" i="12"/>
  <c r="DX47" i="12"/>
  <c r="Z6" i="12"/>
  <c r="CJ5" i="12"/>
  <c r="M21" i="12"/>
  <c r="EF30" i="12"/>
  <c r="AV12" i="12"/>
  <c r="BA33" i="12"/>
  <c r="DM33" i="12"/>
  <c r="CE34" i="12"/>
  <c r="FO33" i="12"/>
  <c r="DS30" i="12"/>
  <c r="BB33" i="12"/>
  <c r="IQ35" i="12"/>
  <c r="CQ34" i="12"/>
  <c r="CP8" i="12"/>
  <c r="HI17" i="12"/>
  <c r="FT23" i="12"/>
  <c r="G24" i="12"/>
  <c r="EO29" i="12"/>
  <c r="GS26" i="12"/>
  <c r="AI23" i="12"/>
  <c r="EL24" i="12"/>
  <c r="AD21" i="12"/>
  <c r="GT40" i="12"/>
  <c r="C15" i="12"/>
  <c r="CS21" i="12"/>
  <c r="DO15" i="12"/>
  <c r="DL31" i="12"/>
  <c r="CR29" i="12"/>
  <c r="HD21" i="12"/>
  <c r="AD27" i="12"/>
  <c r="AF11" i="12"/>
  <c r="DI22" i="12"/>
  <c r="IR7" i="12"/>
  <c r="HZ26" i="12"/>
  <c r="DO34" i="12"/>
  <c r="CQ27" i="12"/>
  <c r="HG25" i="12"/>
  <c r="W20" i="12"/>
  <c r="F31" i="12"/>
  <c r="FO31" i="12"/>
  <c r="EL31" i="12"/>
  <c r="II49" i="12"/>
  <c r="GP6" i="12"/>
  <c r="AR20" i="12"/>
  <c r="FI18" i="12"/>
  <c r="DH31" i="12"/>
  <c r="CN30" i="12"/>
  <c r="FH28" i="12"/>
  <c r="IC19" i="12"/>
  <c r="CL15" i="12"/>
  <c r="DZ13" i="12"/>
  <c r="DX27" i="12"/>
  <c r="HV53" i="12"/>
  <c r="DS17" i="12"/>
  <c r="HE29" i="12"/>
  <c r="T17" i="12"/>
  <c r="DS18" i="12"/>
  <c r="DZ18" i="12"/>
  <c r="DY32" i="12"/>
  <c r="FD27" i="12"/>
  <c r="IC50" i="12"/>
  <c r="AK21" i="12"/>
  <c r="IB25" i="12"/>
  <c r="DW27" i="12"/>
  <c r="BP12" i="12"/>
  <c r="L21" i="12"/>
  <c r="EQ24" i="12"/>
  <c r="ED30" i="12"/>
  <c r="IH23" i="12"/>
  <c r="IH22" i="12"/>
  <c r="EM42" i="12"/>
  <c r="DP11" i="12"/>
  <c r="AU19" i="12"/>
  <c r="EG19" i="12"/>
  <c r="GP41" i="12"/>
  <c r="EB34" i="12"/>
  <c r="GN33" i="12"/>
  <c r="GQ31" i="12"/>
  <c r="IM20" i="12"/>
  <c r="HC51" i="12"/>
  <c r="DU52" i="12"/>
  <c r="DR53" i="12"/>
  <c r="CQ43" i="12"/>
  <c r="IM49" i="12"/>
  <c r="GW43" i="12"/>
  <c r="O41" i="12"/>
  <c r="FV38" i="12"/>
  <c r="ET34" i="12"/>
  <c r="J32" i="12"/>
  <c r="DI26" i="12"/>
  <c r="FQ41" i="12"/>
  <c r="DK44" i="12"/>
  <c r="DZ41" i="12"/>
  <c r="EI42" i="12"/>
  <c r="IJ39" i="12"/>
  <c r="AU28" i="12"/>
  <c r="AE43" i="12"/>
  <c r="FT36" i="12"/>
  <c r="IF41" i="12"/>
  <c r="HV43" i="12"/>
  <c r="FB43" i="12"/>
  <c r="BN27" i="12"/>
  <c r="EA41" i="12"/>
  <c r="BC43" i="12"/>
  <c r="DH38" i="12"/>
  <c r="AB39" i="12"/>
  <c r="FW8" i="12"/>
  <c r="EB5" i="12"/>
  <c r="DC52" i="12"/>
  <c r="CZ49" i="12"/>
  <c r="AI6" i="12"/>
  <c r="FY4" i="12"/>
  <c r="HY26" i="12"/>
  <c r="AY37" i="12"/>
  <c r="DD26" i="12"/>
  <c r="HB14" i="12"/>
  <c r="GV14" i="12"/>
  <c r="E26" i="12"/>
  <c r="CH17" i="12"/>
  <c r="AW19" i="12"/>
  <c r="AT19" i="12"/>
  <c r="DA31" i="12"/>
  <c r="DF6" i="12"/>
  <c r="AB21" i="12"/>
  <c r="CC37" i="12"/>
  <c r="DW19" i="12"/>
  <c r="FW20" i="12"/>
  <c r="EY23" i="12"/>
  <c r="GC35" i="12"/>
  <c r="EG31" i="12"/>
  <c r="Y35" i="12"/>
  <c r="CV22" i="12"/>
  <c r="IJ10" i="12"/>
  <c r="CQ19" i="12"/>
  <c r="HK25" i="12"/>
  <c r="GM15" i="12"/>
  <c r="HZ16" i="12"/>
  <c r="AJ13" i="12"/>
  <c r="FF27" i="12"/>
  <c r="DS35" i="12"/>
  <c r="IQ26" i="12"/>
  <c r="CQ26" i="12"/>
  <c r="GT15" i="12"/>
  <c r="GG21" i="12"/>
  <c r="GP17" i="12"/>
  <c r="DG36" i="12"/>
  <c r="CR36" i="12"/>
  <c r="FA21" i="12"/>
  <c r="FU12" i="12"/>
  <c r="CW16" i="12"/>
  <c r="GY17" i="12"/>
  <c r="BA12" i="12"/>
  <c r="EE18" i="12"/>
  <c r="CZ27" i="12"/>
  <c r="DY26" i="12"/>
  <c r="HR24" i="12"/>
  <c r="GO15" i="12"/>
  <c r="IG32" i="12"/>
  <c r="DM32" i="12"/>
  <c r="HB24" i="12"/>
  <c r="DI17" i="12"/>
  <c r="DQ51" i="12"/>
  <c r="HO52" i="12"/>
  <c r="AA20" i="12"/>
  <c r="FO37" i="12"/>
  <c r="AT32" i="12"/>
  <c r="BS31" i="12"/>
  <c r="CY11" i="12"/>
  <c r="FZ22" i="12"/>
  <c r="FL18" i="12"/>
  <c r="GE6" i="12"/>
  <c r="HN34" i="12"/>
  <c r="DI36" i="12"/>
  <c r="IP36" i="12"/>
  <c r="BO20" i="12"/>
  <c r="EB24" i="12"/>
  <c r="BN12" i="12"/>
  <c r="CD29" i="12"/>
  <c r="L33" i="12"/>
  <c r="CG32" i="12"/>
  <c r="GK7" i="12"/>
  <c r="GK30" i="12"/>
  <c r="GD31" i="12"/>
  <c r="EQ31" i="12"/>
  <c r="O19" i="12"/>
  <c r="FR15" i="12"/>
  <c r="HR29" i="12"/>
  <c r="FY35" i="12"/>
  <c r="CU37" i="12"/>
  <c r="CR38" i="12"/>
  <c r="AI41" i="12"/>
  <c r="GP38" i="12"/>
  <c r="BJ38" i="12"/>
  <c r="J33" i="12"/>
  <c r="IO42" i="12"/>
  <c r="HX48" i="12"/>
  <c r="X47" i="12"/>
  <c r="AO42" i="12"/>
  <c r="HF49" i="12"/>
  <c r="AD22" i="12"/>
  <c r="GI4" i="12"/>
  <c r="EI52" i="12"/>
  <c r="CG40" i="12"/>
  <c r="EC37" i="12"/>
  <c r="DQ40" i="12"/>
  <c r="AY28" i="12"/>
  <c r="BL51" i="12"/>
  <c r="GB45" i="12"/>
  <c r="FU51" i="12"/>
  <c r="C20" i="12"/>
  <c r="AN43" i="12"/>
  <c r="FA25" i="12"/>
  <c r="DW36" i="12"/>
  <c r="AG4" i="12"/>
  <c r="O45" i="12"/>
  <c r="DV52" i="12"/>
  <c r="AH50" i="12"/>
  <c r="M45" i="12"/>
  <c r="DJ38" i="12"/>
  <c r="EM33" i="12"/>
  <c r="Y27" i="12"/>
  <c r="CI43" i="12"/>
  <c r="FZ50" i="12"/>
  <c r="GC4" i="12"/>
  <c r="FO13" i="12"/>
  <c r="BU5" i="12"/>
  <c r="EH19" i="12"/>
  <c r="IE20" i="12"/>
  <c r="DC8" i="12"/>
  <c r="HP24" i="12"/>
  <c r="AY26" i="12"/>
  <c r="IN31" i="12"/>
  <c r="I29" i="12"/>
  <c r="DA35" i="12"/>
  <c r="BM30" i="12"/>
  <c r="GV21" i="12"/>
  <c r="DW53" i="12"/>
  <c r="HJ7" i="12"/>
  <c r="AB19" i="12"/>
  <c r="FA40" i="12"/>
  <c r="HF29" i="12"/>
  <c r="IE28" i="12"/>
  <c r="HF18" i="12"/>
  <c r="HK22" i="12"/>
  <c r="HZ21" i="12"/>
  <c r="HQ27" i="12"/>
  <c r="AE32" i="12"/>
  <c r="CR9" i="12"/>
  <c r="CB11" i="12"/>
  <c r="DU32" i="12"/>
  <c r="HP25" i="12"/>
  <c r="DN26" i="12"/>
  <c r="IB20" i="12"/>
  <c r="FK18" i="12"/>
  <c r="CG11" i="12"/>
  <c r="S35" i="12"/>
  <c r="GF29" i="12"/>
  <c r="Z24" i="12"/>
  <c r="ET32" i="12"/>
  <c r="IQ17" i="12"/>
  <c r="L20" i="12"/>
  <c r="CE29" i="12"/>
  <c r="CJ31" i="12"/>
  <c r="FB33" i="12"/>
  <c r="IO29" i="12"/>
  <c r="HS13" i="12"/>
  <c r="FG10" i="12"/>
  <c r="CU20" i="12"/>
  <c r="HD43" i="12"/>
  <c r="GA30" i="12"/>
  <c r="I36" i="12"/>
  <c r="GJ20" i="12"/>
  <c r="EW15" i="12"/>
  <c r="AO16" i="12"/>
  <c r="DG29" i="12"/>
  <c r="IG27" i="12"/>
  <c r="IO32" i="12"/>
  <c r="GH9" i="12"/>
  <c r="HA23" i="12"/>
  <c r="GC23" i="12"/>
  <c r="FM47" i="12"/>
  <c r="BA35" i="12"/>
  <c r="AZ35" i="12"/>
  <c r="BR27" i="12"/>
  <c r="AP20" i="12"/>
  <c r="DR51" i="12"/>
  <c r="DH20" i="12"/>
  <c r="M27" i="12"/>
  <c r="CR28" i="12"/>
  <c r="EM29" i="12"/>
  <c r="EB29" i="12"/>
  <c r="FH18" i="12"/>
  <c r="DC17" i="12"/>
  <c r="GD19" i="12"/>
  <c r="IF30" i="12"/>
  <c r="GF14" i="12"/>
  <c r="IC12" i="12"/>
  <c r="DC18" i="12"/>
  <c r="CP24" i="12"/>
  <c r="GZ30" i="12"/>
  <c r="II24" i="12"/>
  <c r="HX19" i="12"/>
  <c r="GY25" i="12"/>
  <c r="CS48" i="12"/>
  <c r="HC4" i="12"/>
  <c r="EZ48" i="12"/>
  <c r="CZ40" i="12"/>
  <c r="AT35" i="12"/>
  <c r="CH30" i="12"/>
  <c r="IF40" i="12"/>
  <c r="DM52" i="12"/>
  <c r="DJ53" i="12"/>
  <c r="AU50" i="12"/>
  <c r="HW4" i="12"/>
  <c r="FL41" i="12"/>
  <c r="CX35" i="12"/>
  <c r="IR30" i="12"/>
  <c r="L53" i="12"/>
  <c r="DO49" i="12"/>
  <c r="HO4" i="12"/>
  <c r="GB47" i="12"/>
  <c r="FA45" i="12"/>
  <c r="FT49" i="12"/>
  <c r="FQ42" i="12"/>
  <c r="DI29" i="12"/>
  <c r="CL30" i="12"/>
  <c r="FC44" i="12"/>
  <c r="BT49" i="12"/>
  <c r="BF46" i="12"/>
  <c r="O40" i="12"/>
  <c r="CT5" i="12"/>
  <c r="IJ6" i="12"/>
  <c r="H38" i="12"/>
  <c r="W16" i="12"/>
  <c r="CB53" i="12"/>
  <c r="EJ20" i="12"/>
  <c r="ES29" i="12"/>
  <c r="FV45" i="12"/>
  <c r="IG31" i="12"/>
  <c r="EM38" i="12"/>
  <c r="EB40" i="12"/>
  <c r="IK26" i="12"/>
  <c r="BQ26" i="12"/>
  <c r="FM17" i="12"/>
  <c r="BU21" i="12"/>
  <c r="EX29" i="12"/>
  <c r="HX13" i="12"/>
  <c r="AV20" i="12"/>
  <c r="FW29" i="12"/>
  <c r="BZ22" i="12"/>
  <c r="W17" i="12"/>
  <c r="DO36" i="12"/>
  <c r="R33" i="12"/>
  <c r="CI31" i="12"/>
  <c r="GN31" i="12"/>
  <c r="GZ18" i="12"/>
  <c r="AI44" i="12"/>
  <c r="BI19" i="12"/>
  <c r="BS29" i="12"/>
  <c r="HM12" i="12"/>
  <c r="AS21" i="12"/>
  <c r="HA17" i="12"/>
  <c r="EB21" i="12"/>
  <c r="O36" i="12"/>
  <c r="GS25" i="12"/>
  <c r="AS24" i="12"/>
  <c r="HC10" i="12"/>
  <c r="CI17" i="12"/>
  <c r="BS39" i="12"/>
  <c r="HH28" i="12"/>
  <c r="GG27" i="12"/>
  <c r="P18" i="12"/>
  <c r="DK22" i="12"/>
  <c r="FE23" i="12"/>
  <c r="AN32" i="12"/>
  <c r="AL11" i="12"/>
  <c r="E15" i="12"/>
  <c r="HG36" i="12"/>
  <c r="HF25" i="12"/>
  <c r="BH24" i="12"/>
  <c r="FT32" i="12"/>
  <c r="GG34" i="12"/>
  <c r="AH32" i="12"/>
  <c r="AJ34" i="12"/>
  <c r="AO20" i="12"/>
  <c r="AQ45" i="12"/>
  <c r="EQ46" i="12"/>
  <c r="AR30" i="12"/>
  <c r="GI26" i="12"/>
  <c r="EI26" i="12"/>
  <c r="CA27" i="12"/>
  <c r="AD26" i="12"/>
  <c r="HQ12" i="12"/>
  <c r="AS30" i="12"/>
  <c r="AU7" i="12"/>
  <c r="IA32" i="12"/>
  <c r="AI33" i="12"/>
  <c r="HW30" i="12"/>
  <c r="E23" i="12"/>
  <c r="CF13" i="12"/>
  <c r="IJ31" i="12"/>
  <c r="AG28" i="12"/>
  <c r="HA28" i="12"/>
  <c r="IL28" i="12"/>
  <c r="CU8" i="12"/>
  <c r="HT21" i="12"/>
  <c r="BO29" i="12"/>
  <c r="CE28" i="12"/>
  <c r="FH16" i="12"/>
  <c r="CQ21" i="12"/>
  <c r="E28" i="12"/>
  <c r="BA34" i="12"/>
  <c r="GD38" i="12"/>
  <c r="HY36" i="12"/>
  <c r="GC41" i="12"/>
  <c r="AI39" i="12"/>
  <c r="EQ7" i="12"/>
  <c r="DU7" i="12"/>
  <c r="L43" i="12"/>
  <c r="FK13" i="12"/>
  <c r="AN16" i="12"/>
  <c r="GL22" i="12"/>
  <c r="AV28" i="12"/>
  <c r="FO14" i="12"/>
  <c r="EH32" i="12"/>
  <c r="CU33" i="12"/>
  <c r="EP36" i="12"/>
  <c r="IL30" i="12"/>
  <c r="GJ21" i="12"/>
  <c r="FK29" i="12"/>
  <c r="CI29" i="12"/>
  <c r="CY43" i="12"/>
  <c r="CL5" i="12"/>
  <c r="FV18" i="12"/>
  <c r="HL20" i="12"/>
  <c r="GX32" i="12"/>
  <c r="O30" i="12"/>
  <c r="DK35" i="12"/>
  <c r="EA17" i="12"/>
  <c r="AN21" i="12"/>
  <c r="IC22" i="12"/>
  <c r="DN53" i="12"/>
  <c r="BG7" i="12"/>
  <c r="AV22" i="12"/>
  <c r="ES15" i="12"/>
  <c r="GP24" i="12"/>
  <c r="FN31" i="12"/>
  <c r="IH29" i="12"/>
  <c r="DI19" i="12"/>
  <c r="GW13" i="12"/>
  <c r="DH24" i="12"/>
  <c r="H52" i="12"/>
  <c r="IN29" i="12"/>
  <c r="IH34" i="12"/>
  <c r="EH35" i="12"/>
  <c r="DG22" i="12"/>
  <c r="AS22" i="12"/>
  <c r="CJ11" i="12"/>
  <c r="EX28" i="12"/>
  <c r="HO36" i="12"/>
  <c r="BT29" i="12"/>
  <c r="CK13" i="12"/>
  <c r="EW22" i="12"/>
  <c r="HP10" i="12"/>
  <c r="FF38" i="12"/>
  <c r="EX27" i="12"/>
  <c r="HC25" i="12"/>
  <c r="CG19" i="12"/>
  <c r="CQ25" i="12"/>
  <c r="BD24" i="12"/>
  <c r="FI49" i="12"/>
  <c r="DM11" i="12"/>
  <c r="BY19" i="12"/>
  <c r="EO30" i="12"/>
  <c r="FN29" i="12"/>
  <c r="Y15" i="12"/>
  <c r="GR19" i="12"/>
  <c r="CN25" i="12"/>
  <c r="BV36" i="12"/>
  <c r="GD23" i="12"/>
  <c r="L18" i="12"/>
  <c r="DR28" i="12"/>
  <c r="DD20" i="12"/>
  <c r="IE15" i="12"/>
  <c r="BQ34" i="12"/>
  <c r="Z28" i="12"/>
  <c r="AJ26" i="12"/>
  <c r="FU20" i="12"/>
  <c r="DU22" i="12"/>
  <c r="V50" i="12"/>
  <c r="BY52" i="12"/>
  <c r="AE50" i="12"/>
  <c r="FN53" i="12"/>
  <c r="AU30" i="12"/>
  <c r="GE35" i="12"/>
  <c r="CI42" i="12"/>
  <c r="FJ35" i="12"/>
  <c r="EZ47" i="12"/>
  <c r="CF45" i="12"/>
  <c r="DU31" i="12"/>
  <c r="FA35" i="12"/>
  <c r="HX38" i="12"/>
  <c r="IF43" i="12"/>
  <c r="IR46" i="12"/>
  <c r="J44" i="12"/>
  <c r="M35" i="12"/>
  <c r="AS46" i="12"/>
  <c r="GO45" i="12"/>
  <c r="GC51" i="12"/>
  <c r="GJ45" i="12"/>
  <c r="FZ4" i="12"/>
  <c r="HK48" i="12"/>
  <c r="GH15" i="12"/>
  <c r="V38" i="12"/>
  <c r="HV42" i="12"/>
  <c r="DC43" i="12"/>
  <c r="IH53" i="12"/>
  <c r="IC32" i="12"/>
  <c r="GP4" i="12"/>
  <c r="AB28" i="12"/>
  <c r="BO52" i="12"/>
  <c r="GJ34" i="12"/>
  <c r="EN25" i="12"/>
  <c r="EW42" i="12"/>
  <c r="AT37" i="12"/>
  <c r="U40" i="12"/>
  <c r="EX40" i="12"/>
  <c r="HQ26" i="12"/>
  <c r="CW36" i="12"/>
  <c r="IM37" i="12"/>
  <c r="FV53" i="12"/>
  <c r="FT37" i="12"/>
  <c r="GE43" i="12"/>
  <c r="CN49" i="12"/>
  <c r="IK37" i="12"/>
  <c r="GT4" i="12"/>
  <c r="CP38" i="12"/>
  <c r="BL48" i="12"/>
  <c r="IG38" i="12"/>
  <c r="EA22" i="12"/>
  <c r="FX42" i="12"/>
  <c r="AA43" i="12"/>
  <c r="BN45" i="12"/>
  <c r="EC42" i="12"/>
  <c r="GY37" i="12"/>
  <c r="CW19" i="12"/>
  <c r="AU52" i="12"/>
  <c r="GO4" i="12"/>
  <c r="AX52" i="12"/>
  <c r="GZ43" i="12"/>
  <c r="ED45" i="12"/>
  <c r="X43" i="12"/>
  <c r="BR4" i="12"/>
  <c r="BT38" i="12"/>
  <c r="CF52" i="12"/>
  <c r="BA4" i="12"/>
  <c r="K21" i="12"/>
  <c r="S30" i="12"/>
  <c r="CX39" i="12"/>
  <c r="FR39" i="12"/>
  <c r="FB41" i="12"/>
  <c r="AD38" i="12"/>
  <c r="BB37" i="12"/>
  <c r="FZ27" i="12"/>
  <c r="CJ53" i="12"/>
  <c r="IL44" i="12"/>
  <c r="EO52" i="12"/>
  <c r="GK46" i="12"/>
  <c r="GJ50" i="12"/>
  <c r="DH47" i="12"/>
  <c r="BK52" i="12"/>
  <c r="CH39" i="12"/>
  <c r="BJ50" i="12"/>
  <c r="Z4" i="12"/>
  <c r="IM21" i="12"/>
  <c r="FI43" i="12"/>
  <c r="K37" i="12"/>
  <c r="BB46" i="12"/>
  <c r="IQ37" i="12"/>
  <c r="DJ48" i="12"/>
  <c r="AA28" i="12"/>
  <c r="X28" i="12"/>
  <c r="DB38" i="12"/>
  <c r="CF43" i="12"/>
  <c r="CA9" i="12"/>
  <c r="IM8" i="12"/>
  <c r="AQ22" i="12"/>
  <c r="DX45" i="12"/>
  <c r="GN11" i="12"/>
  <c r="DU42" i="12"/>
  <c r="BD43" i="12"/>
  <c r="DS37" i="12"/>
  <c r="DS43" i="12"/>
  <c r="AK14" i="12"/>
  <c r="AO8" i="12"/>
  <c r="EI15" i="12"/>
  <c r="AW7" i="12"/>
  <c r="CQ15" i="12"/>
  <c r="GM22" i="12"/>
  <c r="GO53" i="12"/>
  <c r="CG51" i="12"/>
  <c r="HY4" i="12"/>
  <c r="AM12" i="12"/>
  <c r="FL11" i="12"/>
  <c r="HG13" i="12"/>
  <c r="BD6" i="12"/>
  <c r="DC14" i="12"/>
  <c r="BW17" i="12"/>
  <c r="HB30" i="12"/>
  <c r="IC46" i="12"/>
  <c r="HQ47" i="12"/>
  <c r="HF6" i="12"/>
  <c r="EM11" i="12"/>
  <c r="M14" i="12"/>
  <c r="DC10" i="12"/>
  <c r="HJ13" i="12"/>
  <c r="GT17" i="12"/>
  <c r="BJ20" i="12"/>
  <c r="FD20" i="12"/>
  <c r="HG44" i="12"/>
  <c r="AV45" i="12"/>
  <c r="BW42" i="12"/>
  <c r="GV4" i="12"/>
  <c r="CW6" i="12"/>
  <c r="ED12" i="12"/>
  <c r="HR13" i="12"/>
  <c r="HB7" i="12"/>
  <c r="FJ6" i="12"/>
  <c r="CP46" i="12"/>
  <c r="BN26" i="12"/>
  <c r="CM4" i="12"/>
  <c r="FA7" i="12"/>
  <c r="CX13" i="12"/>
  <c r="HD16" i="12"/>
  <c r="S6" i="12"/>
  <c r="DZ6" i="12"/>
  <c r="IA24" i="12"/>
  <c r="HC49" i="12"/>
  <c r="EY51" i="12"/>
  <c r="DY4" i="12"/>
  <c r="FJ50" i="12"/>
  <c r="GS4" i="12"/>
  <c r="CC48" i="12"/>
  <c r="IC43" i="12"/>
  <c r="E5" i="12"/>
  <c r="GT52" i="12"/>
  <c r="FI6" i="12"/>
  <c r="HQ7" i="12"/>
  <c r="DH7" i="12"/>
  <c r="AV46" i="12"/>
  <c r="BP51" i="12"/>
  <c r="AO53" i="12"/>
  <c r="BH8" i="12"/>
  <c r="EC8" i="12"/>
  <c r="AU10" i="12"/>
  <c r="GU7" i="12"/>
  <c r="FS7" i="12"/>
  <c r="AT25" i="12"/>
  <c r="DZ12" i="12"/>
  <c r="P42" i="12"/>
  <c r="L37" i="12"/>
  <c r="DH43" i="12"/>
  <c r="BD8" i="12"/>
  <c r="HN12" i="12"/>
  <c r="IG11" i="12"/>
  <c r="CP7" i="12"/>
  <c r="GU47" i="12"/>
  <c r="IQ14" i="12"/>
  <c r="HK18" i="12"/>
  <c r="HE41" i="12"/>
  <c r="DO48" i="12"/>
  <c r="ID41" i="12"/>
  <c r="DP10" i="12"/>
  <c r="AK11" i="12"/>
  <c r="AJ14" i="12"/>
  <c r="IL45" i="12"/>
  <c r="P15" i="12"/>
  <c r="BQ13" i="12"/>
  <c r="BN36" i="12"/>
  <c r="FX25" i="12"/>
  <c r="FP46" i="12"/>
  <c r="HU51" i="12"/>
  <c r="AL13" i="12"/>
  <c r="IB10" i="12"/>
  <c r="H39" i="12"/>
  <c r="FO48" i="12"/>
  <c r="BD52" i="12"/>
  <c r="HC43" i="12"/>
  <c r="AN50" i="12"/>
  <c r="GZ36" i="12"/>
  <c r="IM35" i="12"/>
  <c r="DV24" i="12"/>
  <c r="FS4" i="12"/>
  <c r="EC47" i="12"/>
  <c r="K13" i="12"/>
  <c r="BR8" i="12"/>
  <c r="CF49" i="12"/>
  <c r="ES48" i="12"/>
  <c r="EM16" i="12"/>
  <c r="DR17" i="12"/>
  <c r="IQ46" i="12"/>
  <c r="FT44" i="12"/>
  <c r="HX49" i="12"/>
  <c r="DJ14" i="12"/>
  <c r="GY11" i="12"/>
  <c r="CV13" i="12"/>
  <c r="X5" i="12"/>
  <c r="J14" i="12"/>
  <c r="EP16" i="12"/>
  <c r="GN28" i="12"/>
  <c r="IQ48" i="12"/>
  <c r="CE44" i="12"/>
  <c r="CP9" i="12"/>
  <c r="GQ13" i="12"/>
  <c r="HI13" i="12"/>
  <c r="BO14" i="12"/>
  <c r="EC6" i="12"/>
  <c r="IK21" i="12"/>
  <c r="HI20" i="12"/>
  <c r="DR41" i="12"/>
  <c r="FR41" i="12"/>
  <c r="CY39" i="12"/>
  <c r="EW5" i="12"/>
  <c r="BX5" i="12"/>
  <c r="AF15" i="12"/>
  <c r="GP12" i="12"/>
  <c r="HB8" i="12"/>
  <c r="EI6" i="12"/>
  <c r="AK26" i="12"/>
  <c r="BG16" i="12"/>
  <c r="CQ51" i="12"/>
  <c r="FH36" i="12"/>
  <c r="BM36" i="12"/>
  <c r="IL6" i="12"/>
  <c r="HI6" i="12"/>
  <c r="HV22" i="12"/>
  <c r="EO10" i="12"/>
  <c r="BA8" i="12"/>
  <c r="DW8" i="12"/>
  <c r="IH50" i="12"/>
  <c r="II50" i="12"/>
  <c r="S7" i="12"/>
  <c r="DN7" i="12"/>
  <c r="GR7" i="12"/>
  <c r="CL6" i="12"/>
  <c r="GV7" i="12"/>
  <c r="AW22" i="12"/>
  <c r="DU53" i="12"/>
  <c r="EJ47" i="12"/>
  <c r="AA10" i="12"/>
  <c r="P8" i="12"/>
  <c r="AE47" i="12"/>
  <c r="GF52" i="12"/>
  <c r="DD14" i="12"/>
  <c r="DY18" i="12"/>
  <c r="FJ19" i="12"/>
  <c r="FA36" i="12"/>
  <c r="AZ39" i="12"/>
  <c r="L48" i="12"/>
  <c r="EJ44" i="12"/>
  <c r="ES4" i="12"/>
  <c r="II52" i="12"/>
  <c r="IF37" i="12"/>
  <c r="IE40" i="12"/>
  <c r="AZ40" i="12"/>
  <c r="EI10" i="12"/>
  <c r="FG43" i="12"/>
  <c r="CC10" i="12"/>
  <c r="EO14" i="12"/>
  <c r="GG11" i="12"/>
  <c r="DG50" i="12"/>
  <c r="EE45" i="12"/>
  <c r="EI46" i="12"/>
  <c r="HV5" i="12"/>
  <c r="BF8" i="12"/>
  <c r="IJ13" i="12"/>
  <c r="EJ9" i="12"/>
  <c r="IN10" i="12"/>
  <c r="FA18" i="12"/>
  <c r="HR18" i="12"/>
  <c r="U50" i="12"/>
  <c r="AB44" i="12"/>
  <c r="DM41" i="12"/>
  <c r="FV12" i="12"/>
  <c r="HC5" i="12"/>
  <c r="GR13" i="12"/>
  <c r="FQ10" i="12"/>
  <c r="BL8" i="12"/>
  <c r="EU5" i="12"/>
  <c r="HV23" i="12"/>
  <c r="EE33" i="12"/>
  <c r="AD39" i="12"/>
  <c r="FG39" i="12"/>
  <c r="IF6" i="12"/>
  <c r="EP15" i="12"/>
  <c r="EN20" i="12"/>
  <c r="GE51" i="12"/>
  <c r="V7" i="12"/>
  <c r="DR6" i="12"/>
  <c r="GT28" i="12"/>
  <c r="BQ30" i="12"/>
  <c r="FN50" i="12"/>
  <c r="HR4" i="12"/>
  <c r="IG6" i="12"/>
  <c r="AL6" i="12"/>
  <c r="AX50" i="12"/>
  <c r="O8" i="12"/>
  <c r="AG9" i="12"/>
  <c r="BJ26" i="12"/>
  <c r="HT40" i="12"/>
  <c r="IA38" i="12"/>
  <c r="FB47" i="12"/>
  <c r="BJ5" i="12"/>
  <c r="HX9" i="12"/>
  <c r="FU6" i="12"/>
  <c r="DH16" i="12"/>
  <c r="EO50" i="12"/>
  <c r="FM33" i="12"/>
  <c r="GD41" i="12"/>
  <c r="DW38" i="12"/>
  <c r="HO9" i="12"/>
  <c r="EN43" i="12"/>
  <c r="II9" i="12"/>
  <c r="FS11" i="12"/>
  <c r="CN11" i="12"/>
  <c r="BR45" i="12"/>
  <c r="ES26" i="12"/>
  <c r="FO16" i="12"/>
  <c r="AY9" i="12"/>
  <c r="W25" i="12"/>
  <c r="AA32" i="12"/>
  <c r="U17" i="12"/>
  <c r="DM21" i="12"/>
  <c r="AH36" i="12"/>
  <c r="FZ32" i="12"/>
  <c r="CF29" i="12"/>
  <c r="GG48" i="12"/>
  <c r="C33" i="12"/>
  <c r="IK39" i="12"/>
  <c r="HP42" i="12"/>
  <c r="AE41" i="12"/>
  <c r="HJ26" i="12"/>
  <c r="DP51" i="12"/>
  <c r="HZ51" i="12"/>
  <c r="GR52" i="12"/>
  <c r="DG8" i="12"/>
  <c r="AO10" i="12"/>
  <c r="AT45" i="12"/>
  <c r="HX8" i="12"/>
  <c r="DT8" i="12"/>
  <c r="X52" i="12"/>
  <c r="GX33" i="12"/>
  <c r="AS32" i="12"/>
  <c r="IN9" i="12"/>
  <c r="BB9" i="12"/>
  <c r="HD18" i="12"/>
  <c r="FE8" i="12"/>
  <c r="CG7" i="12"/>
  <c r="FC6" i="12"/>
  <c r="FK31" i="12"/>
  <c r="AS53" i="12"/>
  <c r="AA45" i="12"/>
  <c r="DJ11" i="12"/>
  <c r="H12" i="12"/>
  <c r="BC46" i="12"/>
  <c r="EJ12" i="12"/>
  <c r="L13" i="12"/>
  <c r="EG17" i="12"/>
  <c r="EI23" i="12"/>
  <c r="EM48" i="12"/>
  <c r="D43" i="12"/>
  <c r="BR37" i="12"/>
  <c r="Z7" i="12"/>
  <c r="GY40" i="12"/>
  <c r="CE14" i="12"/>
  <c r="DC11" i="12"/>
  <c r="CN44" i="12"/>
  <c r="CZ6" i="12"/>
  <c r="BW20" i="12"/>
  <c r="CT12" i="12"/>
  <c r="HK39" i="12"/>
  <c r="AM42" i="12"/>
  <c r="AU35" i="12"/>
  <c r="AU14" i="12"/>
  <c r="IC14" i="12"/>
  <c r="FA16" i="12"/>
  <c r="I52" i="12"/>
  <c r="CV5" i="12"/>
  <c r="AT16" i="12"/>
  <c r="BK44" i="12"/>
  <c r="HI49" i="12"/>
  <c r="GN10" i="12"/>
  <c r="GH10" i="12"/>
  <c r="FI46" i="12"/>
  <c r="ID45" i="12"/>
  <c r="O7" i="12"/>
  <c r="BH18" i="12"/>
  <c r="DG51" i="12"/>
  <c r="FI50" i="12"/>
  <c r="FL43" i="12"/>
  <c r="FQ8" i="12"/>
  <c r="DB15" i="12"/>
  <c r="IA4" i="12"/>
  <c r="CJ8" i="12"/>
  <c r="GY6" i="12"/>
  <c r="HD4" i="12"/>
  <c r="Y50" i="12"/>
  <c r="FE36" i="12"/>
  <c r="HY33" i="12"/>
  <c r="CN39" i="12"/>
  <c r="CK37" i="12"/>
  <c r="FM49" i="12"/>
  <c r="BW53" i="12"/>
  <c r="EW49" i="12"/>
  <c r="DI11" i="12"/>
  <c r="EI16" i="12"/>
  <c r="CR51" i="12"/>
  <c r="FB10" i="12"/>
  <c r="EN12" i="12"/>
  <c r="GE53" i="12"/>
  <c r="FG32" i="12"/>
  <c r="DO32" i="12"/>
  <c r="FX11" i="12"/>
  <c r="EX11" i="12"/>
  <c r="GI25" i="12"/>
  <c r="EK14" i="12"/>
  <c r="EF8" i="12"/>
  <c r="ID10" i="12"/>
  <c r="FV31" i="12"/>
  <c r="FY53" i="12"/>
  <c r="EG50" i="12"/>
  <c r="V13" i="12"/>
  <c r="BZ12" i="12"/>
  <c r="CS5" i="12"/>
  <c r="BY14" i="12"/>
  <c r="CB15" i="12"/>
  <c r="FQ21" i="12"/>
  <c r="CR22" i="12"/>
  <c r="DL42" i="12"/>
  <c r="EY37" i="12"/>
  <c r="BH38" i="12"/>
  <c r="FX9" i="12"/>
  <c r="CF6" i="12"/>
  <c r="CS15" i="12"/>
  <c r="FS12" i="12"/>
  <c r="L4" i="12"/>
  <c r="FX6" i="12"/>
  <c r="FR26" i="12"/>
  <c r="HW17" i="12"/>
  <c r="BR34" i="12"/>
  <c r="EL36" i="12"/>
  <c r="DO37" i="12"/>
  <c r="EQ5" i="12"/>
  <c r="DH5" i="12"/>
  <c r="FB22" i="12"/>
  <c r="DB49" i="12"/>
  <c r="FJ7" i="12"/>
  <c r="IB5" i="12"/>
  <c r="EA49" i="12"/>
  <c r="BC45" i="12"/>
  <c r="DM37" i="12"/>
  <c r="HX42" i="12"/>
  <c r="II38" i="12"/>
  <c r="AR49" i="12"/>
  <c r="GR36" i="12"/>
  <c r="HB23" i="12"/>
  <c r="HC46" i="12"/>
  <c r="FM31" i="12"/>
  <c r="BR33" i="12"/>
  <c r="BN7" i="12"/>
  <c r="EL12" i="12"/>
  <c r="FV14" i="12"/>
  <c r="AW15" i="12"/>
  <c r="AG14" i="12"/>
  <c r="AM37" i="12"/>
  <c r="FV37" i="12"/>
  <c r="AD36" i="12"/>
  <c r="GF7" i="12"/>
  <c r="BW13" i="12"/>
  <c r="FM16" i="12"/>
  <c r="BL17" i="12"/>
  <c r="GE13" i="12"/>
  <c r="O12" i="12"/>
  <c r="CJ29" i="12"/>
  <c r="FS44" i="12"/>
  <c r="EP53" i="12"/>
  <c r="HE5" i="12"/>
  <c r="EH6" i="12"/>
  <c r="FO7" i="12"/>
  <c r="IO16" i="12"/>
  <c r="BI6" i="12"/>
  <c r="DZ20" i="12"/>
  <c r="AT24" i="12"/>
  <c r="BB39" i="12"/>
  <c r="DT38" i="12"/>
  <c r="EV33" i="12"/>
  <c r="AW6" i="12"/>
  <c r="ED9" i="12"/>
  <c r="DT7" i="12"/>
  <c r="HZ14" i="12"/>
  <c r="HY45" i="12"/>
  <c r="CC8" i="12"/>
  <c r="BN14" i="12"/>
  <c r="HL17" i="12"/>
  <c r="BG33" i="12"/>
  <c r="GW37" i="12"/>
  <c r="DU50" i="12"/>
  <c r="EA6" i="12"/>
  <c r="CX6" i="12"/>
  <c r="EI21" i="12"/>
  <c r="EU50" i="12"/>
  <c r="EY10" i="12"/>
  <c r="BC8" i="12"/>
  <c r="GB52" i="12"/>
  <c r="EO4" i="12"/>
  <c r="EW6" i="12"/>
  <c r="GU6" i="12"/>
  <c r="BN52" i="12"/>
  <c r="BA9" i="12"/>
  <c r="AX9" i="12"/>
  <c r="II23" i="12"/>
  <c r="GA53" i="12"/>
  <c r="R44" i="12"/>
  <c r="CT44" i="12"/>
  <c r="ER9" i="12"/>
  <c r="DN17" i="12"/>
  <c r="IL50" i="12"/>
  <c r="FH43" i="12"/>
  <c r="BS43" i="12"/>
  <c r="HZ46" i="12"/>
  <c r="GT41" i="12"/>
  <c r="BQ35" i="12"/>
  <c r="FQ30" i="12"/>
  <c r="GO38" i="12"/>
  <c r="FH40" i="12"/>
  <c r="HZ39" i="12"/>
  <c r="E10" i="12"/>
  <c r="BU9" i="12"/>
  <c r="GV6" i="12"/>
  <c r="IL7" i="12"/>
  <c r="HG11" i="12"/>
  <c r="IQ45" i="12"/>
  <c r="CZ41" i="12"/>
  <c r="EJ41" i="12"/>
  <c r="HG10" i="12"/>
  <c r="BZ36" i="12"/>
  <c r="CC14" i="12"/>
  <c r="BD12" i="12"/>
  <c r="CT48" i="12"/>
  <c r="HH49" i="12"/>
  <c r="FN20" i="12"/>
  <c r="BS42" i="12"/>
  <c r="IR42" i="12"/>
  <c r="HQ40" i="12"/>
  <c r="EI5" i="12"/>
  <c r="AN5" i="12"/>
  <c r="BI11" i="12"/>
  <c r="BV51" i="12"/>
  <c r="HW8" i="12"/>
  <c r="FH5" i="12"/>
  <c r="AD32" i="12"/>
  <c r="BE49" i="12"/>
  <c r="HO47" i="12"/>
  <c r="GU53" i="12"/>
  <c r="EO16" i="12"/>
  <c r="FU14" i="12"/>
  <c r="EH12" i="12"/>
  <c r="Q6" i="12"/>
  <c r="CF8" i="12"/>
  <c r="HD17" i="12"/>
  <c r="AC25" i="12"/>
  <c r="BO35" i="12"/>
  <c r="AG39" i="12"/>
  <c r="BW45" i="12"/>
  <c r="FY6" i="12"/>
  <c r="O53" i="12"/>
  <c r="FU5" i="12"/>
  <c r="FI8" i="12"/>
  <c r="DM5" i="12"/>
  <c r="ET48" i="12"/>
  <c r="DL37" i="12"/>
  <c r="GF37" i="12"/>
  <c r="DX48" i="12"/>
  <c r="CJ4" i="12"/>
  <c r="HN9" i="12"/>
  <c r="FD13" i="12"/>
  <c r="IO12" i="12"/>
  <c r="EU6" i="12"/>
  <c r="BZ38" i="12"/>
  <c r="IE38" i="12"/>
  <c r="DS39" i="12"/>
  <c r="G8" i="12"/>
  <c r="EM9" i="12"/>
  <c r="EG6" i="12"/>
  <c r="HD7" i="12"/>
  <c r="IR9" i="12"/>
  <c r="DQ8" i="12"/>
  <c r="DH28" i="12"/>
  <c r="N20" i="12"/>
  <c r="BH7" i="12"/>
  <c r="E30" i="12"/>
  <c r="AV27" i="12"/>
  <c r="FR23" i="12"/>
  <c r="GI27" i="12"/>
  <c r="EH20" i="12"/>
  <c r="GC32" i="12"/>
  <c r="HJ9" i="12"/>
  <c r="D6" i="12"/>
  <c r="GH7" i="12"/>
  <c r="GX40" i="12"/>
  <c r="AH15" i="12"/>
  <c r="Q12" i="12"/>
  <c r="BY22" i="12"/>
  <c r="R35" i="12"/>
  <c r="BM21" i="12"/>
  <c r="BH28" i="12"/>
  <c r="HQ29" i="12"/>
  <c r="CT27" i="12"/>
  <c r="IQ25" i="12"/>
  <c r="CE16" i="12"/>
  <c r="GG35" i="12"/>
  <c r="DE35" i="12"/>
  <c r="BW49" i="12"/>
  <c r="GG6" i="12"/>
  <c r="ID26" i="12"/>
  <c r="GL15" i="12"/>
  <c r="DE37" i="12"/>
  <c r="X31" i="12"/>
  <c r="W31" i="12"/>
  <c r="DI20" i="12"/>
  <c r="BS27" i="12"/>
  <c r="GH23" i="12"/>
  <c r="GN49" i="12"/>
  <c r="BO10" i="12"/>
  <c r="GL16" i="12"/>
  <c r="D24" i="12"/>
  <c r="AP33" i="12"/>
  <c r="FY33" i="12"/>
  <c r="GR35" i="12"/>
  <c r="IF13" i="12"/>
  <c r="ED20" i="12"/>
  <c r="CK18" i="12"/>
  <c r="AM8" i="12"/>
  <c r="FI31" i="12"/>
  <c r="HS24" i="12"/>
  <c r="GT27" i="12"/>
  <c r="HN11" i="12"/>
  <c r="CW20" i="12"/>
  <c r="DX21" i="12"/>
  <c r="CY29" i="12"/>
  <c r="GT23" i="12"/>
  <c r="HF34" i="12"/>
  <c r="CU14" i="12"/>
  <c r="CD17" i="12"/>
  <c r="AE17" i="12"/>
  <c r="CD37" i="12"/>
  <c r="AQ32" i="12"/>
  <c r="HK31" i="12"/>
  <c r="BQ24" i="12"/>
  <c r="IH17" i="12"/>
  <c r="FV16" i="12"/>
  <c r="HG4" i="12"/>
  <c r="CE49" i="12"/>
  <c r="BY31" i="12"/>
  <c r="CY36" i="12"/>
  <c r="DX35" i="12"/>
  <c r="IF20" i="12"/>
  <c r="GP14" i="12"/>
  <c r="HV29" i="12"/>
  <c r="S26" i="12"/>
  <c r="BF42" i="12"/>
  <c r="AE22" i="12"/>
  <c r="GU33" i="12"/>
  <c r="DL14" i="12"/>
  <c r="IC23" i="12"/>
  <c r="HY29" i="12"/>
  <c r="HJ27" i="12"/>
  <c r="BO34" i="12"/>
  <c r="GF24" i="12"/>
  <c r="HQ22" i="12"/>
  <c r="DJ45" i="12"/>
  <c r="HK21" i="12"/>
  <c r="GW20" i="12"/>
  <c r="DR22" i="12"/>
  <c r="DP16" i="12"/>
  <c r="CE36" i="12"/>
  <c r="ID33" i="12"/>
  <c r="EJ29" i="12"/>
  <c r="AJ36" i="12"/>
  <c r="AA42" i="12"/>
  <c r="BC33" i="12"/>
  <c r="FR47" i="12"/>
  <c r="FB44" i="12"/>
  <c r="DE49" i="12"/>
  <c r="CI41" i="12"/>
  <c r="HD39" i="12"/>
  <c r="AR38" i="12"/>
  <c r="CS40" i="12"/>
  <c r="CD39" i="12"/>
  <c r="CQ33" i="12"/>
  <c r="GE44" i="12"/>
  <c r="AN45" i="12"/>
  <c r="GQ48" i="12"/>
  <c r="DI46" i="12"/>
  <c r="HR45" i="12"/>
  <c r="EI34" i="12"/>
  <c r="DV43" i="12"/>
  <c r="GY42" i="12"/>
  <c r="FS40" i="12"/>
  <c r="FA43" i="12"/>
  <c r="CC44" i="12"/>
  <c r="FE19" i="12"/>
  <c r="GD52" i="12"/>
  <c r="AT48" i="12"/>
  <c r="FW37" i="12"/>
  <c r="AT43" i="12"/>
  <c r="CU42" i="12"/>
  <c r="AT9" i="12"/>
  <c r="DQ45" i="12"/>
  <c r="FL12" i="12"/>
  <c r="AE10" i="12"/>
  <c r="S5" i="12"/>
  <c r="IC30" i="12"/>
  <c r="BY53" i="12"/>
  <c r="EJ28" i="12"/>
  <c r="BZ15" i="12"/>
  <c r="AM18" i="12"/>
  <c r="GW16" i="12"/>
  <c r="FA26" i="12"/>
  <c r="EZ17" i="12"/>
  <c r="IM19" i="12"/>
  <c r="EK51" i="12"/>
  <c r="BK10" i="12"/>
  <c r="AK28" i="12"/>
  <c r="FR34" i="12"/>
  <c r="DQ24" i="12"/>
  <c r="EK26" i="12"/>
  <c r="BF19" i="12"/>
  <c r="CF34" i="12"/>
  <c r="FP26" i="12"/>
  <c r="FJ33" i="12"/>
  <c r="EO35" i="12"/>
  <c r="DK14" i="12"/>
  <c r="IP25" i="12"/>
  <c r="HT29" i="12"/>
  <c r="D29" i="12"/>
  <c r="M19" i="12"/>
  <c r="BN20" i="12"/>
  <c r="HC28" i="12"/>
  <c r="HV34" i="12"/>
  <c r="IB28" i="12"/>
  <c r="IB43" i="12"/>
  <c r="AP11" i="12"/>
  <c r="AW25" i="12"/>
  <c r="Q18" i="12"/>
  <c r="DC34" i="12"/>
  <c r="IC34" i="12"/>
  <c r="GT34" i="12"/>
  <c r="GE15" i="12"/>
  <c r="FK19" i="12"/>
  <c r="FC14" i="12"/>
  <c r="DZ14" i="12"/>
  <c r="EW35" i="12"/>
  <c r="HK26" i="12"/>
  <c r="GR30" i="12"/>
  <c r="CL14" i="12"/>
  <c r="DA23" i="12"/>
  <c r="V28" i="12"/>
  <c r="AP34" i="12"/>
  <c r="EQ22" i="12"/>
  <c r="HA25" i="12"/>
  <c r="HE40" i="12"/>
  <c r="CG12" i="12"/>
  <c r="BI26" i="12"/>
  <c r="GN15" i="12"/>
  <c r="BW29" i="12"/>
  <c r="L29" i="12"/>
  <c r="DH17" i="12"/>
  <c r="IJ19" i="12"/>
  <c r="HN14" i="12"/>
  <c r="BA21" i="12"/>
  <c r="AX26" i="12"/>
  <c r="ED33" i="12"/>
  <c r="BR24" i="12"/>
  <c r="AC26" i="12"/>
  <c r="GL21" i="12"/>
  <c r="CS23" i="12"/>
  <c r="HQ31" i="12"/>
  <c r="BW35" i="12"/>
  <c r="O28" i="12"/>
  <c r="IR10" i="12"/>
  <c r="CH24" i="12"/>
  <c r="AL29" i="12"/>
  <c r="P35" i="12"/>
  <c r="EZ22" i="12"/>
  <c r="CS18" i="12"/>
  <c r="CI18" i="12"/>
  <c r="FD26" i="12"/>
  <c r="BH36" i="12"/>
  <c r="GZ29" i="12"/>
  <c r="Y43" i="12"/>
  <c r="AJ6" i="12"/>
  <c r="DY12" i="12"/>
  <c r="HR21" i="12"/>
  <c r="BO51" i="12"/>
  <c r="DK11" i="12"/>
  <c r="IH10" i="12"/>
  <c r="GZ26" i="12"/>
  <c r="DK28" i="12"/>
  <c r="IL18" i="12"/>
  <c r="AG34" i="12"/>
  <c r="HY28" i="12"/>
  <c r="HE32" i="12"/>
  <c r="O11" i="12"/>
  <c r="EU23" i="12"/>
  <c r="CZ31" i="12"/>
  <c r="Q30" i="12"/>
  <c r="ES37" i="12"/>
  <c r="GF8" i="12"/>
  <c r="CP15" i="12"/>
  <c r="CY20" i="12"/>
  <c r="EL41" i="12"/>
  <c r="HW36" i="12"/>
  <c r="HM31" i="12"/>
  <c r="DK24" i="12"/>
  <c r="DI18" i="12"/>
  <c r="E18" i="12"/>
  <c r="CZ34" i="12"/>
  <c r="DD12" i="12"/>
  <c r="IN22" i="12"/>
  <c r="FF24" i="12"/>
  <c r="M36" i="12"/>
  <c r="HA22" i="12"/>
  <c r="EO26" i="12"/>
  <c r="GY19" i="12"/>
  <c r="U26" i="12"/>
  <c r="AB20" i="12"/>
  <c r="ER11" i="12"/>
  <c r="CQ32" i="12"/>
  <c r="DZ31" i="12"/>
  <c r="K24" i="12"/>
  <c r="AC16" i="12"/>
  <c r="GG16" i="12"/>
  <c r="S16" i="12"/>
  <c r="DU35" i="12"/>
  <c r="EV32" i="12"/>
  <c r="BO30" i="12"/>
  <c r="GJ7" i="12"/>
  <c r="FY19" i="12"/>
  <c r="FO21" i="12"/>
  <c r="EY45" i="12"/>
  <c r="AM33" i="12"/>
  <c r="AL33" i="12"/>
  <c r="AW31" i="12"/>
  <c r="IF21" i="12"/>
  <c r="HY19" i="12"/>
  <c r="HW51" i="12"/>
  <c r="IR11" i="12"/>
  <c r="AZ28" i="12"/>
  <c r="Q25" i="12"/>
  <c r="BU26" i="12"/>
  <c r="GR25" i="12"/>
  <c r="FK21" i="12"/>
  <c r="CM36" i="12"/>
  <c r="FA30" i="12"/>
  <c r="FS5" i="12"/>
  <c r="CZ19" i="12"/>
  <c r="CP32" i="12"/>
  <c r="IF19" i="12"/>
  <c r="CM15" i="12"/>
  <c r="FZ30" i="12"/>
  <c r="FR24" i="12"/>
  <c r="EA26" i="12"/>
  <c r="GN30" i="12"/>
  <c r="DA17" i="12"/>
  <c r="BL38" i="12"/>
  <c r="IP21" i="12"/>
  <c r="BH33" i="12"/>
  <c r="DP14" i="12"/>
  <c r="H21" i="12"/>
  <c r="IM31" i="12"/>
  <c r="EP28" i="12"/>
  <c r="CC36" i="12"/>
  <c r="DR44" i="12"/>
  <c r="EZ38" i="12"/>
  <c r="GI36" i="12"/>
  <c r="GN53" i="12"/>
  <c r="FH44" i="12"/>
  <c r="IA52" i="12"/>
  <c r="AT40" i="12"/>
  <c r="HI42" i="12"/>
  <c r="EQ42" i="12"/>
  <c r="IB41" i="12"/>
  <c r="FL39" i="12"/>
  <c r="HB27" i="12"/>
  <c r="AP49" i="12"/>
  <c r="GV37" i="12"/>
  <c r="GL40" i="12"/>
  <c r="CA35" i="12"/>
  <c r="IP32" i="12"/>
  <c r="CK25" i="12"/>
  <c r="GM46" i="12"/>
  <c r="BN39" i="12"/>
  <c r="DB37" i="12"/>
  <c r="DN46" i="12"/>
  <c r="CB40" i="12"/>
  <c r="FO17" i="12"/>
  <c r="CU43" i="12"/>
  <c r="IB52" i="12"/>
  <c r="HV45" i="12"/>
  <c r="CO35" i="12"/>
  <c r="CY51" i="12"/>
  <c r="GQ8" i="12"/>
  <c r="Z40" i="12"/>
  <c r="IL12" i="12"/>
  <c r="BO11" i="12"/>
  <c r="DN10" i="12"/>
  <c r="EE20" i="12"/>
  <c r="HO15" i="12"/>
  <c r="HW14" i="12"/>
  <c r="GC24" i="12"/>
  <c r="O25" i="12"/>
  <c r="EA20" i="12"/>
  <c r="DR18" i="12"/>
  <c r="HN23" i="12"/>
  <c r="ED25" i="12"/>
  <c r="C10" i="12"/>
  <c r="EG7" i="12"/>
  <c r="FD25" i="12"/>
  <c r="CK30" i="12"/>
  <c r="AX30" i="12"/>
  <c r="CW15" i="12"/>
  <c r="EM15" i="12"/>
  <c r="BV24" i="12"/>
  <c r="K35" i="12"/>
  <c r="CX32" i="12"/>
  <c r="E20" i="12"/>
  <c r="GP13" i="12"/>
  <c r="FH34" i="12"/>
  <c r="FM28" i="12"/>
  <c r="GL35" i="12"/>
  <c r="HQ21" i="12"/>
  <c r="T16" i="12"/>
  <c r="FM34" i="12"/>
  <c r="EH29" i="12"/>
  <c r="HJ34" i="12"/>
  <c r="GU41" i="12"/>
  <c r="HI11" i="12"/>
  <c r="BY21" i="12"/>
  <c r="FR12" i="12"/>
  <c r="BW22" i="12"/>
  <c r="AM28" i="12"/>
  <c r="R26" i="12"/>
  <c r="GO22" i="12"/>
  <c r="DR24" i="12"/>
  <c r="FR22" i="12"/>
  <c r="BY17" i="12"/>
  <c r="BW27" i="12"/>
  <c r="DD31" i="12"/>
  <c r="ES31" i="12"/>
  <c r="GW21" i="12"/>
  <c r="DE17" i="12"/>
  <c r="BH29" i="12"/>
  <c r="IA23" i="12"/>
  <c r="HK27" i="12"/>
  <c r="HF27" i="12"/>
  <c r="BE33" i="12"/>
  <c r="FK9" i="12"/>
  <c r="CX21" i="12"/>
  <c r="EZ21" i="12"/>
  <c r="BE35" i="12"/>
  <c r="GT35" i="12"/>
  <c r="BR21" i="12"/>
  <c r="HG14" i="12"/>
  <c r="IL20" i="12"/>
  <c r="IF15" i="12"/>
  <c r="DV33" i="12"/>
  <c r="CW28" i="12"/>
  <c r="ET24" i="12"/>
  <c r="FL14" i="12"/>
  <c r="CJ15" i="12"/>
  <c r="FT18" i="12"/>
  <c r="DY13" i="12"/>
  <c r="AA26" i="12"/>
  <c r="GN25" i="12"/>
  <c r="J20" i="12"/>
  <c r="CS29" i="12"/>
  <c r="ER35" i="12"/>
  <c r="BB28" i="12"/>
  <c r="FH21" i="12"/>
  <c r="AJ20" i="12"/>
  <c r="FK24" i="12"/>
  <c r="DB28" i="12"/>
  <c r="HN37" i="12"/>
  <c r="GL45" i="12"/>
  <c r="EF49" i="12"/>
  <c r="DR46" i="12"/>
  <c r="AX46" i="12"/>
  <c r="K32" i="12"/>
  <c r="IA50" i="12"/>
  <c r="CH53" i="12"/>
  <c r="CY53" i="12"/>
  <c r="FW40" i="12"/>
  <c r="AM43" i="12"/>
  <c r="CA36" i="12"/>
  <c r="C38" i="12"/>
  <c r="DR4" i="12"/>
  <c r="IP48" i="12"/>
  <c r="K46" i="12"/>
  <c r="FL40" i="12"/>
  <c r="FY15" i="12"/>
  <c r="CM35" i="12"/>
  <c r="AY50" i="12"/>
  <c r="CM51" i="12"/>
  <c r="DD53" i="12"/>
  <c r="Y45" i="12"/>
  <c r="CH40" i="12"/>
  <c r="T43" i="12"/>
  <c r="BQ37" i="12"/>
  <c r="HU44" i="12"/>
  <c r="BC52" i="12"/>
  <c r="FW53" i="12"/>
  <c r="FS35" i="12"/>
  <c r="BI42" i="12"/>
  <c r="BV41" i="12"/>
  <c r="CM42" i="12"/>
  <c r="AF7" i="12"/>
  <c r="HL13" i="12"/>
  <c r="HH47" i="12"/>
  <c r="GB14" i="12"/>
  <c r="AZ53" i="12"/>
  <c r="DB22" i="12"/>
  <c r="HF22" i="12"/>
  <c r="IO17" i="12"/>
  <c r="BV35" i="12"/>
  <c r="BT31" i="12"/>
  <c r="EK25" i="12"/>
  <c r="FD30" i="12"/>
  <c r="HE27" i="12"/>
  <c r="BX32" i="12"/>
  <c r="EM36" i="12"/>
  <c r="HA38" i="12"/>
  <c r="BH5" i="12"/>
  <c r="ET26" i="12"/>
  <c r="HC17" i="12"/>
  <c r="DW34" i="12"/>
  <c r="IA22" i="12"/>
  <c r="CV18" i="12"/>
  <c r="AP17" i="12"/>
  <c r="HE19" i="12"/>
  <c r="GA25" i="12"/>
  <c r="HZ35" i="12"/>
  <c r="M11" i="12"/>
  <c r="DB16" i="12"/>
  <c r="AP19" i="12"/>
  <c r="FB28" i="12"/>
  <c r="GA28" i="12"/>
  <c r="BQ18" i="12"/>
  <c r="F25" i="12"/>
  <c r="HH12" i="12"/>
  <c r="HX15" i="12"/>
  <c r="IP11" i="12"/>
  <c r="EM24" i="12"/>
  <c r="BJ27" i="12"/>
  <c r="IK19" i="12"/>
  <c r="AI21" i="12"/>
  <c r="FT24" i="12"/>
  <c r="AP35" i="12"/>
  <c r="AI30" i="12"/>
  <c r="EA34" i="12"/>
  <c r="M22" i="12"/>
  <c r="BQ15" i="12"/>
  <c r="ID15" i="12"/>
  <c r="DE23" i="12"/>
  <c r="FM29" i="12"/>
  <c r="BF30" i="12"/>
  <c r="FW26" i="12"/>
  <c r="HQ20" i="12"/>
  <c r="GA27" i="12"/>
  <c r="DF18" i="12"/>
  <c r="IQ22" i="12"/>
  <c r="GD4" i="12"/>
  <c r="AV26" i="12"/>
  <c r="CA33" i="12"/>
  <c r="CH18" i="12"/>
  <c r="FJ23" i="12"/>
  <c r="FJ27" i="12"/>
  <c r="J30" i="12"/>
  <c r="BZ31" i="12"/>
  <c r="L38" i="12"/>
  <c r="FE9" i="12"/>
  <c r="IO19" i="12"/>
  <c r="GR24" i="12"/>
  <c r="HS36" i="12"/>
  <c r="EB23" i="12"/>
  <c r="FS25" i="12"/>
  <c r="AE19" i="12"/>
  <c r="AI19" i="12"/>
  <c r="R20" i="12"/>
  <c r="FQ50" i="12"/>
  <c r="DU9" i="12"/>
  <c r="CR15" i="12"/>
  <c r="FJ21" i="12"/>
  <c r="DM25" i="12"/>
  <c r="BB31" i="12"/>
  <c r="N30" i="12"/>
  <c r="GY27" i="12"/>
  <c r="HF15" i="12"/>
  <c r="HZ48" i="12"/>
  <c r="IQ50" i="12"/>
  <c r="GY45" i="12"/>
  <c r="AD53" i="12"/>
  <c r="DE46" i="12"/>
  <c r="FB39" i="12"/>
  <c r="HL46" i="12"/>
  <c r="GG43" i="12"/>
  <c r="GN26" i="12"/>
  <c r="EX44" i="12"/>
  <c r="FR51" i="12"/>
  <c r="AH42" i="12"/>
  <c r="N41" i="12"/>
  <c r="CO44" i="12"/>
  <c r="HV36" i="12"/>
  <c r="FQ49" i="12"/>
  <c r="EL35" i="12"/>
  <c r="AC39" i="12"/>
  <c r="ID43" i="12"/>
  <c r="DT41" i="12"/>
  <c r="AL39" i="12"/>
  <c r="EU38" i="12"/>
  <c r="CG29" i="12"/>
  <c r="DY40" i="12"/>
  <c r="BG41" i="12"/>
  <c r="BY37" i="12"/>
  <c r="IA41" i="12"/>
  <c r="BG6" i="12"/>
  <c r="CF12" i="12"/>
  <c r="CV49" i="12"/>
  <c r="BP46" i="12"/>
  <c r="GR6" i="12"/>
  <c r="AK52" i="12"/>
  <c r="HJ33" i="12"/>
  <c r="HT44" i="12"/>
  <c r="GO24" i="12"/>
  <c r="AI13" i="12"/>
  <c r="HN19" i="12"/>
  <c r="CZ14" i="12"/>
  <c r="AS27" i="12"/>
  <c r="DY23" i="12"/>
  <c r="FN19" i="12"/>
  <c r="CK49" i="12"/>
  <c r="AS11" i="12"/>
  <c r="EF20" i="12"/>
  <c r="DI27" i="12"/>
  <c r="BM28" i="12"/>
  <c r="EU15" i="12"/>
  <c r="EG18" i="12"/>
  <c r="FN25" i="12"/>
  <c r="GO32" i="12"/>
  <c r="CL26" i="12"/>
  <c r="HF19" i="12"/>
  <c r="CV11" i="12"/>
  <c r="GQ19" i="12"/>
  <c r="HU31" i="12"/>
  <c r="GW22" i="12"/>
  <c r="AN20" i="12"/>
  <c r="HU23" i="12"/>
  <c r="AY32" i="12"/>
  <c r="HN27" i="12"/>
  <c r="EJ31" i="12"/>
  <c r="BS18" i="12"/>
  <c r="CW10" i="12"/>
  <c r="CC24" i="12"/>
  <c r="G17" i="12"/>
  <c r="Y25" i="12"/>
  <c r="GB23" i="12"/>
  <c r="AR27" i="12"/>
  <c r="HZ18" i="12"/>
  <c r="IG23" i="12"/>
  <c r="DY10" i="12"/>
  <c r="CF9" i="12"/>
  <c r="GD27" i="12"/>
  <c r="ET28" i="12"/>
  <c r="BE27" i="12"/>
  <c r="BL18" i="12"/>
  <c r="AP21" i="12"/>
  <c r="CN26" i="12"/>
  <c r="FS34" i="12"/>
  <c r="CV26" i="12"/>
  <c r="BL30" i="12"/>
  <c r="FZ47" i="12"/>
  <c r="CX8" i="12"/>
  <c r="AQ18" i="12"/>
  <c r="FI42" i="12"/>
  <c r="EC32" i="12"/>
  <c r="T32" i="12"/>
  <c r="BE17" i="12"/>
  <c r="FX21" i="12"/>
  <c r="GF27" i="12"/>
  <c r="GK12" i="12"/>
  <c r="AH34" i="12"/>
  <c r="BF26" i="12"/>
  <c r="HC22" i="12"/>
  <c r="IC13" i="12"/>
  <c r="AO25" i="12"/>
  <c r="CT21" i="12"/>
  <c r="AN35" i="12"/>
  <c r="FE26" i="12"/>
  <c r="FY20" i="12"/>
  <c r="GP9" i="12"/>
  <c r="AX24" i="12"/>
  <c r="GO33" i="12"/>
  <c r="HG32" i="12"/>
  <c r="CC22" i="12"/>
  <c r="X21" i="12"/>
  <c r="HG15" i="12"/>
  <c r="CR31" i="12"/>
  <c r="HB43" i="12"/>
  <c r="DZ46" i="12"/>
  <c r="ET44" i="12"/>
  <c r="HR6" i="12"/>
  <c r="FM52" i="12"/>
  <c r="CB4" i="12"/>
  <c r="GL8" i="12"/>
  <c r="HV16" i="12"/>
  <c r="CM9" i="12"/>
  <c r="GC31" i="12"/>
  <c r="AM35" i="12"/>
  <c r="HP19" i="12"/>
  <c r="HX29" i="12"/>
  <c r="IB32" i="12"/>
  <c r="DA34" i="12"/>
  <c r="DL24" i="12"/>
  <c r="CM21" i="12"/>
  <c r="AG25" i="12"/>
  <c r="HD23" i="12"/>
  <c r="DD42" i="12"/>
  <c r="FR18" i="12"/>
  <c r="DD28" i="12"/>
  <c r="BA18" i="12"/>
  <c r="CQ17" i="12"/>
  <c r="J28" i="12"/>
  <c r="BU31" i="12"/>
  <c r="DU25" i="12"/>
  <c r="HH16" i="12"/>
  <c r="HD12" i="12"/>
  <c r="F34" i="12"/>
  <c r="FR6" i="12"/>
  <c r="GC21" i="12"/>
  <c r="BN21" i="12"/>
  <c r="AU48" i="12"/>
  <c r="DU34" i="12"/>
  <c r="BG35" i="12"/>
  <c r="DW32" i="12"/>
  <c r="CG23" i="12"/>
  <c r="EX19" i="12"/>
  <c r="N8" i="12"/>
  <c r="AW36" i="12"/>
  <c r="X23" i="12"/>
  <c r="W32" i="12"/>
  <c r="H17" i="12"/>
  <c r="J15" i="12"/>
  <c r="AC18" i="12"/>
  <c r="IM36" i="12"/>
  <c r="AL23" i="12"/>
  <c r="EK42" i="12"/>
  <c r="D15" i="12"/>
  <c r="GY32" i="12"/>
  <c r="BB21" i="12"/>
  <c r="EY20" i="12"/>
  <c r="FE34" i="12"/>
  <c r="AL31" i="12"/>
  <c r="FQ24" i="12"/>
  <c r="BL19" i="12"/>
  <c r="GX18" i="12"/>
  <c r="FS49" i="12"/>
  <c r="Q49" i="12"/>
  <c r="GZ32" i="12"/>
  <c r="CU34" i="12"/>
  <c r="IB34" i="12"/>
  <c r="FT22" i="12"/>
  <c r="DN22" i="12"/>
  <c r="EH14" i="12"/>
  <c r="AQ24" i="12"/>
  <c r="AV10" i="12"/>
  <c r="HO25" i="12"/>
  <c r="AE31" i="12"/>
  <c r="FK17" i="12"/>
  <c r="HU18" i="12"/>
  <c r="BK12" i="12"/>
  <c r="R29" i="12"/>
  <c r="DX29" i="12"/>
  <c r="CY28" i="12"/>
  <c r="HX12" i="12"/>
  <c r="BW8" i="12"/>
  <c r="FP16" i="12"/>
  <c r="BG32" i="12"/>
  <c r="BA27" i="12"/>
  <c r="AE23" i="12"/>
  <c r="EE34" i="12"/>
  <c r="DM35" i="12"/>
  <c r="HL27" i="12"/>
  <c r="HY46" i="12"/>
  <c r="GH44" i="12"/>
  <c r="AH45" i="12"/>
  <c r="FD11" i="12"/>
  <c r="BW46" i="12"/>
  <c r="DN18" i="12"/>
  <c r="HR15" i="12"/>
  <c r="AE18" i="12"/>
  <c r="FU7" i="12"/>
  <c r="D27" i="12"/>
  <c r="DM31" i="12"/>
  <c r="AZ50" i="12"/>
  <c r="GG28" i="12"/>
  <c r="BT32" i="12"/>
  <c r="CA11" i="12"/>
  <c r="BA14" i="12"/>
  <c r="BV22" i="12"/>
  <c r="CJ32" i="12"/>
  <c r="GG31" i="12"/>
  <c r="EJ24" i="12"/>
  <c r="DL30" i="12"/>
  <c r="EP31" i="12"/>
  <c r="EU27" i="12"/>
  <c r="ER49" i="12"/>
  <c r="IO48" i="12"/>
  <c r="FG46" i="12"/>
  <c r="AA46" i="12"/>
  <c r="IC25" i="12"/>
  <c r="DC53" i="12"/>
  <c r="FG50" i="12"/>
  <c r="BS38" i="12"/>
  <c r="AQ40" i="12"/>
  <c r="DC38" i="12"/>
  <c r="CR32" i="12"/>
  <c r="CB43" i="12"/>
  <c r="EX51" i="12"/>
  <c r="CE47" i="12"/>
  <c r="DT45" i="12"/>
  <c r="BS44" i="12"/>
  <c r="EB25" i="12"/>
  <c r="DJ4" i="12"/>
  <c r="GI52" i="12"/>
  <c r="BN51" i="12"/>
  <c r="HG45" i="12"/>
  <c r="CI4" i="12"/>
  <c r="EF36" i="12"/>
  <c r="DH34" i="12"/>
  <c r="DY38" i="12"/>
  <c r="BI52" i="12"/>
  <c r="BF53" i="12"/>
  <c r="DQ11" i="12"/>
  <c r="HQ53" i="12"/>
  <c r="GK33" i="12"/>
  <c r="AA50" i="12"/>
  <c r="IO7" i="12"/>
  <c r="GE20" i="12"/>
  <c r="FI25" i="12"/>
  <c r="CH14" i="12"/>
  <c r="DL34" i="12"/>
  <c r="GU24" i="12"/>
  <c r="HJ24" i="12"/>
  <c r="AV33" i="12"/>
  <c r="GO34" i="12"/>
  <c r="HH31" i="12"/>
  <c r="DJ28" i="12"/>
  <c r="E40" i="12"/>
  <c r="HK47" i="12"/>
  <c r="EJ18" i="12"/>
  <c r="GI13" i="12"/>
  <c r="CX29" i="12"/>
  <c r="CB35" i="12"/>
  <c r="BP30" i="12"/>
  <c r="P25" i="12"/>
  <c r="EH17" i="12"/>
  <c r="ES19" i="12"/>
  <c r="FL31" i="12"/>
  <c r="DK7" i="12"/>
  <c r="DG24" i="12"/>
  <c r="CN19" i="12"/>
  <c r="HX23" i="12"/>
  <c r="EQ25" i="12"/>
  <c r="AD25" i="12"/>
  <c r="DH19" i="12"/>
  <c r="HS21" i="12"/>
  <c r="CA24" i="12"/>
  <c r="DY15" i="12"/>
  <c r="FP25" i="12"/>
  <c r="IH31" i="12"/>
  <c r="R31" i="12"/>
  <c r="IE18" i="12"/>
  <c r="W23" i="12"/>
  <c r="HQ30" i="12"/>
  <c r="FE32" i="12"/>
  <c r="IP30" i="12"/>
  <c r="DE41" i="12"/>
  <c r="K11" i="12"/>
  <c r="BK27" i="12"/>
  <c r="CD18" i="12"/>
  <c r="BY20" i="12"/>
  <c r="IQ36" i="12"/>
  <c r="DG30" i="12"/>
  <c r="AY15" i="12"/>
  <c r="GA21" i="12"/>
  <c r="FK16" i="12"/>
  <c r="IP26" i="12"/>
  <c r="EU12" i="12"/>
  <c r="HE13" i="12"/>
  <c r="FE35" i="12"/>
  <c r="EK19" i="12"/>
  <c r="CB21" i="12"/>
  <c r="GH34" i="12"/>
  <c r="GU36" i="12"/>
  <c r="F29" i="12"/>
  <c r="HB41" i="12"/>
  <c r="GG5" i="12"/>
  <c r="HN18" i="12"/>
  <c r="J19" i="12"/>
  <c r="ES41" i="12"/>
  <c r="AS31" i="12"/>
  <c r="GW30" i="12"/>
  <c r="BA20" i="12"/>
  <c r="EC16" i="12"/>
  <c r="FA15" i="12"/>
  <c r="HL39" i="12"/>
  <c r="BV14" i="12"/>
  <c r="FH27" i="12"/>
  <c r="IO14" i="12"/>
  <c r="IR37" i="12"/>
  <c r="DF32" i="12"/>
  <c r="CC28" i="12"/>
  <c r="GY21" i="12"/>
  <c r="AS20" i="12"/>
  <c r="GA50" i="12"/>
  <c r="DF45" i="12"/>
  <c r="GH52" i="12"/>
  <c r="BX4" i="12"/>
  <c r="BA48" i="12"/>
  <c r="EX39" i="12"/>
  <c r="HX39" i="12"/>
  <c r="IL41" i="12"/>
  <c r="DO41" i="12"/>
  <c r="ID51" i="12"/>
  <c r="FE25" i="12"/>
  <c r="IN49" i="12"/>
  <c r="AC43" i="12"/>
  <c r="GJ40" i="12"/>
  <c r="AC36" i="12"/>
  <c r="DF29" i="12"/>
  <c r="FK27" i="12"/>
  <c r="II46" i="12"/>
  <c r="IE45" i="12"/>
  <c r="FN37" i="12"/>
  <c r="AJ46" i="12"/>
  <c r="ES45" i="12"/>
  <c r="AY29" i="12"/>
  <c r="CI44" i="12"/>
  <c r="X49" i="12"/>
  <c r="I46" i="12"/>
  <c r="GR49" i="12"/>
  <c r="GR48" i="12"/>
  <c r="GY26" i="12"/>
  <c r="ET51" i="12"/>
  <c r="EK46" i="12"/>
  <c r="AU49" i="12"/>
  <c r="AX34" i="12"/>
  <c r="Q39" i="12"/>
  <c r="HB40" i="12"/>
  <c r="HU37" i="12"/>
  <c r="IF53" i="12"/>
  <c r="FS46" i="12"/>
  <c r="HG31" i="12"/>
  <c r="CR33" i="12"/>
  <c r="DZ43" i="12"/>
  <c r="AE49" i="12"/>
  <c r="FP50" i="12"/>
  <c r="BF34" i="12"/>
  <c r="IK28" i="12"/>
  <c r="CH4" i="12"/>
  <c r="HZ33" i="12"/>
  <c r="FN49" i="12"/>
  <c r="EH45" i="12"/>
  <c r="AZ49" i="12"/>
  <c r="GO40" i="12"/>
  <c r="HO42" i="12"/>
  <c r="BR39" i="12"/>
  <c r="HU30" i="12"/>
  <c r="BZ33" i="12"/>
  <c r="GW35" i="12"/>
  <c r="CQ53" i="12"/>
  <c r="D38" i="12"/>
  <c r="DT4" i="12"/>
  <c r="GX37" i="12"/>
  <c r="M39" i="12"/>
  <c r="J38" i="12"/>
  <c r="EU39" i="12"/>
  <c r="S24" i="12"/>
  <c r="HC37" i="12"/>
  <c r="BP9" i="12"/>
  <c r="ES39" i="12"/>
  <c r="BI40" i="12"/>
  <c r="EO41" i="12"/>
  <c r="ED39" i="12"/>
  <c r="R40" i="12"/>
  <c r="AJ28" i="12"/>
  <c r="AE30" i="12"/>
  <c r="GL34" i="12"/>
  <c r="IF50" i="12"/>
  <c r="AF33" i="12"/>
  <c r="FI44" i="12"/>
  <c r="AN34" i="12"/>
  <c r="CB41" i="12"/>
  <c r="FR43" i="12"/>
  <c r="EC43" i="12"/>
  <c r="EC4" i="12"/>
  <c r="F43" i="12"/>
  <c r="U53" i="12"/>
  <c r="DP21" i="12"/>
  <c r="AZ12" i="12"/>
  <c r="II33" i="12"/>
  <c r="IN16" i="12"/>
  <c r="BM35" i="12"/>
  <c r="FQ52" i="12"/>
  <c r="BU28" i="12"/>
  <c r="CI22" i="12"/>
  <c r="BY40" i="12"/>
  <c r="FV27" i="12"/>
  <c r="HI30" i="12"/>
  <c r="GN13" i="12"/>
  <c r="IL33" i="12"/>
  <c r="FI35" i="12"/>
  <c r="FC24" i="12"/>
  <c r="GT45" i="12"/>
  <c r="J34" i="12"/>
  <c r="GZ20" i="12"/>
  <c r="DZ23" i="12"/>
  <c r="FZ15" i="12"/>
  <c r="HE37" i="12"/>
  <c r="HE38" i="12"/>
  <c r="HP38" i="12"/>
  <c r="HK37" i="12"/>
  <c r="V25" i="12"/>
  <c r="BN47" i="12"/>
  <c r="EI4" i="12"/>
  <c r="BI46" i="12"/>
  <c r="CT42" i="12"/>
  <c r="EX38" i="12"/>
  <c r="GO18" i="12"/>
  <c r="GW48" i="12"/>
  <c r="D45" i="12"/>
  <c r="GQ50" i="12"/>
  <c r="K52" i="12"/>
  <c r="FE47" i="12"/>
  <c r="FN33" i="12"/>
  <c r="AB35" i="12"/>
  <c r="CC51" i="12"/>
  <c r="DF4" i="12"/>
  <c r="IN44" i="12"/>
  <c r="DM47" i="12"/>
  <c r="FX37" i="12"/>
  <c r="DQ41" i="12"/>
  <c r="HL38" i="12"/>
  <c r="FK30" i="12"/>
  <c r="DG53" i="12"/>
  <c r="EN10" i="12"/>
  <c r="GY7" i="12"/>
  <c r="GN44" i="12"/>
  <c r="CZ5" i="12"/>
  <c r="EE6" i="12"/>
  <c r="DI24" i="12"/>
  <c r="O29" i="12"/>
  <c r="T8" i="12"/>
  <c r="FD32" i="12"/>
  <c r="DT21" i="12"/>
  <c r="IN25" i="12"/>
  <c r="BJ31" i="12"/>
  <c r="BC25" i="12"/>
  <c r="FN35" i="12"/>
  <c r="CL35" i="12"/>
  <c r="CT41" i="12"/>
  <c r="AZ10" i="12"/>
  <c r="HZ20" i="12"/>
  <c r="GQ26" i="12"/>
  <c r="CH31" i="12"/>
  <c r="AI25" i="12"/>
  <c r="DU24" i="12"/>
  <c r="AA18" i="12"/>
  <c r="GZ23" i="12"/>
  <c r="GD21" i="12"/>
  <c r="FS47" i="12"/>
  <c r="FJ5" i="12"/>
  <c r="W26" i="12"/>
  <c r="EX18" i="12"/>
  <c r="CW25" i="12"/>
  <c r="X29" i="12"/>
  <c r="L30" i="12"/>
  <c r="HW25" i="12"/>
  <c r="BH19" i="12"/>
  <c r="CN15" i="12"/>
  <c r="EJ5" i="12"/>
  <c r="HH30" i="12"/>
  <c r="GV35" i="12"/>
  <c r="IM26" i="12"/>
  <c r="BZ25" i="12"/>
  <c r="II20" i="12"/>
  <c r="GY18" i="12"/>
  <c r="FI28" i="12"/>
  <c r="BH32" i="12"/>
  <c r="HN41" i="12"/>
  <c r="CO9" i="12"/>
  <c r="GR26" i="12"/>
  <c r="IA16" i="12"/>
  <c r="HO35" i="12"/>
  <c r="HA31" i="12"/>
  <c r="GR31" i="12"/>
  <c r="GJ22" i="12"/>
  <c r="DQ12" i="12"/>
  <c r="HY25" i="12"/>
  <c r="HS52" i="12"/>
  <c r="O18" i="12"/>
  <c r="DX30" i="12"/>
  <c r="FH30" i="12"/>
  <c r="GG29" i="12"/>
  <c r="AG18" i="12"/>
  <c r="BX20" i="12"/>
  <c r="EQ29" i="12"/>
  <c r="HX24" i="12"/>
  <c r="FX41" i="12"/>
  <c r="AK18" i="12"/>
  <c r="BQ29" i="12"/>
  <c r="CI26" i="12"/>
  <c r="DY17" i="12"/>
  <c r="GF21" i="12"/>
  <c r="AT27" i="12"/>
  <c r="AS28" i="12"/>
  <c r="L23" i="12"/>
  <c r="BV21" i="12"/>
  <c r="CQ41" i="12"/>
  <c r="AJ19" i="12"/>
  <c r="IE26" i="12"/>
  <c r="EK23" i="12"/>
  <c r="AB23" i="12"/>
  <c r="DQ35" i="12"/>
  <c r="AA33" i="12"/>
  <c r="DY29" i="12"/>
  <c r="DW37" i="12"/>
  <c r="GV36" i="12"/>
  <c r="CA45" i="12"/>
  <c r="DO52" i="12"/>
  <c r="C18" i="12"/>
  <c r="HU50" i="12"/>
  <c r="EV41" i="12"/>
  <c r="EU41" i="12"/>
  <c r="EF33" i="12"/>
  <c r="CU47" i="12"/>
  <c r="AN47" i="12"/>
  <c r="HC27" i="12"/>
  <c r="HI38" i="12"/>
  <c r="IQ44" i="12"/>
  <c r="GI42" i="12"/>
  <c r="AY42" i="12"/>
  <c r="IG40" i="12"/>
  <c r="CJ23" i="12"/>
  <c r="HV38" i="12"/>
  <c r="GH43" i="12"/>
  <c r="DD40" i="12"/>
  <c r="DM44" i="12"/>
  <c r="EV38" i="12"/>
  <c r="BH17" i="12"/>
  <c r="EQ53" i="12"/>
  <c r="DR52" i="12"/>
  <c r="IN38" i="12"/>
  <c r="GE41" i="12"/>
  <c r="J40" i="12"/>
  <c r="HH23" i="12"/>
  <c r="BC51" i="12"/>
  <c r="GI45" i="12"/>
  <c r="V53" i="12"/>
  <c r="DG20" i="12"/>
  <c r="CG43" i="12"/>
  <c r="ET49" i="12"/>
  <c r="BD44" i="12"/>
  <c r="HO48" i="12"/>
  <c r="EH42" i="12"/>
  <c r="CM26" i="12"/>
  <c r="CH37" i="12"/>
  <c r="HR40" i="12"/>
  <c r="FP51" i="12"/>
  <c r="CO42" i="12"/>
  <c r="IN51" i="12"/>
  <c r="AN40" i="12"/>
  <c r="GK39" i="12"/>
  <c r="IH44" i="12"/>
  <c r="BF40" i="12"/>
  <c r="BD37" i="12"/>
  <c r="L39" i="12"/>
  <c r="FJ36" i="12"/>
  <c r="EU46" i="12"/>
  <c r="DL46" i="12"/>
  <c r="IL53" i="12"/>
  <c r="DX44" i="12"/>
  <c r="C32" i="12"/>
  <c r="CX50" i="12"/>
  <c r="BG37" i="12"/>
  <c r="CK48" i="12"/>
  <c r="CG33" i="12"/>
  <c r="GP52" i="12"/>
  <c r="AX36" i="12"/>
  <c r="AE46" i="12"/>
  <c r="HP48" i="12"/>
  <c r="DC29" i="12"/>
  <c r="EF28" i="12"/>
  <c r="DI47" i="12"/>
  <c r="IO47" i="12"/>
  <c r="GY44" i="12"/>
  <c r="FX46" i="12"/>
  <c r="GY48" i="12"/>
  <c r="BE4" i="12"/>
  <c r="L50" i="12"/>
  <c r="EI47" i="12"/>
  <c r="GF53" i="12"/>
  <c r="EN33" i="12"/>
  <c r="BN41" i="12"/>
  <c r="AO50" i="12"/>
  <c r="G51" i="12"/>
  <c r="EA36" i="12"/>
  <c r="BO49" i="12"/>
  <c r="HW41" i="12"/>
  <c r="HV33" i="12"/>
  <c r="AF4" i="12"/>
  <c r="CJ36" i="12"/>
  <c r="AV25" i="12"/>
  <c r="EZ32" i="12"/>
  <c r="CA20" i="12"/>
  <c r="DV27" i="12"/>
  <c r="CD19" i="12"/>
  <c r="DQ26" i="12"/>
  <c r="DM20" i="12"/>
  <c r="CO52" i="12"/>
  <c r="GK20" i="12"/>
  <c r="CI14" i="12"/>
  <c r="ET42" i="12"/>
  <c r="BF35" i="12"/>
  <c r="AV18" i="12"/>
  <c r="CK20" i="12"/>
  <c r="GW50" i="12"/>
  <c r="ET29" i="12"/>
  <c r="FI16" i="12"/>
  <c r="AZ26" i="12"/>
  <c r="DE18" i="12"/>
  <c r="GQ37" i="12"/>
  <c r="CH34" i="12"/>
  <c r="BU46" i="12"/>
  <c r="DE45" i="12"/>
  <c r="BL33" i="12"/>
  <c r="EH48" i="12"/>
  <c r="GE50" i="12"/>
  <c r="CY45" i="12"/>
  <c r="GY52" i="12"/>
  <c r="ED4" i="12"/>
  <c r="GK35" i="12"/>
  <c r="DA30" i="12"/>
  <c r="J48" i="12"/>
  <c r="CS50" i="12"/>
  <c r="GW53" i="12"/>
  <c r="AV4" i="12"/>
  <c r="IP43" i="12"/>
  <c r="FN46" i="12"/>
  <c r="AL37" i="12"/>
  <c r="DA37" i="12"/>
  <c r="DD49" i="12"/>
  <c r="GN50" i="12"/>
  <c r="CR41" i="12"/>
  <c r="AM44" i="12"/>
  <c r="HX41" i="12"/>
  <c r="EZ43" i="12"/>
  <c r="HX5" i="12"/>
  <c r="DZ47" i="12"/>
  <c r="Y7" i="12"/>
  <c r="AT7" i="12"/>
  <c r="IF23" i="12"/>
  <c r="BR11" i="12"/>
  <c r="S32" i="12"/>
  <c r="DB45" i="12"/>
  <c r="EP17" i="12"/>
  <c r="EE30" i="12"/>
  <c r="GP33" i="12"/>
  <c r="BS25" i="12"/>
  <c r="DT27" i="12"/>
  <c r="FG15" i="12"/>
  <c r="E14" i="12"/>
  <c r="DA28" i="12"/>
  <c r="HN31" i="12"/>
  <c r="CZ24" i="12"/>
  <c r="DZ35" i="12"/>
  <c r="CY19" i="12"/>
  <c r="GC20" i="12"/>
  <c r="HP28" i="12"/>
  <c r="EZ31" i="12"/>
  <c r="P27" i="12"/>
  <c r="F18" i="12"/>
  <c r="DD16" i="12"/>
  <c r="FW52" i="12"/>
  <c r="BB17" i="12"/>
  <c r="R24" i="12"/>
  <c r="FW22" i="12"/>
  <c r="DW41" i="12"/>
  <c r="T23" i="12"/>
  <c r="CS25" i="12"/>
  <c r="DE25" i="12"/>
  <c r="BN22" i="12"/>
  <c r="HX22" i="12"/>
  <c r="HU6" i="12"/>
  <c r="II25" i="12"/>
  <c r="DM27" i="12"/>
  <c r="AP32" i="12"/>
  <c r="BZ19" i="12"/>
  <c r="FI15" i="12"/>
  <c r="CI20" i="12"/>
  <c r="EI14" i="12"/>
  <c r="EP29" i="12"/>
  <c r="HQ33" i="12"/>
  <c r="CR20" i="12"/>
  <c r="BD23" i="12"/>
  <c r="IR19" i="12"/>
  <c r="FG14" i="12"/>
  <c r="CL36" i="12"/>
  <c r="IK33" i="12"/>
  <c r="HT28" i="12"/>
  <c r="V22" i="12"/>
  <c r="HD22" i="12"/>
  <c r="HR52" i="12"/>
  <c r="GZ10" i="12"/>
  <c r="EN31" i="12"/>
  <c r="DN34" i="12"/>
  <c r="GU23" i="12"/>
  <c r="EV24" i="12"/>
  <c r="CU21" i="12"/>
  <c r="FB15" i="12"/>
  <c r="HN24" i="12"/>
  <c r="P46" i="12"/>
  <c r="DU18" i="12"/>
  <c r="HS31" i="12"/>
  <c r="CT19" i="12"/>
  <c r="BB20" i="12"/>
  <c r="EM19" i="12"/>
  <c r="AK29" i="12"/>
  <c r="HD24" i="12"/>
  <c r="DV28" i="12"/>
  <c r="IK15" i="12"/>
  <c r="FE14" i="12"/>
  <c r="EP19" i="12"/>
  <c r="IE27" i="12"/>
  <c r="GY15" i="12"/>
  <c r="HY14" i="12"/>
  <c r="ID23" i="12"/>
  <c r="AQ25" i="12"/>
  <c r="K34" i="12"/>
  <c r="DF44" i="12"/>
  <c r="GJ37" i="12"/>
  <c r="IG39" i="12"/>
  <c r="GF31" i="12"/>
  <c r="P4" i="12"/>
  <c r="DD46" i="12"/>
  <c r="IR38" i="12"/>
  <c r="DO38" i="12"/>
  <c r="IG33" i="12"/>
  <c r="CX40" i="12"/>
  <c r="AD40" i="12"/>
  <c r="FO28" i="12"/>
  <c r="FB49" i="12"/>
  <c r="H34" i="12"/>
  <c r="HG46" i="12"/>
  <c r="AN37" i="12"/>
  <c r="FC37" i="12"/>
  <c r="GD25" i="12"/>
  <c r="CD47" i="12"/>
  <c r="BZ46" i="12"/>
  <c r="Z38" i="12"/>
  <c r="GM45" i="12"/>
  <c r="U46" i="12"/>
  <c r="AV35" i="12"/>
  <c r="AB4" i="12"/>
  <c r="IJ51" i="12"/>
  <c r="CE46" i="12"/>
  <c r="AM50" i="12"/>
  <c r="I40" i="12"/>
  <c r="DW7" i="12"/>
  <c r="GX35" i="12"/>
  <c r="BT45" i="12"/>
  <c r="AG51" i="12"/>
  <c r="IF29" i="12"/>
  <c r="AX40" i="12"/>
  <c r="DR40" i="12"/>
  <c r="DG37" i="12"/>
  <c r="EI37" i="12"/>
  <c r="CI46" i="12"/>
  <c r="E47" i="12"/>
  <c r="HP53" i="12"/>
  <c r="T50" i="12"/>
  <c r="CH51" i="12"/>
  <c r="FA42" i="12"/>
  <c r="BL4" i="12"/>
  <c r="U45" i="12"/>
  <c r="DP50" i="12"/>
  <c r="HD28" i="12"/>
  <c r="DM48" i="12"/>
  <c r="GV43" i="12"/>
  <c r="CH22" i="12"/>
  <c r="GB41" i="12"/>
  <c r="DB42" i="12"/>
  <c r="FW39" i="12"/>
  <c r="FQ44" i="12"/>
  <c r="P45" i="12"/>
  <c r="EC48" i="12"/>
  <c r="CB37" i="12"/>
  <c r="CP31" i="12"/>
  <c r="BJ39" i="12"/>
  <c r="GM41" i="12"/>
  <c r="CG39" i="12"/>
  <c r="HP31" i="12"/>
  <c r="AW33" i="12"/>
  <c r="EG43" i="12"/>
  <c r="DC51" i="12"/>
  <c r="II31" i="12"/>
  <c r="HL35" i="12"/>
  <c r="L40" i="12"/>
  <c r="DG35" i="12"/>
  <c r="AT39" i="12"/>
  <c r="AS36" i="12"/>
  <c r="BJ52" i="12"/>
  <c r="DC50" i="12"/>
  <c r="DZ4" i="12"/>
  <c r="BP38" i="12"/>
  <c r="AX38" i="12"/>
  <c r="EC36" i="12"/>
  <c r="DT42" i="12"/>
  <c r="CQ42" i="12"/>
  <c r="FV35" i="12"/>
  <c r="HZ45" i="12"/>
  <c r="GA29" i="12"/>
  <c r="GX4" i="12"/>
  <c r="GC28" i="12"/>
  <c r="DB32" i="12"/>
  <c r="IL49" i="12"/>
  <c r="DC12" i="12"/>
  <c r="HL25" i="12"/>
  <c r="IP29" i="12"/>
  <c r="FR20" i="12"/>
  <c r="EV25" i="12"/>
  <c r="IM27" i="12"/>
  <c r="HC13" i="12"/>
  <c r="BF16" i="12"/>
  <c r="EC25" i="12"/>
  <c r="FP11" i="12"/>
  <c r="ID20" i="12"/>
  <c r="HR20" i="12"/>
  <c r="FQ33" i="12"/>
  <c r="HI7" i="12"/>
  <c r="EA30" i="12"/>
  <c r="DG17" i="12"/>
  <c r="T28" i="12"/>
  <c r="DK21" i="12"/>
  <c r="AV38" i="12"/>
  <c r="BF52" i="12"/>
  <c r="BK39" i="12"/>
  <c r="IF38" i="12"/>
  <c r="BN25" i="12"/>
  <c r="IJ42" i="12"/>
  <c r="AK20" i="12"/>
  <c r="HV44" i="12"/>
  <c r="HJ50" i="12"/>
  <c r="ES51" i="12"/>
  <c r="DP42" i="12"/>
  <c r="FF32" i="12"/>
  <c r="CB33" i="12"/>
  <c r="CJ50" i="12"/>
  <c r="C7" i="12"/>
  <c r="W47" i="12"/>
  <c r="AA38" i="12"/>
  <c r="GX38" i="12"/>
  <c r="EO32" i="12"/>
  <c r="DM38" i="12"/>
  <c r="HE33" i="12"/>
  <c r="EX33" i="12"/>
  <c r="GG47" i="12"/>
  <c r="CJ40" i="12"/>
  <c r="M38" i="12"/>
  <c r="HY40" i="12"/>
  <c r="N21" i="12"/>
  <c r="FG8" i="12"/>
  <c r="DB33" i="12"/>
  <c r="AN11" i="12"/>
  <c r="M10" i="12"/>
  <c r="HW21" i="12"/>
  <c r="HC26" i="12"/>
  <c r="BC42" i="12"/>
  <c r="DL25" i="12"/>
  <c r="BK41" i="12"/>
  <c r="BA37" i="12"/>
  <c r="Y19" i="12"/>
  <c r="AH18" i="12"/>
  <c r="EX20" i="12"/>
  <c r="AA17" i="12"/>
  <c r="DH35" i="12"/>
  <c r="BW12" i="12"/>
  <c r="U19" i="12"/>
  <c r="DZ36" i="12"/>
  <c r="AL27" i="12"/>
  <c r="CF20" i="12"/>
  <c r="R23" i="12"/>
  <c r="BJ35" i="12"/>
  <c r="AJ32" i="12"/>
  <c r="GJ32" i="12"/>
  <c r="Y22" i="12"/>
  <c r="IJ50" i="12"/>
  <c r="DC16" i="12"/>
  <c r="S25" i="12"/>
  <c r="IH18" i="12"/>
  <c r="G12" i="12"/>
  <c r="HD26" i="12"/>
  <c r="CO29" i="12"/>
  <c r="HA26" i="12"/>
  <c r="GP27" i="12"/>
  <c r="FX15" i="12"/>
  <c r="BI8" i="12"/>
  <c r="FP14" i="12"/>
  <c r="DA47" i="12"/>
  <c r="ID34" i="12"/>
  <c r="EE25" i="12"/>
  <c r="CD21" i="12"/>
  <c r="CF17" i="12"/>
  <c r="IF18" i="12"/>
  <c r="CV33" i="12"/>
  <c r="EK6" i="12"/>
  <c r="DZ24" i="12"/>
  <c r="CK28" i="12"/>
  <c r="HU13" i="12"/>
  <c r="HE15" i="12"/>
  <c r="BR16" i="12"/>
  <c r="CZ30" i="12"/>
  <c r="CX33" i="12"/>
  <c r="GK29" i="12"/>
  <c r="BT26" i="12"/>
  <c r="BS47" i="12"/>
  <c r="FJ10" i="12"/>
  <c r="DI28" i="12"/>
  <c r="HY31" i="12"/>
  <c r="AB31" i="12"/>
  <c r="DQ18" i="12"/>
  <c r="FY18" i="12"/>
  <c r="AT22" i="12"/>
  <c r="GU15" i="12"/>
  <c r="S14" i="12"/>
  <c r="CE30" i="12"/>
  <c r="BG19" i="12"/>
  <c r="GU22" i="12"/>
  <c r="AX23" i="12"/>
  <c r="DT24" i="12"/>
  <c r="IF32" i="12"/>
  <c r="GD26" i="12"/>
  <c r="DW26" i="12"/>
  <c r="DJ36" i="12"/>
  <c r="GP7" i="12"/>
  <c r="HA35" i="12"/>
  <c r="AW35" i="12"/>
  <c r="BV34" i="12"/>
  <c r="EF19" i="12"/>
  <c r="W15" i="12"/>
  <c r="HX28" i="12"/>
  <c r="HB28" i="12"/>
  <c r="DJ37" i="12"/>
  <c r="EH43" i="12"/>
  <c r="CR44" i="12"/>
  <c r="IN39" i="12"/>
  <c r="AO41" i="12"/>
  <c r="EY24" i="12"/>
  <c r="AF48" i="12"/>
  <c r="IE41" i="12"/>
  <c r="AM34" i="12"/>
  <c r="HL47" i="12"/>
  <c r="GN37" i="12"/>
  <c r="BO18" i="12"/>
  <c r="AX41" i="12"/>
  <c r="DY36" i="12"/>
  <c r="BE43" i="12"/>
  <c r="L41" i="12"/>
  <c r="FO42" i="12"/>
  <c r="CX22" i="12"/>
  <c r="BB48" i="12"/>
  <c r="HT48" i="12"/>
  <c r="GF49" i="12"/>
  <c r="AN39" i="12"/>
  <c r="AO38" i="12"/>
  <c r="BO33" i="12"/>
  <c r="GZ4" i="12"/>
  <c r="U4" i="12"/>
  <c r="AH48" i="12"/>
  <c r="GB50" i="12"/>
  <c r="IE53" i="12"/>
  <c r="F42" i="12"/>
  <c r="CA37" i="12"/>
  <c r="HS35" i="12"/>
  <c r="BW51" i="12"/>
  <c r="AO36" i="12"/>
  <c r="CO40" i="12"/>
  <c r="GO43" i="12"/>
  <c r="AW46" i="12"/>
  <c r="EE48" i="12"/>
  <c r="HW38" i="12"/>
  <c r="C26" i="12"/>
  <c r="EP51" i="12"/>
  <c r="AW45" i="12"/>
  <c r="HA46" i="12"/>
  <c r="DX36" i="12"/>
  <c r="DW42" i="12"/>
  <c r="CN48" i="12"/>
  <c r="DB39" i="12"/>
  <c r="FY34" i="12"/>
  <c r="S37" i="12"/>
  <c r="HA43" i="12"/>
  <c r="HM51" i="12"/>
  <c r="GH35" i="12"/>
  <c r="DX40" i="12"/>
  <c r="HF43" i="12"/>
  <c r="HB53" i="12"/>
  <c r="HN45" i="12"/>
  <c r="M41" i="12"/>
  <c r="II42" i="12"/>
  <c r="DS33" i="12"/>
  <c r="FJ40" i="12"/>
  <c r="IR39" i="12"/>
  <c r="DN45" i="12"/>
  <c r="DW35" i="12"/>
  <c r="EF51" i="12"/>
  <c r="BQ45" i="12"/>
  <c r="P38" i="12"/>
  <c r="HX51" i="12"/>
  <c r="CW47" i="12"/>
  <c r="GJ27" i="12"/>
  <c r="DY42" i="12"/>
  <c r="CT47" i="12"/>
  <c r="BQ39" i="12"/>
  <c r="CI47" i="12"/>
  <c r="GY50" i="12"/>
  <c r="DK40" i="12"/>
  <c r="DL38" i="12"/>
  <c r="EH31" i="12"/>
  <c r="S40" i="12"/>
  <c r="GL37" i="12"/>
  <c r="FF48" i="12"/>
  <c r="Y42" i="12"/>
  <c r="EC49" i="12"/>
  <c r="S39" i="12"/>
  <c r="AV41" i="12"/>
  <c r="C45" i="12"/>
  <c r="HB35" i="12"/>
  <c r="BW36" i="12"/>
  <c r="DV26" i="12"/>
  <c r="F6" i="12"/>
  <c r="AM16" i="12"/>
  <c r="W33" i="12"/>
  <c r="ER23" i="12"/>
  <c r="EC35" i="12"/>
  <c r="BV18" i="12"/>
  <c r="GL30" i="12"/>
  <c r="DS28" i="12"/>
  <c r="DI9" i="12"/>
  <c r="V33" i="12"/>
  <c r="BU36" i="12"/>
  <c r="BL36" i="12"/>
  <c r="BU51" i="12"/>
  <c r="DH25" i="12"/>
  <c r="FA31" i="12"/>
  <c r="W22" i="12"/>
  <c r="DV31" i="12"/>
  <c r="HN50" i="12"/>
  <c r="FX51" i="12"/>
  <c r="BX45" i="12"/>
  <c r="CQ49" i="12"/>
  <c r="EZ46" i="12"/>
  <c r="CF40" i="12"/>
  <c r="FI37" i="12"/>
  <c r="AP36" i="12"/>
  <c r="K51" i="12"/>
  <c r="F32" i="12"/>
  <c r="FN45" i="12"/>
  <c r="BK50" i="12"/>
  <c r="FF47" i="12"/>
  <c r="DJ43" i="12"/>
  <c r="FO26" i="12"/>
  <c r="IC28" i="12"/>
  <c r="GD42" i="12"/>
  <c r="BF47" i="12"/>
  <c r="EA43" i="12"/>
  <c r="DW48" i="12"/>
  <c r="IF47" i="12"/>
  <c r="AG35" i="12"/>
  <c r="AK42" i="12"/>
  <c r="FU44" i="12"/>
  <c r="BZ41" i="12"/>
  <c r="DR45" i="12"/>
  <c r="BC44" i="12"/>
  <c r="CW14" i="12"/>
  <c r="HT50" i="12"/>
  <c r="AV8" i="12"/>
  <c r="CB13" i="12"/>
  <c r="GY8" i="12"/>
  <c r="BB26" i="12"/>
  <c r="EM10" i="12"/>
  <c r="DG31" i="12"/>
  <c r="AK22" i="12"/>
  <c r="AX21" i="12"/>
  <c r="AX22" i="12"/>
  <c r="BB15" i="12"/>
  <c r="IQ15" i="12"/>
  <c r="BK14" i="12"/>
  <c r="DD4" i="12"/>
  <c r="ID46" i="12"/>
  <c r="EI30" i="12"/>
  <c r="EV28" i="12"/>
  <c r="BI27" i="12"/>
  <c r="E21" i="12"/>
  <c r="IN24" i="12"/>
  <c r="BU32" i="12"/>
  <c r="CS26" i="12"/>
  <c r="FH23" i="12"/>
  <c r="FG29" i="12"/>
  <c r="M5" i="12"/>
  <c r="GM16" i="12"/>
  <c r="BH21" i="12"/>
  <c r="HG27" i="12"/>
  <c r="IO24" i="12"/>
  <c r="CE15" i="12"/>
  <c r="AU33" i="12"/>
  <c r="GZ28" i="12"/>
  <c r="DZ32" i="12"/>
  <c r="BS23" i="12"/>
  <c r="IK23" i="12"/>
  <c r="DV20" i="12"/>
  <c r="AR23" i="12"/>
  <c r="S27" i="12"/>
  <c r="DW28" i="12"/>
  <c r="HL28" i="12"/>
  <c r="BM23" i="12"/>
  <c r="DJ16" i="12"/>
  <c r="GY20" i="12"/>
  <c r="FN7" i="12"/>
  <c r="BS33" i="12"/>
  <c r="R36" i="12"/>
  <c r="AQ35" i="12"/>
  <c r="DZ21" i="12"/>
  <c r="ER17" i="12"/>
  <c r="DK33" i="12"/>
  <c r="AN28" i="12"/>
  <c r="BW34" i="12"/>
  <c r="M31" i="12"/>
  <c r="BA50" i="12"/>
  <c r="DT12" i="12"/>
  <c r="CB14" i="12"/>
  <c r="FI36" i="12"/>
  <c r="GA34" i="12"/>
  <c r="HO27" i="12"/>
  <c r="GE21" i="12"/>
  <c r="DN19" i="12"/>
  <c r="AK16" i="12"/>
  <c r="EW8" i="12"/>
  <c r="FH29" i="12"/>
  <c r="BN32" i="12"/>
  <c r="IQ32" i="12"/>
  <c r="EL20" i="12"/>
  <c r="DX18" i="12"/>
  <c r="HN17" i="12"/>
  <c r="GA26" i="12"/>
  <c r="DQ27" i="12"/>
  <c r="HD29" i="12"/>
  <c r="EF6" i="12"/>
  <c r="ID32" i="12"/>
  <c r="ES24" i="12"/>
  <c r="BF29" i="12"/>
  <c r="CY16" i="12"/>
  <c r="BC27" i="12"/>
  <c r="EB20" i="12"/>
  <c r="II27" i="12"/>
  <c r="F45" i="12"/>
  <c r="AC35" i="12"/>
  <c r="P34" i="12"/>
  <c r="DY39" i="12"/>
  <c r="BE39" i="12"/>
  <c r="EX26" i="12"/>
  <c r="FU52" i="12"/>
  <c r="EN51" i="12"/>
  <c r="DP39" i="12"/>
  <c r="GH40" i="12"/>
  <c r="HN38" i="12"/>
  <c r="FD35" i="12"/>
  <c r="K53" i="12"/>
  <c r="CD4" i="12"/>
  <c r="BB47" i="12"/>
  <c r="FD37" i="12"/>
  <c r="R38" i="12"/>
  <c r="ER29" i="12"/>
  <c r="F53" i="12"/>
  <c r="U48" i="12"/>
  <c r="U49" i="12"/>
  <c r="DL53" i="12"/>
  <c r="GS50" i="12"/>
  <c r="AK32" i="12"/>
  <c r="HK44" i="12"/>
  <c r="P28" i="12"/>
  <c r="GN47" i="12"/>
  <c r="X50" i="12"/>
  <c r="AC47" i="12"/>
  <c r="ES42" i="12"/>
  <c r="DC45" i="12"/>
  <c r="DV49" i="12"/>
  <c r="BZ40" i="12"/>
  <c r="CM29" i="12"/>
  <c r="AP53" i="12"/>
  <c r="FI32" i="12"/>
  <c r="IN42" i="12"/>
  <c r="GG38" i="12"/>
  <c r="AH47" i="12"/>
  <c r="FA52" i="12"/>
  <c r="C43" i="12"/>
  <c r="EJ43" i="12"/>
  <c r="H47" i="12"/>
  <c r="AH40" i="12"/>
  <c r="AP43" i="12"/>
  <c r="EG28" i="12"/>
  <c r="GV47" i="12"/>
  <c r="GZ41" i="12"/>
  <c r="BZ53" i="12"/>
  <c r="V51" i="12"/>
  <c r="FP38" i="12"/>
  <c r="BK45" i="12"/>
  <c r="IF42" i="12"/>
  <c r="DQ30" i="12"/>
  <c r="IQ41" i="12"/>
  <c r="EE38" i="12"/>
  <c r="EA39" i="12"/>
  <c r="G37" i="12"/>
  <c r="AX31" i="12"/>
  <c r="FI40" i="12"/>
  <c r="GL32" i="12"/>
  <c r="DA33" i="12"/>
  <c r="FH37" i="12"/>
  <c r="HB32" i="12"/>
  <c r="ER45" i="12"/>
  <c r="CE50" i="12"/>
  <c r="AA47" i="12"/>
  <c r="HD47" i="12"/>
  <c r="GG49" i="12"/>
  <c r="FE50" i="12"/>
  <c r="GS32" i="12"/>
  <c r="X27" i="12"/>
  <c r="BL37" i="12"/>
  <c r="CE39" i="12"/>
  <c r="HV35" i="12"/>
  <c r="CJ34" i="12"/>
  <c r="L35" i="12"/>
  <c r="DI41" i="12"/>
  <c r="IJ40" i="12"/>
  <c r="GJ39" i="12"/>
  <c r="EO44" i="12"/>
  <c r="AV39" i="12"/>
  <c r="ED42" i="12"/>
  <c r="EK48" i="12"/>
  <c r="EA16" i="12"/>
  <c r="HP30" i="12"/>
  <c r="CV35" i="12"/>
  <c r="HA33" i="12"/>
  <c r="AG21" i="12"/>
  <c r="GP30" i="12"/>
  <c r="GW9" i="12"/>
  <c r="DR20" i="12"/>
  <c r="EN24" i="12"/>
  <c r="DM14" i="12"/>
  <c r="GA31" i="12"/>
  <c r="FC18" i="12"/>
  <c r="FQ12" i="12"/>
  <c r="AL34" i="12"/>
  <c r="HM32" i="12"/>
  <c r="HR16" i="12"/>
  <c r="HL19" i="12"/>
  <c r="AP18" i="12"/>
  <c r="HN29" i="12"/>
  <c r="AE25" i="12"/>
  <c r="CP36" i="12"/>
  <c r="DL50" i="12"/>
  <c r="GB53" i="12"/>
  <c r="EY47" i="12"/>
  <c r="FD53" i="12"/>
  <c r="FC39" i="12"/>
  <c r="H48" i="12"/>
  <c r="FO45" i="12"/>
  <c r="GH49" i="12"/>
  <c r="CC42" i="12"/>
  <c r="HB33" i="12"/>
  <c r="EJ36" i="12"/>
  <c r="HW40" i="12"/>
  <c r="DF39" i="12"/>
  <c r="FB36" i="12"/>
  <c r="AG33" i="12"/>
  <c r="BC28" i="12"/>
  <c r="DK38" i="12"/>
  <c r="AS39" i="12"/>
  <c r="IH39" i="12"/>
  <c r="HM39" i="12"/>
  <c r="E38" i="12"/>
  <c r="GS13" i="12"/>
  <c r="AB48" i="12"/>
  <c r="BI53" i="12"/>
  <c r="CW38" i="12"/>
  <c r="EN34" i="12"/>
  <c r="IL43" i="12"/>
  <c r="BF17" i="12"/>
  <c r="AF37" i="12"/>
  <c r="DK6" i="12"/>
  <c r="CS4" i="12"/>
  <c r="IA8" i="12"/>
  <c r="ID25" i="12"/>
  <c r="IJ7" i="12"/>
  <c r="CV19" i="12"/>
  <c r="IM22" i="12"/>
  <c r="DO24" i="12"/>
  <c r="CO26" i="12"/>
  <c r="DM28" i="12"/>
  <c r="IH20" i="12"/>
  <c r="GP22" i="12"/>
  <c r="AU53" i="12"/>
  <c r="AG11" i="12"/>
  <c r="FG31" i="12"/>
  <c r="EO24" i="12"/>
  <c r="BT23" i="12"/>
  <c r="CX24" i="12"/>
  <c r="HM20" i="12"/>
  <c r="EU21" i="12"/>
  <c r="CW30" i="12"/>
  <c r="IE34" i="12"/>
  <c r="AK34" i="12"/>
  <c r="DP17" i="12"/>
  <c r="HS27" i="12"/>
  <c r="FJ24" i="12"/>
  <c r="IK25" i="12"/>
  <c r="K18" i="12"/>
  <c r="CY18" i="12"/>
  <c r="FF30" i="12"/>
  <c r="BB27" i="12"/>
  <c r="U29" i="12"/>
  <c r="EW46" i="12"/>
  <c r="GW7" i="12"/>
  <c r="AB22" i="12"/>
  <c r="CU22" i="12"/>
  <c r="HZ36" i="12"/>
  <c r="BI36" i="12"/>
  <c r="CP33" i="12"/>
  <c r="GS17" i="12"/>
  <c r="DA21" i="12"/>
  <c r="BI23" i="12"/>
  <c r="HB15" i="12"/>
  <c r="DN35" i="12"/>
  <c r="IA27" i="12"/>
  <c r="EK28" i="12"/>
  <c r="AZ16" i="12"/>
  <c r="IR14" i="12"/>
  <c r="AF23" i="12"/>
  <c r="GH32" i="12"/>
  <c r="Y29" i="12"/>
  <c r="J27" i="12"/>
  <c r="Y41" i="12"/>
  <c r="IB14" i="12"/>
  <c r="BA22" i="12"/>
  <c r="Y24" i="12"/>
  <c r="GL31" i="12"/>
  <c r="BH26" i="12"/>
  <c r="HM25" i="12"/>
  <c r="GX25" i="12"/>
  <c r="CO15" i="12"/>
  <c r="N17" i="12"/>
  <c r="AF18" i="12"/>
  <c r="BY35" i="12"/>
  <c r="FL27" i="12"/>
  <c r="GK26" i="12"/>
  <c r="EZ27" i="12"/>
  <c r="CS19" i="12"/>
  <c r="EX15" i="12"/>
  <c r="Z37" i="12"/>
  <c r="GM36" i="12"/>
  <c r="GZ11" i="12"/>
  <c r="FA27" i="12"/>
  <c r="BQ31" i="12"/>
  <c r="AG36" i="12"/>
  <c r="HZ19" i="12"/>
  <c r="FI19" i="12"/>
  <c r="GU14" i="12"/>
  <c r="DD24" i="12"/>
  <c r="HW37" i="12"/>
  <c r="HR43" i="12"/>
  <c r="DG39" i="12"/>
  <c r="DF36" i="12"/>
  <c r="BF28" i="12"/>
  <c r="BJ13" i="12"/>
  <c r="GU4" i="12"/>
  <c r="BQ49" i="12"/>
  <c r="EA50" i="12"/>
  <c r="BG48" i="12"/>
  <c r="BP26" i="12"/>
  <c r="DW31" i="12"/>
  <c r="S46" i="12"/>
  <c r="BC4" i="12"/>
  <c r="HF45" i="12"/>
  <c r="F44" i="12"/>
  <c r="U47" i="12"/>
  <c r="CG34" i="12"/>
  <c r="BV39" i="12"/>
  <c r="BX52" i="12"/>
  <c r="O47" i="12"/>
  <c r="IK53" i="12"/>
  <c r="CA4" i="12"/>
  <c r="BE41" i="12"/>
  <c r="FQ40" i="12"/>
  <c r="W38" i="12"/>
  <c r="GB32" i="12"/>
  <c r="BJ4" i="12"/>
  <c r="AJ25" i="12"/>
  <c r="AZ38" i="12"/>
  <c r="EN37" i="12"/>
  <c r="EJ39" i="12"/>
  <c r="HI36" i="12"/>
  <c r="IE51" i="12"/>
  <c r="BL45" i="12"/>
  <c r="T52" i="12"/>
  <c r="AJ33" i="12"/>
  <c r="HP39" i="12"/>
  <c r="AA27" i="12"/>
  <c r="DC42" i="12"/>
  <c r="AL41" i="12"/>
  <c r="FJ41" i="12"/>
  <c r="IA42" i="12"/>
  <c r="FM35" i="12"/>
  <c r="E50" i="12"/>
  <c r="CR49" i="12"/>
  <c r="HU48" i="12"/>
  <c r="AD37" i="12"/>
  <c r="DY33" i="12"/>
  <c r="BN43" i="12"/>
  <c r="AJ52" i="12"/>
  <c r="CQ45" i="12"/>
  <c r="HX50" i="12"/>
  <c r="GU13" i="12"/>
  <c r="IB45" i="12"/>
  <c r="BO44" i="12"/>
  <c r="AL40" i="12"/>
  <c r="GP34" i="12"/>
  <c r="DO19" i="12"/>
  <c r="IA53" i="12"/>
  <c r="HZ38" i="12"/>
  <c r="AR4" i="12"/>
  <c r="EY42" i="12"/>
  <c r="BG28" i="12"/>
  <c r="C46" i="12"/>
  <c r="CJ38" i="12"/>
  <c r="DM49" i="12"/>
  <c r="FN48" i="12"/>
  <c r="AQ4" i="12"/>
  <c r="FL50" i="12"/>
  <c r="FO49" i="12"/>
  <c r="FE16" i="12"/>
  <c r="CQ40" i="12"/>
  <c r="GG41" i="12"/>
  <c r="CA41" i="12"/>
  <c r="BN34" i="12"/>
  <c r="IN34" i="12"/>
  <c r="W36" i="12"/>
  <c r="FU21" i="12"/>
  <c r="EO31" i="12"/>
  <c r="CM30" i="12"/>
  <c r="BA25" i="12"/>
  <c r="BE10" i="12"/>
  <c r="EQ23" i="12"/>
  <c r="EW24" i="12"/>
  <c r="FE37" i="12"/>
  <c r="CZ13" i="12"/>
  <c r="IE22" i="12"/>
  <c r="CF23" i="12"/>
  <c r="HK35" i="12"/>
  <c r="CN16" i="12"/>
  <c r="GC34" i="12"/>
  <c r="HS29" i="12"/>
  <c r="FS28" i="12"/>
  <c r="IQ23" i="12"/>
  <c r="IO18" i="12"/>
  <c r="AE37" i="12"/>
  <c r="EV50" i="12"/>
  <c r="HZ28" i="12"/>
  <c r="DD47" i="12"/>
  <c r="EX49" i="12"/>
  <c r="AL35" i="12"/>
  <c r="BO39" i="12"/>
  <c r="HV37" i="12"/>
  <c r="GV39" i="12"/>
  <c r="EB39" i="12"/>
  <c r="DY34" i="12"/>
  <c r="FU43" i="12"/>
  <c r="HN49" i="12"/>
  <c r="IJ46" i="12"/>
  <c r="AE45" i="12"/>
  <c r="GP44" i="12"/>
  <c r="CK32" i="12"/>
  <c r="BA43" i="12"/>
  <c r="EP47" i="12"/>
  <c r="CL44" i="12"/>
  <c r="CL43" i="12"/>
  <c r="BU47" i="12"/>
  <c r="GN16" i="12"/>
  <c r="DV46" i="12"/>
  <c r="GI53" i="12"/>
  <c r="HM48" i="12"/>
  <c r="HB45" i="12"/>
  <c r="AK39" i="12"/>
  <c r="CD13" i="12"/>
  <c r="IL36" i="12"/>
  <c r="CL7" i="12"/>
  <c r="AZ7" i="12"/>
  <c r="AL8" i="12"/>
  <c r="ET15" i="12"/>
  <c r="GG26" i="12"/>
  <c r="AV15" i="12"/>
  <c r="X25" i="12"/>
  <c r="CY25" i="12"/>
  <c r="FO35" i="12"/>
  <c r="V30" i="12"/>
  <c r="EE32" i="12"/>
  <c r="IM14" i="12"/>
  <c r="EH53" i="12"/>
  <c r="EL10" i="12"/>
  <c r="CF21" i="12"/>
  <c r="BA29" i="12"/>
  <c r="GT33" i="12"/>
  <c r="CO21" i="12"/>
  <c r="GX15" i="12"/>
  <c r="AE15" i="12"/>
  <c r="BM18" i="12"/>
  <c r="II30" i="12"/>
  <c r="FG30" i="12"/>
  <c r="CO49" i="12"/>
  <c r="AM32" i="12"/>
  <c r="GK28" i="12"/>
  <c r="HR23" i="12"/>
  <c r="CJ25" i="12"/>
  <c r="GI24" i="12"/>
  <c r="FL23" i="12"/>
  <c r="AS29" i="12"/>
  <c r="GH27" i="12"/>
  <c r="M42" i="12"/>
  <c r="AL20" i="12"/>
  <c r="DW29" i="12"/>
  <c r="BK17" i="12"/>
  <c r="BN18" i="12"/>
  <c r="BM32" i="12"/>
  <c r="HL29" i="12"/>
  <c r="HT35" i="12"/>
  <c r="GT16" i="12"/>
  <c r="AS15" i="12"/>
  <c r="CC5" i="12"/>
  <c r="DR34" i="12"/>
  <c r="GS35" i="12"/>
  <c r="DT35" i="12"/>
  <c r="HJ21" i="12"/>
  <c r="FE20" i="12"/>
  <c r="CV14" i="12"/>
  <c r="GN20" i="12"/>
  <c r="AM30" i="12"/>
  <c r="GF26" i="12"/>
  <c r="ID36" i="12"/>
  <c r="IB6" i="12"/>
  <c r="GH21" i="12"/>
  <c r="EJ27" i="12"/>
  <c r="HE34" i="12"/>
  <c r="EN26" i="12"/>
  <c r="BL29" i="12"/>
  <c r="BR15" i="12"/>
  <c r="J21" i="12"/>
  <c r="DX6" i="12"/>
  <c r="DW17" i="12"/>
  <c r="AK23" i="12"/>
  <c r="FP31" i="12"/>
  <c r="HE31" i="12"/>
  <c r="HH18" i="12"/>
  <c r="AK24" i="12"/>
  <c r="E19" i="12"/>
  <c r="CD16" i="12"/>
  <c r="EB28" i="12"/>
  <c r="CH48" i="12"/>
  <c r="DM23" i="12"/>
  <c r="AM13" i="12"/>
  <c r="DY27" i="12"/>
  <c r="K27" i="12"/>
  <c r="EM27" i="12"/>
  <c r="DO21" i="12"/>
  <c r="BE22" i="12"/>
  <c r="CX45" i="12"/>
  <c r="HR51" i="12"/>
  <c r="DP36" i="12"/>
  <c r="HI39" i="12"/>
  <c r="CB45" i="12"/>
  <c r="FT30" i="12"/>
  <c r="GS52" i="12"/>
  <c r="EL48" i="12"/>
  <c r="I53" i="12"/>
  <c r="AS48" i="12"/>
  <c r="AW51" i="12"/>
  <c r="AO30" i="12"/>
  <c r="GO31" i="12"/>
  <c r="DR50" i="12"/>
  <c r="G45" i="12"/>
  <c r="EE52" i="12"/>
  <c r="HR50" i="12"/>
  <c r="DB46" i="12"/>
  <c r="GP35" i="12"/>
  <c r="BB49" i="12"/>
  <c r="CT30" i="12"/>
  <c r="EN49" i="12"/>
  <c r="GZ46" i="12"/>
  <c r="DX43" i="12"/>
  <c r="GC48" i="12"/>
  <c r="CU46" i="12"/>
  <c r="BK49" i="12"/>
  <c r="GS43" i="12"/>
  <c r="V29" i="12"/>
  <c r="IL40" i="12"/>
  <c r="GF43" i="12"/>
  <c r="GZ48" i="12"/>
  <c r="IO46" i="12"/>
  <c r="GQ43" i="12"/>
  <c r="CA49" i="12"/>
  <c r="AC48" i="12"/>
  <c r="CF53" i="12"/>
  <c r="GA45" i="12"/>
  <c r="DE29" i="12"/>
  <c r="EP44" i="12"/>
  <c r="FK34" i="12"/>
  <c r="DQ42" i="12"/>
  <c r="GQ39" i="12"/>
  <c r="GF17" i="12"/>
  <c r="HB4" i="12"/>
  <c r="DP48" i="12"/>
  <c r="GD51" i="12"/>
  <c r="HD53" i="12"/>
  <c r="GH19" i="12"/>
  <c r="BG46" i="12"/>
  <c r="BY38" i="12"/>
  <c r="BA46" i="12"/>
  <c r="BZ51" i="12"/>
  <c r="EO13" i="12"/>
  <c r="CW37" i="12"/>
  <c r="AU38" i="12"/>
  <c r="AK40" i="12"/>
  <c r="AD46" i="12"/>
  <c r="BW24" i="12"/>
  <c r="HH40" i="12"/>
  <c r="GV31" i="12"/>
  <c r="Q33" i="12"/>
  <c r="DD36" i="12"/>
  <c r="IH26" i="12"/>
  <c r="AW48" i="12"/>
  <c r="GY31" i="12"/>
  <c r="BK38" i="12"/>
  <c r="ES40" i="12"/>
  <c r="BW52" i="12"/>
  <c r="N51" i="12"/>
  <c r="CM50" i="12"/>
  <c r="EJ23" i="12"/>
  <c r="ET36" i="12"/>
  <c r="IJ38" i="12"/>
  <c r="HZ40" i="12"/>
  <c r="R50" i="12"/>
  <c r="GF34" i="12"/>
  <c r="EF37" i="12"/>
  <c r="BP21" i="12"/>
  <c r="V43" i="12"/>
  <c r="CX37" i="12"/>
  <c r="GS48" i="12"/>
  <c r="HJ39" i="12"/>
  <c r="K22" i="12"/>
  <c r="FO27" i="12"/>
  <c r="AQ17" i="12"/>
  <c r="FN30" i="12"/>
  <c r="HY20" i="12"/>
  <c r="AX18" i="12"/>
  <c r="FV26" i="12"/>
  <c r="EG32" i="12"/>
  <c r="AT34" i="12"/>
  <c r="AZ19" i="12"/>
  <c r="DT15" i="12"/>
  <c r="DS34" i="12"/>
  <c r="IB13" i="12"/>
  <c r="IA21" i="12"/>
  <c r="FX16" i="12"/>
  <c r="HY35" i="12"/>
  <c r="HX31" i="12"/>
  <c r="AD30" i="12"/>
  <c r="HZ17" i="12"/>
  <c r="CX28" i="12"/>
  <c r="N50" i="12"/>
  <c r="IC40" i="12"/>
  <c r="CI38" i="12"/>
  <c r="T36" i="12"/>
  <c r="BF31" i="12"/>
  <c r="BO42" i="12"/>
  <c r="CR48" i="12"/>
  <c r="IR43" i="12"/>
  <c r="W49" i="12"/>
  <c r="BZ49" i="12"/>
  <c r="EN14" i="12"/>
  <c r="BF37" i="12"/>
  <c r="HJ41" i="12"/>
  <c r="GP39" i="12"/>
  <c r="HA41" i="12"/>
  <c r="FD36" i="12"/>
  <c r="HG22" i="12"/>
  <c r="EA52" i="12"/>
  <c r="AN46" i="12"/>
  <c r="HK4" i="12"/>
  <c r="BH40" i="12"/>
  <c r="DC40" i="12"/>
  <c r="EJ30" i="12"/>
  <c r="FT45" i="12"/>
  <c r="EN4" i="12"/>
  <c r="CV52" i="12"/>
  <c r="DC49" i="12"/>
  <c r="EF46" i="12"/>
  <c r="CI8" i="12"/>
  <c r="FI4" i="12"/>
  <c r="EE5" i="12"/>
  <c r="FU9" i="12"/>
  <c r="EQ21" i="12"/>
  <c r="GG18" i="12"/>
  <c r="HY8" i="12"/>
  <c r="CK24" i="12"/>
  <c r="AX37" i="12"/>
  <c r="CX23" i="12"/>
  <c r="HU35" i="12"/>
  <c r="IA30" i="12"/>
  <c r="GS37" i="12"/>
  <c r="EA33" i="12"/>
  <c r="FT41" i="12"/>
  <c r="DB13" i="12"/>
  <c r="BA17" i="12"/>
  <c r="GD32" i="12"/>
  <c r="CT25" i="12"/>
  <c r="GU25" i="12"/>
  <c r="AD23" i="12"/>
  <c r="FI17" i="12"/>
  <c r="EO19" i="12"/>
  <c r="GW34" i="12"/>
  <c r="DN33" i="12"/>
  <c r="CK8" i="12"/>
  <c r="BJ15" i="12"/>
  <c r="HP36" i="12"/>
  <c r="HT31" i="12"/>
  <c r="D31" i="12"/>
  <c r="GI18" i="12"/>
  <c r="EM25" i="12"/>
  <c r="S21" i="12"/>
  <c r="Z30" i="12"/>
  <c r="BG9" i="12"/>
  <c r="FR13" i="12"/>
  <c r="GS34" i="12"/>
  <c r="DT23" i="12"/>
  <c r="CY21" i="12"/>
  <c r="AA36" i="12"/>
  <c r="FS32" i="12"/>
  <c r="T30" i="12"/>
  <c r="FT29" i="12"/>
  <c r="ES23" i="12"/>
  <c r="DB10" i="12"/>
  <c r="CT22" i="12"/>
  <c r="CR16" i="12"/>
  <c r="HJ23" i="12"/>
  <c r="DX32" i="12"/>
  <c r="HA15" i="12"/>
  <c r="CZ22" i="12"/>
  <c r="DI12" i="12"/>
  <c r="DA24" i="12"/>
  <c r="FF23" i="12"/>
  <c r="GA37" i="12"/>
  <c r="X20" i="12"/>
  <c r="BL35" i="12"/>
  <c r="GR18" i="12"/>
  <c r="AR22" i="12"/>
  <c r="IB30" i="12"/>
  <c r="EL28" i="12"/>
  <c r="AY22" i="12"/>
  <c r="BL39" i="12"/>
  <c r="GK6" i="12"/>
  <c r="BQ16" i="12"/>
  <c r="IA20" i="12"/>
  <c r="AI24" i="12"/>
  <c r="GG24" i="12"/>
  <c r="AW24" i="12"/>
  <c r="IL16" i="12"/>
  <c r="ES20" i="12"/>
  <c r="EM17" i="12"/>
  <c r="BK35" i="12"/>
  <c r="CC6" i="12"/>
  <c r="M26" i="12"/>
  <c r="DF15" i="12"/>
  <c r="BC36" i="12"/>
  <c r="HV32" i="12"/>
  <c r="BP28" i="12"/>
  <c r="M15" i="12"/>
  <c r="GA19" i="12"/>
  <c r="AK51" i="12"/>
  <c r="AF45" i="12"/>
  <c r="AF46" i="12"/>
  <c r="GZ39" i="12"/>
  <c r="FQ43" i="12"/>
  <c r="FG28" i="12"/>
  <c r="HY47" i="12"/>
  <c r="CC32" i="12"/>
  <c r="BI4" i="12"/>
  <c r="HE51" i="12"/>
  <c r="ES53" i="12"/>
  <c r="FP41" i="12"/>
  <c r="GH41" i="12"/>
  <c r="V24" i="12"/>
  <c r="HM44" i="12"/>
  <c r="HB50" i="12"/>
  <c r="EI53" i="12"/>
  <c r="EL38" i="12"/>
  <c r="CX43" i="12"/>
  <c r="FI41" i="12"/>
  <c r="O39" i="12"/>
  <c r="AO39" i="12"/>
  <c r="CU27" i="12"/>
  <c r="X40" i="12"/>
  <c r="ES38" i="12"/>
  <c r="FD38" i="12"/>
  <c r="CU41" i="12"/>
  <c r="AA41" i="12"/>
  <c r="GH29" i="12"/>
  <c r="EJ38" i="12"/>
  <c r="G38" i="12"/>
  <c r="HT39" i="12"/>
  <c r="AJ24" i="12"/>
  <c r="GT47" i="12"/>
  <c r="ID49" i="12"/>
  <c r="IB48" i="12"/>
  <c r="AV50" i="12"/>
  <c r="EC46" i="12"/>
  <c r="BV17" i="12"/>
  <c r="EF41" i="12"/>
  <c r="FU38" i="12"/>
  <c r="EO43" i="12"/>
  <c r="FX53" i="12"/>
  <c r="S33" i="12"/>
  <c r="HA47" i="12"/>
  <c r="CB26" i="12"/>
  <c r="FW38" i="12"/>
  <c r="HG37" i="12"/>
  <c r="N26" i="12"/>
  <c r="AG42" i="12"/>
  <c r="IE46" i="12"/>
  <c r="GV46" i="12"/>
  <c r="HO30" i="12"/>
  <c r="CU45" i="12"/>
  <c r="GG37" i="12"/>
  <c r="FS52" i="12"/>
  <c r="Y4" i="12"/>
  <c r="GO35" i="12"/>
  <c r="GR46" i="12"/>
  <c r="FW50" i="12"/>
  <c r="HQ44" i="12"/>
  <c r="IO51" i="12"/>
  <c r="DG42" i="12"/>
  <c r="GY46" i="12"/>
  <c r="DZ26" i="12"/>
  <c r="IP47" i="12"/>
  <c r="U42" i="12"/>
  <c r="BG45" i="12"/>
  <c r="S47" i="12"/>
  <c r="AT49" i="12"/>
  <c r="F27" i="12"/>
  <c r="HQ42" i="12"/>
  <c r="IH38" i="12"/>
  <c r="K4" i="12"/>
  <c r="EH44" i="12"/>
  <c r="IR29" i="12"/>
  <c r="CE51" i="12"/>
  <c r="AI49" i="12"/>
  <c r="HH4" i="12"/>
  <c r="FR49" i="12"/>
  <c r="CP47" i="12"/>
  <c r="DL47" i="12"/>
  <c r="CA42" i="12"/>
  <c r="FM43" i="12"/>
  <c r="AS44" i="12"/>
  <c r="BI18" i="12"/>
  <c r="BP39" i="12"/>
  <c r="FY38" i="12"/>
  <c r="HK33" i="12"/>
  <c r="BN4" i="12"/>
  <c r="GG52" i="12"/>
  <c r="FZ53" i="12"/>
  <c r="AG45" i="12"/>
  <c r="EG45" i="12"/>
  <c r="HA51" i="12"/>
  <c r="FX40" i="12"/>
  <c r="IB50" i="12"/>
  <c r="G4" i="12"/>
  <c r="BA53" i="12"/>
  <c r="HF41" i="12"/>
  <c r="BN49" i="12"/>
  <c r="C30" i="12"/>
  <c r="FQ48" i="12"/>
  <c r="BE50" i="12"/>
  <c r="GF46" i="12"/>
  <c r="GT51" i="12"/>
  <c r="DQ4" i="12"/>
  <c r="HJ42" i="12"/>
  <c r="DG4" i="12"/>
  <c r="GF48" i="12"/>
  <c r="G35" i="12"/>
  <c r="AL4" i="12"/>
  <c r="HO49" i="12"/>
  <c r="FJ38" i="12"/>
  <c r="BN42" i="12"/>
  <c r="EQ50" i="12"/>
  <c r="HI41" i="12"/>
  <c r="CP48" i="12"/>
  <c r="HD52" i="12"/>
  <c r="GG46" i="12"/>
  <c r="GS40" i="12"/>
  <c r="AY52" i="12"/>
  <c r="FK46" i="12"/>
  <c r="BD38" i="12"/>
  <c r="EK45" i="12"/>
  <c r="FD45" i="12"/>
  <c r="FY46" i="12"/>
  <c r="DG49" i="12"/>
  <c r="AI52" i="12"/>
  <c r="FR45" i="12"/>
  <c r="FG42" i="12"/>
  <c r="Z47" i="12"/>
  <c r="EV45" i="12"/>
  <c r="IP41" i="12"/>
  <c r="EL51" i="12"/>
  <c r="C52" i="12"/>
  <c r="AJ39" i="12"/>
  <c r="DI52" i="12"/>
  <c r="BJ53" i="12"/>
  <c r="BW37" i="12"/>
  <c r="CF37" i="12"/>
  <c r="FZ46" i="12"/>
  <c r="GE30" i="12"/>
  <c r="N49" i="12"/>
  <c r="GI48" i="12"/>
  <c r="FO32" i="12"/>
  <c r="FF4" i="12"/>
  <c r="HJ47" i="12"/>
  <c r="AA37" i="12"/>
  <c r="CW51" i="12"/>
  <c r="HL52" i="12"/>
  <c r="IE52" i="12"/>
  <c r="AF49" i="12"/>
  <c r="CZ50" i="12"/>
  <c r="GU51" i="12"/>
  <c r="CT43" i="12"/>
  <c r="GJ53" i="12"/>
  <c r="GQ46" i="12"/>
  <c r="GV45" i="12"/>
  <c r="HL51" i="12"/>
  <c r="HE36" i="12"/>
  <c r="DU46" i="12"/>
  <c r="AT44" i="12"/>
  <c r="BW44" i="12"/>
  <c r="GM52" i="12"/>
  <c r="C22" i="12"/>
  <c r="ES49" i="12"/>
  <c r="GQ40" i="12"/>
  <c r="AV52" i="12"/>
  <c r="FX44" i="12"/>
  <c r="R47" i="12"/>
  <c r="DS52" i="12"/>
  <c r="HH50" i="12"/>
  <c r="HH43" i="12"/>
  <c r="X46" i="12"/>
  <c r="DK4" i="12"/>
  <c r="BJ43" i="12"/>
  <c r="GY49" i="12"/>
  <c r="AX4" i="12"/>
  <c r="T41" i="12"/>
  <c r="CB49" i="12"/>
  <c r="HB48" i="12"/>
  <c r="CO53" i="12"/>
  <c r="BO41" i="12"/>
  <c r="FE45" i="12"/>
  <c r="FS50" i="12"/>
  <c r="HB38" i="12"/>
  <c r="HP52" i="12"/>
  <c r="HR44" i="12"/>
  <c r="GT46" i="12"/>
  <c r="T44" i="12"/>
  <c r="AU51" i="12"/>
  <c r="CM49" i="12"/>
  <c r="CZ48" i="12"/>
  <c r="GM4" i="12"/>
  <c r="CZ46" i="12"/>
  <c r="H44" i="12"/>
  <c r="CP37" i="12"/>
  <c r="FZ28" i="12"/>
  <c r="AQ38" i="12"/>
  <c r="AJ40" i="12"/>
  <c r="HB17" i="12"/>
  <c r="FK45" i="12"/>
  <c r="AZ42" i="12"/>
  <c r="FV50" i="12"/>
  <c r="IM50" i="12"/>
  <c r="HW50" i="12"/>
  <c r="FN41" i="12"/>
  <c r="GI51" i="12"/>
  <c r="BF4" i="12"/>
  <c r="EU42" i="12"/>
  <c r="GK4" i="12"/>
  <c r="BU48" i="12"/>
  <c r="GX50" i="12"/>
  <c r="ID52" i="12"/>
  <c r="CQ47" i="12"/>
  <c r="GJ52" i="12"/>
  <c r="GU48" i="12"/>
  <c r="FG52" i="12"/>
  <c r="C5" i="12"/>
  <c r="FV4" i="12"/>
  <c r="FX45" i="12"/>
  <c r="BQ51" i="12"/>
  <c r="BO4" i="12"/>
  <c r="Z52" i="12"/>
  <c r="ES50" i="12"/>
  <c r="DS49" i="12"/>
  <c r="FN4" i="12"/>
  <c r="HU45" i="12"/>
  <c r="DP52" i="12"/>
  <c r="IE50" i="12"/>
  <c r="FC51" i="12"/>
  <c r="GQ45" i="12"/>
  <c r="IE47" i="12"/>
  <c r="FC45" i="12"/>
  <c r="EX48" i="12"/>
  <c r="BM49" i="12"/>
  <c r="DV48" i="12"/>
  <c r="AI42" i="12"/>
  <c r="BN44" i="12"/>
  <c r="AN51" i="12"/>
  <c r="AG53" i="12"/>
  <c r="HZ43" i="12"/>
  <c r="DS53" i="12"/>
  <c r="GR4" i="12"/>
  <c r="EE42" i="12"/>
  <c r="CA43" i="12"/>
  <c r="AB45" i="12"/>
  <c r="EW36" i="12"/>
  <c r="HF53" i="12"/>
  <c r="CW53" i="12"/>
  <c r="GQ52" i="12"/>
  <c r="DZ51" i="12"/>
  <c r="EM50" i="12"/>
  <c r="GN45" i="12"/>
  <c r="CX49" i="12"/>
  <c r="EX43" i="12"/>
  <c r="U30" i="12"/>
  <c r="X4" i="12"/>
  <c r="DG46" i="12"/>
  <c r="CC50" i="12"/>
  <c r="GL44" i="12"/>
  <c r="BA49" i="12"/>
  <c r="BA39" i="12"/>
  <c r="BD51" i="12"/>
  <c r="DK48" i="12"/>
  <c r="CZ42" i="12"/>
  <c r="AR46" i="12"/>
  <c r="HR48" i="12"/>
  <c r="GV52" i="12"/>
  <c r="DO42" i="12"/>
  <c r="BX38" i="12"/>
  <c r="DB52" i="12"/>
  <c r="DR48" i="12"/>
  <c r="HI47" i="12"/>
  <c r="AH51" i="12"/>
  <c r="FW4" i="12"/>
  <c r="HV52" i="12"/>
  <c r="CL40" i="12"/>
  <c r="Q52" i="12"/>
  <c r="P53" i="12"/>
  <c r="BH44" i="12"/>
  <c r="BR53" i="12"/>
  <c r="CV48" i="12"/>
  <c r="EL39" i="12"/>
  <c r="AH52" i="12"/>
  <c r="EO51" i="12"/>
  <c r="BT34" i="12"/>
  <c r="BG43" i="12"/>
  <c r="AV51" i="12"/>
  <c r="BY36" i="12"/>
  <c r="CX48" i="12"/>
  <c r="M46" i="12"/>
  <c r="FJ46" i="12"/>
  <c r="BF50" i="12"/>
  <c r="AY49" i="12"/>
  <c r="GH53" i="12"/>
  <c r="CI30" i="12"/>
  <c r="GN4" i="12"/>
  <c r="AW53" i="12"/>
  <c r="EP52" i="12"/>
  <c r="C31" i="12"/>
  <c r="GV48" i="12"/>
  <c r="FZ45" i="12"/>
  <c r="CL46" i="12"/>
  <c r="HQ51" i="12"/>
  <c r="CR4" i="12"/>
  <c r="Y51" i="12"/>
  <c r="AK4" i="12"/>
  <c r="X53" i="12"/>
  <c r="H51" i="12"/>
  <c r="BQ53" i="12"/>
  <c r="IM42" i="12"/>
  <c r="CR52" i="12"/>
  <c r="CC46" i="12"/>
  <c r="HM46" i="12"/>
  <c r="IK49" i="12"/>
  <c r="GH48" i="12"/>
  <c r="EW33" i="12"/>
  <c r="BA47" i="12"/>
  <c r="BB53" i="12"/>
  <c r="EJ4" i="12"/>
  <c r="FQ51" i="12"/>
  <c r="AC46" i="12"/>
  <c r="E46" i="12"/>
  <c r="CG48" i="12"/>
  <c r="FD41" i="12"/>
  <c r="HF51" i="12"/>
  <c r="AQ52" i="12"/>
  <c r="DB51" i="12"/>
  <c r="BD53" i="12"/>
  <c r="IB44" i="12"/>
  <c r="DD48" i="12"/>
  <c r="AE42" i="12"/>
  <c r="EK49" i="12"/>
  <c r="C44" i="12"/>
  <c r="BI49" i="12"/>
  <c r="R53" i="12"/>
  <c r="EE49" i="12"/>
  <c r="EW32" i="12"/>
  <c r="CA44" i="12"/>
  <c r="IA49" i="12"/>
  <c r="V41" i="12"/>
  <c r="HK49" i="12"/>
  <c r="GO48" i="12"/>
  <c r="BO50" i="12"/>
  <c r="HZ42" i="12"/>
  <c r="CK45" i="12"/>
  <c r="EJ52" i="12"/>
  <c r="GF36" i="12"/>
  <c r="IO52" i="12"/>
  <c r="IN45" i="12"/>
  <c r="GU39" i="12"/>
  <c r="DU48" i="12"/>
  <c r="BS53" i="12"/>
  <c r="DV50" i="12"/>
  <c r="EA46" i="12"/>
  <c r="Z51" i="12"/>
  <c r="IF45" i="12"/>
  <c r="IH51" i="12"/>
  <c r="CU50" i="12"/>
  <c r="HD49" i="12"/>
  <c r="ID48" i="12"/>
  <c r="GM31" i="12"/>
  <c r="C29" i="12"/>
  <c r="GY43" i="12"/>
  <c r="HE44" i="12"/>
  <c r="HM4" i="12"/>
  <c r="BS50" i="12"/>
  <c r="BM40" i="12"/>
  <c r="DE4" i="12"/>
  <c r="V46" i="12"/>
  <c r="EW51" i="12"/>
  <c r="FR46" i="12"/>
  <c r="IJ44" i="12"/>
  <c r="CY46" i="12"/>
  <c r="FC53" i="12"/>
  <c r="CQ48" i="12"/>
  <c r="BR51" i="12"/>
  <c r="GM48" i="12"/>
  <c r="IM52" i="12"/>
  <c r="FM44" i="12"/>
  <c r="HE47" i="12"/>
  <c r="DO51" i="12"/>
  <c r="FY52" i="12"/>
  <c r="GU45" i="12"/>
  <c r="C17" i="12"/>
  <c r="GT48" i="12"/>
  <c r="HL53" i="12"/>
  <c r="CM37" i="12"/>
  <c r="FK47" i="12"/>
  <c r="EG52" i="12"/>
  <c r="DG41" i="12"/>
  <c r="FO50" i="12"/>
  <c r="HZ4" i="12"/>
  <c r="GG42" i="12"/>
  <c r="BF49" i="12"/>
  <c r="DW49" i="12"/>
  <c r="FP39" i="12"/>
  <c r="EL53" i="12"/>
  <c r="GH50" i="12"/>
  <c r="FQ37" i="12"/>
  <c r="O4" i="12"/>
  <c r="AE51" i="12"/>
  <c r="CB47" i="12"/>
  <c r="AZ44" i="12"/>
  <c r="IJ45" i="12"/>
  <c r="BY51" i="12"/>
  <c r="HW48" i="12"/>
  <c r="DO43" i="12"/>
  <c r="EH51" i="12"/>
  <c r="CP49" i="12"/>
  <c r="D51" i="12"/>
  <c r="C14" i="12"/>
  <c r="GI43" i="12"/>
  <c r="DE50" i="12"/>
  <c r="HZ49" i="12"/>
  <c r="N44" i="12"/>
  <c r="GE38" i="12"/>
  <c r="DV37" i="12"/>
  <c r="EO40" i="12"/>
  <c r="IA25" i="12"/>
  <c r="BL46" i="12"/>
  <c r="CD51" i="12"/>
  <c r="FU49" i="12"/>
  <c r="GD44" i="12"/>
  <c r="GV53" i="12"/>
  <c r="FX48" i="12"/>
  <c r="GJ41" i="12"/>
  <c r="GA39" i="12"/>
  <c r="GR51" i="12"/>
  <c r="FY48" i="12"/>
  <c r="CJ52" i="12"/>
  <c r="FH4" i="12"/>
  <c r="S45" i="12"/>
  <c r="ED50" i="12"/>
  <c r="AR42" i="12"/>
  <c r="GP43" i="12"/>
  <c r="HF46" i="12"/>
  <c r="CS45" i="12"/>
  <c r="GL47" i="12"/>
  <c r="CA53" i="12"/>
  <c r="BH53" i="12"/>
  <c r="EV44" i="12"/>
  <c r="GJ43" i="12"/>
  <c r="BP47" i="12"/>
  <c r="AM51" i="12"/>
  <c r="FL51" i="12"/>
  <c r="W52" i="12"/>
  <c r="DH53" i="12"/>
  <c r="EB50" i="12"/>
  <c r="EF53" i="12"/>
  <c r="F46" i="12"/>
  <c r="FC46" i="12"/>
  <c r="AT47" i="12"/>
  <c r="HI51" i="12"/>
  <c r="HZ53" i="12"/>
  <c r="HI46" i="12"/>
  <c r="HK50" i="12"/>
  <c r="FK50" i="12"/>
  <c r="BR40" i="12"/>
  <c r="AJ49" i="12"/>
  <c r="GZ44" i="12"/>
  <c r="BR36" i="12"/>
  <c r="FH50" i="12"/>
  <c r="HC48" i="12"/>
  <c r="DB48" i="12"/>
  <c r="FD39" i="12"/>
  <c r="D50" i="12"/>
  <c r="HP50" i="12"/>
  <c r="F39" i="12"/>
  <c r="EG4" i="12"/>
  <c r="R52" i="12"/>
  <c r="ID42" i="12"/>
  <c r="N52" i="12"/>
  <c r="IK36" i="12"/>
  <c r="FQ36" i="12"/>
  <c r="CC27" i="12"/>
  <c r="HZ41" i="12"/>
  <c r="DE32" i="12"/>
  <c r="FS29" i="12"/>
  <c r="FY50" i="12"/>
  <c r="HC50" i="12"/>
  <c r="BR48" i="12"/>
  <c r="EP37" i="12"/>
  <c r="AZ47" i="12"/>
  <c r="EZ49" i="12"/>
  <c r="FC47" i="12"/>
  <c r="GR33" i="12"/>
  <c r="AN53" i="12"/>
  <c r="ER52" i="12"/>
  <c r="EU4" i="12"/>
  <c r="GO41" i="12"/>
  <c r="GA4" i="12"/>
  <c r="G46" i="12"/>
  <c r="HV4" i="12"/>
  <c r="EZ41" i="12"/>
  <c r="HK53" i="12"/>
  <c r="CO48" i="12"/>
  <c r="AY38" i="12"/>
  <c r="HX53" i="12"/>
  <c r="DF46" i="12"/>
  <c r="DC48" i="12"/>
  <c r="CS39" i="12"/>
  <c r="IR49" i="12"/>
  <c r="DN51" i="12"/>
  <c r="EO48" i="12"/>
  <c r="Q4" i="12"/>
  <c r="FT51" i="12"/>
  <c r="EA37" i="12"/>
  <c r="AC51" i="12"/>
  <c r="HY50" i="12"/>
  <c r="DF51" i="12"/>
  <c r="FV52" i="12"/>
  <c r="IJ53" i="12"/>
  <c r="EP49" i="12"/>
  <c r="FE53" i="12"/>
  <c r="GP50" i="12"/>
  <c r="HQ50" i="12"/>
  <c r="BZ44" i="12"/>
  <c r="H50" i="12"/>
  <c r="IM45" i="12"/>
  <c r="HP40" i="12"/>
  <c r="CR53" i="12"/>
  <c r="GE4" i="12"/>
  <c r="IK45" i="12"/>
  <c r="EJ46" i="12"/>
  <c r="FK53" i="12"/>
  <c r="FK51" i="12"/>
  <c r="HC44" i="12"/>
  <c r="DX51" i="12"/>
  <c r="O4" i="20"/>
  <c r="P21" i="21"/>
  <c r="O21" i="21"/>
  <c r="P4" i="20"/>
  <c r="O4" i="21"/>
  <c r="P4" i="21"/>
  <c r="F21" i="22"/>
  <c r="G21" i="22"/>
  <c r="W20" i="22"/>
  <c r="A22" i="22"/>
  <c r="B21" i="22"/>
  <c r="C21" i="22"/>
  <c r="E21" i="22"/>
  <c r="D21" i="22"/>
  <c r="AD21" i="22" l="1"/>
  <c r="AR22" i="22"/>
  <c r="O20" i="22"/>
  <c r="U20" i="22"/>
  <c r="O19" i="22"/>
  <c r="W19" i="22"/>
  <c r="U19" i="22"/>
  <c r="L5" i="7"/>
  <c r="R21" i="22"/>
  <c r="AA22" i="22"/>
  <c r="Y22" i="22"/>
  <c r="N22" i="22"/>
  <c r="L22" i="22"/>
  <c r="K22" i="22"/>
  <c r="AB22" i="22"/>
  <c r="Z22" i="22"/>
  <c r="V22" i="22"/>
  <c r="M22" i="22"/>
  <c r="X22" i="22"/>
  <c r="L8" i="7"/>
  <c r="L7" i="7"/>
  <c r="L6" i="7"/>
  <c r="AH21" i="22"/>
  <c r="AG21" i="22"/>
  <c r="AC21" i="22"/>
  <c r="AE21" i="22"/>
  <c r="AF21" i="22"/>
  <c r="IS33" i="12"/>
  <c r="DX33" i="13" s="1"/>
  <c r="IS43" i="12"/>
  <c r="AX43" i="13" s="1"/>
  <c r="IS42" i="12"/>
  <c r="FD42" i="13" s="1"/>
  <c r="IS41" i="12"/>
  <c r="CM41" i="13" s="1"/>
  <c r="IS30" i="12"/>
  <c r="FA30" i="13" s="1"/>
  <c r="IS49" i="12"/>
  <c r="HQ49" i="13" s="1"/>
  <c r="IS31" i="12"/>
  <c r="EK31" i="13" s="1"/>
  <c r="IS51" i="12"/>
  <c r="G51" i="13" s="1"/>
  <c r="IS47" i="12"/>
  <c r="GA47" i="13" s="1"/>
  <c r="IS50" i="12"/>
  <c r="DL50" i="13" s="1"/>
  <c r="IS36" i="12"/>
  <c r="DM36" i="13" s="1"/>
  <c r="IS37" i="12"/>
  <c r="BL37" i="13" s="1"/>
  <c r="IS45" i="12"/>
  <c r="GB45" i="13" s="1"/>
  <c r="IS40" i="12"/>
  <c r="DH40" i="13" s="1"/>
  <c r="IS32" i="12"/>
  <c r="GH32" i="13" s="1"/>
  <c r="IS46" i="12"/>
  <c r="EE46" i="13" s="1"/>
  <c r="IS53" i="12"/>
  <c r="HO53" i="13" s="1"/>
  <c r="IS52" i="12"/>
  <c r="DH52" i="13" s="1"/>
  <c r="IS44" i="12"/>
  <c r="AL44" i="13" s="1"/>
  <c r="IS39" i="12"/>
  <c r="O39" i="13" s="1"/>
  <c r="IS34" i="12"/>
  <c r="HW34" i="13" s="1"/>
  <c r="IS38" i="12"/>
  <c r="AY38" i="13" s="1"/>
  <c r="IS48" i="12"/>
  <c r="FY48" i="13" s="1"/>
  <c r="IS35" i="12"/>
  <c r="FW35" i="13" s="1"/>
  <c r="IS19" i="12"/>
  <c r="AY19" i="13" s="1"/>
  <c r="IS28" i="12"/>
  <c r="CB28" i="13" s="1"/>
  <c r="IS14" i="12"/>
  <c r="BP14" i="13" s="1"/>
  <c r="IS22" i="12"/>
  <c r="IL22" i="13" s="1"/>
  <c r="IS27" i="12"/>
  <c r="DF27" i="13" s="1"/>
  <c r="IS29" i="12"/>
  <c r="HW29" i="13" s="1"/>
  <c r="IS26" i="12"/>
  <c r="FI26" i="13" s="1"/>
  <c r="IS9" i="12"/>
  <c r="GT9" i="13" s="1"/>
  <c r="IS24" i="12"/>
  <c r="EA24" i="13" s="1"/>
  <c r="IS5" i="12"/>
  <c r="HZ5" i="13" s="1"/>
  <c r="IS10" i="12"/>
  <c r="BZ10" i="13" s="1"/>
  <c r="IS13" i="12"/>
  <c r="FC13" i="13" s="1"/>
  <c r="IS17" i="12"/>
  <c r="EQ17" i="13" s="1"/>
  <c r="IS20" i="12"/>
  <c r="BB20" i="13" s="1"/>
  <c r="IS16" i="12"/>
  <c r="FY16" i="13" s="1"/>
  <c r="IS11" i="12"/>
  <c r="AZ11" i="13" s="1"/>
  <c r="IS25" i="12"/>
  <c r="EW25" i="13" s="1"/>
  <c r="IS23" i="12"/>
  <c r="FN23" i="13" s="1"/>
  <c r="IS8" i="12"/>
  <c r="EW8" i="13" s="1"/>
  <c r="IS15" i="12"/>
  <c r="HL15" i="13" s="1"/>
  <c r="IS12" i="12"/>
  <c r="HY12" i="13" s="1"/>
  <c r="IS4" i="12"/>
  <c r="HV4" i="13" s="1"/>
  <c r="IS21" i="12"/>
  <c r="ES21" i="13" s="1"/>
  <c r="IS7" i="12"/>
  <c r="DW7" i="13" s="1"/>
  <c r="IS18" i="12"/>
  <c r="HZ18" i="13" s="1"/>
  <c r="IS6" i="12"/>
  <c r="HH6" i="13" s="1"/>
  <c r="F22" i="22"/>
  <c r="G22" i="22"/>
  <c r="U21" i="22"/>
  <c r="W21" i="22"/>
  <c r="A23" i="22"/>
  <c r="B22" i="22"/>
  <c r="C22" i="22"/>
  <c r="D22" i="22"/>
  <c r="AR23" i="22" s="1"/>
  <c r="E22" i="22"/>
  <c r="BB35" i="13" l="1"/>
  <c r="AH35" i="13"/>
  <c r="DW35" i="13"/>
  <c r="BL35" i="13"/>
  <c r="C35" i="13"/>
  <c r="DP35" i="13"/>
  <c r="CR35" i="13"/>
  <c r="GW35" i="13"/>
  <c r="IH35" i="13"/>
  <c r="GR35" i="13"/>
  <c r="G35" i="13"/>
  <c r="GJ35" i="13"/>
  <c r="GQ35" i="13"/>
  <c r="FS35" i="13"/>
  <c r="HS35" i="13"/>
  <c r="EZ35" i="13"/>
  <c r="AD35" i="13"/>
  <c r="DQ35" i="13"/>
  <c r="CI35" i="13"/>
  <c r="IP15" i="13"/>
  <c r="IP41" i="13"/>
  <c r="IP4" i="13"/>
  <c r="IP17" i="13"/>
  <c r="IP36" i="13"/>
  <c r="IP50" i="13"/>
  <c r="IP9" i="13"/>
  <c r="IP33" i="13"/>
  <c r="IP10" i="13"/>
  <c r="IP13" i="13"/>
  <c r="IP20" i="13"/>
  <c r="IP32" i="13"/>
  <c r="IP21" i="13"/>
  <c r="IP11" i="13"/>
  <c r="IP8" i="13"/>
  <c r="IP5" i="13"/>
  <c r="IP18" i="13"/>
  <c r="IP31" i="13"/>
  <c r="IP23" i="13"/>
  <c r="IP44" i="13"/>
  <c r="IP7" i="13"/>
  <c r="IP19" i="13"/>
  <c r="IP42" i="13"/>
  <c r="IP48" i="13"/>
  <c r="IP37" i="13"/>
  <c r="IP29" i="13"/>
  <c r="IP22" i="13"/>
  <c r="IP27" i="13"/>
  <c r="IP45" i="13"/>
  <c r="IP49" i="13"/>
  <c r="IP53" i="13"/>
  <c r="IP26" i="13"/>
  <c r="IP6" i="13"/>
  <c r="IP38" i="13"/>
  <c r="IP40" i="13"/>
  <c r="IP35" i="13"/>
  <c r="IP30" i="13"/>
  <c r="IP16" i="13"/>
  <c r="IP47" i="13"/>
  <c r="IP51" i="13"/>
  <c r="IP28" i="13"/>
  <c r="IP34" i="13"/>
  <c r="IP24" i="13"/>
  <c r="IP12" i="13"/>
  <c r="IP46" i="13"/>
  <c r="IP39" i="13"/>
  <c r="IP52" i="13"/>
  <c r="IP14" i="13"/>
  <c r="IP25" i="13"/>
  <c r="IP43" i="13"/>
  <c r="D35" i="13"/>
  <c r="D39" i="13"/>
  <c r="D52" i="13"/>
  <c r="D53" i="13"/>
  <c r="D40" i="13"/>
  <c r="D48" i="13"/>
  <c r="D37" i="13"/>
  <c r="D43" i="13"/>
  <c r="D38" i="13"/>
  <c r="D44" i="13"/>
  <c r="D49" i="13"/>
  <c r="D36" i="13"/>
  <c r="D45" i="13"/>
  <c r="D51" i="13"/>
  <c r="D46" i="13"/>
  <c r="D42" i="13"/>
  <c r="D41" i="13"/>
  <c r="D47" i="13"/>
  <c r="D50" i="13"/>
  <c r="AA49" i="13"/>
  <c r="X44" i="13"/>
  <c r="X50" i="13"/>
  <c r="AC38" i="13"/>
  <c r="Y38" i="13"/>
  <c r="AB49" i="13"/>
  <c r="AD44" i="13"/>
  <c r="AA44" i="13"/>
  <c r="AB52" i="13"/>
  <c r="AE40" i="13"/>
  <c r="AD48" i="13"/>
  <c r="W48" i="13"/>
  <c r="Z52" i="13"/>
  <c r="X49" i="13"/>
  <c r="AF42" i="13"/>
  <c r="AH49" i="13"/>
  <c r="AE43" i="13"/>
  <c r="AA40" i="13"/>
  <c r="AD49" i="13"/>
  <c r="Y52" i="13"/>
  <c r="AD43" i="13"/>
  <c r="AC47" i="13"/>
  <c r="AE45" i="13"/>
  <c r="AH47" i="13"/>
  <c r="Y47" i="13"/>
  <c r="AB47" i="13"/>
  <c r="AA48" i="13"/>
  <c r="AG53" i="13"/>
  <c r="AB44" i="13"/>
  <c r="Z44" i="13"/>
  <c r="AC50" i="13"/>
  <c r="AD36" i="13"/>
  <c r="W47" i="13"/>
  <c r="AF38" i="13"/>
  <c r="Z40" i="13"/>
  <c r="AE52" i="13"/>
  <c r="W53" i="13"/>
  <c r="AC45" i="13"/>
  <c r="W44" i="13"/>
  <c r="AA50" i="13"/>
  <c r="Y39" i="13"/>
  <c r="Y37" i="13"/>
  <c r="X39" i="13"/>
  <c r="AE37" i="13"/>
  <c r="AA41" i="13"/>
  <c r="AD39" i="13"/>
  <c r="AD51" i="13"/>
  <c r="X45" i="13"/>
  <c r="AE39" i="13"/>
  <c r="Z50" i="13"/>
  <c r="AA52" i="13"/>
  <c r="Y36" i="13"/>
  <c r="AA53" i="13"/>
  <c r="AG48" i="13"/>
  <c r="X47" i="13"/>
  <c r="AG39" i="13"/>
  <c r="AC36" i="13"/>
  <c r="AH40" i="13"/>
  <c r="AD46" i="13"/>
  <c r="AH52" i="13"/>
  <c r="AA36" i="13"/>
  <c r="AA37" i="13"/>
  <c r="AF36" i="13"/>
  <c r="AF50" i="13"/>
  <c r="AD52" i="13"/>
  <c r="AG43" i="13"/>
  <c r="AG40" i="13"/>
  <c r="AB38" i="13"/>
  <c r="W45" i="13"/>
  <c r="AB39" i="13"/>
  <c r="AH36" i="13"/>
  <c r="AC39" i="13"/>
  <c r="AG36" i="13"/>
  <c r="AA47" i="13"/>
  <c r="Y49" i="13"/>
  <c r="X37" i="13"/>
  <c r="AD50" i="13"/>
  <c r="Z41" i="13"/>
  <c r="AB36" i="13"/>
  <c r="AF44" i="13"/>
  <c r="AG52" i="13"/>
  <c r="Z39" i="13"/>
  <c r="X52" i="13"/>
  <c r="AF48" i="13"/>
  <c r="AC48" i="13"/>
  <c r="Z47" i="13"/>
  <c r="AC46" i="13"/>
  <c r="Y41" i="13"/>
  <c r="AF43" i="13"/>
  <c r="Y53" i="13"/>
  <c r="AA51" i="13"/>
  <c r="X36" i="13"/>
  <c r="X42" i="13"/>
  <c r="AE38" i="13"/>
  <c r="AB50" i="13"/>
  <c r="W37" i="13"/>
  <c r="X51" i="13"/>
  <c r="AE50" i="13"/>
  <c r="Y45" i="13"/>
  <c r="AE49" i="13"/>
  <c r="AA46" i="13"/>
  <c r="Z51" i="13"/>
  <c r="AC51" i="13"/>
  <c r="W51" i="13"/>
  <c r="AB53" i="13"/>
  <c r="AC49" i="13"/>
  <c r="AF53" i="13"/>
  <c r="AH53" i="13"/>
  <c r="W42" i="13"/>
  <c r="AA39" i="13"/>
  <c r="AD47" i="13"/>
  <c r="Z49" i="13"/>
  <c r="AH50" i="13"/>
  <c r="Y43" i="13"/>
  <c r="AA38" i="13"/>
  <c r="AB48" i="13"/>
  <c r="AF45" i="13"/>
  <c r="X53" i="13"/>
  <c r="AF46" i="13"/>
  <c r="AC42" i="13"/>
  <c r="W40" i="13"/>
  <c r="AC40" i="13"/>
  <c r="AC52" i="13"/>
  <c r="AB51" i="13"/>
  <c r="W43" i="13"/>
  <c r="AC37" i="13"/>
  <c r="AG44" i="13"/>
  <c r="AA43" i="13"/>
  <c r="AA45" i="13"/>
  <c r="AE46" i="13"/>
  <c r="AD37" i="13"/>
  <c r="W38" i="13"/>
  <c r="Z46" i="13"/>
  <c r="Z43" i="13"/>
  <c r="AE48" i="13"/>
  <c r="AF47" i="13"/>
  <c r="AB46" i="13"/>
  <c r="AE36" i="13"/>
  <c r="Y46" i="13"/>
  <c r="AH43" i="13"/>
  <c r="Y50" i="13"/>
  <c r="AH48" i="13"/>
  <c r="W49" i="13"/>
  <c r="AB45" i="13"/>
  <c r="AE51" i="13"/>
  <c r="W36" i="13"/>
  <c r="AD42" i="13"/>
  <c r="AB43" i="13"/>
  <c r="W50" i="13"/>
  <c r="AH38" i="13"/>
  <c r="AB42" i="13"/>
  <c r="AB41" i="13"/>
  <c r="AC44" i="13"/>
  <c r="AG50" i="13"/>
  <c r="AG49" i="13"/>
  <c r="X43" i="13"/>
  <c r="AD53" i="13"/>
  <c r="AG45" i="13"/>
  <c r="AG41" i="13"/>
  <c r="AH46" i="13"/>
  <c r="Y51" i="13"/>
  <c r="AH37" i="13"/>
  <c r="AG37" i="13"/>
  <c r="Z45" i="13"/>
  <c r="X48" i="13"/>
  <c r="X41" i="13"/>
  <c r="AF41" i="13"/>
  <c r="AG46" i="13"/>
  <c r="AG47" i="13"/>
  <c r="AE53" i="13"/>
  <c r="AE41" i="13"/>
  <c r="AH45" i="13"/>
  <c r="Y42" i="13"/>
  <c r="Z37" i="13"/>
  <c r="AG42" i="13"/>
  <c r="AE42" i="13"/>
  <c r="AG51" i="13"/>
  <c r="Z53" i="13"/>
  <c r="AF40" i="13"/>
  <c r="AE44" i="13"/>
  <c r="AH44" i="13"/>
  <c r="AD45" i="13"/>
  <c r="AB40" i="13"/>
  <c r="AH41" i="13"/>
  <c r="AF39" i="13"/>
  <c r="AD38" i="13"/>
  <c r="AA42" i="13"/>
  <c r="AD40" i="13"/>
  <c r="X46" i="13"/>
  <c r="AF49" i="13"/>
  <c r="Z48" i="13"/>
  <c r="Y40" i="13"/>
  <c r="AG38" i="13"/>
  <c r="W39" i="13"/>
  <c r="Z42" i="13"/>
  <c r="Y44" i="13"/>
  <c r="X38" i="13"/>
  <c r="Z36" i="13"/>
  <c r="AC43" i="13"/>
  <c r="AF37" i="13"/>
  <c r="X40" i="13"/>
  <c r="AH51" i="13"/>
  <c r="Z38" i="13"/>
  <c r="W41" i="13"/>
  <c r="AD41" i="13"/>
  <c r="AF52" i="13"/>
  <c r="AC53" i="13"/>
  <c r="AH39" i="13"/>
  <c r="Y48" i="13"/>
  <c r="AF51" i="13"/>
  <c r="AC41" i="13"/>
  <c r="AB37" i="13"/>
  <c r="W46" i="13"/>
  <c r="AE47" i="13"/>
  <c r="AH42" i="13"/>
  <c r="W52" i="13"/>
  <c r="R37" i="13"/>
  <c r="P44" i="13"/>
  <c r="P50" i="13"/>
  <c r="U43" i="13"/>
  <c r="U50" i="13"/>
  <c r="U45" i="13"/>
  <c r="R38" i="13"/>
  <c r="V51" i="13"/>
  <c r="P42" i="13"/>
  <c r="U36" i="13"/>
  <c r="T38" i="13"/>
  <c r="R48" i="13"/>
  <c r="V44" i="13"/>
  <c r="Q37" i="13"/>
  <c r="P52" i="13"/>
  <c r="V38" i="13"/>
  <c r="P46" i="13"/>
  <c r="U49" i="13"/>
  <c r="T44" i="13"/>
  <c r="V43" i="13"/>
  <c r="Q43" i="13"/>
  <c r="S53" i="13"/>
  <c r="V49" i="13"/>
  <c r="S36" i="13"/>
  <c r="Q46" i="13"/>
  <c r="S39" i="13"/>
  <c r="P39" i="13"/>
  <c r="P41" i="13"/>
  <c r="Q41" i="13"/>
  <c r="V37" i="13"/>
  <c r="R39" i="13"/>
  <c r="U44" i="13"/>
  <c r="V40" i="13"/>
  <c r="S43" i="13"/>
  <c r="R41" i="13"/>
  <c r="Q49" i="13"/>
  <c r="S37" i="13"/>
  <c r="R47" i="13"/>
  <c r="R50" i="13"/>
  <c r="T53" i="13"/>
  <c r="S38" i="13"/>
  <c r="V48" i="13"/>
  <c r="S50" i="13"/>
  <c r="Q50" i="13"/>
  <c r="V36" i="13"/>
  <c r="Q51" i="13"/>
  <c r="U40" i="13"/>
  <c r="U46" i="13"/>
  <c r="T52" i="13"/>
  <c r="S45" i="13"/>
  <c r="T41" i="13"/>
  <c r="R49" i="13"/>
  <c r="Q40" i="13"/>
  <c r="T48" i="13"/>
  <c r="Q53" i="13"/>
  <c r="S48" i="13"/>
  <c r="R36" i="13"/>
  <c r="Q39" i="13"/>
  <c r="V47" i="13"/>
  <c r="R45" i="13"/>
  <c r="Q47" i="13"/>
  <c r="T47" i="13"/>
  <c r="U39" i="13"/>
  <c r="T49" i="13"/>
  <c r="Q36" i="13"/>
  <c r="P40" i="13"/>
  <c r="S52" i="13"/>
  <c r="R40" i="13"/>
  <c r="U48" i="13"/>
  <c r="V41" i="13"/>
  <c r="Q52" i="13"/>
  <c r="R51" i="13"/>
  <c r="V39" i="13"/>
  <c r="Q44" i="13"/>
  <c r="T51" i="13"/>
  <c r="S44" i="13"/>
  <c r="R43" i="13"/>
  <c r="T40" i="13"/>
  <c r="T43" i="13"/>
  <c r="P38" i="13"/>
  <c r="T36" i="13"/>
  <c r="V53" i="13"/>
  <c r="T39" i="13"/>
  <c r="U38" i="13"/>
  <c r="P51" i="13"/>
  <c r="T45" i="13"/>
  <c r="P37" i="13"/>
  <c r="V52" i="13"/>
  <c r="U47" i="13"/>
  <c r="S47" i="13"/>
  <c r="P43" i="13"/>
  <c r="Q38" i="13"/>
  <c r="Q48" i="13"/>
  <c r="S41" i="13"/>
  <c r="R42" i="13"/>
  <c r="T37" i="13"/>
  <c r="T42" i="13"/>
  <c r="U52" i="13"/>
  <c r="P48" i="13"/>
  <c r="T50" i="13"/>
  <c r="R53" i="13"/>
  <c r="R44" i="13"/>
  <c r="U51" i="13"/>
  <c r="R46" i="13"/>
  <c r="T46" i="13"/>
  <c r="P36" i="13"/>
  <c r="P47" i="13"/>
  <c r="U41" i="13"/>
  <c r="V45" i="13"/>
  <c r="V50" i="13"/>
  <c r="U53" i="13"/>
  <c r="S40" i="13"/>
  <c r="U42" i="13"/>
  <c r="S46" i="13"/>
  <c r="Q42" i="13"/>
  <c r="Q45" i="13"/>
  <c r="S42" i="13"/>
  <c r="P49" i="13"/>
  <c r="S49" i="13"/>
  <c r="P45" i="13"/>
  <c r="V46" i="13"/>
  <c r="R52" i="13"/>
  <c r="S51" i="13"/>
  <c r="V42" i="13"/>
  <c r="U37" i="13"/>
  <c r="P53" i="13"/>
  <c r="H41" i="13"/>
  <c r="L51" i="13"/>
  <c r="K46" i="13"/>
  <c r="O40" i="13"/>
  <c r="C39" i="13"/>
  <c r="O52" i="13"/>
  <c r="K51" i="13"/>
  <c r="M39" i="13"/>
  <c r="J51" i="13"/>
  <c r="M51" i="13"/>
  <c r="H50" i="13"/>
  <c r="H42" i="13"/>
  <c r="J42" i="13"/>
  <c r="K48" i="13"/>
  <c r="I42" i="13"/>
  <c r="J46" i="13"/>
  <c r="O48" i="13"/>
  <c r="M44" i="13"/>
  <c r="N51" i="13"/>
  <c r="I44" i="13"/>
  <c r="E36" i="13"/>
  <c r="G38" i="13"/>
  <c r="I50" i="13"/>
  <c r="L46" i="13"/>
  <c r="M40" i="13"/>
  <c r="M43" i="13"/>
  <c r="J36" i="13"/>
  <c r="N38" i="13"/>
  <c r="M38" i="13"/>
  <c r="M36" i="13"/>
  <c r="M49" i="13"/>
  <c r="O44" i="13"/>
  <c r="M52" i="13"/>
  <c r="G49" i="13"/>
  <c r="J44" i="13"/>
  <c r="C52" i="13"/>
  <c r="L42" i="13"/>
  <c r="C46" i="13"/>
  <c r="I49" i="13"/>
  <c r="M48" i="13"/>
  <c r="L43" i="13"/>
  <c r="J38" i="13"/>
  <c r="H40" i="13"/>
  <c r="J53" i="13"/>
  <c r="C50" i="13"/>
  <c r="C48" i="13"/>
  <c r="L49" i="13"/>
  <c r="N36" i="13"/>
  <c r="M37" i="13"/>
  <c r="K44" i="13"/>
  <c r="K37" i="13"/>
  <c r="N41" i="13"/>
  <c r="M41" i="13"/>
  <c r="N44" i="13"/>
  <c r="J39" i="13"/>
  <c r="C42" i="13"/>
  <c r="J48" i="13"/>
  <c r="N46" i="13"/>
  <c r="C49" i="13"/>
  <c r="G40" i="13"/>
  <c r="K39" i="13"/>
  <c r="J52" i="13"/>
  <c r="L45" i="13"/>
  <c r="O41" i="13"/>
  <c r="C38" i="13"/>
  <c r="K53" i="13"/>
  <c r="H51" i="13"/>
  <c r="N50" i="13"/>
  <c r="O37" i="13"/>
  <c r="N37" i="13"/>
  <c r="H44" i="13"/>
  <c r="L47" i="13"/>
  <c r="K45" i="13"/>
  <c r="N39" i="13"/>
  <c r="K50" i="13"/>
  <c r="C47" i="13"/>
  <c r="I38" i="13"/>
  <c r="N53" i="13"/>
  <c r="H49" i="13"/>
  <c r="I37" i="13"/>
  <c r="L48" i="13"/>
  <c r="H53" i="13"/>
  <c r="O36" i="13"/>
  <c r="H48" i="13"/>
  <c r="J43" i="13"/>
  <c r="M50" i="13"/>
  <c r="N40" i="13"/>
  <c r="L50" i="13"/>
  <c r="H45" i="13"/>
  <c r="H47" i="13"/>
  <c r="M53" i="13"/>
  <c r="I51" i="13"/>
  <c r="O49" i="13"/>
  <c r="I41" i="13"/>
  <c r="G44" i="13"/>
  <c r="M47" i="13"/>
  <c r="J41" i="13"/>
  <c r="J45" i="13"/>
  <c r="L37" i="13"/>
  <c r="K52" i="13"/>
  <c r="C45" i="13"/>
  <c r="N52" i="13"/>
  <c r="H37" i="13"/>
  <c r="G36" i="13"/>
  <c r="L40" i="13"/>
  <c r="L36" i="13"/>
  <c r="I39" i="13"/>
  <c r="N47" i="13"/>
  <c r="C36" i="13"/>
  <c r="O51" i="13"/>
  <c r="O43" i="13"/>
  <c r="K41" i="13"/>
  <c r="M45" i="13"/>
  <c r="L38" i="13"/>
  <c r="C43" i="13"/>
  <c r="G46" i="13"/>
  <c r="N49" i="13"/>
  <c r="L52" i="13"/>
  <c r="M46" i="13"/>
  <c r="C51" i="13"/>
  <c r="J49" i="13"/>
  <c r="K36" i="13"/>
  <c r="K42" i="13"/>
  <c r="N43" i="13"/>
  <c r="N45" i="13"/>
  <c r="G48" i="13"/>
  <c r="H46" i="13"/>
  <c r="O45" i="13"/>
  <c r="J40" i="13"/>
  <c r="O46" i="13"/>
  <c r="O53" i="13"/>
  <c r="O42" i="13"/>
  <c r="C41" i="13"/>
  <c r="C37" i="13"/>
  <c r="L41" i="13"/>
  <c r="I47" i="13"/>
  <c r="I43" i="13"/>
  <c r="K49" i="13"/>
  <c r="I45" i="13"/>
  <c r="G47" i="13"/>
  <c r="J47" i="13"/>
  <c r="G52" i="13"/>
  <c r="I48" i="13"/>
  <c r="G50" i="13"/>
  <c r="H38" i="13"/>
  <c r="H39" i="13"/>
  <c r="L39" i="13"/>
  <c r="M42" i="13"/>
  <c r="G37" i="13"/>
  <c r="C53" i="13"/>
  <c r="H52" i="13"/>
  <c r="I53" i="13"/>
  <c r="G39" i="13"/>
  <c r="K40" i="13"/>
  <c r="H36" i="13"/>
  <c r="N42" i="13"/>
  <c r="J50" i="13"/>
  <c r="G42" i="13"/>
  <c r="J37" i="13"/>
  <c r="L53" i="13"/>
  <c r="G45" i="13"/>
  <c r="O47" i="13"/>
  <c r="K38" i="13"/>
  <c r="G53" i="13"/>
  <c r="I40" i="13"/>
  <c r="G41" i="13"/>
  <c r="L44" i="13"/>
  <c r="F36" i="13"/>
  <c r="N48" i="13"/>
  <c r="H43" i="13"/>
  <c r="G43" i="13"/>
  <c r="O38" i="13"/>
  <c r="K47" i="13"/>
  <c r="O50" i="13"/>
  <c r="I36" i="13"/>
  <c r="I52" i="13"/>
  <c r="C44" i="13"/>
  <c r="C40" i="13"/>
  <c r="I46" i="13"/>
  <c r="K43" i="13"/>
  <c r="FN35" i="13"/>
  <c r="CA32" i="13"/>
  <c r="CA34" i="13"/>
  <c r="CA11" i="13"/>
  <c r="CA53" i="13"/>
  <c r="CA6" i="13"/>
  <c r="CA30" i="13"/>
  <c r="CA15" i="13"/>
  <c r="CA35" i="13"/>
  <c r="CA21" i="13"/>
  <c r="CA8" i="13"/>
  <c r="CA12" i="13"/>
  <c r="CA40" i="13"/>
  <c r="CA51" i="13"/>
  <c r="CA13" i="13"/>
  <c r="CA45" i="13"/>
  <c r="CA33" i="13"/>
  <c r="CA39" i="13"/>
  <c r="CA14" i="13"/>
  <c r="CA49" i="13"/>
  <c r="CA37" i="13"/>
  <c r="CA48" i="13"/>
  <c r="CA27" i="13"/>
  <c r="CA28" i="13"/>
  <c r="CA52" i="13"/>
  <c r="CA26" i="13"/>
  <c r="CA29" i="13"/>
  <c r="CA9" i="13"/>
  <c r="CA4" i="13"/>
  <c r="CA50" i="13"/>
  <c r="CA22" i="13"/>
  <c r="CA46" i="13"/>
  <c r="CA42" i="13"/>
  <c r="CA44" i="13"/>
  <c r="CA25" i="13"/>
  <c r="CA24" i="13"/>
  <c r="CA18" i="13"/>
  <c r="CA31" i="13"/>
  <c r="CA23" i="13"/>
  <c r="CA17" i="13"/>
  <c r="CA36" i="13"/>
  <c r="CA41" i="13"/>
  <c r="CA10" i="13"/>
  <c r="CA16" i="13"/>
  <c r="CA38" i="13"/>
  <c r="CA43" i="13"/>
  <c r="CA7" i="13"/>
  <c r="CA47" i="13"/>
  <c r="CA20" i="13"/>
  <c r="CA19" i="13"/>
  <c r="CA5" i="13"/>
  <c r="DZ35" i="13"/>
  <c r="C34" i="13"/>
  <c r="C33" i="13"/>
  <c r="DZ34" i="13"/>
  <c r="CP36" i="13"/>
  <c r="AL36" i="13"/>
  <c r="II35" i="13"/>
  <c r="S35" i="13"/>
  <c r="EF36" i="13"/>
  <c r="HV36" i="13"/>
  <c r="IG36" i="13"/>
  <c r="K23" i="22"/>
  <c r="Y23" i="22"/>
  <c r="M23" i="22"/>
  <c r="V23" i="22"/>
  <c r="L23" i="22"/>
  <c r="X23" i="22"/>
  <c r="AA23" i="22"/>
  <c r="R23" i="22" s="1"/>
  <c r="Z23" i="22"/>
  <c r="AB23" i="22"/>
  <c r="N23" i="22"/>
  <c r="O22" i="22"/>
  <c r="R22" i="22"/>
  <c r="AD22" i="22"/>
  <c r="AH22" i="22"/>
  <c r="AG22" i="22"/>
  <c r="AC22" i="22"/>
  <c r="AE22" i="22"/>
  <c r="AF22" i="22"/>
  <c r="EV27" i="13"/>
  <c r="ID12" i="13"/>
  <c r="BY50" i="13"/>
  <c r="HA4" i="13"/>
  <c r="AN52" i="13"/>
  <c r="BF23" i="13"/>
  <c r="GO50" i="13"/>
  <c r="CY41" i="13"/>
  <c r="CU4" i="13"/>
  <c r="CF27" i="13"/>
  <c r="AU23" i="13"/>
  <c r="K29" i="13"/>
  <c r="HD32" i="13"/>
  <c r="DJ23" i="13"/>
  <c r="HK34" i="13"/>
  <c r="FP23" i="13"/>
  <c r="AF30" i="13"/>
  <c r="GZ37" i="13"/>
  <c r="HQ34" i="13"/>
  <c r="IF48" i="13"/>
  <c r="HQ41" i="13"/>
  <c r="IN50" i="13"/>
  <c r="BV29" i="13"/>
  <c r="BV4" i="13"/>
  <c r="IR22" i="13"/>
  <c r="AQ39" i="13"/>
  <c r="FV13" i="13"/>
  <c r="AZ22" i="13"/>
  <c r="HF40" i="13"/>
  <c r="FD4" i="13"/>
  <c r="BW21" i="13"/>
  <c r="FA6" i="13"/>
  <c r="HA39" i="13"/>
  <c r="HU10" i="13"/>
  <c r="CW17" i="13"/>
  <c r="EH15" i="13"/>
  <c r="DN15" i="13"/>
  <c r="CX42" i="13"/>
  <c r="DT28" i="13"/>
  <c r="GC36" i="13"/>
  <c r="GC52" i="13"/>
  <c r="GR21" i="13"/>
  <c r="FP13" i="13"/>
  <c r="EX8" i="13"/>
  <c r="DP53" i="13"/>
  <c r="IA5" i="13"/>
  <c r="IJ26" i="13"/>
  <c r="GS53" i="13"/>
  <c r="CY42" i="13"/>
  <c r="DL13" i="13"/>
  <c r="AF8" i="13"/>
  <c r="DH22" i="13"/>
  <c r="GF47" i="13"/>
  <c r="AY16" i="13"/>
  <c r="HC47" i="13"/>
  <c r="EZ16" i="13"/>
  <c r="EL13" i="13"/>
  <c r="EV8" i="13"/>
  <c r="BR28" i="13"/>
  <c r="DY45" i="13"/>
  <c r="BE34" i="13"/>
  <c r="Z34" i="13"/>
  <c r="HS22" i="13"/>
  <c r="AX6" i="13"/>
  <c r="GR38" i="13"/>
  <c r="X16" i="13"/>
  <c r="HS30" i="13"/>
  <c r="FT42" i="13"/>
  <c r="EM41" i="13"/>
  <c r="GW42" i="13"/>
  <c r="DA52" i="13"/>
  <c r="BL12" i="13"/>
  <c r="HH10" i="13"/>
  <c r="GZ27" i="13"/>
  <c r="CY23" i="13"/>
  <c r="GT50" i="13"/>
  <c r="GM25" i="13"/>
  <c r="GV8" i="13"/>
  <c r="HT49" i="13"/>
  <c r="DG38" i="13"/>
  <c r="W6" i="13"/>
  <c r="BT40" i="13"/>
  <c r="BS17" i="13"/>
  <c r="HT53" i="13"/>
  <c r="IH25" i="13"/>
  <c r="U15" i="13"/>
  <c r="EK39" i="13"/>
  <c r="BJ6" i="13"/>
  <c r="BC17" i="13"/>
  <c r="EV42" i="13"/>
  <c r="CW39" i="13"/>
  <c r="S18" i="13"/>
  <c r="CY49" i="13"/>
  <c r="DE26" i="13"/>
  <c r="FX38" i="13"/>
  <c r="HW16" i="13"/>
  <c r="FX34" i="13"/>
  <c r="CM16" i="13"/>
  <c r="GW18" i="13"/>
  <c r="EE8" i="13"/>
  <c r="DJ31" i="13"/>
  <c r="CM13" i="13"/>
  <c r="EO12" i="13"/>
  <c r="HJ44" i="13"/>
  <c r="EB52" i="13"/>
  <c r="BW31" i="13"/>
  <c r="FS39" i="13"/>
  <c r="BZ47" i="13"/>
  <c r="CD53" i="13"/>
  <c r="CU25" i="13"/>
  <c r="BP36" i="13"/>
  <c r="FB20" i="13"/>
  <c r="BL40" i="13"/>
  <c r="CG49" i="13"/>
  <c r="GR14" i="13"/>
  <c r="EF26" i="13"/>
  <c r="EI8" i="13"/>
  <c r="DO29" i="13"/>
  <c r="ES30" i="13"/>
  <c r="HB19" i="13"/>
  <c r="CW32" i="13"/>
  <c r="BD30" i="13"/>
  <c r="CS42" i="13"/>
  <c r="BU17" i="13"/>
  <c r="CR24" i="13"/>
  <c r="FY23" i="13"/>
  <c r="N13" i="13"/>
  <c r="EE27" i="13"/>
  <c r="CM12" i="13"/>
  <c r="CH29" i="13"/>
  <c r="IF33" i="13"/>
  <c r="BJ12" i="13"/>
  <c r="V15" i="13"/>
  <c r="FA41" i="13"/>
  <c r="HV39" i="13"/>
  <c r="HB10" i="13"/>
  <c r="DJ40" i="13"/>
  <c r="AN25" i="13"/>
  <c r="AH17" i="13"/>
  <c r="AP39" i="13"/>
  <c r="AY18" i="13"/>
  <c r="BK36" i="13"/>
  <c r="FH12" i="13"/>
  <c r="AY8" i="13"/>
  <c r="CT18" i="13"/>
  <c r="AG8" i="13"/>
  <c r="DN28" i="13"/>
  <c r="FL36" i="13"/>
  <c r="ER47" i="13"/>
  <c r="BV19" i="13"/>
  <c r="BD18" i="13"/>
  <c r="HI4" i="13"/>
  <c r="CR25" i="13"/>
  <c r="DQ10" i="13"/>
  <c r="IR52" i="13"/>
  <c r="DP31" i="13"/>
  <c r="EB19" i="13"/>
  <c r="HA5" i="13"/>
  <c r="DA29" i="13"/>
  <c r="CE40" i="13"/>
  <c r="FF37" i="13"/>
  <c r="IH15" i="13"/>
  <c r="E42" i="13"/>
  <c r="GM34" i="13"/>
  <c r="FD24" i="13"/>
  <c r="FK5" i="13"/>
  <c r="EP30" i="13"/>
  <c r="GM6" i="13"/>
  <c r="GM23" i="13"/>
  <c r="DU38" i="13"/>
  <c r="EJ8" i="13"/>
  <c r="I24" i="13"/>
  <c r="GX23" i="13"/>
  <c r="FT12" i="13"/>
  <c r="BK19" i="13"/>
  <c r="BK40" i="13"/>
  <c r="F37" i="13"/>
  <c r="EL37" i="13"/>
  <c r="BX22" i="13"/>
  <c r="CE6" i="13"/>
  <c r="CW43" i="13"/>
  <c r="EP13" i="13"/>
  <c r="GK15" i="13"/>
  <c r="DC20" i="13"/>
  <c r="FA23" i="13"/>
  <c r="HX26" i="13"/>
  <c r="GV28" i="13"/>
  <c r="GN19" i="13"/>
  <c r="FE48" i="13"/>
  <c r="IF31" i="13"/>
  <c r="HN47" i="13"/>
  <c r="FE43" i="13"/>
  <c r="EN47" i="13"/>
  <c r="CL37" i="13"/>
  <c r="DE42" i="13"/>
  <c r="DY28" i="13"/>
  <c r="DX13" i="13"/>
  <c r="EK20" i="13"/>
  <c r="CM52" i="13"/>
  <c r="FZ18" i="13"/>
  <c r="HU8" i="13"/>
  <c r="GS30" i="13"/>
  <c r="GK37" i="13"/>
  <c r="FV21" i="13"/>
  <c r="I19" i="13"/>
  <c r="BI32" i="13"/>
  <c r="CF18" i="13"/>
  <c r="AM26" i="13"/>
  <c r="DU36" i="13"/>
  <c r="HD50" i="13"/>
  <c r="EB38" i="13"/>
  <c r="CO45" i="13"/>
  <c r="HG43" i="13"/>
  <c r="IA13" i="13"/>
  <c r="GE12" i="13"/>
  <c r="CK19" i="13"/>
  <c r="DZ49" i="13"/>
  <c r="II13" i="13"/>
  <c r="FD31" i="13"/>
  <c r="CW8" i="13"/>
  <c r="IM12" i="13"/>
  <c r="N12" i="13"/>
  <c r="GD34" i="13"/>
  <c r="S22" i="13"/>
  <c r="EI20" i="13"/>
  <c r="DS19" i="13"/>
  <c r="EJ22" i="13"/>
  <c r="FO20" i="13"/>
  <c r="BE36" i="13"/>
  <c r="GZ14" i="13"/>
  <c r="CB39" i="13"/>
  <c r="BB19" i="13"/>
  <c r="CG10" i="13"/>
  <c r="HU24" i="13"/>
  <c r="AW38" i="13"/>
  <c r="ED10" i="13"/>
  <c r="HZ34" i="13"/>
  <c r="DW24" i="13"/>
  <c r="FC16" i="13"/>
  <c r="CS53" i="13"/>
  <c r="CK29" i="13"/>
  <c r="HD42" i="13"/>
  <c r="DY30" i="13"/>
  <c r="BA42" i="13"/>
  <c r="GF22" i="13"/>
  <c r="ET38" i="13"/>
  <c r="FX32" i="13"/>
  <c r="AF24" i="13"/>
  <c r="DB34" i="13"/>
  <c r="BO23" i="13"/>
  <c r="GP20" i="13"/>
  <c r="BS5" i="13"/>
  <c r="CE4" i="13"/>
  <c r="CS10" i="13"/>
  <c r="HS50" i="13"/>
  <c r="V6" i="13"/>
  <c r="CI23" i="13"/>
  <c r="IL14" i="13"/>
  <c r="FH24" i="13"/>
  <c r="EP27" i="13"/>
  <c r="IQ20" i="13"/>
  <c r="DY52" i="13"/>
  <c r="D22" i="13"/>
  <c r="CY12" i="13"/>
  <c r="FP32" i="13"/>
  <c r="AB14" i="13"/>
  <c r="HI40" i="13"/>
  <c r="HE49" i="13"/>
  <c r="AG31" i="13"/>
  <c r="EX52" i="13"/>
  <c r="DA40" i="13"/>
  <c r="BP44" i="13"/>
  <c r="HX45" i="13"/>
  <c r="GK23" i="13"/>
  <c r="EF43" i="13"/>
  <c r="FF53" i="13"/>
  <c r="Q28" i="13"/>
  <c r="O33" i="13"/>
  <c r="DM34" i="13"/>
  <c r="EF13" i="13"/>
  <c r="HV15" i="13"/>
  <c r="Q15" i="13"/>
  <c r="IO23" i="13"/>
  <c r="CO25" i="13"/>
  <c r="BC22" i="13"/>
  <c r="D16" i="13"/>
  <c r="AK53" i="13"/>
  <c r="GN5" i="13"/>
  <c r="BM45" i="13"/>
  <c r="CD27" i="13"/>
  <c r="DJ44" i="13"/>
  <c r="CE17" i="13"/>
  <c r="IF17" i="13"/>
  <c r="AH27" i="13"/>
  <c r="HK10" i="13"/>
  <c r="DJ50" i="13"/>
  <c r="IK47" i="13"/>
  <c r="EZ44" i="13"/>
  <c r="F13" i="13"/>
  <c r="CE24" i="13"/>
  <c r="AA12" i="13"/>
  <c r="FK22" i="13"/>
  <c r="EP20" i="13"/>
  <c r="HG23" i="13"/>
  <c r="CP22" i="13"/>
  <c r="FL32" i="13"/>
  <c r="EK38" i="13"/>
  <c r="IO49" i="13"/>
  <c r="FQ51" i="13"/>
  <c r="BV51" i="13"/>
  <c r="DQ51" i="13"/>
  <c r="DY51" i="13"/>
  <c r="EQ51" i="13"/>
  <c r="HQ51" i="13"/>
  <c r="CC51" i="13"/>
  <c r="HL51" i="13"/>
  <c r="FX51" i="13"/>
  <c r="GG51" i="13"/>
  <c r="HR51" i="13"/>
  <c r="BR51" i="13"/>
  <c r="FK51" i="13"/>
  <c r="ER51" i="13"/>
  <c r="GT51" i="13"/>
  <c r="BC51" i="13"/>
  <c r="HB51" i="13"/>
  <c r="BZ51" i="13"/>
  <c r="BY51" i="13"/>
  <c r="EO51" i="13"/>
  <c r="BQ51" i="13"/>
  <c r="HA51" i="13"/>
  <c r="GC51" i="13"/>
  <c r="EF51" i="13"/>
  <c r="HZ51" i="13"/>
  <c r="DV51" i="13"/>
  <c r="DE51" i="13"/>
  <c r="AV51" i="13"/>
  <c r="DC51" i="13"/>
  <c r="EX51" i="13"/>
  <c r="EP51" i="13"/>
  <c r="BN51" i="13"/>
  <c r="BA51" i="13"/>
  <c r="FT51" i="13"/>
  <c r="DZ51" i="13"/>
  <c r="DF51" i="13"/>
  <c r="CY51" i="13"/>
  <c r="BU51" i="13"/>
  <c r="GI51" i="13"/>
  <c r="HI51" i="13"/>
  <c r="HF51" i="13"/>
  <c r="IG51" i="13"/>
  <c r="CW51" i="13"/>
  <c r="BW51" i="13"/>
  <c r="EW51" i="13"/>
  <c r="GV51" i="13"/>
  <c r="CQ51" i="13"/>
  <c r="DG51" i="13"/>
  <c r="EN51" i="13"/>
  <c r="CZ51" i="13"/>
  <c r="BD51" i="13"/>
  <c r="FL51" i="13"/>
  <c r="DO51" i="13"/>
  <c r="AU51" i="13"/>
  <c r="FB51" i="13"/>
  <c r="EL51" i="13"/>
  <c r="DR51" i="13"/>
  <c r="EH51" i="13"/>
  <c r="GU51" i="13"/>
  <c r="GD51" i="13"/>
  <c r="FR51" i="13"/>
  <c r="DB51" i="13"/>
  <c r="HE51" i="13"/>
  <c r="AK51" i="13"/>
  <c r="IE51" i="13"/>
  <c r="ID51" i="13"/>
  <c r="HX51" i="13"/>
  <c r="IN51" i="13"/>
  <c r="BL51" i="13"/>
  <c r="AM51" i="13"/>
  <c r="GE51" i="13"/>
  <c r="CH51" i="13"/>
  <c r="CE51" i="13"/>
  <c r="CU51" i="13"/>
  <c r="HU51" i="13"/>
  <c r="DN51" i="13"/>
  <c r="IJ51" i="13"/>
  <c r="FU51" i="13"/>
  <c r="AN51" i="13"/>
  <c r="CD51" i="13"/>
  <c r="IH51" i="13"/>
  <c r="FC51" i="13"/>
  <c r="HM51" i="13"/>
  <c r="EY51" i="13"/>
  <c r="GR51" i="13"/>
  <c r="FP51" i="13"/>
  <c r="HW51" i="13"/>
  <c r="CJ51" i="13"/>
  <c r="IB51" i="13"/>
  <c r="ED51" i="13"/>
  <c r="FD51" i="13"/>
  <c r="F51" i="13"/>
  <c r="EJ51" i="13"/>
  <c r="HP51" i="13"/>
  <c r="DK51" i="13"/>
  <c r="EM51" i="13"/>
  <c r="FV51" i="13"/>
  <c r="DL51" i="13"/>
  <c r="BK51" i="13"/>
  <c r="BP51" i="13"/>
  <c r="BO51" i="13"/>
  <c r="HC51" i="13"/>
  <c r="CX51" i="13"/>
  <c r="GO51" i="13"/>
  <c r="GB51" i="13"/>
  <c r="IK51" i="13"/>
  <c r="EB51" i="13"/>
  <c r="BG51" i="13"/>
  <c r="E51" i="13"/>
  <c r="FM51" i="13"/>
  <c r="GZ51" i="13"/>
  <c r="IR51" i="13"/>
  <c r="GK51" i="13"/>
  <c r="AI51" i="13"/>
  <c r="EU51" i="13"/>
  <c r="CO51" i="13"/>
  <c r="AX51" i="13"/>
  <c r="FS51" i="13"/>
  <c r="FG51" i="13"/>
  <c r="AJ51" i="13"/>
  <c r="AZ51" i="13"/>
  <c r="HN51" i="13"/>
  <c r="HT51" i="13"/>
  <c r="HD51" i="13"/>
  <c r="FF51" i="13"/>
  <c r="IL51" i="13"/>
  <c r="CM51" i="13"/>
  <c r="DD51" i="13"/>
  <c r="CK51" i="13"/>
  <c r="GA51" i="13"/>
  <c r="CT51" i="13"/>
  <c r="GW51" i="13"/>
  <c r="EV51" i="13"/>
  <c r="FJ51" i="13"/>
  <c r="BE51" i="13"/>
  <c r="CB51" i="13"/>
  <c r="GL51" i="13"/>
  <c r="IF51" i="13"/>
  <c r="IM51" i="13"/>
  <c r="ES51" i="13"/>
  <c r="CG51" i="13"/>
  <c r="FE51" i="13"/>
  <c r="AY51" i="13"/>
  <c r="IA51" i="13"/>
  <c r="DM51" i="13"/>
  <c r="GS51" i="13"/>
  <c r="GF51" i="13"/>
  <c r="BX51" i="13"/>
  <c r="DH51" i="13"/>
  <c r="DX51" i="13"/>
  <c r="ET51" i="13"/>
  <c r="FZ51" i="13"/>
  <c r="BM51" i="13"/>
  <c r="BS51" i="13"/>
  <c r="CV51" i="13"/>
  <c r="EC51" i="13"/>
  <c r="FN51" i="13"/>
  <c r="DT51" i="13"/>
  <c r="FH51" i="13"/>
  <c r="BT51" i="13"/>
  <c r="CS51" i="13"/>
  <c r="DL11" i="13"/>
  <c r="CW46" i="13"/>
  <c r="HX11" i="13"/>
  <c r="CY7" i="13"/>
  <c r="II11" i="13"/>
  <c r="BH51" i="13"/>
  <c r="DO7" i="13"/>
  <c r="CL51" i="13"/>
  <c r="DT46" i="13"/>
  <c r="AO9" i="13"/>
  <c r="FT46" i="13"/>
  <c r="HQ46" i="13"/>
  <c r="GB9" i="13"/>
  <c r="FD46" i="13"/>
  <c r="IA46" i="13"/>
  <c r="ER12" i="13"/>
  <c r="AS18" i="13"/>
  <c r="GM35" i="13"/>
  <c r="E13" i="13"/>
  <c r="CM17" i="13"/>
  <c r="DB35" i="13"/>
  <c r="AZ25" i="13"/>
  <c r="AK9" i="13"/>
  <c r="CX12" i="13"/>
  <c r="EK17" i="13"/>
  <c r="DQ28" i="13"/>
  <c r="AB15" i="13"/>
  <c r="DB21" i="13"/>
  <c r="FT5" i="13"/>
  <c r="II12" i="13"/>
  <c r="DR25" i="13"/>
  <c r="DX46" i="13"/>
  <c r="U12" i="13"/>
  <c r="AP5" i="13"/>
  <c r="IB18" i="13"/>
  <c r="AW47" i="13"/>
  <c r="CJ46" i="13"/>
  <c r="CU52" i="13"/>
  <c r="N23" i="13"/>
  <c r="HL50" i="13"/>
  <c r="IG35" i="13"/>
  <c r="HW52" i="13"/>
  <c r="BM39" i="13"/>
  <c r="BY25" i="13"/>
  <c r="HE18" i="13"/>
  <c r="HX10" i="13"/>
  <c r="EP9" i="13"/>
  <c r="DF33" i="13"/>
  <c r="GQ51" i="13"/>
  <c r="HL18" i="13"/>
  <c r="EA53" i="13"/>
  <c r="IK38" i="13"/>
  <c r="DN40" i="13"/>
  <c r="EH38" i="13"/>
  <c r="FB13" i="13"/>
  <c r="DT19" i="13"/>
  <c r="AQ41" i="13"/>
  <c r="CL17" i="13"/>
  <c r="DM10" i="13"/>
  <c r="FI5" i="13"/>
  <c r="CS47" i="13"/>
  <c r="BE20" i="13"/>
  <c r="BH49" i="13"/>
  <c r="DJ18" i="13"/>
  <c r="S10" i="13"/>
  <c r="EM39" i="13"/>
  <c r="GH30" i="13"/>
  <c r="IE33" i="13"/>
  <c r="EE24" i="13"/>
  <c r="GE52" i="13"/>
  <c r="AS32" i="13"/>
  <c r="EJ36" i="13"/>
  <c r="CQ26" i="13"/>
  <c r="CO42" i="13"/>
  <c r="AH6" i="13"/>
  <c r="AE23" i="13"/>
  <c r="DU25" i="13"/>
  <c r="FG32" i="13"/>
  <c r="IH42" i="13"/>
  <c r="FH52" i="13"/>
  <c r="FM33" i="13"/>
  <c r="HY46" i="13"/>
  <c r="ED50" i="13"/>
  <c r="FB47" i="13"/>
  <c r="HV35" i="13"/>
  <c r="IF23" i="13"/>
  <c r="CF51" i="13"/>
  <c r="FY51" i="13"/>
  <c r="HN7" i="13"/>
  <c r="FF35" i="13"/>
  <c r="AX21" i="13"/>
  <c r="BV21" i="13"/>
  <c r="EU21" i="13"/>
  <c r="N21" i="13"/>
  <c r="HW21" i="13"/>
  <c r="EN21" i="13"/>
  <c r="GS21" i="13"/>
  <c r="EZ21" i="13"/>
  <c r="AK21" i="13"/>
  <c r="FU21" i="13"/>
  <c r="HA21" i="13"/>
  <c r="BP21" i="13"/>
  <c r="FH21" i="13"/>
  <c r="FA21" i="13"/>
  <c r="X21" i="13"/>
  <c r="CQ21" i="13"/>
  <c r="DZ21" i="13"/>
  <c r="BR21" i="13"/>
  <c r="BA21" i="13"/>
  <c r="DM21" i="13"/>
  <c r="CB21" i="13"/>
  <c r="AN21" i="13"/>
  <c r="EL21" i="13"/>
  <c r="CX21" i="13"/>
  <c r="DX21" i="13"/>
  <c r="CR21" i="13"/>
  <c r="FF21" i="13"/>
  <c r="GH21" i="13"/>
  <c r="EB21" i="13"/>
  <c r="ER21" i="13"/>
  <c r="EP21" i="13"/>
  <c r="IN21" i="13"/>
  <c r="DV21" i="13"/>
  <c r="S21" i="13"/>
  <c r="EF21" i="13"/>
  <c r="GW21" i="13"/>
  <c r="HZ21" i="13"/>
  <c r="DO21" i="13"/>
  <c r="HJ21" i="13"/>
  <c r="CU21" i="13"/>
  <c r="DP21" i="13"/>
  <c r="ET21" i="13"/>
  <c r="J21" i="13"/>
  <c r="GA21" i="13"/>
  <c r="DQ21" i="13"/>
  <c r="CY21" i="13"/>
  <c r="K21" i="13"/>
  <c r="GJ21" i="13"/>
  <c r="EO21" i="13"/>
  <c r="AZ21" i="13"/>
  <c r="AG21" i="13"/>
  <c r="AB21" i="13"/>
  <c r="AW21" i="13"/>
  <c r="DT21" i="13"/>
  <c r="BM21" i="13"/>
  <c r="L21" i="13"/>
  <c r="FG21" i="13"/>
  <c r="G21" i="13"/>
  <c r="BB21" i="13"/>
  <c r="BY21" i="13"/>
  <c r="FQ21" i="13"/>
  <c r="AS21" i="13"/>
  <c r="DK21" i="13"/>
  <c r="HF21" i="13"/>
  <c r="FS21" i="13"/>
  <c r="HS21" i="13"/>
  <c r="AI21" i="13"/>
  <c r="HK21" i="13"/>
  <c r="FK21" i="13"/>
  <c r="HR21" i="13"/>
  <c r="GF21" i="13"/>
  <c r="BN21" i="13"/>
  <c r="AP21" i="13"/>
  <c r="HT21" i="13"/>
  <c r="AD21" i="13"/>
  <c r="GQ21" i="13"/>
  <c r="HD21" i="13"/>
  <c r="EE21" i="13"/>
  <c r="FX21" i="13"/>
  <c r="HQ21" i="13"/>
  <c r="IA21" i="13"/>
  <c r="E21" i="13"/>
  <c r="CD21" i="13"/>
  <c r="H21" i="13"/>
  <c r="CL21" i="13"/>
  <c r="CF21" i="13"/>
  <c r="FJ21" i="13"/>
  <c r="T21" i="13"/>
  <c r="EY21" i="13"/>
  <c r="IM21" i="13"/>
  <c r="CO21" i="13"/>
  <c r="CM21" i="13"/>
  <c r="FO21" i="13"/>
  <c r="GL21" i="13"/>
  <c r="GE21" i="13"/>
  <c r="GY21" i="13"/>
  <c r="CT21" i="13"/>
  <c r="GV21" i="13"/>
  <c r="BU21" i="13"/>
  <c r="GG21" i="13"/>
  <c r="AR21" i="13"/>
  <c r="EV21" i="13"/>
  <c r="IE21" i="13"/>
  <c r="IH21" i="13"/>
  <c r="DG21" i="13"/>
  <c r="AQ21" i="13"/>
  <c r="DE21" i="13"/>
  <c r="Q21" i="13"/>
  <c r="AU21" i="13"/>
  <c r="CZ21" i="13"/>
  <c r="HU21" i="13"/>
  <c r="AM21" i="13"/>
  <c r="EX21" i="13"/>
  <c r="HE21" i="13"/>
  <c r="HL21" i="13"/>
  <c r="AL21" i="13"/>
  <c r="CG21" i="13"/>
  <c r="BH21" i="13"/>
  <c r="GC21" i="13"/>
  <c r="EG21" i="13"/>
  <c r="FT21" i="13"/>
  <c r="GP21" i="13"/>
  <c r="GU21" i="13"/>
  <c r="GI21" i="13"/>
  <c r="BJ21" i="13"/>
  <c r="EA21" i="13"/>
  <c r="GT21" i="13"/>
  <c r="BS21" i="13"/>
  <c r="AT21" i="13"/>
  <c r="FP21" i="13"/>
  <c r="IL21" i="13"/>
  <c r="BT21" i="13"/>
  <c r="BE21" i="13"/>
  <c r="CC21" i="13"/>
  <c r="EW21" i="13"/>
  <c r="DN21" i="13"/>
  <c r="DD21" i="13"/>
  <c r="GD21" i="13"/>
  <c r="CI21" i="13"/>
  <c r="AH21" i="13"/>
  <c r="DW21" i="13"/>
  <c r="HP21" i="13"/>
  <c r="AF21" i="13"/>
  <c r="HM21" i="13"/>
  <c r="FN21" i="13"/>
  <c r="V21" i="13"/>
  <c r="HH21" i="13"/>
  <c r="BI21" i="13"/>
  <c r="HB21" i="13"/>
  <c r="D21" i="13"/>
  <c r="BL21" i="13"/>
  <c r="DH21" i="13"/>
  <c r="II21" i="13"/>
  <c r="IO21" i="13"/>
  <c r="GZ21" i="13"/>
  <c r="BQ21" i="13"/>
  <c r="IQ21" i="13"/>
  <c r="CV21" i="13"/>
  <c r="ED21" i="13"/>
  <c r="AE21" i="13"/>
  <c r="CE21" i="13"/>
  <c r="IB21" i="13"/>
  <c r="AJ21" i="13"/>
  <c r="FE21" i="13"/>
  <c r="W21" i="13"/>
  <c r="AO21" i="13"/>
  <c r="HO21" i="13"/>
  <c r="EI21" i="13"/>
  <c r="DA21" i="13"/>
  <c r="M21" i="13"/>
  <c r="CN21" i="13"/>
  <c r="AV21" i="13"/>
  <c r="EM21" i="13"/>
  <c r="AC21" i="13"/>
  <c r="GM21" i="13"/>
  <c r="P21" i="13"/>
  <c r="CS21" i="13"/>
  <c r="FR21" i="13"/>
  <c r="GX21" i="13"/>
  <c r="DF21" i="13"/>
  <c r="BC21" i="13"/>
  <c r="CH21" i="13"/>
  <c r="HX21" i="13"/>
  <c r="HY21" i="13"/>
  <c r="IG16" i="13"/>
  <c r="DJ16" i="13"/>
  <c r="EM16" i="13"/>
  <c r="DK16" i="13"/>
  <c r="HO16" i="13"/>
  <c r="FI16" i="13"/>
  <c r="FV16" i="13"/>
  <c r="HZ16" i="13"/>
  <c r="S16" i="13"/>
  <c r="FE16" i="13"/>
  <c r="AC16" i="13"/>
  <c r="HR16" i="13"/>
  <c r="EP16" i="13"/>
  <c r="Q16" i="13"/>
  <c r="I16" i="13"/>
  <c r="DB16" i="13"/>
  <c r="FM16" i="13"/>
  <c r="EI16" i="13"/>
  <c r="BG16" i="13"/>
  <c r="EX16" i="13"/>
  <c r="GK16" i="13"/>
  <c r="GE16" i="13"/>
  <c r="IA16" i="13"/>
  <c r="GL16" i="13"/>
  <c r="EA16" i="13"/>
  <c r="FA16" i="13"/>
  <c r="HV16" i="13"/>
  <c r="ES16" i="13"/>
  <c r="DI16" i="13"/>
  <c r="IL16" i="13"/>
  <c r="GW16" i="13"/>
  <c r="HY16" i="13"/>
  <c r="FR16" i="13"/>
  <c r="HM16" i="13"/>
  <c r="GM16" i="13"/>
  <c r="AO16" i="13"/>
  <c r="AT16" i="13"/>
  <c r="BE16" i="13"/>
  <c r="DH16" i="13"/>
  <c r="IF16" i="13"/>
  <c r="CR16" i="13"/>
  <c r="AP16" i="13"/>
  <c r="EC16" i="13"/>
  <c r="FP16" i="13"/>
  <c r="T16" i="13"/>
  <c r="EQ16" i="13"/>
  <c r="EN16" i="13"/>
  <c r="AM16" i="13"/>
  <c r="IN16" i="13"/>
  <c r="HS16" i="13"/>
  <c r="GN16" i="13"/>
  <c r="BR16" i="13"/>
  <c r="AB16" i="13"/>
  <c r="AI16" i="13"/>
  <c r="CD16" i="13"/>
  <c r="FO16" i="13"/>
  <c r="AG16" i="13"/>
  <c r="EO16" i="13"/>
  <c r="IB16" i="13"/>
  <c r="BU16" i="13"/>
  <c r="CE16" i="13"/>
  <c r="CY16" i="13"/>
  <c r="IO16" i="13"/>
  <c r="FX16" i="13"/>
  <c r="AN16" i="13"/>
  <c r="HG16" i="13"/>
  <c r="IC16" i="13"/>
  <c r="CI16" i="13"/>
  <c r="GD16" i="13"/>
  <c r="R16" i="13"/>
  <c r="FK16" i="13"/>
  <c r="HD16" i="13"/>
  <c r="EU16" i="13"/>
  <c r="DP16" i="13"/>
  <c r="AA16" i="13"/>
  <c r="BO16" i="13"/>
  <c r="AK16" i="13"/>
  <c r="AZ16" i="13"/>
  <c r="DC16" i="13"/>
  <c r="BF16" i="13"/>
  <c r="CW16" i="13"/>
  <c r="BK16" i="13"/>
  <c r="GT16" i="13"/>
  <c r="GV16" i="13"/>
  <c r="CB16" i="13"/>
  <c r="CN16" i="13"/>
  <c r="HH16" i="13"/>
  <c r="HF16" i="13"/>
  <c r="DD16" i="13"/>
  <c r="GG16" i="13"/>
  <c r="EW16" i="13"/>
  <c r="CP16" i="13"/>
  <c r="CQ16" i="13"/>
  <c r="ET16" i="13"/>
  <c r="BY16" i="13"/>
  <c r="AU16" i="13"/>
  <c r="FN16" i="13"/>
  <c r="FT16" i="13"/>
  <c r="AW16" i="13"/>
  <c r="DQ16" i="13"/>
  <c r="HC16" i="13"/>
  <c r="GY16" i="13"/>
  <c r="GP16" i="13"/>
  <c r="EF16" i="13"/>
  <c r="G16" i="13"/>
  <c r="GA16" i="13"/>
  <c r="HA16" i="13"/>
  <c r="FJ16" i="13"/>
  <c r="E16" i="13"/>
  <c r="BH16" i="13"/>
  <c r="BN16" i="13"/>
  <c r="DT16" i="13"/>
  <c r="GF16" i="13"/>
  <c r="AV16" i="13"/>
  <c r="CK16" i="13"/>
  <c r="IE16" i="13"/>
  <c r="HX16" i="13"/>
  <c r="DE16" i="13"/>
  <c r="CV16" i="13"/>
  <c r="EB16" i="13"/>
  <c r="DZ16" i="13"/>
  <c r="EE16" i="13"/>
  <c r="GU16" i="13"/>
  <c r="DU16" i="13"/>
  <c r="BB16" i="13"/>
  <c r="DM16" i="13"/>
  <c r="L16" i="13"/>
  <c r="IH16" i="13"/>
  <c r="M16" i="13"/>
  <c r="EG16" i="13"/>
  <c r="EH16" i="13"/>
  <c r="FG16" i="13"/>
  <c r="FL16" i="13"/>
  <c r="AF16" i="13"/>
  <c r="GH16" i="13"/>
  <c r="V16" i="13"/>
  <c r="AE16" i="13"/>
  <c r="GJ16" i="13"/>
  <c r="DS16" i="13"/>
  <c r="BX16" i="13"/>
  <c r="DV16" i="13"/>
  <c r="FS16" i="13"/>
  <c r="EV16" i="13"/>
  <c r="DR16" i="13"/>
  <c r="BI16" i="13"/>
  <c r="IJ16" i="13"/>
  <c r="HJ16" i="13"/>
  <c r="GR16" i="13"/>
  <c r="BM16" i="13"/>
  <c r="W16" i="13"/>
  <c r="IM16" i="13"/>
  <c r="U16" i="13"/>
  <c r="GZ16" i="13"/>
  <c r="DW16" i="13"/>
  <c r="DN16" i="13"/>
  <c r="HU16" i="13"/>
  <c r="HL16" i="13"/>
  <c r="BV16" i="13"/>
  <c r="IQ16" i="13"/>
  <c r="HP16" i="13"/>
  <c r="CC16" i="13"/>
  <c r="HQ16" i="13"/>
  <c r="FQ16" i="13"/>
  <c r="BP16" i="13"/>
  <c r="C16" i="13"/>
  <c r="GC16" i="13"/>
  <c r="H16" i="13"/>
  <c r="ID16" i="13"/>
  <c r="HD26" i="13"/>
  <c r="HA26" i="13"/>
  <c r="GZ26" i="13"/>
  <c r="ES26" i="13"/>
  <c r="HZ26" i="13"/>
  <c r="GR26" i="13"/>
  <c r="DQ26" i="13"/>
  <c r="CB26" i="13"/>
  <c r="AC26" i="13"/>
  <c r="GI26" i="13"/>
  <c r="FH26" i="13"/>
  <c r="FD26" i="13"/>
  <c r="S26" i="13"/>
  <c r="CI26" i="13"/>
  <c r="DD26" i="13"/>
  <c r="DI26" i="13"/>
  <c r="BV26" i="13"/>
  <c r="GE26" i="13"/>
  <c r="BP26" i="13"/>
  <c r="HC26" i="13"/>
  <c r="IM26" i="13"/>
  <c r="U26" i="13"/>
  <c r="AV26" i="13"/>
  <c r="EO26" i="13"/>
  <c r="BN26" i="13"/>
  <c r="E26" i="13"/>
  <c r="IC26" i="13"/>
  <c r="DO26" i="13"/>
  <c r="AR26" i="13"/>
  <c r="HT26" i="13"/>
  <c r="AZ26" i="13"/>
  <c r="CM26" i="13"/>
  <c r="AA26" i="13"/>
  <c r="GY26" i="13"/>
  <c r="HI26" i="13"/>
  <c r="GG26" i="13"/>
  <c r="CO26" i="13"/>
  <c r="HK26" i="13"/>
  <c r="EX26" i="13"/>
  <c r="CS26" i="13"/>
  <c r="AJ26" i="13"/>
  <c r="AY26" i="13"/>
  <c r="AN26" i="13"/>
  <c r="EN26" i="13"/>
  <c r="GB26" i="13"/>
  <c r="BC26" i="13"/>
  <c r="GD26" i="13"/>
  <c r="AX26" i="13"/>
  <c r="FO26" i="13"/>
  <c r="AE26" i="13"/>
  <c r="HJ26" i="13"/>
  <c r="BT26" i="13"/>
  <c r="HY26" i="13"/>
  <c r="GF26" i="13"/>
  <c r="BF26" i="13"/>
  <c r="W26" i="13"/>
  <c r="R26" i="13"/>
  <c r="BI26" i="13"/>
  <c r="CL26" i="13"/>
  <c r="DN26" i="13"/>
  <c r="DY26" i="13"/>
  <c r="DX26" i="13"/>
  <c r="GK26" i="13"/>
  <c r="FW26" i="13"/>
  <c r="BJ26" i="13"/>
  <c r="GA26" i="13"/>
  <c r="CN26" i="13"/>
  <c r="BQ26" i="13"/>
  <c r="ID26" i="13"/>
  <c r="CR26" i="13"/>
  <c r="GS26" i="13"/>
  <c r="EE26" i="13"/>
  <c r="C26" i="13"/>
  <c r="FR26" i="13"/>
  <c r="GO26" i="13"/>
  <c r="BH26" i="13"/>
  <c r="DZ26" i="13"/>
  <c r="FP26" i="13"/>
  <c r="HS26" i="13"/>
  <c r="BB26" i="13"/>
  <c r="IK26" i="13"/>
  <c r="FV26" i="13"/>
  <c r="IE26" i="13"/>
  <c r="EA26" i="13"/>
  <c r="DT26" i="13"/>
  <c r="EP26" i="13"/>
  <c r="DV26" i="13"/>
  <c r="GQ26" i="13"/>
  <c r="IH26" i="13"/>
  <c r="DW26" i="13"/>
  <c r="HB26" i="13"/>
  <c r="M26" i="13"/>
  <c r="GN26" i="13"/>
  <c r="BU26" i="13"/>
  <c r="N26" i="13"/>
  <c r="ET26" i="13"/>
  <c r="AD26" i="13"/>
  <c r="K26" i="13"/>
  <c r="EI26" i="13"/>
  <c r="FA26" i="13"/>
  <c r="IQ26" i="13"/>
  <c r="AH26" i="13"/>
  <c r="FB26" i="13"/>
  <c r="O26" i="13"/>
  <c r="FY26" i="13"/>
  <c r="GW26" i="13"/>
  <c r="DC26" i="13"/>
  <c r="AF26" i="13"/>
  <c r="IR26" i="13"/>
  <c r="CU26" i="13"/>
  <c r="ED26" i="13"/>
  <c r="FE26" i="13"/>
  <c r="H26" i="13"/>
  <c r="EK26" i="13"/>
  <c r="BA26" i="13"/>
  <c r="GL26" i="13"/>
  <c r="CD26" i="13"/>
  <c r="HL26" i="13"/>
  <c r="FU26" i="13"/>
  <c r="EH26" i="13"/>
  <c r="AI26" i="13"/>
  <c r="HE26" i="13"/>
  <c r="GU26" i="13"/>
  <c r="HM26" i="13"/>
  <c r="CP26" i="13"/>
  <c r="CW26" i="13"/>
  <c r="P26" i="13"/>
  <c r="FL26" i="13"/>
  <c r="DM26" i="13"/>
  <c r="AK26" i="13"/>
  <c r="HQ26" i="13"/>
  <c r="G26" i="13"/>
  <c r="HH26" i="13"/>
  <c r="DA26" i="13"/>
  <c r="II26" i="13"/>
  <c r="EV26" i="13"/>
  <c r="FJ26" i="13"/>
  <c r="EG26" i="13"/>
  <c r="DF26" i="13"/>
  <c r="GJ26" i="13"/>
  <c r="CV26" i="13"/>
  <c r="IF26" i="13"/>
  <c r="BY26" i="13"/>
  <c r="CH26" i="13"/>
  <c r="GP26" i="13"/>
  <c r="EM26" i="13"/>
  <c r="DL26" i="13"/>
  <c r="EB26" i="13"/>
  <c r="DK26" i="13"/>
  <c r="BW26" i="13"/>
  <c r="BE26" i="13"/>
  <c r="BR26" i="13"/>
  <c r="BL26" i="13"/>
  <c r="AB26" i="13"/>
  <c r="BD26" i="13"/>
  <c r="Q26" i="13"/>
  <c r="FT26" i="13"/>
  <c r="BX26" i="13"/>
  <c r="AS26" i="13"/>
  <c r="FS26" i="13"/>
  <c r="AO26" i="13"/>
  <c r="CJ26" i="13"/>
  <c r="Z26" i="13"/>
  <c r="IL26" i="13"/>
  <c r="GM26" i="13"/>
  <c r="GX26" i="13"/>
  <c r="HN26" i="13"/>
  <c r="IG26" i="13"/>
  <c r="D26" i="13"/>
  <c r="AW26" i="13"/>
  <c r="BK26" i="13"/>
  <c r="ER26" i="13"/>
  <c r="GT26" i="13"/>
  <c r="CY26" i="13"/>
  <c r="DH26" i="13"/>
  <c r="BU48" i="13"/>
  <c r="HW48" i="13"/>
  <c r="GC48" i="13"/>
  <c r="FF48" i="13"/>
  <c r="IG48" i="13"/>
  <c r="IM48" i="13"/>
  <c r="BR48" i="13"/>
  <c r="CX48" i="13"/>
  <c r="IB48" i="13"/>
  <c r="DX48" i="13"/>
  <c r="GL48" i="13"/>
  <c r="GP48" i="13"/>
  <c r="DW48" i="13"/>
  <c r="HZ48" i="13"/>
  <c r="BG48" i="13"/>
  <c r="HK48" i="13"/>
  <c r="FQ48" i="13"/>
  <c r="AT48" i="13"/>
  <c r="DV48" i="13"/>
  <c r="GF48" i="13"/>
  <c r="GG48" i="13"/>
  <c r="BP48" i="13"/>
  <c r="DD48" i="13"/>
  <c r="HR48" i="13"/>
  <c r="EO48" i="13"/>
  <c r="CV48" i="13"/>
  <c r="GQ48" i="13"/>
  <c r="BL48" i="13"/>
  <c r="FC48" i="13"/>
  <c r="FP48" i="13"/>
  <c r="GD48" i="13"/>
  <c r="ET48" i="13"/>
  <c r="HG48" i="13"/>
  <c r="FJ48" i="13"/>
  <c r="CO48" i="13"/>
  <c r="EV48" i="13"/>
  <c r="GB48" i="13"/>
  <c r="HV48" i="13"/>
  <c r="DU48" i="13"/>
  <c r="GO48" i="13"/>
  <c r="HM48" i="13"/>
  <c r="EC48" i="13"/>
  <c r="CS48" i="13"/>
  <c r="EB48" i="13"/>
  <c r="FO48" i="13"/>
  <c r="HS48" i="13"/>
  <c r="EK48" i="13"/>
  <c r="GN48" i="13"/>
  <c r="ID48" i="13"/>
  <c r="GW48" i="13"/>
  <c r="AW48" i="13"/>
  <c r="DJ48" i="13"/>
  <c r="HX48" i="13"/>
  <c r="GZ48" i="13"/>
  <c r="HP48" i="13"/>
  <c r="IO48" i="13"/>
  <c r="DH48" i="13"/>
  <c r="GU48" i="13"/>
  <c r="CR48" i="13"/>
  <c r="DP48" i="13"/>
  <c r="GI48" i="13"/>
  <c r="DM48" i="13"/>
  <c r="BB48" i="13"/>
  <c r="DO48" i="13"/>
  <c r="BV48" i="13"/>
  <c r="EM48" i="13"/>
  <c r="BZ48" i="13"/>
  <c r="FN48" i="13"/>
  <c r="CN48" i="13"/>
  <c r="CH48" i="13"/>
  <c r="GT48" i="13"/>
  <c r="IA48" i="13"/>
  <c r="ER48" i="13"/>
  <c r="HC48" i="13"/>
  <c r="DR48" i="13"/>
  <c r="HT48" i="13"/>
  <c r="AU48" i="13"/>
  <c r="CK48" i="13"/>
  <c r="HU48" i="13"/>
  <c r="CD48" i="13"/>
  <c r="FL48" i="13"/>
  <c r="EE48" i="13"/>
  <c r="GM48" i="13"/>
  <c r="BA48" i="13"/>
  <c r="ES48" i="13"/>
  <c r="DK48" i="13"/>
  <c r="AR48" i="13"/>
  <c r="CG48" i="13"/>
  <c r="HA48" i="13"/>
  <c r="EW48" i="13"/>
  <c r="FX48" i="13"/>
  <c r="EX48" i="13"/>
  <c r="CC48" i="13"/>
  <c r="CQ48" i="13"/>
  <c r="EH48" i="13"/>
  <c r="HO48" i="13"/>
  <c r="GV48" i="13"/>
  <c r="HB48" i="13"/>
  <c r="CP48" i="13"/>
  <c r="AS48" i="13"/>
  <c r="FT48" i="13"/>
  <c r="BJ48" i="13"/>
  <c r="GY48" i="13"/>
  <c r="IQ48" i="13"/>
  <c r="EG48" i="13"/>
  <c r="HF48" i="13"/>
  <c r="ED48" i="13"/>
  <c r="EP48" i="13"/>
  <c r="AM48" i="13"/>
  <c r="IL48" i="13"/>
  <c r="BN48" i="13"/>
  <c r="EL48" i="13"/>
  <c r="FM48" i="13"/>
  <c r="GS48" i="13"/>
  <c r="IN48" i="13"/>
  <c r="DQ48" i="13"/>
  <c r="DA48" i="13"/>
  <c r="BS48" i="13"/>
  <c r="FW48" i="13"/>
  <c r="BY48" i="13"/>
  <c r="CI48" i="13"/>
  <c r="CB48" i="13"/>
  <c r="HN48" i="13"/>
  <c r="FK48" i="13"/>
  <c r="FI48" i="13"/>
  <c r="FD48" i="13"/>
  <c r="GH48" i="13"/>
  <c r="AJ48" i="13"/>
  <c r="DG48" i="13"/>
  <c r="GK48" i="13"/>
  <c r="CF48" i="13"/>
  <c r="AZ48" i="13"/>
  <c r="DL48" i="13"/>
  <c r="EY48" i="13"/>
  <c r="AP48" i="13"/>
  <c r="AO48" i="13"/>
  <c r="FU48" i="13"/>
  <c r="FA48" i="13"/>
  <c r="AQ48" i="13"/>
  <c r="E48" i="13"/>
  <c r="BD48" i="13"/>
  <c r="AI48" i="13"/>
  <c r="BE48" i="13"/>
  <c r="DS48" i="13"/>
  <c r="CU48" i="13"/>
  <c r="F48" i="13"/>
  <c r="GR48" i="13"/>
  <c r="DC48" i="13"/>
  <c r="EI48" i="13"/>
  <c r="BT48" i="13"/>
  <c r="DE48" i="13"/>
  <c r="GX48" i="13"/>
  <c r="CZ48" i="13"/>
  <c r="CT48" i="13"/>
  <c r="FV48" i="13"/>
  <c r="HE48" i="13"/>
  <c r="IH48" i="13"/>
  <c r="CW48" i="13"/>
  <c r="EN48" i="13"/>
  <c r="BC48" i="13"/>
  <c r="CM48" i="13"/>
  <c r="IE48" i="13"/>
  <c r="FR48" i="13"/>
  <c r="BM32" i="13"/>
  <c r="FD32" i="13"/>
  <c r="DW32" i="13"/>
  <c r="CJ32" i="13"/>
  <c r="CX32" i="13"/>
  <c r="AL32" i="13"/>
  <c r="CO32" i="13"/>
  <c r="GO32" i="13"/>
  <c r="CQ32" i="13"/>
  <c r="DY32" i="13"/>
  <c r="IJ32" i="13"/>
  <c r="DQ32" i="13"/>
  <c r="HZ32" i="13"/>
  <c r="DE32" i="13"/>
  <c r="DX32" i="13"/>
  <c r="AN32" i="13"/>
  <c r="AE32" i="13"/>
  <c r="FI32" i="13"/>
  <c r="BG32" i="13"/>
  <c r="AQ32" i="13"/>
  <c r="BN32" i="13"/>
  <c r="AJ32" i="13"/>
  <c r="HV32" i="13"/>
  <c r="EO32" i="13"/>
  <c r="DO32" i="13"/>
  <c r="HL32" i="13"/>
  <c r="DC32" i="13"/>
  <c r="IF32" i="13"/>
  <c r="FS32" i="13"/>
  <c r="BH32" i="13"/>
  <c r="FT32" i="13"/>
  <c r="IA32" i="13"/>
  <c r="EW32" i="13"/>
  <c r="GC32" i="13"/>
  <c r="GT32" i="13"/>
  <c r="EJ32" i="13"/>
  <c r="AK32" i="13"/>
  <c r="CK32" i="13"/>
  <c r="FE32" i="13"/>
  <c r="GR32" i="13"/>
  <c r="EV32" i="13"/>
  <c r="HM32" i="13"/>
  <c r="AY32" i="13"/>
  <c r="BX32" i="13"/>
  <c r="GE32" i="13"/>
  <c r="EA32" i="13"/>
  <c r="EF32" i="13"/>
  <c r="BY32" i="13"/>
  <c r="HG32" i="13"/>
  <c r="V32" i="13"/>
  <c r="GS32" i="13"/>
  <c r="GY32" i="13"/>
  <c r="CC32" i="13"/>
  <c r="EC32" i="13"/>
  <c r="DM32" i="13"/>
  <c r="BU32" i="13"/>
  <c r="AT32" i="13"/>
  <c r="EZ32" i="13"/>
  <c r="ID32" i="13"/>
  <c r="C32" i="13"/>
  <c r="K32" i="13"/>
  <c r="IH32" i="13"/>
  <c r="FO32" i="13"/>
  <c r="EH32" i="13"/>
  <c r="W32" i="13"/>
  <c r="T32" i="13"/>
  <c r="EG32" i="13"/>
  <c r="GL32" i="13"/>
  <c r="IG32" i="13"/>
  <c r="AD32" i="13"/>
  <c r="DZ32" i="13"/>
  <c r="GZ32" i="13"/>
  <c r="GX32" i="13"/>
  <c r="CG32" i="13"/>
  <c r="IQ32" i="13"/>
  <c r="GJ32" i="13"/>
  <c r="DU32" i="13"/>
  <c r="GI32" i="13"/>
  <c r="IM32" i="13"/>
  <c r="HB32" i="13"/>
  <c r="HE32" i="13"/>
  <c r="GD32" i="13"/>
  <c r="BT32" i="13"/>
  <c r="CP32" i="13"/>
  <c r="AZ32" i="13"/>
  <c r="IB32" i="13"/>
  <c r="FZ32" i="13"/>
  <c r="ET32" i="13"/>
  <c r="CS32" i="13"/>
  <c r="GB32" i="13"/>
  <c r="EE32" i="13"/>
  <c r="F32" i="13"/>
  <c r="AA32" i="13"/>
  <c r="AH32" i="13"/>
  <c r="CN32" i="13"/>
  <c r="IC32" i="13"/>
  <c r="AM32" i="13"/>
  <c r="DB32" i="13"/>
  <c r="AP32" i="13"/>
  <c r="BO32" i="13"/>
  <c r="I32" i="13"/>
  <c r="S32" i="13"/>
  <c r="IO32" i="13"/>
  <c r="FY32" i="13"/>
  <c r="AB32" i="13"/>
  <c r="AO32" i="13"/>
  <c r="GP32" i="13"/>
  <c r="BF32" i="13"/>
  <c r="HR32" i="13"/>
  <c r="AR32" i="13"/>
  <c r="IL32" i="13"/>
  <c r="BC32" i="13"/>
  <c r="L32" i="13"/>
  <c r="HH32" i="13"/>
  <c r="FC32" i="13"/>
  <c r="FW32" i="13"/>
  <c r="DJ32" i="13"/>
  <c r="FH32" i="13"/>
  <c r="BV32" i="13"/>
  <c r="BK32" i="13"/>
  <c r="AV32" i="13"/>
  <c r="HY32" i="13"/>
  <c r="FM32" i="13"/>
  <c r="BQ32" i="13"/>
  <c r="GV32" i="13"/>
  <c r="GU32" i="13"/>
  <c r="FB32" i="13"/>
  <c r="AU32" i="13"/>
  <c r="HK32" i="13"/>
  <c r="CU32" i="13"/>
  <c r="FR32" i="13"/>
  <c r="H32" i="13"/>
  <c r="HN32" i="13"/>
  <c r="AX32" i="13"/>
  <c r="GG32" i="13"/>
  <c r="HW32" i="13"/>
  <c r="G32" i="13"/>
  <c r="EU32" i="13"/>
  <c r="DN32" i="13"/>
  <c r="CL32" i="13"/>
  <c r="EM32" i="13"/>
  <c r="R32" i="13"/>
  <c r="IN32" i="13"/>
  <c r="HC32" i="13"/>
  <c r="BS32" i="13"/>
  <c r="AW32" i="13"/>
  <c r="J32" i="13"/>
  <c r="CT32" i="13"/>
  <c r="ER32" i="13"/>
  <c r="FN32" i="13"/>
  <c r="D32" i="13"/>
  <c r="DH32" i="13"/>
  <c r="U32" i="13"/>
  <c r="FK32" i="13"/>
  <c r="EL32" i="13"/>
  <c r="GF32" i="13"/>
  <c r="DL32" i="13"/>
  <c r="FF32" i="13"/>
  <c r="DF32" i="13"/>
  <c r="Y32" i="13"/>
  <c r="DI32" i="13"/>
  <c r="HX32" i="13"/>
  <c r="Q32" i="13"/>
  <c r="EP32" i="13"/>
  <c r="DG32" i="13"/>
  <c r="FA32" i="13"/>
  <c r="FV32" i="13"/>
  <c r="HO32" i="13"/>
  <c r="EB32" i="13"/>
  <c r="DA32" i="13"/>
  <c r="HQ32" i="13"/>
  <c r="BE32" i="13"/>
  <c r="BA32" i="13"/>
  <c r="GN32" i="13"/>
  <c r="HT32" i="13"/>
  <c r="AX31" i="13"/>
  <c r="FK31" i="13"/>
  <c r="GF31" i="13"/>
  <c r="AE31" i="13"/>
  <c r="CI31" i="13"/>
  <c r="K31" i="13"/>
  <c r="E31" i="13"/>
  <c r="HB31" i="13"/>
  <c r="GV31" i="13"/>
  <c r="GA31" i="13"/>
  <c r="HU31" i="13"/>
  <c r="BT31" i="13"/>
  <c r="GD31" i="13"/>
  <c r="C31" i="13"/>
  <c r="GY31" i="13"/>
  <c r="BB31" i="13"/>
  <c r="FW31" i="13"/>
  <c r="GE31" i="13"/>
  <c r="AD31" i="13"/>
  <c r="EU31" i="13"/>
  <c r="FA31" i="13"/>
  <c r="DD31" i="13"/>
  <c r="AS31" i="13"/>
  <c r="FI31" i="13"/>
  <c r="EQ31" i="13"/>
  <c r="BF31" i="13"/>
  <c r="HE31" i="13"/>
  <c r="FG31" i="13"/>
  <c r="AB31" i="13"/>
  <c r="HP31" i="13"/>
  <c r="HN31" i="13"/>
  <c r="FC31" i="13"/>
  <c r="HH31" i="13"/>
  <c r="AW31" i="13"/>
  <c r="BY31" i="13"/>
  <c r="AO31" i="13"/>
  <c r="GS31" i="13"/>
  <c r="HX31" i="13"/>
  <c r="BS31" i="13"/>
  <c r="F31" i="13"/>
  <c r="DH31" i="13"/>
  <c r="CV31" i="13"/>
  <c r="FP31" i="13"/>
  <c r="DV31" i="13"/>
  <c r="HY31" i="13"/>
  <c r="HG31" i="13"/>
  <c r="CR31" i="13"/>
  <c r="BZ31" i="13"/>
  <c r="DW31" i="13"/>
  <c r="GR31" i="13"/>
  <c r="CQ31" i="13"/>
  <c r="HT31" i="13"/>
  <c r="R31" i="13"/>
  <c r="GN31" i="13"/>
  <c r="H31" i="13"/>
  <c r="CK31" i="13"/>
  <c r="BQ31" i="13"/>
  <c r="HS31" i="13"/>
  <c r="X31" i="13"/>
  <c r="IN31" i="13"/>
  <c r="FO31" i="13"/>
  <c r="EN31" i="13"/>
  <c r="CF31" i="13"/>
  <c r="EI31" i="13"/>
  <c r="N31" i="13"/>
  <c r="AM31" i="13"/>
  <c r="BO31" i="13"/>
  <c r="HI31" i="13"/>
  <c r="DL31" i="13"/>
  <c r="BA31" i="13"/>
  <c r="II31" i="13"/>
  <c r="EZ31" i="13"/>
  <c r="DZ31" i="13"/>
  <c r="AU31" i="13"/>
  <c r="EG31" i="13"/>
  <c r="GI31" i="13"/>
  <c r="EA31" i="13"/>
  <c r="W31" i="13"/>
  <c r="EL31" i="13"/>
  <c r="EW31" i="13"/>
  <c r="GL31" i="13"/>
  <c r="EP31" i="13"/>
  <c r="CX31" i="13"/>
  <c r="FR31" i="13"/>
  <c r="CH31" i="13"/>
  <c r="IM31" i="13"/>
  <c r="CP31" i="13"/>
  <c r="ES31" i="13"/>
  <c r="DU31" i="13"/>
  <c r="BP31" i="13"/>
  <c r="IG31" i="13"/>
  <c r="DA31" i="13"/>
  <c r="FV31" i="13"/>
  <c r="GW31" i="13"/>
  <c r="DG31" i="13"/>
  <c r="BU31" i="13"/>
  <c r="FL31" i="13"/>
  <c r="BJ31" i="13"/>
  <c r="GG31" i="13"/>
  <c r="IH31" i="13"/>
  <c r="D31" i="13"/>
  <c r="CZ31" i="13"/>
  <c r="GM31" i="13"/>
  <c r="HA31" i="13"/>
  <c r="V31" i="13"/>
  <c r="BV31" i="13"/>
  <c r="IJ31" i="13"/>
  <c r="HQ31" i="13"/>
  <c r="FM31" i="13"/>
  <c r="IA31" i="13"/>
  <c r="GC31" i="13"/>
  <c r="FN31" i="13"/>
  <c r="EO31" i="13"/>
  <c r="M31" i="13"/>
  <c r="EJ31" i="13"/>
  <c r="HK31" i="13"/>
  <c r="AL31" i="13"/>
  <c r="FJ31" i="13"/>
  <c r="EF31" i="13"/>
  <c r="GO31" i="13"/>
  <c r="GQ31" i="13"/>
  <c r="DM31" i="13"/>
  <c r="EC31" i="13"/>
  <c r="EB31" i="13"/>
  <c r="G31" i="13"/>
  <c r="FQ31" i="13"/>
  <c r="AA31" i="13"/>
  <c r="FB31" i="13"/>
  <c r="HL31" i="13"/>
  <c r="BR31" i="13"/>
  <c r="DC31" i="13"/>
  <c r="IC31" i="13"/>
  <c r="J31" i="13"/>
  <c r="EE31" i="13"/>
  <c r="CL31" i="13"/>
  <c r="IQ31" i="13"/>
  <c r="FS31" i="13"/>
  <c r="DT31" i="13"/>
  <c r="L31" i="13"/>
  <c r="AN31" i="13"/>
  <c r="IE31" i="13"/>
  <c r="IK31" i="13"/>
  <c r="DE31" i="13"/>
  <c r="BC31" i="13"/>
  <c r="ID31" i="13"/>
  <c r="AK31" i="13"/>
  <c r="BK31" i="13"/>
  <c r="FF31" i="13"/>
  <c r="Y31" i="13"/>
  <c r="BD31" i="13"/>
  <c r="CN31" i="13"/>
  <c r="CB31" i="13"/>
  <c r="DS31" i="13"/>
  <c r="AY31" i="13"/>
  <c r="DQ31" i="13"/>
  <c r="DO31" i="13"/>
  <c r="HW31" i="13"/>
  <c r="BE31" i="13"/>
  <c r="GH31" i="13"/>
  <c r="IR31" i="13"/>
  <c r="Z31" i="13"/>
  <c r="GZ31" i="13"/>
  <c r="BM31" i="13"/>
  <c r="DN31" i="13"/>
  <c r="HZ31" i="13"/>
  <c r="FH31" i="13"/>
  <c r="CW31" i="13"/>
  <c r="BI31" i="13"/>
  <c r="IB31" i="13"/>
  <c r="DB31" i="13"/>
  <c r="EV31" i="13"/>
  <c r="GX31" i="13"/>
  <c r="CD31" i="13"/>
  <c r="HJ31" i="13"/>
  <c r="DK31" i="13"/>
  <c r="EH31" i="13"/>
  <c r="AT31" i="13"/>
  <c r="AH31" i="13"/>
  <c r="BG31" i="13"/>
  <c r="FZ31" i="13"/>
  <c r="ET31" i="13"/>
  <c r="GU31" i="13"/>
  <c r="CM31" i="13"/>
  <c r="FE31" i="13"/>
  <c r="AI31" i="13"/>
  <c r="GB31" i="13"/>
  <c r="I31" i="13"/>
  <c r="IO31" i="13"/>
  <c r="HF31" i="13"/>
  <c r="EM31" i="13"/>
  <c r="CU31" i="13"/>
  <c r="FU31" i="13"/>
  <c r="GE49" i="13"/>
  <c r="ID6" i="13"/>
  <c r="FW51" i="13"/>
  <c r="BD14" i="13"/>
  <c r="FQ45" i="13"/>
  <c r="CT13" i="13"/>
  <c r="BD13" i="13"/>
  <c r="GZ24" i="13"/>
  <c r="DX19" i="13"/>
  <c r="HO29" i="13"/>
  <c r="EN28" i="13"/>
  <c r="HK42" i="13"/>
  <c r="HL23" i="13"/>
  <c r="O34" i="13"/>
  <c r="GK32" i="13"/>
  <c r="AU36" i="13"/>
  <c r="AV17" i="13"/>
  <c r="ID44" i="13"/>
  <c r="FJ13" i="13"/>
  <c r="EF10" i="13"/>
  <c r="FM26" i="13"/>
  <c r="HQ8" i="13"/>
  <c r="EK40" i="13"/>
  <c r="IC5" i="13"/>
  <c r="BT46" i="13"/>
  <c r="FY11" i="13"/>
  <c r="AR51" i="13"/>
  <c r="GW46" i="13"/>
  <c r="BQ4" i="13"/>
  <c r="AV49" i="13"/>
  <c r="EH8" i="13"/>
  <c r="AF13" i="13"/>
  <c r="DJ27" i="13"/>
  <c r="BD34" i="13"/>
  <c r="IC53" i="13"/>
  <c r="DC5" i="13"/>
  <c r="ER31" i="13"/>
  <c r="AO24" i="13"/>
  <c r="CC38" i="13"/>
  <c r="CQ12" i="13"/>
  <c r="FN11" i="13"/>
  <c r="FJ22" i="13"/>
  <c r="DP37" i="13"/>
  <c r="CS38" i="13"/>
  <c r="HG52" i="13"/>
  <c r="V20" i="13"/>
  <c r="DK32" i="13"/>
  <c r="BG12" i="13"/>
  <c r="FM9" i="13"/>
  <c r="CH7" i="13"/>
  <c r="DA5" i="13"/>
  <c r="CG13" i="13"/>
  <c r="U13" i="13"/>
  <c r="FR10" i="13"/>
  <c r="HS34" i="13"/>
  <c r="ES33" i="13"/>
  <c r="FM41" i="13"/>
  <c r="FS23" i="13"/>
  <c r="CW42" i="13"/>
  <c r="HA10" i="13"/>
  <c r="ID37" i="13"/>
  <c r="HA37" i="13"/>
  <c r="C6" i="13"/>
  <c r="CO23" i="13"/>
  <c r="F50" i="13"/>
  <c r="GR47" i="13"/>
  <c r="BM33" i="13"/>
  <c r="CW21" i="13"/>
  <c r="CD52" i="13"/>
  <c r="DG16" i="13"/>
  <c r="AX5" i="13"/>
  <c r="BW16" i="13"/>
  <c r="EJ35" i="13"/>
  <c r="AO18" i="13"/>
  <c r="EQ15" i="13"/>
  <c r="DV17" i="13"/>
  <c r="BJ18" i="13"/>
  <c r="ER19" i="13"/>
  <c r="HB22" i="13"/>
  <c r="CK22" i="13"/>
  <c r="II29" i="13"/>
  <c r="DB40" i="13"/>
  <c r="IE32" i="13"/>
  <c r="FD49" i="13"/>
  <c r="GL24" i="13"/>
  <c r="IJ33" i="13"/>
  <c r="BI43" i="13"/>
  <c r="BV11" i="13"/>
  <c r="HP9" i="13"/>
  <c r="FO38" i="13"/>
  <c r="EX42" i="13"/>
  <c r="EH11" i="13"/>
  <c r="DZ40" i="13"/>
  <c r="DF20" i="13"/>
  <c r="CN34" i="13"/>
  <c r="DT53" i="13"/>
  <c r="AM36" i="13"/>
  <c r="O5" i="13"/>
  <c r="DK37" i="13"/>
  <c r="IH46" i="13"/>
  <c r="EP6" i="13"/>
  <c r="AJ18" i="13"/>
  <c r="IN13" i="13"/>
  <c r="AF32" i="13"/>
  <c r="CP14" i="13"/>
  <c r="HJ35" i="13"/>
  <c r="HQ13" i="13"/>
  <c r="BJ44" i="13"/>
  <c r="P31" i="13"/>
  <c r="EP46" i="13"/>
  <c r="BR20" i="13"/>
  <c r="EC22" i="13"/>
  <c r="EY40" i="13"/>
  <c r="CT8" i="13"/>
  <c r="AC20" i="13"/>
  <c r="GI11" i="13"/>
  <c r="L8" i="13"/>
  <c r="BY43" i="13"/>
  <c r="GR43" i="13"/>
  <c r="GN8" i="13"/>
  <c r="BU11" i="13"/>
  <c r="ER25" i="13"/>
  <c r="EL40" i="13"/>
  <c r="CR50" i="13"/>
  <c r="DV47" i="13"/>
  <c r="FW9" i="13"/>
  <c r="S31" i="13"/>
  <c r="HI52" i="13"/>
  <c r="DV9" i="13"/>
  <c r="GF10" i="13"/>
  <c r="DJ6" i="13"/>
  <c r="AP29" i="13"/>
  <c r="FL21" i="13"/>
  <c r="BM34" i="13"/>
  <c r="N16" i="13"/>
  <c r="AU26" i="13"/>
  <c r="AX17" i="13"/>
  <c r="DV32" i="13"/>
  <c r="DJ12" i="13"/>
  <c r="GV24" i="13"/>
  <c r="BO45" i="13"/>
  <c r="GC43" i="13"/>
  <c r="FU27" i="13"/>
  <c r="EU40" i="13"/>
  <c r="IA17" i="13"/>
  <c r="AS4" i="13"/>
  <c r="BC53" i="13"/>
  <c r="EC17" i="13"/>
  <c r="CP51" i="13"/>
  <c r="AJ47" i="13"/>
  <c r="DO39" i="13"/>
  <c r="CT9" i="13"/>
  <c r="AI10" i="13"/>
  <c r="FC15" i="13"/>
  <c r="GB34" i="13"/>
  <c r="FX12" i="13"/>
  <c r="CT17" i="13"/>
  <c r="AD34" i="13"/>
  <c r="BM46" i="13"/>
  <c r="FX27" i="13"/>
  <c r="Y21" i="13"/>
  <c r="AZ27" i="13"/>
  <c r="AY48" i="13"/>
  <c r="BR13" i="13"/>
  <c r="IC51" i="13"/>
  <c r="HW10" i="13"/>
  <c r="DF28" i="13"/>
  <c r="FQ47" i="13"/>
  <c r="GS12" i="13"/>
  <c r="FZ40" i="13"/>
  <c r="X17" i="13"/>
  <c r="HR53" i="13"/>
  <c r="EB49" i="13"/>
  <c r="GB22" i="13"/>
  <c r="FW28" i="13"/>
  <c r="GS9" i="13"/>
  <c r="IC24" i="13"/>
  <c r="HI45" i="13"/>
  <c r="DO25" i="13"/>
  <c r="FK52" i="13"/>
  <c r="FA53" i="13"/>
  <c r="FZ10" i="13"/>
  <c r="DQ52" i="13"/>
  <c r="DG10" i="13"/>
  <c r="DW5" i="13"/>
  <c r="HY7" i="13"/>
  <c r="FY37" i="13"/>
  <c r="GB28" i="13"/>
  <c r="BE45" i="13"/>
  <c r="EU18" i="13"/>
  <c r="FS27" i="13"/>
  <c r="DW4" i="13"/>
  <c r="F30" i="13"/>
  <c r="GA38" i="13"/>
  <c r="HX35" i="13"/>
  <c r="ER16" i="13"/>
  <c r="CO33" i="13"/>
  <c r="BO48" i="13"/>
  <c r="AP51" i="13"/>
  <c r="HJ6" i="13"/>
  <c r="FQ27" i="13"/>
  <c r="DS11" i="13"/>
  <c r="BU52" i="13"/>
  <c r="BV46" i="13"/>
  <c r="HB16" i="13"/>
  <c r="GC10" i="13"/>
  <c r="HF14" i="13"/>
  <c r="HF4" i="13"/>
  <c r="BV53" i="13"/>
  <c r="ET7" i="13"/>
  <c r="CG18" i="13"/>
  <c r="HW42" i="13"/>
  <c r="CB46" i="13"/>
  <c r="EE41" i="13"/>
  <c r="BF11" i="13"/>
  <c r="EM43" i="13"/>
  <c r="AH7" i="13"/>
  <c r="Z17" i="13"/>
  <c r="GK31" i="13"/>
  <c r="BU41" i="13"/>
  <c r="GQ22" i="13"/>
  <c r="CP18" i="13"/>
  <c r="BX43" i="13"/>
  <c r="BO22" i="13"/>
  <c r="GT43" i="13"/>
  <c r="BV27" i="13"/>
  <c r="AF28" i="13"/>
  <c r="GF23" i="13"/>
  <c r="BW30" i="13"/>
  <c r="II5" i="13"/>
  <c r="HT45" i="13"/>
  <c r="CE9" i="13"/>
  <c r="DR11" i="13"/>
  <c r="DL40" i="13"/>
  <c r="AM53" i="13"/>
  <c r="EY11" i="13"/>
  <c r="AW14" i="13"/>
  <c r="FT47" i="13"/>
  <c r="FL25" i="13"/>
  <c r="HG29" i="13"/>
  <c r="BU39" i="13"/>
  <c r="IR18" i="13"/>
  <c r="IN47" i="13"/>
  <c r="GU28" i="13"/>
  <c r="EZ10" i="13"/>
  <c r="O31" i="13"/>
  <c r="CT16" i="13"/>
  <c r="BC50" i="13"/>
  <c r="HC45" i="13"/>
  <c r="HT34" i="13"/>
  <c r="H9" i="13"/>
  <c r="BZ8" i="13"/>
  <c r="DD32" i="13"/>
  <c r="II32" i="13"/>
  <c r="HJ49" i="13"/>
  <c r="AV43" i="13"/>
  <c r="DY25" i="13"/>
  <c r="EN9" i="13"/>
  <c r="HR37" i="13"/>
  <c r="GR5" i="13"/>
  <c r="FT25" i="13"/>
  <c r="DH15" i="13"/>
  <c r="BI5" i="13"/>
  <c r="AJ11" i="13"/>
  <c r="DB26" i="13"/>
  <c r="IE29" i="13"/>
  <c r="HB6" i="13"/>
  <c r="EA11" i="13"/>
  <c r="CD7" i="13"/>
  <c r="AP31" i="13"/>
  <c r="CG20" i="13"/>
  <c r="Y23" i="13"/>
  <c r="DX20" i="13"/>
  <c r="GS29" i="13"/>
  <c r="BB45" i="13"/>
  <c r="FA13" i="13"/>
  <c r="IA34" i="13"/>
  <c r="AR16" i="13"/>
  <c r="F22" i="13"/>
  <c r="IB47" i="13"/>
  <c r="FP17" i="13"/>
  <c r="GW36" i="13"/>
  <c r="EV36" i="13"/>
  <c r="DJ8" i="13"/>
  <c r="IE6" i="13"/>
  <c r="D7" i="13"/>
  <c r="BS10" i="13"/>
  <c r="EE4" i="13"/>
  <c r="BR35" i="13"/>
  <c r="EM35" i="13"/>
  <c r="GD11" i="13"/>
  <c r="HO24" i="13"/>
  <c r="DW15" i="13"/>
  <c r="T26" i="13"/>
  <c r="BD45" i="13"/>
  <c r="AL26" i="13"/>
  <c r="GY12" i="13"/>
  <c r="EJ50" i="13"/>
  <c r="BG15" i="13"/>
  <c r="CC19" i="13"/>
  <c r="M4" i="13"/>
  <c r="IF44" i="13"/>
  <c r="II45" i="13"/>
  <c r="CL33" i="13"/>
  <c r="AY14" i="13"/>
  <c r="CP39" i="13"/>
  <c r="GI38" i="13"/>
  <c r="AC24" i="13"/>
  <c r="CU53" i="13"/>
  <c r="HG26" i="13"/>
  <c r="HL43" i="13"/>
  <c r="HL8" i="13"/>
  <c r="FG13" i="13"/>
  <c r="CB12" i="13"/>
  <c r="GQ34" i="13"/>
  <c r="GD17" i="13"/>
  <c r="DL39" i="13"/>
  <c r="FW6" i="13"/>
  <c r="HZ11" i="13"/>
  <c r="HC33" i="13"/>
  <c r="BX21" i="13"/>
  <c r="AM40" i="13"/>
  <c r="BX11" i="13"/>
  <c r="FG23" i="13"/>
  <c r="CY6" i="13"/>
  <c r="AF17" i="13"/>
  <c r="CB19" i="13"/>
  <c r="IG21" i="13"/>
  <c r="AW28" i="13"/>
  <c r="EG41" i="13"/>
  <c r="HI9" i="13"/>
  <c r="FO19" i="13"/>
  <c r="P30" i="13"/>
  <c r="AO5" i="13"/>
  <c r="BQ48" i="13"/>
  <c r="FO41" i="13"/>
  <c r="CU13" i="13"/>
  <c r="AO34" i="13"/>
  <c r="N7" i="13"/>
  <c r="HE50" i="13"/>
  <c r="BD35" i="13"/>
  <c r="EC13" i="13"/>
  <c r="BP8" i="13"/>
  <c r="CL22" i="13"/>
  <c r="BJ36" i="13"/>
  <c r="IM25" i="13"/>
  <c r="HZ7" i="13"/>
  <c r="AS5" i="13"/>
  <c r="FR19" i="13"/>
  <c r="FU24" i="13"/>
  <c r="BZ45" i="13"/>
  <c r="EP11" i="13"/>
  <c r="G13" i="13"/>
  <c r="GX14" i="13"/>
  <c r="BT42" i="13"/>
  <c r="DZ28" i="13"/>
  <c r="FD43" i="13"/>
  <c r="FW10" i="13"/>
  <c r="D34" i="13"/>
  <c r="CN8" i="13"/>
  <c r="BP11" i="13"/>
  <c r="DF31" i="13"/>
  <c r="IL52" i="13"/>
  <c r="HM37" i="13"/>
  <c r="DY7" i="13"/>
  <c r="GH39" i="13"/>
  <c r="FK11" i="13"/>
  <c r="EU19" i="13"/>
  <c r="HR49" i="13"/>
  <c r="AB5" i="13"/>
  <c r="AS9" i="13"/>
  <c r="CN50" i="13"/>
  <c r="BI22" i="13"/>
  <c r="HT8" i="13"/>
  <c r="GZ6" i="13"/>
  <c r="HX34" i="13"/>
  <c r="BG24" i="13"/>
  <c r="BR52" i="13"/>
  <c r="GU9" i="13"/>
  <c r="GS16" i="13"/>
  <c r="HW6" i="13"/>
  <c r="FL46" i="13"/>
  <c r="IQ5" i="13"/>
  <c r="AQ31" i="13"/>
  <c r="CN38" i="13"/>
  <c r="CH36" i="13"/>
  <c r="BS15" i="13"/>
  <c r="GM38" i="13"/>
  <c r="IQ12" i="13"/>
  <c r="BS16" i="13"/>
  <c r="DR30" i="13"/>
  <c r="BE8" i="13"/>
  <c r="Z21" i="13"/>
  <c r="BK23" i="13"/>
  <c r="EM53" i="13"/>
  <c r="FJ12" i="13"/>
  <c r="DZ38" i="13"/>
  <c r="H35" i="13"/>
  <c r="EE44" i="13"/>
  <c r="CZ32" i="13"/>
  <c r="IG46" i="13"/>
  <c r="CB25" i="13"/>
  <c r="CT10" i="13"/>
  <c r="DO9" i="13"/>
  <c r="HG12" i="13"/>
  <c r="GE11" i="13"/>
  <c r="EB10" i="13"/>
  <c r="ER41" i="13"/>
  <c r="M8" i="13"/>
  <c r="BX47" i="13"/>
  <c r="AK45" i="13"/>
  <c r="HU28" i="13"/>
  <c r="AY12" i="13"/>
  <c r="DU44" i="13"/>
  <c r="DP26" i="13"/>
  <c r="IN43" i="13"/>
  <c r="FF18" i="13"/>
  <c r="CR51" i="13"/>
  <c r="EK28" i="13"/>
  <c r="AY28" i="13"/>
  <c r="BU46" i="13"/>
  <c r="FD23" i="13"/>
  <c r="HJ24" i="13"/>
  <c r="DN18" i="13"/>
  <c r="HH9" i="13"/>
  <c r="FS44" i="13"/>
  <c r="BL45" i="13"/>
  <c r="AM42" i="13"/>
  <c r="DJ28" i="13"/>
  <c r="DC11" i="13"/>
  <c r="IJ7" i="13"/>
  <c r="EO35" i="13"/>
  <c r="R35" i="13"/>
  <c r="HT35" i="13"/>
  <c r="AL35" i="13"/>
  <c r="HL35" i="13"/>
  <c r="HD35" i="13"/>
  <c r="DM35" i="13"/>
  <c r="BW35" i="13"/>
  <c r="AQ35" i="13"/>
  <c r="GH35" i="13"/>
  <c r="AM35" i="13"/>
  <c r="GT35" i="13"/>
  <c r="GV35" i="13"/>
  <c r="AU35" i="13"/>
  <c r="IM35" i="13"/>
  <c r="BA35" i="13"/>
  <c r="DU35" i="13"/>
  <c r="GC35" i="13"/>
  <c r="CV35" i="13"/>
  <c r="E35" i="13"/>
  <c r="EW35" i="13"/>
  <c r="GE35" i="13"/>
  <c r="FE35" i="13"/>
  <c r="DK35" i="13"/>
  <c r="FO35" i="13"/>
  <c r="DG35" i="13"/>
  <c r="GU35" i="13"/>
  <c r="EE35" i="13"/>
  <c r="FB35" i="13"/>
  <c r="BU35" i="13"/>
  <c r="IA35" i="13"/>
  <c r="DH35" i="13"/>
  <c r="DS35" i="13"/>
  <c r="IQ35" i="13"/>
  <c r="CC35" i="13"/>
  <c r="AN35" i="13"/>
  <c r="FI35" i="13"/>
  <c r="BO35" i="13"/>
  <c r="BY35" i="13"/>
  <c r="BM35" i="13"/>
  <c r="L35" i="13"/>
  <c r="FA35" i="13"/>
  <c r="HO35" i="13"/>
  <c r="BF35" i="13"/>
  <c r="AC35" i="13"/>
  <c r="DR35" i="13"/>
  <c r="FX35" i="13"/>
  <c r="FJ35" i="13"/>
  <c r="CM35" i="13"/>
  <c r="HY35" i="13"/>
  <c r="FD35" i="13"/>
  <c r="CN35" i="13"/>
  <c r="CX35" i="13"/>
  <c r="FY35" i="13"/>
  <c r="CT35" i="13"/>
  <c r="K35" i="13"/>
  <c r="AZ35" i="13"/>
  <c r="EC35" i="13"/>
  <c r="CL35" i="13"/>
  <c r="AP35" i="13"/>
  <c r="IB35" i="13"/>
  <c r="AT35" i="13"/>
  <c r="DN35" i="13"/>
  <c r="M35" i="13"/>
  <c r="AE35" i="13"/>
  <c r="GS35" i="13"/>
  <c r="GL35" i="13"/>
  <c r="GG35" i="13"/>
  <c r="BK35" i="13"/>
  <c r="AV35" i="13"/>
  <c r="GP35" i="13"/>
  <c r="GX35" i="13"/>
  <c r="GK35" i="13"/>
  <c r="FQ35" i="13"/>
  <c r="V35" i="13"/>
  <c r="DT35" i="13"/>
  <c r="FM35" i="13"/>
  <c r="HB35" i="13"/>
  <c r="DE35" i="13"/>
  <c r="CO35" i="13"/>
  <c r="Y35" i="13"/>
  <c r="DA35" i="13"/>
  <c r="AO35" i="13"/>
  <c r="GO35" i="13"/>
  <c r="HU35" i="13"/>
  <c r="BJ35" i="13"/>
  <c r="CB35" i="13"/>
  <c r="FV35" i="13"/>
  <c r="AB35" i="13"/>
  <c r="BQ35" i="13"/>
  <c r="BV35" i="13"/>
  <c r="BE35" i="13"/>
  <c r="HA35" i="13"/>
  <c r="N35" i="13"/>
  <c r="F35" i="13"/>
  <c r="DF35" i="13"/>
  <c r="CG35" i="13"/>
  <c r="FL35" i="13"/>
  <c r="I35" i="13"/>
  <c r="DJ35" i="13"/>
  <c r="BI35" i="13"/>
  <c r="HG35" i="13"/>
  <c r="HN35" i="13"/>
  <c r="FK35" i="13"/>
  <c r="EG35" i="13"/>
  <c r="ID35" i="13"/>
  <c r="AG35" i="13"/>
  <c r="AR35" i="13"/>
  <c r="BH35" i="13"/>
  <c r="J35" i="13"/>
  <c r="EY35" i="13"/>
  <c r="GF35" i="13"/>
  <c r="IR35" i="13"/>
  <c r="EX35" i="13"/>
  <c r="CF35" i="13"/>
  <c r="FR35" i="13"/>
  <c r="BG35" i="13"/>
  <c r="HK35" i="13"/>
  <c r="HZ35" i="13"/>
  <c r="FZ35" i="13"/>
  <c r="EA35" i="13"/>
  <c r="CW35" i="13"/>
  <c r="BZ35" i="13"/>
  <c r="GD35" i="13"/>
  <c r="EF35" i="13"/>
  <c r="ER35" i="13"/>
  <c r="AW35" i="13"/>
  <c r="DO35" i="13"/>
  <c r="BX35" i="13"/>
  <c r="FT35" i="13"/>
  <c r="ET35" i="13"/>
  <c r="CH35" i="13"/>
  <c r="FH35" i="13"/>
  <c r="IJ35" i="13"/>
  <c r="DL35" i="13"/>
  <c r="EN35" i="13"/>
  <c r="AA35" i="13"/>
  <c r="AI35" i="13"/>
  <c r="EL35" i="13"/>
  <c r="EH35" i="13"/>
  <c r="CP35" i="13"/>
  <c r="DD35" i="13"/>
  <c r="BP35" i="13"/>
  <c r="EK35" i="13"/>
  <c r="AY35" i="13"/>
  <c r="U35" i="13"/>
  <c r="Z35" i="13"/>
  <c r="CZ35" i="13"/>
  <c r="EU35" i="13"/>
  <c r="FG35" i="13"/>
  <c r="BN35" i="13"/>
  <c r="DI35" i="13"/>
  <c r="IO35" i="13"/>
  <c r="BC35" i="13"/>
  <c r="BS35" i="13"/>
  <c r="P35" i="13"/>
  <c r="HE35" i="13"/>
  <c r="GI35" i="13"/>
  <c r="HI35" i="13"/>
  <c r="EP35" i="13"/>
  <c r="FB9" i="13"/>
  <c r="DD7" i="13"/>
  <c r="AI9" i="13"/>
  <c r="GV9" i="13"/>
  <c r="GH51" i="13"/>
  <c r="EB7" i="13"/>
  <c r="FW4" i="13"/>
  <c r="X4" i="13"/>
  <c r="GM4" i="13"/>
  <c r="FN4" i="13"/>
  <c r="AQ4" i="13"/>
  <c r="CB4" i="13"/>
  <c r="FH4" i="13"/>
  <c r="DT4" i="13"/>
  <c r="GI4" i="13"/>
  <c r="DY4" i="13"/>
  <c r="HO4" i="13"/>
  <c r="BO4" i="13"/>
  <c r="AF4" i="13"/>
  <c r="CI4" i="13"/>
  <c r="EO4" i="13"/>
  <c r="CM4" i="13"/>
  <c r="II4" i="13"/>
  <c r="HK4" i="13"/>
  <c r="Z4" i="13"/>
  <c r="GA4" i="13"/>
  <c r="CT4" i="13"/>
  <c r="GE4" i="13"/>
  <c r="BJ4" i="13"/>
  <c r="BX4" i="13"/>
  <c r="CN4" i="13"/>
  <c r="DJ4" i="13"/>
  <c r="HY4" i="13"/>
  <c r="FL4" i="13"/>
  <c r="DX4" i="13"/>
  <c r="EG4" i="13"/>
  <c r="CD4" i="13"/>
  <c r="GV4" i="13"/>
  <c r="AA4" i="13"/>
  <c r="GU4" i="13"/>
  <c r="EI4" i="13"/>
  <c r="IF4" i="13"/>
  <c r="DV4" i="13"/>
  <c r="DE4" i="13"/>
  <c r="CR4" i="13"/>
  <c r="AX4" i="13"/>
  <c r="DF4" i="13"/>
  <c r="HG4" i="13"/>
  <c r="BU4" i="13"/>
  <c r="GK4" i="13"/>
  <c r="BE4" i="13"/>
  <c r="BS4" i="13"/>
  <c r="AT4" i="13"/>
  <c r="G4" i="13"/>
  <c r="ES4" i="13"/>
  <c r="HB4" i="13"/>
  <c r="FY4" i="13"/>
  <c r="GD4" i="13"/>
  <c r="FS4" i="13"/>
  <c r="HQ4" i="13"/>
  <c r="GN4" i="13"/>
  <c r="DQ4" i="13"/>
  <c r="DZ4" i="13"/>
  <c r="DG4" i="13"/>
  <c r="BC4" i="13"/>
  <c r="AN4" i="13"/>
  <c r="DR4" i="13"/>
  <c r="HR4" i="13"/>
  <c r="HD4" i="13"/>
  <c r="V4" i="13"/>
  <c r="CP4" i="13"/>
  <c r="BN4" i="13"/>
  <c r="HC4" i="13"/>
  <c r="DD4" i="13"/>
  <c r="HH4" i="13"/>
  <c r="U4" i="13"/>
  <c r="AO4" i="13"/>
  <c r="GQ4" i="13"/>
  <c r="EX4" i="13"/>
  <c r="AK4" i="13"/>
  <c r="GR4" i="13"/>
  <c r="P4" i="13"/>
  <c r="CH4" i="13"/>
  <c r="CJ4" i="13"/>
  <c r="AV4" i="13"/>
  <c r="GS4" i="13"/>
  <c r="FB4" i="13"/>
  <c r="BF4" i="13"/>
  <c r="CS4" i="13"/>
  <c r="BR4" i="13"/>
  <c r="BI4" i="13"/>
  <c r="EC4" i="13"/>
  <c r="GC4" i="13"/>
  <c r="GZ4" i="13"/>
  <c r="AR4" i="13"/>
  <c r="Q4" i="13"/>
  <c r="HW4" i="13"/>
  <c r="EB4" i="13"/>
  <c r="HX4" i="13"/>
  <c r="EY4" i="13"/>
  <c r="K4" i="13"/>
  <c r="GT4" i="13"/>
  <c r="AG4" i="13"/>
  <c r="IB4" i="13"/>
  <c r="IQ4" i="13"/>
  <c r="FV4" i="13"/>
  <c r="HZ4" i="13"/>
  <c r="BL4" i="13"/>
  <c r="GO4" i="13"/>
  <c r="EU4" i="13"/>
  <c r="EN4" i="13"/>
  <c r="BT4" i="13"/>
  <c r="BG4" i="13"/>
  <c r="IR4" i="13"/>
  <c r="FI4" i="13"/>
  <c r="FZ4" i="13"/>
  <c r="E4" i="13"/>
  <c r="HM4" i="13"/>
  <c r="EV4" i="13"/>
  <c r="AY4" i="13"/>
  <c r="GF4" i="13"/>
  <c r="EH4" i="13"/>
  <c r="DM4" i="13"/>
  <c r="EF4" i="13"/>
  <c r="AP4" i="13"/>
  <c r="ID4" i="13"/>
  <c r="CZ4" i="13"/>
  <c r="ED4" i="13"/>
  <c r="EK4" i="13"/>
  <c r="BP4" i="13"/>
  <c r="D4" i="13"/>
  <c r="EW4" i="13"/>
  <c r="EM4" i="13"/>
  <c r="CK4" i="13"/>
  <c r="BH4" i="13"/>
  <c r="IE4" i="13"/>
  <c r="N4" i="13"/>
  <c r="W4" i="13"/>
  <c r="IM4" i="13"/>
  <c r="AZ4" i="13"/>
  <c r="R4" i="13"/>
  <c r="IN4" i="13"/>
  <c r="FE4" i="13"/>
  <c r="CX4" i="13"/>
  <c r="DP4" i="13"/>
  <c r="HN4" i="13"/>
  <c r="CG4" i="13"/>
  <c r="FC4" i="13"/>
  <c r="FF4" i="13"/>
  <c r="BA4" i="13"/>
  <c r="EJ4" i="13"/>
  <c r="DK4" i="13"/>
  <c r="GP4" i="13"/>
  <c r="AE4" i="13"/>
  <c r="BY4" i="13"/>
  <c r="FP4" i="13"/>
  <c r="DN4" i="13"/>
  <c r="IO4" i="13"/>
  <c r="IC4" i="13"/>
  <c r="ET4" i="13"/>
  <c r="AU4" i="13"/>
  <c r="FM4" i="13"/>
  <c r="CW4" i="13"/>
  <c r="BD4" i="13"/>
  <c r="HP4" i="13"/>
  <c r="AM4" i="13"/>
  <c r="Y4" i="13"/>
  <c r="AL4" i="13"/>
  <c r="AJ4" i="13"/>
  <c r="GL4" i="13"/>
  <c r="CO4" i="13"/>
  <c r="FA4" i="13"/>
  <c r="ER4" i="13"/>
  <c r="IJ4" i="13"/>
  <c r="HE4" i="13"/>
  <c r="AH4" i="13"/>
  <c r="CL4" i="13"/>
  <c r="DS4" i="13"/>
  <c r="GX4" i="13"/>
  <c r="L4" i="13"/>
  <c r="AB4" i="13"/>
  <c r="IA4" i="13"/>
  <c r="F4" i="13"/>
  <c r="S4" i="13"/>
  <c r="HT4" i="13"/>
  <c r="FU4" i="13"/>
  <c r="H4" i="13"/>
  <c r="DH4" i="13"/>
  <c r="HL4" i="13"/>
  <c r="FX4" i="13"/>
  <c r="GW4" i="13"/>
  <c r="CF4" i="13"/>
  <c r="EA4" i="13"/>
  <c r="BW4" i="13"/>
  <c r="IG4" i="13"/>
  <c r="HR20" i="13"/>
  <c r="EN20" i="13"/>
  <c r="AV20" i="13"/>
  <c r="EZ20" i="13"/>
  <c r="FK20" i="13"/>
  <c r="X20" i="13"/>
  <c r="L20" i="13"/>
  <c r="BZ20" i="13"/>
  <c r="FR20" i="13"/>
  <c r="EL20" i="13"/>
  <c r="CR20" i="13"/>
  <c r="DE20" i="13"/>
  <c r="HL20" i="13"/>
  <c r="EC20" i="13"/>
  <c r="CZ20" i="13"/>
  <c r="AM20" i="13"/>
  <c r="GK20" i="13"/>
  <c r="AO20" i="13"/>
  <c r="BW20" i="13"/>
  <c r="BO20" i="13"/>
  <c r="FH20" i="13"/>
  <c r="EW20" i="13"/>
  <c r="DR20" i="13"/>
  <c r="IB20" i="13"/>
  <c r="IG20" i="13"/>
  <c r="EE20" i="13"/>
  <c r="CU20" i="13"/>
  <c r="FI20" i="13"/>
  <c r="FD20" i="13"/>
  <c r="C20" i="13"/>
  <c r="CL20" i="13"/>
  <c r="HO20" i="13"/>
  <c r="AB20" i="13"/>
  <c r="GU20" i="13"/>
  <c r="EU20" i="13"/>
  <c r="AK20" i="13"/>
  <c r="DV20" i="13"/>
  <c r="EF20" i="13"/>
  <c r="ED20" i="13"/>
  <c r="GE20" i="13"/>
  <c r="AN20" i="13"/>
  <c r="DG20" i="13"/>
  <c r="HZ20" i="13"/>
  <c r="DD20" i="13"/>
  <c r="O20" i="13"/>
  <c r="DU20" i="13"/>
  <c r="DA20" i="13"/>
  <c r="FU20" i="13"/>
  <c r="GW20" i="13"/>
  <c r="DH20" i="13"/>
  <c r="AI20" i="13"/>
  <c r="GN20" i="13"/>
  <c r="W20" i="13"/>
  <c r="BY20" i="13"/>
  <c r="FY20" i="13"/>
  <c r="HM20" i="13"/>
  <c r="GC20" i="13"/>
  <c r="II20" i="13"/>
  <c r="GY20" i="13"/>
  <c r="CW20" i="13"/>
  <c r="GR20" i="13"/>
  <c r="HY20" i="13"/>
  <c r="FN20" i="13"/>
  <c r="CY20" i="13"/>
  <c r="EB20" i="13"/>
  <c r="BN20" i="13"/>
  <c r="DZ20" i="13"/>
  <c r="GD20" i="13"/>
  <c r="FA20" i="13"/>
  <c r="IH20" i="13"/>
  <c r="GZ20" i="13"/>
  <c r="AJ20" i="13"/>
  <c r="ER20" i="13"/>
  <c r="CF20" i="13"/>
  <c r="EA20" i="13"/>
  <c r="IF20" i="13"/>
  <c r="HI20" i="13"/>
  <c r="IM20" i="13"/>
  <c r="AL20" i="13"/>
  <c r="E20" i="13"/>
  <c r="AP20" i="13"/>
  <c r="GF20" i="13"/>
  <c r="FE20" i="13"/>
  <c r="IE20" i="13"/>
  <c r="AA20" i="13"/>
  <c r="BH20" i="13"/>
  <c r="CB20" i="13"/>
  <c r="BA20" i="13"/>
  <c r="IL20" i="13"/>
  <c r="BJ20" i="13"/>
  <c r="EH20" i="13"/>
  <c r="IA20" i="13"/>
  <c r="EX20" i="13"/>
  <c r="DM20" i="13"/>
  <c r="R20" i="13"/>
  <c r="FW20" i="13"/>
  <c r="CK20" i="13"/>
  <c r="ES20" i="13"/>
  <c r="HU20" i="13"/>
  <c r="BS20" i="13"/>
  <c r="BX20" i="13"/>
  <c r="CT20" i="13"/>
  <c r="GG20" i="13"/>
  <c r="GA20" i="13"/>
  <c r="GM20" i="13"/>
  <c r="HT20" i="13"/>
  <c r="CV20" i="13"/>
  <c r="AW20" i="13"/>
  <c r="GH20" i="13"/>
  <c r="HH20" i="13"/>
  <c r="GL20" i="13"/>
  <c r="GB20" i="13"/>
  <c r="CX20" i="13"/>
  <c r="BK20" i="13"/>
  <c r="DN20" i="13"/>
  <c r="DI20" i="13"/>
  <c r="GQ20" i="13"/>
  <c r="FL20" i="13"/>
  <c r="BL20" i="13"/>
  <c r="AZ20" i="13"/>
  <c r="FP20" i="13"/>
  <c r="HN20" i="13"/>
  <c r="HQ20" i="13"/>
  <c r="N20" i="13"/>
  <c r="J20" i="13"/>
  <c r="FF20" i="13"/>
  <c r="FC20" i="13"/>
  <c r="AX20" i="13"/>
  <c r="IC20" i="13"/>
  <c r="H20" i="13"/>
  <c r="BD20" i="13"/>
  <c r="P20" i="13"/>
  <c r="FZ20" i="13"/>
  <c r="AR20" i="13"/>
  <c r="Y20" i="13"/>
  <c r="FG20" i="13"/>
  <c r="AS20" i="13"/>
  <c r="DO20" i="13"/>
  <c r="DW20" i="13"/>
  <c r="GT20" i="13"/>
  <c r="HC20" i="13"/>
  <c r="U20" i="13"/>
  <c r="CJ20" i="13"/>
  <c r="AE20" i="13"/>
  <c r="DY20" i="13"/>
  <c r="AQ20" i="13"/>
  <c r="GX20" i="13"/>
  <c r="CQ20" i="13"/>
  <c r="BQ20" i="13"/>
  <c r="HX20" i="13"/>
  <c r="CN20" i="13"/>
  <c r="FJ20" i="13"/>
  <c r="HA20" i="13"/>
  <c r="HW20" i="13"/>
  <c r="FQ20" i="13"/>
  <c r="IN20" i="13"/>
  <c r="I20" i="13"/>
  <c r="BU20" i="13"/>
  <c r="EM20" i="13"/>
  <c r="Q20" i="13"/>
  <c r="BI20" i="13"/>
  <c r="ET20" i="13"/>
  <c r="D20" i="13"/>
  <c r="EJ20" i="13"/>
  <c r="HB20" i="13"/>
  <c r="BF20" i="13"/>
  <c r="CM20" i="13"/>
  <c r="FS20" i="13"/>
  <c r="AY20" i="13"/>
  <c r="GS20" i="13"/>
  <c r="CS20" i="13"/>
  <c r="GV20" i="13"/>
  <c r="DP20" i="13"/>
  <c r="Y29" i="13"/>
  <c r="CR29" i="13"/>
  <c r="F29" i="13"/>
  <c r="HR29" i="13"/>
  <c r="EM29" i="13"/>
  <c r="HJ29" i="13"/>
  <c r="FX29" i="13"/>
  <c r="IO29" i="13"/>
  <c r="DX29" i="13"/>
  <c r="IH29" i="13"/>
  <c r="AQ29" i="13"/>
  <c r="BH29" i="13"/>
  <c r="HE29" i="13"/>
  <c r="CY29" i="13"/>
  <c r="GU29" i="13"/>
  <c r="BI29" i="13"/>
  <c r="IN29" i="13"/>
  <c r="DI29" i="13"/>
  <c r="EE29" i="13"/>
  <c r="IB29" i="13"/>
  <c r="CZ29" i="13"/>
  <c r="HP29" i="13"/>
  <c r="EP29" i="13"/>
  <c r="GZ29" i="13"/>
  <c r="ER29" i="13"/>
  <c r="EX29" i="13"/>
  <c r="EW29" i="13"/>
  <c r="GF29" i="13"/>
  <c r="GC29" i="13"/>
  <c r="BL29" i="13"/>
  <c r="CI29" i="13"/>
  <c r="L29" i="13"/>
  <c r="EC29" i="13"/>
  <c r="GA29" i="13"/>
  <c r="GG29" i="13"/>
  <c r="EO29" i="13"/>
  <c r="HB29" i="13"/>
  <c r="FC29" i="13"/>
  <c r="GK29" i="13"/>
  <c r="X29" i="13"/>
  <c r="FM29" i="13"/>
  <c r="BS29" i="13"/>
  <c r="FK29" i="13"/>
  <c r="GJ29" i="13"/>
  <c r="HX29" i="13"/>
  <c r="BA29" i="13"/>
  <c r="CF29" i="13"/>
  <c r="IR29" i="13"/>
  <c r="EB29" i="13"/>
  <c r="FT29" i="13"/>
  <c r="HF29" i="13"/>
  <c r="CG29" i="13"/>
  <c r="EI29" i="13"/>
  <c r="EG29" i="13"/>
  <c r="CB29" i="13"/>
  <c r="BW29" i="13"/>
  <c r="HL29" i="13"/>
  <c r="CO29" i="13"/>
  <c r="FN29" i="13"/>
  <c r="FG29" i="13"/>
  <c r="I29" i="13"/>
  <c r="AI29" i="13"/>
  <c r="V29" i="13"/>
  <c r="DW29" i="13"/>
  <c r="BO29" i="13"/>
  <c r="DF29" i="13"/>
  <c r="D29" i="13"/>
  <c r="AY29" i="13"/>
  <c r="EH29" i="13"/>
  <c r="C29" i="13"/>
  <c r="GH29" i="13"/>
  <c r="AS29" i="13"/>
  <c r="HS29" i="13"/>
  <c r="BQ29" i="13"/>
  <c r="DG29" i="13"/>
  <c r="AV29" i="13"/>
  <c r="O29" i="13"/>
  <c r="HY29" i="13"/>
  <c r="CJ29" i="13"/>
  <c r="EQ29" i="13"/>
  <c r="CS29" i="13"/>
  <c r="BF29" i="13"/>
  <c r="HT29" i="13"/>
  <c r="HQ29" i="13"/>
  <c r="FW29" i="13"/>
  <c r="DS29" i="13"/>
  <c r="IK29" i="13"/>
  <c r="DY29" i="13"/>
  <c r="FS29" i="13"/>
  <c r="DC29" i="13"/>
  <c r="EJ29" i="13"/>
  <c r="CM29" i="13"/>
  <c r="FP29" i="13"/>
  <c r="BG29" i="13"/>
  <c r="FH29" i="13"/>
  <c r="HV29" i="13"/>
  <c r="ES29" i="13"/>
  <c r="DD29" i="13"/>
  <c r="HN29" i="13"/>
  <c r="ET29" i="13"/>
  <c r="R29" i="13"/>
  <c r="CE29" i="13"/>
  <c r="AL29" i="13"/>
  <c r="BT29" i="13"/>
  <c r="AB29" i="13"/>
  <c r="AE29" i="13"/>
  <c r="DE29" i="13"/>
  <c r="IF29" i="13"/>
  <c r="DT29" i="13"/>
  <c r="AO29" i="13"/>
  <c r="W29" i="13"/>
  <c r="FF29" i="13"/>
  <c r="IJ29" i="13"/>
  <c r="S29" i="13"/>
  <c r="BK29" i="13"/>
  <c r="GI29" i="13"/>
  <c r="DJ29" i="13"/>
  <c r="AG29" i="13"/>
  <c r="BY29" i="13"/>
  <c r="EU29" i="13"/>
  <c r="CD29" i="13"/>
  <c r="DU29" i="13"/>
  <c r="AC29" i="13"/>
  <c r="P29" i="13"/>
  <c r="BM29" i="13"/>
  <c r="HH29" i="13"/>
  <c r="FB29" i="13"/>
  <c r="BU29" i="13"/>
  <c r="EV29" i="13"/>
  <c r="BZ29" i="13"/>
  <c r="DN29" i="13"/>
  <c r="AN29" i="13"/>
  <c r="GQ29" i="13"/>
  <c r="DH29" i="13"/>
  <c r="HD29" i="13"/>
  <c r="H29" i="13"/>
  <c r="FL29" i="13"/>
  <c r="AH29" i="13"/>
  <c r="IC29" i="13"/>
  <c r="DK29" i="13"/>
  <c r="FV29" i="13"/>
  <c r="ED29" i="13"/>
  <c r="EZ29" i="13"/>
  <c r="EN29" i="13"/>
  <c r="AW29" i="13"/>
  <c r="CW29" i="13"/>
  <c r="Q29" i="13"/>
  <c r="FJ29" i="13"/>
  <c r="AX29" i="13"/>
  <c r="EL29" i="13"/>
  <c r="EY29" i="13"/>
  <c r="CQ29" i="13"/>
  <c r="GN29" i="13"/>
  <c r="AA29" i="13"/>
  <c r="M29" i="13"/>
  <c r="CP29" i="13"/>
  <c r="AF29" i="13"/>
  <c r="FO29" i="13"/>
  <c r="GY29" i="13"/>
  <c r="GB29" i="13"/>
  <c r="HC29" i="13"/>
  <c r="DP29" i="13"/>
  <c r="GW29" i="13"/>
  <c r="DZ29" i="13"/>
  <c r="IG29" i="13"/>
  <c r="FA29" i="13"/>
  <c r="EK29" i="13"/>
  <c r="AD29" i="13"/>
  <c r="CC29" i="13"/>
  <c r="GR29" i="13"/>
  <c r="HU29" i="13"/>
  <c r="CU29" i="13"/>
  <c r="AM29" i="13"/>
  <c r="BB29" i="13"/>
  <c r="BX29" i="13"/>
  <c r="FU29" i="13"/>
  <c r="CX29" i="13"/>
  <c r="U29" i="13"/>
  <c r="GT29" i="13"/>
  <c r="CT29" i="13"/>
  <c r="FR29" i="13"/>
  <c r="CL29" i="13"/>
  <c r="N29" i="13"/>
  <c r="T29" i="13"/>
  <c r="HI29" i="13"/>
  <c r="HA29" i="13"/>
  <c r="AJ29" i="13"/>
  <c r="GO29" i="13"/>
  <c r="DV29" i="13"/>
  <c r="BR29" i="13"/>
  <c r="AU38" i="13"/>
  <c r="EQ38" i="13"/>
  <c r="GW38" i="13"/>
  <c r="FJ38" i="13"/>
  <c r="FU38" i="13"/>
  <c r="EX38" i="13"/>
  <c r="GP38" i="13"/>
  <c r="IR38" i="13"/>
  <c r="CR38" i="13"/>
  <c r="AN38" i="13"/>
  <c r="HB38" i="13"/>
  <c r="AZ38" i="13"/>
  <c r="FP38" i="13"/>
  <c r="EM38" i="13"/>
  <c r="HZ38" i="13"/>
  <c r="HW38" i="13"/>
  <c r="CH38" i="13"/>
  <c r="BZ38" i="13"/>
  <c r="BJ38" i="13"/>
  <c r="CJ38" i="13"/>
  <c r="HE38" i="13"/>
  <c r="FY38" i="13"/>
  <c r="HI38" i="13"/>
  <c r="BY38" i="13"/>
  <c r="HX38" i="13"/>
  <c r="AI38" i="13"/>
  <c r="IN38" i="13"/>
  <c r="DC38" i="13"/>
  <c r="IA38" i="13"/>
  <c r="EV38" i="13"/>
  <c r="HP38" i="13"/>
  <c r="ES38" i="13"/>
  <c r="BX38" i="13"/>
  <c r="EJ38" i="13"/>
  <c r="HV38" i="13"/>
  <c r="DD38" i="13"/>
  <c r="FN38" i="13"/>
  <c r="AX38" i="13"/>
  <c r="CW38" i="13"/>
  <c r="AO38" i="13"/>
  <c r="DT38" i="13"/>
  <c r="GO38" i="13"/>
  <c r="BM38" i="13"/>
  <c r="FD38" i="13"/>
  <c r="AQ38" i="13"/>
  <c r="E38" i="13"/>
  <c r="BV38" i="13"/>
  <c r="CI38" i="13"/>
  <c r="AR38" i="13"/>
  <c r="BH38" i="13"/>
  <c r="EP38" i="13"/>
  <c r="GE38" i="13"/>
  <c r="DY38" i="13"/>
  <c r="DK38" i="13"/>
  <c r="IG38" i="13"/>
  <c r="DJ38" i="13"/>
  <c r="IE38" i="13"/>
  <c r="BU38" i="13"/>
  <c r="EL38" i="13"/>
  <c r="BS38" i="13"/>
  <c r="EZ38" i="13"/>
  <c r="DH38" i="13"/>
  <c r="FE38" i="13"/>
  <c r="BE38" i="13"/>
  <c r="IH38" i="13"/>
  <c r="BL38" i="13"/>
  <c r="FV38" i="13"/>
  <c r="EU38" i="13"/>
  <c r="GT38" i="13"/>
  <c r="GX38" i="13"/>
  <c r="DM38" i="13"/>
  <c r="DW38" i="13"/>
  <c r="FI38" i="13"/>
  <c r="BD38" i="13"/>
  <c r="ID38" i="13"/>
  <c r="AV38" i="13"/>
  <c r="HK38" i="13"/>
  <c r="DL38" i="13"/>
  <c r="HL38" i="13"/>
  <c r="GD38" i="13"/>
  <c r="GJ38" i="13"/>
  <c r="IF38" i="13"/>
  <c r="BP38" i="13"/>
  <c r="II38" i="13"/>
  <c r="BT38" i="13"/>
  <c r="ED38" i="13"/>
  <c r="FF38" i="13"/>
  <c r="DP38" i="13"/>
  <c r="DN38" i="13"/>
  <c r="DO38" i="13"/>
  <c r="FW38" i="13"/>
  <c r="BK38" i="13"/>
  <c r="HA38" i="13"/>
  <c r="BI38" i="13"/>
  <c r="IJ38" i="13"/>
  <c r="FM38" i="13"/>
  <c r="BG38" i="13"/>
  <c r="HN38" i="13"/>
  <c r="EG38" i="13"/>
  <c r="EA38" i="13"/>
  <c r="IB38" i="13"/>
  <c r="IC38" i="13"/>
  <c r="GK38" i="13"/>
  <c r="FQ38" i="13"/>
  <c r="HO38" i="13"/>
  <c r="AP38" i="13"/>
  <c r="EE38" i="13"/>
  <c r="FK38" i="13"/>
  <c r="CV38" i="13"/>
  <c r="DB38" i="13"/>
  <c r="EY38" i="13"/>
  <c r="HS38" i="13"/>
  <c r="HU38" i="13"/>
  <c r="IQ38" i="13"/>
  <c r="HH38" i="13"/>
  <c r="GS38" i="13"/>
  <c r="BO38" i="13"/>
  <c r="GU38" i="13"/>
  <c r="GQ38" i="13"/>
  <c r="CG38" i="13"/>
  <c r="BA38" i="13"/>
  <c r="HD38" i="13"/>
  <c r="CT38" i="13"/>
  <c r="BQ38" i="13"/>
  <c r="ER38" i="13"/>
  <c r="DF38" i="13"/>
  <c r="DQ38" i="13"/>
  <c r="EI38" i="13"/>
  <c r="HM38" i="13"/>
  <c r="HR38" i="13"/>
  <c r="AJ38" i="13"/>
  <c r="EW38" i="13"/>
  <c r="EO38" i="13"/>
  <c r="GN38" i="13"/>
  <c r="HT38" i="13"/>
  <c r="DS38" i="13"/>
  <c r="CO38" i="13"/>
  <c r="FT38" i="13"/>
  <c r="CF38" i="13"/>
  <c r="FS38" i="13"/>
  <c r="CE38" i="13"/>
  <c r="BF38" i="13"/>
  <c r="DV38" i="13"/>
  <c r="DR38" i="13"/>
  <c r="CY38" i="13"/>
  <c r="DI38" i="13"/>
  <c r="CZ38" i="13"/>
  <c r="FR38" i="13"/>
  <c r="CP38" i="13"/>
  <c r="IL38" i="13"/>
  <c r="CQ38" i="13"/>
  <c r="IO38" i="13"/>
  <c r="AS38" i="13"/>
  <c r="HJ38" i="13"/>
  <c r="GY38" i="13"/>
  <c r="AT38" i="13"/>
  <c r="GF38" i="13"/>
  <c r="HC38" i="13"/>
  <c r="AX40" i="13"/>
  <c r="GJ40" i="13"/>
  <c r="CF40" i="13"/>
  <c r="GG40" i="13"/>
  <c r="BM40" i="13"/>
  <c r="DC40" i="13"/>
  <c r="FX40" i="13"/>
  <c r="DD40" i="13"/>
  <c r="CB40" i="13"/>
  <c r="FO40" i="13"/>
  <c r="BR40" i="13"/>
  <c r="BI40" i="13"/>
  <c r="IG40" i="13"/>
  <c r="CZ40" i="13"/>
  <c r="DX40" i="13"/>
  <c r="CX40" i="13"/>
  <c r="GO40" i="13"/>
  <c r="CJ40" i="13"/>
  <c r="HE40" i="13"/>
  <c r="AL40" i="13"/>
  <c r="CO40" i="13"/>
  <c r="BC40" i="13"/>
  <c r="GL40" i="13"/>
  <c r="IF40" i="13"/>
  <c r="AZ40" i="13"/>
  <c r="FN40" i="13"/>
  <c r="CK40" i="13"/>
  <c r="HR40" i="13"/>
  <c r="E40" i="13"/>
  <c r="GH40" i="13"/>
  <c r="BY40" i="13"/>
  <c r="CR40" i="13"/>
  <c r="FS40" i="13"/>
  <c r="FD40" i="13"/>
  <c r="IJ40" i="13"/>
  <c r="FA40" i="13"/>
  <c r="CL40" i="13"/>
  <c r="AT40" i="13"/>
  <c r="CS40" i="13"/>
  <c r="BZ40" i="13"/>
  <c r="DT40" i="13"/>
  <c r="DE40" i="13"/>
  <c r="HB40" i="13"/>
  <c r="FW40" i="13"/>
  <c r="FL40" i="13"/>
  <c r="CH40" i="13"/>
  <c r="HY40" i="13"/>
  <c r="AK40" i="13"/>
  <c r="IE40" i="13"/>
  <c r="CT40" i="13"/>
  <c r="DR40" i="13"/>
  <c r="HL40" i="13"/>
  <c r="AJ40" i="13"/>
  <c r="DY40" i="13"/>
  <c r="DK40" i="13"/>
  <c r="GT40" i="13"/>
  <c r="HQ40" i="13"/>
  <c r="CI40" i="13"/>
  <c r="BF40" i="13"/>
  <c r="IN40" i="13"/>
  <c r="IL40" i="13"/>
  <c r="FQ40" i="13"/>
  <c r="EX40" i="13"/>
  <c r="HX40" i="13"/>
  <c r="HW40" i="13"/>
  <c r="GX40" i="13"/>
  <c r="CY40" i="13"/>
  <c r="FI40" i="13"/>
  <c r="BU40" i="13"/>
  <c r="AR40" i="13"/>
  <c r="HP40" i="13"/>
  <c r="GY40" i="13"/>
  <c r="HT40" i="13"/>
  <c r="FJ40" i="13"/>
  <c r="GQ40" i="13"/>
  <c r="BH40" i="13"/>
  <c r="HH40" i="13"/>
  <c r="CQ40" i="13"/>
  <c r="DQ40" i="13"/>
  <c r="FR40" i="13"/>
  <c r="IC40" i="13"/>
  <c r="CG40" i="13"/>
  <c r="AN40" i="13"/>
  <c r="ES40" i="13"/>
  <c r="BB40" i="13"/>
  <c r="IR40" i="13"/>
  <c r="IQ40" i="13"/>
  <c r="AO40" i="13"/>
  <c r="GD40" i="13"/>
  <c r="GE40" i="13"/>
  <c r="AV40" i="13"/>
  <c r="GI40" i="13"/>
  <c r="HS40" i="13"/>
  <c r="F40" i="13"/>
  <c r="EH40" i="13"/>
  <c r="EP40" i="13"/>
  <c r="EO40" i="13"/>
  <c r="GA40" i="13"/>
  <c r="AU40" i="13"/>
  <c r="IM40" i="13"/>
  <c r="CC40" i="13"/>
  <c r="ID40" i="13"/>
  <c r="GU40" i="13"/>
  <c r="EG40" i="13"/>
  <c r="BJ40" i="13"/>
  <c r="BA40" i="13"/>
  <c r="DG40" i="13"/>
  <c r="EZ40" i="13"/>
  <c r="HG40" i="13"/>
  <c r="BV40" i="13"/>
  <c r="DO40" i="13"/>
  <c r="CM40" i="13"/>
  <c r="AP40" i="13"/>
  <c r="CN40" i="13"/>
  <c r="IB40" i="13"/>
  <c r="HV40" i="13"/>
  <c r="HM40" i="13"/>
  <c r="ET40" i="13"/>
  <c r="BE40" i="13"/>
  <c r="FU40" i="13"/>
  <c r="EI40" i="13"/>
  <c r="GK40" i="13"/>
  <c r="FH40" i="13"/>
  <c r="GS40" i="13"/>
  <c r="AS40" i="13"/>
  <c r="BS40" i="13"/>
  <c r="IH40" i="13"/>
  <c r="DM40" i="13"/>
  <c r="GF40" i="13"/>
  <c r="DS40" i="13"/>
  <c r="IA40" i="13"/>
  <c r="EE40" i="13"/>
  <c r="CV40" i="13"/>
  <c r="CD40" i="13"/>
  <c r="AY40" i="13"/>
  <c r="EA40" i="13"/>
  <c r="HA40" i="13"/>
  <c r="FT40" i="13"/>
  <c r="AW40" i="13"/>
  <c r="EM40" i="13"/>
  <c r="DP40" i="13"/>
  <c r="EF40" i="13"/>
  <c r="DF40" i="13"/>
  <c r="ED40" i="13"/>
  <c r="IN49" i="13"/>
  <c r="HI49" i="13"/>
  <c r="CL49" i="13"/>
  <c r="GY49" i="13"/>
  <c r="AZ49" i="13"/>
  <c r="EZ49" i="13"/>
  <c r="ES49" i="13"/>
  <c r="BQ49" i="13"/>
  <c r="FN49" i="13"/>
  <c r="HC49" i="13"/>
  <c r="DC49" i="13"/>
  <c r="BF49" i="13"/>
  <c r="GH49" i="13"/>
  <c r="IM49" i="13"/>
  <c r="CP49" i="13"/>
  <c r="CK49" i="13"/>
  <c r="HH49" i="13"/>
  <c r="HD49" i="13"/>
  <c r="DV49" i="13"/>
  <c r="HK49" i="13"/>
  <c r="FO49" i="13"/>
  <c r="GT49" i="13"/>
  <c r="CO49" i="13"/>
  <c r="EW49" i="13"/>
  <c r="CH49" i="13"/>
  <c r="F49" i="13"/>
  <c r="DM49" i="13"/>
  <c r="CQ49" i="13"/>
  <c r="CF49" i="13"/>
  <c r="FS49" i="13"/>
  <c r="FR49" i="13"/>
  <c r="AU49" i="13"/>
  <c r="CZ49" i="13"/>
  <c r="IK49" i="13"/>
  <c r="FB49" i="13"/>
  <c r="AR49" i="13"/>
  <c r="HN49" i="13"/>
  <c r="BW49" i="13"/>
  <c r="EV49" i="13"/>
  <c r="BI49" i="13"/>
  <c r="EK49" i="13"/>
  <c r="GG49" i="13"/>
  <c r="CV49" i="13"/>
  <c r="BE49" i="13"/>
  <c r="IA49" i="13"/>
  <c r="GN49" i="13"/>
  <c r="CB49" i="13"/>
  <c r="DS49" i="13"/>
  <c r="ID49" i="13"/>
  <c r="IR49" i="13"/>
  <c r="BN49" i="13"/>
  <c r="DB49" i="13"/>
  <c r="EP49" i="13"/>
  <c r="EX49" i="13"/>
  <c r="GR49" i="13"/>
  <c r="DD49" i="13"/>
  <c r="CX49" i="13"/>
  <c r="DG49" i="13"/>
  <c r="BB49" i="13"/>
  <c r="FI49" i="13"/>
  <c r="BA49" i="13"/>
  <c r="BK49" i="13"/>
  <c r="EC49" i="13"/>
  <c r="AJ49" i="13"/>
  <c r="DW49" i="13"/>
  <c r="AI49" i="13"/>
  <c r="BM49" i="13"/>
  <c r="BZ49" i="13"/>
  <c r="BO49" i="13"/>
  <c r="AP49" i="13"/>
  <c r="BU49" i="13"/>
  <c r="GF49" i="13"/>
  <c r="AX49" i="13"/>
  <c r="CM49" i="13"/>
  <c r="FQ49" i="13"/>
  <c r="EF49" i="13"/>
  <c r="CN49" i="13"/>
  <c r="AT49" i="13"/>
  <c r="HU49" i="13"/>
  <c r="ER49" i="13"/>
  <c r="HZ49" i="13"/>
  <c r="CR49" i="13"/>
  <c r="FT49" i="13"/>
  <c r="II49" i="13"/>
  <c r="GI49" i="13"/>
  <c r="HO49" i="13"/>
  <c r="BT49" i="13"/>
  <c r="AY49" i="13"/>
  <c r="EA49" i="13"/>
  <c r="HX49" i="13"/>
  <c r="DO49" i="13"/>
  <c r="ET49" i="13"/>
  <c r="CJ49" i="13"/>
  <c r="EE49" i="13"/>
  <c r="DE49" i="13"/>
  <c r="HF49" i="13"/>
  <c r="AK49" i="13"/>
  <c r="DY49" i="13"/>
  <c r="GA49" i="13"/>
  <c r="IH49" i="13"/>
  <c r="DL49" i="13"/>
  <c r="DA49" i="13"/>
  <c r="BY49" i="13"/>
  <c r="BJ49" i="13"/>
  <c r="EJ49" i="13"/>
  <c r="AM49" i="13"/>
  <c r="CE49" i="13"/>
  <c r="DN49" i="13"/>
  <c r="FW49" i="13"/>
  <c r="IC49" i="13"/>
  <c r="AN49" i="13"/>
  <c r="GD49" i="13"/>
  <c r="CI49" i="13"/>
  <c r="FA49" i="13"/>
  <c r="DT49" i="13"/>
  <c r="FX49" i="13"/>
  <c r="FG49" i="13"/>
  <c r="CW49" i="13"/>
  <c r="AL49" i="13"/>
  <c r="DF49" i="13"/>
  <c r="FU49" i="13"/>
  <c r="HL49" i="13"/>
  <c r="EN49" i="13"/>
  <c r="IL49" i="13"/>
  <c r="BP49" i="13"/>
  <c r="FJ49" i="13"/>
  <c r="FK49" i="13"/>
  <c r="FY49" i="13"/>
  <c r="AS49" i="13"/>
  <c r="GP49" i="13"/>
  <c r="HG49" i="13"/>
  <c r="FM49" i="13"/>
  <c r="GK49" i="13"/>
  <c r="HY49" i="13"/>
  <c r="BS49" i="13"/>
  <c r="GL49" i="13"/>
  <c r="GJ49" i="13"/>
  <c r="FV49" i="13"/>
  <c r="GZ49" i="13"/>
  <c r="DX49" i="13"/>
  <c r="BX49" i="13"/>
  <c r="HB49" i="13"/>
  <c r="CS49" i="13"/>
  <c r="AW49" i="13"/>
  <c r="CT49" i="13"/>
  <c r="EQ49" i="13"/>
  <c r="IE49" i="13"/>
  <c r="DP49" i="13"/>
  <c r="CX27" i="13"/>
  <c r="GH13" i="13"/>
  <c r="BC12" i="13"/>
  <c r="BI47" i="13"/>
  <c r="GF19" i="13"/>
  <c r="CO10" i="13"/>
  <c r="J6" i="13"/>
  <c r="CV4" i="13"/>
  <c r="BU19" i="13"/>
  <c r="AD20" i="13"/>
  <c r="CE37" i="13"/>
  <c r="BG34" i="13"/>
  <c r="AL24" i="13"/>
  <c r="GX36" i="13"/>
  <c r="GA14" i="13"/>
  <c r="HI16" i="13"/>
  <c r="GM17" i="13"/>
  <c r="J11" i="13"/>
  <c r="X19" i="13"/>
  <c r="EV39" i="13"/>
  <c r="CL38" i="13"/>
  <c r="FN47" i="13"/>
  <c r="Z8" i="13"/>
  <c r="R8" i="13"/>
  <c r="BX18" i="13"/>
  <c r="CY48" i="13"/>
  <c r="BU45" i="13"/>
  <c r="HU43" i="13"/>
  <c r="AY5" i="13"/>
  <c r="HL37" i="13"/>
  <c r="IO40" i="13"/>
  <c r="EY27" i="13"/>
  <c r="CG53" i="13"/>
  <c r="BM48" i="13"/>
  <c r="FK10" i="13"/>
  <c r="W11" i="13"/>
  <c r="CL48" i="13"/>
  <c r="AZ45" i="13"/>
  <c r="IG52" i="13"/>
  <c r="FI29" i="13"/>
  <c r="EQ4" i="13"/>
  <c r="GO13" i="13"/>
  <c r="HM29" i="13"/>
  <c r="EV23" i="13"/>
  <c r="Z27" i="13"/>
  <c r="DK15" i="13"/>
  <c r="U31" i="13"/>
  <c r="CJ35" i="13"/>
  <c r="FM50" i="13"/>
  <c r="BZ34" i="13"/>
  <c r="IL4" i="13"/>
  <c r="CV29" i="13"/>
  <c r="O35" i="13"/>
  <c r="EL11" i="13"/>
  <c r="AH9" i="13"/>
  <c r="HD6" i="13"/>
  <c r="EC27" i="13"/>
  <c r="GG9" i="13"/>
  <c r="DS9" i="13"/>
  <c r="BU42" i="13"/>
  <c r="FZ16" i="13"/>
  <c r="ED31" i="13"/>
  <c r="HR33" i="13"/>
  <c r="HX36" i="13"/>
  <c r="GB44" i="13"/>
  <c r="EK16" i="13"/>
  <c r="BD40" i="13"/>
  <c r="IC35" i="13"/>
  <c r="GT22" i="13"/>
  <c r="DP30" i="13"/>
  <c r="HO44" i="13"/>
  <c r="IC39" i="13"/>
  <c r="BT11" i="13"/>
  <c r="CL10" i="13"/>
  <c r="IC52" i="13"/>
  <c r="GT5" i="13"/>
  <c r="EN40" i="13"/>
  <c r="I4" i="13"/>
  <c r="AJ7" i="13"/>
  <c r="R11" i="13"/>
  <c r="DS32" i="13"/>
  <c r="FK44" i="13"/>
  <c r="GM29" i="13"/>
  <c r="EZ12" i="13"/>
  <c r="BR41" i="13"/>
  <c r="HF20" i="13"/>
  <c r="II34" i="13"/>
  <c r="EP34" i="13"/>
  <c r="CU5" i="13"/>
  <c r="T22" i="13"/>
  <c r="FU53" i="13"/>
  <c r="FX24" i="13"/>
  <c r="BG40" i="13"/>
  <c r="HA9" i="13"/>
  <c r="ES5" i="13"/>
  <c r="AT13" i="13"/>
  <c r="HH48" i="13"/>
  <c r="AL46" i="13"/>
  <c r="GJ4" i="13"/>
  <c r="CC30" i="13"/>
  <c r="EH5" i="13"/>
  <c r="FV7" i="13"/>
  <c r="GC9" i="13"/>
  <c r="AO15" i="13"/>
  <c r="E7" i="13"/>
  <c r="FB46" i="13"/>
  <c r="R28" i="13"/>
  <c r="FM30" i="13"/>
  <c r="GD29" i="13"/>
  <c r="FO18" i="13"/>
  <c r="CN43" i="13"/>
  <c r="FT20" i="13"/>
  <c r="CN51" i="13"/>
  <c r="CJ16" i="13"/>
  <c r="AD15" i="13"/>
  <c r="GN27" i="13"/>
  <c r="IG30" i="13"/>
  <c r="IQ49" i="13"/>
  <c r="V11" i="13"/>
  <c r="DK34" i="13"/>
  <c r="BM8" i="13"/>
  <c r="IH6" i="13"/>
  <c r="GP31" i="13"/>
  <c r="CR8" i="13"/>
  <c r="CE53" i="13"/>
  <c r="GL38" i="13"/>
  <c r="BJ17" i="13"/>
  <c r="GG36" i="13"/>
  <c r="DR37" i="13"/>
  <c r="AG27" i="13"/>
  <c r="GW5" i="13"/>
  <c r="EW26" i="13"/>
  <c r="GI10" i="13"/>
  <c r="IL42" i="13"/>
  <c r="BM47" i="13"/>
  <c r="HV13" i="13"/>
  <c r="AF31" i="13"/>
  <c r="EH36" i="13"/>
  <c r="DR21" i="13"/>
  <c r="IA19" i="13"/>
  <c r="AE12" i="13"/>
  <c r="HM53" i="13"/>
  <c r="GL41" i="13"/>
  <c r="EC26" i="13"/>
  <c r="FB16" i="13"/>
  <c r="IN41" i="13"/>
  <c r="CQ50" i="13"/>
  <c r="AI34" i="13"/>
  <c r="FE7" i="13"/>
  <c r="CJ17" i="13"/>
  <c r="FT4" i="13"/>
  <c r="CV34" i="13"/>
  <c r="BN23" i="13"/>
  <c r="FP49" i="13"/>
  <c r="FG6" i="13"/>
  <c r="ED49" i="13"/>
  <c r="IM6" i="13"/>
  <c r="GZ40" i="13"/>
  <c r="HO26" i="13"/>
  <c r="EV17" i="13"/>
  <c r="DB14" i="13"/>
  <c r="II40" i="13"/>
  <c r="BI14" i="13"/>
  <c r="AG26" i="13"/>
  <c r="DW44" i="13"/>
  <c r="FU35" i="13"/>
  <c r="FD52" i="13"/>
  <c r="BQ17" i="13"/>
  <c r="AN14" i="13"/>
  <c r="FI30" i="13"/>
  <c r="FT34" i="13"/>
  <c r="HI10" i="13"/>
  <c r="FJ52" i="13"/>
  <c r="FR7" i="13"/>
  <c r="FO4" i="13"/>
  <c r="EZ53" i="13"/>
  <c r="DL7" i="13"/>
  <c r="DZ10" i="13"/>
  <c r="EB12" i="13"/>
  <c r="AF35" i="13"/>
  <c r="BI33" i="13"/>
  <c r="GC11" i="13"/>
  <c r="GQ5" i="13"/>
  <c r="BJ51" i="13"/>
  <c r="BZ13" i="13"/>
  <c r="FV34" i="13"/>
  <c r="HX46" i="13"/>
  <c r="EU13" i="13"/>
  <c r="HA32" i="13"/>
  <c r="FN28" i="13"/>
  <c r="EC21" i="13"/>
  <c r="DB4" i="13"/>
  <c r="CF28" i="13"/>
  <c r="FP30" i="13"/>
  <c r="GX46" i="13"/>
  <c r="EK22" i="13"/>
  <c r="CT34" i="13"/>
  <c r="T31" i="13"/>
  <c r="HF23" i="13"/>
  <c r="FI11" i="13"/>
  <c r="BP19" i="13"/>
  <c r="EF34" i="13"/>
  <c r="J10" i="13"/>
  <c r="FA22" i="13"/>
  <c r="CV30" i="13"/>
  <c r="CE11" i="13"/>
  <c r="FX5" i="13"/>
  <c r="BR43" i="13"/>
  <c r="BB12" i="13"/>
  <c r="FI51" i="13"/>
  <c r="CP20" i="13"/>
  <c r="AK48" i="13"/>
  <c r="GK9" i="13"/>
  <c r="FO51" i="13"/>
  <c r="BO47" i="13"/>
  <c r="HK19" i="13"/>
  <c r="AM38" i="13"/>
  <c r="CX18" i="13"/>
  <c r="BW43" i="13"/>
  <c r="HD37" i="13"/>
  <c r="GS15" i="13"/>
  <c r="GM51" i="13"/>
  <c r="BG49" i="13"/>
  <c r="DS24" i="13"/>
  <c r="GL33" i="13"/>
  <c r="GP36" i="13"/>
  <c r="DX25" i="13"/>
  <c r="DI14" i="13"/>
  <c r="CS16" i="13"/>
  <c r="GM27" i="13"/>
  <c r="HJ46" i="13"/>
  <c r="CB17" i="13"/>
  <c r="FG40" i="13"/>
  <c r="GM12" i="13"/>
  <c r="IO34" i="13"/>
  <c r="R5" i="13"/>
  <c r="GY13" i="13"/>
  <c r="BE12" i="13"/>
  <c r="FM15" i="13"/>
  <c r="HM35" i="13"/>
  <c r="CN24" i="13"/>
  <c r="AF22" i="13"/>
  <c r="DV42" i="13"/>
  <c r="CM14" i="13"/>
  <c r="CG26" i="13"/>
  <c r="BT37" i="13"/>
  <c r="IB26" i="13"/>
  <c r="AT28" i="13"/>
  <c r="HJ45" i="13"/>
  <c r="GE23" i="13"/>
  <c r="CO46" i="13"/>
  <c r="GY35" i="13"/>
  <c r="DE38" i="13"/>
  <c r="BY9" i="13"/>
  <c r="FF49" i="13"/>
  <c r="AF6" i="13"/>
  <c r="GY5" i="13"/>
  <c r="BT35" i="13"/>
  <c r="HR7" i="13"/>
  <c r="EQ28" i="13"/>
  <c r="H30" i="13"/>
  <c r="DW30" i="13"/>
  <c r="CE27" i="13"/>
  <c r="HP47" i="13"/>
  <c r="GU50" i="13"/>
  <c r="DF7" i="13"/>
  <c r="CG44" i="13"/>
  <c r="AR52" i="13"/>
  <c r="GQ17" i="13"/>
  <c r="IL25" i="13"/>
  <c r="HC30" i="13"/>
  <c r="HP22" i="13"/>
  <c r="BT5" i="13"/>
  <c r="BX12" i="13"/>
  <c r="FN34" i="13"/>
  <c r="HV21" i="13"/>
  <c r="DI13" i="13"/>
  <c r="BW32" i="13"/>
  <c r="AS19" i="13"/>
  <c r="HT47" i="13"/>
  <c r="AZ14" i="13"/>
  <c r="DD18" i="13"/>
  <c r="FB27" i="13"/>
  <c r="AJ15" i="13"/>
  <c r="GV49" i="13"/>
  <c r="ED27" i="13"/>
  <c r="FE40" i="13"/>
  <c r="GK21" i="13"/>
  <c r="HB11" i="13"/>
  <c r="GB7" i="13"/>
  <c r="AW11" i="13"/>
  <c r="FR37" i="13"/>
  <c r="II41" i="13"/>
  <c r="EF24" i="13"/>
  <c r="Z32" i="13"/>
  <c r="GQ47" i="13"/>
  <c r="AM15" i="13"/>
  <c r="E32" i="13"/>
  <c r="CV15" i="13"/>
  <c r="CO28" i="13"/>
  <c r="DP28" i="13"/>
  <c r="HV41" i="13"/>
  <c r="EF39" i="13"/>
  <c r="EI32" i="13"/>
  <c r="BT25" i="13"/>
  <c r="DA13" i="13"/>
  <c r="BB13" i="13"/>
  <c r="AB30" i="13"/>
  <c r="AR53" i="13"/>
  <c r="AJ16" i="13"/>
  <c r="W7" i="13"/>
  <c r="BJ46" i="13"/>
  <c r="BW48" i="13"/>
  <c r="GB40" i="13"/>
  <c r="GG7" i="13"/>
  <c r="EA13" i="13"/>
  <c r="GG10" i="13"/>
  <c r="ES32" i="13"/>
  <c r="DI21" i="13"/>
  <c r="CZ47" i="13"/>
  <c r="CR6" i="13"/>
  <c r="FW21" i="13"/>
  <c r="DZ19" i="13"/>
  <c r="DH46" i="13"/>
  <c r="CS24" i="13"/>
  <c r="HC31" i="13"/>
  <c r="FW16" i="13"/>
  <c r="CY32" i="13"/>
  <c r="BJ47" i="13"/>
  <c r="DF48" i="13"/>
  <c r="II15" i="13"/>
  <c r="IM34" i="13"/>
  <c r="EV30" i="13"/>
  <c r="BZ14" i="13"/>
  <c r="EZ8" i="13"/>
  <c r="CK21" i="13"/>
  <c r="BW15" i="13"/>
  <c r="CN10" i="13"/>
  <c r="BO28" i="13"/>
  <c r="HP12" i="13"/>
  <c r="GX16" i="13"/>
  <c r="IO28" i="13"/>
  <c r="GC49" i="13"/>
  <c r="EO20" i="13"/>
  <c r="CC33" i="13"/>
  <c r="EQ20" i="13"/>
  <c r="CD42" i="13"/>
  <c r="AN17" i="13"/>
  <c r="G10" i="13"/>
  <c r="BX53" i="13"/>
  <c r="EK18" i="13"/>
  <c r="FA12" i="13"/>
  <c r="GG45" i="13"/>
  <c r="FC26" i="13"/>
  <c r="ER15" i="13"/>
  <c r="DZ44" i="13"/>
  <c r="FZ21" i="13"/>
  <c r="DT18" i="13"/>
  <c r="HI53" i="13"/>
  <c r="DN13" i="13"/>
  <c r="CH9" i="13"/>
  <c r="CC20" i="13"/>
  <c r="IR53" i="13"/>
  <c r="CC7" i="13"/>
  <c r="GS24" i="13"/>
  <c r="EY33" i="13"/>
  <c r="GS49" i="13"/>
  <c r="FC8" i="13"/>
  <c r="BX31" i="13"/>
  <c r="IA43" i="13"/>
  <c r="AL10" i="13"/>
  <c r="HL5" i="13"/>
  <c r="BB38" i="13"/>
  <c r="AT6" i="13"/>
  <c r="AQ10" i="13"/>
  <c r="CE31" i="13"/>
  <c r="ER28" i="13"/>
  <c r="IA45" i="13"/>
  <c r="ET14" i="13"/>
  <c r="IQ51" i="13"/>
  <c r="FK25" i="13"/>
  <c r="AN15" i="13"/>
  <c r="Z25" i="13"/>
  <c r="FP10" i="13"/>
  <c r="Q24" i="13"/>
  <c r="GQ23" i="13"/>
  <c r="BR32" i="13"/>
  <c r="HC12" i="13"/>
  <c r="DE12" i="13"/>
  <c r="CE19" i="13"/>
  <c r="GJ5" i="13"/>
  <c r="FC38" i="13"/>
  <c r="DY35" i="13"/>
  <c r="FJ25" i="13"/>
  <c r="HC21" i="13"/>
  <c r="HE45" i="13"/>
  <c r="CL18" i="13"/>
  <c r="J16" i="13"/>
  <c r="GX42" i="13"/>
  <c r="FE5" i="13"/>
  <c r="FH49" i="13"/>
  <c r="Q35" i="13"/>
  <c r="CM44" i="13"/>
  <c r="BD16" i="13"/>
  <c r="CQ14" i="13"/>
  <c r="AE6" i="13"/>
  <c r="IK7" i="13"/>
  <c r="GV19" i="13"/>
  <c r="AS43" i="13"/>
  <c r="CQ36" i="13"/>
  <c r="GI39" i="13"/>
  <c r="HC52" i="13"/>
  <c r="BL31" i="13"/>
  <c r="BJ14" i="13"/>
  <c r="FW25" i="13"/>
  <c r="FX26" i="13"/>
  <c r="BP28" i="13"/>
  <c r="EC8" i="13"/>
  <c r="BZ41" i="13"/>
  <c r="CJ31" i="13"/>
  <c r="DE25" i="13"/>
  <c r="BL33" i="13"/>
  <c r="BV47" i="13"/>
  <c r="EM15" i="13"/>
  <c r="DQ22" i="13"/>
  <c r="AF9" i="13"/>
  <c r="FG10" i="13"/>
  <c r="II25" i="13"/>
  <c r="BN29" i="13"/>
  <c r="HM31" i="13"/>
  <c r="DT23" i="13"/>
  <c r="DP39" i="13"/>
  <c r="IN11" i="13"/>
  <c r="FD9" i="13"/>
  <c r="HW35" i="13"/>
  <c r="DP46" i="13"/>
  <c r="AJ35" i="13"/>
  <c r="EJ12" i="13"/>
  <c r="HQ12" i="13"/>
  <c r="BK12" i="13"/>
  <c r="AV12" i="13"/>
  <c r="HD12" i="13"/>
  <c r="DK12" i="13"/>
  <c r="BP12" i="13"/>
  <c r="IF12" i="13"/>
  <c r="DU12" i="13"/>
  <c r="EH12" i="13"/>
  <c r="CK12" i="13"/>
  <c r="AR12" i="13"/>
  <c r="CN12" i="13"/>
  <c r="CG12" i="13"/>
  <c r="T12" i="13"/>
  <c r="CT12" i="13"/>
  <c r="HI12" i="13"/>
  <c r="DM12" i="13"/>
  <c r="FE12" i="13"/>
  <c r="FQ12" i="13"/>
  <c r="HX12" i="13"/>
  <c r="FL12" i="13"/>
  <c r="AK12" i="13"/>
  <c r="F12" i="13"/>
  <c r="AU12" i="13"/>
  <c r="DD12" i="13"/>
  <c r="FS12" i="13"/>
  <c r="ED12" i="13"/>
  <c r="BN12" i="13"/>
  <c r="FY12" i="13"/>
  <c r="HM12" i="13"/>
  <c r="DI12" i="13"/>
  <c r="AM12" i="13"/>
  <c r="BR12" i="13"/>
  <c r="HZ12" i="13"/>
  <c r="IC12" i="13"/>
  <c r="HT12" i="13"/>
  <c r="H12" i="13"/>
  <c r="DY12" i="13"/>
  <c r="O12" i="13"/>
  <c r="EN12" i="13"/>
  <c r="CH12" i="13"/>
  <c r="CF12" i="13"/>
  <c r="BZ12" i="13"/>
  <c r="AL12" i="13"/>
  <c r="CL12" i="13"/>
  <c r="DV12" i="13"/>
  <c r="EU12" i="13"/>
  <c r="DZ12" i="13"/>
  <c r="FD12" i="13"/>
  <c r="BY12" i="13"/>
  <c r="HH12" i="13"/>
  <c r="Q12" i="13"/>
  <c r="BD12" i="13"/>
  <c r="HN12" i="13"/>
  <c r="BA12" i="13"/>
  <c r="DC12" i="13"/>
  <c r="GP12" i="13"/>
  <c r="AZ12" i="13"/>
  <c r="GK12" i="13"/>
  <c r="GO12" i="13"/>
  <c r="HW12" i="13"/>
  <c r="DT12" i="13"/>
  <c r="IO12" i="13"/>
  <c r="DQ12" i="13"/>
  <c r="CJ12" i="13"/>
  <c r="BT12" i="13"/>
  <c r="GW12" i="13"/>
  <c r="DF12" i="13"/>
  <c r="AX12" i="13"/>
  <c r="IG12" i="13"/>
  <c r="W12" i="13"/>
  <c r="CI12" i="13"/>
  <c r="GG12" i="13"/>
  <c r="BQ12" i="13"/>
  <c r="HJ12" i="13"/>
  <c r="EY12" i="13"/>
  <c r="GU12" i="13"/>
  <c r="EM12" i="13"/>
  <c r="GD12" i="13"/>
  <c r="EK12" i="13"/>
  <c r="CV12" i="13"/>
  <c r="AQ12" i="13"/>
  <c r="EX12" i="13"/>
  <c r="M12" i="13"/>
  <c r="GJ12" i="13"/>
  <c r="AO12" i="13"/>
  <c r="HE12" i="13"/>
  <c r="FZ12" i="13"/>
  <c r="GV12" i="13"/>
  <c r="HB12" i="13"/>
  <c r="BU12" i="13"/>
  <c r="HS12" i="13"/>
  <c r="EP12" i="13"/>
  <c r="FU12" i="13"/>
  <c r="CE12" i="13"/>
  <c r="EQ12" i="13"/>
  <c r="EE12" i="13"/>
  <c r="BF12" i="13"/>
  <c r="HK12" i="13"/>
  <c r="L12" i="13"/>
  <c r="IK12" i="13"/>
  <c r="CP12" i="13"/>
  <c r="DG12" i="13"/>
  <c r="FN12" i="13"/>
  <c r="GC12" i="13"/>
  <c r="AT12" i="13"/>
  <c r="ET12" i="13"/>
  <c r="HO12" i="13"/>
  <c r="GN12" i="13"/>
  <c r="AI12" i="13"/>
  <c r="DH12" i="13"/>
  <c r="HV12" i="13"/>
  <c r="FR12" i="13"/>
  <c r="BW12" i="13"/>
  <c r="EL12" i="13"/>
  <c r="IE12" i="13"/>
  <c r="AB12" i="13"/>
  <c r="I12" i="13"/>
  <c r="CW12" i="13"/>
  <c r="FB12" i="13"/>
  <c r="IJ12" i="13"/>
  <c r="FW12" i="13"/>
  <c r="AH12" i="13"/>
  <c r="AG12" i="13"/>
  <c r="HL12" i="13"/>
  <c r="Y12" i="13"/>
  <c r="GB12" i="13"/>
  <c r="IL12" i="13"/>
  <c r="AP12" i="13"/>
  <c r="HU12" i="13"/>
  <c r="FM12" i="13"/>
  <c r="BO12" i="13"/>
  <c r="DX12" i="13"/>
  <c r="AJ12" i="13"/>
  <c r="FG12" i="13"/>
  <c r="K12" i="13"/>
  <c r="E12" i="13"/>
  <c r="GT12" i="13"/>
  <c r="C17" i="13"/>
  <c r="FI17" i="13"/>
  <c r="BX17" i="13"/>
  <c r="M17" i="13"/>
  <c r="EL17" i="13"/>
  <c r="AA17" i="13"/>
  <c r="HC17" i="13"/>
  <c r="U17" i="13"/>
  <c r="EA17" i="13"/>
  <c r="CH17" i="13"/>
  <c r="BV17" i="13"/>
  <c r="IO17" i="13"/>
  <c r="DH17" i="13"/>
  <c r="EH17" i="13"/>
  <c r="DW17" i="13"/>
  <c r="GI17" i="13"/>
  <c r="BB17" i="13"/>
  <c r="T17" i="13"/>
  <c r="GF17" i="13"/>
  <c r="DE17" i="13"/>
  <c r="DS17" i="13"/>
  <c r="GO17" i="13"/>
  <c r="G17" i="13"/>
  <c r="BZ17" i="13"/>
  <c r="II17" i="13"/>
  <c r="D17" i="13"/>
  <c r="HK17" i="13"/>
  <c r="IJ17" i="13"/>
  <c r="CI17" i="13"/>
  <c r="AY17" i="13"/>
  <c r="EP17" i="13"/>
  <c r="HD17" i="13"/>
  <c r="HW17" i="13"/>
  <c r="FA17" i="13"/>
  <c r="ID17" i="13"/>
  <c r="ER17" i="13"/>
  <c r="CD17" i="13"/>
  <c r="IQ17" i="13"/>
  <c r="AW17" i="13"/>
  <c r="CU17" i="13"/>
  <c r="GW17" i="13"/>
  <c r="HS17" i="13"/>
  <c r="BY17" i="13"/>
  <c r="HG17" i="13"/>
  <c r="DA17" i="13"/>
  <c r="W17" i="13"/>
  <c r="BF17" i="13"/>
  <c r="BH17" i="13"/>
  <c r="FK17" i="13"/>
  <c r="DR17" i="13"/>
  <c r="BM17" i="13"/>
  <c r="DN17" i="13"/>
  <c r="BG17" i="13"/>
  <c r="CS17" i="13"/>
  <c r="HZ17" i="13"/>
  <c r="GT17" i="13"/>
  <c r="BW17" i="13"/>
  <c r="BA17" i="13"/>
  <c r="GY17" i="13"/>
  <c r="DG17" i="13"/>
  <c r="BN17" i="13"/>
  <c r="N17" i="13"/>
  <c r="CF17" i="13"/>
  <c r="DC17" i="13"/>
  <c r="GA17" i="13"/>
  <c r="CY17" i="13"/>
  <c r="HB17" i="13"/>
  <c r="H17" i="13"/>
  <c r="BE17" i="13"/>
  <c r="DI17" i="13"/>
  <c r="CC17" i="13"/>
  <c r="BK17" i="13"/>
  <c r="FM17" i="13"/>
  <c r="GS17" i="13"/>
  <c r="HI17" i="13"/>
  <c r="HN17" i="13"/>
  <c r="DX17" i="13"/>
  <c r="AT17" i="13"/>
  <c r="EG17" i="13"/>
  <c r="AE17" i="13"/>
  <c r="HA17" i="13"/>
  <c r="EY17" i="13"/>
  <c r="AC17" i="13"/>
  <c r="GP17" i="13"/>
  <c r="IH17" i="13"/>
  <c r="DP17" i="13"/>
  <c r="FO17" i="13"/>
  <c r="CQ17" i="13"/>
  <c r="AP17" i="13"/>
  <c r="DM17" i="13"/>
  <c r="CZ17" i="13"/>
  <c r="AD17" i="13"/>
  <c r="K17" i="13"/>
  <c r="AG17" i="13"/>
  <c r="FU17" i="13"/>
  <c r="CK17" i="13"/>
  <c r="Y17" i="13"/>
  <c r="DK17" i="13"/>
  <c r="AZ17" i="13"/>
  <c r="BD17" i="13"/>
  <c r="AO17" i="13"/>
  <c r="EO17" i="13"/>
  <c r="FW17" i="13"/>
  <c r="ED17" i="13"/>
  <c r="EW17" i="13"/>
  <c r="HH17" i="13"/>
  <c r="IR17" i="13"/>
  <c r="EJ17" i="13"/>
  <c r="DF17" i="13"/>
  <c r="FB17" i="13"/>
  <c r="IK17" i="13"/>
  <c r="BT17" i="13"/>
  <c r="BR17" i="13"/>
  <c r="AQ17" i="13"/>
  <c r="EB17" i="13"/>
  <c r="GJ17" i="13"/>
  <c r="CV17" i="13"/>
  <c r="DZ17" i="13"/>
  <c r="CP17" i="13"/>
  <c r="AR17" i="13"/>
  <c r="FX17" i="13"/>
  <c r="AM17" i="13"/>
  <c r="GH17" i="13"/>
  <c r="AK17" i="13"/>
  <c r="AL17" i="13"/>
  <c r="BP17" i="13"/>
  <c r="DY17" i="13"/>
  <c r="DU17" i="13"/>
  <c r="HM17" i="13"/>
  <c r="FC17" i="13"/>
  <c r="HF17" i="13"/>
  <c r="HJ17" i="13"/>
  <c r="FJ17" i="13"/>
  <c r="AS17" i="13"/>
  <c r="IE17" i="13"/>
  <c r="V17" i="13"/>
  <c r="HL17" i="13"/>
  <c r="EM17" i="13"/>
  <c r="FN17" i="13"/>
  <c r="FV17" i="13"/>
  <c r="I17" i="13"/>
  <c r="CX17" i="13"/>
  <c r="AI17" i="13"/>
  <c r="AB17" i="13"/>
  <c r="EN17" i="13"/>
  <c r="EF17" i="13"/>
  <c r="HV17" i="13"/>
  <c r="DD17" i="13"/>
  <c r="AJ17" i="13"/>
  <c r="IG17" i="13"/>
  <c r="GU17" i="13"/>
  <c r="FH17" i="13"/>
  <c r="HR17" i="13"/>
  <c r="GR17" i="13"/>
  <c r="DQ17" i="13"/>
  <c r="GE17" i="13"/>
  <c r="BL17" i="13"/>
  <c r="FD17" i="13"/>
  <c r="P17" i="13"/>
  <c r="HO17" i="13"/>
  <c r="HT17" i="13"/>
  <c r="CG17" i="13"/>
  <c r="EU17" i="13"/>
  <c r="FG17" i="13"/>
  <c r="O17" i="13"/>
  <c r="EI17" i="13"/>
  <c r="GB17" i="13"/>
  <c r="FE17" i="13"/>
  <c r="FL17" i="13"/>
  <c r="GN17" i="13"/>
  <c r="BJ27" i="13"/>
  <c r="BR27" i="13"/>
  <c r="HI27" i="13"/>
  <c r="ID27" i="13"/>
  <c r="K27" i="13"/>
  <c r="HS27" i="13"/>
  <c r="DW27" i="13"/>
  <c r="AK27" i="13"/>
  <c r="S27" i="13"/>
  <c r="FE27" i="13"/>
  <c r="HN27" i="13"/>
  <c r="DH27" i="13"/>
  <c r="GE27" i="13"/>
  <c r="GD27" i="13"/>
  <c r="GH27" i="13"/>
  <c r="IA27" i="13"/>
  <c r="IM27" i="13"/>
  <c r="D27" i="13"/>
  <c r="BE27" i="13"/>
  <c r="IG27" i="13"/>
  <c r="BL27" i="13"/>
  <c r="FJ27" i="13"/>
  <c r="HB27" i="13"/>
  <c r="GG27" i="13"/>
  <c r="CZ27" i="13"/>
  <c r="GV27" i="13"/>
  <c r="HT27" i="13"/>
  <c r="CG27" i="13"/>
  <c r="EM27" i="13"/>
  <c r="IJ27" i="13"/>
  <c r="DI27" i="13"/>
  <c r="HQ27" i="13"/>
  <c r="P27" i="13"/>
  <c r="HL27" i="13"/>
  <c r="HO27" i="13"/>
  <c r="DM27" i="13"/>
  <c r="BK27" i="13"/>
  <c r="GA27" i="13"/>
  <c r="BS27" i="13"/>
  <c r="EX27" i="13"/>
  <c r="DK27" i="13"/>
  <c r="DB27" i="13"/>
  <c r="ET27" i="13"/>
  <c r="HK27" i="13"/>
  <c r="IF27" i="13"/>
  <c r="FA27" i="13"/>
  <c r="AS27" i="13"/>
  <c r="CU27" i="13"/>
  <c r="HC27" i="13"/>
  <c r="EA27" i="13"/>
  <c r="CC27" i="13"/>
  <c r="DE27" i="13"/>
  <c r="IH27" i="13"/>
  <c r="IL27" i="13"/>
  <c r="BI27" i="13"/>
  <c r="GF27" i="13"/>
  <c r="H27" i="13"/>
  <c r="CH27" i="13"/>
  <c r="HP27" i="13"/>
  <c r="FL27" i="13"/>
  <c r="BC27" i="13"/>
  <c r="FK27" i="13"/>
  <c r="BN27" i="13"/>
  <c r="HG27" i="13"/>
  <c r="BF27" i="13"/>
  <c r="GW27" i="13"/>
  <c r="I27" i="13"/>
  <c r="HF27" i="13"/>
  <c r="GT27" i="13"/>
  <c r="DV27" i="13"/>
  <c r="FD27" i="13"/>
  <c r="J27" i="13"/>
  <c r="R27" i="13"/>
  <c r="O27" i="13"/>
  <c r="W27" i="13"/>
  <c r="HR27" i="13"/>
  <c r="X27" i="13"/>
  <c r="HA27" i="13"/>
  <c r="M27" i="13"/>
  <c r="AT27" i="13"/>
  <c r="Q27" i="13"/>
  <c r="F27" i="13"/>
  <c r="CT27" i="13"/>
  <c r="AD27" i="13"/>
  <c r="IE27" i="13"/>
  <c r="DT27" i="13"/>
  <c r="BW27" i="13"/>
  <c r="FZ27" i="13"/>
  <c r="DX27" i="13"/>
  <c r="CB27" i="13"/>
  <c r="IB27" i="13"/>
  <c r="II27" i="13"/>
  <c r="EU27" i="13"/>
  <c r="FO27" i="13"/>
  <c r="DQ27" i="13"/>
  <c r="AA27" i="13"/>
  <c r="GP27" i="13"/>
  <c r="Y27" i="13"/>
  <c r="BQ27" i="13"/>
  <c r="CQ27" i="13"/>
  <c r="HE27" i="13"/>
  <c r="AI27" i="13"/>
  <c r="E27" i="13"/>
  <c r="GJ27" i="13"/>
  <c r="FH27" i="13"/>
  <c r="DY27" i="13"/>
  <c r="BB27" i="13"/>
  <c r="BA27" i="13"/>
  <c r="AR27" i="13"/>
  <c r="BT27" i="13"/>
  <c r="AV27" i="13"/>
  <c r="BU27" i="13"/>
  <c r="DN27" i="13"/>
  <c r="EN27" i="13"/>
  <c r="HD27" i="13"/>
  <c r="GR27" i="13"/>
  <c r="AQ27" i="13"/>
  <c r="IK27" i="13"/>
  <c r="AC27" i="13"/>
  <c r="CW27" i="13"/>
  <c r="FG27" i="13"/>
  <c r="BO27" i="13"/>
  <c r="GB27" i="13"/>
  <c r="CK27" i="13"/>
  <c r="EQ27" i="13"/>
  <c r="FN27" i="13"/>
  <c r="GC27" i="13"/>
  <c r="AF27" i="13"/>
  <c r="FF27" i="13"/>
  <c r="GI27" i="13"/>
  <c r="BD27" i="13"/>
  <c r="DU27" i="13"/>
  <c r="IO27" i="13"/>
  <c r="BY27" i="13"/>
  <c r="HH27" i="13"/>
  <c r="FY27" i="13"/>
  <c r="FC27" i="13"/>
  <c r="GU27" i="13"/>
  <c r="AU27" i="13"/>
  <c r="ES27" i="13"/>
  <c r="BG27" i="13"/>
  <c r="IC27" i="13"/>
  <c r="EJ27" i="13"/>
  <c r="DL27" i="13"/>
  <c r="GY27" i="13"/>
  <c r="AL27" i="13"/>
  <c r="DP27" i="13"/>
  <c r="N27" i="13"/>
  <c r="FR27" i="13"/>
  <c r="EK27" i="13"/>
  <c r="FT27" i="13"/>
  <c r="ER27" i="13"/>
  <c r="EI27" i="13"/>
  <c r="EO27" i="13"/>
  <c r="EG27" i="13"/>
  <c r="GK27" i="13"/>
  <c r="GX27" i="13"/>
  <c r="FP27" i="13"/>
  <c r="DZ27" i="13"/>
  <c r="HJ27" i="13"/>
  <c r="EH27" i="13"/>
  <c r="AP27" i="13"/>
  <c r="GQ27" i="13"/>
  <c r="CJ27" i="13"/>
  <c r="CV27" i="13"/>
  <c r="DC27" i="13"/>
  <c r="CO27" i="13"/>
  <c r="CL27" i="13"/>
  <c r="DA27" i="13"/>
  <c r="FW27" i="13"/>
  <c r="CP27" i="13"/>
  <c r="EZ27" i="13"/>
  <c r="FV27" i="13"/>
  <c r="HY27" i="13"/>
  <c r="IR27" i="13"/>
  <c r="G27" i="13"/>
  <c r="AJ27" i="13"/>
  <c r="EF27" i="13"/>
  <c r="HM27" i="13"/>
  <c r="FM27" i="13"/>
  <c r="BH27" i="13"/>
  <c r="AB27" i="13"/>
  <c r="AM27" i="13"/>
  <c r="GL27" i="13"/>
  <c r="V27" i="13"/>
  <c r="U27" i="13"/>
  <c r="HV27" i="13"/>
  <c r="AE27" i="13"/>
  <c r="DO27" i="13"/>
  <c r="DD27" i="13"/>
  <c r="AW27" i="13"/>
  <c r="BO34" i="13"/>
  <c r="AN34" i="13"/>
  <c r="BA34" i="13"/>
  <c r="GO34" i="13"/>
  <c r="HF34" i="13"/>
  <c r="AJ34" i="13"/>
  <c r="BT34" i="13"/>
  <c r="K34" i="13"/>
  <c r="AK34" i="13"/>
  <c r="GG34" i="13"/>
  <c r="FO34" i="13"/>
  <c r="BW34" i="13"/>
  <c r="H34" i="13"/>
  <c r="DL34" i="13"/>
  <c r="GX34" i="13"/>
  <c r="GC34" i="13"/>
  <c r="J34" i="13"/>
  <c r="CU34" i="13"/>
  <c r="W34" i="13"/>
  <c r="AX34" i="13"/>
  <c r="EI34" i="13"/>
  <c r="BR34" i="13"/>
  <c r="IE34" i="13"/>
  <c r="DW34" i="13"/>
  <c r="EB34" i="13"/>
  <c r="IJ34" i="13"/>
  <c r="GS34" i="13"/>
  <c r="FE34" i="13"/>
  <c r="G34" i="13"/>
  <c r="GH34" i="13"/>
  <c r="DH34" i="13"/>
  <c r="EX34" i="13"/>
  <c r="GP34" i="13"/>
  <c r="CZ34" i="13"/>
  <c r="AP34" i="13"/>
  <c r="EQ34" i="13"/>
  <c r="DO34" i="13"/>
  <c r="BN34" i="13"/>
  <c r="DA34" i="13"/>
  <c r="GJ34" i="13"/>
  <c r="GE34" i="13"/>
  <c r="DC34" i="13"/>
  <c r="AT34" i="13"/>
  <c r="FH34" i="13"/>
  <c r="AG34" i="13"/>
  <c r="HJ34" i="13"/>
  <c r="HE34" i="13"/>
  <c r="CJ34" i="13"/>
  <c r="IF34" i="13"/>
  <c r="BF34" i="13"/>
  <c r="FY34" i="13"/>
  <c r="HI34" i="13"/>
  <c r="IC34" i="13"/>
  <c r="DR34" i="13"/>
  <c r="DN34" i="13"/>
  <c r="CF34" i="13"/>
  <c r="GW34" i="13"/>
  <c r="AH34" i="13"/>
  <c r="BQ34" i="13"/>
  <c r="GZ34" i="13"/>
  <c r="IB34" i="13"/>
  <c r="F34" i="13"/>
  <c r="FR34" i="13"/>
  <c r="IQ34" i="13"/>
  <c r="DY34" i="13"/>
  <c r="GL34" i="13"/>
  <c r="DU34" i="13"/>
  <c r="FS34" i="13"/>
  <c r="ET34" i="13"/>
  <c r="EO34" i="13"/>
  <c r="DS34" i="13"/>
  <c r="ID34" i="13"/>
  <c r="EA34" i="13"/>
  <c r="HV34" i="13"/>
  <c r="EN34" i="13"/>
  <c r="P34" i="13"/>
  <c r="FM34" i="13"/>
  <c r="IN34" i="13"/>
  <c r="AL34" i="13"/>
  <c r="CO34" i="13"/>
  <c r="BJ34" i="13"/>
  <c r="CG34" i="13"/>
  <c r="BV34" i="13"/>
  <c r="EE34" i="13"/>
  <c r="CE34" i="13"/>
  <c r="AF34" i="13"/>
  <c r="IH34" i="13"/>
  <c r="CH34" i="13"/>
  <c r="CQ34" i="13"/>
  <c r="GA34" i="13"/>
  <c r="HO34" i="13"/>
  <c r="R34" i="13"/>
  <c r="EZ34" i="13"/>
  <c r="HM34" i="13"/>
  <c r="FG34" i="13"/>
  <c r="FB34" i="13"/>
  <c r="DQ34" i="13"/>
  <c r="L34" i="13"/>
  <c r="EW34" i="13"/>
  <c r="BB34" i="13"/>
  <c r="AA34" i="13"/>
  <c r="FI34" i="13"/>
  <c r="CW34" i="13"/>
  <c r="FK34" i="13"/>
  <c r="HN34" i="13"/>
  <c r="IR34" i="13"/>
  <c r="N34" i="13"/>
  <c r="CX34" i="13"/>
  <c r="ER34" i="13"/>
  <c r="FA34" i="13"/>
  <c r="Y34" i="13"/>
  <c r="DT34" i="13"/>
  <c r="BP34" i="13"/>
  <c r="CD34" i="13"/>
  <c r="AW34" i="13"/>
  <c r="BS34" i="13"/>
  <c r="EC34" i="13"/>
  <c r="BU34" i="13"/>
  <c r="AZ34" i="13"/>
  <c r="X34" i="13"/>
  <c r="CR34" i="13"/>
  <c r="CC34" i="13"/>
  <c r="HY34" i="13"/>
  <c r="CM34" i="13"/>
  <c r="HG34" i="13"/>
  <c r="AC34" i="13"/>
  <c r="AY34" i="13"/>
  <c r="CY34" i="13"/>
  <c r="DV34" i="13"/>
  <c r="AB34" i="13"/>
  <c r="FC34" i="13"/>
  <c r="FZ34" i="13"/>
  <c r="DX34" i="13"/>
  <c r="T34" i="13"/>
  <c r="ED34" i="13"/>
  <c r="AU34" i="13"/>
  <c r="HL34" i="13"/>
  <c r="FP34" i="13"/>
  <c r="IL34" i="13"/>
  <c r="HB34" i="13"/>
  <c r="HA34" i="13"/>
  <c r="EH34" i="13"/>
  <c r="CS34" i="13"/>
  <c r="DE34" i="13"/>
  <c r="FL34" i="13"/>
  <c r="AR34" i="13"/>
  <c r="CP34" i="13"/>
  <c r="DJ34" i="13"/>
  <c r="M34" i="13"/>
  <c r="AM34" i="13"/>
  <c r="FU34" i="13"/>
  <c r="EL34" i="13"/>
  <c r="GV34" i="13"/>
  <c r="IG34" i="13"/>
  <c r="AS34" i="13"/>
  <c r="DP34" i="13"/>
  <c r="BH34" i="13"/>
  <c r="DI34" i="13"/>
  <c r="HH34" i="13"/>
  <c r="E34" i="13"/>
  <c r="GU34" i="13"/>
  <c r="GK34" i="13"/>
  <c r="V34" i="13"/>
  <c r="EY34" i="13"/>
  <c r="HC34" i="13"/>
  <c r="EK34" i="13"/>
  <c r="EV45" i="13"/>
  <c r="EO45" i="13"/>
  <c r="HZ45" i="13"/>
  <c r="GQ45" i="13"/>
  <c r="DC45" i="13"/>
  <c r="FN45" i="13"/>
  <c r="BC45" i="13"/>
  <c r="IN45" i="13"/>
  <c r="IF45" i="13"/>
  <c r="GJ45" i="13"/>
  <c r="HF45" i="13"/>
  <c r="CD45" i="13"/>
  <c r="E45" i="13"/>
  <c r="EA45" i="13"/>
  <c r="EK45" i="13"/>
  <c r="CK45" i="13"/>
  <c r="CF45" i="13"/>
  <c r="FJ45" i="13"/>
  <c r="BX45" i="13"/>
  <c r="EU45" i="13"/>
  <c r="GV45" i="13"/>
  <c r="AW45" i="13"/>
  <c r="HG45" i="13"/>
  <c r="CG45" i="13"/>
  <c r="DP45" i="13"/>
  <c r="DN45" i="13"/>
  <c r="DX45" i="13"/>
  <c r="IQ45" i="13"/>
  <c r="FV45" i="13"/>
  <c r="DT45" i="13"/>
  <c r="ED45" i="13"/>
  <c r="IJ45" i="13"/>
  <c r="FX45" i="13"/>
  <c r="EG45" i="13"/>
  <c r="HR45" i="13"/>
  <c r="BA45" i="13"/>
  <c r="FC45" i="13"/>
  <c r="FT45" i="13"/>
  <c r="GI45" i="13"/>
  <c r="HV45" i="13"/>
  <c r="CX45" i="13"/>
  <c r="HN45" i="13"/>
  <c r="EE45" i="13"/>
  <c r="EL45" i="13"/>
  <c r="DL45" i="13"/>
  <c r="GD45" i="13"/>
  <c r="HB45" i="13"/>
  <c r="BJ45" i="13"/>
  <c r="BN45" i="13"/>
  <c r="IB45" i="13"/>
  <c r="DB45" i="13"/>
  <c r="AV45" i="13"/>
  <c r="GO45" i="13"/>
  <c r="BG45" i="13"/>
  <c r="AQ45" i="13"/>
  <c r="FA45" i="13"/>
  <c r="GA45" i="13"/>
  <c r="HY45" i="13"/>
  <c r="BT45" i="13"/>
  <c r="GL45" i="13"/>
  <c r="FS45" i="13"/>
  <c r="CN45" i="13"/>
  <c r="AY45" i="13"/>
  <c r="IK45" i="13"/>
  <c r="EP45" i="13"/>
  <c r="GT45" i="13"/>
  <c r="AN45" i="13"/>
  <c r="CY45" i="13"/>
  <c r="BR45" i="13"/>
  <c r="FW45" i="13"/>
  <c r="FL45" i="13"/>
  <c r="DZ45" i="13"/>
  <c r="FF45" i="13"/>
  <c r="IM45" i="13"/>
  <c r="IE45" i="13"/>
  <c r="DA45" i="13"/>
  <c r="CS45" i="13"/>
  <c r="DR45" i="13"/>
  <c r="DE45" i="13"/>
  <c r="GN45" i="13"/>
  <c r="EX45" i="13"/>
  <c r="DJ45" i="13"/>
  <c r="CV45" i="13"/>
  <c r="FK45" i="13"/>
  <c r="ER45" i="13"/>
  <c r="F45" i="13"/>
  <c r="ES45" i="13"/>
  <c r="IL45" i="13"/>
  <c r="DQ45" i="13"/>
  <c r="HA45" i="13"/>
  <c r="FO45" i="13"/>
  <c r="CB45" i="13"/>
  <c r="EH45" i="13"/>
  <c r="ID45" i="13"/>
  <c r="CU45" i="13"/>
  <c r="BQ45" i="13"/>
  <c r="GM45" i="13"/>
  <c r="GH45" i="13"/>
  <c r="HS45" i="13"/>
  <c r="AP45" i="13"/>
  <c r="BK45" i="13"/>
  <c r="FH45" i="13"/>
  <c r="CC45" i="13"/>
  <c r="HQ45" i="13"/>
  <c r="DU45" i="13"/>
  <c r="AL45" i="13"/>
  <c r="GS45" i="13"/>
  <c r="DI45" i="13"/>
  <c r="FZ45" i="13"/>
  <c r="AX45" i="13"/>
  <c r="BP45" i="13"/>
  <c r="DH45" i="13"/>
  <c r="EF45" i="13"/>
  <c r="FI45" i="13"/>
  <c r="FY45" i="13"/>
  <c r="FG45" i="13"/>
  <c r="HL45" i="13"/>
  <c r="HP45" i="13"/>
  <c r="IC45" i="13"/>
  <c r="CZ45" i="13"/>
  <c r="GY45" i="13"/>
  <c r="GU45" i="13"/>
  <c r="FE45" i="13"/>
  <c r="CH45" i="13"/>
  <c r="BF45" i="13"/>
  <c r="DK45" i="13"/>
  <c r="BY45" i="13"/>
  <c r="EJ45" i="13"/>
  <c r="CL45" i="13"/>
  <c r="GE45" i="13"/>
  <c r="AO45" i="13"/>
  <c r="CJ45" i="13"/>
  <c r="FM45" i="13"/>
  <c r="EN45" i="13"/>
  <c r="CQ45" i="13"/>
  <c r="BW45" i="13"/>
  <c r="IG45" i="13"/>
  <c r="EM45" i="13"/>
  <c r="AS45" i="13"/>
  <c r="HU45" i="13"/>
  <c r="IO45" i="13"/>
  <c r="DF45" i="13"/>
  <c r="CP45" i="13"/>
  <c r="EW45" i="13"/>
  <c r="EI45" i="13"/>
  <c r="ET45" i="13"/>
  <c r="AJ45" i="13"/>
  <c r="GC45" i="13"/>
  <c r="GF45" i="13"/>
  <c r="FU45" i="13"/>
  <c r="AT45" i="13"/>
  <c r="FD45" i="13"/>
  <c r="IR45" i="13"/>
  <c r="HW45" i="13"/>
  <c r="BH45" i="13"/>
  <c r="CI45" i="13"/>
  <c r="DS45" i="13"/>
  <c r="FP45" i="13"/>
  <c r="HK45" i="13"/>
  <c r="EZ45" i="13"/>
  <c r="FN30" i="13"/>
  <c r="BL30" i="13"/>
  <c r="BY30" i="13"/>
  <c r="GP30" i="13"/>
  <c r="DM30" i="13"/>
  <c r="I30" i="13"/>
  <c r="FT30" i="13"/>
  <c r="FQ30" i="13"/>
  <c r="HP30" i="13"/>
  <c r="V30" i="13"/>
  <c r="FF30" i="13"/>
  <c r="GD30" i="13"/>
  <c r="IA30" i="13"/>
  <c r="BP30" i="13"/>
  <c r="EO30" i="13"/>
  <c r="CI30" i="13"/>
  <c r="EJ30" i="13"/>
  <c r="EE30" i="13"/>
  <c r="DG30" i="13"/>
  <c r="CN30" i="13"/>
  <c r="HH30" i="13"/>
  <c r="GK30" i="13"/>
  <c r="C30" i="13"/>
  <c r="IR30" i="13"/>
  <c r="AL30" i="13"/>
  <c r="GY30" i="13"/>
  <c r="II30" i="13"/>
  <c r="DX30" i="13"/>
  <c r="HO30" i="13"/>
  <c r="GL30" i="13"/>
  <c r="BM30" i="13"/>
  <c r="T30" i="13"/>
  <c r="AM30" i="13"/>
  <c r="IF30" i="13"/>
  <c r="CZ30" i="13"/>
  <c r="S30" i="13"/>
  <c r="AU30" i="13"/>
  <c r="O30" i="13"/>
  <c r="CH30" i="13"/>
  <c r="CU30" i="13"/>
  <c r="IB30" i="13"/>
  <c r="GW30" i="13"/>
  <c r="FD30" i="13"/>
  <c r="HU30" i="13"/>
  <c r="AR30" i="13"/>
  <c r="ED30" i="13"/>
  <c r="EF30" i="13"/>
  <c r="AS30" i="13"/>
  <c r="DS30" i="13"/>
  <c r="L30" i="13"/>
  <c r="GR30" i="13"/>
  <c r="Z30" i="13"/>
  <c r="AD30" i="13"/>
  <c r="BF30" i="13"/>
  <c r="DL30" i="13"/>
  <c r="BI30" i="13"/>
  <c r="GE30" i="13"/>
  <c r="HQ30" i="13"/>
  <c r="HI30" i="13"/>
  <c r="GJ30" i="13"/>
  <c r="HZ30" i="13"/>
  <c r="CW30" i="13"/>
  <c r="CE30" i="13"/>
  <c r="FV30" i="13"/>
  <c r="FZ30" i="13"/>
  <c r="DQ30" i="13"/>
  <c r="DA30" i="13"/>
  <c r="AE30" i="13"/>
  <c r="AX30" i="13"/>
  <c r="GN30" i="13"/>
  <c r="Q30" i="13"/>
  <c r="FL30" i="13"/>
  <c r="HN30" i="13"/>
  <c r="J30" i="13"/>
  <c r="DZ30" i="13"/>
  <c r="HD30" i="13"/>
  <c r="DD30" i="13"/>
  <c r="FU30" i="13"/>
  <c r="IE30" i="13"/>
  <c r="EI30" i="13"/>
  <c r="AI30" i="13"/>
  <c r="BQ30" i="13"/>
  <c r="HB30" i="13"/>
  <c r="EH30" i="13"/>
  <c r="CT30" i="13"/>
  <c r="AO30" i="13"/>
  <c r="EW30" i="13"/>
  <c r="CK30" i="13"/>
  <c r="EA30" i="13"/>
  <c r="EL30" i="13"/>
  <c r="IJ30" i="13"/>
  <c r="BO30" i="13"/>
  <c r="N30" i="13"/>
  <c r="CL30" i="13"/>
  <c r="DC30" i="13"/>
  <c r="E30" i="13"/>
  <c r="EY30" i="13"/>
  <c r="G30" i="13"/>
  <c r="AJ30" i="13"/>
  <c r="IC30" i="13"/>
  <c r="EU30" i="13"/>
  <c r="BK30" i="13"/>
  <c r="AY30" i="13"/>
  <c r="BA30" i="13"/>
  <c r="CR30" i="13"/>
  <c r="HE30" i="13"/>
  <c r="BS30" i="13"/>
  <c r="EX30" i="13"/>
  <c r="DH30" i="13"/>
  <c r="R30" i="13"/>
  <c r="BX30" i="13"/>
  <c r="EQ30" i="13"/>
  <c r="ET30" i="13"/>
  <c r="GB30" i="13"/>
  <c r="DO30" i="13"/>
  <c r="DN30" i="13"/>
  <c r="FE30" i="13"/>
  <c r="BG30" i="13"/>
  <c r="FB30" i="13"/>
  <c r="HR30" i="13"/>
  <c r="GQ30" i="13"/>
  <c r="HV30" i="13"/>
  <c r="GU30" i="13"/>
  <c r="HF30" i="13"/>
  <c r="K30" i="13"/>
  <c r="FR30" i="13"/>
  <c r="IN30" i="13"/>
  <c r="HX30" i="13"/>
  <c r="BH30" i="13"/>
  <c r="GV30" i="13"/>
  <c r="FC30" i="13"/>
  <c r="FG30" i="13"/>
  <c r="FH30" i="13"/>
  <c r="FK30" i="13"/>
  <c r="AG30" i="13"/>
  <c r="BT30" i="13"/>
  <c r="BZ30" i="13"/>
  <c r="GX30" i="13"/>
  <c r="DT30" i="13"/>
  <c r="DV30" i="13"/>
  <c r="IK30" i="13"/>
  <c r="AK30" i="13"/>
  <c r="GI30" i="13"/>
  <c r="EG30" i="13"/>
  <c r="HM30" i="13"/>
  <c r="DK30" i="13"/>
  <c r="ID30" i="13"/>
  <c r="X30" i="13"/>
  <c r="DJ30" i="13"/>
  <c r="CM30" i="13"/>
  <c r="HW30" i="13"/>
  <c r="EC30" i="13"/>
  <c r="Y30" i="13"/>
  <c r="HL30" i="13"/>
  <c r="AC30" i="13"/>
  <c r="IH30" i="13"/>
  <c r="BU30" i="13"/>
  <c r="AH30" i="13"/>
  <c r="BN30" i="13"/>
  <c r="GO30" i="13"/>
  <c r="FS30" i="13"/>
  <c r="CG30" i="13"/>
  <c r="U30" i="13"/>
  <c r="AT30" i="13"/>
  <c r="AW30" i="13"/>
  <c r="HJ30" i="13"/>
  <c r="BJ30" i="13"/>
  <c r="HA30" i="13"/>
  <c r="IQ30" i="13"/>
  <c r="GG30" i="13"/>
  <c r="IL30" i="13"/>
  <c r="GA30" i="13"/>
  <c r="BC30" i="13"/>
  <c r="IM30" i="13"/>
  <c r="GF30" i="13"/>
  <c r="GT30" i="13"/>
  <c r="IO30" i="13"/>
  <c r="AA30" i="13"/>
  <c r="HG30" i="13"/>
  <c r="BE30" i="13"/>
  <c r="GC30" i="13"/>
  <c r="CS30" i="13"/>
  <c r="CF30" i="13"/>
  <c r="FX30" i="13"/>
  <c r="FO30" i="13"/>
  <c r="ER30" i="13"/>
  <c r="HK30" i="13"/>
  <c r="FJ30" i="13"/>
  <c r="FT39" i="13"/>
  <c r="GM37" i="13"/>
  <c r="FP18" i="13"/>
  <c r="HU42" i="13"/>
  <c r="BO36" i="13"/>
  <c r="DP5" i="13"/>
  <c r="ET23" i="13"/>
  <c r="CF7" i="13"/>
  <c r="DG34" i="13"/>
  <c r="GL12" i="13"/>
  <c r="DL16" i="13"/>
  <c r="D19" i="13"/>
  <c r="AY39" i="13"/>
  <c r="AQ49" i="13"/>
  <c r="FF26" i="13"/>
  <c r="DT17" i="13"/>
  <c r="GO21" i="13"/>
  <c r="CS43" i="13"/>
  <c r="EP4" i="13"/>
  <c r="HB37" i="13"/>
  <c r="DG14" i="13"/>
  <c r="BI45" i="13"/>
  <c r="HI48" i="13"/>
  <c r="GH12" i="13"/>
  <c r="GF6" i="13"/>
  <c r="FI21" i="13"/>
  <c r="BV49" i="13"/>
  <c r="F26" i="13"/>
  <c r="CC39" i="13"/>
  <c r="HU17" i="13"/>
  <c r="AL38" i="13"/>
  <c r="CC49" i="13"/>
  <c r="DI53" i="13"/>
  <c r="HY52" i="13"/>
  <c r="FD34" i="13"/>
  <c r="EB14" i="13"/>
  <c r="BJ29" i="13"/>
  <c r="DG19" i="13"/>
  <c r="FU23" i="13"/>
  <c r="HJ22" i="13"/>
  <c r="GY4" i="13"/>
  <c r="CD36" i="13"/>
  <c r="DI7" i="13"/>
  <c r="CQ30" i="13"/>
  <c r="DK52" i="13"/>
  <c r="FM24" i="13"/>
  <c r="IM39" i="13"/>
  <c r="FM10" i="13"/>
  <c r="DO14" i="13"/>
  <c r="BM4" i="13"/>
  <c r="GP51" i="13"/>
  <c r="CG47" i="13"/>
  <c r="EL42" i="13"/>
  <c r="AT8" i="13"/>
  <c r="CR11" i="13"/>
  <c r="HA52" i="13"/>
  <c r="Y9" i="13"/>
  <c r="T9" i="13"/>
  <c r="BN31" i="13"/>
  <c r="T4" i="13"/>
  <c r="HC40" i="13"/>
  <c r="L17" i="13"/>
  <c r="HR41" i="13"/>
  <c r="IQ27" i="13"/>
  <c r="HA12" i="13"/>
  <c r="HI28" i="13"/>
  <c r="GW23" i="13"/>
  <c r="EV40" i="13"/>
  <c r="FB38" i="13"/>
  <c r="HK16" i="13"/>
  <c r="GX5" i="13"/>
  <c r="D28" i="13"/>
  <c r="CZ8" i="13"/>
  <c r="BL13" i="13"/>
  <c r="N22" i="13"/>
  <c r="AJ9" i="13"/>
  <c r="HM5" i="13"/>
  <c r="DK41" i="13"/>
  <c r="F16" i="13"/>
  <c r="GS28" i="13"/>
  <c r="CD35" i="13"/>
  <c r="FR25" i="13"/>
  <c r="IK48" i="13"/>
  <c r="IM29" i="13"/>
  <c r="X24" i="13"/>
  <c r="AD18" i="13"/>
  <c r="CN29" i="13"/>
  <c r="AJ31" i="13"/>
  <c r="IJ47" i="13"/>
  <c r="AZ52" i="13"/>
  <c r="FF42" i="13"/>
  <c r="IK40" i="13"/>
  <c r="BB4" i="13"/>
  <c r="AL51" i="13"/>
  <c r="DS42" i="13"/>
  <c r="HR47" i="13"/>
  <c r="AG6" i="13"/>
  <c r="HK51" i="13"/>
  <c r="EB9" i="13"/>
  <c r="DO13" i="13"/>
  <c r="DO53" i="13"/>
  <c r="DO16" i="13"/>
  <c r="GC17" i="13"/>
  <c r="GC40" i="13"/>
  <c r="AN30" i="13"/>
  <c r="FP36" i="13"/>
  <c r="ER13" i="13"/>
  <c r="HF32" i="13"/>
  <c r="BH37" i="13"/>
  <c r="DR31" i="13"/>
  <c r="GB33" i="13"/>
  <c r="BX23" i="13"/>
  <c r="II16" i="13"/>
  <c r="IR16" i="13"/>
  <c r="FO46" i="13"/>
  <c r="EN44" i="13"/>
  <c r="BF13" i="13"/>
  <c r="HQ38" i="13"/>
  <c r="FB37" i="13"/>
  <c r="L6" i="13"/>
  <c r="HZ6" i="13"/>
  <c r="FL6" i="13"/>
  <c r="DJ51" i="13"/>
  <c r="CC4" i="13"/>
  <c r="EW40" i="13"/>
  <c r="GX45" i="13"/>
  <c r="EE37" i="13"/>
  <c r="AO52" i="13"/>
  <c r="EQ33" i="13"/>
  <c r="IM7" i="13"/>
  <c r="FB21" i="13"/>
  <c r="DS10" i="13"/>
  <c r="HF35" i="13"/>
  <c r="GM33" i="13"/>
  <c r="HO45" i="13"/>
  <c r="GB19" i="13"/>
  <c r="BC38" i="13"/>
  <c r="FV20" i="13"/>
  <c r="FP24" i="13"/>
  <c r="EX37" i="13"/>
  <c r="CB44" i="13"/>
  <c r="AU20" i="13"/>
  <c r="HG51" i="13"/>
  <c r="HG21" i="13"/>
  <c r="II43" i="13"/>
  <c r="GZ33" i="13"/>
  <c r="Z13" i="13"/>
  <c r="HM36" i="13"/>
  <c r="EY49" i="13"/>
  <c r="V12" i="13"/>
  <c r="DI48" i="13"/>
  <c r="CM53" i="13"/>
  <c r="GL53" i="13"/>
  <c r="DA9" i="13"/>
  <c r="CU38" i="13"/>
  <c r="IA26" i="13"/>
  <c r="W28" i="13"/>
  <c r="DU8" i="13"/>
  <c r="AC7" i="13"/>
  <c r="IR32" i="13"/>
  <c r="GO37" i="13"/>
  <c r="IC21" i="13"/>
  <c r="FW19" i="13"/>
  <c r="DM24" i="13"/>
  <c r="CV44" i="13"/>
  <c r="EJ34" i="13"/>
  <c r="GW45" i="13"/>
  <c r="CJ19" i="13"/>
  <c r="CU49" i="13"/>
  <c r="CP42" i="13"/>
  <c r="EM49" i="13"/>
  <c r="HY38" i="13"/>
  <c r="BH6" i="13"/>
  <c r="FL38" i="13"/>
  <c r="DD22" i="13"/>
  <c r="FL5" i="13"/>
  <c r="IJ24" i="13"/>
  <c r="BG26" i="13"/>
  <c r="BB52" i="13"/>
  <c r="FA38" i="13"/>
  <c r="EV9" i="13"/>
  <c r="EE22" i="13"/>
  <c r="DB43" i="13"/>
  <c r="EB27" i="13"/>
  <c r="BT19" i="13"/>
  <c r="DU4" i="13"/>
  <c r="EJ33" i="13"/>
  <c r="I26" i="13"/>
  <c r="DR12" i="13"/>
  <c r="CD12" i="13"/>
  <c r="CY27" i="13"/>
  <c r="HO33" i="13"/>
  <c r="FJ14" i="13"/>
  <c r="ED18" i="13"/>
  <c r="HP35" i="13"/>
  <c r="HV31" i="13"/>
  <c r="IL19" i="13"/>
  <c r="GA15" i="13"/>
  <c r="BK34" i="13"/>
  <c r="AT26" i="13"/>
  <c r="EJ7" i="13"/>
  <c r="DD13" i="13"/>
  <c r="IH45" i="13"/>
  <c r="DK5" i="13"/>
  <c r="FY40" i="13"/>
  <c r="AZ23" i="13"/>
  <c r="BV52" i="13"/>
  <c r="CD38" i="13"/>
  <c r="EL47" i="13"/>
  <c r="FA46" i="13"/>
  <c r="E49" i="13"/>
  <c r="EZ42" i="13"/>
  <c r="J17" i="13"/>
  <c r="HW46" i="13"/>
  <c r="EL16" i="13"/>
  <c r="DO33" i="13"/>
  <c r="AP41" i="13"/>
  <c r="CE20" i="13"/>
  <c r="DL17" i="13"/>
  <c r="EY36" i="13"/>
  <c r="CJ41" i="13"/>
  <c r="FG26" i="13"/>
  <c r="DB20" i="13"/>
  <c r="CX30" i="13"/>
  <c r="EQ35" i="13"/>
  <c r="BE13" i="13"/>
  <c r="CY35" i="13"/>
  <c r="AN8" i="13"/>
  <c r="S8" i="13"/>
  <c r="HA44" i="13"/>
  <c r="IJ48" i="13"/>
  <c r="DQ49" i="13"/>
  <c r="DF16" i="13"/>
  <c r="EV5" i="13"/>
  <c r="DK18" i="13"/>
  <c r="GB46" i="13"/>
  <c r="IE35" i="13"/>
  <c r="CW24" i="13"/>
  <c r="CH44" i="13"/>
  <c r="HW24" i="13"/>
  <c r="HX14" i="13"/>
  <c r="D33" i="13"/>
  <c r="CH16" i="13"/>
  <c r="IM46" i="13"/>
  <c r="BM20" i="13"/>
  <c r="GG8" i="13"/>
  <c r="AZ37" i="13"/>
  <c r="GD39" i="13"/>
  <c r="GQ6" i="13"/>
  <c r="DG45" i="13"/>
  <c r="HV50" i="13"/>
  <c r="HI23" i="13"/>
  <c r="GB37" i="13"/>
  <c r="FQ28" i="13"/>
  <c r="EU25" i="13"/>
  <c r="BA10" i="13"/>
  <c r="ED15" i="13"/>
  <c r="AY23" i="13"/>
  <c r="AQ50" i="13"/>
  <c r="EI41" i="13"/>
  <c r="EL49" i="13"/>
  <c r="FQ13" i="13"/>
  <c r="AI22" i="13"/>
  <c r="CN17" i="13"/>
  <c r="CJ30" i="13"/>
  <c r="DB8" i="13"/>
  <c r="AN12" i="13"/>
  <c r="R17" i="13"/>
  <c r="HP44" i="13"/>
  <c r="EB45" i="13"/>
  <c r="M32" i="13"/>
  <c r="FR17" i="13"/>
  <c r="ES17" i="13"/>
  <c r="DQ37" i="13"/>
  <c r="DQ47" i="13"/>
  <c r="BV5" i="13"/>
  <c r="DI37" i="13"/>
  <c r="FN36" i="13"/>
  <c r="EL25" i="13"/>
  <c r="DT20" i="13"/>
  <c r="HR31" i="13"/>
  <c r="ET9" i="13"/>
  <c r="DH49" i="13"/>
  <c r="EJ16" i="13"/>
  <c r="CB9" i="13"/>
  <c r="AS35" i="13"/>
  <c r="GV33" i="13"/>
  <c r="DF34" i="13"/>
  <c r="CN27" i="13"/>
  <c r="FN15" i="13"/>
  <c r="FB6" i="13"/>
  <c r="DZ25" i="13"/>
  <c r="CK35" i="13"/>
  <c r="O21" i="13"/>
  <c r="FZ13" i="13"/>
  <c r="BH23" i="13"/>
  <c r="IN17" i="13"/>
  <c r="DA12" i="13"/>
  <c r="GH42" i="13"/>
  <c r="BT6" i="13"/>
  <c r="BW25" i="13"/>
  <c r="FZ48" i="13"/>
  <c r="CF10" i="13"/>
  <c r="FD50" i="13"/>
  <c r="DK49" i="13"/>
  <c r="FD21" i="13"/>
  <c r="DH10" i="13"/>
  <c r="FS48" i="13"/>
  <c r="CU19" i="13"/>
  <c r="IL29" i="13"/>
  <c r="GL43" i="13"/>
  <c r="F17" i="13"/>
  <c r="EG34" i="13"/>
  <c r="DB9" i="13"/>
  <c r="BY24" i="13"/>
  <c r="AK38" i="13"/>
  <c r="IJ23" i="13"/>
  <c r="AS42" i="13"/>
  <c r="CM45" i="13"/>
  <c r="DN12" i="13"/>
  <c r="AI40" i="13"/>
  <c r="CY30" i="13"/>
  <c r="Z29" i="13"/>
  <c r="FV40" i="13"/>
  <c r="DK43" i="13"/>
  <c r="BL32" i="13"/>
  <c r="CP10" i="13"/>
  <c r="AW10" i="13"/>
  <c r="HP20" i="13"/>
  <c r="HG33" i="13"/>
  <c r="HR14" i="13"/>
  <c r="BH15" i="13"/>
  <c r="FG38" i="13"/>
  <c r="BV33" i="13"/>
  <c r="FB40" i="13"/>
  <c r="BF21" i="13"/>
  <c r="DV45" i="13"/>
  <c r="GO9" i="13"/>
  <c r="FP53" i="13"/>
  <c r="BI51" i="13"/>
  <c r="FU28" i="13"/>
  <c r="GM39" i="13"/>
  <c r="GI37" i="13"/>
  <c r="CR13" i="13"/>
  <c r="BT20" i="13"/>
  <c r="DW51" i="13"/>
  <c r="AE5" i="13"/>
  <c r="DU51" i="13"/>
  <c r="IJ25" i="13"/>
  <c r="HS33" i="13"/>
  <c r="AU17" i="13"/>
  <c r="EF12" i="13"/>
  <c r="AE34" i="13"/>
  <c r="FM13" i="13"/>
  <c r="CX46" i="13"/>
  <c r="CX11" i="13"/>
  <c r="HH35" i="13"/>
  <c r="S20" i="13"/>
  <c r="GI12" i="13"/>
  <c r="CH32" i="13"/>
  <c r="H28" i="13"/>
  <c r="GK25" i="13"/>
  <c r="CX52" i="13"/>
  <c r="BX40" i="13"/>
  <c r="S17" i="13"/>
  <c r="IE25" i="13"/>
  <c r="EM30" i="13"/>
  <c r="IK16" i="13"/>
  <c r="FO11" i="13"/>
  <c r="BU6" i="13"/>
  <c r="AE28" i="13"/>
  <c r="DV23" i="13"/>
  <c r="EQ45" i="13"/>
  <c r="FQ4" i="13"/>
  <c r="HZ9" i="13"/>
  <c r="CR19" i="13"/>
  <c r="FG19" i="13"/>
  <c r="IN12" i="13"/>
  <c r="AV48" i="13"/>
  <c r="FY21" i="13"/>
  <c r="HF50" i="13"/>
  <c r="DY5" i="13"/>
  <c r="GI6" i="13"/>
  <c r="FY17" i="13"/>
  <c r="HD34" i="13"/>
  <c r="HJ40" i="13"/>
  <c r="GP45" i="13"/>
  <c r="X32" i="13"/>
  <c r="GO14" i="13"/>
  <c r="GO10" i="13"/>
  <c r="DL33" i="13"/>
  <c r="AR29" i="13"/>
  <c r="BF22" i="13"/>
  <c r="EG42" i="13"/>
  <c r="DI50" i="13"/>
  <c r="FB45" i="13"/>
  <c r="BW18" i="13"/>
  <c r="AT51" i="13"/>
  <c r="CQ39" i="13"/>
  <c r="AK35" i="13"/>
  <c r="HB18" i="13"/>
  <c r="EM47" i="13"/>
  <c r="FE10" i="13"/>
  <c r="HO14" i="13"/>
  <c r="BD29" i="13"/>
  <c r="CN14" i="13"/>
  <c r="K16" i="13"/>
  <c r="AI4" i="13"/>
  <c r="CK46" i="13"/>
  <c r="FC28" i="13"/>
  <c r="BT10" i="13"/>
  <c r="EN7" i="13"/>
  <c r="FD25" i="13"/>
  <c r="IO51" i="13"/>
  <c r="IK21" i="13"/>
  <c r="DN19" i="13"/>
  <c r="FC44" i="13"/>
  <c r="AN37" i="13"/>
  <c r="GJ20" i="13"/>
  <c r="CI20" i="13"/>
  <c r="FS24" i="13"/>
  <c r="DR46" i="13"/>
  <c r="FR45" i="13"/>
  <c r="IR12" i="13"/>
  <c r="GX19" i="13"/>
  <c r="CT5" i="13"/>
  <c r="BZ46" i="13"/>
  <c r="EL4" i="13"/>
  <c r="FH44" i="13"/>
  <c r="J9" i="13"/>
  <c r="AC9" i="13"/>
  <c r="BA9" i="13"/>
  <c r="FG9" i="13"/>
  <c r="EJ9" i="13"/>
  <c r="CP9" i="13"/>
  <c r="FE9" i="13"/>
  <c r="II9" i="13"/>
  <c r="FA9" i="13"/>
  <c r="CM9" i="13"/>
  <c r="FI9" i="13"/>
  <c r="EM9" i="13"/>
  <c r="FZ9" i="13"/>
  <c r="CC9" i="13"/>
  <c r="DT9" i="13"/>
  <c r="DU9" i="13"/>
  <c r="ER9" i="13"/>
  <c r="FP9" i="13"/>
  <c r="CR9" i="13"/>
  <c r="HN9" i="13"/>
  <c r="AY9" i="13"/>
  <c r="FU9" i="13"/>
  <c r="FV9" i="13"/>
  <c r="ID9" i="13"/>
  <c r="GP9" i="13"/>
  <c r="FX9" i="13"/>
  <c r="HX9" i="13"/>
  <c r="HO9" i="13"/>
  <c r="GF9" i="13"/>
  <c r="AT9" i="13"/>
  <c r="C9" i="13"/>
  <c r="FY9" i="13"/>
  <c r="CJ9" i="13"/>
  <c r="AG9" i="13"/>
  <c r="ED9" i="13"/>
  <c r="DI9" i="13"/>
  <c r="FS9" i="13"/>
  <c r="GW9" i="13"/>
  <c r="FK9" i="13"/>
  <c r="AX9" i="13"/>
  <c r="CZ9" i="13"/>
  <c r="AW9" i="13"/>
  <c r="K9" i="13"/>
  <c r="BG9" i="13"/>
  <c r="BB9" i="13"/>
  <c r="FN9" i="13"/>
  <c r="HJ9" i="13"/>
  <c r="HL9" i="13"/>
  <c r="IN9" i="13"/>
  <c r="GH9" i="13"/>
  <c r="EW9" i="13"/>
  <c r="DZ9" i="13"/>
  <c r="EC9" i="13"/>
  <c r="BV9" i="13"/>
  <c r="DQ9" i="13"/>
  <c r="N9" i="13"/>
  <c r="IF9" i="13"/>
  <c r="EY9" i="13"/>
  <c r="EL9" i="13"/>
  <c r="CF9" i="13"/>
  <c r="IR9" i="13"/>
  <c r="CO9" i="13"/>
  <c r="BD9" i="13"/>
  <c r="HV9" i="13"/>
  <c r="EQ9" i="13"/>
  <c r="GD9" i="13"/>
  <c r="BO9" i="13"/>
  <c r="AD9" i="13"/>
  <c r="AV9" i="13"/>
  <c r="GN9" i="13"/>
  <c r="CG9" i="13"/>
  <c r="V9" i="13"/>
  <c r="U9" i="13"/>
  <c r="P9" i="13"/>
  <c r="AU9" i="13"/>
  <c r="HE9" i="13"/>
  <c r="CS9" i="13"/>
  <c r="DJ9" i="13"/>
  <c r="DN9" i="13"/>
  <c r="ES9" i="13"/>
  <c r="BI9" i="13"/>
  <c r="BU9" i="13"/>
  <c r="BN9" i="13"/>
  <c r="EK9" i="13"/>
  <c r="IL9" i="13"/>
  <c r="GQ9" i="13"/>
  <c r="BR9" i="13"/>
  <c r="CI9" i="13"/>
  <c r="CK9" i="13"/>
  <c r="DK9" i="13"/>
  <c r="EF9" i="13"/>
  <c r="GL9" i="13"/>
  <c r="DF9" i="13"/>
  <c r="D9" i="13"/>
  <c r="IE9" i="13"/>
  <c r="BS9" i="13"/>
  <c r="S9" i="13"/>
  <c r="BK9" i="13"/>
  <c r="HB9" i="13"/>
  <c r="M9" i="13"/>
  <c r="Q9" i="13"/>
  <c r="BW9" i="13"/>
  <c r="HF9" i="13"/>
  <c r="DR9" i="13"/>
  <c r="CD9" i="13"/>
  <c r="AQ9" i="13"/>
  <c r="EH9" i="13"/>
  <c r="HS9" i="13"/>
  <c r="EG9" i="13"/>
  <c r="DY9" i="13"/>
  <c r="GE9" i="13"/>
  <c r="CQ9" i="13"/>
  <c r="GZ9" i="13"/>
  <c r="BQ9" i="13"/>
  <c r="EA9" i="13"/>
  <c r="GR9" i="13"/>
  <c r="BP9" i="13"/>
  <c r="BJ9" i="13"/>
  <c r="HM9" i="13"/>
  <c r="W9" i="13"/>
  <c r="BE9" i="13"/>
  <c r="DP9" i="13"/>
  <c r="HW9" i="13"/>
  <c r="BC9" i="13"/>
  <c r="CN9" i="13"/>
  <c r="F9" i="13"/>
  <c r="BT9" i="13"/>
  <c r="IG9" i="13"/>
  <c r="GI9" i="13"/>
  <c r="HK9" i="13"/>
  <c r="R9" i="13"/>
  <c r="IQ9" i="13"/>
  <c r="BL9" i="13"/>
  <c r="FF9" i="13"/>
  <c r="DC9" i="13"/>
  <c r="DD9" i="13"/>
  <c r="EE9" i="13"/>
  <c r="FH9" i="13"/>
  <c r="DW9" i="13"/>
  <c r="EU9" i="13"/>
  <c r="CY9" i="13"/>
  <c r="CU9" i="13"/>
  <c r="EX9" i="13"/>
  <c r="BF9" i="13"/>
  <c r="GX9" i="13"/>
  <c r="FR9" i="13"/>
  <c r="DL9" i="13"/>
  <c r="CW9" i="13"/>
  <c r="AM9" i="13"/>
  <c r="FO9" i="13"/>
  <c r="E9" i="13"/>
  <c r="Z9" i="13"/>
  <c r="IM9" i="13"/>
  <c r="DH9" i="13"/>
  <c r="AL9" i="13"/>
  <c r="CQ7" i="13"/>
  <c r="GE46" i="13"/>
  <c r="EZ9" i="13"/>
  <c r="BZ9" i="13"/>
  <c r="IC7" i="13"/>
  <c r="CS35" i="13"/>
  <c r="HK7" i="13"/>
  <c r="HH51" i="13"/>
  <c r="HO11" i="13"/>
  <c r="GP46" i="13"/>
  <c r="IN7" i="13"/>
  <c r="CM15" i="13"/>
  <c r="BB15" i="13"/>
  <c r="Y15" i="13"/>
  <c r="GN15" i="13"/>
  <c r="AA15" i="13"/>
  <c r="DI15" i="13"/>
  <c r="AZ15" i="13"/>
  <c r="CJ15" i="13"/>
  <c r="BE15" i="13"/>
  <c r="CT15" i="13"/>
  <c r="FA15" i="13"/>
  <c r="HW15" i="13"/>
  <c r="GP15" i="13"/>
  <c r="N15" i="13"/>
  <c r="DF15" i="13"/>
  <c r="HB15" i="13"/>
  <c r="EI15" i="13"/>
  <c r="GY15" i="13"/>
  <c r="FG15" i="13"/>
  <c r="DO15" i="13"/>
  <c r="EJ15" i="13"/>
  <c r="GH15" i="13"/>
  <c r="IN15" i="13"/>
  <c r="HA15" i="13"/>
  <c r="ET15" i="13"/>
  <c r="EU15" i="13"/>
  <c r="CE15" i="13"/>
  <c r="IK15" i="13"/>
  <c r="FZ15" i="13"/>
  <c r="ES15" i="13"/>
  <c r="W15" i="13"/>
  <c r="BZ15" i="13"/>
  <c r="GE15" i="13"/>
  <c r="EK15" i="13"/>
  <c r="FS15" i="13"/>
  <c r="Z15" i="13"/>
  <c r="DC15" i="13"/>
  <c r="E15" i="13"/>
  <c r="BR15" i="13"/>
  <c r="AY15" i="13"/>
  <c r="CS15" i="13"/>
  <c r="D15" i="13"/>
  <c r="FY15" i="13"/>
  <c r="CI15" i="13"/>
  <c r="CR15" i="13"/>
  <c r="IF15" i="13"/>
  <c r="AI15" i="13"/>
  <c r="AU15" i="13"/>
  <c r="DL15" i="13"/>
  <c r="IG15" i="13"/>
  <c r="CP15" i="13"/>
  <c r="CB15" i="13"/>
  <c r="GL15" i="13"/>
  <c r="BF15" i="13"/>
  <c r="AV15" i="13"/>
  <c r="GU15" i="13"/>
  <c r="EP15" i="13"/>
  <c r="FW15" i="13"/>
  <c r="IR15" i="13"/>
  <c r="CH15" i="13"/>
  <c r="DY15" i="13"/>
  <c r="AH15" i="13"/>
  <c r="AS15" i="13"/>
  <c r="FX15" i="13"/>
  <c r="ID15" i="13"/>
  <c r="P15" i="13"/>
  <c r="CN15" i="13"/>
  <c r="HG15" i="13"/>
  <c r="FR15" i="13"/>
  <c r="BJ15" i="13"/>
  <c r="DT15" i="13"/>
  <c r="CW15" i="13"/>
  <c r="C15" i="13"/>
  <c r="FI15" i="13"/>
  <c r="GT15" i="13"/>
  <c r="M15" i="13"/>
  <c r="CQ15" i="13"/>
  <c r="IQ15" i="13"/>
  <c r="GO15" i="13"/>
  <c r="DR15" i="13"/>
  <c r="GF15" i="13"/>
  <c r="FP15" i="13"/>
  <c r="J15" i="13"/>
  <c r="CO15" i="13"/>
  <c r="FB15" i="13"/>
  <c r="BQ15" i="13"/>
  <c r="IE15" i="13"/>
  <c r="CY15" i="13"/>
  <c r="H15" i="13"/>
  <c r="HR15" i="13"/>
  <c r="EW15" i="13"/>
  <c r="AE15" i="13"/>
  <c r="HF15" i="13"/>
  <c r="GM15" i="13"/>
  <c r="DZ15" i="13"/>
  <c r="DB15" i="13"/>
  <c r="AW15" i="13"/>
  <c r="EA15" i="13"/>
  <c r="EL15" i="13"/>
  <c r="GB15" i="13"/>
  <c r="T15" i="13"/>
  <c r="AP15" i="13"/>
  <c r="IM15" i="13"/>
  <c r="K15" i="13"/>
  <c r="FD15" i="13"/>
  <c r="DG15" i="13"/>
  <c r="GW15" i="13"/>
  <c r="HP15" i="13"/>
  <c r="BO15" i="13"/>
  <c r="AF15" i="13"/>
  <c r="BL15" i="13"/>
  <c r="HH15" i="13"/>
  <c r="AL15" i="13"/>
  <c r="FK15" i="13"/>
  <c r="EF15" i="13"/>
  <c r="AK15" i="13"/>
  <c r="HJ15" i="13"/>
  <c r="FV15" i="13"/>
  <c r="DU15" i="13"/>
  <c r="AQ15" i="13"/>
  <c r="BM15" i="13"/>
  <c r="HU15" i="13"/>
  <c r="DM15" i="13"/>
  <c r="FH15" i="13"/>
  <c r="HY15" i="13"/>
  <c r="BI15" i="13"/>
  <c r="DV15" i="13"/>
  <c r="EC15" i="13"/>
  <c r="DJ15" i="13"/>
  <c r="DQ15" i="13"/>
  <c r="I15" i="13"/>
  <c r="CG15" i="13"/>
  <c r="GZ15" i="13"/>
  <c r="GX15" i="13"/>
  <c r="BK15" i="13"/>
  <c r="CX15" i="13"/>
  <c r="EN15" i="13"/>
  <c r="HT15" i="13"/>
  <c r="HI15" i="13"/>
  <c r="BD15" i="13"/>
  <c r="GI15" i="13"/>
  <c r="GC15" i="13"/>
  <c r="CL15" i="13"/>
  <c r="GV15" i="13"/>
  <c r="CZ15" i="13"/>
  <c r="BT15" i="13"/>
  <c r="HC15" i="13"/>
  <c r="FL15" i="13"/>
  <c r="GD15" i="13"/>
  <c r="X15" i="13"/>
  <c r="IA15" i="13"/>
  <c r="HE15" i="13"/>
  <c r="S15" i="13"/>
  <c r="CU15" i="13"/>
  <c r="L15" i="13"/>
  <c r="BC15" i="13"/>
  <c r="CD15" i="13"/>
  <c r="AC15" i="13"/>
  <c r="HN15" i="13"/>
  <c r="BV15" i="13"/>
  <c r="DP15" i="13"/>
  <c r="EG15" i="13"/>
  <c r="IO15" i="13"/>
  <c r="BY15" i="13"/>
  <c r="EX15" i="13"/>
  <c r="HO15" i="13"/>
  <c r="HX15" i="13"/>
  <c r="HK15" i="13"/>
  <c r="GQ15" i="13"/>
  <c r="GJ15" i="13"/>
  <c r="EB15" i="13"/>
  <c r="BN15" i="13"/>
  <c r="O15" i="13"/>
  <c r="FQ15" i="13"/>
  <c r="BU15" i="13"/>
  <c r="AU13" i="13"/>
  <c r="BU13" i="13"/>
  <c r="K13" i="13"/>
  <c r="AM13" i="13"/>
  <c r="FD13" i="13"/>
  <c r="S13" i="13"/>
  <c r="CB13" i="13"/>
  <c r="CD13" i="13"/>
  <c r="DZ13" i="13"/>
  <c r="AV13" i="13"/>
  <c r="HL13" i="13"/>
  <c r="DU13" i="13"/>
  <c r="P13" i="13"/>
  <c r="HU13" i="13"/>
  <c r="AL13" i="13"/>
  <c r="GR13" i="13"/>
  <c r="CS13" i="13"/>
  <c r="EO13" i="13"/>
  <c r="CX13" i="13"/>
  <c r="EJ13" i="13"/>
  <c r="GN13" i="13"/>
  <c r="HE13" i="13"/>
  <c r="EW13" i="13"/>
  <c r="GX13" i="13"/>
  <c r="HP13" i="13"/>
  <c r="IB13" i="13"/>
  <c r="L13" i="13"/>
  <c r="GQ13" i="13"/>
  <c r="HS13" i="13"/>
  <c r="AJ13" i="13"/>
  <c r="IC13" i="13"/>
  <c r="HJ13" i="13"/>
  <c r="BQ13" i="13"/>
  <c r="W13" i="13"/>
  <c r="AI13" i="13"/>
  <c r="M13" i="13"/>
  <c r="FH13" i="13"/>
  <c r="BJ13" i="13"/>
  <c r="HX13" i="13"/>
  <c r="CV13" i="13"/>
  <c r="GW13" i="13"/>
  <c r="DS13" i="13"/>
  <c r="BK13" i="13"/>
  <c r="GS13" i="13"/>
  <c r="IR13" i="13"/>
  <c r="GP13" i="13"/>
  <c r="AK13" i="13"/>
  <c r="BV13" i="13"/>
  <c r="AC13" i="13"/>
  <c r="C13" i="13"/>
  <c r="IF13" i="13"/>
  <c r="BW13" i="13"/>
  <c r="FO13" i="13"/>
  <c r="CO13" i="13"/>
  <c r="GI13" i="13"/>
  <c r="DB13" i="13"/>
  <c r="GE13" i="13"/>
  <c r="DW13" i="13"/>
  <c r="EG13" i="13"/>
  <c r="HG13" i="13"/>
  <c r="EZ13" i="13"/>
  <c r="AR13" i="13"/>
  <c r="V13" i="13"/>
  <c r="FK13" i="13"/>
  <c r="Q13" i="13"/>
  <c r="CC13" i="13"/>
  <c r="IK13" i="13"/>
  <c r="IJ13" i="13"/>
  <c r="CZ13" i="13"/>
  <c r="D13" i="13"/>
  <c r="HI13" i="13"/>
  <c r="EY13" i="13"/>
  <c r="DF13" i="13"/>
  <c r="HB13" i="13"/>
  <c r="FU13" i="13"/>
  <c r="AH13" i="13"/>
  <c r="CE13" i="13"/>
  <c r="HK13" i="13"/>
  <c r="BG13" i="13"/>
  <c r="AN13" i="13"/>
  <c r="GJ13" i="13"/>
  <c r="EV13" i="13"/>
  <c r="CH13" i="13"/>
  <c r="BX13" i="13"/>
  <c r="AW13" i="13"/>
  <c r="GG13" i="13"/>
  <c r="CN13" i="13"/>
  <c r="DV13" i="13"/>
  <c r="BM13" i="13"/>
  <c r="DG13" i="13"/>
  <c r="EB13" i="13"/>
  <c r="IE13" i="13"/>
  <c r="ED13" i="13"/>
  <c r="HH13" i="13"/>
  <c r="DM13" i="13"/>
  <c r="FL13" i="13"/>
  <c r="AQ13" i="13"/>
  <c r="HR13" i="13"/>
  <c r="CK13" i="13"/>
  <c r="BI13" i="13"/>
  <c r="R13" i="13"/>
  <c r="IH13" i="13"/>
  <c r="H13" i="13"/>
  <c r="GC13" i="13"/>
  <c r="DQ13" i="13"/>
  <c r="GM13" i="13"/>
  <c r="AP13" i="13"/>
  <c r="HW13" i="13"/>
  <c r="IQ13" i="13"/>
  <c r="HD13" i="13"/>
  <c r="AS13" i="13"/>
  <c r="CP13" i="13"/>
  <c r="CW13" i="13"/>
  <c r="DH13" i="13"/>
  <c r="HM13" i="13"/>
  <c r="EK13" i="13"/>
  <c r="HF13" i="13"/>
  <c r="BT13" i="13"/>
  <c r="BC13" i="13"/>
  <c r="AZ13" i="13"/>
  <c r="AA13" i="13"/>
  <c r="EQ13" i="13"/>
  <c r="GZ13" i="13"/>
  <c r="GB13" i="13"/>
  <c r="GL13" i="13"/>
  <c r="EN13" i="13"/>
  <c r="IL13" i="13"/>
  <c r="AO13" i="13"/>
  <c r="GK13" i="13"/>
  <c r="AD13" i="13"/>
  <c r="BP13" i="13"/>
  <c r="BO13" i="13"/>
  <c r="GU13" i="13"/>
  <c r="DY13" i="13"/>
  <c r="BS13" i="13"/>
  <c r="CF13" i="13"/>
  <c r="BY13" i="13"/>
  <c r="HO13" i="13"/>
  <c r="DJ13" i="13"/>
  <c r="GV13" i="13"/>
  <c r="AX13" i="13"/>
  <c r="GT13" i="13"/>
  <c r="IO13" i="13"/>
  <c r="AB13" i="13"/>
  <c r="EE13" i="13"/>
  <c r="AG13" i="13"/>
  <c r="ID13" i="13"/>
  <c r="CI13" i="13"/>
  <c r="GA13" i="13"/>
  <c r="FW13" i="13"/>
  <c r="AE13" i="13"/>
  <c r="DT13" i="13"/>
  <c r="ET13" i="13"/>
  <c r="IG13" i="13"/>
  <c r="EX13" i="13"/>
  <c r="EH13" i="13"/>
  <c r="I13" i="13"/>
  <c r="HN13" i="13"/>
  <c r="X13" i="13"/>
  <c r="IM13" i="13"/>
  <c r="HT13" i="13"/>
  <c r="CY13" i="13"/>
  <c r="ES13" i="13"/>
  <c r="CQ13" i="13"/>
  <c r="CJ13" i="13"/>
  <c r="EM13" i="13"/>
  <c r="HD22" i="13"/>
  <c r="HQ22" i="13"/>
  <c r="EA22" i="13"/>
  <c r="HG22" i="13"/>
  <c r="FB22" i="13"/>
  <c r="GA22" i="13"/>
  <c r="GH22" i="13"/>
  <c r="FM22" i="13"/>
  <c r="HX22" i="13"/>
  <c r="AS22" i="13"/>
  <c r="DM22" i="13"/>
  <c r="GU22" i="13"/>
  <c r="GJ22" i="13"/>
  <c r="EN22" i="13"/>
  <c r="AL22" i="13"/>
  <c r="FP22" i="13"/>
  <c r="Y22" i="13"/>
  <c r="AE22" i="13"/>
  <c r="GP22" i="13"/>
  <c r="FX22" i="13"/>
  <c r="AR22" i="13"/>
  <c r="GW22" i="13"/>
  <c r="DN22" i="13"/>
  <c r="EQ22" i="13"/>
  <c r="GC22" i="13"/>
  <c r="C22" i="13"/>
  <c r="HF22" i="13"/>
  <c r="EY22" i="13"/>
  <c r="AB22" i="13"/>
  <c r="BW22" i="13"/>
  <c r="AW22" i="13"/>
  <c r="CZ22" i="13"/>
  <c r="AT22" i="13"/>
  <c r="IC22" i="13"/>
  <c r="FR22" i="13"/>
  <c r="HC22" i="13"/>
  <c r="IM22" i="13"/>
  <c r="GO22" i="13"/>
  <c r="FT22" i="13"/>
  <c r="HA22" i="13"/>
  <c r="DK22" i="13"/>
  <c r="EF22" i="13"/>
  <c r="CN22" i="13"/>
  <c r="AY22" i="13"/>
  <c r="CV22" i="13"/>
  <c r="M22" i="13"/>
  <c r="GL22" i="13"/>
  <c r="IQ22" i="13"/>
  <c r="BR22" i="13"/>
  <c r="DB22" i="13"/>
  <c r="AV22" i="13"/>
  <c r="AX22" i="13"/>
  <c r="V22" i="13"/>
  <c r="BV22" i="13"/>
  <c r="DU22" i="13"/>
  <c r="FZ22" i="13"/>
  <c r="DR22" i="13"/>
  <c r="HV22" i="13"/>
  <c r="DI22" i="13"/>
  <c r="K22" i="13"/>
  <c r="GM22" i="13"/>
  <c r="BA22" i="13"/>
  <c r="CX22" i="13"/>
  <c r="BZ22" i="13"/>
  <c r="FS22" i="13"/>
  <c r="CC22" i="13"/>
  <c r="IN22" i="13"/>
  <c r="CT22" i="13"/>
  <c r="W22" i="13"/>
  <c r="HK22" i="13"/>
  <c r="DJ22" i="13"/>
  <c r="GS22" i="13"/>
  <c r="AC22" i="13"/>
  <c r="FU22" i="13"/>
  <c r="X22" i="13"/>
  <c r="BK22" i="13"/>
  <c r="EZ22" i="13"/>
  <c r="EW22" i="13"/>
  <c r="AO22" i="13"/>
  <c r="CG22" i="13"/>
  <c r="BE22" i="13"/>
  <c r="FW22" i="13"/>
  <c r="CR22" i="13"/>
  <c r="GY22" i="13"/>
  <c r="BN22" i="13"/>
  <c r="DG22" i="13"/>
  <c r="AD22" i="13"/>
  <c r="IH22" i="13"/>
  <c r="CW22" i="13"/>
  <c r="IG22" i="13"/>
  <c r="ID22" i="13"/>
  <c r="HI22" i="13"/>
  <c r="DE22" i="13"/>
  <c r="HM22" i="13"/>
  <c r="AJ22" i="13"/>
  <c r="DT22" i="13"/>
  <c r="GD22" i="13"/>
  <c r="BS22" i="13"/>
  <c r="EO22" i="13"/>
  <c r="EU22" i="13"/>
  <c r="E22" i="13"/>
  <c r="BL22" i="13"/>
  <c r="BH22" i="13"/>
  <c r="IE22" i="13"/>
  <c r="HH22" i="13"/>
  <c r="FN22" i="13"/>
  <c r="HT22" i="13"/>
  <c r="GZ22" i="13"/>
  <c r="BM22" i="13"/>
  <c r="HE22" i="13"/>
  <c r="FF22" i="13"/>
  <c r="FG22" i="13"/>
  <c r="U22" i="13"/>
  <c r="FI22" i="13"/>
  <c r="HR22" i="13"/>
  <c r="BB22" i="13"/>
  <c r="AQ22" i="13"/>
  <c r="EP22" i="13"/>
  <c r="IB22" i="13"/>
  <c r="HU22" i="13"/>
  <c r="FL22" i="13"/>
  <c r="CQ22" i="13"/>
  <c r="DV22" i="13"/>
  <c r="CM22" i="13"/>
  <c r="GE22" i="13"/>
  <c r="J22" i="13"/>
  <c r="AG22" i="13"/>
  <c r="IO22" i="13"/>
  <c r="DS22" i="13"/>
  <c r="EM22" i="13"/>
  <c r="ES22" i="13"/>
  <c r="ET22" i="13"/>
  <c r="CI22" i="13"/>
  <c r="IA22" i="13"/>
  <c r="AK22" i="13"/>
  <c r="CO22" i="13"/>
  <c r="DX22" i="13"/>
  <c r="BT22" i="13"/>
  <c r="GN22" i="13"/>
  <c r="EV22" i="13"/>
  <c r="DA22" i="13"/>
  <c r="FH22" i="13"/>
  <c r="BU22" i="13"/>
  <c r="ED22" i="13"/>
  <c r="HN22" i="13"/>
  <c r="EX22" i="13"/>
  <c r="I22" i="13"/>
  <c r="AP22" i="13"/>
  <c r="G22" i="13"/>
  <c r="BY22" i="13"/>
  <c r="FE22" i="13"/>
  <c r="HY22" i="13"/>
  <c r="DY22" i="13"/>
  <c r="CS22" i="13"/>
  <c r="DZ22" i="13"/>
  <c r="BP22" i="13"/>
  <c r="FQ22" i="13"/>
  <c r="DW22" i="13"/>
  <c r="AN22" i="13"/>
  <c r="BD22" i="13"/>
  <c r="HL22" i="13"/>
  <c r="CB22" i="13"/>
  <c r="DL22" i="13"/>
  <c r="BQ22" i="13"/>
  <c r="FO22" i="13"/>
  <c r="DP22" i="13"/>
  <c r="GX22" i="13"/>
  <c r="CH22" i="13"/>
  <c r="CU22" i="13"/>
  <c r="EG22" i="13"/>
  <c r="DF22" i="13"/>
  <c r="GV22" i="13"/>
  <c r="HZ22" i="13"/>
  <c r="L22" i="13"/>
  <c r="CF22" i="13"/>
  <c r="GR22" i="13"/>
  <c r="CY22" i="13"/>
  <c r="CJ22" i="13"/>
  <c r="AH22" i="13"/>
  <c r="IK22" i="13"/>
  <c r="IF22" i="13"/>
  <c r="BJ22" i="13"/>
  <c r="EA39" i="13"/>
  <c r="HP39" i="13"/>
  <c r="AS39" i="13"/>
  <c r="DB39" i="13"/>
  <c r="BN39" i="13"/>
  <c r="BB39" i="13"/>
  <c r="BV39" i="13"/>
  <c r="IR39" i="13"/>
  <c r="HT39" i="13"/>
  <c r="AT39" i="13"/>
  <c r="GA39" i="13"/>
  <c r="BL39" i="13"/>
  <c r="BQ39" i="13"/>
  <c r="ED39" i="13"/>
  <c r="EX39" i="13"/>
  <c r="AV39" i="13"/>
  <c r="BJ39" i="13"/>
  <c r="FY39" i="13"/>
  <c r="GU39" i="13"/>
  <c r="GP39" i="13"/>
  <c r="CD39" i="13"/>
  <c r="CX39" i="13"/>
  <c r="GY39" i="13"/>
  <c r="AZ39" i="13"/>
  <c r="HZ39" i="13"/>
  <c r="FD39" i="13"/>
  <c r="CE39" i="13"/>
  <c r="CY39" i="13"/>
  <c r="DG39" i="13"/>
  <c r="FR39" i="13"/>
  <c r="F39" i="13"/>
  <c r="BP39" i="13"/>
  <c r="GQ39" i="13"/>
  <c r="HY39" i="13"/>
  <c r="CG39" i="13"/>
  <c r="FN39" i="13"/>
  <c r="BK39" i="13"/>
  <c r="BZ39" i="13"/>
  <c r="GJ39" i="13"/>
  <c r="HK39" i="13"/>
  <c r="BS39" i="13"/>
  <c r="BA39" i="13"/>
  <c r="GV39" i="13"/>
  <c r="IJ39" i="13"/>
  <c r="FP39" i="13"/>
  <c r="BE39" i="13"/>
  <c r="EW39" i="13"/>
  <c r="ER39" i="13"/>
  <c r="AO39" i="13"/>
  <c r="FW39" i="13"/>
  <c r="IG39" i="13"/>
  <c r="CH39" i="13"/>
  <c r="GZ39" i="13"/>
  <c r="DH39" i="13"/>
  <c r="CL39" i="13"/>
  <c r="AJ39" i="13"/>
  <c r="EB39" i="13"/>
  <c r="AI39" i="13"/>
  <c r="DF39" i="13"/>
  <c r="HM39" i="13"/>
  <c r="EP39" i="13"/>
  <c r="DY39" i="13"/>
  <c r="GR39" i="13"/>
  <c r="AK39" i="13"/>
  <c r="FL39" i="13"/>
  <c r="AX39" i="13"/>
  <c r="BG39" i="13"/>
  <c r="CS39" i="13"/>
  <c r="FC39" i="13"/>
  <c r="DA39" i="13"/>
  <c r="HJ39" i="13"/>
  <c r="EJ39" i="13"/>
  <c r="BO39" i="13"/>
  <c r="IH39" i="13"/>
  <c r="AL39" i="13"/>
  <c r="FM39" i="13"/>
  <c r="EN39" i="13"/>
  <c r="EL39" i="13"/>
  <c r="AN39" i="13"/>
  <c r="BT39" i="13"/>
  <c r="BR39" i="13"/>
  <c r="DS39" i="13"/>
  <c r="DZ39" i="13"/>
  <c r="BX39" i="13"/>
  <c r="GK39" i="13"/>
  <c r="ES39" i="13"/>
  <c r="HL39" i="13"/>
  <c r="EU39" i="13"/>
  <c r="EG39" i="13"/>
  <c r="FB39" i="13"/>
  <c r="DD39" i="13"/>
  <c r="DJ39" i="13"/>
  <c r="EY39" i="13"/>
  <c r="DC39" i="13"/>
  <c r="HU39" i="13"/>
  <c r="II39" i="13"/>
  <c r="FX39" i="13"/>
  <c r="FE39" i="13"/>
  <c r="EZ39" i="13"/>
  <c r="IL39" i="13"/>
  <c r="HB39" i="13"/>
  <c r="FO39" i="13"/>
  <c r="E39" i="13"/>
  <c r="CF39" i="13"/>
  <c r="HD39" i="13"/>
  <c r="DX39" i="13"/>
  <c r="FG39" i="13"/>
  <c r="HI39" i="13"/>
  <c r="HC39" i="13"/>
  <c r="FK39" i="13"/>
  <c r="FJ39" i="13"/>
  <c r="EC39" i="13"/>
  <c r="AW39" i="13"/>
  <c r="CU39" i="13"/>
  <c r="ID39" i="13"/>
  <c r="DM39" i="13"/>
  <c r="IN39" i="13"/>
  <c r="EE39" i="13"/>
  <c r="BI39" i="13"/>
  <c r="CZ39" i="13"/>
  <c r="DU39" i="13"/>
  <c r="HG39" i="13"/>
  <c r="FU39" i="13"/>
  <c r="GO39" i="13"/>
  <c r="GB39" i="13"/>
  <c r="HN39" i="13"/>
  <c r="CN39" i="13"/>
  <c r="CK39" i="13"/>
  <c r="FA39" i="13"/>
  <c r="HH39" i="13"/>
  <c r="GW39" i="13"/>
  <c r="FF39" i="13"/>
  <c r="CM39" i="13"/>
  <c r="GF39" i="13"/>
  <c r="CJ39" i="13"/>
  <c r="BW39" i="13"/>
  <c r="AR39" i="13"/>
  <c r="CI39" i="13"/>
  <c r="GS39" i="13"/>
  <c r="DI39" i="13"/>
  <c r="HR39" i="13"/>
  <c r="ET39" i="13"/>
  <c r="DR39" i="13"/>
  <c r="FV39" i="13"/>
  <c r="DW39" i="13"/>
  <c r="EH39" i="13"/>
  <c r="IQ39" i="13"/>
  <c r="GN39" i="13"/>
  <c r="CO39" i="13"/>
  <c r="GL39" i="13"/>
  <c r="DV39" i="13"/>
  <c r="DG37" i="13"/>
  <c r="AP37" i="13"/>
  <c r="GE37" i="13"/>
  <c r="DV37" i="13"/>
  <c r="IF37" i="13"/>
  <c r="EV37" i="13"/>
  <c r="DN37" i="13"/>
  <c r="ET37" i="13"/>
  <c r="HW37" i="13"/>
  <c r="HE37" i="13"/>
  <c r="BA37" i="13"/>
  <c r="AK37" i="13"/>
  <c r="CX37" i="13"/>
  <c r="BD37" i="13"/>
  <c r="FT37" i="13"/>
  <c r="CZ37" i="13"/>
  <c r="E37" i="13"/>
  <c r="BB37" i="13"/>
  <c r="HT37" i="13"/>
  <c r="CV37" i="13"/>
  <c r="DM37" i="13"/>
  <c r="CO37" i="13"/>
  <c r="EU37" i="13"/>
  <c r="DO37" i="13"/>
  <c r="BQ37" i="13"/>
  <c r="BF37" i="13"/>
  <c r="GA37" i="13"/>
  <c r="CU37" i="13"/>
  <c r="CC37" i="13"/>
  <c r="GX37" i="13"/>
  <c r="IR37" i="13"/>
  <c r="FE37" i="13"/>
  <c r="GQ37" i="13"/>
  <c r="EC37" i="13"/>
  <c r="IM37" i="13"/>
  <c r="DY37" i="13"/>
  <c r="GJ37" i="13"/>
  <c r="DL37" i="13"/>
  <c r="ED37" i="13"/>
  <c r="DE37" i="13"/>
  <c r="GW37" i="13"/>
  <c r="GV37" i="13"/>
  <c r="CD37" i="13"/>
  <c r="BW37" i="13"/>
  <c r="DW37" i="13"/>
  <c r="FD37" i="13"/>
  <c r="CB37" i="13"/>
  <c r="BR37" i="13"/>
  <c r="DA37" i="13"/>
  <c r="ES37" i="13"/>
  <c r="IH37" i="13"/>
  <c r="CW37" i="13"/>
  <c r="HK37" i="13"/>
  <c r="FI37" i="13"/>
  <c r="DB37" i="13"/>
  <c r="GL37" i="13"/>
  <c r="FK37" i="13"/>
  <c r="FQ37" i="13"/>
  <c r="FH37" i="13"/>
  <c r="GN37" i="13"/>
  <c r="IK37" i="13"/>
  <c r="HV37" i="13"/>
  <c r="AL37" i="13"/>
  <c r="FO37" i="13"/>
  <c r="FS37" i="13"/>
  <c r="HU37" i="13"/>
  <c r="GS37" i="13"/>
  <c r="GF37" i="13"/>
  <c r="EH37" i="13"/>
  <c r="GY37" i="13"/>
  <c r="FJ37" i="13"/>
  <c r="AX37" i="13"/>
  <c r="HC37" i="13"/>
  <c r="AM37" i="13"/>
  <c r="CK37" i="13"/>
  <c r="HN37" i="13"/>
  <c r="CM37" i="13"/>
  <c r="CP37" i="13"/>
  <c r="EI37" i="13"/>
  <c r="BG37" i="13"/>
  <c r="BK37" i="13"/>
  <c r="FN37" i="13"/>
  <c r="BY37" i="13"/>
  <c r="CF37" i="13"/>
  <c r="BP37" i="13"/>
  <c r="AJ37" i="13"/>
  <c r="IQ37" i="13"/>
  <c r="EF37" i="13"/>
  <c r="HJ37" i="13"/>
  <c r="FC37" i="13"/>
  <c r="FW37" i="13"/>
  <c r="DJ37" i="13"/>
  <c r="FX37" i="13"/>
  <c r="AT37" i="13"/>
  <c r="HS37" i="13"/>
  <c r="EP37" i="13"/>
  <c r="EJ37" i="13"/>
  <c r="BM37" i="13"/>
  <c r="HY37" i="13"/>
  <c r="BU37" i="13"/>
  <c r="BC37" i="13"/>
  <c r="GC37" i="13"/>
  <c r="EM37" i="13"/>
  <c r="FP37" i="13"/>
  <c r="AU37" i="13"/>
  <c r="AO37" i="13"/>
  <c r="EB37" i="13"/>
  <c r="EO37" i="13"/>
  <c r="CH37" i="13"/>
  <c r="CN37" i="13"/>
  <c r="DS37" i="13"/>
  <c r="GH37" i="13"/>
  <c r="IJ37" i="13"/>
  <c r="CR37" i="13"/>
  <c r="AR37" i="13"/>
  <c r="EG37" i="13"/>
  <c r="BX37" i="13"/>
  <c r="AY37" i="13"/>
  <c r="GT37" i="13"/>
  <c r="IE37" i="13"/>
  <c r="DX37" i="13"/>
  <c r="HZ37" i="13"/>
  <c r="FG37" i="13"/>
  <c r="GU37" i="13"/>
  <c r="CQ37" i="13"/>
  <c r="CT37" i="13"/>
  <c r="EQ37" i="13"/>
  <c r="FV37" i="13"/>
  <c r="GG37" i="13"/>
  <c r="EW37" i="13"/>
  <c r="FL37" i="13"/>
  <c r="IL37" i="13"/>
  <c r="BO37" i="13"/>
  <c r="AQ37" i="13"/>
  <c r="CG37" i="13"/>
  <c r="HX37" i="13"/>
  <c r="FA37" i="13"/>
  <c r="IA37" i="13"/>
  <c r="GP37" i="13"/>
  <c r="DZ37" i="13"/>
  <c r="CI37" i="13"/>
  <c r="IG37" i="13"/>
  <c r="BV37" i="13"/>
  <c r="EZ37" i="13"/>
  <c r="IO37" i="13"/>
  <c r="AS37" i="13"/>
  <c r="FM37" i="13"/>
  <c r="II37" i="13"/>
  <c r="IN37" i="13"/>
  <c r="BS37" i="13"/>
  <c r="DT37" i="13"/>
  <c r="AV37" i="13"/>
  <c r="CS37" i="13"/>
  <c r="DC37" i="13"/>
  <c r="EY37" i="13"/>
  <c r="HG37" i="13"/>
  <c r="EN37" i="13"/>
  <c r="AI37" i="13"/>
  <c r="DU37" i="13"/>
  <c r="BE37" i="13"/>
  <c r="BI37" i="13"/>
  <c r="HQ37" i="13"/>
  <c r="HI37" i="13"/>
  <c r="ER37" i="13"/>
  <c r="DT41" i="13"/>
  <c r="HF41" i="13"/>
  <c r="FL41" i="13"/>
  <c r="GG41" i="13"/>
  <c r="ES41" i="13"/>
  <c r="HJ41" i="13"/>
  <c r="GE41" i="13"/>
  <c r="HN41" i="13"/>
  <c r="FG41" i="13"/>
  <c r="IE41" i="13"/>
  <c r="EJ41" i="13"/>
  <c r="GD41" i="13"/>
  <c r="HT41" i="13"/>
  <c r="IM41" i="13"/>
  <c r="DI41" i="13"/>
  <c r="HZ41" i="13"/>
  <c r="EN41" i="13"/>
  <c r="AZ41" i="13"/>
  <c r="BJ41" i="13"/>
  <c r="CO41" i="13"/>
  <c r="DG41" i="13"/>
  <c r="HI41" i="13"/>
  <c r="FI41" i="13"/>
  <c r="GB41" i="13"/>
  <c r="CI41" i="13"/>
  <c r="HA41" i="13"/>
  <c r="BN41" i="13"/>
  <c r="FN41" i="13"/>
  <c r="GU41" i="13"/>
  <c r="EA41" i="13"/>
  <c r="HW41" i="13"/>
  <c r="BV41" i="13"/>
  <c r="CX41" i="13"/>
  <c r="AW41" i="13"/>
  <c r="BK41" i="13"/>
  <c r="DW41" i="13"/>
  <c r="FP41" i="13"/>
  <c r="IA41" i="13"/>
  <c r="IF41" i="13"/>
  <c r="HP41" i="13"/>
  <c r="IB41" i="13"/>
  <c r="FB41" i="13"/>
  <c r="AL41" i="13"/>
  <c r="GC41" i="13"/>
  <c r="HB41" i="13"/>
  <c r="CQ41" i="13"/>
  <c r="FQ41" i="13"/>
  <c r="BX41" i="13"/>
  <c r="EV41" i="13"/>
  <c r="DE41" i="13"/>
  <c r="FJ41" i="13"/>
  <c r="AV41" i="13"/>
  <c r="ID41" i="13"/>
  <c r="DO41" i="13"/>
  <c r="FD41" i="13"/>
  <c r="HE41" i="13"/>
  <c r="AU41" i="13"/>
  <c r="BS41" i="13"/>
  <c r="GO41" i="13"/>
  <c r="GJ41" i="13"/>
  <c r="CU41" i="13"/>
  <c r="EZ41" i="13"/>
  <c r="GM41" i="13"/>
  <c r="EO41" i="13"/>
  <c r="CZ41" i="13"/>
  <c r="BC41" i="13"/>
  <c r="DN41" i="13"/>
  <c r="CT41" i="13"/>
  <c r="BG41" i="13"/>
  <c r="IQ41" i="13"/>
  <c r="BO41" i="13"/>
  <c r="DM41" i="13"/>
  <c r="IL41" i="13"/>
  <c r="CB41" i="13"/>
  <c r="DZ41" i="13"/>
  <c r="DU41" i="13"/>
  <c r="CC41" i="13"/>
  <c r="CR41" i="13"/>
  <c r="GH41" i="13"/>
  <c r="HX41" i="13"/>
  <c r="AM41" i="13"/>
  <c r="HU41" i="13"/>
  <c r="BB41" i="13"/>
  <c r="GZ41" i="13"/>
  <c r="AO41" i="13"/>
  <c r="FX41" i="13"/>
  <c r="FR41" i="13"/>
  <c r="EF41" i="13"/>
  <c r="AI41" i="13"/>
  <c r="IJ41" i="13"/>
  <c r="E41" i="13"/>
  <c r="EQ41" i="13"/>
  <c r="FT41" i="13"/>
  <c r="CD41" i="13"/>
  <c r="FH41" i="13"/>
  <c r="HY41" i="13"/>
  <c r="BI41" i="13"/>
  <c r="AR41" i="13"/>
  <c r="BP41" i="13"/>
  <c r="BQ41" i="13"/>
  <c r="GI41" i="13"/>
  <c r="CW41" i="13"/>
  <c r="FE41" i="13"/>
  <c r="DA41" i="13"/>
  <c r="GR41" i="13"/>
  <c r="EX41" i="13"/>
  <c r="BL41" i="13"/>
  <c r="CN41" i="13"/>
  <c r="EU41" i="13"/>
  <c r="DQ41" i="13"/>
  <c r="EY41" i="13"/>
  <c r="AY41" i="13"/>
  <c r="HH41" i="13"/>
  <c r="DX41" i="13"/>
  <c r="GX41" i="13"/>
  <c r="DY41" i="13"/>
  <c r="GP41" i="13"/>
  <c r="BE41" i="13"/>
  <c r="BY41" i="13"/>
  <c r="HS41" i="13"/>
  <c r="GW41" i="13"/>
  <c r="EB41" i="13"/>
  <c r="AJ41" i="13"/>
  <c r="FC41" i="13"/>
  <c r="FY41" i="13"/>
  <c r="DD41" i="13"/>
  <c r="HG41" i="13"/>
  <c r="CG41" i="13"/>
  <c r="FZ41" i="13"/>
  <c r="FV41" i="13"/>
  <c r="FK41" i="13"/>
  <c r="GT41" i="13"/>
  <c r="BT41" i="13"/>
  <c r="FU41" i="13"/>
  <c r="HM41" i="13"/>
  <c r="IO41" i="13"/>
  <c r="CF41" i="13"/>
  <c r="HD41" i="13"/>
  <c r="AS41" i="13"/>
  <c r="FS41" i="13"/>
  <c r="AT41" i="13"/>
  <c r="EH41" i="13"/>
  <c r="HC41" i="13"/>
  <c r="DL41" i="13"/>
  <c r="GV41" i="13"/>
  <c r="AN41" i="13"/>
  <c r="GF41" i="13"/>
  <c r="DF41" i="13"/>
  <c r="FF41" i="13"/>
  <c r="BM41" i="13"/>
  <c r="IC41" i="13"/>
  <c r="F41" i="13"/>
  <c r="CH41" i="13"/>
  <c r="GA41" i="13"/>
  <c r="EW41" i="13"/>
  <c r="CP41" i="13"/>
  <c r="IK41" i="13"/>
  <c r="ED41" i="13"/>
  <c r="AX41" i="13"/>
  <c r="IG41" i="13"/>
  <c r="ET41" i="13"/>
  <c r="GQ41" i="13"/>
  <c r="GK41" i="13"/>
  <c r="GY41" i="13"/>
  <c r="DJ41" i="13"/>
  <c r="AK41" i="13"/>
  <c r="DP41" i="13"/>
  <c r="BH41" i="13"/>
  <c r="BD41" i="13"/>
  <c r="HO41" i="13"/>
  <c r="GG39" i="13"/>
  <c r="DY8" i="13"/>
  <c r="BO46" i="13"/>
  <c r="FE15" i="13"/>
  <c r="DH23" i="13"/>
  <c r="CS7" i="13"/>
  <c r="CR43" i="13"/>
  <c r="HF12" i="13"/>
  <c r="AN10" i="13"/>
  <c r="AZ31" i="13"/>
  <c r="EN30" i="13"/>
  <c r="AR25" i="13"/>
  <c r="HL24" i="13"/>
  <c r="CI5" i="13"/>
  <c r="EU26" i="13"/>
  <c r="DK10" i="13"/>
  <c r="BA16" i="13"/>
  <c r="GR40" i="13"/>
  <c r="DX23" i="13"/>
  <c r="IG28" i="13"/>
  <c r="BJ37" i="13"/>
  <c r="HG20" i="13"/>
  <c r="AN9" i="13"/>
  <c r="HG38" i="13"/>
  <c r="GV17" i="13"/>
  <c r="HA49" i="13"/>
  <c r="CO6" i="13"/>
  <c r="EI13" i="13"/>
  <c r="EO49" i="13"/>
  <c r="BT28" i="13"/>
  <c r="DD45" i="13"/>
  <c r="IE5" i="13"/>
  <c r="HO40" i="13"/>
  <c r="DC4" i="13"/>
  <c r="BW40" i="13"/>
  <c r="BG5" i="13"/>
  <c r="FC35" i="13"/>
  <c r="DM45" i="13"/>
  <c r="DI6" i="13"/>
  <c r="FZ24" i="13"/>
  <c r="F14" i="13"/>
  <c r="BG22" i="13"/>
  <c r="GL23" i="13"/>
  <c r="GV26" i="13"/>
  <c r="EH22" i="13"/>
  <c r="CC12" i="13"/>
  <c r="HS15" i="13"/>
  <c r="HO39" i="13"/>
  <c r="EL18" i="13"/>
  <c r="GN34" i="13"/>
  <c r="EK37" i="13"/>
  <c r="GA10" i="13"/>
  <c r="CD44" i="13"/>
  <c r="HD40" i="13"/>
  <c r="FW34" i="13"/>
  <c r="FJ44" i="13"/>
  <c r="X9" i="13"/>
  <c r="HW26" i="13"/>
  <c r="IA9" i="13"/>
  <c r="DM50" i="13"/>
  <c r="GJ8" i="13"/>
  <c r="BA6" i="13"/>
  <c r="HL48" i="13"/>
  <c r="GO23" i="13"/>
  <c r="IB17" i="13"/>
  <c r="HD48" i="13"/>
  <c r="CI32" i="13"/>
  <c r="HE25" i="13"/>
  <c r="EG49" i="13"/>
  <c r="DJ26" i="13"/>
  <c r="DX38" i="13"/>
  <c r="J4" i="13"/>
  <c r="GY34" i="13"/>
  <c r="BW5" i="13"/>
  <c r="AT10" i="13"/>
  <c r="DA8" i="13"/>
  <c r="DL12" i="13"/>
  <c r="J7" i="13"/>
  <c r="ED16" i="13"/>
  <c r="W35" i="13"/>
  <c r="L28" i="13"/>
  <c r="AU43" i="13"/>
  <c r="I9" i="13"/>
  <c r="BI17" i="13"/>
  <c r="FC25" i="13"/>
  <c r="IK35" i="13"/>
  <c r="CB38" i="13"/>
  <c r="FM18" i="13"/>
  <c r="EB22" i="13"/>
  <c r="Y5" i="13"/>
  <c r="HE52" i="13"/>
  <c r="CK52" i="13"/>
  <c r="HE39" i="13"/>
  <c r="DR8" i="13"/>
  <c r="HR9" i="13"/>
  <c r="CW50" i="13"/>
  <c r="AM45" i="13"/>
  <c r="EF11" i="13"/>
  <c r="IO9" i="13"/>
  <c r="AT29" i="13"/>
  <c r="EA7" i="13"/>
  <c r="GQ11" i="13"/>
  <c r="AW12" i="13"/>
  <c r="BN5" i="13"/>
  <c r="HL41" i="13"/>
  <c r="EQ32" i="13"/>
  <c r="BF39" i="13"/>
  <c r="I14" i="13"/>
  <c r="AB11" i="13"/>
  <c r="GG50" i="13"/>
  <c r="EK32" i="13"/>
  <c r="CT6" i="13"/>
  <c r="BZ21" i="13"/>
  <c r="GZ12" i="13"/>
  <c r="CX7" i="13"/>
  <c r="DY43" i="13"/>
  <c r="ED35" i="13"/>
  <c r="HF39" i="13"/>
  <c r="BS45" i="13"/>
  <c r="IG49" i="13"/>
  <c r="CK26" i="13"/>
  <c r="AS12" i="13"/>
  <c r="CK41" i="13"/>
  <c r="DX15" i="13"/>
  <c r="U34" i="13"/>
  <c r="IJ15" i="13"/>
  <c r="CK33" i="13"/>
  <c r="BP32" i="13"/>
  <c r="FP8" i="13"/>
  <c r="EC52" i="13"/>
  <c r="W8" i="13"/>
  <c r="T6" i="13"/>
  <c r="ID29" i="13"/>
  <c r="GF12" i="13"/>
  <c r="HW7" i="13"/>
  <c r="BI12" i="13"/>
  <c r="CS27" i="13"/>
  <c r="HP37" i="13"/>
  <c r="CE23" i="13"/>
  <c r="EK21" i="13"/>
  <c r="IR24" i="13"/>
  <c r="HX25" i="13"/>
  <c r="EU47" i="13"/>
  <c r="GB16" i="13"/>
  <c r="FT31" i="13"/>
  <c r="T11" i="13"/>
  <c r="HQ9" i="13"/>
  <c r="IR41" i="13"/>
  <c r="IR6" i="13"/>
  <c r="GP40" i="13"/>
  <c r="CD49" i="13"/>
  <c r="U10" i="13"/>
  <c r="AD12" i="13"/>
  <c r="EX6" i="13"/>
  <c r="AA8" i="13"/>
  <c r="EE15" i="13"/>
  <c r="FN18" i="13"/>
  <c r="FS33" i="13"/>
  <c r="GW33" i="13"/>
  <c r="ES34" i="13"/>
  <c r="DM42" i="13"/>
  <c r="BX9" i="13"/>
  <c r="DE15" i="13"/>
  <c r="EZ30" i="13"/>
  <c r="GM32" i="13"/>
  <c r="GP10" i="13"/>
  <c r="BX33" i="13"/>
  <c r="EN53" i="13"/>
  <c r="Q10" i="13"/>
  <c r="BQ7" i="13"/>
  <c r="HU34" i="13"/>
  <c r="GI50" i="13"/>
  <c r="CQ8" i="13"/>
  <c r="DN36" i="13"/>
  <c r="FX52" i="13"/>
  <c r="IG43" i="13"/>
  <c r="DG18" i="13"/>
  <c r="EF44" i="13"/>
  <c r="EA51" i="13"/>
  <c r="GX49" i="13"/>
  <c r="GX8" i="13"/>
  <c r="AM47" i="13"/>
  <c r="DK23" i="13"/>
  <c r="GK45" i="13"/>
  <c r="AA22" i="13"/>
  <c r="BZ27" i="13"/>
  <c r="DQ20" i="13"/>
  <c r="DL52" i="13"/>
  <c r="DG25" i="13"/>
  <c r="CD24" i="13"/>
  <c r="EB30" i="13"/>
  <c r="HQ48" i="13"/>
  <c r="IK20" i="13"/>
  <c r="HY13" i="13"/>
  <c r="W14" i="13"/>
  <c r="DV41" i="13"/>
  <c r="K25" i="13"/>
  <c r="FB48" i="13"/>
  <c r="IQ11" i="13"/>
  <c r="CB5" i="13"/>
  <c r="ED7" i="13"/>
  <c r="S11" i="13"/>
  <c r="IL11" i="13"/>
  <c r="CX10" i="13"/>
  <c r="HW11" i="13"/>
  <c r="BY39" i="13"/>
  <c r="I34" i="13"/>
  <c r="ES43" i="13"/>
  <c r="AE14" i="13"/>
  <c r="AR45" i="13"/>
  <c r="GR37" i="13"/>
  <c r="R14" i="13"/>
  <c r="HM49" i="13"/>
  <c r="AP44" i="13"/>
  <c r="IM47" i="13"/>
  <c r="EP25" i="13"/>
  <c r="DC21" i="13"/>
  <c r="BZ18" i="13"/>
  <c r="AW23" i="13"/>
  <c r="EU7" i="13"/>
  <c r="BS28" i="13"/>
  <c r="J12" i="13"/>
  <c r="GN23" i="13"/>
  <c r="FK4" i="13"/>
  <c r="V26" i="13"/>
  <c r="EC24" i="13"/>
  <c r="EC45" i="13"/>
  <c r="HV51" i="13"/>
  <c r="EY7" i="13"/>
  <c r="AQ47" i="13"/>
  <c r="GW40" i="13"/>
  <c r="HM11" i="13"/>
  <c r="FZ11" i="13"/>
  <c r="DO45" i="13"/>
  <c r="BJ16" i="13"/>
  <c r="T27" i="13"/>
  <c r="AY27" i="13"/>
  <c r="DR26" i="13"/>
  <c r="X12" i="13"/>
  <c r="BB30" i="13"/>
  <c r="EV52" i="13"/>
  <c r="CV46" i="13"/>
  <c r="GA12" i="13"/>
  <c r="GU11" i="13"/>
  <c r="DI42" i="13"/>
  <c r="AU42" i="13"/>
  <c r="FF46" i="13"/>
  <c r="AV34" i="13"/>
  <c r="CF32" i="13"/>
  <c r="C23" i="13"/>
  <c r="IM38" i="13"/>
  <c r="CL34" i="13"/>
  <c r="FD16" i="13"/>
  <c r="AQ36" i="13"/>
  <c r="GN35" i="13"/>
  <c r="GJ46" i="13"/>
  <c r="GJ51" i="13"/>
  <c r="AN27" i="13"/>
  <c r="DZ48" i="13"/>
  <c r="BU8" i="13"/>
  <c r="DN25" i="13"/>
  <c r="CR12" i="13"/>
  <c r="BO17" i="13"/>
  <c r="FG4" i="13"/>
  <c r="IB42" i="13"/>
  <c r="EY14" i="13"/>
  <c r="AS25" i="13"/>
  <c r="IK43" i="13"/>
  <c r="DP6" i="13"/>
  <c r="HF24" i="13"/>
  <c r="BV20" i="13"/>
  <c r="EP5" i="13"/>
  <c r="DC41" i="13"/>
  <c r="AW37" i="13"/>
  <c r="BW28" i="13"/>
  <c r="DE13" i="13"/>
  <c r="AG19" i="13"/>
  <c r="GE29" i="13"/>
  <c r="BY44" i="13"/>
  <c r="CM32" i="13"/>
  <c r="H33" i="13"/>
  <c r="CV6" i="13"/>
  <c r="GL14" i="13"/>
  <c r="CZ16" i="13"/>
  <c r="DB41" i="13"/>
  <c r="IQ24" i="13"/>
  <c r="DC24" i="13"/>
  <c r="GZ19" i="13"/>
  <c r="CF42" i="13"/>
  <c r="CR10" i="13"/>
  <c r="IL35" i="13"/>
  <c r="HO18" i="13"/>
  <c r="CS33" i="13"/>
  <c r="DR32" i="13"/>
  <c r="GC5" i="13"/>
  <c r="CX5" i="13"/>
  <c r="EY31" i="13"/>
  <c r="HU32" i="13"/>
  <c r="FU15" i="13"/>
  <c r="ET47" i="13"/>
  <c r="CE33" i="13"/>
  <c r="DS21" i="13"/>
  <c r="IB39" i="13"/>
  <c r="IK24" i="13"/>
  <c r="FW11" i="13"/>
  <c r="Q22" i="13"/>
  <c r="FC21" i="13"/>
  <c r="FE46" i="13"/>
  <c r="CG42" i="13"/>
  <c r="HD46" i="13"/>
  <c r="FB42" i="13"/>
  <c r="GA32" i="13"/>
  <c r="AM22" i="13"/>
  <c r="CN7" i="13"/>
  <c r="IB12" i="13"/>
  <c r="HY48" i="13"/>
  <c r="CJ24" i="13"/>
  <c r="IL31" i="13"/>
  <c r="CO30" i="13"/>
  <c r="EB36" i="13"/>
  <c r="C12" i="13"/>
  <c r="FU32" i="13"/>
  <c r="DV40" i="13"/>
  <c r="CI51" i="13"/>
  <c r="BR19" i="13"/>
  <c r="EN32" i="13"/>
  <c r="GT42" i="13"/>
  <c r="DQ39" i="13"/>
  <c r="DI31" i="13"/>
  <c r="DL43" i="13"/>
  <c r="GM9" i="13"/>
  <c r="GO49" i="13"/>
  <c r="EY8" i="13"/>
  <c r="T13" i="13"/>
  <c r="GA8" i="13"/>
  <c r="HQ19" i="13"/>
  <c r="DS15" i="13"/>
  <c r="CG52" i="13"/>
  <c r="X10" i="13"/>
  <c r="BN38" i="13"/>
  <c r="L27" i="13"/>
  <c r="DE14" i="13"/>
  <c r="FV22" i="13"/>
  <c r="DN48" i="13"/>
  <c r="HS51" i="13"/>
  <c r="DK13" i="13"/>
  <c r="CZ53" i="13"/>
  <c r="CP40" i="13"/>
  <c r="Q19" i="13"/>
  <c r="GZ38" i="13"/>
  <c r="HY6" i="13"/>
  <c r="FQ18" i="13"/>
  <c r="FZ33" i="13"/>
  <c r="FU50" i="13"/>
  <c r="IA12" i="13"/>
  <c r="HF44" i="13"/>
  <c r="AK25" i="13"/>
  <c r="CQ4" i="13"/>
  <c r="FY31" i="13"/>
  <c r="DA44" i="13"/>
  <c r="IK9" i="13"/>
  <c r="EH24" i="13"/>
  <c r="HI14" i="13"/>
  <c r="BK21" i="13"/>
  <c r="DP24" i="13"/>
  <c r="DB19" i="13"/>
  <c r="GV40" i="13"/>
  <c r="GX12" i="13"/>
  <c r="EQ48" i="13"/>
  <c r="BX28" i="13"/>
  <c r="IK4" i="13"/>
  <c r="AJ8" i="13"/>
  <c r="DN24" i="13"/>
  <c r="EM34" i="13"/>
  <c r="GJ48" i="13"/>
  <c r="AC6" i="13"/>
  <c r="DE30" i="13"/>
  <c r="BW38" i="13"/>
  <c r="DB29" i="13"/>
  <c r="CT39" i="13"/>
  <c r="IC17" i="13"/>
  <c r="EL44" i="13"/>
  <c r="DR27" i="13"/>
  <c r="GM42" i="13"/>
  <c r="DA15" i="13"/>
  <c r="HX27" i="13"/>
  <c r="AY13" i="13"/>
  <c r="EJ21" i="13"/>
  <c r="IE7" i="13"/>
  <c r="GI34" i="13"/>
  <c r="CD30" i="13"/>
  <c r="HM8" i="13"/>
  <c r="ED47" i="13"/>
  <c r="GJ31" i="13"/>
  <c r="FB11" i="13"/>
  <c r="AH11" i="13"/>
  <c r="HO46" i="13"/>
  <c r="AU45" i="13"/>
  <c r="FH47" i="13"/>
  <c r="AQ6" i="13"/>
  <c r="DV35" i="13"/>
  <c r="BV30" i="13"/>
  <c r="GQ16" i="13"/>
  <c r="FI13" i="13"/>
  <c r="AK7" i="13"/>
  <c r="H22" i="13"/>
  <c r="AD16" i="13"/>
  <c r="ER40" i="13"/>
  <c r="DZ7" i="13"/>
  <c r="EK47" i="13"/>
  <c r="F38" i="13"/>
  <c r="DL29" i="13"/>
  <c r="IB8" i="13"/>
  <c r="AB7" i="13"/>
  <c r="CD22" i="13"/>
  <c r="ES19" i="13"/>
  <c r="EA37" i="13"/>
  <c r="DX35" i="13"/>
  <c r="AW51" i="13"/>
  <c r="BF8" i="13"/>
  <c r="GG38" i="13"/>
  <c r="DR41" i="13"/>
  <c r="HP34" i="13"/>
  <c r="FE25" i="13"/>
  <c r="CU11" i="13"/>
  <c r="DJ49" i="13"/>
  <c r="HV19" i="13"/>
  <c r="FA18" i="13"/>
  <c r="EJ43" i="13"/>
  <c r="CR32" i="13"/>
  <c r="GT34" i="13"/>
  <c r="CX28" i="13"/>
  <c r="GZ46" i="13"/>
  <c r="AX46" i="13"/>
  <c r="AS46" i="13"/>
  <c r="IC46" i="13"/>
  <c r="GD46" i="13"/>
  <c r="BF46" i="13"/>
  <c r="BR46" i="13"/>
  <c r="GF46" i="13"/>
  <c r="BA46" i="13"/>
  <c r="HA46" i="13"/>
  <c r="DZ46" i="13"/>
  <c r="BL46" i="13"/>
  <c r="BI46" i="13"/>
  <c r="FI46" i="13"/>
  <c r="HK46" i="13"/>
  <c r="EI46" i="13"/>
  <c r="CC46" i="13"/>
  <c r="FK46" i="13"/>
  <c r="GR46" i="13"/>
  <c r="CE46" i="13"/>
  <c r="AU46" i="13"/>
  <c r="GK46" i="13"/>
  <c r="IR46" i="13"/>
  <c r="IN46" i="13"/>
  <c r="FJ46" i="13"/>
  <c r="EC46" i="13"/>
  <c r="AN46" i="13"/>
  <c r="DD46" i="13"/>
  <c r="DN46" i="13"/>
  <c r="IQ46" i="13"/>
  <c r="F46" i="13"/>
  <c r="E46" i="13"/>
  <c r="IE46" i="13"/>
  <c r="DU46" i="13"/>
  <c r="BP46" i="13"/>
  <c r="DV46" i="13"/>
  <c r="GQ46" i="13"/>
  <c r="BG46" i="13"/>
  <c r="CP46" i="13"/>
  <c r="ET46" i="13"/>
  <c r="AR46" i="13"/>
  <c r="AJ46" i="13"/>
  <c r="AV46" i="13"/>
  <c r="AW46" i="13"/>
  <c r="ED46" i="13"/>
  <c r="EJ46" i="13"/>
  <c r="EK46" i="13"/>
  <c r="EZ46" i="13"/>
  <c r="GM46" i="13"/>
  <c r="DG46" i="13"/>
  <c r="CZ46" i="13"/>
  <c r="BB46" i="13"/>
  <c r="DC46" i="13"/>
  <c r="FX46" i="13"/>
  <c r="FP46" i="13"/>
  <c r="ID46" i="13"/>
  <c r="II46" i="13"/>
  <c r="GY46" i="13"/>
  <c r="EU46" i="13"/>
  <c r="CI46" i="13"/>
  <c r="GA46" i="13"/>
  <c r="FZ46" i="13"/>
  <c r="FS46" i="13"/>
  <c r="DI46" i="13"/>
  <c r="HM46" i="13"/>
  <c r="GS46" i="13"/>
  <c r="HI46" i="13"/>
  <c r="BC46" i="13"/>
  <c r="DL46" i="13"/>
  <c r="CY46" i="13"/>
  <c r="GG46" i="13"/>
  <c r="BW46" i="13"/>
  <c r="HL46" i="13"/>
  <c r="FY46" i="13"/>
  <c r="FC46" i="13"/>
  <c r="CU46" i="13"/>
  <c r="FN46" i="13"/>
  <c r="IO46" i="13"/>
  <c r="IJ46" i="13"/>
  <c r="FG46" i="13"/>
  <c r="EQ46" i="13"/>
  <c r="DM46" i="13"/>
  <c r="CL46" i="13"/>
  <c r="EW46" i="13"/>
  <c r="EF46" i="13"/>
  <c r="HG46" i="13"/>
  <c r="HZ46" i="13"/>
  <c r="DF46" i="13"/>
  <c r="FR46" i="13"/>
  <c r="DE46" i="13"/>
  <c r="GI46" i="13"/>
  <c r="FH46" i="13"/>
  <c r="DJ46" i="13"/>
  <c r="FW46" i="13"/>
  <c r="EV46" i="13"/>
  <c r="BQ46" i="13"/>
  <c r="GH46" i="13"/>
  <c r="EN46" i="13"/>
  <c r="DA46" i="13"/>
  <c r="IK46" i="13"/>
  <c r="CS46" i="13"/>
  <c r="BE46" i="13"/>
  <c r="HN46" i="13"/>
  <c r="CM46" i="13"/>
  <c r="CQ46" i="13"/>
  <c r="DQ46" i="13"/>
  <c r="HH46" i="13"/>
  <c r="HP46" i="13"/>
  <c r="EB46" i="13"/>
  <c r="ER46" i="13"/>
  <c r="GU46" i="13"/>
  <c r="BX46" i="13"/>
  <c r="EL46" i="13"/>
  <c r="IL46" i="13"/>
  <c r="EA46" i="13"/>
  <c r="CH46" i="13"/>
  <c r="DB46" i="13"/>
  <c r="EX46" i="13"/>
  <c r="AO46" i="13"/>
  <c r="HE46" i="13"/>
  <c r="CR46" i="13"/>
  <c r="EH46" i="13"/>
  <c r="BY46" i="13"/>
  <c r="FM46" i="13"/>
  <c r="EY46" i="13"/>
  <c r="HT46" i="13"/>
  <c r="CN46" i="13"/>
  <c r="EO46" i="13"/>
  <c r="AI46" i="13"/>
  <c r="DS46" i="13"/>
  <c r="DY46" i="13"/>
  <c r="AK46" i="13"/>
  <c r="GL46" i="13"/>
  <c r="IF46" i="13"/>
  <c r="BS46" i="13"/>
  <c r="AQ46" i="13"/>
  <c r="IB46" i="13"/>
  <c r="HC46" i="13"/>
  <c r="GT46" i="13"/>
  <c r="AZ46" i="13"/>
  <c r="GV46" i="13"/>
  <c r="HF46" i="13"/>
  <c r="HU46" i="13"/>
  <c r="GC46" i="13"/>
  <c r="HV46" i="13"/>
  <c r="EG46" i="13"/>
  <c r="DO46" i="13"/>
  <c r="ES46" i="13"/>
  <c r="AY11" i="13"/>
  <c r="FV11" i="13"/>
  <c r="AP9" i="13"/>
  <c r="FQ46" i="13"/>
  <c r="AA9" i="13"/>
  <c r="CF11" i="13"/>
  <c r="DQ7" i="13"/>
  <c r="IN35" i="13"/>
  <c r="CX8" i="13"/>
  <c r="BA8" i="13"/>
  <c r="FN8" i="13"/>
  <c r="DQ8" i="13"/>
  <c r="FH8" i="13"/>
  <c r="AL8" i="13"/>
  <c r="AM8" i="13"/>
  <c r="HH8" i="13"/>
  <c r="GQ8" i="13"/>
  <c r="FQ8" i="13"/>
  <c r="BL8" i="13"/>
  <c r="EO8" i="13"/>
  <c r="HG8" i="13"/>
  <c r="BR8" i="13"/>
  <c r="P8" i="13"/>
  <c r="FI8" i="13"/>
  <c r="F8" i="13"/>
  <c r="X8" i="13"/>
  <c r="EK8" i="13"/>
  <c r="AU8" i="13"/>
  <c r="CS8" i="13"/>
  <c r="FW8" i="13"/>
  <c r="DT8" i="13"/>
  <c r="ER8" i="13"/>
  <c r="HS8" i="13"/>
  <c r="AZ8" i="13"/>
  <c r="GF8" i="13"/>
  <c r="O8" i="13"/>
  <c r="HP8" i="13"/>
  <c r="BC8" i="13"/>
  <c r="BB8" i="13"/>
  <c r="GC8" i="13"/>
  <c r="G8" i="13"/>
  <c r="HW8" i="13"/>
  <c r="DW8" i="13"/>
  <c r="IM8" i="13"/>
  <c r="HR8" i="13"/>
  <c r="GO8" i="13"/>
  <c r="BI8" i="13"/>
  <c r="EF8" i="13"/>
  <c r="CF8" i="13"/>
  <c r="FG8" i="13"/>
  <c r="GL8" i="13"/>
  <c r="BQ8" i="13"/>
  <c r="DN8" i="13"/>
  <c r="CK8" i="13"/>
  <c r="HB8" i="13"/>
  <c r="BD8" i="13"/>
  <c r="DC8" i="13"/>
  <c r="DS8" i="13"/>
  <c r="DM8" i="13"/>
  <c r="FV8" i="13"/>
  <c r="BY8" i="13"/>
  <c r="AV8" i="13"/>
  <c r="AO8" i="13"/>
  <c r="HZ8" i="13"/>
  <c r="IG8" i="13"/>
  <c r="ES8" i="13"/>
  <c r="Q8" i="13"/>
  <c r="CO8" i="13"/>
  <c r="N8" i="13"/>
  <c r="FJ8" i="13"/>
  <c r="GE8" i="13"/>
  <c r="BW8" i="13"/>
  <c r="CC8" i="13"/>
  <c r="HX8" i="13"/>
  <c r="CJ8" i="13"/>
  <c r="HY8" i="13"/>
  <c r="BH8" i="13"/>
  <c r="FE8" i="13"/>
  <c r="FY8" i="13"/>
  <c r="I8" i="13"/>
  <c r="HC8" i="13"/>
  <c r="DH8" i="13"/>
  <c r="EG8" i="13"/>
  <c r="GT8" i="13"/>
  <c r="BO8" i="13"/>
  <c r="EM8" i="13"/>
  <c r="AI8" i="13"/>
  <c r="II8" i="13"/>
  <c r="HV8" i="13"/>
  <c r="CP8" i="13"/>
  <c r="GH8" i="13"/>
  <c r="BS8" i="13"/>
  <c r="HN8" i="13"/>
  <c r="AP8" i="13"/>
  <c r="U8" i="13"/>
  <c r="EP8" i="13"/>
  <c r="HI8" i="13"/>
  <c r="FM8" i="13"/>
  <c r="HE8" i="13"/>
  <c r="EU8" i="13"/>
  <c r="IC8" i="13"/>
  <c r="EQ8" i="13"/>
  <c r="EL8" i="13"/>
  <c r="IN8" i="13"/>
  <c r="BK8" i="13"/>
  <c r="FS8" i="13"/>
  <c r="FF8" i="13"/>
  <c r="GU8" i="13"/>
  <c r="GY8" i="13"/>
  <c r="IJ8" i="13"/>
  <c r="ET8" i="13"/>
  <c r="AS8" i="13"/>
  <c r="DV8" i="13"/>
  <c r="AW8" i="13"/>
  <c r="GR8" i="13"/>
  <c r="K8" i="13"/>
  <c r="GD8" i="13"/>
  <c r="CY8" i="13"/>
  <c r="DP8" i="13"/>
  <c r="HF8" i="13"/>
  <c r="CV8" i="13"/>
  <c r="IR8" i="13"/>
  <c r="IQ8" i="13"/>
  <c r="HA8" i="13"/>
  <c r="FU8" i="13"/>
  <c r="BT8" i="13"/>
  <c r="BX8" i="13"/>
  <c r="FX8" i="13"/>
  <c r="J8" i="13"/>
  <c r="BJ8" i="13"/>
  <c r="V8" i="13"/>
  <c r="HD8" i="13"/>
  <c r="FO8" i="13"/>
  <c r="AR8" i="13"/>
  <c r="BV8" i="13"/>
  <c r="AH8" i="13"/>
  <c r="EN8" i="13"/>
  <c r="FR8" i="13"/>
  <c r="DK8" i="13"/>
  <c r="FZ8" i="13"/>
  <c r="DI8" i="13"/>
  <c r="DG8" i="13"/>
  <c r="DD8" i="13"/>
  <c r="IF8" i="13"/>
  <c r="FT8" i="13"/>
  <c r="DF8" i="13"/>
  <c r="FA8" i="13"/>
  <c r="DO8" i="13"/>
  <c r="FB8" i="13"/>
  <c r="EB8" i="13"/>
  <c r="HO8" i="13"/>
  <c r="GZ8" i="13"/>
  <c r="GS8" i="13"/>
  <c r="IH8" i="13"/>
  <c r="CE8" i="13"/>
  <c r="IA8" i="13"/>
  <c r="T8" i="13"/>
  <c r="IK8" i="13"/>
  <c r="HK8" i="13"/>
  <c r="E8" i="13"/>
  <c r="DX8" i="13"/>
  <c r="AC8" i="13"/>
  <c r="IO8" i="13"/>
  <c r="IE8" i="13"/>
  <c r="GM8" i="13"/>
  <c r="ID8" i="13"/>
  <c r="AX8" i="13"/>
  <c r="FL8" i="13"/>
  <c r="CD10" i="13"/>
  <c r="BE10" i="13"/>
  <c r="DN10" i="13"/>
  <c r="CC10" i="13"/>
  <c r="EI10" i="13"/>
  <c r="FX10" i="13"/>
  <c r="AE10" i="13"/>
  <c r="IJ10" i="13"/>
  <c r="DI10" i="13"/>
  <c r="Y10" i="13"/>
  <c r="CE10" i="13"/>
  <c r="EN10" i="13"/>
  <c r="AS10" i="13"/>
  <c r="DB10" i="13"/>
  <c r="FJ10" i="13"/>
  <c r="HC10" i="13"/>
  <c r="AY10" i="13"/>
  <c r="GH10" i="13"/>
  <c r="Z10" i="13"/>
  <c r="GY10" i="13"/>
  <c r="AV10" i="13"/>
  <c r="F10" i="13"/>
  <c r="GV10" i="13"/>
  <c r="DC10" i="13"/>
  <c r="BO10" i="13"/>
  <c r="AA10" i="13"/>
  <c r="CZ10" i="13"/>
  <c r="FN10" i="13"/>
  <c r="EL10" i="13"/>
  <c r="IN10" i="13"/>
  <c r="FL10" i="13"/>
  <c r="FO10" i="13"/>
  <c r="T10" i="13"/>
  <c r="BB10" i="13"/>
  <c r="GN10" i="13"/>
  <c r="IH10" i="13"/>
  <c r="HR10" i="13"/>
  <c r="EU10" i="13"/>
  <c r="EC10" i="13"/>
  <c r="HF10" i="13"/>
  <c r="IM10" i="13"/>
  <c r="ID10" i="13"/>
  <c r="EM10" i="13"/>
  <c r="BN10" i="13"/>
  <c r="GZ10" i="13"/>
  <c r="GE10" i="13"/>
  <c r="BD10" i="13"/>
  <c r="EY10" i="13"/>
  <c r="C10" i="13"/>
  <c r="FQ10" i="13"/>
  <c r="W10" i="13"/>
  <c r="DA10" i="13"/>
  <c r="EO10" i="13"/>
  <c r="DP10" i="13"/>
  <c r="AO10" i="13"/>
  <c r="AU10" i="13"/>
  <c r="AF10" i="13"/>
  <c r="DR10" i="13"/>
  <c r="FB10" i="13"/>
  <c r="CM10" i="13"/>
  <c r="AZ10" i="13"/>
  <c r="CH10" i="13"/>
  <c r="AK10" i="13"/>
  <c r="BK10" i="13"/>
  <c r="CW10" i="13"/>
  <c r="M10" i="13"/>
  <c r="ER10" i="13"/>
  <c r="BU10" i="13"/>
  <c r="E10" i="13"/>
  <c r="V10" i="13"/>
  <c r="DY10" i="13"/>
  <c r="FC10" i="13"/>
  <c r="I10" i="13"/>
  <c r="N10" i="13"/>
  <c r="P10" i="13"/>
  <c r="AX10" i="13"/>
  <c r="HL10" i="13"/>
  <c r="GS10" i="13"/>
  <c r="BM10" i="13"/>
  <c r="DD10" i="13"/>
  <c r="GJ10" i="13"/>
  <c r="FF10" i="13"/>
  <c r="IB10" i="13"/>
  <c r="DL10" i="13"/>
  <c r="GL10" i="13"/>
  <c r="GQ10" i="13"/>
  <c r="IC10" i="13"/>
  <c r="EX10" i="13"/>
  <c r="HE10" i="13"/>
  <c r="DT10" i="13"/>
  <c r="ET10" i="13"/>
  <c r="BL10" i="13"/>
  <c r="FA10" i="13"/>
  <c r="AD10" i="13"/>
  <c r="IL10" i="13"/>
  <c r="DU10" i="13"/>
  <c r="HT10" i="13"/>
  <c r="EG10" i="13"/>
  <c r="HY10" i="13"/>
  <c r="ES10" i="13"/>
  <c r="EV10" i="13"/>
  <c r="II10" i="13"/>
  <c r="HM10" i="13"/>
  <c r="HS10" i="13"/>
  <c r="EK10" i="13"/>
  <c r="BR10" i="13"/>
  <c r="GX10" i="13"/>
  <c r="BV10" i="13"/>
  <c r="EA10" i="13"/>
  <c r="CY10" i="13"/>
  <c r="HJ10" i="13"/>
  <c r="HP10" i="13"/>
  <c r="DE10" i="13"/>
  <c r="BW10" i="13"/>
  <c r="GK10" i="13"/>
  <c r="CV10" i="13"/>
  <c r="EE10" i="13"/>
  <c r="BH10" i="13"/>
  <c r="CI10" i="13"/>
  <c r="H10" i="13"/>
  <c r="AP10" i="13"/>
  <c r="HD10" i="13"/>
  <c r="GU10" i="13"/>
  <c r="HG10" i="13"/>
  <c r="IQ10" i="13"/>
  <c r="IE10" i="13"/>
  <c r="BX10" i="13"/>
  <c r="CK10" i="13"/>
  <c r="BJ10" i="13"/>
  <c r="AB10" i="13"/>
  <c r="EH10" i="13"/>
  <c r="K10" i="13"/>
  <c r="HN10" i="13"/>
  <c r="EQ10" i="13"/>
  <c r="IF10" i="13"/>
  <c r="GR10" i="13"/>
  <c r="DX10" i="13"/>
  <c r="GM10" i="13"/>
  <c r="FS10" i="13"/>
  <c r="IK10" i="13"/>
  <c r="BC10" i="13"/>
  <c r="DF10" i="13"/>
  <c r="AG10" i="13"/>
  <c r="R10" i="13"/>
  <c r="DJ10" i="13"/>
  <c r="BY10" i="13"/>
  <c r="BQ10" i="13"/>
  <c r="BA14" i="13"/>
  <c r="IQ14" i="13"/>
  <c r="S14" i="13"/>
  <c r="CB14" i="13"/>
  <c r="IO14" i="13"/>
  <c r="HA14" i="13"/>
  <c r="IM14" i="13"/>
  <c r="HN14" i="13"/>
  <c r="DJ14" i="13"/>
  <c r="EH14" i="13"/>
  <c r="AO14" i="13"/>
  <c r="IG14" i="13"/>
  <c r="CF14" i="13"/>
  <c r="CU14" i="13"/>
  <c r="EO14" i="13"/>
  <c r="DF14" i="13"/>
  <c r="HD14" i="13"/>
  <c r="CZ14" i="13"/>
  <c r="L14" i="13"/>
  <c r="GI14" i="13"/>
  <c r="CX14" i="13"/>
  <c r="DU14" i="13"/>
  <c r="HW14" i="13"/>
  <c r="FV14" i="13"/>
  <c r="BO14" i="13"/>
  <c r="BN14" i="13"/>
  <c r="CE14" i="13"/>
  <c r="AK14" i="13"/>
  <c r="EU14" i="13"/>
  <c r="FQ14" i="13"/>
  <c r="HC14" i="13"/>
  <c r="FE14" i="13"/>
  <c r="BY14" i="13"/>
  <c r="DZ14" i="13"/>
  <c r="C14" i="13"/>
  <c r="EN14" i="13"/>
  <c r="GU14" i="13"/>
  <c r="IC14" i="13"/>
  <c r="GV14" i="13"/>
  <c r="DV14" i="13"/>
  <c r="CI14" i="13"/>
  <c r="HG14" i="13"/>
  <c r="CH14" i="13"/>
  <c r="J14" i="13"/>
  <c r="EL14" i="13"/>
  <c r="DP14" i="13"/>
  <c r="AJ14" i="13"/>
  <c r="HS14" i="13"/>
  <c r="HQ14" i="13"/>
  <c r="HZ14" i="13"/>
  <c r="FO14" i="13"/>
  <c r="GF14" i="13"/>
  <c r="DC14" i="13"/>
  <c r="M14" i="13"/>
  <c r="FC14" i="13"/>
  <c r="IJ14" i="13"/>
  <c r="GB14" i="13"/>
  <c r="BS14" i="13"/>
  <c r="AR14" i="13"/>
  <c r="DK14" i="13"/>
  <c r="EQ14" i="13"/>
  <c r="CK14" i="13"/>
  <c r="FP14" i="13"/>
  <c r="IR14" i="13"/>
  <c r="FG14" i="13"/>
  <c r="CC14" i="13"/>
  <c r="BK14" i="13"/>
  <c r="EK14" i="13"/>
  <c r="CV14" i="13"/>
  <c r="Y14" i="13"/>
  <c r="CL14" i="13"/>
  <c r="HY14" i="13"/>
  <c r="E14" i="13"/>
  <c r="AU14" i="13"/>
  <c r="HB14" i="13"/>
  <c r="AF14" i="13"/>
  <c r="FH14" i="13"/>
  <c r="GT14" i="13"/>
  <c r="DL14" i="13"/>
  <c r="IB14" i="13"/>
  <c r="DA14" i="13"/>
  <c r="FU14" i="13"/>
  <c r="ES14" i="13"/>
  <c r="FY14" i="13"/>
  <c r="CW14" i="13"/>
  <c r="EI14" i="13"/>
  <c r="FL14" i="13"/>
  <c r="DM14" i="13"/>
  <c r="GW14" i="13"/>
  <c r="DD14" i="13"/>
  <c r="HV14" i="13"/>
  <c r="GP14" i="13"/>
  <c r="CG14" i="13"/>
  <c r="ID14" i="13"/>
  <c r="AM14" i="13"/>
  <c r="HU14" i="13"/>
  <c r="AV14" i="13"/>
  <c r="IH14" i="13"/>
  <c r="EC14" i="13"/>
  <c r="FX14" i="13"/>
  <c r="D14" i="13"/>
  <c r="DS14" i="13"/>
  <c r="EG14" i="13"/>
  <c r="IE14" i="13"/>
  <c r="CT14" i="13"/>
  <c r="EJ14" i="13"/>
  <c r="II14" i="13"/>
  <c r="DW14" i="13"/>
  <c r="Q14" i="13"/>
  <c r="IA14" i="13"/>
  <c r="HH14" i="13"/>
  <c r="CY14" i="13"/>
  <c r="ER14" i="13"/>
  <c r="AC14" i="13"/>
  <c r="GK14" i="13"/>
  <c r="DY14" i="13"/>
  <c r="HL14" i="13"/>
  <c r="EW14" i="13"/>
  <c r="AG14" i="13"/>
  <c r="FB14" i="13"/>
  <c r="CR14" i="13"/>
  <c r="DQ14" i="13"/>
  <c r="EF14" i="13"/>
  <c r="FN14" i="13"/>
  <c r="U14" i="13"/>
  <c r="BW14" i="13"/>
  <c r="HJ14" i="13"/>
  <c r="FI14" i="13"/>
  <c r="FT14" i="13"/>
  <c r="FM14" i="13"/>
  <c r="H14" i="13"/>
  <c r="GD14" i="13"/>
  <c r="GJ14" i="13"/>
  <c r="AL14" i="13"/>
  <c r="BC14" i="13"/>
  <c r="GE14" i="13"/>
  <c r="CS14" i="13"/>
  <c r="AS14" i="13"/>
  <c r="G14" i="13"/>
  <c r="T14" i="13"/>
  <c r="CJ14" i="13"/>
  <c r="P14" i="13"/>
  <c r="AP14" i="13"/>
  <c r="N14" i="13"/>
  <c r="GS14" i="13"/>
  <c r="EE14" i="13"/>
  <c r="BU14" i="13"/>
  <c r="AX14" i="13"/>
  <c r="DX14" i="13"/>
  <c r="BQ14" i="13"/>
  <c r="V14" i="13"/>
  <c r="IF14" i="13"/>
  <c r="BX14" i="13"/>
  <c r="FA14" i="13"/>
  <c r="BV14" i="13"/>
  <c r="BG14" i="13"/>
  <c r="HT14" i="13"/>
  <c r="DN14" i="13"/>
  <c r="EV14" i="13"/>
  <c r="BT14" i="13"/>
  <c r="EX14" i="13"/>
  <c r="GN14" i="13"/>
  <c r="AD14" i="13"/>
  <c r="AI14" i="13"/>
  <c r="AQ14" i="13"/>
  <c r="ED14" i="13"/>
  <c r="DH14" i="13"/>
  <c r="GM14" i="13"/>
  <c r="FR14" i="13"/>
  <c r="AT14" i="13"/>
  <c r="GQ14" i="13"/>
  <c r="BR14" i="13"/>
  <c r="EZ14" i="13"/>
  <c r="DX44" i="13"/>
  <c r="DK44" i="13"/>
  <c r="BW44" i="13"/>
  <c r="CC44" i="13"/>
  <c r="DO44" i="13"/>
  <c r="CT44" i="13"/>
  <c r="GQ44" i="13"/>
  <c r="FT44" i="13"/>
  <c r="HS44" i="13"/>
  <c r="GJ44" i="13"/>
  <c r="IH44" i="13"/>
  <c r="EX44" i="13"/>
  <c r="HQ44" i="13"/>
  <c r="GN44" i="13"/>
  <c r="FG44" i="13"/>
  <c r="GD44" i="13"/>
  <c r="FX44" i="13"/>
  <c r="BU44" i="13"/>
  <c r="DF44" i="13"/>
  <c r="DM44" i="13"/>
  <c r="ET44" i="13"/>
  <c r="EJ44" i="13"/>
  <c r="HY44" i="13"/>
  <c r="IL44" i="13"/>
  <c r="AJ44" i="13"/>
  <c r="GH44" i="13"/>
  <c r="EP44" i="13"/>
  <c r="HT44" i="13"/>
  <c r="DI44" i="13"/>
  <c r="IQ44" i="13"/>
  <c r="HU44" i="13"/>
  <c r="BO44" i="13"/>
  <c r="FQ44" i="13"/>
  <c r="HR44" i="13"/>
  <c r="IB44" i="13"/>
  <c r="AM44" i="13"/>
  <c r="BH44" i="13"/>
  <c r="BS44" i="13"/>
  <c r="GE44" i="13"/>
  <c r="HV44" i="13"/>
  <c r="GY44" i="13"/>
  <c r="DR44" i="13"/>
  <c r="BZ44" i="13"/>
  <c r="IA44" i="13"/>
  <c r="GZ44" i="13"/>
  <c r="HM44" i="13"/>
  <c r="GP44" i="13"/>
  <c r="CI44" i="13"/>
  <c r="AZ44" i="13"/>
  <c r="CN44" i="13"/>
  <c r="HW44" i="13"/>
  <c r="DT44" i="13"/>
  <c r="IK44" i="13"/>
  <c r="AT44" i="13"/>
  <c r="HK44" i="13"/>
  <c r="BI44" i="13"/>
  <c r="FI44" i="13"/>
  <c r="BV44" i="13"/>
  <c r="HC44" i="13"/>
  <c r="FB44" i="13"/>
  <c r="AI44" i="13"/>
  <c r="II44" i="13"/>
  <c r="IC44" i="13"/>
  <c r="EO44" i="13"/>
  <c r="EV44" i="13"/>
  <c r="BK44" i="13"/>
  <c r="BB44" i="13"/>
  <c r="EC44" i="13"/>
  <c r="DH44" i="13"/>
  <c r="CR44" i="13"/>
  <c r="CO44" i="13"/>
  <c r="GL44" i="13"/>
  <c r="GG44" i="13"/>
  <c r="EH44" i="13"/>
  <c r="EI44" i="13"/>
  <c r="CS44" i="13"/>
  <c r="CE44" i="13"/>
  <c r="HE44" i="13"/>
  <c r="F44" i="13"/>
  <c r="FU44" i="13"/>
  <c r="BC44" i="13"/>
  <c r="IG44" i="13"/>
  <c r="CZ44" i="13"/>
  <c r="ES44" i="13"/>
  <c r="BA44" i="13"/>
  <c r="GC44" i="13"/>
  <c r="EM44" i="13"/>
  <c r="IM44" i="13"/>
  <c r="FP44" i="13"/>
  <c r="EG44" i="13"/>
  <c r="HH44" i="13"/>
  <c r="BD44" i="13"/>
  <c r="FM44" i="13"/>
  <c r="DQ44" i="13"/>
  <c r="HN44" i="13"/>
  <c r="EU44" i="13"/>
  <c r="FY44" i="13"/>
  <c r="AR44" i="13"/>
  <c r="FF44" i="13"/>
  <c r="GS44" i="13"/>
  <c r="FE44" i="13"/>
  <c r="FO44" i="13"/>
  <c r="BQ44" i="13"/>
  <c r="IR44" i="13"/>
  <c r="EA44" i="13"/>
  <c r="GA44" i="13"/>
  <c r="CX44" i="13"/>
  <c r="CL44" i="13"/>
  <c r="HG44" i="13"/>
  <c r="BN44" i="13"/>
  <c r="FA44" i="13"/>
  <c r="GO44" i="13"/>
  <c r="BF44" i="13"/>
  <c r="DS44" i="13"/>
  <c r="FV44" i="13"/>
  <c r="BT44" i="13"/>
  <c r="BL44" i="13"/>
  <c r="GU44" i="13"/>
  <c r="GW44" i="13"/>
  <c r="IN44" i="13"/>
  <c r="BR44" i="13"/>
  <c r="GK44" i="13"/>
  <c r="BX44" i="13"/>
  <c r="GI44" i="13"/>
  <c r="FW44" i="13"/>
  <c r="HL44" i="13"/>
  <c r="CP44" i="13"/>
  <c r="GM44" i="13"/>
  <c r="CF44" i="13"/>
  <c r="EB44" i="13"/>
  <c r="DC44" i="13"/>
  <c r="DP44" i="13"/>
  <c r="AU44" i="13"/>
  <c r="BM44" i="13"/>
  <c r="FR44" i="13"/>
  <c r="DB44" i="13"/>
  <c r="FN44" i="13"/>
  <c r="DY44" i="13"/>
  <c r="DE44" i="13"/>
  <c r="AV44" i="13"/>
  <c r="EY44" i="13"/>
  <c r="AW44" i="13"/>
  <c r="ER44" i="13"/>
  <c r="AS44" i="13"/>
  <c r="GT44" i="13"/>
  <c r="HZ44" i="13"/>
  <c r="AQ44" i="13"/>
  <c r="FZ44" i="13"/>
  <c r="IO44" i="13"/>
  <c r="EK44" i="13"/>
  <c r="CQ44" i="13"/>
  <c r="GR44" i="13"/>
  <c r="HB44" i="13"/>
  <c r="ED44" i="13"/>
  <c r="HD44" i="13"/>
  <c r="CJ44" i="13"/>
  <c r="HX44" i="13"/>
  <c r="AO44" i="13"/>
  <c r="DY36" i="13"/>
  <c r="FH36" i="13"/>
  <c r="FT36" i="13"/>
  <c r="IN36" i="13"/>
  <c r="CZ36" i="13"/>
  <c r="EL36" i="13"/>
  <c r="EC36" i="13"/>
  <c r="EM36" i="13"/>
  <c r="GR36" i="13"/>
  <c r="BF36" i="13"/>
  <c r="CU36" i="13"/>
  <c r="CM36" i="13"/>
  <c r="IK36" i="13"/>
  <c r="EA36" i="13"/>
  <c r="EQ36" i="13"/>
  <c r="FX36" i="13"/>
  <c r="HE36" i="13"/>
  <c r="DX36" i="13"/>
  <c r="CJ36" i="13"/>
  <c r="BU36" i="13"/>
  <c r="AP36" i="13"/>
  <c r="BD36" i="13"/>
  <c r="FG36" i="13"/>
  <c r="FI36" i="13"/>
  <c r="ET36" i="13"/>
  <c r="HZ36" i="13"/>
  <c r="FE36" i="13"/>
  <c r="HO36" i="13"/>
  <c r="FK36" i="13"/>
  <c r="HW36" i="13"/>
  <c r="EP36" i="13"/>
  <c r="DG36" i="13"/>
  <c r="BG36" i="13"/>
  <c r="BL36" i="13"/>
  <c r="BR36" i="13"/>
  <c r="CC36" i="13"/>
  <c r="BN36" i="13"/>
  <c r="GM36" i="13"/>
  <c r="AO36" i="13"/>
  <c r="IQ36" i="13"/>
  <c r="GF36" i="13"/>
  <c r="FA36" i="13"/>
  <c r="DD36" i="13"/>
  <c r="DJ36" i="13"/>
  <c r="EZ36" i="13"/>
  <c r="BW36" i="13"/>
  <c r="HT36" i="13"/>
  <c r="AK36" i="13"/>
  <c r="BV36" i="13"/>
  <c r="DI36" i="13"/>
  <c r="GE36" i="13"/>
  <c r="BY36" i="13"/>
  <c r="FD36" i="13"/>
  <c r="DF36" i="13"/>
  <c r="GU36" i="13"/>
  <c r="HS36" i="13"/>
  <c r="ID36" i="13"/>
  <c r="CN36" i="13"/>
  <c r="DO36" i="13"/>
  <c r="HI36" i="13"/>
  <c r="AW36" i="13"/>
  <c r="HY36" i="13"/>
  <c r="AJ36" i="13"/>
  <c r="ED36" i="13"/>
  <c r="GH36" i="13"/>
  <c r="IL36" i="13"/>
  <c r="BC36" i="13"/>
  <c r="BH36" i="13"/>
  <c r="CR36" i="13"/>
  <c r="HG36" i="13"/>
  <c r="AX36" i="13"/>
  <c r="FB36" i="13"/>
  <c r="CL36" i="13"/>
  <c r="FJ36" i="13"/>
  <c r="BZ36" i="13"/>
  <c r="BM36" i="13"/>
  <c r="CO36" i="13"/>
  <c r="FQ36" i="13"/>
  <c r="HP36" i="13"/>
  <c r="CE36" i="13"/>
  <c r="GV36" i="13"/>
  <c r="IM36" i="13"/>
  <c r="CS36" i="13"/>
  <c r="ES36" i="13"/>
  <c r="IH36" i="13"/>
  <c r="CW36" i="13"/>
  <c r="HB36" i="13"/>
  <c r="AS36" i="13"/>
  <c r="DP36" i="13"/>
  <c r="BI36" i="13"/>
  <c r="DZ36" i="13"/>
  <c r="CY36" i="13"/>
  <c r="HD36" i="13"/>
  <c r="BB36" i="13"/>
  <c r="IC36" i="13"/>
  <c r="DQ36" i="13"/>
  <c r="AY36" i="13"/>
  <c r="AR36" i="13"/>
  <c r="GZ36" i="13"/>
  <c r="EW36" i="13"/>
  <c r="DW36" i="13"/>
  <c r="HR36" i="13"/>
  <c r="AT36" i="13"/>
  <c r="HA36" i="13"/>
  <c r="FZ36" i="13"/>
  <c r="HU36" i="13"/>
  <c r="DA36" i="13"/>
  <c r="FW36" i="13"/>
  <c r="BS36" i="13"/>
  <c r="FS36" i="13"/>
  <c r="EI36" i="13"/>
  <c r="GO36" i="13"/>
  <c r="DV36" i="13"/>
  <c r="BA36" i="13"/>
  <c r="DE36" i="13"/>
  <c r="BT36" i="13"/>
  <c r="DH36" i="13"/>
  <c r="AI36" i="13"/>
  <c r="FF36" i="13"/>
  <c r="II36" i="13"/>
  <c r="GL36" i="13"/>
  <c r="HN36" i="13"/>
  <c r="HJ36" i="13"/>
  <c r="GY36" i="13"/>
  <c r="EO36" i="13"/>
  <c r="FU36" i="13"/>
  <c r="EE36" i="13"/>
  <c r="GK36" i="13"/>
  <c r="IO36" i="13"/>
  <c r="EU36" i="13"/>
  <c r="HH36" i="13"/>
  <c r="CX36" i="13"/>
  <c r="AN36" i="13"/>
  <c r="AZ36" i="13"/>
  <c r="CT36" i="13"/>
  <c r="IA36" i="13"/>
  <c r="CV36" i="13"/>
  <c r="IR36" i="13"/>
  <c r="DL36" i="13"/>
  <c r="FV36" i="13"/>
  <c r="GA36" i="13"/>
  <c r="DR36" i="13"/>
  <c r="GB36" i="13"/>
  <c r="GS36" i="13"/>
  <c r="FM36" i="13"/>
  <c r="GI36" i="13"/>
  <c r="HK36" i="13"/>
  <c r="DS36" i="13"/>
  <c r="BX36" i="13"/>
  <c r="EX36" i="13"/>
  <c r="EK36" i="13"/>
  <c r="IF36" i="13"/>
  <c r="FO36" i="13"/>
  <c r="DC36" i="13"/>
  <c r="BQ36" i="13"/>
  <c r="IB36" i="13"/>
  <c r="CI36" i="13"/>
  <c r="FC36" i="13"/>
  <c r="FG42" i="13"/>
  <c r="BS42" i="13"/>
  <c r="EH42" i="13"/>
  <c r="DD42" i="13"/>
  <c r="DX42" i="13"/>
  <c r="HS42" i="13"/>
  <c r="GB42" i="13"/>
  <c r="DY42" i="13"/>
  <c r="BY42" i="13"/>
  <c r="FU42" i="13"/>
  <c r="CU42" i="13"/>
  <c r="GY42" i="13"/>
  <c r="HI42" i="13"/>
  <c r="CM42" i="13"/>
  <c r="BN42" i="13"/>
  <c r="AK42" i="13"/>
  <c r="EW42" i="13"/>
  <c r="DP42" i="13"/>
  <c r="DL42" i="13"/>
  <c r="BL42" i="13"/>
  <c r="BZ42" i="13"/>
  <c r="DW42" i="13"/>
  <c r="BO42" i="13"/>
  <c r="EQ42" i="13"/>
  <c r="CI42" i="13"/>
  <c r="BW42" i="13"/>
  <c r="EY42" i="13"/>
  <c r="DR42" i="13"/>
  <c r="BC42" i="13"/>
  <c r="HO42" i="13"/>
  <c r="FQ42" i="13"/>
  <c r="HN42" i="13"/>
  <c r="GG42" i="13"/>
  <c r="AZ42" i="13"/>
  <c r="FA42" i="13"/>
  <c r="IK42" i="13"/>
  <c r="ID42" i="13"/>
  <c r="GI42" i="13"/>
  <c r="FP42" i="13"/>
  <c r="HQ42" i="13"/>
  <c r="DO42" i="13"/>
  <c r="IJ42" i="13"/>
  <c r="EK42" i="13"/>
  <c r="DQ42" i="13"/>
  <c r="AR42" i="13"/>
  <c r="HX42" i="13"/>
  <c r="GU42" i="13"/>
  <c r="DA42" i="13"/>
  <c r="EC42" i="13"/>
  <c r="GZ42" i="13"/>
  <c r="DC42" i="13"/>
  <c r="FI42" i="13"/>
  <c r="EI42" i="13"/>
  <c r="GE42" i="13"/>
  <c r="HZ42" i="13"/>
  <c r="AY42" i="13"/>
  <c r="ED42" i="13"/>
  <c r="BI42" i="13"/>
  <c r="CE42" i="13"/>
  <c r="CC42" i="13"/>
  <c r="BF42" i="13"/>
  <c r="BJ42" i="13"/>
  <c r="IA42" i="13"/>
  <c r="GS42" i="13"/>
  <c r="HF42" i="13"/>
  <c r="DG42" i="13"/>
  <c r="IF42" i="13"/>
  <c r="FO42" i="13"/>
  <c r="IR42" i="13"/>
  <c r="FX42" i="13"/>
  <c r="BV42" i="13"/>
  <c r="GP42" i="13"/>
  <c r="CZ42" i="13"/>
  <c r="HJ42" i="13"/>
  <c r="ET42" i="13"/>
  <c r="HV42" i="13"/>
  <c r="IO42" i="13"/>
  <c r="DJ42" i="13"/>
  <c r="HP42" i="13"/>
  <c r="ES42" i="13"/>
  <c r="CT42" i="13"/>
  <c r="AI42" i="13"/>
  <c r="IN42" i="13"/>
  <c r="GD42" i="13"/>
  <c r="II42" i="13"/>
  <c r="DT42" i="13"/>
  <c r="AO42" i="13"/>
  <c r="EE42" i="13"/>
  <c r="IM42" i="13"/>
  <c r="DU42" i="13"/>
  <c r="HB42" i="13"/>
  <c r="DK42" i="13"/>
  <c r="GK42" i="13"/>
  <c r="FY42" i="13"/>
  <c r="EB42" i="13"/>
  <c r="CN42" i="13"/>
  <c r="EJ42" i="13"/>
  <c r="GA42" i="13"/>
  <c r="EO42" i="13"/>
  <c r="AQ42" i="13"/>
  <c r="IC42" i="13"/>
  <c r="HT42" i="13"/>
  <c r="EN42" i="13"/>
  <c r="BK42" i="13"/>
  <c r="AJ42" i="13"/>
  <c r="GQ42" i="13"/>
  <c r="CV42" i="13"/>
  <c r="EA42" i="13"/>
  <c r="IQ42" i="13"/>
  <c r="FW42" i="13"/>
  <c r="DZ42" i="13"/>
  <c r="BM42" i="13"/>
  <c r="FZ42" i="13"/>
  <c r="EU42" i="13"/>
  <c r="F42" i="13"/>
  <c r="GF42" i="13"/>
  <c r="EM42" i="13"/>
  <c r="GN42" i="13"/>
  <c r="CJ42" i="13"/>
  <c r="FJ42" i="13"/>
  <c r="FM42" i="13"/>
  <c r="GO42" i="13"/>
  <c r="AX42" i="13"/>
  <c r="FC42" i="13"/>
  <c r="AV42" i="13"/>
  <c r="GR42" i="13"/>
  <c r="EF42" i="13"/>
  <c r="GC42" i="13"/>
  <c r="GV42" i="13"/>
  <c r="GJ42" i="13"/>
  <c r="FS42" i="13"/>
  <c r="IE42" i="13"/>
  <c r="FH42" i="13"/>
  <c r="HG42" i="13"/>
  <c r="EP42" i="13"/>
  <c r="BB42" i="13"/>
  <c r="FL42" i="13"/>
  <c r="ER42" i="13"/>
  <c r="BP42" i="13"/>
  <c r="FV42" i="13"/>
  <c r="AN42" i="13"/>
  <c r="HL42" i="13"/>
  <c r="FK42" i="13"/>
  <c r="CQ42" i="13"/>
  <c r="IG42" i="13"/>
  <c r="BG42" i="13"/>
  <c r="CL42" i="13"/>
  <c r="FN42" i="13"/>
  <c r="DN42" i="13"/>
  <c r="CK42" i="13"/>
  <c r="BH42" i="13"/>
  <c r="BR42" i="13"/>
  <c r="CR42" i="13"/>
  <c r="BE42" i="13"/>
  <c r="AL42" i="13"/>
  <c r="BX48" i="13"/>
  <c r="GG22" i="13"/>
  <c r="HP7" i="13"/>
  <c r="CP5" i="13"/>
  <c r="GD50" i="13"/>
  <c r="DP12" i="13"/>
  <c r="FN13" i="13"/>
  <c r="CL9" i="13"/>
  <c r="IN6" i="13"/>
  <c r="GB21" i="13"/>
  <c r="HT16" i="13"/>
  <c r="HV47" i="13"/>
  <c r="CB6" i="13"/>
  <c r="AQ34" i="13"/>
  <c r="HH37" i="13"/>
  <c r="ET33" i="13"/>
  <c r="FY36" i="13"/>
  <c r="EZ18" i="13"/>
  <c r="IC15" i="13"/>
  <c r="IR21" i="13"/>
  <c r="AH10" i="13"/>
  <c r="DN44" i="13"/>
  <c r="IA29" i="13"/>
  <c r="IG10" i="13"/>
  <c r="FT13" i="13"/>
  <c r="CX53" i="13"/>
  <c r="O16" i="13"/>
  <c r="BS12" i="13"/>
  <c r="ED52" i="13"/>
  <c r="DE9" i="13"/>
  <c r="CV43" i="13"/>
  <c r="GB10" i="13"/>
  <c r="AE9" i="13"/>
  <c r="H8" i="13"/>
  <c r="IK14" i="13"/>
  <c r="HE16" i="13"/>
  <c r="CM7" i="13"/>
  <c r="GH14" i="13"/>
  <c r="HO22" i="13"/>
  <c r="G15" i="13"/>
  <c r="AR9" i="13"/>
  <c r="CO16" i="13"/>
  <c r="FQ34" i="13"/>
  <c r="GB38" i="13"/>
  <c r="F19" i="13"/>
  <c r="HI32" i="13"/>
  <c r="IM17" i="13"/>
  <c r="HS20" i="13"/>
  <c r="T35" i="13"/>
  <c r="HT9" i="13"/>
  <c r="EB35" i="13"/>
  <c r="DV53" i="13"/>
  <c r="BD11" i="13"/>
  <c r="FI39" i="13"/>
  <c r="FP12" i="13"/>
  <c r="IJ52" i="13"/>
  <c r="AN7" i="13"/>
  <c r="IQ43" i="13"/>
  <c r="GM40" i="13"/>
  <c r="CB8" i="13"/>
  <c r="IR20" i="13"/>
  <c r="HU9" i="13"/>
  <c r="O22" i="13"/>
  <c r="CS31" i="13"/>
  <c r="BC16" i="13"/>
  <c r="DC35" i="13"/>
  <c r="HC23" i="13"/>
  <c r="BQ25" i="13"/>
  <c r="BR7" i="13"/>
  <c r="FQ29" i="13"/>
  <c r="DT36" i="13"/>
  <c r="CN53" i="13"/>
  <c r="BK4" i="13"/>
  <c r="EZ51" i="13"/>
  <c r="DB12" i="13"/>
  <c r="BZ11" i="13"/>
  <c r="CC31" i="13"/>
  <c r="GV11" i="13"/>
  <c r="DF50" i="13"/>
  <c r="DZ8" i="13"/>
  <c r="AP46" i="13"/>
  <c r="EZ15" i="13"/>
  <c r="BV7" i="13"/>
  <c r="GR11" i="13"/>
  <c r="DA4" i="13"/>
  <c r="DS26" i="13"/>
  <c r="J29" i="13"/>
  <c r="GJ19" i="13"/>
  <c r="I28" i="13"/>
  <c r="AZ33" i="13"/>
  <c r="EH50" i="13"/>
  <c r="DI49" i="13"/>
  <c r="C21" i="13"/>
  <c r="HM15" i="13"/>
  <c r="AY46" i="13"/>
  <c r="EA48" i="13"/>
  <c r="FS14" i="13"/>
  <c r="EI43" i="13"/>
  <c r="W30" i="13"/>
  <c r="CJ48" i="13"/>
  <c r="EP10" i="13"/>
  <c r="FD8" i="13"/>
  <c r="DB30" i="13"/>
  <c r="FF16" i="13"/>
  <c r="AS51" i="13"/>
  <c r="FV46" i="13"/>
  <c r="EC28" i="13"/>
  <c r="HP17" i="13"/>
  <c r="FB50" i="13"/>
  <c r="U23" i="13"/>
  <c r="AJ23" i="13"/>
  <c r="FV28" i="13"/>
  <c r="GB8" i="13"/>
  <c r="BF41" i="13"/>
  <c r="DA51" i="13"/>
  <c r="IQ52" i="13"/>
  <c r="DI5" i="13"/>
  <c r="CF36" i="13"/>
  <c r="AB8" i="13"/>
  <c r="FR4" i="13"/>
  <c r="CQ11" i="13"/>
  <c r="AB9" i="13"/>
  <c r="IN28" i="13"/>
  <c r="CR7" i="13"/>
  <c r="Q17" i="13"/>
  <c r="HT19" i="13"/>
  <c r="EU48" i="13"/>
  <c r="G20" i="13"/>
  <c r="R12" i="13"/>
  <c r="IC47" i="13"/>
  <c r="BI48" i="13"/>
  <c r="BH14" i="13"/>
  <c r="FF6" i="13"/>
  <c r="EJ40" i="13"/>
  <c r="F21" i="13"/>
  <c r="X33" i="13"/>
  <c r="FW18" i="13"/>
  <c r="BP15" i="13"/>
  <c r="EE51" i="13"/>
  <c r="FU37" i="13"/>
  <c r="CR5" i="13"/>
  <c r="DS27" i="13"/>
  <c r="HD25" i="13"/>
  <c r="GX39" i="13"/>
  <c r="BH46" i="13"/>
  <c r="DK47" i="13"/>
  <c r="CZ12" i="13"/>
  <c r="EO9" i="13"/>
  <c r="HC35" i="13"/>
  <c r="FU46" i="13"/>
  <c r="E44" i="13"/>
  <c r="GW49" i="13"/>
  <c r="HH45" i="13"/>
  <c r="IR47" i="13"/>
  <c r="AZ24" i="13"/>
  <c r="AQ51" i="13"/>
  <c r="CB42" i="13"/>
  <c r="DQ50" i="13"/>
  <c r="IL15" i="13"/>
  <c r="IQ7" i="13"/>
  <c r="HF28" i="13"/>
  <c r="BS26" i="13"/>
  <c r="FA50" i="13"/>
  <c r="AH5" i="13"/>
  <c r="HJ28" i="13"/>
  <c r="HZ13" i="13"/>
  <c r="BZ26" i="13"/>
  <c r="EY15" i="13"/>
  <c r="DO4" i="13"/>
  <c r="AO6" i="13"/>
  <c r="BH12" i="13"/>
  <c r="IJ43" i="13"/>
  <c r="GT10" i="13"/>
  <c r="DI51" i="13"/>
  <c r="FZ37" i="13"/>
  <c r="ID50" i="13"/>
  <c r="BH39" i="13"/>
  <c r="CG31" i="13"/>
  <c r="GT31" i="13"/>
  <c r="GP8" i="13"/>
  <c r="EW44" i="13"/>
  <c r="BN13" i="13"/>
  <c r="GZ45" i="13"/>
  <c r="HS5" i="13"/>
  <c r="IJ20" i="13"/>
  <c r="BI7" i="13"/>
  <c r="HP14" i="13"/>
  <c r="GI23" i="13"/>
  <c r="FE29" i="13"/>
  <c r="HU26" i="13"/>
  <c r="DA38" i="13"/>
  <c r="EV15" i="13"/>
  <c r="BJ23" i="13"/>
  <c r="BA19" i="13"/>
  <c r="HU27" i="13"/>
  <c r="EC40" i="13"/>
  <c r="EV18" i="13"/>
  <c r="AT33" i="13"/>
  <c r="HD45" i="13"/>
  <c r="HY30" i="13"/>
  <c r="AC12" i="13"/>
  <c r="AQ26" i="13"/>
  <c r="Y16" i="13"/>
  <c r="EM14" i="13"/>
  <c r="CE48" i="13"/>
  <c r="EW12" i="13"/>
  <c r="FL49" i="13"/>
  <c r="CF50" i="13"/>
  <c r="DW40" i="13"/>
  <c r="EI12" i="13"/>
  <c r="BD32" i="13"/>
  <c r="CO14" i="13"/>
  <c r="IJ36" i="13"/>
  <c r="CB10" i="13"/>
  <c r="BM19" i="13"/>
  <c r="BT7" i="13"/>
  <c r="DD52" i="13"/>
  <c r="EY50" i="13"/>
  <c r="DY21" i="13"/>
  <c r="GO20" i="13"/>
  <c r="CH20" i="13"/>
  <c r="DR33" i="13"/>
  <c r="HV18" i="13"/>
  <c r="HW27" i="13"/>
  <c r="BX27" i="13"/>
  <c r="HJ20" i="13"/>
  <c r="CN47" i="13"/>
  <c r="CB24" i="13"/>
  <c r="BJ32" i="13"/>
  <c r="BB43" i="13"/>
  <c r="BQ40" i="13"/>
  <c r="AZ6" i="13"/>
  <c r="HF38" i="13"/>
  <c r="EL43" i="13"/>
  <c r="AI45" i="13"/>
  <c r="DG43" i="13"/>
  <c r="FJ9" i="13"/>
  <c r="GV29" i="13"/>
  <c r="FU10" i="13"/>
  <c r="HI21" i="13"/>
  <c r="EV19" i="13"/>
  <c r="AT11" i="13"/>
  <c r="GW28" i="13"/>
  <c r="CI27" i="13"/>
  <c r="DH37" i="13"/>
  <c r="HM14" i="13"/>
  <c r="FQ26" i="13"/>
  <c r="HU33" i="13"/>
  <c r="EA12" i="13"/>
  <c r="AI43" i="13"/>
  <c r="GL25" i="13"/>
  <c r="AN44" i="13"/>
  <c r="FF12" i="13"/>
  <c r="FC9" i="13"/>
  <c r="HW23" i="13"/>
  <c r="GI20" i="13"/>
  <c r="IL23" i="13"/>
  <c r="DQ29" i="13"/>
  <c r="HO31" i="13"/>
  <c r="IG25" i="13"/>
  <c r="CU12" i="13"/>
  <c r="CU40" i="13"/>
  <c r="DC22" i="13"/>
  <c r="N24" i="13"/>
  <c r="GD37" i="13"/>
  <c r="BG44" i="13"/>
  <c r="FT10" i="13"/>
  <c r="HP32" i="13"/>
  <c r="G25" i="13"/>
  <c r="IJ49" i="13"/>
  <c r="GH38" i="13"/>
  <c r="GA9" i="13"/>
  <c r="FU16" i="13"/>
  <c r="AO27" i="13"/>
  <c r="II28" i="13"/>
  <c r="FH19" i="13"/>
  <c r="IH4" i="13"/>
  <c r="AD4" i="13"/>
  <c r="DB17" i="13"/>
  <c r="CF26" i="13"/>
  <c r="DX31" i="13"/>
  <c r="IO26" i="13"/>
  <c r="EX32" i="13"/>
  <c r="CF24" i="13"/>
  <c r="GM49" i="13"/>
  <c r="IH9" i="13"/>
  <c r="ED32" i="13"/>
  <c r="IQ47" i="13"/>
  <c r="D12" i="13"/>
  <c r="CU16" i="13"/>
  <c r="FZ17" i="13"/>
  <c r="I21" i="13"/>
  <c r="GD36" i="13"/>
  <c r="DG27" i="13"/>
  <c r="U6" i="13"/>
  <c r="N28" i="13"/>
  <c r="IA39" i="13"/>
  <c r="FY13" i="13"/>
  <c r="AL16" i="13"/>
  <c r="T20" i="13"/>
  <c r="AC33" i="13"/>
  <c r="GA35" i="13"/>
  <c r="EW27" i="13"/>
  <c r="AC4" i="13"/>
  <c r="FL9" i="13"/>
  <c r="CR17" i="13"/>
  <c r="AX35" i="13"/>
  <c r="EJ10" i="13"/>
  <c r="CB7" i="13"/>
  <c r="HE17" i="13"/>
  <c r="X14" i="13"/>
  <c r="DN39" i="13"/>
  <c r="IJ22" i="13"/>
  <c r="GF5" i="13"/>
  <c r="FY29" i="13"/>
  <c r="DW46" i="13"/>
  <c r="IO20" i="13"/>
  <c r="CO20" i="13"/>
  <c r="FE42" i="13"/>
  <c r="FC12" i="13"/>
  <c r="BL47" i="13"/>
  <c r="GW24" i="13"/>
  <c r="BO26" i="13"/>
  <c r="DC13" i="13"/>
  <c r="IN27" i="13"/>
  <c r="HI44" i="13"/>
  <c r="GG15" i="13"/>
  <c r="HL7" i="13"/>
  <c r="Z14" i="13"/>
  <c r="L10" i="13"/>
  <c r="HJ48" i="13"/>
  <c r="FJ34" i="13"/>
  <c r="FR36" i="13"/>
  <c r="BL6" i="13"/>
  <c r="DT32" i="13"/>
  <c r="DU49" i="13"/>
  <c r="CJ18" i="13"/>
  <c r="BC39" i="13"/>
  <c r="G29" i="13"/>
  <c r="HQ17" i="13"/>
  <c r="DV44" i="13"/>
  <c r="BH52" i="13"/>
  <c r="CH42" i="13"/>
  <c r="IB15" i="13"/>
  <c r="DW25" i="13"/>
  <c r="GU49" i="13"/>
  <c r="BV45" i="13"/>
  <c r="AR7" i="13"/>
  <c r="GC38" i="13"/>
  <c r="FM20" i="13"/>
  <c r="FF25" i="13"/>
  <c r="CT46" i="13"/>
  <c r="EY32" i="13"/>
  <c r="IF39" i="13"/>
  <c r="DM9" i="13"/>
  <c r="HO50" i="13"/>
  <c r="BB51" i="13"/>
  <c r="FI27" i="13"/>
  <c r="CJ21" i="13"/>
  <c r="FL44" i="13"/>
  <c r="CF16" i="13"/>
  <c r="CV32" i="13"/>
  <c r="AX44" i="13"/>
  <c r="HY17" i="13"/>
  <c r="AK8" i="13"/>
  <c r="GB49" i="13"/>
  <c r="DQ25" i="13"/>
  <c r="HD31" i="13"/>
  <c r="HU53" i="13"/>
  <c r="FW14" i="13"/>
  <c r="DW45" i="13"/>
  <c r="DR29" i="13"/>
  <c r="EA5" i="13"/>
  <c r="DK46" i="13"/>
  <c r="DG9" i="13"/>
  <c r="BU25" i="13"/>
  <c r="HJ4" i="13"/>
  <c r="EP41" i="13"/>
  <c r="CF5" i="13"/>
  <c r="GZ35" i="13"/>
  <c r="DD44" i="13"/>
  <c r="DH41" i="13"/>
  <c r="E17" i="13"/>
  <c r="GF44" i="13"/>
  <c r="CC25" i="13"/>
  <c r="EQ26" i="13"/>
  <c r="AU5" i="13"/>
  <c r="BE14" i="13"/>
  <c r="AQ30" i="13"/>
  <c r="FF15" i="13"/>
  <c r="ID53" i="13"/>
  <c r="IB19" i="13"/>
  <c r="HE42" i="13"/>
  <c r="FF40" i="13"/>
  <c r="AZ9" i="13"/>
  <c r="FY10" i="13"/>
  <c r="L26" i="13"/>
  <c r="FW7" i="13"/>
  <c r="CE43" i="13"/>
  <c r="FZ26" i="13"/>
  <c r="DY31" i="13"/>
  <c r="BQ42" i="13"/>
  <c r="FI7" i="13"/>
  <c r="BD46" i="13"/>
  <c r="AT42" i="13"/>
  <c r="GZ47" i="13"/>
  <c r="HU7" i="13"/>
  <c r="CD20" i="13"/>
  <c r="EI49" i="13"/>
  <c r="DE7" i="13"/>
  <c r="EI35" i="13"/>
  <c r="HA42" i="13"/>
  <c r="GN40" i="13"/>
  <c r="HX39" i="13"/>
  <c r="HF26" i="13"/>
  <c r="EZ17" i="13"/>
  <c r="HZ40" i="13"/>
  <c r="IK39" i="13"/>
  <c r="AP18" i="13"/>
  <c r="FV12" i="13"/>
  <c r="GV47" i="13"/>
  <c r="BP24" i="13"/>
  <c r="IF50" i="13"/>
  <c r="GY51" i="13"/>
  <c r="DU26" i="13"/>
  <c r="Y8" i="13"/>
  <c r="DP51" i="13"/>
  <c r="BJ24" i="13"/>
  <c r="CD18" i="13"/>
  <c r="EL41" i="13"/>
  <c r="FR13" i="13"/>
  <c r="DK11" i="13"/>
  <c r="EX11" i="13"/>
  <c r="FL11" i="13"/>
  <c r="DX11" i="13"/>
  <c r="HN11" i="13"/>
  <c r="AK11" i="13"/>
  <c r="AD11" i="13"/>
  <c r="G11" i="13"/>
  <c r="AN11" i="13"/>
  <c r="CV11" i="13"/>
  <c r="HE11" i="13"/>
  <c r="U11" i="13"/>
  <c r="GY11" i="13"/>
  <c r="FS11" i="13"/>
  <c r="AL11" i="13"/>
  <c r="GZ11" i="13"/>
  <c r="DQ11" i="13"/>
  <c r="I11" i="13"/>
  <c r="BR11" i="13"/>
  <c r="IB11" i="13"/>
  <c r="IE11" i="13"/>
  <c r="AQ11" i="13"/>
  <c r="Z11" i="13"/>
  <c r="CN11" i="13"/>
  <c r="CB11" i="13"/>
  <c r="AG11" i="13"/>
  <c r="P11" i="13"/>
  <c r="FE11" i="13"/>
  <c r="CJ11" i="13"/>
  <c r="FT11" i="13"/>
  <c r="IH11" i="13"/>
  <c r="BM11" i="13"/>
  <c r="HI11" i="13"/>
  <c r="CY11" i="13"/>
  <c r="DJ11" i="13"/>
  <c r="AF11" i="13"/>
  <c r="Y11" i="13"/>
  <c r="HV11" i="13"/>
  <c r="AA11" i="13"/>
  <c r="ER11" i="13"/>
  <c r="FX11" i="13"/>
  <c r="GG11" i="13"/>
  <c r="FR11" i="13"/>
  <c r="IJ11" i="13"/>
  <c r="DN11" i="13"/>
  <c r="AP11" i="13"/>
  <c r="EM11" i="13"/>
  <c r="FG11" i="13"/>
  <c r="AS11" i="13"/>
  <c r="DI11" i="13"/>
  <c r="HK11" i="13"/>
  <c r="BK11" i="13"/>
  <c r="BI11" i="13"/>
  <c r="FP11" i="13"/>
  <c r="DM11" i="13"/>
  <c r="O11" i="13"/>
  <c r="X11" i="13"/>
  <c r="M11" i="13"/>
  <c r="HG11" i="13"/>
  <c r="BO11" i="13"/>
  <c r="DP11" i="13"/>
  <c r="CG11" i="13"/>
  <c r="AC11" i="13"/>
  <c r="BH11" i="13"/>
  <c r="GN11" i="13"/>
  <c r="AE11" i="13"/>
  <c r="CZ11" i="13"/>
  <c r="GK11" i="13"/>
  <c r="EE11" i="13"/>
  <c r="H11" i="13"/>
  <c r="AM11" i="13"/>
  <c r="GB11" i="13"/>
  <c r="GM11" i="13"/>
  <c r="EJ11" i="13"/>
  <c r="HL11" i="13"/>
  <c r="CH11" i="13"/>
  <c r="FC11" i="13"/>
  <c r="DF11" i="13"/>
  <c r="EZ11" i="13"/>
  <c r="HD11" i="13"/>
  <c r="BA11" i="13"/>
  <c r="AV11" i="13"/>
  <c r="FH11" i="13"/>
  <c r="C11" i="13"/>
  <c r="DZ11" i="13"/>
  <c r="CO11" i="13"/>
  <c r="IM11" i="13"/>
  <c r="BC11" i="13"/>
  <c r="DV11" i="13"/>
  <c r="EQ11" i="13"/>
  <c r="CT11" i="13"/>
  <c r="BB11" i="13"/>
  <c r="D11" i="13"/>
  <c r="HQ11" i="13"/>
  <c r="GS11" i="13"/>
  <c r="HC11" i="13"/>
  <c r="HT11" i="13"/>
  <c r="AI11" i="13"/>
  <c r="GH11" i="13"/>
  <c r="GL11" i="13"/>
  <c r="CC11" i="13"/>
  <c r="EG11" i="13"/>
  <c r="DU11" i="13"/>
  <c r="HY11" i="13"/>
  <c r="IK11" i="13"/>
  <c r="FA11" i="13"/>
  <c r="IA11" i="13"/>
  <c r="IO11" i="13"/>
  <c r="DT11" i="13"/>
  <c r="HJ11" i="13"/>
  <c r="N11" i="13"/>
  <c r="ET11" i="13"/>
  <c r="FQ11" i="13"/>
  <c r="DE11" i="13"/>
  <c r="GW11" i="13"/>
  <c r="IG11" i="13"/>
  <c r="DH11" i="13"/>
  <c r="GO11" i="13"/>
  <c r="EO11" i="13"/>
  <c r="DD11" i="13"/>
  <c r="EN11" i="13"/>
  <c r="CL11" i="13"/>
  <c r="CP11" i="13"/>
  <c r="HU11" i="13"/>
  <c r="FM11" i="13"/>
  <c r="DA11" i="13"/>
  <c r="IF11" i="13"/>
  <c r="GP11" i="13"/>
  <c r="L11" i="13"/>
  <c r="IR11" i="13"/>
  <c r="DY11" i="13"/>
  <c r="CK11" i="13"/>
  <c r="FF11" i="13"/>
  <c r="EB11" i="13"/>
  <c r="ES11" i="13"/>
  <c r="BW11" i="13"/>
  <c r="BN11" i="13"/>
  <c r="EK11" i="13"/>
  <c r="AR11" i="13"/>
  <c r="BQ11" i="13"/>
  <c r="EC11" i="13"/>
  <c r="Q11" i="13"/>
  <c r="AO11" i="13"/>
  <c r="CI11" i="13"/>
  <c r="EV11" i="13"/>
  <c r="AU11" i="13"/>
  <c r="GJ11" i="13"/>
  <c r="K11" i="13"/>
  <c r="FD11" i="13"/>
  <c r="HP11" i="13"/>
  <c r="CD11" i="13"/>
  <c r="BS11" i="13"/>
  <c r="HF11" i="13"/>
  <c r="CS11" i="13"/>
  <c r="FU11" i="13"/>
  <c r="BL11" i="13"/>
  <c r="EI11" i="13"/>
  <c r="DB11" i="13"/>
  <c r="E11" i="13"/>
  <c r="BY11" i="13"/>
  <c r="FJ11" i="13"/>
  <c r="DX9" i="13"/>
  <c r="U7" i="13"/>
  <c r="EF6" i="13"/>
  <c r="EH6" i="13"/>
  <c r="S6" i="13"/>
  <c r="DF6" i="13"/>
  <c r="BM6" i="13"/>
  <c r="GY6" i="13"/>
  <c r="EU6" i="13"/>
  <c r="P6" i="13"/>
  <c r="CG6" i="13"/>
  <c r="DT6" i="13"/>
  <c r="FR6" i="13"/>
  <c r="D6" i="13"/>
  <c r="FY6" i="13"/>
  <c r="FX6" i="13"/>
  <c r="IF6" i="13"/>
  <c r="BX6" i="13"/>
  <c r="IA6" i="13"/>
  <c r="Z6" i="13"/>
  <c r="EW6" i="13"/>
  <c r="CF6" i="13"/>
  <c r="FU6" i="13"/>
  <c r="AI6" i="13"/>
  <c r="AD6" i="13"/>
  <c r="ED6" i="13"/>
  <c r="AM6" i="13"/>
  <c r="BO6" i="13"/>
  <c r="GP6" i="13"/>
  <c r="HU6" i="13"/>
  <c r="IJ6" i="13"/>
  <c r="GE6" i="13"/>
  <c r="HR6" i="13"/>
  <c r="GU6" i="13"/>
  <c r="EA6" i="13"/>
  <c r="CW6" i="13"/>
  <c r="CZ6" i="13"/>
  <c r="BV6" i="13"/>
  <c r="DL6" i="13"/>
  <c r="BF6" i="13"/>
  <c r="BW6" i="13"/>
  <c r="CX6" i="13"/>
  <c r="N6" i="13"/>
  <c r="DK6" i="13"/>
  <c r="EK6" i="13"/>
  <c r="GR6" i="13"/>
  <c r="BI6" i="13"/>
  <c r="DR6" i="13"/>
  <c r="HI6" i="13"/>
  <c r="GW6" i="13"/>
  <c r="DZ6" i="13"/>
  <c r="AN6" i="13"/>
  <c r="FC6" i="13"/>
  <c r="EZ6" i="13"/>
  <c r="AR6" i="13"/>
  <c r="CL6" i="13"/>
  <c r="IL6" i="13"/>
  <c r="BD6" i="13"/>
  <c r="F6" i="13"/>
  <c r="AW6" i="13"/>
  <c r="AL6" i="13"/>
  <c r="DX6" i="13"/>
  <c r="FJ6" i="13"/>
  <c r="BR6" i="13"/>
  <c r="EI6" i="13"/>
  <c r="GV6" i="13"/>
  <c r="EE6" i="13"/>
  <c r="AJ6" i="13"/>
  <c r="BS6" i="13"/>
  <c r="FV6" i="13"/>
  <c r="CU6" i="13"/>
  <c r="HT6" i="13"/>
  <c r="BG6" i="13"/>
  <c r="GG6" i="13"/>
  <c r="IG6" i="13"/>
  <c r="HF6" i="13"/>
  <c r="CS6" i="13"/>
  <c r="H6" i="13"/>
  <c r="II6" i="13"/>
  <c r="GK6" i="13"/>
  <c r="EG6" i="13"/>
  <c r="EC6" i="13"/>
  <c r="AY6" i="13"/>
  <c r="GL6" i="13"/>
  <c r="GB6" i="13"/>
  <c r="AS6" i="13"/>
  <c r="IC6" i="13"/>
  <c r="GS6" i="13"/>
  <c r="DQ6" i="13"/>
  <c r="EM6" i="13"/>
  <c r="Y6" i="13"/>
  <c r="ET6" i="13"/>
  <c r="EJ6" i="13"/>
  <c r="HX6" i="13"/>
  <c r="O6" i="13"/>
  <c r="EY6" i="13"/>
  <c r="GC6" i="13"/>
  <c r="ES6" i="13"/>
  <c r="FZ6" i="13"/>
  <c r="I6" i="13"/>
  <c r="DS6" i="13"/>
  <c r="IB6" i="13"/>
  <c r="FI6" i="13"/>
  <c r="FS6" i="13"/>
  <c r="DD6" i="13"/>
  <c r="EN6" i="13"/>
  <c r="GO6" i="13"/>
  <c r="GA6" i="13"/>
  <c r="HS6" i="13"/>
  <c r="AU6" i="13"/>
  <c r="IQ6" i="13"/>
  <c r="DO6" i="13"/>
  <c r="DU6" i="13"/>
  <c r="GH6" i="13"/>
  <c r="DW6" i="13"/>
  <c r="AA6" i="13"/>
  <c r="BP6" i="13"/>
  <c r="CJ6" i="13"/>
  <c r="BQ6" i="13"/>
  <c r="GD6" i="13"/>
  <c r="FE6" i="13"/>
  <c r="BY6" i="13"/>
  <c r="EL6" i="13"/>
  <c r="HM6" i="13"/>
  <c r="DB6" i="13"/>
  <c r="AB6" i="13"/>
  <c r="IO6" i="13"/>
  <c r="FQ6" i="13"/>
  <c r="HG6" i="13"/>
  <c r="Q6" i="13"/>
  <c r="HC6" i="13"/>
  <c r="ER6" i="13"/>
  <c r="HV6" i="13"/>
  <c r="IK6" i="13"/>
  <c r="DC6" i="13"/>
  <c r="DV6" i="13"/>
  <c r="BC6" i="13"/>
  <c r="AK6" i="13"/>
  <c r="EB6" i="13"/>
  <c r="HE6" i="13"/>
  <c r="CM6" i="13"/>
  <c r="FO6" i="13"/>
  <c r="DY6" i="13"/>
  <c r="CD6" i="13"/>
  <c r="HA6" i="13"/>
  <c r="GX6" i="13"/>
  <c r="HO6" i="13"/>
  <c r="BK6" i="13"/>
  <c r="GJ6" i="13"/>
  <c r="M6" i="13"/>
  <c r="FD6" i="13"/>
  <c r="E6" i="13"/>
  <c r="FH6" i="13"/>
  <c r="EV6" i="13"/>
  <c r="HQ6" i="13"/>
  <c r="BZ6" i="13"/>
  <c r="DH6" i="13"/>
  <c r="CC6" i="13"/>
  <c r="FP6" i="13"/>
  <c r="EQ6" i="13"/>
  <c r="CI6" i="13"/>
  <c r="AV6" i="13"/>
  <c r="CN6" i="13"/>
  <c r="X6" i="13"/>
  <c r="R6" i="13"/>
  <c r="CK6" i="13"/>
  <c r="DE6" i="13"/>
  <c r="G6" i="13"/>
  <c r="HN6" i="13"/>
  <c r="CP6" i="13"/>
  <c r="AP6" i="13"/>
  <c r="HX23" i="13"/>
  <c r="AH23" i="13"/>
  <c r="EB23" i="13"/>
  <c r="GY23" i="13"/>
  <c r="HH23" i="13"/>
  <c r="EY23" i="13"/>
  <c r="BR23" i="13"/>
  <c r="T23" i="13"/>
  <c r="IH23" i="13"/>
  <c r="BU23" i="13"/>
  <c r="CZ23" i="13"/>
  <c r="AA23" i="13"/>
  <c r="FL23" i="13"/>
  <c r="AI23" i="13"/>
  <c r="BS23" i="13"/>
  <c r="DA23" i="13"/>
  <c r="HP23" i="13"/>
  <c r="DQ23" i="13"/>
  <c r="BT23" i="13"/>
  <c r="IA23" i="13"/>
  <c r="HJ23" i="13"/>
  <c r="AR23" i="13"/>
  <c r="FE23" i="13"/>
  <c r="AQ23" i="13"/>
  <c r="DM23" i="13"/>
  <c r="II23" i="13"/>
  <c r="FO23" i="13"/>
  <c r="HM23" i="13"/>
  <c r="EQ23" i="13"/>
  <c r="GB23" i="13"/>
  <c r="M23" i="13"/>
  <c r="CK23" i="13"/>
  <c r="ID23" i="13"/>
  <c r="DZ23" i="13"/>
  <c r="BV23" i="13"/>
  <c r="GS23" i="13"/>
  <c r="EU23" i="13"/>
  <c r="DO23" i="13"/>
  <c r="DN23" i="13"/>
  <c r="DY23" i="13"/>
  <c r="HE23" i="13"/>
  <c r="FH23" i="13"/>
  <c r="ER23" i="13"/>
  <c r="AB23" i="13"/>
  <c r="X23" i="13"/>
  <c r="DE23" i="13"/>
  <c r="BM23" i="13"/>
  <c r="FF23" i="13"/>
  <c r="BZ23" i="13"/>
  <c r="AD23" i="13"/>
  <c r="CG23" i="13"/>
  <c r="CU23" i="13"/>
  <c r="DG23" i="13"/>
  <c r="CW23" i="13"/>
  <c r="GZ23" i="13"/>
  <c r="GD23" i="13"/>
  <c r="IC23" i="13"/>
  <c r="HA23" i="13"/>
  <c r="EK23" i="13"/>
  <c r="W23" i="13"/>
  <c r="AL23" i="13"/>
  <c r="EI23" i="13"/>
  <c r="FK23" i="13"/>
  <c r="ES23" i="13"/>
  <c r="FJ23" i="13"/>
  <c r="AK23" i="13"/>
  <c r="IK23" i="13"/>
  <c r="CJ23" i="13"/>
  <c r="FM23" i="13"/>
  <c r="BP23" i="13"/>
  <c r="GU23" i="13"/>
  <c r="AF23" i="13"/>
  <c r="GC23" i="13"/>
  <c r="AC23" i="13"/>
  <c r="HR23" i="13"/>
  <c r="CF23" i="13"/>
  <c r="IG23" i="13"/>
  <c r="FR23" i="13"/>
  <c r="E23" i="13"/>
  <c r="HV23" i="13"/>
  <c r="FV23" i="13"/>
  <c r="HU23" i="13"/>
  <c r="BY23" i="13"/>
  <c r="BL23" i="13"/>
  <c r="BI23" i="13"/>
  <c r="HN23" i="13"/>
  <c r="HD23" i="13"/>
  <c r="AX23" i="13"/>
  <c r="GT23" i="13"/>
  <c r="HB23" i="13"/>
  <c r="HQ23" i="13"/>
  <c r="DS23" i="13"/>
  <c r="EJ23" i="13"/>
  <c r="BD23" i="13"/>
  <c r="GG23" i="13"/>
  <c r="DL23" i="13"/>
  <c r="AN23" i="13"/>
  <c r="IE23" i="13"/>
  <c r="DB23" i="13"/>
  <c r="DP23" i="13"/>
  <c r="EM23" i="13"/>
  <c r="IR23" i="13"/>
  <c r="HO23" i="13"/>
  <c r="HS23" i="13"/>
  <c r="DD23" i="13"/>
  <c r="AM23" i="13"/>
  <c r="CD23" i="13"/>
  <c r="G23" i="13"/>
  <c r="CL23" i="13"/>
  <c r="EP23" i="13"/>
  <c r="AO23" i="13"/>
  <c r="EO23" i="13"/>
  <c r="EN23" i="13"/>
  <c r="BB23" i="13"/>
  <c r="CQ23" i="13"/>
  <c r="P23" i="13"/>
  <c r="GH23" i="13"/>
  <c r="FT23" i="13"/>
  <c r="K23" i="13"/>
  <c r="CB23" i="13"/>
  <c r="EX23" i="13"/>
  <c r="BA23" i="13"/>
  <c r="DC23" i="13"/>
  <c r="CT23" i="13"/>
  <c r="EA23" i="13"/>
  <c r="EG23" i="13"/>
  <c r="GJ23" i="13"/>
  <c r="H23" i="13"/>
  <c r="AP23" i="13"/>
  <c r="R23" i="13"/>
  <c r="DW23" i="13"/>
  <c r="CH23" i="13"/>
  <c r="CN23" i="13"/>
  <c r="BW23" i="13"/>
  <c r="AS23" i="13"/>
  <c r="CR23" i="13"/>
  <c r="GR23" i="13"/>
  <c r="FW23" i="13"/>
  <c r="FC23" i="13"/>
  <c r="FZ23" i="13"/>
  <c r="EE23" i="13"/>
  <c r="L23" i="13"/>
  <c r="IQ23" i="13"/>
  <c r="HY23" i="13"/>
  <c r="DI23" i="13"/>
  <c r="GV23" i="13"/>
  <c r="D23" i="13"/>
  <c r="EF23" i="13"/>
  <c r="DU23" i="13"/>
  <c r="HZ23" i="13"/>
  <c r="V23" i="13"/>
  <c r="EL23" i="13"/>
  <c r="F23" i="13"/>
  <c r="AV23" i="13"/>
  <c r="EW23" i="13"/>
  <c r="FI23" i="13"/>
  <c r="CV23" i="13"/>
  <c r="IB23" i="13"/>
  <c r="DF23" i="13"/>
  <c r="DR23" i="13"/>
  <c r="Q23" i="13"/>
  <c r="Z23" i="13"/>
  <c r="IM23" i="13"/>
  <c r="EH23" i="13"/>
  <c r="GP23" i="13"/>
  <c r="BC23" i="13"/>
  <c r="S23" i="13"/>
  <c r="CM23" i="13"/>
  <c r="HK23" i="13"/>
  <c r="BU5" i="13"/>
  <c r="AT5" i="13"/>
  <c r="FB5" i="13"/>
  <c r="EE5" i="13"/>
  <c r="DM5" i="13"/>
  <c r="IB5" i="13"/>
  <c r="GS5" i="13"/>
  <c r="E5" i="13"/>
  <c r="W5" i="13"/>
  <c r="BX5" i="13"/>
  <c r="EG5" i="13"/>
  <c r="C5" i="13"/>
  <c r="BP5" i="13"/>
  <c r="CV5" i="13"/>
  <c r="GG5" i="13"/>
  <c r="BF5" i="13"/>
  <c r="EK5" i="13"/>
  <c r="GZ5" i="13"/>
  <c r="EQ5" i="13"/>
  <c r="AD5" i="13"/>
  <c r="CW5" i="13"/>
  <c r="EJ5" i="13"/>
  <c r="FU5" i="13"/>
  <c r="HY5" i="13"/>
  <c r="FD5" i="13"/>
  <c r="GM5" i="13"/>
  <c r="V5" i="13"/>
  <c r="EZ5" i="13"/>
  <c r="AG5" i="13"/>
  <c r="CL5" i="13"/>
  <c r="CC5" i="13"/>
  <c r="EI5" i="13"/>
  <c r="GA5" i="13"/>
  <c r="HX5" i="13"/>
  <c r="CS5" i="13"/>
  <c r="BJ5" i="13"/>
  <c r="FC5" i="13"/>
  <c r="HE5" i="13"/>
  <c r="CJ5" i="13"/>
  <c r="AW5" i="13"/>
  <c r="FO5" i="13"/>
  <c r="BR5" i="13"/>
  <c r="EX5" i="13"/>
  <c r="AN5" i="13"/>
  <c r="AZ5" i="13"/>
  <c r="IO5" i="13"/>
  <c r="AI5" i="13"/>
  <c r="EW5" i="13"/>
  <c r="DH5" i="13"/>
  <c r="U5" i="13"/>
  <c r="FM5" i="13"/>
  <c r="CG5" i="13"/>
  <c r="FS5" i="13"/>
  <c r="DZ5" i="13"/>
  <c r="H5" i="13"/>
  <c r="FH5" i="13"/>
  <c r="X5" i="13"/>
  <c r="HC5" i="13"/>
  <c r="S5" i="13"/>
  <c r="HV5" i="13"/>
  <c r="BM5" i="13"/>
  <c r="FZ5" i="13"/>
  <c r="EC5" i="13"/>
  <c r="HR5" i="13"/>
  <c r="M5" i="13"/>
  <c r="EU5" i="13"/>
  <c r="CQ5" i="13"/>
  <c r="DF5" i="13"/>
  <c r="EL5" i="13"/>
  <c r="GB5" i="13"/>
  <c r="FQ5" i="13"/>
  <c r="F5" i="13"/>
  <c r="BY5" i="13"/>
  <c r="BC5" i="13"/>
  <c r="AK5" i="13"/>
  <c r="HD5" i="13"/>
  <c r="BB5" i="13"/>
  <c r="ID5" i="13"/>
  <c r="CD5" i="13"/>
  <c r="IF5" i="13"/>
  <c r="CK5" i="13"/>
  <c r="IM5" i="13"/>
  <c r="CH5" i="13"/>
  <c r="BE5" i="13"/>
  <c r="P5" i="13"/>
  <c r="FY5" i="13"/>
  <c r="DG5" i="13"/>
  <c r="FW5" i="13"/>
  <c r="N5" i="13"/>
  <c r="DN5" i="13"/>
  <c r="HN5" i="13"/>
  <c r="HF5" i="13"/>
  <c r="EB5" i="13"/>
  <c r="HT5" i="13"/>
  <c r="DR5" i="13"/>
  <c r="HU5" i="13"/>
  <c r="IK5" i="13"/>
  <c r="K5" i="13"/>
  <c r="HI5" i="13"/>
  <c r="DX5" i="13"/>
  <c r="FA5" i="13"/>
  <c r="DL5" i="13"/>
  <c r="GK5" i="13"/>
  <c r="CN5" i="13"/>
  <c r="AC5" i="13"/>
  <c r="FJ5" i="13"/>
  <c r="GP5" i="13"/>
  <c r="BH5" i="13"/>
  <c r="J5" i="13"/>
  <c r="L5" i="13"/>
  <c r="EN5" i="13"/>
  <c r="GO5" i="13"/>
  <c r="DJ5" i="13"/>
  <c r="HW5" i="13"/>
  <c r="GD5" i="13"/>
  <c r="AL5" i="13"/>
  <c r="IL5" i="13"/>
  <c r="HB5" i="13"/>
  <c r="BK5" i="13"/>
  <c r="BO5" i="13"/>
  <c r="HH5" i="13"/>
  <c r="G5" i="13"/>
  <c r="DB5" i="13"/>
  <c r="BZ5" i="13"/>
  <c r="GH5" i="13"/>
  <c r="HO5" i="13"/>
  <c r="IJ5" i="13"/>
  <c r="T5" i="13"/>
  <c r="EO5" i="13"/>
  <c r="CZ5" i="13"/>
  <c r="AA5" i="13"/>
  <c r="AM5" i="13"/>
  <c r="FF5" i="13"/>
  <c r="HK5" i="13"/>
  <c r="EY5" i="13"/>
  <c r="ED5" i="13"/>
  <c r="DS5" i="13"/>
  <c r="GU5" i="13"/>
  <c r="BQ5" i="13"/>
  <c r="HG5" i="13"/>
  <c r="IG5" i="13"/>
  <c r="FP5" i="13"/>
  <c r="Q5" i="13"/>
  <c r="GI5" i="13"/>
  <c r="FV5" i="13"/>
  <c r="CO5" i="13"/>
  <c r="GV5" i="13"/>
  <c r="DV5" i="13"/>
  <c r="DQ5" i="13"/>
  <c r="I5" i="13"/>
  <c r="GE5" i="13"/>
  <c r="DU5" i="13"/>
  <c r="CM5" i="13"/>
  <c r="DO5" i="13"/>
  <c r="AJ5" i="13"/>
  <c r="HQ5" i="13"/>
  <c r="IH5" i="13"/>
  <c r="BC28" i="13"/>
  <c r="HT28" i="13"/>
  <c r="BH28" i="13"/>
  <c r="EB28" i="13"/>
  <c r="BF28" i="13"/>
  <c r="P28" i="13"/>
  <c r="HP28" i="13"/>
  <c r="IK28" i="13"/>
  <c r="DR28" i="13"/>
  <c r="EJ28" i="13"/>
  <c r="ED28" i="13"/>
  <c r="BM28" i="13"/>
  <c r="IC28" i="13"/>
  <c r="AA28" i="13"/>
  <c r="GQ28" i="13"/>
  <c r="AK28" i="13"/>
  <c r="FS28" i="13"/>
  <c r="FB28" i="13"/>
  <c r="IL28" i="13"/>
  <c r="CY28" i="13"/>
  <c r="DW28" i="13"/>
  <c r="BG28" i="13"/>
  <c r="O28" i="13"/>
  <c r="HB28" i="13"/>
  <c r="GC28" i="13"/>
  <c r="CC28" i="13"/>
  <c r="AG28" i="13"/>
  <c r="HL28" i="13"/>
  <c r="FH28" i="13"/>
  <c r="HD28" i="13"/>
  <c r="AV28" i="13"/>
  <c r="DV28" i="13"/>
  <c r="DA28" i="13"/>
  <c r="HK28" i="13"/>
  <c r="DG28" i="13"/>
  <c r="GF28" i="13"/>
  <c r="AN28" i="13"/>
  <c r="IB28" i="13"/>
  <c r="DH28" i="13"/>
  <c r="BK28" i="13"/>
  <c r="DM28" i="13"/>
  <c r="GZ28" i="13"/>
  <c r="T28" i="13"/>
  <c r="EP28" i="13"/>
  <c r="Z28" i="13"/>
  <c r="ID28" i="13"/>
  <c r="ES28" i="13"/>
  <c r="FI28" i="13"/>
  <c r="E28" i="13"/>
  <c r="AX28" i="13"/>
  <c r="BU28" i="13"/>
  <c r="FM28" i="13"/>
  <c r="HY28" i="13"/>
  <c r="GT28" i="13"/>
  <c r="AU28" i="13"/>
  <c r="GG28" i="13"/>
  <c r="FZ28" i="13"/>
  <c r="EF28" i="13"/>
  <c r="EU28" i="13"/>
  <c r="DI28" i="13"/>
  <c r="V28" i="13"/>
  <c r="ET28" i="13"/>
  <c r="HA28" i="13"/>
  <c r="CL28" i="13"/>
  <c r="HC28" i="13"/>
  <c r="CR28" i="13"/>
  <c r="AS28" i="13"/>
  <c r="CE28" i="13"/>
  <c r="EG28" i="13"/>
  <c r="AZ28" i="13"/>
  <c r="AJ28" i="13"/>
  <c r="FG28" i="13"/>
  <c r="DK28" i="13"/>
  <c r="EV28" i="13"/>
  <c r="EL28" i="13"/>
  <c r="FO28" i="13"/>
  <c r="GH28" i="13"/>
  <c r="DL28" i="13"/>
  <c r="BB28" i="13"/>
  <c r="AB28" i="13"/>
  <c r="CW28" i="13"/>
  <c r="GN28" i="13"/>
  <c r="X28" i="13"/>
  <c r="FE28" i="13"/>
  <c r="IM28" i="13"/>
  <c r="DD28" i="13"/>
  <c r="IE28" i="13"/>
  <c r="GK28" i="13"/>
  <c r="FY28" i="13"/>
  <c r="FJ28" i="13"/>
  <c r="GP28" i="13"/>
  <c r="AD28" i="13"/>
  <c r="M28" i="13"/>
  <c r="GM28" i="13"/>
  <c r="Y28" i="13"/>
  <c r="BA28" i="13"/>
  <c r="EH28" i="13"/>
  <c r="S28" i="13"/>
  <c r="AQ28" i="13"/>
  <c r="IJ28" i="13"/>
  <c r="FT28" i="13"/>
  <c r="FX28" i="13"/>
  <c r="FL28" i="13"/>
  <c r="CP28" i="13"/>
  <c r="HW28" i="13"/>
  <c r="GE28" i="13"/>
  <c r="K28" i="13"/>
  <c r="CN28" i="13"/>
  <c r="FD28" i="13"/>
  <c r="HV28" i="13"/>
  <c r="DS28" i="13"/>
  <c r="CJ28" i="13"/>
  <c r="FA28" i="13"/>
  <c r="GI28" i="13"/>
  <c r="EM28" i="13"/>
  <c r="EY28" i="13"/>
  <c r="DE28" i="13"/>
  <c r="BV28" i="13"/>
  <c r="U28" i="13"/>
  <c r="DO28" i="13"/>
  <c r="GX28" i="13"/>
  <c r="AL28" i="13"/>
  <c r="CD28" i="13"/>
  <c r="IA28" i="13"/>
  <c r="CK28" i="13"/>
  <c r="HX28" i="13"/>
  <c r="DU28" i="13"/>
  <c r="CG28" i="13"/>
  <c r="BL28" i="13"/>
  <c r="AO28" i="13"/>
  <c r="HN28" i="13"/>
  <c r="GJ28" i="13"/>
  <c r="CS28" i="13"/>
  <c r="C28" i="13"/>
  <c r="FF28" i="13"/>
  <c r="BE28" i="13"/>
  <c r="HS28" i="13"/>
  <c r="BZ28" i="13"/>
  <c r="IR28" i="13"/>
  <c r="IQ28" i="13"/>
  <c r="CZ28" i="13"/>
  <c r="CH28" i="13"/>
  <c r="FR28" i="13"/>
  <c r="EX28" i="13"/>
  <c r="GA28" i="13"/>
  <c r="HQ28" i="13"/>
  <c r="CQ28" i="13"/>
  <c r="AH28" i="13"/>
  <c r="F28" i="13"/>
  <c r="DC28" i="13"/>
  <c r="G28" i="13"/>
  <c r="GD28" i="13"/>
  <c r="CI28" i="13"/>
  <c r="AI28" i="13"/>
  <c r="AC28" i="13"/>
  <c r="CU28" i="13"/>
  <c r="HO28" i="13"/>
  <c r="AM28" i="13"/>
  <c r="HZ28" i="13"/>
  <c r="DB28" i="13"/>
  <c r="BI28" i="13"/>
  <c r="BQ28" i="13"/>
  <c r="FP28" i="13"/>
  <c r="HG28" i="13"/>
  <c r="IF28" i="13"/>
  <c r="GY28" i="13"/>
  <c r="EA28" i="13"/>
  <c r="DX28" i="13"/>
  <c r="EE28" i="13"/>
  <c r="BD28" i="13"/>
  <c r="HM28" i="13"/>
  <c r="GO28" i="13"/>
  <c r="GM52" i="13"/>
  <c r="BI52" i="13"/>
  <c r="BK52" i="13"/>
  <c r="CL52" i="13"/>
  <c r="GU52" i="13"/>
  <c r="FA52" i="13"/>
  <c r="BO52" i="13"/>
  <c r="GN52" i="13"/>
  <c r="AV52" i="13"/>
  <c r="BJ52" i="13"/>
  <c r="FW52" i="13"/>
  <c r="CO52" i="13"/>
  <c r="EO52" i="13"/>
  <c r="DM52" i="13"/>
  <c r="AW52" i="13"/>
  <c r="GY52" i="13"/>
  <c r="FC52" i="13"/>
  <c r="IB52" i="13"/>
  <c r="GL52" i="13"/>
  <c r="AM52" i="13"/>
  <c r="IE52" i="13"/>
  <c r="BD52" i="13"/>
  <c r="IO52" i="13"/>
  <c r="GB52" i="13"/>
  <c r="DP52" i="13"/>
  <c r="GD52" i="13"/>
  <c r="GS52" i="13"/>
  <c r="BX52" i="13"/>
  <c r="CF52" i="13"/>
  <c r="BY52" i="13"/>
  <c r="AT52" i="13"/>
  <c r="AP52" i="13"/>
  <c r="GJ52" i="13"/>
  <c r="FF52" i="13"/>
  <c r="ID52" i="13"/>
  <c r="HL52" i="13"/>
  <c r="IM52" i="13"/>
  <c r="ER52" i="13"/>
  <c r="FY52" i="13"/>
  <c r="CV52" i="13"/>
  <c r="EY52" i="13"/>
  <c r="AU52" i="13"/>
  <c r="HO52" i="13"/>
  <c r="EI52" i="13"/>
  <c r="FO52" i="13"/>
  <c r="HX52" i="13"/>
  <c r="BC52" i="13"/>
  <c r="GF52" i="13"/>
  <c r="DB52" i="13"/>
  <c r="FU52" i="13"/>
  <c r="FQ52" i="13"/>
  <c r="EG52" i="13"/>
  <c r="DO52" i="13"/>
  <c r="HV52" i="13"/>
  <c r="IA52" i="13"/>
  <c r="DC52" i="13"/>
  <c r="CY52" i="13"/>
  <c r="CP52" i="13"/>
  <c r="CC52" i="13"/>
  <c r="FM52" i="13"/>
  <c r="EA52" i="13"/>
  <c r="DR52" i="13"/>
  <c r="CQ52" i="13"/>
  <c r="BT52" i="13"/>
  <c r="HK52" i="13"/>
  <c r="DG52" i="13"/>
  <c r="AJ52" i="13"/>
  <c r="AK52" i="13"/>
  <c r="AQ52" i="13"/>
  <c r="GP52" i="13"/>
  <c r="EQ52" i="13"/>
  <c r="GO52" i="13"/>
  <c r="FZ52" i="13"/>
  <c r="GV52" i="13"/>
  <c r="AX52" i="13"/>
  <c r="FE52" i="13"/>
  <c r="EL52" i="13"/>
  <c r="EP52" i="13"/>
  <c r="FG52" i="13"/>
  <c r="GG52" i="13"/>
  <c r="CJ52" i="13"/>
  <c r="GI52" i="13"/>
  <c r="GQ52" i="13"/>
  <c r="HP52" i="13"/>
  <c r="EE52" i="13"/>
  <c r="BN52" i="13"/>
  <c r="II52" i="13"/>
  <c r="BL52" i="13"/>
  <c r="DI52" i="13"/>
  <c r="GK52" i="13"/>
  <c r="AI52" i="13"/>
  <c r="DV52" i="13"/>
  <c r="FS52" i="13"/>
  <c r="HR52" i="13"/>
  <c r="CT52" i="13"/>
  <c r="EJ52" i="13"/>
  <c r="BF52" i="13"/>
  <c r="DS52" i="13"/>
  <c r="FL52" i="13"/>
  <c r="FP52" i="13"/>
  <c r="CR52" i="13"/>
  <c r="AY52" i="13"/>
  <c r="GH52" i="13"/>
  <c r="DU52" i="13"/>
  <c r="FB52" i="13"/>
  <c r="BW52" i="13"/>
  <c r="HS52" i="13"/>
  <c r="GT52" i="13"/>
  <c r="GR52" i="13"/>
  <c r="HT52" i="13"/>
  <c r="EK52" i="13"/>
  <c r="DJ52" i="13"/>
  <c r="FV52" i="13"/>
  <c r="HM52" i="13"/>
  <c r="DX52" i="13"/>
  <c r="DF52" i="13"/>
  <c r="AL52" i="13"/>
  <c r="BZ52" i="13"/>
  <c r="IH52" i="13"/>
  <c r="ET52" i="13"/>
  <c r="EM52" i="13"/>
  <c r="IK52" i="13"/>
  <c r="BG52" i="13"/>
  <c r="HF52" i="13"/>
  <c r="FN52" i="13"/>
  <c r="HD52" i="13"/>
  <c r="CN52" i="13"/>
  <c r="CB52" i="13"/>
  <c r="CE52" i="13"/>
  <c r="EN52" i="13"/>
  <c r="GW52" i="13"/>
  <c r="HH52" i="13"/>
  <c r="DW52" i="13"/>
  <c r="EH52" i="13"/>
  <c r="GZ52" i="13"/>
  <c r="DN52" i="13"/>
  <c r="GA52" i="13"/>
  <c r="HN52" i="13"/>
  <c r="GX52" i="13"/>
  <c r="CI52" i="13"/>
  <c r="EZ52" i="13"/>
  <c r="HQ52" i="13"/>
  <c r="HZ52" i="13"/>
  <c r="DE52" i="13"/>
  <c r="CZ52" i="13"/>
  <c r="EF52" i="13"/>
  <c r="BQ52" i="13"/>
  <c r="CS52" i="13"/>
  <c r="BS52" i="13"/>
  <c r="DZ52" i="13"/>
  <c r="EW52" i="13"/>
  <c r="DT52" i="13"/>
  <c r="FT52" i="13"/>
  <c r="BM52" i="13"/>
  <c r="EB50" i="13"/>
  <c r="CX50" i="13"/>
  <c r="IA50" i="13"/>
  <c r="DV50" i="13"/>
  <c r="FN50" i="13"/>
  <c r="CP50" i="13"/>
  <c r="EK50" i="13"/>
  <c r="HG50" i="13"/>
  <c r="BR50" i="13"/>
  <c r="CU50" i="13"/>
  <c r="FQ50" i="13"/>
  <c r="DE50" i="13"/>
  <c r="BF50" i="13"/>
  <c r="IE50" i="13"/>
  <c r="EN50" i="13"/>
  <c r="CG50" i="13"/>
  <c r="FV50" i="13"/>
  <c r="HT50" i="13"/>
  <c r="GE50" i="13"/>
  <c r="FH50" i="13"/>
  <c r="GH50" i="13"/>
  <c r="HR50" i="13"/>
  <c r="EU50" i="13"/>
  <c r="IR50" i="13"/>
  <c r="GR50" i="13"/>
  <c r="FF50" i="13"/>
  <c r="BK50" i="13"/>
  <c r="DC50" i="13"/>
  <c r="FJ50" i="13"/>
  <c r="IB50" i="13"/>
  <c r="GS50" i="13"/>
  <c r="DU50" i="13"/>
  <c r="HN50" i="13"/>
  <c r="BJ50" i="13"/>
  <c r="IC50" i="13"/>
  <c r="BL50" i="13"/>
  <c r="CC50" i="13"/>
  <c r="CM50" i="13"/>
  <c r="IQ50" i="13"/>
  <c r="EZ50" i="13"/>
  <c r="HX50" i="13"/>
  <c r="AS50" i="13"/>
  <c r="FY50" i="13"/>
  <c r="ES50" i="13"/>
  <c r="FP50" i="13"/>
  <c r="GJ50" i="13"/>
  <c r="AU50" i="13"/>
  <c r="HB50" i="13"/>
  <c r="FE50" i="13"/>
  <c r="CJ50" i="13"/>
  <c r="HM50" i="13"/>
  <c r="EI50" i="13"/>
  <c r="GQ50" i="13"/>
  <c r="FK50" i="13"/>
  <c r="E50" i="13"/>
  <c r="CE50" i="13"/>
  <c r="EG50" i="13"/>
  <c r="GL50" i="13"/>
  <c r="BO50" i="13"/>
  <c r="CZ50" i="13"/>
  <c r="AO50" i="13"/>
  <c r="EO50" i="13"/>
  <c r="AN50" i="13"/>
  <c r="GB50" i="13"/>
  <c r="HU50" i="13"/>
  <c r="FG50" i="13"/>
  <c r="FZ50" i="13"/>
  <c r="HW50" i="13"/>
  <c r="DP50" i="13"/>
  <c r="AX50" i="13"/>
  <c r="HP50" i="13"/>
  <c r="GX50" i="13"/>
  <c r="AJ50" i="13"/>
  <c r="HC50" i="13"/>
  <c r="AV50" i="13"/>
  <c r="FL50" i="13"/>
  <c r="EL50" i="13"/>
  <c r="HJ50" i="13"/>
  <c r="AY50" i="13"/>
  <c r="HY50" i="13"/>
  <c r="HQ50" i="13"/>
  <c r="IM50" i="13"/>
  <c r="II50" i="13"/>
  <c r="HH50" i="13"/>
  <c r="FW50" i="13"/>
  <c r="AM50" i="13"/>
  <c r="ET50" i="13"/>
  <c r="FO50" i="13"/>
  <c r="GN50" i="13"/>
  <c r="EV50" i="13"/>
  <c r="GA50" i="13"/>
  <c r="GY50" i="13"/>
  <c r="AZ50" i="13"/>
  <c r="GP50" i="13"/>
  <c r="HK50" i="13"/>
  <c r="IH50" i="13"/>
  <c r="IL50" i="13"/>
  <c r="FI50" i="13"/>
  <c r="DG50" i="13"/>
  <c r="HI50" i="13"/>
  <c r="BD50" i="13"/>
  <c r="FS50" i="13"/>
  <c r="DR50" i="13"/>
  <c r="BS50" i="13"/>
  <c r="BE50" i="13"/>
  <c r="EA50" i="13"/>
  <c r="DZ50" i="13"/>
  <c r="BA50" i="13"/>
  <c r="GW50" i="13"/>
  <c r="BH50" i="13"/>
  <c r="EW50" i="13"/>
  <c r="FC50" i="13"/>
  <c r="BV50" i="13"/>
  <c r="DH50" i="13"/>
  <c r="CI50" i="13"/>
  <c r="DA50" i="13"/>
  <c r="AL50" i="13"/>
  <c r="FX50" i="13"/>
  <c r="GC50" i="13"/>
  <c r="DT50" i="13"/>
  <c r="BM50" i="13"/>
  <c r="DN50" i="13"/>
  <c r="GZ50" i="13"/>
  <c r="EX50" i="13"/>
  <c r="EC50" i="13"/>
  <c r="IO50" i="13"/>
  <c r="CO50" i="13"/>
  <c r="CS50" i="13"/>
  <c r="AK50" i="13"/>
  <c r="AI50" i="13"/>
  <c r="BI50" i="13"/>
  <c r="DD50" i="13"/>
  <c r="EM50" i="13"/>
  <c r="FR50" i="13"/>
  <c r="DS50" i="13"/>
  <c r="IG50" i="13"/>
  <c r="GM50" i="13"/>
  <c r="DB50" i="13"/>
  <c r="CK50" i="13"/>
  <c r="DX50" i="13"/>
  <c r="BG50" i="13"/>
  <c r="BW50" i="13"/>
  <c r="AR50" i="13"/>
  <c r="EQ50" i="13"/>
  <c r="BB50" i="13"/>
  <c r="CY50" i="13"/>
  <c r="DY50" i="13"/>
  <c r="DW50" i="13"/>
  <c r="GV50" i="13"/>
  <c r="BX50" i="13"/>
  <c r="CH50" i="13"/>
  <c r="GK50" i="13"/>
  <c r="IJ50" i="13"/>
  <c r="BT50" i="13"/>
  <c r="BN50" i="13"/>
  <c r="AT50" i="13"/>
  <c r="CD50" i="13"/>
  <c r="CL50" i="13"/>
  <c r="EP50" i="13"/>
  <c r="CT50" i="13"/>
  <c r="EE50" i="13"/>
  <c r="FQ43" i="13"/>
  <c r="CU43" i="13"/>
  <c r="AT43" i="13"/>
  <c r="FI43" i="13"/>
  <c r="DZ43" i="13"/>
  <c r="DV43" i="13"/>
  <c r="IF43" i="13"/>
  <c r="HA43" i="13"/>
  <c r="GY43" i="13"/>
  <c r="HH43" i="13"/>
  <c r="CG43" i="13"/>
  <c r="BS43" i="13"/>
  <c r="DD43" i="13"/>
  <c r="CT43" i="13"/>
  <c r="FO43" i="13"/>
  <c r="EO43" i="13"/>
  <c r="BG43" i="13"/>
  <c r="HR43" i="13"/>
  <c r="EG43" i="13"/>
  <c r="GI43" i="13"/>
  <c r="GH43" i="13"/>
  <c r="HB43" i="13"/>
  <c r="EN43" i="13"/>
  <c r="HO43" i="13"/>
  <c r="BH43" i="13"/>
  <c r="HT43" i="13"/>
  <c r="AZ43" i="13"/>
  <c r="HZ43" i="13"/>
  <c r="FM43" i="13"/>
  <c r="CL43" i="13"/>
  <c r="BK43" i="13"/>
  <c r="GO43" i="13"/>
  <c r="HC43" i="13"/>
  <c r="CY43" i="13"/>
  <c r="CK43" i="13"/>
  <c r="FT43" i="13"/>
  <c r="GJ43" i="13"/>
  <c r="HF43" i="13"/>
  <c r="FH43" i="13"/>
  <c r="FL43" i="13"/>
  <c r="IC43" i="13"/>
  <c r="DC43" i="13"/>
  <c r="AK43" i="13"/>
  <c r="FV43" i="13"/>
  <c r="DO43" i="13"/>
  <c r="BA43" i="13"/>
  <c r="BN43" i="13"/>
  <c r="BC43" i="13"/>
  <c r="GS43" i="13"/>
  <c r="EC43" i="13"/>
  <c r="GZ43" i="13"/>
  <c r="CB43" i="13"/>
  <c r="GK43" i="13"/>
  <c r="FA43" i="13"/>
  <c r="BF43" i="13"/>
  <c r="DX43" i="13"/>
  <c r="BE43" i="13"/>
  <c r="ID43" i="13"/>
  <c r="GV43" i="13"/>
  <c r="FJ43" i="13"/>
  <c r="AM43" i="13"/>
  <c r="FR43" i="13"/>
  <c r="CI43" i="13"/>
  <c r="GQ43" i="13"/>
  <c r="IL43" i="13"/>
  <c r="EZ43" i="13"/>
  <c r="FB43" i="13"/>
  <c r="IO43" i="13"/>
  <c r="IR43" i="13"/>
  <c r="AN43" i="13"/>
  <c r="CQ43" i="13"/>
  <c r="F43" i="13"/>
  <c r="EX43" i="13"/>
  <c r="BD43" i="13"/>
  <c r="DH43" i="13"/>
  <c r="GF43" i="13"/>
  <c r="FU43" i="13"/>
  <c r="IB43" i="13"/>
  <c r="HV43" i="13"/>
  <c r="GD43" i="13"/>
  <c r="DJ43" i="13"/>
  <c r="CO43" i="13"/>
  <c r="GB43" i="13"/>
  <c r="DS43" i="13"/>
  <c r="BJ43" i="13"/>
  <c r="EA43" i="13"/>
  <c r="CF43" i="13"/>
  <c r="FG43" i="13"/>
  <c r="GP43" i="13"/>
  <c r="HD43" i="13"/>
  <c r="CC43" i="13"/>
  <c r="IM43" i="13"/>
  <c r="BQ43" i="13"/>
  <c r="DM43" i="13"/>
  <c r="CJ43" i="13"/>
  <c r="IE43" i="13"/>
  <c r="ER43" i="13"/>
  <c r="BZ43" i="13"/>
  <c r="FS43" i="13"/>
  <c r="HX43" i="13"/>
  <c r="DA43" i="13"/>
  <c r="FC43" i="13"/>
  <c r="DP43" i="13"/>
  <c r="GG43" i="13"/>
  <c r="EH43" i="13"/>
  <c r="FW43" i="13"/>
  <c r="DF43" i="13"/>
  <c r="EV43" i="13"/>
  <c r="HS43" i="13"/>
  <c r="EE43" i="13"/>
  <c r="BT43" i="13"/>
  <c r="HP43" i="13"/>
  <c r="GU43" i="13"/>
  <c r="HM43" i="13"/>
  <c r="ED43" i="13"/>
  <c r="EY43" i="13"/>
  <c r="FK43" i="13"/>
  <c r="EB43" i="13"/>
  <c r="HW43" i="13"/>
  <c r="AR43" i="13"/>
  <c r="CP43" i="13"/>
  <c r="DQ43" i="13"/>
  <c r="DT43" i="13"/>
  <c r="HQ43" i="13"/>
  <c r="HI43" i="13"/>
  <c r="BM43" i="13"/>
  <c r="BP43" i="13"/>
  <c r="GW43" i="13"/>
  <c r="CD43" i="13"/>
  <c r="HE43" i="13"/>
  <c r="FZ43" i="13"/>
  <c r="AY43" i="13"/>
  <c r="AL43" i="13"/>
  <c r="BU43" i="13"/>
  <c r="GE43" i="13"/>
  <c r="DI43" i="13"/>
  <c r="DE43" i="13"/>
  <c r="CH43" i="13"/>
  <c r="AQ43" i="13"/>
  <c r="EP43" i="13"/>
  <c r="AJ43" i="13"/>
  <c r="E43" i="13"/>
  <c r="EK43" i="13"/>
  <c r="AO43" i="13"/>
  <c r="EW43" i="13"/>
  <c r="EU43" i="13"/>
  <c r="DU43" i="13"/>
  <c r="ET43" i="13"/>
  <c r="CX43" i="13"/>
  <c r="AP43" i="13"/>
  <c r="DR43" i="13"/>
  <c r="GA43" i="13"/>
  <c r="GN43" i="13"/>
  <c r="GM43" i="13"/>
  <c r="FF43" i="13"/>
  <c r="DN43" i="13"/>
  <c r="EQ43" i="13"/>
  <c r="FX43" i="13"/>
  <c r="BO43" i="13"/>
  <c r="FN43" i="13"/>
  <c r="HJ43" i="13"/>
  <c r="BJ28" i="13"/>
  <c r="HQ36" i="13"/>
  <c r="EW11" i="13"/>
  <c r="ER50" i="13"/>
  <c r="CF15" i="13"/>
  <c r="EQ44" i="13"/>
  <c r="AF5" i="13"/>
  <c r="EA8" i="13"/>
  <c r="BW41" i="13"/>
  <c r="ED11" i="13"/>
  <c r="GC25" i="13"/>
  <c r="AT23" i="13"/>
  <c r="FX20" i="13"/>
  <c r="J25" i="13"/>
  <c r="CW11" i="13"/>
  <c r="GH4" i="13"/>
  <c r="DM18" i="13"/>
  <c r="HS46" i="13"/>
  <c r="FQ17" i="13"/>
  <c r="P22" i="13"/>
  <c r="ES52" i="13"/>
  <c r="EG47" i="13"/>
  <c r="F15" i="13"/>
  <c r="HD19" i="13"/>
  <c r="CQ35" i="13"/>
  <c r="DK50" i="13"/>
  <c r="BB6" i="13"/>
  <c r="D5" i="13"/>
  <c r="EY26" i="13"/>
  <c r="ED23" i="13"/>
  <c r="HO37" i="13"/>
  <c r="FH48" i="13"/>
  <c r="CM11" i="13"/>
  <c r="GL5" i="13"/>
  <c r="HI33" i="13"/>
  <c r="HR11" i="13"/>
  <c r="EO7" i="13"/>
  <c r="DR13" i="13"/>
  <c r="AH16" i="13"/>
  <c r="GL29" i="13"/>
  <c r="HE20" i="13"/>
  <c r="HS32" i="13"/>
  <c r="CC23" i="13"/>
  <c r="IK34" i="13"/>
  <c r="GR45" i="13"/>
  <c r="AH14" i="13"/>
  <c r="AP28" i="13"/>
  <c r="AP25" i="13"/>
  <c r="HJ51" i="13"/>
  <c r="CD8" i="13"/>
  <c r="FC40" i="13"/>
  <c r="FY30" i="13"/>
  <c r="DE8" i="13"/>
  <c r="EV53" i="13"/>
  <c r="EQ40" i="13"/>
  <c r="HS4" i="13"/>
  <c r="IK50" i="13"/>
  <c r="EZ26" i="13"/>
  <c r="BT16" i="13"/>
  <c r="BC20" i="13"/>
  <c r="FF19" i="13"/>
  <c r="DF47" i="13"/>
  <c r="HH24" i="13"/>
  <c r="AZ30" i="13"/>
  <c r="EX31" i="13"/>
  <c r="HJ32" i="13"/>
  <c r="HK41" i="13"/>
  <c r="CY37" i="13"/>
  <c r="CD14" i="13"/>
  <c r="CT31" i="13"/>
  <c r="BD39" i="13"/>
  <c r="AX48" i="13"/>
  <c r="BE52" i="13"/>
  <c r="HL6" i="13"/>
  <c r="EC41" i="13"/>
  <c r="AT46" i="13"/>
  <c r="FM6" i="13"/>
  <c r="DG44" i="13"/>
  <c r="X35" i="13"/>
  <c r="HO10" i="13"/>
  <c r="FM21" i="13"/>
  <c r="GI16" i="13"/>
  <c r="DY24" i="13"/>
  <c r="GO27" i="13"/>
  <c r="AA14" i="13"/>
  <c r="K19" i="13"/>
  <c r="AF19" i="13"/>
  <c r="BH31" i="13"/>
  <c r="FX23" i="13"/>
  <c r="FG5" i="13"/>
  <c r="FZ39" i="13"/>
  <c r="HW49" i="13"/>
  <c r="BD5" i="13"/>
  <c r="GT7" i="13"/>
  <c r="GX43" i="13"/>
  <c r="IB9" i="13"/>
  <c r="GY47" i="13"/>
  <c r="AU25" i="13"/>
  <c r="AQ5" i="13"/>
  <c r="DF42" i="13"/>
  <c r="AJ10" i="13"/>
  <c r="CE45" i="13"/>
  <c r="BP20" i="13"/>
  <c r="GA11" i="13"/>
  <c r="GA48" i="13"/>
  <c r="IK32" i="13"/>
  <c r="GR53" i="13"/>
  <c r="FS17" i="13"/>
  <c r="CY31" i="13"/>
  <c r="FP35" i="13"/>
  <c r="CW18" i="13"/>
  <c r="AX16" i="13"/>
  <c r="GM30" i="13"/>
  <c r="FJ4" i="13"/>
  <c r="BG18" i="13"/>
  <c r="H25" i="13"/>
  <c r="BN40" i="13"/>
  <c r="EZ4" i="13"/>
  <c r="DV7" i="13"/>
  <c r="P16" i="13"/>
  <c r="FT15" i="13"/>
  <c r="CY44" i="13"/>
  <c r="AF12" i="13"/>
  <c r="O10" i="13"/>
  <c r="HV26" i="13"/>
  <c r="IE24" i="13"/>
  <c r="GQ36" i="13"/>
  <c r="AP50" i="13"/>
  <c r="EM46" i="13"/>
  <c r="FQ7" i="13"/>
  <c r="EE17" i="13"/>
  <c r="GX51" i="13"/>
  <c r="FY43" i="13"/>
  <c r="IJ9" i="13"/>
  <c r="CX26" i="13"/>
  <c r="GE39" i="13"/>
  <c r="BP40" i="13"/>
  <c r="II51" i="13"/>
  <c r="CM24" i="13"/>
  <c r="EG12" i="13"/>
  <c r="FE13" i="13"/>
  <c r="DJ21" i="13"/>
  <c r="BL43" i="13"/>
  <c r="CL13" i="13"/>
  <c r="FG48" i="13"/>
  <c r="GW10" i="13"/>
  <c r="CR45" i="13"/>
  <c r="DB53" i="13"/>
  <c r="DE5" i="13"/>
  <c r="DS51" i="13"/>
  <c r="GQ53" i="13"/>
  <c r="F11" i="13"/>
  <c r="F52" i="13"/>
  <c r="FC49" i="13"/>
  <c r="BK46" i="13"/>
  <c r="EW10" i="13"/>
  <c r="FD29" i="13"/>
  <c r="BA15" i="13"/>
  <c r="CU18" i="13"/>
  <c r="GG14" i="13"/>
  <c r="AH33" i="13"/>
  <c r="GS27" i="13"/>
  <c r="AO51" i="13"/>
  <c r="Q34" i="13"/>
  <c r="BG21" i="13"/>
  <c r="DE47" i="13"/>
  <c r="GF11" i="13"/>
  <c r="O14" i="13"/>
  <c r="DH42" i="13"/>
  <c r="CS12" i="13"/>
  <c r="BN6" i="13"/>
  <c r="BG10" i="13"/>
  <c r="IC48" i="13"/>
  <c r="BD47" i="13"/>
  <c r="HX17" i="13"/>
  <c r="CK36" i="13"/>
  <c r="GD47" i="13"/>
  <c r="FK8" i="13"/>
  <c r="EI9" i="13"/>
  <c r="GK17" i="13"/>
  <c r="HP5" i="13"/>
  <c r="FN5" i="13"/>
  <c r="HI19" i="13"/>
  <c r="BB14" i="13"/>
  <c r="AA21" i="13"/>
  <c r="GF13" i="13"/>
  <c r="AV31" i="13"/>
  <c r="GN21" i="13"/>
  <c r="AP26" i="13"/>
  <c r="EI51" i="13"/>
  <c r="CI33" i="13"/>
  <c r="EG36" i="13"/>
  <c r="R15" i="13"/>
  <c r="GQ12" i="13"/>
  <c r="DU40" i="13"/>
  <c r="FG47" i="13"/>
  <c r="BF10" i="13"/>
  <c r="CY5" i="13"/>
  <c r="GN36" i="13"/>
  <c r="J13" i="13"/>
  <c r="DI40" i="13"/>
  <c r="BG11" i="13"/>
  <c r="HX18" i="13"/>
  <c r="G9" i="13"/>
  <c r="CW44" i="13"/>
  <c r="DG26" i="13"/>
  <c r="BI10" i="13"/>
  <c r="GR12" i="13"/>
  <c r="CL8" i="13"/>
  <c r="ES12" i="13"/>
  <c r="Z5" i="13"/>
  <c r="ET5" i="13"/>
  <c r="EE7" i="13"/>
  <c r="DU21" i="13"/>
  <c r="IN5" i="13"/>
  <c r="BZ16" i="13"/>
  <c r="FT17" i="13"/>
  <c r="GH18" i="13"/>
  <c r="HU52" i="13"/>
  <c r="GR28" i="13"/>
  <c r="EA29" i="13"/>
  <c r="CL47" i="13"/>
  <c r="CP25" i="13"/>
  <c r="FK40" i="13"/>
  <c r="GF18" i="13"/>
  <c r="GK22" i="13"/>
  <c r="GI22" i="13"/>
  <c r="FK14" i="13"/>
  <c r="HO51" i="13"/>
  <c r="HA11" i="13"/>
  <c r="GC39" i="13"/>
  <c r="HA50" i="13"/>
  <c r="J26" i="13"/>
  <c r="F20" i="13"/>
  <c r="BH48" i="13"/>
  <c r="GC18" i="13"/>
  <c r="BK33" i="13"/>
  <c r="GX29" i="13"/>
  <c r="BF14" i="13"/>
  <c r="AP42" i="13"/>
  <c r="EU34" i="13"/>
  <c r="DS20" i="13"/>
  <c r="HR26" i="13"/>
  <c r="HL36" i="13"/>
  <c r="GO46" i="13"/>
  <c r="ID47" i="13"/>
  <c r="S12" i="13"/>
  <c r="FI52" i="13"/>
  <c r="BF48" i="13"/>
  <c r="CJ7" i="13"/>
  <c r="E33" i="13"/>
  <c r="IM18" i="13"/>
  <c r="BC49" i="13"/>
  <c r="HB46" i="13"/>
  <c r="HU25" i="13"/>
  <c r="HQ35" i="13"/>
  <c r="AB33" i="13"/>
  <c r="GX44" i="13"/>
  <c r="IC9" i="13"/>
  <c r="EO39" i="13"/>
  <c r="AW50" i="13"/>
  <c r="DE39" i="13"/>
  <c r="BY34" i="13"/>
  <c r="HT23" i="13"/>
  <c r="CG36" i="13"/>
  <c r="HN43" i="13"/>
  <c r="DM6" i="13"/>
  <c r="DE33" i="13"/>
  <c r="CV28" i="13"/>
  <c r="FM40" i="13"/>
  <c r="BJ25" i="13"/>
  <c r="FY22" i="13"/>
  <c r="HN40" i="13"/>
  <c r="IL8" i="13"/>
  <c r="HK6" i="13"/>
  <c r="Y13" i="13"/>
  <c r="X26" i="13"/>
  <c r="GR34" i="13"/>
  <c r="BN46" i="13"/>
  <c r="IA10" i="13"/>
  <c r="GD13" i="13"/>
  <c r="HS39" i="13"/>
  <c r="K6" i="13"/>
  <c r="HD15" i="13"/>
  <c r="R22" i="13"/>
  <c r="ES35" i="13"/>
  <c r="EZ23" i="13"/>
  <c r="GL42" i="13"/>
  <c r="HK14" i="13"/>
  <c r="HM42" i="13"/>
  <c r="EC12" i="13"/>
  <c r="EA14" i="13"/>
  <c r="HZ27" i="13"/>
  <c r="FR52" i="13"/>
  <c r="BA13" i="13"/>
  <c r="HG7" i="13"/>
  <c r="AG20" i="13"/>
  <c r="DJ20" i="13"/>
  <c r="HR28" i="13"/>
  <c r="BH13" i="13"/>
  <c r="AI32" i="13"/>
  <c r="AM39" i="13"/>
  <c r="DR49" i="13"/>
  <c r="BQ47" i="13"/>
  <c r="DT14" i="13"/>
  <c r="AG23" i="13"/>
  <c r="AQ16" i="13"/>
  <c r="DL8" i="13"/>
  <c r="BE11" i="13"/>
  <c r="FZ38" i="13"/>
  <c r="BP10" i="13"/>
  <c r="N33" i="13"/>
  <c r="ER22" i="13"/>
  <c r="EH25" i="13"/>
  <c r="AY21" i="13"/>
  <c r="AY44" i="13"/>
  <c r="BB32" i="13"/>
  <c r="HS49" i="13"/>
  <c r="FP19" i="13"/>
  <c r="HF36" i="13"/>
  <c r="FD14" i="13"/>
  <c r="CB34" i="13"/>
  <c r="U21" i="13"/>
  <c r="CT26" i="13"/>
  <c r="DS47" i="13"/>
  <c r="EQ39" i="13"/>
  <c r="O9" i="13"/>
  <c r="CV39" i="13"/>
  <c r="HP6" i="13"/>
  <c r="DY48" i="13"/>
  <c r="BD42" i="13"/>
  <c r="HR35" i="13"/>
  <c r="HK40" i="13"/>
  <c r="HS19" i="13"/>
  <c r="CP23" i="13"/>
  <c r="CZ26" i="13"/>
  <c r="AR5" i="13"/>
  <c r="AD33" i="13"/>
  <c r="IN14" i="13"/>
  <c r="BZ50" i="13"/>
  <c r="IC11" i="13"/>
  <c r="GT39" i="13"/>
  <c r="AH20" i="13"/>
  <c r="EK30" i="13"/>
  <c r="CG8" i="13"/>
  <c r="HR42" i="13"/>
  <c r="CC15" i="13"/>
  <c r="FQ23" i="13"/>
  <c r="BQ23" i="13"/>
  <c r="CH6" i="13"/>
  <c r="BE23" i="13"/>
  <c r="ET18" i="13"/>
  <c r="EI28" i="13"/>
  <c r="CR27" i="13"/>
  <c r="AN48" i="13"/>
  <c r="EG51" i="13"/>
  <c r="BV12" i="13"/>
  <c r="DO50" i="13"/>
  <c r="CB32" i="13"/>
  <c r="EH49" i="13"/>
  <c r="EL22" i="13"/>
  <c r="CM18" i="13"/>
  <c r="IO10" i="13"/>
  <c r="BL5" i="13"/>
  <c r="BX15" i="13"/>
  <c r="CM27" i="13"/>
  <c r="FD22" i="13"/>
  <c r="CB50" i="13"/>
  <c r="CU35" i="13"/>
  <c r="CY4" i="13"/>
  <c r="DK20" i="13"/>
  <c r="BE44" i="13"/>
  <c r="HM45" i="13"/>
  <c r="I23" i="13"/>
  <c r="HT18" i="13"/>
  <c r="ET17" i="13"/>
  <c r="CW45" i="13"/>
  <c r="AB18" i="13"/>
  <c r="HB52" i="13"/>
  <c r="FX31" i="13"/>
  <c r="HC42" i="13"/>
  <c r="IF49" i="13"/>
  <c r="FI12" i="13"/>
  <c r="CE32" i="13"/>
  <c r="J23" i="13"/>
  <c r="CV41" i="13"/>
  <c r="FE33" i="13"/>
  <c r="BN28" i="13"/>
  <c r="AV47" i="13"/>
  <c r="ID11" i="13"/>
  <c r="CG16" i="13"/>
  <c r="FV10" i="13"/>
  <c r="DH18" i="13"/>
  <c r="II48" i="13"/>
  <c r="GB4" i="13"/>
  <c r="DO12" i="13"/>
  <c r="BA7" i="13"/>
  <c r="IF7" i="13"/>
  <c r="GW47" i="13"/>
  <c r="CE41" i="13"/>
  <c r="DO17" i="13"/>
  <c r="CQ10" i="13"/>
  <c r="AC32" i="13"/>
  <c r="IQ29" i="13"/>
  <c r="EV7" i="13"/>
  <c r="EU52" i="13"/>
  <c r="HE14" i="13"/>
  <c r="HY51" i="13"/>
  <c r="BX25" i="13"/>
  <c r="AG15" i="13"/>
  <c r="CX16" i="13"/>
  <c r="AR15" i="13"/>
  <c r="EO28" i="13"/>
  <c r="BE6" i="13"/>
  <c r="GL28" i="13"/>
  <c r="EB40" i="13"/>
  <c r="CS23" i="13"/>
  <c r="CI8" i="13"/>
  <c r="EK51" i="13"/>
  <c r="GF34" i="13"/>
  <c r="FH16" i="13"/>
  <c r="ID20" i="13"/>
  <c r="HZ29" i="13"/>
  <c r="DW12" i="13"/>
  <c r="EZ48" i="13"/>
  <c r="IR10" i="13"/>
  <c r="EQ21" i="13"/>
  <c r="GZ30" i="13"/>
  <c r="AK29" i="13"/>
  <c r="EY20" i="13"/>
  <c r="O4" i="13"/>
  <c r="HI7" i="13"/>
  <c r="BS7" i="13"/>
  <c r="G7" i="13"/>
  <c r="BG7" i="13"/>
  <c r="DU7" i="13"/>
  <c r="Q7" i="13"/>
  <c r="EH7" i="13"/>
  <c r="GW7" i="13"/>
  <c r="DH7" i="13"/>
  <c r="O7" i="13"/>
  <c r="AF7" i="13"/>
  <c r="GP7" i="13"/>
  <c r="AA7" i="13"/>
  <c r="EI7" i="13"/>
  <c r="BZ7" i="13"/>
  <c r="EG7" i="13"/>
  <c r="HB7" i="13"/>
  <c r="CG7" i="13"/>
  <c r="CP7" i="13"/>
  <c r="CU7" i="13"/>
  <c r="HE7" i="13"/>
  <c r="EZ7" i="13"/>
  <c r="IO7" i="13"/>
  <c r="FA7" i="13"/>
  <c r="C7" i="13"/>
  <c r="AZ7" i="13"/>
  <c r="FN7" i="13"/>
  <c r="FJ7" i="13"/>
  <c r="EC7" i="13"/>
  <c r="AE7" i="13"/>
  <c r="BH7" i="13"/>
  <c r="GF7" i="13"/>
  <c r="HC7" i="13"/>
  <c r="CV7" i="13"/>
  <c r="DT7" i="13"/>
  <c r="DN7" i="13"/>
  <c r="DB7" i="13"/>
  <c r="HJ7" i="13"/>
  <c r="AL7" i="13"/>
  <c r="CL7" i="13"/>
  <c r="GK7" i="13"/>
  <c r="GN7" i="13"/>
  <c r="CT7" i="13"/>
  <c r="GJ7" i="13"/>
  <c r="BN7" i="13"/>
  <c r="FT7" i="13"/>
  <c r="FH7" i="13"/>
  <c r="AI7" i="13"/>
  <c r="Y7" i="13"/>
  <c r="GR7" i="13"/>
  <c r="AG7" i="13"/>
  <c r="S7" i="13"/>
  <c r="FX7" i="13"/>
  <c r="EF7" i="13"/>
  <c r="DA7" i="13"/>
  <c r="AT7" i="13"/>
  <c r="Z7" i="13"/>
  <c r="EW7" i="13"/>
  <c r="DK7" i="13"/>
  <c r="V7" i="13"/>
  <c r="CI7" i="13"/>
  <c r="GY7" i="13"/>
  <c r="FU7" i="13"/>
  <c r="EQ7" i="13"/>
  <c r="IR7" i="13"/>
  <c r="I7" i="13"/>
  <c r="FO7" i="13"/>
  <c r="X7" i="13"/>
  <c r="GV7" i="13"/>
  <c r="FS7" i="13"/>
  <c r="HQ7" i="13"/>
  <c r="GE7" i="13"/>
  <c r="GU7" i="13"/>
  <c r="DR7" i="13"/>
  <c r="AD7" i="13"/>
  <c r="EP7" i="13"/>
  <c r="AM7" i="13"/>
  <c r="AO7" i="13"/>
  <c r="HX7" i="13"/>
  <c r="CE7" i="13"/>
  <c r="BF7" i="13"/>
  <c r="HH7" i="13"/>
  <c r="CK7" i="13"/>
  <c r="FC7" i="13"/>
  <c r="II7" i="13"/>
  <c r="BW7" i="13"/>
  <c r="FL7" i="13"/>
  <c r="BP7" i="13"/>
  <c r="FG7" i="13"/>
  <c r="T7" i="13"/>
  <c r="HM7" i="13"/>
  <c r="FD7" i="13"/>
  <c r="GC7" i="13"/>
  <c r="DC7" i="13"/>
  <c r="BO7" i="13"/>
  <c r="HT7" i="13"/>
  <c r="DG7" i="13"/>
  <c r="IL7" i="13"/>
  <c r="HD7" i="13"/>
  <c r="BK7" i="13"/>
  <c r="GA7" i="13"/>
  <c r="HO7" i="13"/>
  <c r="GX7" i="13"/>
  <c r="FZ7" i="13"/>
  <c r="M7" i="13"/>
  <c r="GD7" i="13"/>
  <c r="BD7" i="13"/>
  <c r="FB7" i="13"/>
  <c r="BX7" i="13"/>
  <c r="GS7" i="13"/>
  <c r="BY7" i="13"/>
  <c r="ES7" i="13"/>
  <c r="R7" i="13"/>
  <c r="GH7" i="13"/>
  <c r="AW7" i="13"/>
  <c r="HA7" i="13"/>
  <c r="IA7" i="13"/>
  <c r="GI7" i="13"/>
  <c r="GM7" i="13"/>
  <c r="IB7" i="13"/>
  <c r="CW7" i="13"/>
  <c r="FM7" i="13"/>
  <c r="BB7" i="13"/>
  <c r="FY7" i="13"/>
  <c r="AP7" i="13"/>
  <c r="CO7" i="13"/>
  <c r="ER7" i="13"/>
  <c r="FF7" i="13"/>
  <c r="DS7" i="13"/>
  <c r="F7" i="13"/>
  <c r="IH7" i="13"/>
  <c r="AX7" i="13"/>
  <c r="HV7" i="13"/>
  <c r="HF7" i="13"/>
  <c r="HS7" i="13"/>
  <c r="AY7" i="13"/>
  <c r="GL7" i="13"/>
  <c r="K7" i="13"/>
  <c r="FP7" i="13"/>
  <c r="FK7" i="13"/>
  <c r="AU7" i="13"/>
  <c r="AQ7" i="13"/>
  <c r="DM7" i="13"/>
  <c r="L7" i="13"/>
  <c r="DP7" i="13"/>
  <c r="DJ7" i="13"/>
  <c r="BC7" i="13"/>
  <c r="BJ7" i="13"/>
  <c r="BM7" i="13"/>
  <c r="DX7" i="13"/>
  <c r="EM7" i="13"/>
  <c r="GQ7" i="13"/>
  <c r="P7" i="13"/>
  <c r="ID7" i="13"/>
  <c r="EK7" i="13"/>
  <c r="AS7" i="13"/>
  <c r="DW11" i="13"/>
  <c r="AX11" i="13"/>
  <c r="HG9" i="13"/>
  <c r="FT9" i="13"/>
  <c r="AX18" i="13"/>
  <c r="GY18" i="13"/>
  <c r="GN18" i="13"/>
  <c r="BM18" i="13"/>
  <c r="O18" i="13"/>
  <c r="GR18" i="13"/>
  <c r="HH18" i="13"/>
  <c r="DQ18" i="13"/>
  <c r="F18" i="13"/>
  <c r="HN18" i="13"/>
  <c r="FK18" i="13"/>
  <c r="AV18" i="13"/>
  <c r="DB18" i="13"/>
  <c r="AK18" i="13"/>
  <c r="AE18" i="13"/>
  <c r="DY18" i="13"/>
  <c r="HF18" i="13"/>
  <c r="X18" i="13"/>
  <c r="FC18" i="13"/>
  <c r="GO18" i="13"/>
  <c r="BH18" i="13"/>
  <c r="FY18" i="13"/>
  <c r="GX18" i="13"/>
  <c r="E18" i="13"/>
  <c r="CK18" i="13"/>
  <c r="HQ18" i="13"/>
  <c r="HU18" i="13"/>
  <c r="FR18" i="13"/>
  <c r="FT18" i="13"/>
  <c r="GG18" i="13"/>
  <c r="BA18" i="13"/>
  <c r="CV18" i="13"/>
  <c r="HR18" i="13"/>
  <c r="IJ18" i="13"/>
  <c r="I18" i="13"/>
  <c r="EG18" i="13"/>
  <c r="DS18" i="13"/>
  <c r="DU18" i="13"/>
  <c r="C18" i="13"/>
  <c r="Q18" i="13"/>
  <c r="EX18" i="13"/>
  <c r="DI18" i="13"/>
  <c r="AW18" i="13"/>
  <c r="R18" i="13"/>
  <c r="CY18" i="13"/>
  <c r="EM18" i="13"/>
  <c r="AN18" i="13"/>
  <c r="AC18" i="13"/>
  <c r="J18" i="13"/>
  <c r="CH18" i="13"/>
  <c r="CR18" i="13"/>
  <c r="AA18" i="13"/>
  <c r="AF18" i="13"/>
  <c r="IF18" i="13"/>
  <c r="BI18" i="13"/>
  <c r="FI18" i="13"/>
  <c r="FD18" i="13"/>
  <c r="EY18" i="13"/>
  <c r="IL18" i="13"/>
  <c r="GI18" i="13"/>
  <c r="P18" i="13"/>
  <c r="IG18" i="13"/>
  <c r="DZ18" i="13"/>
  <c r="M18" i="13"/>
  <c r="II18" i="13"/>
  <c r="AU18" i="13"/>
  <c r="GS18" i="13"/>
  <c r="L18" i="13"/>
  <c r="BO18" i="13"/>
  <c r="IH18" i="13"/>
  <c r="HD18" i="13"/>
  <c r="IO18" i="13"/>
  <c r="BQ18" i="13"/>
  <c r="AQ18" i="13"/>
  <c r="HK18" i="13"/>
  <c r="GV18" i="13"/>
  <c r="GK18" i="13"/>
  <c r="IE18" i="13"/>
  <c r="GZ18" i="13"/>
  <c r="FH18" i="13"/>
  <c r="K18" i="13"/>
  <c r="DC18" i="13"/>
  <c r="FL18" i="13"/>
  <c r="HG18" i="13"/>
  <c r="IA18" i="13"/>
  <c r="GM18" i="13"/>
  <c r="CI18" i="13"/>
  <c r="GL18" i="13"/>
  <c r="CN18" i="13"/>
  <c r="AG18" i="13"/>
  <c r="DE18" i="13"/>
  <c r="AM18" i="13"/>
  <c r="EC18" i="13"/>
  <c r="BY18" i="13"/>
  <c r="DL18" i="13"/>
  <c r="AT18" i="13"/>
  <c r="AZ18" i="13"/>
  <c r="Y18" i="13"/>
  <c r="EW18" i="13"/>
  <c r="DA18" i="13"/>
  <c r="IN18" i="13"/>
  <c r="HM18" i="13"/>
  <c r="BP18" i="13"/>
  <c r="T18" i="13"/>
  <c r="EN18" i="13"/>
  <c r="CO18" i="13"/>
  <c r="HA18" i="13"/>
  <c r="BV18" i="13"/>
  <c r="BS18" i="13"/>
  <c r="DX18" i="13"/>
  <c r="HS18" i="13"/>
  <c r="CQ18" i="13"/>
  <c r="DP18" i="13"/>
  <c r="AL18" i="13"/>
  <c r="BF18" i="13"/>
  <c r="GE18" i="13"/>
  <c r="BR18" i="13"/>
  <c r="G18" i="13"/>
  <c r="U18" i="13"/>
  <c r="W18" i="13"/>
  <c r="GQ18" i="13"/>
  <c r="HJ18" i="13"/>
  <c r="BL18" i="13"/>
  <c r="ID18" i="13"/>
  <c r="EH18" i="13"/>
  <c r="HP18" i="13"/>
  <c r="AR18" i="13"/>
  <c r="EA18" i="13"/>
  <c r="IK18" i="13"/>
  <c r="GJ18" i="13"/>
  <c r="BE18" i="13"/>
  <c r="FS18" i="13"/>
  <c r="Z18" i="13"/>
  <c r="BT18" i="13"/>
  <c r="FE18" i="13"/>
  <c r="EF18" i="13"/>
  <c r="HI18" i="13"/>
  <c r="EQ18" i="13"/>
  <c r="HW18" i="13"/>
  <c r="DF18" i="13"/>
  <c r="EE18" i="13"/>
  <c r="FJ18" i="13"/>
  <c r="H18" i="13"/>
  <c r="EO18" i="13"/>
  <c r="DV18" i="13"/>
  <c r="GB18" i="13"/>
  <c r="CC18" i="13"/>
  <c r="V18" i="13"/>
  <c r="EB18" i="13"/>
  <c r="GP18" i="13"/>
  <c r="BB18" i="13"/>
  <c r="BN18" i="13"/>
  <c r="DR18" i="13"/>
  <c r="AH18" i="13"/>
  <c r="EJ18" i="13"/>
  <c r="GD18" i="13"/>
  <c r="FG18" i="13"/>
  <c r="FB18" i="13"/>
  <c r="BK18" i="13"/>
  <c r="EI18" i="13"/>
  <c r="GA18" i="13"/>
  <c r="FU18" i="13"/>
  <c r="CB18" i="13"/>
  <c r="FV18" i="13"/>
  <c r="BU18" i="13"/>
  <c r="CE18" i="13"/>
  <c r="GU18" i="13"/>
  <c r="N18" i="13"/>
  <c r="AI18" i="13"/>
  <c r="BC18" i="13"/>
  <c r="FX18" i="13"/>
  <c r="EP18" i="13"/>
  <c r="ER18" i="13"/>
  <c r="DW18" i="13"/>
  <c r="IC18" i="13"/>
  <c r="GT18" i="13"/>
  <c r="GU25" i="13"/>
  <c r="IN25" i="13"/>
  <c r="AD25" i="13"/>
  <c r="X25" i="13"/>
  <c r="V25" i="13"/>
  <c r="HF25" i="13"/>
  <c r="HP25" i="13"/>
  <c r="GP25" i="13"/>
  <c r="AE25" i="13"/>
  <c r="GD25" i="13"/>
  <c r="HA25" i="13"/>
  <c r="BD25" i="13"/>
  <c r="W25" i="13"/>
  <c r="ED25" i="13"/>
  <c r="GR25" i="13"/>
  <c r="FA25" i="13"/>
  <c r="EK25" i="13"/>
  <c r="HR25" i="13"/>
  <c r="CW25" i="13"/>
  <c r="AC25" i="13"/>
  <c r="GY25" i="13"/>
  <c r="AQ25" i="13"/>
  <c r="FU25" i="13"/>
  <c r="IA25" i="13"/>
  <c r="ID25" i="13"/>
  <c r="AT25" i="13"/>
  <c r="FQ25" i="13"/>
  <c r="AV25" i="13"/>
  <c r="BZ25" i="13"/>
  <c r="CK25" i="13"/>
  <c r="CG25" i="13"/>
  <c r="EI25" i="13"/>
  <c r="BI25" i="13"/>
  <c r="IK25" i="13"/>
  <c r="DM25" i="13"/>
  <c r="GX25" i="13"/>
  <c r="EE25" i="13"/>
  <c r="BS25" i="13"/>
  <c r="GE25" i="13"/>
  <c r="FX25" i="13"/>
  <c r="IQ25" i="13"/>
  <c r="EM25" i="13"/>
  <c r="AI25" i="13"/>
  <c r="IC25" i="13"/>
  <c r="AW25" i="13"/>
  <c r="GS25" i="13"/>
  <c r="DP25" i="13"/>
  <c r="EA25" i="13"/>
  <c r="HO25" i="13"/>
  <c r="FN25" i="13"/>
  <c r="CY25" i="13"/>
  <c r="FS25" i="13"/>
  <c r="EQ25" i="13"/>
  <c r="I25" i="13"/>
  <c r="AO25" i="13"/>
  <c r="S25" i="13"/>
  <c r="EC25" i="13"/>
  <c r="F25" i="13"/>
  <c r="BC25" i="13"/>
  <c r="CN25" i="13"/>
  <c r="BN25" i="13"/>
  <c r="HG25" i="13"/>
  <c r="FG25" i="13"/>
  <c r="N25" i="13"/>
  <c r="GO25" i="13"/>
  <c r="DH25" i="13"/>
  <c r="HW25" i="13"/>
  <c r="EB25" i="13"/>
  <c r="AH25" i="13"/>
  <c r="GQ25" i="13"/>
  <c r="FO25" i="13"/>
  <c r="AJ25" i="13"/>
  <c r="EV25" i="13"/>
  <c r="P25" i="13"/>
  <c r="HC25" i="13"/>
  <c r="BP25" i="13"/>
  <c r="GT25" i="13"/>
  <c r="FP25" i="13"/>
  <c r="GA25" i="13"/>
  <c r="GI25" i="13"/>
  <c r="FZ25" i="13"/>
  <c r="EO25" i="13"/>
  <c r="HM25" i="13"/>
  <c r="DL25" i="13"/>
  <c r="FI25" i="13"/>
  <c r="DA25" i="13"/>
  <c r="BA25" i="13"/>
  <c r="IB25" i="13"/>
  <c r="GB25" i="13"/>
  <c r="CS25" i="13"/>
  <c r="GN25" i="13"/>
  <c r="AG25" i="13"/>
  <c r="CD25" i="13"/>
  <c r="BK25" i="13"/>
  <c r="CE25" i="13"/>
  <c r="HQ25" i="13"/>
  <c r="CF25" i="13"/>
  <c r="Y25" i="13"/>
  <c r="CT25" i="13"/>
  <c r="CJ25" i="13"/>
  <c r="HK25" i="13"/>
  <c r="EZ25" i="13"/>
  <c r="AL25" i="13"/>
  <c r="BG25" i="13"/>
  <c r="AY25" i="13"/>
  <c r="FH25" i="13"/>
  <c r="GH25" i="13"/>
  <c r="DJ25" i="13"/>
  <c r="CI25" i="13"/>
  <c r="EJ25" i="13"/>
  <c r="CV25" i="13"/>
  <c r="BF25" i="13"/>
  <c r="HI25" i="13"/>
  <c r="BL25" i="13"/>
  <c r="BV25" i="13"/>
  <c r="BR25" i="13"/>
  <c r="HY25" i="13"/>
  <c r="CX25" i="13"/>
  <c r="D25" i="13"/>
  <c r="GZ25" i="13"/>
  <c r="DV25" i="13"/>
  <c r="GG25" i="13"/>
  <c r="DT25" i="13"/>
  <c r="AB25" i="13"/>
  <c r="ET25" i="13"/>
  <c r="GF25" i="13"/>
  <c r="C25" i="13"/>
  <c r="CL25" i="13"/>
  <c r="BE25" i="13"/>
  <c r="DC25" i="13"/>
  <c r="EY25" i="13"/>
  <c r="IF25" i="13"/>
  <c r="FB25" i="13"/>
  <c r="BM25" i="13"/>
  <c r="DD25" i="13"/>
  <c r="HN25" i="13"/>
  <c r="HB25" i="13"/>
  <c r="EX25" i="13"/>
  <c r="EN25" i="13"/>
  <c r="O25" i="13"/>
  <c r="HJ25" i="13"/>
  <c r="HT25" i="13"/>
  <c r="GV25" i="13"/>
  <c r="FM25" i="13"/>
  <c r="FV25" i="13"/>
  <c r="IO25" i="13"/>
  <c r="IR25" i="13"/>
  <c r="L25" i="13"/>
  <c r="EF25" i="13"/>
  <c r="AX25" i="13"/>
  <c r="BO25" i="13"/>
  <c r="HL25" i="13"/>
  <c r="GJ25" i="13"/>
  <c r="M25" i="13"/>
  <c r="DF25" i="13"/>
  <c r="EG25" i="13"/>
  <c r="CM25" i="13"/>
  <c r="HZ25" i="13"/>
  <c r="HH25" i="13"/>
  <c r="FY25" i="13"/>
  <c r="Q25" i="13"/>
  <c r="CQ25" i="13"/>
  <c r="U25" i="13"/>
  <c r="DB25" i="13"/>
  <c r="DK25" i="13"/>
  <c r="HS25" i="13"/>
  <c r="BH25" i="13"/>
  <c r="CZ25" i="13"/>
  <c r="CH25" i="13"/>
  <c r="E25" i="13"/>
  <c r="DI25" i="13"/>
  <c r="BB25" i="13"/>
  <c r="DS25" i="13"/>
  <c r="AA25" i="13"/>
  <c r="BV24" i="13"/>
  <c r="ES24" i="13"/>
  <c r="FR24" i="13"/>
  <c r="HR24" i="13"/>
  <c r="O24" i="13"/>
  <c r="DA24" i="13"/>
  <c r="EX24" i="13"/>
  <c r="AI24" i="13"/>
  <c r="CC24" i="13"/>
  <c r="DT24" i="13"/>
  <c r="EO24" i="13"/>
  <c r="CZ24" i="13"/>
  <c r="BW24" i="13"/>
  <c r="EN24" i="13"/>
  <c r="GP24" i="13"/>
  <c r="DL24" i="13"/>
  <c r="EY24" i="13"/>
  <c r="FK24" i="13"/>
  <c r="DQ24" i="13"/>
  <c r="BL24" i="13"/>
  <c r="FF24" i="13"/>
  <c r="FN24" i="13"/>
  <c r="HI24" i="13"/>
  <c r="FJ24" i="13"/>
  <c r="AJ24" i="13"/>
  <c r="AK24" i="13"/>
  <c r="AQ24" i="13"/>
  <c r="DO24" i="13"/>
  <c r="AX24" i="13"/>
  <c r="DR24" i="13"/>
  <c r="DD24" i="13"/>
  <c r="K24" i="13"/>
  <c r="IA24" i="13"/>
  <c r="C24" i="13"/>
  <c r="GG24" i="13"/>
  <c r="CH24" i="13"/>
  <c r="CP24" i="13"/>
  <c r="CV24" i="13"/>
  <c r="HK24" i="13"/>
  <c r="CX24" i="13"/>
  <c r="GR24" i="13"/>
  <c r="HS24" i="13"/>
  <c r="D24" i="13"/>
  <c r="EB24" i="13"/>
  <c r="DU24" i="13"/>
  <c r="IO24" i="13"/>
  <c r="AS24" i="13"/>
  <c r="R24" i="13"/>
  <c r="BR24" i="13"/>
  <c r="FC24" i="13"/>
  <c r="Y24" i="13"/>
  <c r="FT24" i="13"/>
  <c r="HP24" i="13"/>
  <c r="HD24" i="13"/>
  <c r="FQ24" i="13"/>
  <c r="DK24" i="13"/>
  <c r="II24" i="13"/>
  <c r="BH24" i="13"/>
  <c r="EM24" i="13"/>
  <c r="GF24" i="13"/>
  <c r="Z24" i="13"/>
  <c r="IG24" i="13"/>
  <c r="U24" i="13"/>
  <c r="ED24" i="13"/>
  <c r="DZ24" i="13"/>
  <c r="HB24" i="13"/>
  <c r="DI24" i="13"/>
  <c r="EJ24" i="13"/>
  <c r="V24" i="13"/>
  <c r="IN24" i="13"/>
  <c r="HN24" i="13"/>
  <c r="CG24" i="13"/>
  <c r="IF24" i="13"/>
  <c r="BU24" i="13"/>
  <c r="DV24" i="13"/>
  <c r="EG24" i="13"/>
  <c r="AT24" i="13"/>
  <c r="DG24" i="13"/>
  <c r="BD24" i="13"/>
  <c r="EV24" i="13"/>
  <c r="DH24" i="13"/>
  <c r="EQ24" i="13"/>
  <c r="GY24" i="13"/>
  <c r="HC24" i="13"/>
  <c r="GI24" i="13"/>
  <c r="G24" i="13"/>
  <c r="GU24" i="13"/>
  <c r="GC24" i="13"/>
  <c r="CO24" i="13"/>
  <c r="GX24" i="13"/>
  <c r="IL24" i="13"/>
  <c r="AN24" i="13"/>
  <c r="HV24" i="13"/>
  <c r="AG24" i="13"/>
  <c r="BS24" i="13"/>
  <c r="DX24" i="13"/>
  <c r="HZ24" i="13"/>
  <c r="ER24" i="13"/>
  <c r="AH24" i="13"/>
  <c r="CY24" i="13"/>
  <c r="GM24" i="13"/>
  <c r="BX24" i="13"/>
  <c r="FI24" i="13"/>
  <c r="T24" i="13"/>
  <c r="CT24" i="13"/>
  <c r="HX24" i="13"/>
  <c r="BQ24" i="13"/>
  <c r="HQ24" i="13"/>
  <c r="BO24" i="13"/>
  <c r="AB24" i="13"/>
  <c r="CI24" i="13"/>
  <c r="GN24" i="13"/>
  <c r="BA24" i="13"/>
  <c r="BN24" i="13"/>
  <c r="GE24" i="13"/>
  <c r="EK24" i="13"/>
  <c r="HG24" i="13"/>
  <c r="F24" i="13"/>
  <c r="GT24" i="13"/>
  <c r="GO24" i="13"/>
  <c r="S24" i="13"/>
  <c r="DJ24" i="13"/>
  <c r="M24" i="13"/>
  <c r="GB24" i="13"/>
  <c r="AU24" i="13"/>
  <c r="HY24" i="13"/>
  <c r="GK24" i="13"/>
  <c r="P24" i="13"/>
  <c r="CQ24" i="13"/>
  <c r="IH24" i="13"/>
  <c r="L24" i="13"/>
  <c r="EI24" i="13"/>
  <c r="FB24" i="13"/>
  <c r="BK24" i="13"/>
  <c r="AM24" i="13"/>
  <c r="FW24" i="13"/>
  <c r="AY24" i="13"/>
  <c r="EW24" i="13"/>
  <c r="CL24" i="13"/>
  <c r="HA24" i="13"/>
  <c r="E24" i="13"/>
  <c r="FL24" i="13"/>
  <c r="EP24" i="13"/>
  <c r="BM24" i="13"/>
  <c r="J24" i="13"/>
  <c r="BZ24" i="13"/>
  <c r="FE24" i="13"/>
  <c r="DE24" i="13"/>
  <c r="AP24" i="13"/>
  <c r="GH24" i="13"/>
  <c r="FY24" i="13"/>
  <c r="FA24" i="13"/>
  <c r="BT24" i="13"/>
  <c r="ET24" i="13"/>
  <c r="EL24" i="13"/>
  <c r="DF24" i="13"/>
  <c r="FO24" i="13"/>
  <c r="GJ24" i="13"/>
  <c r="BC24" i="13"/>
  <c r="FV24" i="13"/>
  <c r="AR24" i="13"/>
  <c r="GA24" i="13"/>
  <c r="BI24" i="13"/>
  <c r="AA24" i="13"/>
  <c r="AD24" i="13"/>
  <c r="HE24" i="13"/>
  <c r="ID24" i="13"/>
  <c r="BF24" i="13"/>
  <c r="CK24" i="13"/>
  <c r="EU24" i="13"/>
  <c r="IB24" i="13"/>
  <c r="BE24" i="13"/>
  <c r="EZ24" i="13"/>
  <c r="HM24" i="13"/>
  <c r="DB24" i="13"/>
  <c r="H24" i="13"/>
  <c r="AE24" i="13"/>
  <c r="AV24" i="13"/>
  <c r="AJ19" i="13"/>
  <c r="EX19" i="13"/>
  <c r="DV19" i="13"/>
  <c r="CW19" i="13"/>
  <c r="FA19" i="13"/>
  <c r="EW19" i="13"/>
  <c r="V19" i="13"/>
  <c r="EF19" i="13"/>
  <c r="AU19" i="13"/>
  <c r="EK19" i="13"/>
  <c r="GY19" i="13"/>
  <c r="HH19" i="13"/>
  <c r="AI19" i="13"/>
  <c r="DW19" i="13"/>
  <c r="FY19" i="13"/>
  <c r="AR19" i="13"/>
  <c r="CG19" i="13"/>
  <c r="DK19" i="13"/>
  <c r="HZ19" i="13"/>
  <c r="BH19" i="13"/>
  <c r="II19" i="13"/>
  <c r="HO19" i="13"/>
  <c r="IG19" i="13"/>
  <c r="HP19" i="13"/>
  <c r="DI19" i="13"/>
  <c r="IO19" i="13"/>
  <c r="AW19" i="13"/>
  <c r="AB19" i="13"/>
  <c r="BG19" i="13"/>
  <c r="CD19" i="13"/>
  <c r="HF19" i="13"/>
  <c r="AE19" i="13"/>
  <c r="ID19" i="13"/>
  <c r="EQ19" i="13"/>
  <c r="U19" i="13"/>
  <c r="HY19" i="13"/>
  <c r="CS19" i="13"/>
  <c r="EM19" i="13"/>
  <c r="FU19" i="13"/>
  <c r="BE19" i="13"/>
  <c r="E19" i="13"/>
  <c r="CY19" i="13"/>
  <c r="O19" i="13"/>
  <c r="AT19" i="13"/>
  <c r="BL19" i="13"/>
  <c r="HN19" i="13"/>
  <c r="HX19" i="13"/>
  <c r="EH19" i="13"/>
  <c r="EG19" i="13"/>
  <c r="DC19" i="13"/>
  <c r="HG19" i="13"/>
  <c r="DO19" i="13"/>
  <c r="EP19" i="13"/>
  <c r="IC19" i="13"/>
  <c r="M19" i="13"/>
  <c r="BI19" i="13"/>
  <c r="GD19" i="13"/>
  <c r="CV19" i="13"/>
  <c r="CP19" i="13"/>
  <c r="FE19" i="13"/>
  <c r="CT19" i="13"/>
  <c r="AZ19" i="13"/>
  <c r="GA19" i="13"/>
  <c r="CZ19" i="13"/>
  <c r="FN19" i="13"/>
  <c r="GH19" i="13"/>
  <c r="FI19" i="13"/>
  <c r="FJ19" i="13"/>
  <c r="AP19" i="13"/>
  <c r="P19" i="13"/>
  <c r="IM19" i="13"/>
  <c r="IR19" i="13"/>
  <c r="BF19" i="13"/>
  <c r="EO19" i="13"/>
  <c r="DH19" i="13"/>
  <c r="IK19" i="13"/>
  <c r="GR19" i="13"/>
  <c r="W19" i="13"/>
  <c r="GM19" i="13"/>
  <c r="HR19" i="13"/>
  <c r="BD19" i="13"/>
  <c r="J19" i="13"/>
  <c r="GQ19" i="13"/>
  <c r="IJ19" i="13"/>
  <c r="HL19" i="13"/>
  <c r="Y19" i="13"/>
  <c r="CQ19" i="13"/>
  <c r="DY19" i="13"/>
  <c r="BS19" i="13"/>
  <c r="FT19" i="13"/>
  <c r="N19" i="13"/>
  <c r="FK19" i="13"/>
  <c r="CN19" i="13"/>
  <c r="IF19" i="13"/>
  <c r="AO19" i="13"/>
  <c r="FS19" i="13"/>
  <c r="AQ19" i="13"/>
  <c r="ET19" i="13"/>
  <c r="EE19" i="13"/>
  <c r="BW19" i="13"/>
  <c r="DR19" i="13"/>
  <c r="AN19" i="13"/>
  <c r="T19" i="13"/>
  <c r="S19" i="13"/>
  <c r="GW19" i="13"/>
  <c r="HA19" i="13"/>
  <c r="H19" i="13"/>
  <c r="FX19" i="13"/>
  <c r="BC19" i="13"/>
  <c r="AC19" i="13"/>
  <c r="AL19" i="13"/>
  <c r="HU19" i="13"/>
  <c r="G19" i="13"/>
  <c r="FB19" i="13"/>
  <c r="GL19" i="13"/>
  <c r="HE19" i="13"/>
  <c r="GT19" i="13"/>
  <c r="EN19" i="13"/>
  <c r="GE19" i="13"/>
  <c r="R19" i="13"/>
  <c r="HM19" i="13"/>
  <c r="HJ19" i="13"/>
  <c r="CL19" i="13"/>
  <c r="L19" i="13"/>
  <c r="FC19" i="13"/>
  <c r="AM19" i="13"/>
  <c r="FZ19" i="13"/>
  <c r="FL19" i="13"/>
  <c r="FD19" i="13"/>
  <c r="CF19" i="13"/>
  <c r="GS19" i="13"/>
  <c r="DD19" i="13"/>
  <c r="GU19" i="13"/>
  <c r="AV19" i="13"/>
  <c r="DP19" i="13"/>
  <c r="DF19" i="13"/>
  <c r="IE19" i="13"/>
  <c r="CO19" i="13"/>
  <c r="FV19" i="13"/>
  <c r="C19" i="13"/>
  <c r="EI19" i="13"/>
  <c r="EA19" i="13"/>
  <c r="DJ19" i="13"/>
  <c r="GI19" i="13"/>
  <c r="AD19" i="13"/>
  <c r="CH19" i="13"/>
  <c r="BN19" i="13"/>
  <c r="HW19" i="13"/>
  <c r="DE19" i="13"/>
  <c r="DU19" i="13"/>
  <c r="CX19" i="13"/>
  <c r="AA19" i="13"/>
  <c r="DQ19" i="13"/>
  <c r="BJ19" i="13"/>
  <c r="AH19" i="13"/>
  <c r="BQ19" i="13"/>
  <c r="GG19" i="13"/>
  <c r="DM19" i="13"/>
  <c r="BO19" i="13"/>
  <c r="IN19" i="13"/>
  <c r="GK19" i="13"/>
  <c r="EL19" i="13"/>
  <c r="DA19" i="13"/>
  <c r="AX19" i="13"/>
  <c r="CM19" i="13"/>
  <c r="DL19" i="13"/>
  <c r="BZ19" i="13"/>
  <c r="IH19" i="13"/>
  <c r="GP19" i="13"/>
  <c r="EJ19" i="13"/>
  <c r="Z19" i="13"/>
  <c r="EZ19" i="13"/>
  <c r="IQ19" i="13"/>
  <c r="BX19" i="13"/>
  <c r="EC19" i="13"/>
  <c r="GC19" i="13"/>
  <c r="FQ19" i="13"/>
  <c r="IJ53" i="13"/>
  <c r="GW53" i="13"/>
  <c r="EQ53" i="13"/>
  <c r="AZ53" i="13"/>
  <c r="FY53" i="13"/>
  <c r="AX53" i="13"/>
  <c r="FT53" i="13"/>
  <c r="GC53" i="13"/>
  <c r="HK53" i="13"/>
  <c r="GH53" i="13"/>
  <c r="DL53" i="13"/>
  <c r="HQ53" i="13"/>
  <c r="GA53" i="13"/>
  <c r="IH53" i="13"/>
  <c r="BH53" i="13"/>
  <c r="CW53" i="13"/>
  <c r="BZ53" i="13"/>
  <c r="FZ53" i="13"/>
  <c r="HD53" i="13"/>
  <c r="IF53" i="13"/>
  <c r="EP53" i="13"/>
  <c r="HN53" i="13"/>
  <c r="AN53" i="13"/>
  <c r="EH53" i="13"/>
  <c r="BE53" i="13"/>
  <c r="DJ53" i="13"/>
  <c r="GI53" i="13"/>
  <c r="FE53" i="13"/>
  <c r="HL53" i="13"/>
  <c r="HZ53" i="13"/>
  <c r="IK53" i="13"/>
  <c r="GB53" i="13"/>
  <c r="AO53" i="13"/>
  <c r="DD53" i="13"/>
  <c r="GN53" i="13"/>
  <c r="DR53" i="13"/>
  <c r="FK53" i="13"/>
  <c r="EL53" i="13"/>
  <c r="DC53" i="13"/>
  <c r="GF53" i="13"/>
  <c r="CJ53" i="13"/>
  <c r="HV53" i="13"/>
  <c r="EK53" i="13"/>
  <c r="BO53" i="13"/>
  <c r="BN53" i="13"/>
  <c r="GV53" i="13"/>
  <c r="FX53" i="13"/>
  <c r="AP53" i="13"/>
  <c r="CR53" i="13"/>
  <c r="IG53" i="13"/>
  <c r="EI53" i="13"/>
  <c r="CF53" i="13"/>
  <c r="GU53" i="13"/>
  <c r="FN53" i="13"/>
  <c r="DW53" i="13"/>
  <c r="HX53" i="13"/>
  <c r="BS53" i="13"/>
  <c r="BA53" i="13"/>
  <c r="FC53" i="13"/>
  <c r="BF53" i="13"/>
  <c r="EF53" i="13"/>
  <c r="HG53" i="13"/>
  <c r="IE53" i="13"/>
  <c r="HA53" i="13"/>
  <c r="HP53" i="13"/>
  <c r="CY53" i="13"/>
  <c r="DK53" i="13"/>
  <c r="BR53" i="13"/>
  <c r="IA53" i="13"/>
  <c r="FW53" i="13"/>
  <c r="GJ53" i="13"/>
  <c r="AU53" i="13"/>
  <c r="F53" i="13"/>
  <c r="HJ53" i="13"/>
  <c r="FO53" i="13"/>
  <c r="FV53" i="13"/>
  <c r="DN53" i="13"/>
  <c r="HW53" i="13"/>
  <c r="BB53" i="13"/>
  <c r="GE53" i="13"/>
  <c r="GO53" i="13"/>
  <c r="BQ53" i="13"/>
  <c r="CB53" i="13"/>
  <c r="CH53" i="13"/>
  <c r="AS53" i="13"/>
  <c r="EJ53" i="13"/>
  <c r="IQ53" i="13"/>
  <c r="BD53" i="13"/>
  <c r="BJ53" i="13"/>
  <c r="ES53" i="13"/>
  <c r="BI53" i="13"/>
  <c r="AW53" i="13"/>
  <c r="HB53" i="13"/>
  <c r="HF53" i="13"/>
  <c r="DG53" i="13"/>
  <c r="BW53" i="13"/>
  <c r="BY53" i="13"/>
  <c r="DU53" i="13"/>
  <c r="EB53" i="13"/>
  <c r="GD53" i="13"/>
  <c r="FQ53" i="13"/>
  <c r="HS53" i="13"/>
  <c r="BM53" i="13"/>
  <c r="BK53" i="13"/>
  <c r="BT53" i="13"/>
  <c r="CK53" i="13"/>
  <c r="BG53" i="13"/>
  <c r="BL53" i="13"/>
  <c r="CL53" i="13"/>
  <c r="E53" i="13"/>
  <c r="CI53" i="13"/>
  <c r="GX53" i="13"/>
  <c r="IM53" i="13"/>
  <c r="EY53" i="13"/>
  <c r="EW53" i="13"/>
  <c r="DH53" i="13"/>
  <c r="IO53" i="13"/>
  <c r="CO53" i="13"/>
  <c r="AV53" i="13"/>
  <c r="AY53" i="13"/>
  <c r="CT53" i="13"/>
  <c r="DS53" i="13"/>
  <c r="ER53" i="13"/>
  <c r="II53" i="13"/>
  <c r="DQ53" i="13"/>
  <c r="EE53" i="13"/>
  <c r="EG53" i="13"/>
  <c r="FJ53" i="13"/>
  <c r="DM53" i="13"/>
  <c r="HY53" i="13"/>
  <c r="DE53" i="13"/>
  <c r="IL53" i="13"/>
  <c r="GG53" i="13"/>
  <c r="AL53" i="13"/>
  <c r="DF53" i="13"/>
  <c r="FR53" i="13"/>
  <c r="IB53" i="13"/>
  <c r="FH53" i="13"/>
  <c r="BP53" i="13"/>
  <c r="FM53" i="13"/>
  <c r="BU53" i="13"/>
  <c r="GM53" i="13"/>
  <c r="GY53" i="13"/>
  <c r="CQ53" i="13"/>
  <c r="FD53" i="13"/>
  <c r="AQ53" i="13"/>
  <c r="GK53" i="13"/>
  <c r="AT53" i="13"/>
  <c r="FI53" i="13"/>
  <c r="EU53" i="13"/>
  <c r="DY53" i="13"/>
  <c r="IN53" i="13"/>
  <c r="GZ53" i="13"/>
  <c r="EC53" i="13"/>
  <c r="GT53" i="13"/>
  <c r="ET53" i="13"/>
  <c r="CP53" i="13"/>
  <c r="DZ53" i="13"/>
  <c r="GP53" i="13"/>
  <c r="DX53" i="13"/>
  <c r="FG53" i="13"/>
  <c r="HC53" i="13"/>
  <c r="CV53" i="13"/>
  <c r="FB53" i="13"/>
  <c r="EO53" i="13"/>
  <c r="FL53" i="13"/>
  <c r="HH53" i="13"/>
  <c r="HE53" i="13"/>
  <c r="CB47" i="13"/>
  <c r="DD47" i="13"/>
  <c r="HS47" i="13"/>
  <c r="AK47" i="13"/>
  <c r="GO47" i="13"/>
  <c r="CF47" i="13"/>
  <c r="DX47" i="13"/>
  <c r="GG47" i="13"/>
  <c r="BH47" i="13"/>
  <c r="CK47" i="13"/>
  <c r="IE47" i="13"/>
  <c r="GB47" i="13"/>
  <c r="CQ47" i="13"/>
  <c r="CE47" i="13"/>
  <c r="EC47" i="13"/>
  <c r="AZ47" i="13"/>
  <c r="IF47" i="13"/>
  <c r="CD47" i="13"/>
  <c r="DM47" i="13"/>
  <c r="HJ47" i="13"/>
  <c r="FS47" i="13"/>
  <c r="DT47" i="13"/>
  <c r="GT47" i="13"/>
  <c r="HH47" i="13"/>
  <c r="BW47" i="13"/>
  <c r="BB47" i="13"/>
  <c r="DZ47" i="13"/>
  <c r="IO47" i="13"/>
  <c r="HO47" i="13"/>
  <c r="ES47" i="13"/>
  <c r="FF47" i="13"/>
  <c r="HA47" i="13"/>
  <c r="HQ47" i="13"/>
  <c r="EW47" i="13"/>
  <c r="CP47" i="13"/>
  <c r="FR47" i="13"/>
  <c r="E47" i="13"/>
  <c r="DI47" i="13"/>
  <c r="CY47" i="13"/>
  <c r="EI47" i="13"/>
  <c r="AN47" i="13"/>
  <c r="EJ47" i="13"/>
  <c r="GL47" i="13"/>
  <c r="GN47" i="13"/>
  <c r="BN47" i="13"/>
  <c r="IA47" i="13"/>
  <c r="FZ47" i="13"/>
  <c r="GU47" i="13"/>
  <c r="DL47" i="13"/>
  <c r="EP47" i="13"/>
  <c r="BA47" i="13"/>
  <c r="AT47" i="13"/>
  <c r="FK47" i="13"/>
  <c r="HY47" i="13"/>
  <c r="HD47" i="13"/>
  <c r="BS47" i="13"/>
  <c r="CT47" i="13"/>
  <c r="DH47" i="13"/>
  <c r="DA47" i="13"/>
  <c r="HE47" i="13"/>
  <c r="HL47" i="13"/>
  <c r="CV47" i="13"/>
  <c r="FP47" i="13"/>
  <c r="DJ47" i="13"/>
  <c r="BK47" i="13"/>
  <c r="CJ47" i="13"/>
  <c r="FC47" i="13"/>
  <c r="DB47" i="13"/>
  <c r="FE47" i="13"/>
  <c r="EY47" i="13"/>
  <c r="HK47" i="13"/>
  <c r="BP47" i="13"/>
  <c r="GS47" i="13"/>
  <c r="BE47" i="13"/>
  <c r="CO47" i="13"/>
  <c r="IG47" i="13"/>
  <c r="CH47" i="13"/>
  <c r="HF47" i="13"/>
  <c r="DY47" i="13"/>
  <c r="EF47" i="13"/>
  <c r="FU47" i="13"/>
  <c r="HI47" i="13"/>
  <c r="FM47" i="13"/>
  <c r="CW47" i="13"/>
  <c r="BF47" i="13"/>
  <c r="GX47" i="13"/>
  <c r="EQ47" i="13"/>
  <c r="AL47" i="13"/>
  <c r="GH47" i="13"/>
  <c r="FX47" i="13"/>
  <c r="CU47" i="13"/>
  <c r="F47" i="13"/>
  <c r="BC47" i="13"/>
  <c r="GP47" i="13"/>
  <c r="HG47" i="13"/>
  <c r="AS47" i="13"/>
  <c r="HB47" i="13"/>
  <c r="CX47" i="13"/>
  <c r="CR47" i="13"/>
  <c r="HW47" i="13"/>
  <c r="GM47" i="13"/>
  <c r="GI47" i="13"/>
  <c r="DR47" i="13"/>
  <c r="HU47" i="13"/>
  <c r="FI47" i="13"/>
  <c r="BU47" i="13"/>
  <c r="CI47" i="13"/>
  <c r="FV47" i="13"/>
  <c r="CM47" i="13"/>
  <c r="BY47" i="13"/>
  <c r="EE47" i="13"/>
  <c r="BR47" i="13"/>
  <c r="FY47" i="13"/>
  <c r="EV47" i="13"/>
  <c r="DP47" i="13"/>
  <c r="GK47" i="13"/>
  <c r="DN47" i="13"/>
  <c r="AO47" i="13"/>
  <c r="HX47" i="13"/>
  <c r="DC47" i="13"/>
  <c r="BT47" i="13"/>
  <c r="EZ47" i="13"/>
  <c r="DO47" i="13"/>
  <c r="CC47" i="13"/>
  <c r="EX47" i="13"/>
  <c r="AU47" i="13"/>
  <c r="BG47" i="13"/>
  <c r="FL47" i="13"/>
  <c r="IL47" i="13"/>
  <c r="GC47" i="13"/>
  <c r="FD47" i="13"/>
  <c r="GE47" i="13"/>
  <c r="AR47" i="13"/>
  <c r="HM47" i="13"/>
  <c r="DU47" i="13"/>
  <c r="EB47" i="13"/>
  <c r="FO47" i="13"/>
  <c r="EA47" i="13"/>
  <c r="FW47" i="13"/>
  <c r="GJ47" i="13"/>
  <c r="AY47" i="13"/>
  <c r="HZ47" i="13"/>
  <c r="FA47" i="13"/>
  <c r="AX47" i="13"/>
  <c r="AF33" i="13"/>
  <c r="EM33" i="13"/>
  <c r="BE33" i="13"/>
  <c r="AR33" i="13"/>
  <c r="AL33" i="13"/>
  <c r="BR33" i="13"/>
  <c r="FO33" i="13"/>
  <c r="IG33" i="13"/>
  <c r="AW33" i="13"/>
  <c r="BS33" i="13"/>
  <c r="GT33" i="13"/>
  <c r="BZ33" i="13"/>
  <c r="DV33" i="13"/>
  <c r="HT33" i="13"/>
  <c r="BN33" i="13"/>
  <c r="EA33" i="13"/>
  <c r="HB33" i="13"/>
  <c r="GX33" i="13"/>
  <c r="L33" i="13"/>
  <c r="DC33" i="13"/>
  <c r="Q33" i="13"/>
  <c r="AX33" i="13"/>
  <c r="CX33" i="13"/>
  <c r="EN33" i="13"/>
  <c r="IL33" i="13"/>
  <c r="FK33" i="13"/>
  <c r="EX33" i="13"/>
  <c r="HV33" i="13"/>
  <c r="CR33" i="13"/>
  <c r="DB33" i="13"/>
  <c r="HZ33" i="13"/>
  <c r="DZ33" i="13"/>
  <c r="EF33" i="13"/>
  <c r="IC33" i="13"/>
  <c r="IH33" i="13"/>
  <c r="HH33" i="13"/>
  <c r="HA33" i="13"/>
  <c r="HK33" i="13"/>
  <c r="AU33" i="13"/>
  <c r="GP33" i="13"/>
  <c r="GO33" i="13"/>
  <c r="CQ33" i="13"/>
  <c r="DY33" i="13"/>
  <c r="W33" i="13"/>
  <c r="CV33" i="13"/>
  <c r="BC33" i="13"/>
  <c r="GQ33" i="13"/>
  <c r="V33" i="13"/>
  <c r="HE33" i="13"/>
  <c r="ID33" i="13"/>
  <c r="AP33" i="13"/>
  <c r="FH33" i="13"/>
  <c r="DN33" i="13"/>
  <c r="DA33" i="13"/>
  <c r="CG33" i="13"/>
  <c r="CB33" i="13"/>
  <c r="BG33" i="13"/>
  <c r="T33" i="13"/>
  <c r="AJ33" i="13"/>
  <c r="FQ33" i="13"/>
  <c r="J33" i="13"/>
  <c r="IQ33" i="13"/>
  <c r="EE33" i="13"/>
  <c r="M33" i="13"/>
  <c r="II33" i="13"/>
  <c r="GI33" i="13"/>
  <c r="BP33" i="13"/>
  <c r="FY33" i="13"/>
  <c r="HQ33" i="13"/>
  <c r="FU33" i="13"/>
  <c r="EH33" i="13"/>
  <c r="AA33" i="13"/>
  <c r="R33" i="13"/>
  <c r="EW33" i="13"/>
  <c r="IM33" i="13"/>
  <c r="BB33" i="13"/>
  <c r="BH33" i="13"/>
  <c r="BO33" i="13"/>
  <c r="EV33" i="13"/>
  <c r="S33" i="13"/>
  <c r="DK33" i="13"/>
  <c r="ED33" i="13"/>
  <c r="CU33" i="13"/>
  <c r="HF33" i="13"/>
  <c r="AV33" i="13"/>
  <c r="AM33" i="13"/>
  <c r="FB33" i="13"/>
  <c r="GK33" i="13"/>
  <c r="BA33" i="13"/>
  <c r="HY33" i="13"/>
  <c r="AI33" i="13"/>
  <c r="GN33" i="13"/>
  <c r="AG33" i="13"/>
  <c r="AE33" i="13"/>
  <c r="EO33" i="13"/>
  <c r="U33" i="13"/>
  <c r="FT33" i="13"/>
  <c r="EI33" i="13"/>
  <c r="HN33" i="13"/>
  <c r="Y33" i="13"/>
  <c r="CY33" i="13"/>
  <c r="HX33" i="13"/>
  <c r="DT33" i="13"/>
  <c r="HD33" i="13"/>
  <c r="HJ33" i="13"/>
  <c r="IK33" i="13"/>
  <c r="BT33" i="13"/>
  <c r="FG33" i="13"/>
  <c r="FI33" i="13"/>
  <c r="FL33" i="13"/>
  <c r="AS33" i="13"/>
  <c r="AN33" i="13"/>
  <c r="DG33" i="13"/>
  <c r="DP33" i="13"/>
  <c r="GE33" i="13"/>
  <c r="P33" i="13"/>
  <c r="BQ33" i="13"/>
  <c r="K33" i="13"/>
  <c r="EB33" i="13"/>
  <c r="BW33" i="13"/>
  <c r="DI33" i="13"/>
  <c r="EU33" i="13"/>
  <c r="ER33" i="13"/>
  <c r="GR33" i="13"/>
  <c r="FJ33" i="13"/>
  <c r="DS33" i="13"/>
  <c r="GU33" i="13"/>
  <c r="HW33" i="13"/>
  <c r="BF33" i="13"/>
  <c r="HM33" i="13"/>
  <c r="IR33" i="13"/>
  <c r="CM33" i="13"/>
  <c r="EZ33" i="13"/>
  <c r="GC33" i="13"/>
  <c r="DQ33" i="13"/>
  <c r="BD33" i="13"/>
  <c r="IO33" i="13"/>
  <c r="FN33" i="13"/>
  <c r="DM33" i="13"/>
  <c r="CP33" i="13"/>
  <c r="FD33" i="13"/>
  <c r="CF33" i="13"/>
  <c r="FR33" i="13"/>
  <c r="I33" i="13"/>
  <c r="IN33" i="13"/>
  <c r="BU33" i="13"/>
  <c r="CH33" i="13"/>
  <c r="AO33" i="13"/>
  <c r="EP33" i="13"/>
  <c r="FX33" i="13"/>
  <c r="CW33" i="13"/>
  <c r="FW33" i="13"/>
  <c r="AK33" i="13"/>
  <c r="FC33" i="13"/>
  <c r="DU33" i="13"/>
  <c r="HP33" i="13"/>
  <c r="CZ33" i="13"/>
  <c r="BY33" i="13"/>
  <c r="EK33" i="13"/>
  <c r="F33" i="13"/>
  <c r="EL33" i="13"/>
  <c r="G33" i="13"/>
  <c r="CD33" i="13"/>
  <c r="CJ33" i="13"/>
  <c r="GA33" i="13"/>
  <c r="CN33" i="13"/>
  <c r="HL33" i="13"/>
  <c r="BJ33" i="13"/>
  <c r="DH33" i="13"/>
  <c r="FA33" i="13"/>
  <c r="FP33" i="13"/>
  <c r="GD33" i="13"/>
  <c r="GY33" i="13"/>
  <c r="IB33" i="13"/>
  <c r="DW33" i="13"/>
  <c r="IA33" i="13"/>
  <c r="EC33" i="13"/>
  <c r="AQ33" i="13"/>
  <c r="GS33" i="13"/>
  <c r="GG33" i="13"/>
  <c r="DD33" i="13"/>
  <c r="GF33" i="13"/>
  <c r="GH33" i="13"/>
  <c r="BU50" i="13"/>
  <c r="DO11" i="13"/>
  <c r="GO19" i="13"/>
  <c r="ER36" i="13"/>
  <c r="GJ9" i="13"/>
  <c r="IN26" i="13"/>
  <c r="Z12" i="13"/>
  <c r="ER5" i="13"/>
  <c r="BL49" i="13"/>
  <c r="AU22" i="13"/>
  <c r="BR38" i="13"/>
  <c r="GD24" i="13"/>
  <c r="HK43" i="13"/>
  <c r="IE36" i="13"/>
  <c r="CE26" i="13"/>
  <c r="HU4" i="13"/>
  <c r="FC22" i="13"/>
  <c r="EI39" i="13"/>
  <c r="BC29" i="13"/>
  <c r="CS41" i="13"/>
  <c r="EL27" i="13"/>
  <c r="GQ24" i="13"/>
  <c r="GJ36" i="13"/>
  <c r="EX53" i="13"/>
  <c r="DT39" i="13"/>
  <c r="L9" i="13"/>
  <c r="AK44" i="13"/>
  <c r="AL48" i="13"/>
  <c r="DX16" i="13"/>
  <c r="CE5" i="13"/>
  <c r="GV38" i="13"/>
  <c r="CF46" i="13"/>
  <c r="EU11" i="13"/>
  <c r="HV49" i="13"/>
  <c r="AT15" i="13"/>
  <c r="DK39" i="13"/>
  <c r="DS12" i="13"/>
  <c r="CJ10" i="13"/>
  <c r="EU49" i="13"/>
  <c r="CU24" i="13"/>
  <c r="BO40" i="13"/>
  <c r="DR14" i="13"/>
  <c r="EX17" i="13"/>
  <c r="ES25" i="13"/>
  <c r="CU44" i="13"/>
  <c r="IB37" i="13"/>
  <c r="EW28" i="13"/>
  <c r="AV5" i="13"/>
  <c r="S34" i="13"/>
  <c r="AW4" i="13"/>
  <c r="FT50" i="13"/>
  <c r="GJ33" i="13"/>
  <c r="CJ37" i="13"/>
  <c r="HY9" i="13"/>
  <c r="FP43" i="13"/>
  <c r="D10" i="13"/>
  <c r="E29" i="13"/>
  <c r="O13" i="13"/>
  <c r="CV50" i="13"/>
  <c r="FG24" i="13"/>
  <c r="AV7" i="13"/>
  <c r="FF14" i="13"/>
  <c r="HK20" i="13"/>
  <c r="HC36" i="13"/>
  <c r="CL41" i="13"/>
  <c r="FN26" i="13"/>
  <c r="R21" i="13"/>
  <c r="DS41" i="13"/>
  <c r="BG20" i="13"/>
  <c r="FZ49" i="13"/>
  <c r="FW30" i="13"/>
  <c r="BB24" i="13"/>
  <c r="DL44" i="13"/>
  <c r="AW42" i="13"/>
  <c r="DD37" i="13"/>
  <c r="GF50" i="13"/>
  <c r="BL16" i="13"/>
  <c r="BD49" i="13"/>
  <c r="AQ8" i="13"/>
  <c r="GN46" i="13"/>
  <c r="ED8" i="13"/>
  <c r="GX17" i="13"/>
  <c r="O23" i="13"/>
  <c r="EL7" i="13"/>
  <c r="IQ18" i="13"/>
  <c r="CO31" i="13"/>
  <c r="FZ29" i="13"/>
  <c r="HT30" i="13"/>
  <c r="HA13" i="13"/>
  <c r="CW40" i="13"/>
  <c r="GZ7" i="13"/>
  <c r="FQ32" i="13"/>
  <c r="DT48" i="13"/>
  <c r="AM10" i="13"/>
  <c r="EG33" i="13"/>
  <c r="FF17" i="13"/>
  <c r="BU7" i="13"/>
  <c r="EG20" i="13"/>
  <c r="IH43" i="13"/>
  <c r="BL7" i="13"/>
  <c r="IO39" i="13"/>
  <c r="C8" i="13"/>
  <c r="CH8" i="13"/>
  <c r="GN6" i="13"/>
  <c r="HQ10" i="13"/>
  <c r="EV34" i="13"/>
  <c r="CZ18" i="13"/>
  <c r="Z33" i="13"/>
  <c r="EJ26" i="13"/>
  <c r="Z16" i="13"/>
  <c r="HC18" i="13"/>
  <c r="ED19" i="13"/>
  <c r="D30" i="13"/>
  <c r="DD15" i="13"/>
  <c r="CI34" i="13"/>
  <c r="GW25" i="13"/>
  <c r="CI19" i="13"/>
  <c r="FQ39" i="13"/>
  <c r="BC34" i="13"/>
  <c r="BQ50" i="13"/>
  <c r="DW43" i="13"/>
  <c r="DL21" i="13"/>
  <c r="DW47" i="13"/>
  <c r="AW43" i="13"/>
  <c r="GD10" i="13"/>
  <c r="Q31" i="13"/>
  <c r="GC26" i="13"/>
  <c r="CM38" i="13"/>
  <c r="HS11" i="13"/>
  <c r="FZ14" i="13"/>
  <c r="FS13" i="13"/>
  <c r="FH10" i="13"/>
  <c r="EF29" i="13"/>
  <c r="CC53" i="13"/>
  <c r="HR12" i="13"/>
  <c r="BR49" i="13"/>
  <c r="BM26" i="13"/>
  <c r="DG11" i="13"/>
  <c r="HY18" i="13"/>
  <c r="BP50" i="13"/>
  <c r="N32" i="13"/>
  <c r="AE8" i="13"/>
  <c r="EY16" i="13"/>
  <c r="CP30" i="13"/>
  <c r="IE44" i="13"/>
  <c r="DM29" i="13"/>
  <c r="AC31" i="13"/>
  <c r="DL4" i="13"/>
  <c r="CZ43" i="13"/>
  <c r="BE7" i="13"/>
  <c r="BD21" i="13"/>
  <c r="HU40" i="13"/>
  <c r="BM14" i="13"/>
  <c r="BA52" i="13"/>
  <c r="HJ8" i="13"/>
  <c r="DA6" i="13"/>
  <c r="AP47" i="13"/>
  <c r="BJ11" i="13"/>
  <c r="ED53" i="13"/>
  <c r="GQ49" i="13"/>
  <c r="IR48" i="13"/>
  <c r="HF37" i="13"/>
  <c r="FX13" i="13"/>
  <c r="DO22" i="13"/>
  <c r="AR28" i="13"/>
  <c r="HQ39" i="13"/>
  <c r="GG17" i="13"/>
  <c r="HV20" i="13"/>
  <c r="W24" i="13"/>
  <c r="CD32" i="13"/>
  <c r="HP26" i="13"/>
  <c r="IM24" i="13"/>
  <c r="CR39" i="13"/>
  <c r="GE48" i="13"/>
  <c r="IG7" i="13"/>
  <c r="GY14" i="13"/>
  <c r="FA51" i="13"/>
  <c r="CX9" i="13"/>
  <c r="CQ6" i="13"/>
  <c r="HV10" i="13"/>
  <c r="DD34" i="13"/>
  <c r="DK36" i="13"/>
  <c r="HY42" i="13"/>
  <c r="FP40" i="13"/>
  <c r="HW39" i="13"/>
  <c r="HQ15" i="13"/>
  <c r="FW41" i="13"/>
  <c r="AV30" i="13"/>
  <c r="FT6" i="13"/>
  <c r="IE39" i="13"/>
  <c r="GN41" i="13"/>
  <c r="EM5" i="13"/>
  <c r="AF25" i="13"/>
  <c r="BV43" i="13"/>
  <c r="CP21" i="13"/>
  <c r="AX27" i="13"/>
  <c r="DP13" i="13"/>
  <c r="BZ4" i="13"/>
  <c r="AP30" i="13"/>
  <c r="FN6" i="13"/>
  <c r="HN21" i="13"/>
  <c r="ES18" i="13"/>
  <c r="CT33" i="13"/>
  <c r="C27" i="13"/>
  <c r="CE35" i="13"/>
  <c r="AC10" i="13"/>
  <c r="GV44" i="13"/>
  <c r="D18" i="13"/>
  <c r="HH42" i="13"/>
  <c r="FE49" i="13"/>
  <c r="IH47" i="13"/>
  <c r="FI10" i="13"/>
  <c r="GZ17" i="13"/>
  <c r="EX7" i="13"/>
  <c r="EK41" i="13"/>
  <c r="DO10" i="13"/>
  <c r="HZ10" i="13"/>
  <c r="HZ50" i="13"/>
  <c r="FR42" i="13"/>
  <c r="GT11" i="13"/>
  <c r="BF51" i="13"/>
  <c r="IH12" i="13"/>
  <c r="EC23" i="13"/>
  <c r="GO16" i="13"/>
  <c r="GH26" i="13"/>
  <c r="AG32" i="13"/>
  <c r="FF33" i="13"/>
  <c r="IB49" i="13"/>
  <c r="Z20" i="13"/>
  <c r="AT20" i="13"/>
  <c r="CT28" i="13"/>
  <c r="EV20" i="13"/>
  <c r="BZ32" i="13"/>
  <c r="BX42" i="13"/>
  <c r="HH11" i="13"/>
  <c r="CW52" i="13"/>
  <c r="HR46" i="13"/>
  <c r="GP29" i="13"/>
  <c r="IH41" i="13"/>
  <c r="HZ15" i="13"/>
  <c r="HD20" i="13"/>
  <c r="BP27" i="13"/>
  <c r="FB23" i="13"/>
  <c r="DG47" i="13"/>
  <c r="DF30" i="13"/>
  <c r="EZ28" i="13"/>
  <c r="HP49" i="13"/>
  <c r="EP14" i="13"/>
  <c r="CK38" i="13"/>
  <c r="HN16" i="13"/>
  <c r="CK34" i="13"/>
  <c r="AJ53" i="13"/>
  <c r="BL34" i="13"/>
  <c r="GK8" i="13"/>
  <c r="GX11" i="13"/>
  <c r="GI8" i="13"/>
  <c r="HC9" i="13"/>
  <c r="DI4" i="13"/>
  <c r="BX34" i="13"/>
  <c r="DL20" i="13"/>
  <c r="CV9" i="13"/>
  <c r="CT45" i="13"/>
  <c r="AM25" i="13"/>
  <c r="EI22" i="13"/>
  <c r="DJ33" i="13"/>
  <c r="BA41" i="13"/>
  <c r="CZ7" i="13"/>
  <c r="EH21" i="13"/>
  <c r="GY9" i="13"/>
  <c r="E52" i="13"/>
  <c r="GT6" i="13"/>
  <c r="T25" i="13"/>
  <c r="AK19" i="13"/>
  <c r="CC26" i="13"/>
  <c r="AY33" i="13"/>
  <c r="BE29" i="13"/>
  <c r="HY43" i="13"/>
  <c r="Y26" i="13"/>
  <c r="K20" i="13"/>
  <c r="Z22" i="13"/>
  <c r="AI53" i="13"/>
  <c r="DG6" i="13"/>
  <c r="EO6" i="13"/>
  <c r="IF52" i="13"/>
  <c r="GN51" i="13"/>
  <c r="IL17" i="13"/>
  <c r="HK29" i="13"/>
  <c r="P32" i="13"/>
  <c r="DV10" i="13"/>
  <c r="BM9" i="13"/>
  <c r="HE28" i="13"/>
  <c r="BM12" i="13"/>
  <c r="IH28" i="13"/>
  <c r="BN37" i="13"/>
  <c r="EO47" i="13"/>
  <c r="R25" i="13"/>
  <c r="EF48" i="13"/>
  <c r="EF5" i="13"/>
  <c r="DW10" i="13"/>
  <c r="K14" i="13"/>
  <c r="O32" i="13"/>
  <c r="DB36" i="13"/>
  <c r="P12" i="13"/>
  <c r="CG46" i="13"/>
  <c r="BY28" i="13"/>
  <c r="FO15" i="13"/>
  <c r="AM46" i="13"/>
  <c r="DY16" i="13"/>
  <c r="GA23" i="13"/>
  <c r="EN38" i="13"/>
  <c r="EJ48" i="13"/>
  <c r="AR10" i="13"/>
  <c r="GG4" i="13"/>
  <c r="CU10" i="13"/>
  <c r="IN23" i="13"/>
  <c r="FK28" i="13"/>
  <c r="BI34" i="13"/>
  <c r="CL16" i="13"/>
  <c r="CE22" i="13"/>
  <c r="BM27" i="13"/>
  <c r="GT36" i="13"/>
  <c r="BO21" i="13"/>
  <c r="CO17" i="13"/>
  <c r="FD10" i="13"/>
  <c r="DJ17" i="13"/>
  <c r="FD44" i="13"/>
  <c r="FF34" i="13"/>
  <c r="EO15" i="13"/>
  <c r="M20" i="13"/>
  <c r="EH47" i="13"/>
  <c r="EV12" i="13"/>
  <c r="FS53" i="13"/>
  <c r="HD9" i="13"/>
  <c r="FV33" i="13"/>
  <c r="AI47" i="13"/>
  <c r="HJ5" i="13"/>
  <c r="DD5" i="13"/>
  <c r="CX38" i="13"/>
  <c r="GS41" i="13"/>
  <c r="EL26" i="13"/>
  <c r="CB36" i="13"/>
  <c r="HC19" i="13"/>
  <c r="CM28" i="13"/>
  <c r="GR15" i="13"/>
  <c r="AD8" i="13"/>
  <c r="AX15" i="13"/>
  <c r="HT24" i="13"/>
  <c r="AR31" i="13"/>
  <c r="FR5" i="13"/>
  <c r="FQ9" i="13"/>
  <c r="CM43" i="13"/>
  <c r="CB30" i="13"/>
  <c r="BA5" i="13"/>
  <c r="CH52" i="13"/>
  <c r="AS16" i="13"/>
  <c r="BL14" i="13"/>
  <c r="DP32" i="13"/>
  <c r="IC37" i="13"/>
  <c r="GC14" i="13"/>
  <c r="BZ37" i="13"/>
  <c r="EV35" i="13"/>
  <c r="BR30" i="13"/>
  <c r="HW22" i="13"/>
  <c r="FK6" i="13"/>
  <c r="CD46" i="13"/>
  <c r="CK15" i="13"/>
  <c r="IN52" i="13"/>
  <c r="IJ21" i="13"/>
  <c r="II22" i="13"/>
  <c r="EN36" i="13"/>
  <c r="BH9" i="13"/>
  <c r="DU30" i="13"/>
  <c r="FH39" i="13"/>
  <c r="H7" i="13"/>
  <c r="AO49" i="13"/>
  <c r="II47" i="13"/>
  <c r="DO18" i="13"/>
  <c r="DA53" i="13"/>
  <c r="AV36" i="13"/>
  <c r="GO7" i="13"/>
  <c r="EY19" i="13"/>
  <c r="DT5" i="13"/>
  <c r="GQ32" i="13"/>
  <c r="FO12" i="13"/>
  <c r="AU39" i="13"/>
  <c r="IF35" i="13"/>
  <c r="GW8" i="13"/>
  <c r="FF13" i="13"/>
  <c r="HV25" i="13"/>
  <c r="FM19" i="13"/>
  <c r="FK26" i="13"/>
  <c r="FH38" i="13"/>
  <c r="BN8" i="13"/>
  <c r="CK44" i="13"/>
  <c r="FJ32" i="13"/>
  <c r="ID21" i="13"/>
  <c r="EC38" i="13"/>
  <c r="GL17" i="13"/>
  <c r="AS52" i="13"/>
  <c r="AF20" i="13"/>
  <c r="IR5" i="13"/>
  <c r="HJ52" i="13"/>
  <c r="FJ15" i="13"/>
  <c r="M30" i="13"/>
  <c r="GB35" i="13"/>
  <c r="BP52" i="13"/>
  <c r="DF37" i="13"/>
  <c r="BK48" i="13"/>
  <c r="FK12" i="13"/>
  <c r="BP29" i="13"/>
  <c r="AU29" i="13"/>
  <c r="D8" i="13"/>
  <c r="BG23" i="13"/>
  <c r="GW32" i="13"/>
  <c r="FJ47" i="13"/>
  <c r="AZ29" i="13"/>
  <c r="DN6" i="13"/>
  <c r="CO12" i="13"/>
  <c r="EF50" i="13"/>
  <c r="HR34" i="13"/>
  <c r="EF38" i="13"/>
  <c r="DI30" i="13"/>
  <c r="CU8" i="13"/>
  <c r="HC13" i="13"/>
  <c r="BG8" i="13"/>
  <c r="J28" i="13"/>
  <c r="IJ44" i="13"/>
  <c r="EY45" i="13"/>
  <c r="BQ16" i="13"/>
  <c r="CS18" i="13"/>
  <c r="CX23" i="13"/>
  <c r="BY19" i="13"/>
  <c r="G12" i="13"/>
  <c r="DA16" i="13"/>
  <c r="CM8" i="13"/>
  <c r="HH28" i="13"/>
  <c r="IF21" i="13"/>
  <c r="AW24" i="13"/>
  <c r="DB42" i="13"/>
  <c r="AQ40" i="13"/>
  <c r="DB48" i="13"/>
  <c r="C4" i="13"/>
  <c r="F23" i="22"/>
  <c r="G23" i="22"/>
  <c r="A24" i="22"/>
  <c r="B23" i="22"/>
  <c r="C23" i="22"/>
  <c r="E23" i="22"/>
  <c r="D23" i="22"/>
  <c r="AR24" i="22" s="1"/>
  <c r="U22" i="22"/>
  <c r="W22" i="22"/>
  <c r="O23" i="22" l="1"/>
  <c r="AD23" i="22"/>
  <c r="V24" i="22"/>
  <c r="L24" i="22"/>
  <c r="N24" i="22"/>
  <c r="Z24" i="22"/>
  <c r="AA24" i="22"/>
  <c r="R24" i="22" s="1"/>
  <c r="X24" i="22"/>
  <c r="Y24" i="22"/>
  <c r="M24" i="22"/>
  <c r="AB24" i="22"/>
  <c r="K24" i="22"/>
  <c r="AH23" i="22"/>
  <c r="AG23" i="22"/>
  <c r="AC23" i="22"/>
  <c r="AE23" i="22"/>
  <c r="AF23" i="22"/>
  <c r="F24" i="22"/>
  <c r="G24" i="22"/>
  <c r="U23" i="22"/>
  <c r="W23" i="22"/>
  <c r="A25" i="22"/>
  <c r="B24" i="22"/>
  <c r="C24" i="22"/>
  <c r="D24" i="22"/>
  <c r="E24" i="22"/>
  <c r="AD24" i="22" l="1"/>
  <c r="AR25" i="22"/>
  <c r="O24" i="22"/>
  <c r="N25" i="22"/>
  <c r="M25" i="22"/>
  <c r="AA25" i="22"/>
  <c r="O25" i="22" s="1"/>
  <c r="Y25" i="22"/>
  <c r="K25" i="22"/>
  <c r="AB25" i="22"/>
  <c r="Z25" i="22"/>
  <c r="V25" i="22"/>
  <c r="L25" i="22"/>
  <c r="X25" i="22"/>
  <c r="AH24" i="22"/>
  <c r="AG24" i="22"/>
  <c r="AC24" i="22"/>
  <c r="AE24" i="22"/>
  <c r="AF24" i="22"/>
  <c r="F25" i="22"/>
  <c r="G25" i="22"/>
  <c r="U24" i="22"/>
  <c r="W24" i="22"/>
  <c r="A26" i="22"/>
  <c r="B25" i="22"/>
  <c r="C25" i="22"/>
  <c r="D25" i="22"/>
  <c r="AR26" i="22" s="1"/>
  <c r="E25" i="22"/>
  <c r="R25" i="22" l="1"/>
  <c r="AD25" i="22"/>
  <c r="Y26" i="22"/>
  <c r="AB26" i="22"/>
  <c r="L26" i="22"/>
  <c r="K26" i="22"/>
  <c r="Z26" i="22"/>
  <c r="N26" i="22"/>
  <c r="M26" i="22"/>
  <c r="V26" i="22"/>
  <c r="AA26" i="22"/>
  <c r="O26" i="22" s="1"/>
  <c r="X26" i="22"/>
  <c r="AH25" i="22"/>
  <c r="AG25" i="22"/>
  <c r="AC25" i="22"/>
  <c r="AE25" i="22"/>
  <c r="AF25" i="22"/>
  <c r="F26" i="22"/>
  <c r="G26" i="22"/>
  <c r="U25" i="22"/>
  <c r="W25" i="22"/>
  <c r="A27" i="22"/>
  <c r="B26" i="22"/>
  <c r="C26" i="22"/>
  <c r="E26" i="22"/>
  <c r="D26" i="22"/>
  <c r="AR27" i="22" s="1"/>
  <c r="R26" i="22" l="1"/>
  <c r="AD26" i="22"/>
  <c r="AB27" i="22"/>
  <c r="M27" i="22"/>
  <c r="N27" i="22"/>
  <c r="V27" i="22"/>
  <c r="K27" i="22"/>
  <c r="Z27" i="22"/>
  <c r="L27" i="22"/>
  <c r="AA27" i="22"/>
  <c r="O27" i="22" s="1"/>
  <c r="Y27" i="22"/>
  <c r="X27" i="22"/>
  <c r="AH26" i="22"/>
  <c r="AG26" i="22"/>
  <c r="AC26" i="22"/>
  <c r="AE26" i="22"/>
  <c r="AF26" i="22"/>
  <c r="F27" i="22"/>
  <c r="G27" i="22"/>
  <c r="A28" i="22"/>
  <c r="C27" i="22"/>
  <c r="B27" i="22"/>
  <c r="D27" i="22"/>
  <c r="AR28" i="22" s="1"/>
  <c r="E27" i="22"/>
  <c r="U26" i="22"/>
  <c r="W26" i="22"/>
  <c r="AD27" i="22" l="1"/>
  <c r="K28" i="22"/>
  <c r="AB28" i="22"/>
  <c r="N28" i="22"/>
  <c r="L28" i="22"/>
  <c r="V28" i="22"/>
  <c r="X28" i="22"/>
  <c r="AA28" i="22"/>
  <c r="R28" i="22" s="1"/>
  <c r="Z28" i="22"/>
  <c r="Y28" i="22"/>
  <c r="M28" i="22"/>
  <c r="R27" i="22"/>
  <c r="AH27" i="22"/>
  <c r="AG27" i="22"/>
  <c r="AE27" i="22"/>
  <c r="AC27" i="22"/>
  <c r="AF27" i="22"/>
  <c r="F28" i="22"/>
  <c r="G28" i="22"/>
  <c r="U27" i="22"/>
  <c r="W27" i="22"/>
  <c r="A29" i="22"/>
  <c r="B28" i="22"/>
  <c r="C28" i="22"/>
  <c r="D28" i="22"/>
  <c r="AR29" i="22" s="1"/>
  <c r="E28" i="22"/>
  <c r="O28" i="22" l="1"/>
  <c r="AD28" i="22"/>
  <c r="V29" i="22"/>
  <c r="AB29" i="22"/>
  <c r="AA29" i="22"/>
  <c r="O29" i="22" s="1"/>
  <c r="Y29" i="22"/>
  <c r="K29" i="22"/>
  <c r="N29" i="22"/>
  <c r="M29" i="22"/>
  <c r="X29" i="22"/>
  <c r="Z29" i="22"/>
  <c r="L29" i="22"/>
  <c r="AH28" i="22"/>
  <c r="AG28" i="22"/>
  <c r="AC28" i="22"/>
  <c r="AE28" i="22"/>
  <c r="AF28" i="22"/>
  <c r="F29" i="22"/>
  <c r="G29" i="22"/>
  <c r="A30" i="22"/>
  <c r="B29" i="22"/>
  <c r="C29" i="22"/>
  <c r="D29" i="22"/>
  <c r="AR30" i="22" s="1"/>
  <c r="E29" i="22"/>
  <c r="U28" i="22"/>
  <c r="W28" i="22"/>
  <c r="R29" i="22" l="1"/>
  <c r="Y30" i="22"/>
  <c r="AA30" i="22"/>
  <c r="O30" i="22" s="1"/>
  <c r="K30" i="22"/>
  <c r="L30" i="22"/>
  <c r="Z30" i="22"/>
  <c r="AB30" i="22"/>
  <c r="N30" i="22"/>
  <c r="X30" i="22"/>
  <c r="M30" i="22"/>
  <c r="V30" i="22"/>
  <c r="AD29" i="22"/>
  <c r="AH29" i="22"/>
  <c r="AG29" i="22"/>
  <c r="AC29" i="22"/>
  <c r="AE29" i="22"/>
  <c r="AF29" i="22"/>
  <c r="F30" i="22"/>
  <c r="G30" i="22"/>
  <c r="U29" i="22"/>
  <c r="W29" i="22"/>
  <c r="A31" i="22"/>
  <c r="B30" i="22"/>
  <c r="C30" i="22"/>
  <c r="E30" i="22"/>
  <c r="D30" i="22"/>
  <c r="AR31" i="22" s="1"/>
  <c r="R30" i="22" l="1"/>
  <c r="AD30" i="22"/>
  <c r="L31" i="22"/>
  <c r="N31" i="22"/>
  <c r="M31" i="22"/>
  <c r="AA31" i="22"/>
  <c r="O31" i="22" s="1"/>
  <c r="X31" i="22"/>
  <c r="K31" i="22"/>
  <c r="Z31" i="22"/>
  <c r="V31" i="22"/>
  <c r="Y31" i="22"/>
  <c r="AB31" i="22"/>
  <c r="AH30" i="22"/>
  <c r="AG30" i="22"/>
  <c r="AC30" i="22"/>
  <c r="AE30" i="22"/>
  <c r="AF30" i="22"/>
  <c r="F31" i="22"/>
  <c r="G31" i="22"/>
  <c r="A32" i="22"/>
  <c r="B31" i="22"/>
  <c r="C31" i="22"/>
  <c r="D31" i="22"/>
  <c r="E31" i="22"/>
  <c r="U30" i="22"/>
  <c r="W30" i="22"/>
  <c r="AD31" i="22" l="1"/>
  <c r="AR32" i="22"/>
  <c r="R31" i="22"/>
  <c r="Y32" i="22"/>
  <c r="Z32" i="22"/>
  <c r="X32" i="22"/>
  <c r="AB32" i="22"/>
  <c r="M32" i="22"/>
  <c r="AA32" i="22"/>
  <c r="O32" i="22" s="1"/>
  <c r="K32" i="22"/>
  <c r="V32" i="22"/>
  <c r="N32" i="22"/>
  <c r="L32" i="22"/>
  <c r="AH31" i="22"/>
  <c r="AG31" i="22"/>
  <c r="AE31" i="22"/>
  <c r="AC31" i="22"/>
  <c r="AF31" i="22"/>
  <c r="F32" i="22"/>
  <c r="G32" i="22"/>
  <c r="U31" i="22"/>
  <c r="W31" i="22"/>
  <c r="A33" i="22"/>
  <c r="B32" i="22"/>
  <c r="C32" i="22"/>
  <c r="D32" i="22"/>
  <c r="E32" i="22"/>
  <c r="AD32" i="22" l="1"/>
  <c r="AR33" i="22"/>
  <c r="R32" i="22"/>
  <c r="K33" i="22"/>
  <c r="Y33" i="22"/>
  <c r="L33" i="22"/>
  <c r="N33" i="22"/>
  <c r="X33" i="22"/>
  <c r="Z33" i="22"/>
  <c r="V33" i="22"/>
  <c r="M33" i="22"/>
  <c r="AB33" i="22"/>
  <c r="AA33" i="22"/>
  <c r="R33" i="22" s="1"/>
  <c r="AH32" i="22"/>
  <c r="AG32" i="22"/>
  <c r="AC32" i="22"/>
  <c r="AE32" i="22"/>
  <c r="AF32" i="22"/>
  <c r="F33" i="22"/>
  <c r="G33" i="22"/>
  <c r="A34" i="22"/>
  <c r="B33" i="22"/>
  <c r="C33" i="22"/>
  <c r="D33" i="22"/>
  <c r="E33" i="22"/>
  <c r="W32" i="22"/>
  <c r="U32" i="22"/>
  <c r="AD33" i="22" l="1"/>
  <c r="AR34" i="22"/>
  <c r="O33" i="22"/>
  <c r="N34" i="22"/>
  <c r="AB34" i="22"/>
  <c r="Z34" i="22"/>
  <c r="Y34" i="22"/>
  <c r="AA34" i="22"/>
  <c r="O34" i="22" s="1"/>
  <c r="K34" i="22"/>
  <c r="V34" i="22"/>
  <c r="L34" i="22"/>
  <c r="X34" i="22"/>
  <c r="M34" i="22"/>
  <c r="AH33" i="22"/>
  <c r="AG33" i="22"/>
  <c r="AE33" i="22"/>
  <c r="AC33" i="22"/>
  <c r="AF33" i="22"/>
  <c r="F34" i="22"/>
  <c r="G34" i="22"/>
  <c r="W33" i="22"/>
  <c r="U33" i="22"/>
  <c r="A35" i="22"/>
  <c r="B34" i="22"/>
  <c r="C34" i="22"/>
  <c r="D34" i="22"/>
  <c r="E34" i="22"/>
  <c r="AD34" i="22" l="1"/>
  <c r="AR35" i="22"/>
  <c r="R34" i="22"/>
  <c r="V35" i="22"/>
  <c r="N35" i="22"/>
  <c r="M35" i="22"/>
  <c r="K35" i="22"/>
  <c r="Z35" i="22"/>
  <c r="AB35" i="22"/>
  <c r="X35" i="22"/>
  <c r="Y35" i="22"/>
  <c r="L35" i="22"/>
  <c r="AA35" i="22"/>
  <c r="R35" i="22" s="1"/>
  <c r="AH34" i="22"/>
  <c r="AG34" i="22"/>
  <c r="AC34" i="22"/>
  <c r="AE34" i="22"/>
  <c r="AF34" i="22"/>
  <c r="F35" i="22"/>
  <c r="G35" i="22"/>
  <c r="A36" i="22"/>
  <c r="B35" i="22"/>
  <c r="C35" i="22"/>
  <c r="E35" i="22"/>
  <c r="D35" i="22"/>
  <c r="U34" i="22"/>
  <c r="W34" i="22"/>
  <c r="AD35" i="22" l="1"/>
  <c r="AR36" i="22"/>
  <c r="O35" i="22"/>
  <c r="L36" i="22"/>
  <c r="N36" i="22"/>
  <c r="AB36" i="22"/>
  <c r="V36" i="22"/>
  <c r="K36" i="22"/>
  <c r="X36" i="22"/>
  <c r="AA36" i="22"/>
  <c r="R36" i="22" s="1"/>
  <c r="Y36" i="22"/>
  <c r="M36" i="22"/>
  <c r="Z36" i="22"/>
  <c r="AH35" i="22"/>
  <c r="AG35" i="22"/>
  <c r="AC35" i="22"/>
  <c r="AE35" i="22"/>
  <c r="AF35" i="22"/>
  <c r="F36" i="22"/>
  <c r="G36" i="22"/>
  <c r="U35" i="22"/>
  <c r="W35" i="22"/>
  <c r="A37" i="22"/>
  <c r="B36" i="22"/>
  <c r="C36" i="22"/>
  <c r="D36" i="22"/>
  <c r="E36" i="22"/>
  <c r="AD36" i="22" l="1"/>
  <c r="AR37" i="22"/>
  <c r="O36" i="22"/>
  <c r="K37" i="22"/>
  <c r="L37" i="22"/>
  <c r="V37" i="22"/>
  <c r="X37" i="22"/>
  <c r="AA37" i="22"/>
  <c r="O37" i="22" s="1"/>
  <c r="Y37" i="22"/>
  <c r="N37" i="22"/>
  <c r="Z37" i="22"/>
  <c r="AB37" i="22"/>
  <c r="M37" i="22"/>
  <c r="AH36" i="22"/>
  <c r="AG36" i="22"/>
  <c r="AE36" i="22"/>
  <c r="AC36" i="22"/>
  <c r="AF36" i="22"/>
  <c r="F37" i="22"/>
  <c r="G37" i="22"/>
  <c r="A38" i="22"/>
  <c r="B37" i="22"/>
  <c r="C37" i="22"/>
  <c r="D37" i="22"/>
  <c r="E37" i="22"/>
  <c r="U36" i="22"/>
  <c r="W36" i="22"/>
  <c r="AD37" i="22" l="1"/>
  <c r="AR38" i="22"/>
  <c r="R37" i="22"/>
  <c r="K38" i="22"/>
  <c r="L38" i="22"/>
  <c r="V38" i="22"/>
  <c r="Z38" i="22"/>
  <c r="Y38" i="22"/>
  <c r="N38" i="22"/>
  <c r="M38" i="22"/>
  <c r="X38" i="22"/>
  <c r="AA38" i="22"/>
  <c r="R38" i="22" s="1"/>
  <c r="AB38" i="22"/>
  <c r="AH37" i="22"/>
  <c r="AG37" i="22"/>
  <c r="AC37" i="22"/>
  <c r="AE37" i="22"/>
  <c r="AF37" i="22"/>
  <c r="F38" i="22"/>
  <c r="G38" i="22"/>
  <c r="U37" i="22"/>
  <c r="W37" i="22"/>
  <c r="A39" i="22"/>
  <c r="B38" i="22"/>
  <c r="C38" i="22"/>
  <c r="D38" i="22"/>
  <c r="E38" i="22"/>
  <c r="AD38" i="22" l="1"/>
  <c r="AR39" i="22"/>
  <c r="O38" i="22"/>
  <c r="L39" i="22"/>
  <c r="V39" i="22"/>
  <c r="M39" i="22"/>
  <c r="K39" i="22"/>
  <c r="AA39" i="22"/>
  <c r="O39" i="22" s="1"/>
  <c r="X39" i="22"/>
  <c r="N39" i="22"/>
  <c r="AB39" i="22"/>
  <c r="Z39" i="22"/>
  <c r="Y39" i="22"/>
  <c r="AH38" i="22"/>
  <c r="AG38" i="22"/>
  <c r="AC38" i="22"/>
  <c r="AE38" i="22"/>
  <c r="AF38" i="22"/>
  <c r="F39" i="22"/>
  <c r="G39" i="22"/>
  <c r="A40" i="22"/>
  <c r="C39" i="22"/>
  <c r="B39" i="22"/>
  <c r="D39" i="22"/>
  <c r="E39" i="22"/>
  <c r="U38" i="22"/>
  <c r="W38" i="22"/>
  <c r="AD39" i="22" l="1"/>
  <c r="AR40" i="22"/>
  <c r="R39" i="22"/>
  <c r="AA40" i="22"/>
  <c r="O40" i="22" s="1"/>
  <c r="L40" i="22"/>
  <c r="Z40" i="22"/>
  <c r="K40" i="22"/>
  <c r="Y40" i="22"/>
  <c r="AB40" i="22"/>
  <c r="M40" i="22"/>
  <c r="V40" i="22"/>
  <c r="N40" i="22"/>
  <c r="X40" i="22"/>
  <c r="AH39" i="22"/>
  <c r="AG39" i="22"/>
  <c r="AC39" i="22"/>
  <c r="AE39" i="22"/>
  <c r="AF39" i="22"/>
  <c r="F40" i="22"/>
  <c r="G40" i="22"/>
  <c r="U39" i="22"/>
  <c r="W39" i="22"/>
  <c r="A41" i="22"/>
  <c r="B40" i="22"/>
  <c r="C40" i="22"/>
  <c r="D40" i="22"/>
  <c r="E40" i="22"/>
  <c r="AD40" i="22" l="1"/>
  <c r="AR41" i="22"/>
  <c r="R40" i="22"/>
  <c r="Y41" i="22"/>
  <c r="K41" i="22"/>
  <c r="V41" i="22"/>
  <c r="Z41" i="22"/>
  <c r="X41" i="22"/>
  <c r="M41" i="22"/>
  <c r="AA41" i="22"/>
  <c r="R41" i="22" s="1"/>
  <c r="L41" i="22"/>
  <c r="N41" i="22"/>
  <c r="AB41" i="22"/>
  <c r="AH40" i="22"/>
  <c r="AG40" i="22"/>
  <c r="AC40" i="22"/>
  <c r="AE40" i="22"/>
  <c r="AF40" i="22"/>
  <c r="F41" i="22"/>
  <c r="G41" i="22"/>
  <c r="A42" i="22"/>
  <c r="B41" i="22"/>
  <c r="C41" i="22"/>
  <c r="E41" i="22"/>
  <c r="D41" i="22"/>
  <c r="U40" i="22"/>
  <c r="W40" i="22"/>
  <c r="AD41" i="22" l="1"/>
  <c r="AR42" i="22"/>
  <c r="O41" i="22"/>
  <c r="M42" i="22"/>
  <c r="Z42" i="22"/>
  <c r="V42" i="22"/>
  <c r="N42" i="22"/>
  <c r="AA42" i="22"/>
  <c r="R42" i="22" s="1"/>
  <c r="AB42" i="22"/>
  <c r="K42" i="22"/>
  <c r="L42" i="22"/>
  <c r="Y42" i="22"/>
  <c r="X42" i="22"/>
  <c r="AH41" i="22"/>
  <c r="AG41" i="22"/>
  <c r="AC41" i="22"/>
  <c r="AE41" i="22"/>
  <c r="AF41" i="22"/>
  <c r="F42" i="22"/>
  <c r="G42" i="22"/>
  <c r="U41" i="22"/>
  <c r="W41" i="22"/>
  <c r="A43" i="22"/>
  <c r="B42" i="22"/>
  <c r="C42" i="22"/>
  <c r="D42" i="22"/>
  <c r="E42" i="22"/>
  <c r="AD42" i="22" l="1"/>
  <c r="AR43" i="22"/>
  <c r="O42" i="22"/>
  <c r="AA43" i="22"/>
  <c r="O43" i="22" s="1"/>
  <c r="Y43" i="22"/>
  <c r="AB43" i="22"/>
  <c r="L43" i="22"/>
  <c r="M43" i="22"/>
  <c r="Z43" i="22"/>
  <c r="X43" i="22"/>
  <c r="K43" i="22"/>
  <c r="V43" i="22"/>
  <c r="N43" i="22"/>
  <c r="AH42" i="22"/>
  <c r="AG42" i="22"/>
  <c r="AE42" i="22"/>
  <c r="AC42" i="22"/>
  <c r="AF42" i="22"/>
  <c r="F43" i="22"/>
  <c r="G43" i="22"/>
  <c r="A44" i="22"/>
  <c r="C43" i="22"/>
  <c r="D43" i="22"/>
  <c r="B43" i="22"/>
  <c r="E43" i="22"/>
  <c r="U42" i="22"/>
  <c r="W42" i="22"/>
  <c r="AD43" i="22" l="1"/>
  <c r="AR44" i="22"/>
  <c r="R43" i="22"/>
  <c r="X44" i="22"/>
  <c r="AB44" i="22"/>
  <c r="K44" i="22"/>
  <c r="N44" i="22"/>
  <c r="L44" i="22"/>
  <c r="Z44" i="22"/>
  <c r="M44" i="22"/>
  <c r="Y44" i="22"/>
  <c r="AA44" i="22"/>
  <c r="O44" i="22" s="1"/>
  <c r="V44" i="22"/>
  <c r="AH43" i="22"/>
  <c r="AG43" i="22"/>
  <c r="AE43" i="22"/>
  <c r="AC43" i="22"/>
  <c r="AF43" i="22"/>
  <c r="F44" i="22"/>
  <c r="G44" i="22"/>
  <c r="U43" i="22"/>
  <c r="W43" i="22"/>
  <c r="A45" i="22"/>
  <c r="B44" i="22"/>
  <c r="C44" i="22"/>
  <c r="D44" i="22"/>
  <c r="E44" i="22"/>
  <c r="AD44" i="22" l="1"/>
  <c r="AR45" i="22"/>
  <c r="R44" i="22"/>
  <c r="V45" i="22"/>
  <c r="Y45" i="22"/>
  <c r="N45" i="22"/>
  <c r="AA45" i="22"/>
  <c r="O45" i="22" s="1"/>
  <c r="K45" i="22"/>
  <c r="M45" i="22"/>
  <c r="X45" i="22"/>
  <c r="L45" i="22"/>
  <c r="Z45" i="22"/>
  <c r="AB45" i="22"/>
  <c r="AH44" i="22"/>
  <c r="AG44" i="22"/>
  <c r="AE44" i="22"/>
  <c r="AC44" i="22"/>
  <c r="AF44" i="22"/>
  <c r="F45" i="22"/>
  <c r="G45" i="22"/>
  <c r="A46" i="22"/>
  <c r="C45" i="22"/>
  <c r="B45" i="22"/>
  <c r="E45" i="22"/>
  <c r="D45" i="22"/>
  <c r="W44" i="22"/>
  <c r="U44" i="22"/>
  <c r="AD45" i="22" l="1"/>
  <c r="AR46" i="22"/>
  <c r="R45" i="22"/>
  <c r="Z46" i="22"/>
  <c r="Y46" i="22"/>
  <c r="AA46" i="22"/>
  <c r="O46" i="22" s="1"/>
  <c r="AB46" i="22"/>
  <c r="L46" i="22"/>
  <c r="X46" i="22"/>
  <c r="K46" i="22"/>
  <c r="M46" i="22"/>
  <c r="V46" i="22"/>
  <c r="N46" i="22"/>
  <c r="AH45" i="22"/>
  <c r="AG45" i="22"/>
  <c r="AE45" i="22"/>
  <c r="AC45" i="22"/>
  <c r="AF45" i="22"/>
  <c r="F46" i="22"/>
  <c r="G46" i="22"/>
  <c r="W45" i="22"/>
  <c r="U45" i="22"/>
  <c r="B46" i="22"/>
  <c r="A47" i="22"/>
  <c r="C46" i="22"/>
  <c r="D46" i="22"/>
  <c r="E46" i="22"/>
  <c r="AD46" i="22" l="1"/>
  <c r="AR47" i="22"/>
  <c r="R46" i="22"/>
  <c r="Y47" i="22"/>
  <c r="M47" i="22"/>
  <c r="AA47" i="22"/>
  <c r="O47" i="22" s="1"/>
  <c r="L47" i="22"/>
  <c r="K47" i="22"/>
  <c r="Z47" i="22"/>
  <c r="X47" i="22"/>
  <c r="AB47" i="22"/>
  <c r="N47" i="22"/>
  <c r="V47" i="22"/>
  <c r="AH46" i="22"/>
  <c r="AG46" i="22"/>
  <c r="AC46" i="22"/>
  <c r="AE46" i="22"/>
  <c r="AF46" i="22"/>
  <c r="F47" i="22"/>
  <c r="G47" i="22"/>
  <c r="U46" i="22"/>
  <c r="W46" i="22"/>
  <c r="A48" i="22"/>
  <c r="B47" i="22"/>
  <c r="E47" i="22"/>
  <c r="C47" i="22"/>
  <c r="D47" i="22"/>
  <c r="AD47" i="22" l="1"/>
  <c r="AR48" i="22"/>
  <c r="R47" i="22"/>
  <c r="X48" i="22"/>
  <c r="AB48" i="22"/>
  <c r="V48" i="22"/>
  <c r="L48" i="22"/>
  <c r="AA48" i="22"/>
  <c r="O48" i="22" s="1"/>
  <c r="Y48" i="22"/>
  <c r="Z48" i="22"/>
  <c r="K48" i="22"/>
  <c r="M48" i="22"/>
  <c r="N48" i="22"/>
  <c r="AH47" i="22"/>
  <c r="AG47" i="22"/>
  <c r="AC47" i="22"/>
  <c r="AE47" i="22"/>
  <c r="AF47" i="22"/>
  <c r="F48" i="22"/>
  <c r="G48" i="22"/>
  <c r="U47" i="22"/>
  <c r="W47" i="22"/>
  <c r="B48" i="22"/>
  <c r="A49" i="22"/>
  <c r="C48" i="22"/>
  <c r="D48" i="22"/>
  <c r="E48" i="22"/>
  <c r="AD48" i="22" l="1"/>
  <c r="AR49" i="22"/>
  <c r="R48" i="22"/>
  <c r="AB49" i="22"/>
  <c r="M49" i="22"/>
  <c r="K49" i="22"/>
  <c r="L49" i="22"/>
  <c r="AA49" i="22"/>
  <c r="R49" i="22" s="1"/>
  <c r="X49" i="22"/>
  <c r="Y49" i="22"/>
  <c r="Z49" i="22"/>
  <c r="N49" i="22"/>
  <c r="V49" i="22"/>
  <c r="AH48" i="22"/>
  <c r="AG48" i="22"/>
  <c r="AE48" i="22"/>
  <c r="AC48" i="22"/>
  <c r="AF48" i="22"/>
  <c r="F49" i="22"/>
  <c r="G49" i="22"/>
  <c r="U48" i="22"/>
  <c r="W48" i="22"/>
  <c r="A50" i="22"/>
  <c r="C49" i="22"/>
  <c r="B49" i="22"/>
  <c r="E49" i="22"/>
  <c r="D49" i="22"/>
  <c r="AD49" i="22" l="1"/>
  <c r="AR50" i="22"/>
  <c r="O49" i="22"/>
  <c r="AB50" i="22"/>
  <c r="K50" i="22"/>
  <c r="X50" i="22"/>
  <c r="N50" i="22"/>
  <c r="L50" i="22"/>
  <c r="M50" i="22"/>
  <c r="Z50" i="22"/>
  <c r="V50" i="22"/>
  <c r="Y50" i="22"/>
  <c r="AA50" i="22"/>
  <c r="O50" i="22" s="1"/>
  <c r="AH49" i="22"/>
  <c r="AG49" i="22"/>
  <c r="AC49" i="22"/>
  <c r="AE49" i="22"/>
  <c r="AF49" i="22"/>
  <c r="F50" i="22"/>
  <c r="G50" i="22"/>
  <c r="U49" i="22"/>
  <c r="W49" i="22"/>
  <c r="A51" i="22"/>
  <c r="B50" i="22"/>
  <c r="C50" i="22"/>
  <c r="D50" i="22"/>
  <c r="E50" i="22"/>
  <c r="AD50" i="22" l="1"/>
  <c r="AR51" i="22"/>
  <c r="R50" i="22"/>
  <c r="M51" i="22"/>
  <c r="V51" i="22"/>
  <c r="X51" i="22"/>
  <c r="Z51" i="22"/>
  <c r="L51" i="22"/>
  <c r="N51" i="22"/>
  <c r="Y51" i="22"/>
  <c r="AB51" i="22"/>
  <c r="AA51" i="22"/>
  <c r="R51" i="22" s="1"/>
  <c r="K51" i="22"/>
  <c r="AG50" i="22"/>
  <c r="AH50" i="22"/>
  <c r="AC50" i="22"/>
  <c r="AE50" i="22"/>
  <c r="AF50" i="22"/>
  <c r="F51" i="22"/>
  <c r="G51" i="22"/>
  <c r="U50" i="22"/>
  <c r="W50" i="22"/>
  <c r="B51" i="22"/>
  <c r="A52" i="22"/>
  <c r="C51" i="22"/>
  <c r="D51" i="22"/>
  <c r="E51" i="22"/>
  <c r="AD51" i="22" l="1"/>
  <c r="AR52" i="22"/>
  <c r="O51" i="22"/>
  <c r="AA52" i="22"/>
  <c r="N52" i="22"/>
  <c r="L52" i="22"/>
  <c r="K52" i="22"/>
  <c r="AB52" i="22"/>
  <c r="M52" i="22"/>
  <c r="Z52" i="22"/>
  <c r="V52" i="22"/>
  <c r="Y52" i="22"/>
  <c r="X52" i="22"/>
  <c r="AG51" i="22"/>
  <c r="AH51" i="22"/>
  <c r="AC51" i="22"/>
  <c r="AE51" i="22"/>
  <c r="AF51" i="22"/>
  <c r="F52" i="22"/>
  <c r="G52" i="22"/>
  <c r="U51" i="22"/>
  <c r="W51" i="22"/>
  <c r="A53" i="22"/>
  <c r="B52" i="22"/>
  <c r="D52" i="22"/>
  <c r="C52" i="22"/>
  <c r="E52" i="22"/>
  <c r="AD52" i="22" l="1"/>
  <c r="AR53" i="22"/>
  <c r="R52" i="22"/>
  <c r="O52" i="22"/>
  <c r="AB53" i="22"/>
  <c r="Y53" i="22"/>
  <c r="K53" i="22"/>
  <c r="X53" i="22"/>
  <c r="AA53" i="22"/>
  <c r="V53" i="22"/>
  <c r="M53" i="22"/>
  <c r="Z53" i="22"/>
  <c r="N53" i="22"/>
  <c r="L53" i="22"/>
  <c r="AH52" i="22"/>
  <c r="AG52" i="22"/>
  <c r="AC52" i="22"/>
  <c r="AE52" i="22"/>
  <c r="AF52" i="22"/>
  <c r="F53" i="22"/>
  <c r="G53" i="22"/>
  <c r="U52" i="22"/>
  <c r="W52" i="22"/>
  <c r="A54" i="22"/>
  <c r="B53" i="22"/>
  <c r="D53" i="22"/>
  <c r="C53" i="22"/>
  <c r="E53" i="22"/>
  <c r="AD53" i="22" l="1"/>
  <c r="AR54" i="22"/>
  <c r="O53" i="22"/>
  <c r="AA54" i="22"/>
  <c r="R54" i="22" s="1"/>
  <c r="V54" i="22"/>
  <c r="L54" i="22"/>
  <c r="K54" i="22"/>
  <c r="X54" i="22"/>
  <c r="Z54" i="22"/>
  <c r="AB54" i="22"/>
  <c r="M54" i="22"/>
  <c r="N54" i="22"/>
  <c r="Y54" i="22"/>
  <c r="R53" i="22"/>
  <c r="AH53" i="22"/>
  <c r="AG53" i="22"/>
  <c r="AE53" i="22"/>
  <c r="AC53" i="22"/>
  <c r="AF53" i="22"/>
  <c r="F54" i="22"/>
  <c r="G54" i="22"/>
  <c r="A55" i="22"/>
  <c r="B54" i="22"/>
  <c r="D54" i="22"/>
  <c r="E54" i="22"/>
  <c r="C54" i="22"/>
  <c r="U53" i="22"/>
  <c r="W53" i="22"/>
  <c r="AD54" i="22" l="1"/>
  <c r="AR55" i="22"/>
  <c r="O54" i="22"/>
  <c r="V55" i="22"/>
  <c r="K55" i="22"/>
  <c r="L55" i="22"/>
  <c r="Z55" i="22"/>
  <c r="AB55" i="22"/>
  <c r="AA55" i="22"/>
  <c r="Y55" i="22"/>
  <c r="X55" i="22"/>
  <c r="N55" i="22"/>
  <c r="M55" i="22"/>
  <c r="AH54" i="22"/>
  <c r="AG54" i="22"/>
  <c r="AC54" i="22"/>
  <c r="AE54" i="22"/>
  <c r="AF54" i="22"/>
  <c r="F55" i="22"/>
  <c r="G55" i="22"/>
  <c r="U54" i="22"/>
  <c r="W54" i="22"/>
  <c r="A56" i="22"/>
  <c r="B55" i="22"/>
  <c r="D55" i="22"/>
  <c r="C55" i="22"/>
  <c r="E55" i="22"/>
  <c r="AD55" i="22" l="1"/>
  <c r="AR56" i="22"/>
  <c r="R55" i="22"/>
  <c r="O55" i="22"/>
  <c r="X56" i="22"/>
  <c r="Z56" i="22"/>
  <c r="N56" i="22"/>
  <c r="Y56" i="22"/>
  <c r="V56" i="22"/>
  <c r="AA56" i="22"/>
  <c r="O56" i="22" s="1"/>
  <c r="M56" i="22"/>
  <c r="K56" i="22"/>
  <c r="AB56" i="22"/>
  <c r="L56" i="22"/>
  <c r="AH55" i="22"/>
  <c r="AG55" i="22"/>
  <c r="AE55" i="22"/>
  <c r="AC55" i="22"/>
  <c r="AF55" i="22"/>
  <c r="F56" i="22"/>
  <c r="G56" i="22"/>
  <c r="U55" i="22"/>
  <c r="W55" i="22"/>
  <c r="A57" i="22"/>
  <c r="B56" i="22"/>
  <c r="C56" i="22"/>
  <c r="E56" i="22"/>
  <c r="D56" i="22"/>
  <c r="AD56" i="22" l="1"/>
  <c r="AR57" i="22"/>
  <c r="R56" i="22"/>
  <c r="N57" i="22"/>
  <c r="AB57" i="22"/>
  <c r="M57" i="22"/>
  <c r="K57" i="22"/>
  <c r="Y57" i="22"/>
  <c r="AA57" i="22"/>
  <c r="R57" i="22" s="1"/>
  <c r="X57" i="22"/>
  <c r="L57" i="22"/>
  <c r="V57" i="22"/>
  <c r="Z57" i="22"/>
  <c r="AH56" i="22"/>
  <c r="AG56" i="22"/>
  <c r="AE56" i="22"/>
  <c r="AC56" i="22"/>
  <c r="AF56" i="22"/>
  <c r="F57" i="22"/>
  <c r="G57" i="22"/>
  <c r="A58" i="22"/>
  <c r="B57" i="22"/>
  <c r="C57" i="22"/>
  <c r="D57" i="22"/>
  <c r="E57" i="22"/>
  <c r="W56" i="22"/>
  <c r="U56" i="22"/>
  <c r="AD57" i="22" l="1"/>
  <c r="AR58" i="22"/>
  <c r="O57" i="22"/>
  <c r="L58" i="22"/>
  <c r="Z58" i="22"/>
  <c r="Y58" i="22"/>
  <c r="AA58" i="22"/>
  <c r="O58" i="22" s="1"/>
  <c r="M58" i="22"/>
  <c r="AB58" i="22"/>
  <c r="K58" i="22"/>
  <c r="X58" i="22"/>
  <c r="V58" i="22"/>
  <c r="N58" i="22"/>
  <c r="AH57" i="22"/>
  <c r="AG57" i="22"/>
  <c r="AE57" i="22"/>
  <c r="AC57" i="22"/>
  <c r="AF57" i="22"/>
  <c r="F58" i="22"/>
  <c r="G58" i="22"/>
  <c r="A59" i="22"/>
  <c r="B58" i="22"/>
  <c r="C58" i="22"/>
  <c r="D58" i="22"/>
  <c r="E58" i="22"/>
  <c r="W57" i="22"/>
  <c r="U57" i="22"/>
  <c r="AD58" i="22" l="1"/>
  <c r="AR59" i="22"/>
  <c r="R58" i="22"/>
  <c r="L59" i="22"/>
  <c r="M59" i="22"/>
  <c r="Y59" i="22"/>
  <c r="K59" i="22"/>
  <c r="N59" i="22"/>
  <c r="AA59" i="22"/>
  <c r="AB59" i="22"/>
  <c r="Z59" i="22"/>
  <c r="X59" i="22"/>
  <c r="V59" i="22"/>
  <c r="AH58" i="22"/>
  <c r="AG58" i="22"/>
  <c r="AE58" i="22"/>
  <c r="AC58" i="22"/>
  <c r="AF58" i="22"/>
  <c r="F59" i="22"/>
  <c r="G59" i="22"/>
  <c r="A60" i="22"/>
  <c r="B59" i="22"/>
  <c r="E59" i="22"/>
  <c r="C59" i="22"/>
  <c r="D59" i="22"/>
  <c r="U58" i="22"/>
  <c r="W58" i="22"/>
  <c r="AD59" i="22" l="1"/>
  <c r="AR60" i="22"/>
  <c r="O59" i="22"/>
  <c r="R59" i="22"/>
  <c r="Z60" i="22"/>
  <c r="Y60" i="22"/>
  <c r="M60" i="22"/>
  <c r="AA60" i="22"/>
  <c r="R60" i="22" s="1"/>
  <c r="N60" i="22"/>
  <c r="L60" i="22"/>
  <c r="K60" i="22"/>
  <c r="AB60" i="22"/>
  <c r="V60" i="22"/>
  <c r="X60" i="22"/>
  <c r="AH59" i="22"/>
  <c r="AG59" i="22"/>
  <c r="AC59" i="22"/>
  <c r="AE59" i="22"/>
  <c r="AF59" i="22"/>
  <c r="F60" i="22"/>
  <c r="G60" i="22"/>
  <c r="U59" i="22"/>
  <c r="W59" i="22"/>
  <c r="A61" i="22"/>
  <c r="B60" i="22"/>
  <c r="C60" i="22"/>
  <c r="E60" i="22"/>
  <c r="D60" i="22"/>
  <c r="AD60" i="22" l="1"/>
  <c r="AR61" i="22"/>
  <c r="O60" i="22"/>
  <c r="X61" i="22"/>
  <c r="K61" i="22"/>
  <c r="AB61" i="22"/>
  <c r="M61" i="22"/>
  <c r="V61" i="22"/>
  <c r="N61" i="22"/>
  <c r="L61" i="22"/>
  <c r="Z61" i="22"/>
  <c r="Y61" i="22"/>
  <c r="AA61" i="22"/>
  <c r="O61" i="22" s="1"/>
  <c r="AH60" i="22"/>
  <c r="AG60" i="22"/>
  <c r="AE60" i="22"/>
  <c r="AC60" i="22"/>
  <c r="AF60" i="22"/>
  <c r="F61" i="22"/>
  <c r="G61" i="22"/>
  <c r="A62" i="22"/>
  <c r="C61" i="22"/>
  <c r="B61" i="22"/>
  <c r="E61" i="22"/>
  <c r="D61" i="22"/>
  <c r="U60" i="22"/>
  <c r="W60" i="22"/>
  <c r="AD61" i="22" l="1"/>
  <c r="AR62" i="22"/>
  <c r="R61" i="22"/>
  <c r="V62" i="22"/>
  <c r="M62" i="22"/>
  <c r="Y62" i="22"/>
  <c r="AA62" i="22"/>
  <c r="O62" i="22" s="1"/>
  <c r="X62" i="22"/>
  <c r="Z62" i="22"/>
  <c r="L62" i="22"/>
  <c r="K62" i="22"/>
  <c r="AB62" i="22"/>
  <c r="N62" i="22"/>
  <c r="AH61" i="22"/>
  <c r="AG61" i="22"/>
  <c r="AC61" i="22"/>
  <c r="AE61" i="22"/>
  <c r="AF61" i="22"/>
  <c r="F62" i="22"/>
  <c r="G62" i="22"/>
  <c r="A63" i="22"/>
  <c r="B62" i="22"/>
  <c r="C62" i="22"/>
  <c r="D62" i="22"/>
  <c r="E62" i="22"/>
  <c r="U61" i="22"/>
  <c r="W61" i="22"/>
  <c r="AD62" i="22" l="1"/>
  <c r="AR63" i="22"/>
  <c r="R62" i="22"/>
  <c r="M63" i="22"/>
  <c r="V63" i="22"/>
  <c r="L63" i="22"/>
  <c r="Y63" i="22"/>
  <c r="N63" i="22"/>
  <c r="AB63" i="22"/>
  <c r="K63" i="22"/>
  <c r="X63" i="22"/>
  <c r="Z63" i="22"/>
  <c r="AA63" i="22"/>
  <c r="O63" i="22" s="1"/>
  <c r="AH62" i="22"/>
  <c r="AG62" i="22"/>
  <c r="AC62" i="22"/>
  <c r="AE62" i="22"/>
  <c r="AF62" i="22"/>
  <c r="F63" i="22"/>
  <c r="G63" i="22"/>
  <c r="A64" i="22"/>
  <c r="C63" i="22"/>
  <c r="B63" i="22"/>
  <c r="D63" i="22"/>
  <c r="E63" i="22"/>
  <c r="U62" i="22"/>
  <c r="W62" i="22"/>
  <c r="AD63" i="22" l="1"/>
  <c r="AR64" i="22"/>
  <c r="R63" i="22"/>
  <c r="M64" i="22"/>
  <c r="Z64" i="22"/>
  <c r="Y64" i="22"/>
  <c r="L64" i="22"/>
  <c r="K64" i="22"/>
  <c r="X64" i="22"/>
  <c r="V64" i="22"/>
  <c r="AB64" i="22"/>
  <c r="AA64" i="22"/>
  <c r="O64" i="22" s="1"/>
  <c r="N64" i="22"/>
  <c r="AH63" i="22"/>
  <c r="AG63" i="22"/>
  <c r="AC63" i="22"/>
  <c r="AE63" i="22"/>
  <c r="AF63" i="22"/>
  <c r="F64" i="22"/>
  <c r="G64" i="22"/>
  <c r="U63" i="22"/>
  <c r="W63" i="22"/>
  <c r="A65" i="22"/>
  <c r="B64" i="22"/>
  <c r="C64" i="22"/>
  <c r="D64" i="22"/>
  <c r="E64" i="22"/>
  <c r="AD64" i="22" l="1"/>
  <c r="AR65" i="22"/>
  <c r="R64" i="22"/>
  <c r="V65" i="22"/>
  <c r="N65" i="22"/>
  <c r="Y65" i="22"/>
  <c r="L65" i="22"/>
  <c r="X65" i="22"/>
  <c r="Z65" i="22"/>
  <c r="AA65" i="22"/>
  <c r="O65" i="22" s="1"/>
  <c r="K65" i="22"/>
  <c r="M65" i="22"/>
  <c r="AB65" i="22"/>
  <c r="AH64" i="22"/>
  <c r="AG64" i="22"/>
  <c r="AC64" i="22"/>
  <c r="AE64" i="22"/>
  <c r="AF64" i="22"/>
  <c r="F65" i="22"/>
  <c r="G65" i="22"/>
  <c r="A66" i="22"/>
  <c r="B65" i="22"/>
  <c r="C65" i="22"/>
  <c r="D65" i="22"/>
  <c r="E65" i="22"/>
  <c r="U64" i="22"/>
  <c r="W64" i="22"/>
  <c r="AD65" i="22" l="1"/>
  <c r="AR66" i="22"/>
  <c r="R65" i="22"/>
  <c r="M66" i="22"/>
  <c r="X66" i="22"/>
  <c r="N66" i="22"/>
  <c r="Z66" i="22"/>
  <c r="AA66" i="22"/>
  <c r="O66" i="22" s="1"/>
  <c r="K66" i="22"/>
  <c r="V66" i="22"/>
  <c r="AB66" i="22"/>
  <c r="L66" i="22"/>
  <c r="Y66" i="22"/>
  <c r="AH65" i="22"/>
  <c r="AG65" i="22"/>
  <c r="AC65" i="22"/>
  <c r="AE65" i="22"/>
  <c r="AF65" i="22"/>
  <c r="F66" i="22"/>
  <c r="G66" i="22"/>
  <c r="U65" i="22"/>
  <c r="W65" i="22"/>
  <c r="A67" i="22"/>
  <c r="B66" i="22"/>
  <c r="C66" i="22"/>
  <c r="D66" i="22"/>
  <c r="E66" i="22"/>
  <c r="AD66" i="22" l="1"/>
  <c r="AR67" i="22"/>
  <c r="R66" i="22"/>
  <c r="V67" i="22"/>
  <c r="M67" i="22"/>
  <c r="K67" i="22"/>
  <c r="Y67" i="22"/>
  <c r="Z67" i="22"/>
  <c r="N67" i="22"/>
  <c r="AA67" i="22"/>
  <c r="O67" i="22" s="1"/>
  <c r="L67" i="22"/>
  <c r="X67" i="22"/>
  <c r="AB67" i="22"/>
  <c r="AH66" i="22"/>
  <c r="AG66" i="22"/>
  <c r="AE66" i="22"/>
  <c r="AC66" i="22"/>
  <c r="AF66" i="22"/>
  <c r="F67" i="22"/>
  <c r="G67" i="22"/>
  <c r="A68" i="22"/>
  <c r="B67" i="22"/>
  <c r="C67" i="22"/>
  <c r="D67" i="22"/>
  <c r="E67" i="22"/>
  <c r="U66" i="22"/>
  <c r="W66" i="22"/>
  <c r="AD67" i="22" l="1"/>
  <c r="AR68" i="22"/>
  <c r="R67" i="22"/>
  <c r="K68" i="22"/>
  <c r="X68" i="22"/>
  <c r="M68" i="22"/>
  <c r="AA68" i="22"/>
  <c r="O68" i="22" s="1"/>
  <c r="Z68" i="22"/>
  <c r="Y68" i="22"/>
  <c r="N68" i="22"/>
  <c r="V68" i="22"/>
  <c r="AB68" i="22"/>
  <c r="L68" i="22"/>
  <c r="AH67" i="22"/>
  <c r="AG67" i="22"/>
  <c r="AE67" i="22"/>
  <c r="AF67" i="22"/>
  <c r="AC67" i="22"/>
  <c r="F68" i="22"/>
  <c r="G68" i="22"/>
  <c r="U67" i="22"/>
  <c r="W67" i="22"/>
  <c r="B68" i="22"/>
  <c r="A69" i="22"/>
  <c r="C68" i="22"/>
  <c r="D68" i="22"/>
  <c r="E68" i="22"/>
  <c r="AD68" i="22" l="1"/>
  <c r="AR69" i="22"/>
  <c r="R68" i="22"/>
  <c r="X69" i="22"/>
  <c r="L69" i="22"/>
  <c r="Z69" i="22"/>
  <c r="Y69" i="22"/>
  <c r="N69" i="22"/>
  <c r="K69" i="22"/>
  <c r="M69" i="22"/>
  <c r="AB69" i="22"/>
  <c r="V69" i="22"/>
  <c r="AA69" i="22"/>
  <c r="O69" i="22" s="1"/>
  <c r="AH68" i="22"/>
  <c r="AG68" i="22"/>
  <c r="AE68" i="22"/>
  <c r="AF68" i="22"/>
  <c r="AC68" i="22"/>
  <c r="F69" i="22"/>
  <c r="G69" i="22"/>
  <c r="A70" i="22"/>
  <c r="B69" i="22"/>
  <c r="C69" i="22"/>
  <c r="D69" i="22"/>
  <c r="E69" i="22"/>
  <c r="W68" i="22"/>
  <c r="U68" i="22"/>
  <c r="AD69" i="22" l="1"/>
  <c r="AR70" i="22"/>
  <c r="AB70" i="22"/>
  <c r="L70" i="22"/>
  <c r="Y70" i="22"/>
  <c r="N70" i="22"/>
  <c r="V70" i="22"/>
  <c r="X70" i="22"/>
  <c r="AA70" i="22"/>
  <c r="R70" i="22" s="1"/>
  <c r="M70" i="22"/>
  <c r="K70" i="22"/>
  <c r="Z70" i="22"/>
  <c r="R69" i="22"/>
  <c r="AH69" i="22"/>
  <c r="AG69" i="22"/>
  <c r="AE69" i="22"/>
  <c r="AC69" i="22"/>
  <c r="AF69" i="22"/>
  <c r="F70" i="22"/>
  <c r="G70" i="22"/>
  <c r="W69" i="22"/>
  <c r="U69" i="22"/>
  <c r="A71" i="22"/>
  <c r="B70" i="22"/>
  <c r="C70" i="22"/>
  <c r="E70" i="22"/>
  <c r="D70" i="22"/>
  <c r="AD70" i="22" l="1"/>
  <c r="AR71" i="22"/>
  <c r="O70" i="22"/>
  <c r="AB71" i="22"/>
  <c r="M71" i="22"/>
  <c r="K71" i="22"/>
  <c r="N71" i="22"/>
  <c r="Y71" i="22"/>
  <c r="V71" i="22"/>
  <c r="X71" i="22"/>
  <c r="L71" i="22"/>
  <c r="Z71" i="22"/>
  <c r="AA71" i="22"/>
  <c r="R71" i="22" s="1"/>
  <c r="AH70" i="22"/>
  <c r="AG70" i="22"/>
  <c r="AE70" i="22"/>
  <c r="AC70" i="22"/>
  <c r="AF70" i="22"/>
  <c r="F71" i="22"/>
  <c r="G71" i="22"/>
  <c r="U70" i="22"/>
  <c r="W70" i="22"/>
  <c r="B71" i="22"/>
  <c r="C71" i="22"/>
  <c r="A72" i="22"/>
  <c r="D71" i="22"/>
  <c r="E71" i="22"/>
  <c r="AD71" i="22" l="1"/>
  <c r="AR72" i="22"/>
  <c r="O71" i="22"/>
  <c r="N72" i="22"/>
  <c r="AB72" i="22"/>
  <c r="V72" i="22"/>
  <c r="L72" i="22"/>
  <c r="AA72" i="22"/>
  <c r="R72" i="22" s="1"/>
  <c r="Z72" i="22"/>
  <c r="K72" i="22"/>
  <c r="Y72" i="22"/>
  <c r="X72" i="22"/>
  <c r="M72" i="22"/>
  <c r="AH71" i="22"/>
  <c r="AG71" i="22"/>
  <c r="AE71" i="22"/>
  <c r="AC71" i="22"/>
  <c r="AF71" i="22"/>
  <c r="F72" i="22"/>
  <c r="G72" i="22"/>
  <c r="U71" i="22"/>
  <c r="W71" i="22"/>
  <c r="A73" i="22"/>
  <c r="B72" i="22"/>
  <c r="D72" i="22"/>
  <c r="C72" i="22"/>
  <c r="E72" i="22"/>
  <c r="AD72" i="22" l="1"/>
  <c r="AR73" i="22"/>
  <c r="O72" i="22"/>
  <c r="AB73" i="22"/>
  <c r="L73" i="22"/>
  <c r="N73" i="22"/>
  <c r="Y73" i="22"/>
  <c r="K73" i="22"/>
  <c r="Z73" i="22"/>
  <c r="V73" i="22"/>
  <c r="X73" i="22"/>
  <c r="AA73" i="22"/>
  <c r="R73" i="22" s="1"/>
  <c r="M73" i="22"/>
  <c r="AH72" i="22"/>
  <c r="AG72" i="22"/>
  <c r="AE72" i="22"/>
  <c r="AC72" i="22"/>
  <c r="AF72" i="22"/>
  <c r="F73" i="22"/>
  <c r="G73" i="22"/>
  <c r="U72" i="22"/>
  <c r="W72" i="22"/>
  <c r="A74" i="22"/>
  <c r="B73" i="22"/>
  <c r="C73" i="22"/>
  <c r="E73" i="22"/>
  <c r="D73" i="22"/>
  <c r="AD73" i="22" l="1"/>
  <c r="AR74" i="22"/>
  <c r="O73" i="22"/>
  <c r="V74" i="22"/>
  <c r="Y74" i="22"/>
  <c r="N74" i="22"/>
  <c r="M74" i="22"/>
  <c r="Z74" i="22"/>
  <c r="K74" i="22"/>
  <c r="AB74" i="22"/>
  <c r="AA74" i="22"/>
  <c r="R74" i="22" s="1"/>
  <c r="X74" i="22"/>
  <c r="L74" i="22"/>
  <c r="AG73" i="22"/>
  <c r="C21" i="9" s="1"/>
  <c r="AH73" i="22"/>
  <c r="C24" i="9" s="1"/>
  <c r="AE73" i="22"/>
  <c r="AF73" i="22"/>
  <c r="AC73" i="22"/>
  <c r="F74" i="22"/>
  <c r="G74" i="22"/>
  <c r="A75" i="22"/>
  <c r="B74" i="22"/>
  <c r="C74" i="22"/>
  <c r="D74" i="22"/>
  <c r="E74" i="22"/>
  <c r="U73" i="22"/>
  <c r="W73" i="22"/>
  <c r="AD74" i="22" l="1"/>
  <c r="AR75" i="22"/>
  <c r="O74" i="22"/>
  <c r="X75" i="22"/>
  <c r="K75" i="22"/>
  <c r="Y75" i="22"/>
  <c r="L75" i="22"/>
  <c r="V75" i="22"/>
  <c r="AB75" i="22"/>
  <c r="AA75" i="22"/>
  <c r="R75" i="22" s="1"/>
  <c r="N75" i="22"/>
  <c r="M75" i="22"/>
  <c r="Z75" i="22"/>
  <c r="AH74" i="22"/>
  <c r="AG74" i="22"/>
  <c r="AE74" i="22"/>
  <c r="AC74" i="22"/>
  <c r="AF74" i="22"/>
  <c r="F75" i="22"/>
  <c r="G75" i="22"/>
  <c r="A76" i="22"/>
  <c r="C75" i="22"/>
  <c r="B75" i="22"/>
  <c r="D75" i="22"/>
  <c r="E75" i="22"/>
  <c r="U74" i="22"/>
  <c r="W74" i="22"/>
  <c r="AD75" i="22" l="1"/>
  <c r="AR76" i="22"/>
  <c r="O75" i="22"/>
  <c r="AA76" i="22"/>
  <c r="O76" i="22" s="1"/>
  <c r="Y76" i="22"/>
  <c r="N76" i="22"/>
  <c r="L76" i="22"/>
  <c r="M76" i="22"/>
  <c r="AB76" i="22"/>
  <c r="X76" i="22"/>
  <c r="K76" i="22"/>
  <c r="V76" i="22"/>
  <c r="Z76" i="22"/>
  <c r="AH75" i="22"/>
  <c r="AG75" i="22"/>
  <c r="AE75" i="22"/>
  <c r="AF75" i="22"/>
  <c r="AC75" i="22"/>
  <c r="F76" i="22"/>
  <c r="G76" i="22"/>
  <c r="U75" i="22"/>
  <c r="W75" i="22"/>
  <c r="A77" i="22"/>
  <c r="B76" i="22"/>
  <c r="C76" i="22"/>
  <c r="E76" i="22"/>
  <c r="D76" i="22"/>
  <c r="AD76" i="22" l="1"/>
  <c r="AR77" i="22"/>
  <c r="R76" i="22"/>
  <c r="Y77" i="22"/>
  <c r="AA77" i="22"/>
  <c r="O77" i="22" s="1"/>
  <c r="AB77" i="22"/>
  <c r="X77" i="22"/>
  <c r="K77" i="22"/>
  <c r="N77" i="22"/>
  <c r="Z77" i="22"/>
  <c r="L77" i="22"/>
  <c r="M77" i="22"/>
  <c r="V77" i="22"/>
  <c r="AH76" i="22"/>
  <c r="AG76" i="22"/>
  <c r="AE76" i="22"/>
  <c r="AC76" i="22"/>
  <c r="AF76" i="22"/>
  <c r="F77" i="22"/>
  <c r="G77" i="22"/>
  <c r="A78" i="22"/>
  <c r="B77" i="22"/>
  <c r="C77" i="22"/>
  <c r="D77" i="22"/>
  <c r="E77" i="22"/>
  <c r="U76" i="22"/>
  <c r="W76" i="22"/>
  <c r="AD77" i="22" l="1"/>
  <c r="AR78" i="22"/>
  <c r="R77" i="22"/>
  <c r="X78" i="22"/>
  <c r="M78" i="22"/>
  <c r="AB78" i="22"/>
  <c r="L78" i="22"/>
  <c r="Z78" i="22"/>
  <c r="K78" i="22"/>
  <c r="N78" i="22"/>
  <c r="Y78" i="22"/>
  <c r="V78" i="22"/>
  <c r="AA78" i="22"/>
  <c r="O78" i="22" s="1"/>
  <c r="AH77" i="22"/>
  <c r="AG77" i="22"/>
  <c r="AE77" i="22"/>
  <c r="AF77" i="22"/>
  <c r="AC77" i="22"/>
  <c r="F78" i="22"/>
  <c r="G78" i="22"/>
  <c r="U77" i="22"/>
  <c r="W77" i="22"/>
  <c r="A79" i="22"/>
  <c r="B78" i="22"/>
  <c r="C78" i="22"/>
  <c r="E78" i="22"/>
  <c r="D78" i="22"/>
  <c r="AD78" i="22" l="1"/>
  <c r="AR79" i="22"/>
  <c r="R78" i="22"/>
  <c r="K79" i="22"/>
  <c r="Y79" i="22"/>
  <c r="V79" i="22"/>
  <c r="N79" i="22"/>
  <c r="Z79" i="22"/>
  <c r="AA79" i="22"/>
  <c r="R79" i="22" s="1"/>
  <c r="X79" i="22"/>
  <c r="M79" i="22"/>
  <c r="AB79" i="22"/>
  <c r="L79" i="22"/>
  <c r="AH78" i="22"/>
  <c r="AG78" i="22"/>
  <c r="AE78" i="22"/>
  <c r="AF78" i="22"/>
  <c r="AC78" i="22"/>
  <c r="F79" i="22"/>
  <c r="G79" i="22"/>
  <c r="A80" i="22"/>
  <c r="B79" i="22"/>
  <c r="D79" i="22"/>
  <c r="C79" i="22"/>
  <c r="E79" i="22"/>
  <c r="U78" i="22"/>
  <c r="W78" i="22"/>
  <c r="AD79" i="22" l="1"/>
  <c r="AR80" i="22"/>
  <c r="O79" i="22"/>
  <c r="Y80" i="22"/>
  <c r="AA80" i="22"/>
  <c r="O80" i="22" s="1"/>
  <c r="M80" i="22"/>
  <c r="V80" i="22"/>
  <c r="K80" i="22"/>
  <c r="X80" i="22"/>
  <c r="Z80" i="22"/>
  <c r="N80" i="22"/>
  <c r="AB80" i="22"/>
  <c r="L80" i="22"/>
  <c r="AH79" i="22"/>
  <c r="AG79" i="22"/>
  <c r="AE79" i="22"/>
  <c r="AF79" i="22"/>
  <c r="AC79" i="22"/>
  <c r="F80" i="22"/>
  <c r="G80" i="22"/>
  <c r="U79" i="22"/>
  <c r="W79" i="22"/>
  <c r="A81" i="22"/>
  <c r="B80" i="22"/>
  <c r="C80" i="22"/>
  <c r="D80" i="22"/>
  <c r="E80" i="22"/>
  <c r="AD80" i="22" l="1"/>
  <c r="AR81" i="22"/>
  <c r="R80" i="22"/>
  <c r="N81" i="22"/>
  <c r="K81" i="22"/>
  <c r="Z81" i="22"/>
  <c r="L81" i="22"/>
  <c r="AB81" i="22"/>
  <c r="Y81" i="22"/>
  <c r="V81" i="22"/>
  <c r="AA81" i="22"/>
  <c r="R81" i="22" s="1"/>
  <c r="X81" i="22"/>
  <c r="M81" i="22"/>
  <c r="AH80" i="22"/>
  <c r="AG80" i="22"/>
  <c r="AE80" i="22"/>
  <c r="AC80" i="22"/>
  <c r="AF80" i="22"/>
  <c r="F81" i="22"/>
  <c r="G81" i="22"/>
  <c r="A82" i="22"/>
  <c r="B81" i="22"/>
  <c r="C81" i="22"/>
  <c r="D81" i="22"/>
  <c r="E81" i="22"/>
  <c r="W80" i="22"/>
  <c r="U80" i="22"/>
  <c r="AD81" i="22" l="1"/>
  <c r="AR82" i="22"/>
  <c r="O81" i="22"/>
  <c r="K82" i="22"/>
  <c r="N82" i="22"/>
  <c r="M82" i="22"/>
  <c r="AB82" i="22"/>
  <c r="X82" i="22"/>
  <c r="L82" i="22"/>
  <c r="Y82" i="22"/>
  <c r="AA82" i="22"/>
  <c r="O82" i="22" s="1"/>
  <c r="Z82" i="22"/>
  <c r="V82" i="22"/>
  <c r="AH81" i="22"/>
  <c r="AG81" i="22"/>
  <c r="AE81" i="22"/>
  <c r="AF81" i="22"/>
  <c r="AC81" i="22"/>
  <c r="F82" i="22"/>
  <c r="G82" i="22"/>
  <c r="W81" i="22"/>
  <c r="U81" i="22"/>
  <c r="A83" i="22"/>
  <c r="B82" i="22"/>
  <c r="C82" i="22"/>
  <c r="D82" i="22"/>
  <c r="E82" i="22"/>
  <c r="AD82" i="22" l="1"/>
  <c r="AR83" i="22"/>
  <c r="R82" i="22"/>
  <c r="X83" i="22"/>
  <c r="L83" i="22"/>
  <c r="V83" i="22"/>
  <c r="M83" i="22"/>
  <c r="AB83" i="22"/>
  <c r="Y83" i="22"/>
  <c r="Z83" i="22"/>
  <c r="K83" i="22"/>
  <c r="N83" i="22"/>
  <c r="AA83" i="22"/>
  <c r="R83" i="22" s="1"/>
  <c r="AH82" i="22"/>
  <c r="AG82" i="22"/>
  <c r="AE82" i="22"/>
  <c r="AC82" i="22"/>
  <c r="AF82" i="22"/>
  <c r="F83" i="22"/>
  <c r="G83" i="22"/>
  <c r="U82" i="22"/>
  <c r="W82" i="22"/>
  <c r="B83" i="22"/>
  <c r="A84" i="22"/>
  <c r="C83" i="22"/>
  <c r="E83" i="22"/>
  <c r="D83" i="22"/>
  <c r="AD83" i="22" l="1"/>
  <c r="AR84" i="22"/>
  <c r="O83" i="22"/>
  <c r="M84" i="22"/>
  <c r="V84" i="22"/>
  <c r="Y84" i="22"/>
  <c r="AB84" i="22"/>
  <c r="Z84" i="22"/>
  <c r="K84" i="22"/>
  <c r="N84" i="22"/>
  <c r="L84" i="22"/>
  <c r="AA84" i="22"/>
  <c r="R84" i="22" s="1"/>
  <c r="X84" i="22"/>
  <c r="AH83" i="22"/>
  <c r="AG83" i="22"/>
  <c r="AE83" i="22"/>
  <c r="AF83" i="22"/>
  <c r="AC83" i="22"/>
  <c r="F84" i="22"/>
  <c r="G84" i="22"/>
  <c r="A85" i="22"/>
  <c r="B84" i="22"/>
  <c r="C84" i="22"/>
  <c r="D84" i="22"/>
  <c r="E84" i="22"/>
  <c r="U83" i="22"/>
  <c r="W83" i="22"/>
  <c r="AD84" i="22" l="1"/>
  <c r="AR85" i="22"/>
  <c r="O84" i="22"/>
  <c r="L85" i="22"/>
  <c r="K85" i="22"/>
  <c r="Z85" i="22"/>
  <c r="AA85" i="22"/>
  <c r="O85" i="22" s="1"/>
  <c r="M85" i="22"/>
  <c r="V85" i="22"/>
  <c r="N85" i="22"/>
  <c r="X85" i="22"/>
  <c r="AB85" i="22"/>
  <c r="Y85" i="22"/>
  <c r="AH84" i="22"/>
  <c r="AG84" i="22"/>
  <c r="AE84" i="22"/>
  <c r="AC84" i="22"/>
  <c r="AF84" i="22"/>
  <c r="F85" i="22"/>
  <c r="G85" i="22"/>
  <c r="U84" i="22"/>
  <c r="W84" i="22"/>
  <c r="A86" i="22"/>
  <c r="B85" i="22"/>
  <c r="D85" i="22"/>
  <c r="C85" i="22"/>
  <c r="E85" i="22"/>
  <c r="AD85" i="22" l="1"/>
  <c r="AR86" i="22"/>
  <c r="R85" i="22"/>
  <c r="AB86" i="22"/>
  <c r="N86" i="22"/>
  <c r="K86" i="22"/>
  <c r="AA86" i="22"/>
  <c r="O86" i="22" s="1"/>
  <c r="Z86" i="22"/>
  <c r="L86" i="22"/>
  <c r="Y86" i="22"/>
  <c r="V86" i="22"/>
  <c r="M86" i="22"/>
  <c r="X86" i="22"/>
  <c r="AH85" i="22"/>
  <c r="AG85" i="22"/>
  <c r="AE85" i="22"/>
  <c r="AC85" i="22"/>
  <c r="AF85" i="22"/>
  <c r="F86" i="22"/>
  <c r="G86" i="22"/>
  <c r="A87" i="22"/>
  <c r="B86" i="22"/>
  <c r="D86" i="22"/>
  <c r="C86" i="22"/>
  <c r="E86" i="22"/>
  <c r="U85" i="22"/>
  <c r="W85" i="22"/>
  <c r="AD86" i="22" l="1"/>
  <c r="AR87" i="22"/>
  <c r="R86" i="22"/>
  <c r="V87" i="22"/>
  <c r="X87" i="22"/>
  <c r="Y87" i="22"/>
  <c r="Z87" i="22"/>
  <c r="AA87" i="22"/>
  <c r="O87" i="22" s="1"/>
  <c r="AB87" i="22"/>
  <c r="M87" i="22"/>
  <c r="K87" i="22"/>
  <c r="N87" i="22"/>
  <c r="L87" i="22"/>
  <c r="AG86" i="22"/>
  <c r="AH86" i="22"/>
  <c r="AE86" i="22"/>
  <c r="AF86" i="22"/>
  <c r="AC86" i="22"/>
  <c r="F87" i="22"/>
  <c r="G87" i="22"/>
  <c r="U86" i="22"/>
  <c r="W86" i="22"/>
  <c r="A88" i="22"/>
  <c r="B87" i="22"/>
  <c r="C87" i="22"/>
  <c r="D87" i="22"/>
  <c r="E87" i="22"/>
  <c r="AD87" i="22" l="1"/>
  <c r="AR88" i="22"/>
  <c r="R87" i="22"/>
  <c r="V88" i="22"/>
  <c r="X88" i="22"/>
  <c r="Z88" i="22"/>
  <c r="AB88" i="22"/>
  <c r="N88" i="22"/>
  <c r="M88" i="22"/>
  <c r="L88" i="22"/>
  <c r="AA88" i="22"/>
  <c r="R88" i="22" s="1"/>
  <c r="Y88" i="22"/>
  <c r="K88" i="22"/>
  <c r="AG87" i="22"/>
  <c r="AH87" i="22"/>
  <c r="AE87" i="22"/>
  <c r="AF87" i="22"/>
  <c r="AC87" i="22"/>
  <c r="F88" i="22"/>
  <c r="G88" i="22"/>
  <c r="A89" i="22"/>
  <c r="B88" i="22"/>
  <c r="C88" i="22"/>
  <c r="E88" i="22"/>
  <c r="D88" i="22"/>
  <c r="U87" i="22"/>
  <c r="W87" i="22"/>
  <c r="AD88" i="22" l="1"/>
  <c r="AR89" i="22"/>
  <c r="O88" i="22"/>
  <c r="L89" i="22"/>
  <c r="Y89" i="22"/>
  <c r="Z89" i="22"/>
  <c r="V89" i="22"/>
  <c r="X89" i="22"/>
  <c r="AB89" i="22"/>
  <c r="N89" i="22"/>
  <c r="AA89" i="22"/>
  <c r="O89" i="22" s="1"/>
  <c r="K89" i="22"/>
  <c r="M89" i="22"/>
  <c r="AH88" i="22"/>
  <c r="AG88" i="22"/>
  <c r="AE88" i="22"/>
  <c r="AC88" i="22"/>
  <c r="AF88" i="22"/>
  <c r="F89" i="22"/>
  <c r="G89" i="22"/>
  <c r="U88" i="22"/>
  <c r="W88" i="22"/>
  <c r="A90" i="22"/>
  <c r="B89" i="22"/>
  <c r="C89" i="22"/>
  <c r="D89" i="22"/>
  <c r="E89" i="22"/>
  <c r="AD89" i="22" l="1"/>
  <c r="AR90" i="22"/>
  <c r="R89" i="22"/>
  <c r="N90" i="22"/>
  <c r="Z90" i="22"/>
  <c r="K90" i="22"/>
  <c r="X90" i="22"/>
  <c r="AB90" i="22"/>
  <c r="AA90" i="22"/>
  <c r="O90" i="22" s="1"/>
  <c r="L90" i="22"/>
  <c r="M90" i="22"/>
  <c r="V90" i="22"/>
  <c r="Y90" i="22"/>
  <c r="AH89" i="22"/>
  <c r="AG89" i="22"/>
  <c r="AE89" i="22"/>
  <c r="AF89" i="22"/>
  <c r="AC89" i="22"/>
  <c r="F90" i="22"/>
  <c r="G90" i="22"/>
  <c r="A91" i="22"/>
  <c r="B90" i="22"/>
  <c r="C90" i="22"/>
  <c r="D90" i="22"/>
  <c r="E90" i="22"/>
  <c r="U89" i="22"/>
  <c r="W89" i="22"/>
  <c r="AD90" i="22" l="1"/>
  <c r="AR91" i="22"/>
  <c r="R90" i="22"/>
  <c r="M91" i="22"/>
  <c r="X91" i="22"/>
  <c r="Z91" i="22"/>
  <c r="Y91" i="22"/>
  <c r="L91" i="22"/>
  <c r="V91" i="22"/>
  <c r="K91" i="22"/>
  <c r="AA91" i="22"/>
  <c r="O91" i="22" s="1"/>
  <c r="AB91" i="22"/>
  <c r="N91" i="22"/>
  <c r="AH90" i="22"/>
  <c r="AG90" i="22"/>
  <c r="AE90" i="22"/>
  <c r="AC90" i="22"/>
  <c r="AF90" i="22"/>
  <c r="F91" i="22"/>
  <c r="G91" i="22"/>
  <c r="U90" i="22"/>
  <c r="W90" i="22"/>
  <c r="A92" i="22"/>
  <c r="D91" i="22"/>
  <c r="B91" i="22"/>
  <c r="E91" i="22"/>
  <c r="C91" i="22"/>
  <c r="AD91" i="22" l="1"/>
  <c r="AR92" i="22"/>
  <c r="R91" i="22"/>
  <c r="M92" i="22"/>
  <c r="V92" i="22"/>
  <c r="N92" i="22"/>
  <c r="Z92" i="22"/>
  <c r="K92" i="22"/>
  <c r="X92" i="22"/>
  <c r="Y92" i="22"/>
  <c r="AB92" i="22"/>
  <c r="AA92" i="22"/>
  <c r="R92" i="22" s="1"/>
  <c r="L92" i="22"/>
  <c r="AH91" i="22"/>
  <c r="AG91" i="22"/>
  <c r="AE91" i="22"/>
  <c r="AC91" i="22"/>
  <c r="AF91" i="22"/>
  <c r="F92" i="22"/>
  <c r="G92" i="22"/>
  <c r="A93" i="22"/>
  <c r="B92" i="22"/>
  <c r="C92" i="22"/>
  <c r="D92" i="22"/>
  <c r="E92" i="22"/>
  <c r="U91" i="22"/>
  <c r="W91" i="22"/>
  <c r="AD92" i="22" l="1"/>
  <c r="AR93" i="22"/>
  <c r="O92" i="22"/>
  <c r="M93" i="22"/>
  <c r="L93" i="22"/>
  <c r="Y93" i="22"/>
  <c r="K93" i="22"/>
  <c r="V93" i="22"/>
  <c r="N93" i="22"/>
  <c r="AB93" i="22"/>
  <c r="X93" i="22"/>
  <c r="AA93" i="22"/>
  <c r="R93" i="22" s="1"/>
  <c r="Z93" i="22"/>
  <c r="AH92" i="22"/>
  <c r="AG92" i="22"/>
  <c r="AE92" i="22"/>
  <c r="AC92" i="22"/>
  <c r="AF92" i="22"/>
  <c r="F93" i="22"/>
  <c r="G93" i="22"/>
  <c r="U92" i="22"/>
  <c r="W92" i="22"/>
  <c r="A94" i="22"/>
  <c r="B93" i="22"/>
  <c r="C93" i="22"/>
  <c r="D93" i="22"/>
  <c r="E93" i="22"/>
  <c r="AD93" i="22" l="1"/>
  <c r="AR94" i="22"/>
  <c r="O93" i="22"/>
  <c r="N94" i="22"/>
  <c r="K94" i="22"/>
  <c r="AB94" i="22"/>
  <c r="L94" i="22"/>
  <c r="V94" i="22"/>
  <c r="Y94" i="22"/>
  <c r="Z94" i="22"/>
  <c r="X94" i="22"/>
  <c r="M94" i="22"/>
  <c r="AA94" i="22"/>
  <c r="O94" i="22" s="1"/>
  <c r="AH93" i="22"/>
  <c r="AG93" i="22"/>
  <c r="AE93" i="22"/>
  <c r="AF93" i="22"/>
  <c r="AC93" i="22"/>
  <c r="F94" i="22"/>
  <c r="G94" i="22"/>
  <c r="U93" i="22"/>
  <c r="W93" i="22"/>
  <c r="A95" i="22"/>
  <c r="B94" i="22"/>
  <c r="C94" i="22"/>
  <c r="D94" i="22"/>
  <c r="E94" i="22"/>
  <c r="AD94" i="22" l="1"/>
  <c r="AR95" i="22"/>
  <c r="R94" i="22"/>
  <c r="Z95" i="22"/>
  <c r="AB95" i="22"/>
  <c r="AA95" i="22"/>
  <c r="O95" i="22" s="1"/>
  <c r="X95" i="22"/>
  <c r="L95" i="22"/>
  <c r="V95" i="22"/>
  <c r="Y95" i="22"/>
  <c r="K95" i="22"/>
  <c r="N95" i="22"/>
  <c r="M95" i="22"/>
  <c r="AH94" i="22"/>
  <c r="AG94" i="22"/>
  <c r="AE94" i="22"/>
  <c r="AF94" i="22"/>
  <c r="AC94" i="22"/>
  <c r="F95" i="22"/>
  <c r="G95" i="22"/>
  <c r="U94" i="22"/>
  <c r="W94" i="22"/>
  <c r="A96" i="22"/>
  <c r="B95" i="22"/>
  <c r="C95" i="22"/>
  <c r="E95" i="22"/>
  <c r="D95" i="22"/>
  <c r="AD95" i="22" l="1"/>
  <c r="AR96" i="22"/>
  <c r="V96" i="22"/>
  <c r="K96" i="22"/>
  <c r="AB96" i="22"/>
  <c r="L96" i="22"/>
  <c r="N96" i="22"/>
  <c r="X96" i="22"/>
  <c r="Z96" i="22"/>
  <c r="Y96" i="22"/>
  <c r="M96" i="22"/>
  <c r="AA96" i="22"/>
  <c r="R96" i="22" s="1"/>
  <c r="R95" i="22"/>
  <c r="AH95" i="22"/>
  <c r="AG95" i="22"/>
  <c r="AE95" i="22"/>
  <c r="AF95" i="22"/>
  <c r="AC95" i="22"/>
  <c r="F96" i="22"/>
  <c r="G96" i="22"/>
  <c r="U95" i="22"/>
  <c r="W95" i="22"/>
  <c r="A97" i="22"/>
  <c r="B96" i="22"/>
  <c r="C96" i="22"/>
  <c r="D96" i="22"/>
  <c r="E96" i="22"/>
  <c r="AD96" i="22" l="1"/>
  <c r="AR97" i="22"/>
  <c r="O96" i="22"/>
  <c r="AA97" i="22"/>
  <c r="O97" i="22" s="1"/>
  <c r="L97" i="22"/>
  <c r="M97" i="22"/>
  <c r="X97" i="22"/>
  <c r="K97" i="22"/>
  <c r="Z97" i="22"/>
  <c r="V97" i="22"/>
  <c r="Y97" i="22"/>
  <c r="N97" i="22"/>
  <c r="AB97" i="22"/>
  <c r="AH96" i="22"/>
  <c r="AG96" i="22"/>
  <c r="AF96" i="22"/>
  <c r="AE96" i="22"/>
  <c r="AC96" i="22"/>
  <c r="F97" i="22"/>
  <c r="G97" i="22"/>
  <c r="U96" i="22"/>
  <c r="W96" i="22"/>
  <c r="A98" i="22"/>
  <c r="C97" i="22"/>
  <c r="B97" i="22"/>
  <c r="E97" i="22"/>
  <c r="D97" i="22"/>
  <c r="AD97" i="22" l="1"/>
  <c r="AR98" i="22"/>
  <c r="R97" i="22"/>
  <c r="Y98" i="22"/>
  <c r="X98" i="22"/>
  <c r="V98" i="22"/>
  <c r="Z98" i="22"/>
  <c r="M98" i="22"/>
  <c r="AB98" i="22"/>
  <c r="K98" i="22"/>
  <c r="AA98" i="22"/>
  <c r="O98" i="22" s="1"/>
  <c r="N98" i="22"/>
  <c r="L98" i="22"/>
  <c r="AH97" i="22"/>
  <c r="AG97" i="22"/>
  <c r="AE97" i="22"/>
  <c r="AF97" i="22"/>
  <c r="AC97" i="22"/>
  <c r="F98" i="22"/>
  <c r="G98" i="22"/>
  <c r="A99" i="22"/>
  <c r="B98" i="22"/>
  <c r="C98" i="22"/>
  <c r="D98" i="22"/>
  <c r="AR99" i="22" s="1"/>
  <c r="E98" i="22"/>
  <c r="U97" i="22"/>
  <c r="W97" i="22"/>
  <c r="R98" i="22" l="1"/>
  <c r="AD98" i="22"/>
  <c r="Z99" i="22"/>
  <c r="X99" i="22"/>
  <c r="V99" i="22"/>
  <c r="AA99" i="22"/>
  <c r="O99" i="22" s="1"/>
  <c r="N99" i="22"/>
  <c r="K99" i="22"/>
  <c r="Y99" i="22"/>
  <c r="AB99" i="22"/>
  <c r="M99" i="22"/>
  <c r="L99" i="22"/>
  <c r="AH98" i="22"/>
  <c r="AG98" i="22"/>
  <c r="AC98" i="22"/>
  <c r="AE98" i="22"/>
  <c r="AF98" i="22"/>
  <c r="F99" i="22"/>
  <c r="G99" i="22"/>
  <c r="U98" i="22"/>
  <c r="W98" i="22"/>
  <c r="A100" i="22"/>
  <c r="C99" i="22"/>
  <c r="B99" i="22"/>
  <c r="D99" i="22"/>
  <c r="E99" i="22"/>
  <c r="AD99" i="22" l="1"/>
  <c r="AR100" i="22"/>
  <c r="R99" i="22"/>
  <c r="AA100" i="22"/>
  <c r="O100" i="22" s="1"/>
  <c r="N100" i="22"/>
  <c r="K100" i="22"/>
  <c r="X100" i="22"/>
  <c r="Y100" i="22"/>
  <c r="Z100" i="22"/>
  <c r="M100" i="22"/>
  <c r="V100" i="22"/>
  <c r="AB100" i="22"/>
  <c r="L100" i="22"/>
  <c r="AH99" i="22"/>
  <c r="AG99" i="22"/>
  <c r="AF99" i="22"/>
  <c r="AC99" i="22"/>
  <c r="AE99" i="22"/>
  <c r="F100" i="22"/>
  <c r="G100" i="22"/>
  <c r="A101" i="22"/>
  <c r="B100" i="22"/>
  <c r="C100" i="22"/>
  <c r="D100" i="22"/>
  <c r="AR101" i="22" s="1"/>
  <c r="E100" i="22"/>
  <c r="U99" i="22"/>
  <c r="W99" i="22"/>
  <c r="R100" i="22" l="1"/>
  <c r="AD100" i="22"/>
  <c r="K101" i="22"/>
  <c r="AB101" i="22"/>
  <c r="V101" i="22"/>
  <c r="Z101" i="22"/>
  <c r="L101" i="22"/>
  <c r="Y101" i="22"/>
  <c r="N101" i="22"/>
  <c r="X101" i="22"/>
  <c r="AA101" i="22"/>
  <c r="O101" i="22" s="1"/>
  <c r="M101" i="22"/>
  <c r="AH100" i="22"/>
  <c r="AG100" i="22"/>
  <c r="AC100" i="22"/>
  <c r="AE100" i="22"/>
  <c r="AF100" i="22"/>
  <c r="F101" i="22"/>
  <c r="G101" i="22"/>
  <c r="U100" i="22"/>
  <c r="W100" i="22"/>
  <c r="A102" i="22"/>
  <c r="B101" i="22"/>
  <c r="C101" i="22"/>
  <c r="D101" i="22"/>
  <c r="E101" i="22"/>
  <c r="AD101" i="22" l="1"/>
  <c r="AR102" i="22"/>
  <c r="R101" i="22"/>
  <c r="AA102" i="22"/>
  <c r="O102" i="22" s="1"/>
  <c r="K102" i="22"/>
  <c r="Y102" i="22"/>
  <c r="L102" i="22"/>
  <c r="N102" i="22"/>
  <c r="V102" i="22"/>
  <c r="AB102" i="22"/>
  <c r="Z102" i="22"/>
  <c r="X102" i="22"/>
  <c r="M102" i="22"/>
  <c r="AH101" i="22"/>
  <c r="AG101" i="22"/>
  <c r="AC101" i="22"/>
  <c r="AF101" i="22"/>
  <c r="AE101" i="22"/>
  <c r="F102" i="22"/>
  <c r="G102" i="22"/>
  <c r="A103" i="22"/>
  <c r="B102" i="22"/>
  <c r="C102" i="22"/>
  <c r="E102" i="22"/>
  <c r="D102" i="22"/>
  <c r="AR103" i="22" s="1"/>
  <c r="U101" i="22"/>
  <c r="W101" i="22"/>
  <c r="R102" i="22" l="1"/>
  <c r="AD102" i="22"/>
  <c r="AB103" i="22"/>
  <c r="Y103" i="22"/>
  <c r="V103" i="22"/>
  <c r="AA103" i="22"/>
  <c r="O103" i="22" s="1"/>
  <c r="N103" i="22"/>
  <c r="M103" i="22"/>
  <c r="L103" i="22"/>
  <c r="Z103" i="22"/>
  <c r="K103" i="22"/>
  <c r="X103" i="22"/>
  <c r="AH102" i="22"/>
  <c r="AG102" i="22"/>
  <c r="AC102" i="22"/>
  <c r="AF102" i="22"/>
  <c r="AE102" i="22"/>
  <c r="F103" i="22"/>
  <c r="G103" i="22"/>
  <c r="U102" i="22"/>
  <c r="W102" i="22"/>
  <c r="A104" i="22"/>
  <c r="B103" i="22"/>
  <c r="D103" i="22"/>
  <c r="C103" i="22"/>
  <c r="E103" i="22"/>
  <c r="AD103" i="22" l="1"/>
  <c r="AR104" i="22"/>
  <c r="R103" i="22"/>
  <c r="AA104" i="22"/>
  <c r="O104" i="22" s="1"/>
  <c r="M104" i="22"/>
  <c r="Z104" i="22"/>
  <c r="X104" i="22"/>
  <c r="Y104" i="22"/>
  <c r="K104" i="22"/>
  <c r="N104" i="22"/>
  <c r="AB104" i="22"/>
  <c r="L104" i="22"/>
  <c r="V104" i="22"/>
  <c r="AH103" i="22"/>
  <c r="AG103" i="22"/>
  <c r="AF103" i="22"/>
  <c r="AE103" i="22"/>
  <c r="AC103" i="22"/>
  <c r="F104" i="22"/>
  <c r="G104" i="22"/>
  <c r="A105" i="22"/>
  <c r="B104" i="22"/>
  <c r="C104" i="22"/>
  <c r="D104" i="22"/>
  <c r="AR105" i="22" s="1"/>
  <c r="E104" i="22"/>
  <c r="U103" i="22"/>
  <c r="W103" i="22"/>
  <c r="R104" i="22" l="1"/>
  <c r="Y105" i="22"/>
  <c r="Z105" i="22"/>
  <c r="N105" i="22"/>
  <c r="V105" i="22"/>
  <c r="X105" i="22"/>
  <c r="K105" i="22"/>
  <c r="L105" i="22"/>
  <c r="AB105" i="22"/>
  <c r="M105" i="22"/>
  <c r="AA105" i="22"/>
  <c r="R105" i="22" s="1"/>
  <c r="AD104" i="22"/>
  <c r="AH104" i="22"/>
  <c r="AG104" i="22"/>
  <c r="AE104" i="22"/>
  <c r="AF104" i="22"/>
  <c r="AC104" i="22"/>
  <c r="F105" i="22"/>
  <c r="G105" i="22"/>
  <c r="W104" i="22"/>
  <c r="U104" i="22"/>
  <c r="A106" i="22"/>
  <c r="B105" i="22"/>
  <c r="C105" i="22"/>
  <c r="D105" i="22"/>
  <c r="E105" i="22"/>
  <c r="AD105" i="22" l="1"/>
  <c r="AR106" i="22"/>
  <c r="O105" i="22"/>
  <c r="L106" i="22"/>
  <c r="M106" i="22"/>
  <c r="V106" i="22"/>
  <c r="AB106" i="22"/>
  <c r="K106" i="22"/>
  <c r="AA106" i="22"/>
  <c r="O106" i="22" s="1"/>
  <c r="N106" i="22"/>
  <c r="Y106" i="22"/>
  <c r="X106" i="22"/>
  <c r="Z106" i="22"/>
  <c r="AH105" i="22"/>
  <c r="AG105" i="22"/>
  <c r="AC105" i="22"/>
  <c r="AF105" i="22"/>
  <c r="AE105" i="22"/>
  <c r="F106" i="22"/>
  <c r="G106" i="22"/>
  <c r="W105" i="22"/>
  <c r="U105" i="22"/>
  <c r="A107" i="22"/>
  <c r="B106" i="22"/>
  <c r="C106" i="22"/>
  <c r="D106" i="22"/>
  <c r="E106" i="22"/>
  <c r="AD106" i="22" l="1"/>
  <c r="AR107" i="22"/>
  <c r="R106" i="22"/>
  <c r="AB107" i="22"/>
  <c r="M107" i="22"/>
  <c r="K107" i="22"/>
  <c r="Y107" i="22"/>
  <c r="Z107" i="22"/>
  <c r="AA107" i="22"/>
  <c r="R107" i="22" s="1"/>
  <c r="N107" i="22"/>
  <c r="L107" i="22"/>
  <c r="X107" i="22"/>
  <c r="V107" i="22"/>
  <c r="AH106" i="22"/>
  <c r="AG106" i="22"/>
  <c r="AC106" i="22"/>
  <c r="AE106" i="22"/>
  <c r="AF106" i="22"/>
  <c r="F107" i="22"/>
  <c r="G107" i="22"/>
  <c r="U106" i="22"/>
  <c r="W106" i="22"/>
  <c r="A108" i="22"/>
  <c r="B107" i="22"/>
  <c r="C107" i="22"/>
  <c r="E107" i="22"/>
  <c r="D107" i="22"/>
  <c r="AD107" i="22" l="1"/>
  <c r="AR108" i="22"/>
  <c r="O107" i="22"/>
  <c r="Z108" i="22"/>
  <c r="AA108" i="22"/>
  <c r="O108" i="22" s="1"/>
  <c r="L108" i="22"/>
  <c r="K108" i="22"/>
  <c r="AB108" i="22"/>
  <c r="Y108" i="22"/>
  <c r="M108" i="22"/>
  <c r="V108" i="22"/>
  <c r="X108" i="22"/>
  <c r="N108" i="22"/>
  <c r="AH107" i="22"/>
  <c r="AG107" i="22"/>
  <c r="AF107" i="22"/>
  <c r="AE107" i="22"/>
  <c r="AC107" i="22"/>
  <c r="F108" i="22"/>
  <c r="G108" i="22"/>
  <c r="A109" i="22"/>
  <c r="B108" i="22"/>
  <c r="C108" i="22"/>
  <c r="D108" i="22"/>
  <c r="E108" i="22"/>
  <c r="U107" i="22"/>
  <c r="W107" i="22"/>
  <c r="AD108" i="22" l="1"/>
  <c r="AR109" i="22"/>
  <c r="R108" i="22"/>
  <c r="Y109" i="22"/>
  <c r="V109" i="22"/>
  <c r="L109" i="22"/>
  <c r="X109" i="22"/>
  <c r="K109" i="22"/>
  <c r="Z109" i="22"/>
  <c r="AB109" i="22"/>
  <c r="AA109" i="22"/>
  <c r="O109" i="22" s="1"/>
  <c r="M109" i="22"/>
  <c r="N109" i="22"/>
  <c r="AH108" i="22"/>
  <c r="AG108" i="22"/>
  <c r="AF108" i="22"/>
  <c r="AE108" i="22"/>
  <c r="AC108" i="22"/>
  <c r="F109" i="22"/>
  <c r="G109" i="22"/>
  <c r="U108" i="22"/>
  <c r="W108" i="22"/>
  <c r="A110" i="22"/>
  <c r="C109" i="22"/>
  <c r="B109" i="22"/>
  <c r="D109" i="22"/>
  <c r="E109" i="22"/>
  <c r="AD109" i="22" l="1"/>
  <c r="AR110" i="22"/>
  <c r="R109" i="22"/>
  <c r="AA110" i="22"/>
  <c r="O110" i="22" s="1"/>
  <c r="M110" i="22"/>
  <c r="L110" i="22"/>
  <c r="X110" i="22"/>
  <c r="AB110" i="22"/>
  <c r="Y110" i="22"/>
  <c r="K110" i="22"/>
  <c r="Z110" i="22"/>
  <c r="V110" i="22"/>
  <c r="N110" i="22"/>
  <c r="AH109" i="22"/>
  <c r="AG109" i="22"/>
  <c r="AF109" i="22"/>
  <c r="AC109" i="22"/>
  <c r="AE109" i="22"/>
  <c r="F110" i="22"/>
  <c r="G110" i="22"/>
  <c r="U109" i="22"/>
  <c r="W109" i="22"/>
  <c r="B110" i="22"/>
  <c r="A111" i="22"/>
  <c r="C110" i="22"/>
  <c r="D110" i="22"/>
  <c r="E110" i="22"/>
  <c r="AD110" i="22" l="1"/>
  <c r="AR111" i="22"/>
  <c r="R110" i="22"/>
  <c r="L111" i="22"/>
  <c r="AA111" i="22"/>
  <c r="O111" i="22" s="1"/>
  <c r="Y111" i="22"/>
  <c r="AB111" i="22"/>
  <c r="N111" i="22"/>
  <c r="Z111" i="22"/>
  <c r="X111" i="22"/>
  <c r="K111" i="22"/>
  <c r="V111" i="22"/>
  <c r="M111" i="22"/>
  <c r="AH110" i="22"/>
  <c r="AG110" i="22"/>
  <c r="AF110" i="22"/>
  <c r="AC110" i="22"/>
  <c r="AE110" i="22"/>
  <c r="F111" i="22"/>
  <c r="G111" i="22"/>
  <c r="U110" i="22"/>
  <c r="W110" i="22"/>
  <c r="C111" i="22"/>
  <c r="B111" i="22"/>
  <c r="D111" i="22"/>
  <c r="A112" i="22"/>
  <c r="E111" i="22"/>
  <c r="AD111" i="22" l="1"/>
  <c r="AR112" i="22"/>
  <c r="R111" i="22"/>
  <c r="AB112" i="22"/>
  <c r="Y112" i="22"/>
  <c r="K112" i="22"/>
  <c r="N112" i="22"/>
  <c r="L112" i="22"/>
  <c r="Z112" i="22"/>
  <c r="X112" i="22"/>
  <c r="V112" i="22"/>
  <c r="M112" i="22"/>
  <c r="AA112" i="22"/>
  <c r="R112" i="22" s="1"/>
  <c r="AH111" i="22"/>
  <c r="AG111" i="22"/>
  <c r="AE111" i="22"/>
  <c r="AC111" i="22"/>
  <c r="AF111" i="22"/>
  <c r="F112" i="22"/>
  <c r="G112" i="22"/>
  <c r="U111" i="22"/>
  <c r="W111" i="22"/>
  <c r="A113" i="22"/>
  <c r="B112" i="22"/>
  <c r="C112" i="22"/>
  <c r="E112" i="22"/>
  <c r="D112" i="22"/>
  <c r="AR113" i="22" s="1"/>
  <c r="O112" i="22" l="1"/>
  <c r="K113" i="22"/>
  <c r="N113" i="22"/>
  <c r="Y113" i="22"/>
  <c r="M113" i="22"/>
  <c r="L113" i="22"/>
  <c r="AA113" i="22"/>
  <c r="O113" i="22" s="1"/>
  <c r="V113" i="22"/>
  <c r="AB113" i="22"/>
  <c r="X113" i="22"/>
  <c r="Z113" i="22"/>
  <c r="AD112" i="22"/>
  <c r="AH112" i="22"/>
  <c r="AG112" i="22"/>
  <c r="AC112" i="22"/>
  <c r="AE112" i="22"/>
  <c r="AF112" i="22"/>
  <c r="F113" i="22"/>
  <c r="G113" i="22"/>
  <c r="U112" i="22"/>
  <c r="W112" i="22"/>
  <c r="A114" i="22"/>
  <c r="B113" i="22"/>
  <c r="C113" i="22"/>
  <c r="E113" i="22"/>
  <c r="D113" i="22"/>
  <c r="AD113" i="22" l="1"/>
  <c r="AR114" i="22"/>
  <c r="R113" i="22"/>
  <c r="M114" i="22"/>
  <c r="AA114" i="22"/>
  <c r="R114" i="22" s="1"/>
  <c r="V114" i="22"/>
  <c r="K114" i="22"/>
  <c r="L114" i="22"/>
  <c r="N114" i="22"/>
  <c r="Y114" i="22"/>
  <c r="AB114" i="22"/>
  <c r="Z114" i="22"/>
  <c r="X114" i="22"/>
  <c r="AH113" i="22"/>
  <c r="AG113" i="22"/>
  <c r="AF113" i="22"/>
  <c r="AC113" i="22"/>
  <c r="AE113" i="22"/>
  <c r="F114" i="22"/>
  <c r="G114" i="22"/>
  <c r="A115" i="22"/>
  <c r="C114" i="22"/>
  <c r="B114" i="22"/>
  <c r="D114" i="22"/>
  <c r="AR115" i="22" s="1"/>
  <c r="E114" i="22"/>
  <c r="U113" i="22"/>
  <c r="W113" i="22"/>
  <c r="O114" i="22" l="1"/>
  <c r="AD114" i="22"/>
  <c r="Z115" i="22"/>
  <c r="K115" i="22"/>
  <c r="AA115" i="22"/>
  <c r="O115" i="22" s="1"/>
  <c r="V115" i="22"/>
  <c r="AB115" i="22"/>
  <c r="N115" i="22"/>
  <c r="L115" i="22"/>
  <c r="X115" i="22"/>
  <c r="Y115" i="22"/>
  <c r="M115" i="22"/>
  <c r="AH114" i="22"/>
  <c r="AG114" i="22"/>
  <c r="AF114" i="22"/>
  <c r="AE114" i="22"/>
  <c r="AC114" i="22"/>
  <c r="F115" i="22"/>
  <c r="G115" i="22"/>
  <c r="U114" i="22"/>
  <c r="W114" i="22"/>
  <c r="A116" i="22"/>
  <c r="B115" i="22"/>
  <c r="D115" i="22"/>
  <c r="C115" i="22"/>
  <c r="E115" i="22"/>
  <c r="AD115" i="22" l="1"/>
  <c r="AR116" i="22"/>
  <c r="AB116" i="22"/>
  <c r="Y116" i="22"/>
  <c r="AA116" i="22"/>
  <c r="O116" i="22" s="1"/>
  <c r="Z116" i="22"/>
  <c r="X116" i="22"/>
  <c r="M116" i="22"/>
  <c r="K116" i="22"/>
  <c r="V116" i="22"/>
  <c r="L116" i="22"/>
  <c r="N116" i="22"/>
  <c r="R115" i="22"/>
  <c r="AH115" i="22"/>
  <c r="AG115" i="22"/>
  <c r="AC115" i="22"/>
  <c r="AF115" i="22"/>
  <c r="AE115" i="22"/>
  <c r="F116" i="22"/>
  <c r="G116" i="22"/>
  <c r="A117" i="22"/>
  <c r="B116" i="22"/>
  <c r="D116" i="22"/>
  <c r="AR117" i="22" s="1"/>
  <c r="C116" i="22"/>
  <c r="E116" i="22"/>
  <c r="U115" i="22"/>
  <c r="W115" i="22"/>
  <c r="R116" i="22" l="1"/>
  <c r="AD116" i="22"/>
  <c r="M117" i="22"/>
  <c r="L117" i="22"/>
  <c r="AB117" i="22"/>
  <c r="AA117" i="22"/>
  <c r="R117" i="22" s="1"/>
  <c r="V117" i="22"/>
  <c r="Y117" i="22"/>
  <c r="Z117" i="22"/>
  <c r="N117" i="22"/>
  <c r="X117" i="22"/>
  <c r="K117" i="22"/>
  <c r="AH116" i="22"/>
  <c r="AG116" i="22"/>
  <c r="AC116" i="22"/>
  <c r="AF116" i="22"/>
  <c r="AE116" i="22"/>
  <c r="F117" i="22"/>
  <c r="G117" i="22"/>
  <c r="W116" i="22"/>
  <c r="U116" i="22"/>
  <c r="A118" i="22"/>
  <c r="B117" i="22"/>
  <c r="C117" i="22"/>
  <c r="E117" i="22"/>
  <c r="D117" i="22"/>
  <c r="AD117" i="22" l="1"/>
  <c r="AR118" i="22"/>
  <c r="AB118" i="22"/>
  <c r="V118" i="22"/>
  <c r="AA118" i="22"/>
  <c r="O118" i="22" s="1"/>
  <c r="M118" i="22"/>
  <c r="Y118" i="22"/>
  <c r="X118" i="22"/>
  <c r="N118" i="22"/>
  <c r="L118" i="22"/>
  <c r="Z118" i="22"/>
  <c r="K118" i="22"/>
  <c r="O117" i="22"/>
  <c r="AH117" i="22"/>
  <c r="AG117" i="22"/>
  <c r="AE117" i="22"/>
  <c r="AF117" i="22"/>
  <c r="AC117" i="22"/>
  <c r="F118" i="22"/>
  <c r="G118" i="22"/>
  <c r="A119" i="22"/>
  <c r="B118" i="22"/>
  <c r="C118" i="22"/>
  <c r="D118" i="22"/>
  <c r="AR119" i="22" s="1"/>
  <c r="E118" i="22"/>
  <c r="W117" i="22"/>
  <c r="U117" i="22"/>
  <c r="D12" i="9" l="1"/>
  <c r="R118" i="22"/>
  <c r="M119" i="22"/>
  <c r="Y119" i="22"/>
  <c r="X119" i="22"/>
  <c r="Z119" i="22"/>
  <c r="V119" i="22"/>
  <c r="N119" i="22"/>
  <c r="AA119" i="22"/>
  <c r="O119" i="22" s="1"/>
  <c r="L119" i="22"/>
  <c r="K119" i="22"/>
  <c r="AB119" i="22"/>
  <c r="AD118" i="22"/>
  <c r="AH118" i="22"/>
  <c r="AG118" i="22"/>
  <c r="AE118" i="22"/>
  <c r="AF118" i="22"/>
  <c r="AC118" i="22"/>
  <c r="F119" i="22"/>
  <c r="G119" i="22"/>
  <c r="U118" i="22"/>
  <c r="D15" i="9" s="1"/>
  <c r="W118" i="22"/>
  <c r="A120" i="22"/>
  <c r="B119" i="22"/>
  <c r="C119" i="22"/>
  <c r="E119" i="22"/>
  <c r="D119" i="22"/>
  <c r="AD119" i="22" l="1"/>
  <c r="AR120" i="22"/>
  <c r="R119" i="22"/>
  <c r="AB120" i="22"/>
  <c r="AA120" i="22"/>
  <c r="O120" i="22" s="1"/>
  <c r="Y120" i="22"/>
  <c r="L120" i="22"/>
  <c r="X120" i="22"/>
  <c r="M120" i="22"/>
  <c r="V120" i="22"/>
  <c r="Z120" i="22"/>
  <c r="N120" i="22"/>
  <c r="K120" i="22"/>
  <c r="AH119" i="22"/>
  <c r="AG119" i="22"/>
  <c r="AC119" i="22"/>
  <c r="AF119" i="22"/>
  <c r="AE119" i="22"/>
  <c r="F120" i="22"/>
  <c r="G120" i="22"/>
  <c r="A121" i="22"/>
  <c r="B120" i="22"/>
  <c r="C120" i="22"/>
  <c r="D120" i="22"/>
  <c r="E120" i="22"/>
  <c r="U119" i="22"/>
  <c r="W119" i="22"/>
  <c r="AD120" i="22" l="1"/>
  <c r="AR121" i="22"/>
  <c r="R120" i="22"/>
  <c r="V121" i="22"/>
  <c r="M121" i="22"/>
  <c r="L121" i="22"/>
  <c r="AB121" i="22"/>
  <c r="AA121" i="22"/>
  <c r="O121" i="22" s="1"/>
  <c r="Z121" i="22"/>
  <c r="K121" i="22"/>
  <c r="X121" i="22"/>
  <c r="Y121" i="22"/>
  <c r="N121" i="22"/>
  <c r="AH120" i="22"/>
  <c r="AG120" i="22"/>
  <c r="AE120" i="22"/>
  <c r="AF120" i="22"/>
  <c r="AC120" i="22"/>
  <c r="F121" i="22"/>
  <c r="G121" i="22"/>
  <c r="U120" i="22"/>
  <c r="W120" i="22"/>
  <c r="A122" i="22"/>
  <c r="C121" i="22"/>
  <c r="B121" i="22"/>
  <c r="D121" i="22"/>
  <c r="E121" i="22"/>
  <c r="AD121" i="22" l="1"/>
  <c r="AR122" i="22"/>
  <c r="R121" i="22"/>
  <c r="AB122" i="22"/>
  <c r="AA122" i="22"/>
  <c r="O122" i="22" s="1"/>
  <c r="M122" i="22"/>
  <c r="V122" i="22"/>
  <c r="X122" i="22"/>
  <c r="K122" i="22"/>
  <c r="Y122" i="22"/>
  <c r="L122" i="22"/>
  <c r="N122" i="22"/>
  <c r="Z122" i="22"/>
  <c r="AH121" i="22"/>
  <c r="AG121" i="22"/>
  <c r="AF121" i="22"/>
  <c r="AE121" i="22"/>
  <c r="AC121" i="22"/>
  <c r="F122" i="22"/>
  <c r="G122" i="22"/>
  <c r="A123" i="22"/>
  <c r="B122" i="22"/>
  <c r="C122" i="22"/>
  <c r="D122" i="22"/>
  <c r="E122" i="22"/>
  <c r="U121" i="22"/>
  <c r="W121" i="22"/>
  <c r="AD122" i="22" l="1"/>
  <c r="AR123" i="22"/>
  <c r="R122" i="22"/>
  <c r="X123" i="22"/>
  <c r="Y123" i="22"/>
  <c r="K123" i="22"/>
  <c r="AA123" i="22"/>
  <c r="R123" i="22" s="1"/>
  <c r="L123" i="22"/>
  <c r="Z123" i="22"/>
  <c r="M123" i="22"/>
  <c r="AB123" i="22"/>
  <c r="N123" i="22"/>
  <c r="V123" i="22"/>
  <c r="AH122" i="22"/>
  <c r="AG122" i="22"/>
  <c r="AF122" i="22"/>
  <c r="AE122" i="22"/>
  <c r="AC122" i="22"/>
  <c r="F123" i="22"/>
  <c r="G123" i="22"/>
  <c r="U122" i="22"/>
  <c r="W122" i="22"/>
  <c r="A124" i="22"/>
  <c r="B123" i="22"/>
  <c r="C123" i="22"/>
  <c r="D123" i="22"/>
  <c r="E123" i="22"/>
  <c r="AD123" i="22" l="1"/>
  <c r="AR124" i="22"/>
  <c r="O123" i="22"/>
  <c r="N124" i="22"/>
  <c r="X124" i="22"/>
  <c r="V124" i="22"/>
  <c r="Z124" i="22"/>
  <c r="AB124" i="22"/>
  <c r="K124" i="22"/>
  <c r="Y124" i="22"/>
  <c r="AA124" i="22"/>
  <c r="O124" i="22" s="1"/>
  <c r="M124" i="22"/>
  <c r="L124" i="22"/>
  <c r="AH123" i="22"/>
  <c r="AG123" i="22"/>
  <c r="AE123" i="22"/>
  <c r="AF123" i="22"/>
  <c r="AC123" i="22"/>
  <c r="F124" i="22"/>
  <c r="G124" i="22"/>
  <c r="A125" i="22"/>
  <c r="B124" i="22"/>
  <c r="C124" i="22"/>
  <c r="D124" i="22"/>
  <c r="E124" i="22"/>
  <c r="U123" i="22"/>
  <c r="W123" i="22"/>
  <c r="AD124" i="22" l="1"/>
  <c r="AR125" i="22"/>
  <c r="R124" i="22"/>
  <c r="Z125" i="22"/>
  <c r="V125" i="22"/>
  <c r="AB125" i="22"/>
  <c r="N125" i="22"/>
  <c r="Y125" i="22"/>
  <c r="AA125" i="22"/>
  <c r="R125" i="22" s="1"/>
  <c r="K125" i="22"/>
  <c r="M125" i="22"/>
  <c r="L125" i="22"/>
  <c r="X125" i="22"/>
  <c r="AH124" i="22"/>
  <c r="AG124" i="22"/>
  <c r="AC124" i="22"/>
  <c r="AF124" i="22"/>
  <c r="AE124" i="22"/>
  <c r="F125" i="22"/>
  <c r="G125" i="22"/>
  <c r="U124" i="22"/>
  <c r="W124" i="22"/>
  <c r="A126" i="22"/>
  <c r="B125" i="22"/>
  <c r="D125" i="22"/>
  <c r="C125" i="22"/>
  <c r="E125" i="22"/>
  <c r="AD125" i="22" l="1"/>
  <c r="AR126" i="22"/>
  <c r="O125" i="22"/>
  <c r="Z126" i="22"/>
  <c r="K126" i="22"/>
  <c r="V126" i="22"/>
  <c r="AB126" i="22"/>
  <c r="AA126" i="22"/>
  <c r="R126" i="22" s="1"/>
  <c r="M126" i="22"/>
  <c r="X126" i="22"/>
  <c r="L126" i="22"/>
  <c r="Y126" i="22"/>
  <c r="N126" i="22"/>
  <c r="AH125" i="22"/>
  <c r="AG125" i="22"/>
  <c r="AE125" i="22"/>
  <c r="AC125" i="22"/>
  <c r="AF125" i="22"/>
  <c r="F126" i="22"/>
  <c r="G126" i="22"/>
  <c r="A127" i="22"/>
  <c r="B126" i="22"/>
  <c r="C126" i="22"/>
  <c r="E126" i="22"/>
  <c r="D126" i="22"/>
  <c r="U125" i="22"/>
  <c r="W125" i="22"/>
  <c r="AD126" i="22" l="1"/>
  <c r="AR127" i="22"/>
  <c r="O126" i="22"/>
  <c r="Z127" i="22"/>
  <c r="X127" i="22"/>
  <c r="V127" i="22"/>
  <c r="Y127" i="22"/>
  <c r="N127" i="22"/>
  <c r="AA127" i="22"/>
  <c r="O127" i="22" s="1"/>
  <c r="L127" i="22"/>
  <c r="AB127" i="22"/>
  <c r="K127" i="22"/>
  <c r="M127" i="22"/>
  <c r="AH126" i="22"/>
  <c r="AG126" i="22"/>
  <c r="AC126" i="22"/>
  <c r="AF126" i="22"/>
  <c r="AE126" i="22"/>
  <c r="F127" i="22"/>
  <c r="G127" i="22"/>
  <c r="U126" i="22"/>
  <c r="W126" i="22"/>
  <c r="A128" i="22"/>
  <c r="B127" i="22"/>
  <c r="C127" i="22"/>
  <c r="D127" i="22"/>
  <c r="E127" i="22"/>
  <c r="AD127" i="22" l="1"/>
  <c r="AR128" i="22"/>
  <c r="R127" i="22"/>
  <c r="X128" i="22"/>
  <c r="AA128" i="22"/>
  <c r="O128" i="22" s="1"/>
  <c r="AB128" i="22"/>
  <c r="N128" i="22"/>
  <c r="L128" i="22"/>
  <c r="K128" i="22"/>
  <c r="M128" i="22"/>
  <c r="Y128" i="22"/>
  <c r="V128" i="22"/>
  <c r="Z128" i="22"/>
  <c r="AH127" i="22"/>
  <c r="AG127" i="22"/>
  <c r="AC127" i="22"/>
  <c r="AE127" i="22"/>
  <c r="AF127" i="22"/>
  <c r="F128" i="22"/>
  <c r="G128" i="22"/>
  <c r="A129" i="22"/>
  <c r="B128" i="22"/>
  <c r="C128" i="22"/>
  <c r="D128" i="22"/>
  <c r="E128" i="22"/>
  <c r="U127" i="22"/>
  <c r="W127" i="22"/>
  <c r="AD128" i="22" l="1"/>
  <c r="AR129" i="22"/>
  <c r="M129" i="22"/>
  <c r="V129" i="22"/>
  <c r="X129" i="22"/>
  <c r="N129" i="22"/>
  <c r="Y129" i="22"/>
  <c r="AB129" i="22"/>
  <c r="L129" i="22"/>
  <c r="Z129" i="22"/>
  <c r="AA129" i="22"/>
  <c r="R129" i="22" s="1"/>
  <c r="K129" i="22"/>
  <c r="R128" i="22"/>
  <c r="AH128" i="22"/>
  <c r="AG128" i="22"/>
  <c r="AC128" i="22"/>
  <c r="AE128" i="22"/>
  <c r="AF128" i="22"/>
  <c r="F129" i="22"/>
  <c r="G129" i="22"/>
  <c r="W128" i="22"/>
  <c r="U128" i="22"/>
  <c r="B129" i="22"/>
  <c r="A130" i="22"/>
  <c r="C129" i="22"/>
  <c r="D129" i="22"/>
  <c r="E129" i="22"/>
  <c r="AD129" i="22" l="1"/>
  <c r="AR130" i="22"/>
  <c r="O129" i="22"/>
  <c r="Y130" i="22"/>
  <c r="M130" i="22"/>
  <c r="L130" i="22"/>
  <c r="AA130" i="22"/>
  <c r="R130" i="22" s="1"/>
  <c r="Z130" i="22"/>
  <c r="X130" i="22"/>
  <c r="N130" i="22"/>
  <c r="AB130" i="22"/>
  <c r="K130" i="22"/>
  <c r="V130" i="22"/>
  <c r="AH129" i="22"/>
  <c r="AG129" i="22"/>
  <c r="AE129" i="22"/>
  <c r="AC129" i="22"/>
  <c r="AF129" i="22"/>
  <c r="F130" i="22"/>
  <c r="G130" i="22"/>
  <c r="B130" i="22"/>
  <c r="A131" i="22"/>
  <c r="C130" i="22"/>
  <c r="D130" i="22"/>
  <c r="E130" i="22"/>
  <c r="W129" i="22"/>
  <c r="U129" i="22"/>
  <c r="AD130" i="22" l="1"/>
  <c r="AR131" i="22"/>
  <c r="O130" i="22"/>
  <c r="X131" i="22"/>
  <c r="Z131" i="22"/>
  <c r="M131" i="22"/>
  <c r="K131" i="22"/>
  <c r="V131" i="22"/>
  <c r="Y131" i="22"/>
  <c r="AA131" i="22"/>
  <c r="R131" i="22" s="1"/>
  <c r="L131" i="22"/>
  <c r="N131" i="22"/>
  <c r="AB131" i="22"/>
  <c r="AH130" i="22"/>
  <c r="AG130" i="22"/>
  <c r="AE130" i="22"/>
  <c r="AC130" i="22"/>
  <c r="AF130" i="22"/>
  <c r="F131" i="22"/>
  <c r="G131" i="22"/>
  <c r="U130" i="22"/>
  <c r="W130" i="22"/>
  <c r="B131" i="22"/>
  <c r="A132" i="22"/>
  <c r="E131" i="22"/>
  <c r="C131" i="22"/>
  <c r="D131" i="22"/>
  <c r="AD131" i="22" l="1"/>
  <c r="AR132" i="22"/>
  <c r="O131" i="22"/>
  <c r="V132" i="22"/>
  <c r="M132" i="22"/>
  <c r="N132" i="22"/>
  <c r="AB132" i="22"/>
  <c r="Z132" i="22"/>
  <c r="L132" i="22"/>
  <c r="AA132" i="22"/>
  <c r="O132" i="22" s="1"/>
  <c r="Y132" i="22"/>
  <c r="K132" i="22"/>
  <c r="X132" i="22"/>
  <c r="AH131" i="22"/>
  <c r="AG131" i="22"/>
  <c r="AE131" i="22"/>
  <c r="AC131" i="22"/>
  <c r="AF131" i="22"/>
  <c r="F132" i="22"/>
  <c r="G132" i="22"/>
  <c r="A133" i="22"/>
  <c r="B132" i="22"/>
  <c r="C132" i="22"/>
  <c r="E132" i="22"/>
  <c r="D132" i="22"/>
  <c r="U131" i="22"/>
  <c r="W131" i="22"/>
  <c r="AD132" i="22" l="1"/>
  <c r="AR133" i="22"/>
  <c r="R132" i="22"/>
  <c r="N133" i="22"/>
  <c r="V133" i="22"/>
  <c r="X133" i="22"/>
  <c r="AB133" i="22"/>
  <c r="L133" i="22"/>
  <c r="K133" i="22"/>
  <c r="Y133" i="22"/>
  <c r="Z133" i="22"/>
  <c r="AA133" i="22"/>
  <c r="O133" i="22" s="1"/>
  <c r="M133" i="22"/>
  <c r="AH132" i="22"/>
  <c r="AG132" i="22"/>
  <c r="AE132" i="22"/>
  <c r="AC132" i="22"/>
  <c r="AF132" i="22"/>
  <c r="F133" i="22"/>
  <c r="G133" i="22"/>
  <c r="U132" i="22"/>
  <c r="W132" i="22"/>
  <c r="A134" i="22"/>
  <c r="B133" i="22"/>
  <c r="C133" i="22"/>
  <c r="D133" i="22"/>
  <c r="E133" i="22"/>
  <c r="AD133" i="22" l="1"/>
  <c r="AR134" i="22"/>
  <c r="R133" i="22"/>
  <c r="AA134" i="22"/>
  <c r="O134" i="22" s="1"/>
  <c r="M134" i="22"/>
  <c r="X134" i="22"/>
  <c r="AB134" i="22"/>
  <c r="V134" i="22"/>
  <c r="L134" i="22"/>
  <c r="Y134" i="22"/>
  <c r="N134" i="22"/>
  <c r="Z134" i="22"/>
  <c r="K134" i="22"/>
  <c r="AH133" i="22"/>
  <c r="AG133" i="22"/>
  <c r="AC133" i="22"/>
  <c r="AE133" i="22"/>
  <c r="AF133" i="22"/>
  <c r="F134" i="22"/>
  <c r="G134" i="22"/>
  <c r="A135" i="22"/>
  <c r="B134" i="22"/>
  <c r="C134" i="22"/>
  <c r="D134" i="22"/>
  <c r="E134" i="22"/>
  <c r="U133" i="22"/>
  <c r="W133" i="22"/>
  <c r="AD134" i="22" l="1"/>
  <c r="AR135" i="22"/>
  <c r="R134" i="22"/>
  <c r="L135" i="22"/>
  <c r="M135" i="22"/>
  <c r="AA135" i="22"/>
  <c r="O135" i="22" s="1"/>
  <c r="V135" i="22"/>
  <c r="N135" i="22"/>
  <c r="K135" i="22"/>
  <c r="Z135" i="22"/>
  <c r="X135" i="22"/>
  <c r="Y135" i="22"/>
  <c r="AB135" i="22"/>
  <c r="AH134" i="22"/>
  <c r="AG134" i="22"/>
  <c r="AE134" i="22"/>
  <c r="AC134" i="22"/>
  <c r="AF134" i="22"/>
  <c r="F135" i="22"/>
  <c r="G135" i="22"/>
  <c r="U134" i="22"/>
  <c r="W134" i="22"/>
  <c r="A136" i="22"/>
  <c r="C135" i="22"/>
  <c r="B135" i="22"/>
  <c r="D135" i="22"/>
  <c r="E135" i="22"/>
  <c r="AD135" i="22" l="1"/>
  <c r="AR136" i="22"/>
  <c r="R135" i="22"/>
  <c r="Z136" i="22"/>
  <c r="AA136" i="22"/>
  <c r="R136" i="22" s="1"/>
  <c r="K136" i="22"/>
  <c r="N136" i="22"/>
  <c r="L136" i="22"/>
  <c r="V136" i="22"/>
  <c r="X136" i="22"/>
  <c r="M136" i="22"/>
  <c r="Y136" i="22"/>
  <c r="AB136" i="22"/>
  <c r="AH135" i="22"/>
  <c r="AG135" i="22"/>
  <c r="AC135" i="22"/>
  <c r="AE135" i="22"/>
  <c r="AF135" i="22"/>
  <c r="F136" i="22"/>
  <c r="G136" i="22"/>
  <c r="U135" i="22"/>
  <c r="W135" i="22"/>
  <c r="A137" i="22"/>
  <c r="B136" i="22"/>
  <c r="C136" i="22"/>
  <c r="D136" i="22"/>
  <c r="E136" i="22"/>
  <c r="AD136" i="22" l="1"/>
  <c r="AR137" i="22"/>
  <c r="O136" i="22"/>
  <c r="L137" i="22"/>
  <c r="V137" i="22"/>
  <c r="N137" i="22"/>
  <c r="M137" i="22"/>
  <c r="Y137" i="22"/>
  <c r="AA137" i="22"/>
  <c r="O137" i="22" s="1"/>
  <c r="AB137" i="22"/>
  <c r="X137" i="22"/>
  <c r="K137" i="22"/>
  <c r="Z137" i="22"/>
  <c r="AH136" i="22"/>
  <c r="AG136" i="22"/>
  <c r="AE136" i="22"/>
  <c r="AC136" i="22"/>
  <c r="AF136" i="22"/>
  <c r="F137" i="22"/>
  <c r="G137" i="22"/>
  <c r="U136" i="22"/>
  <c r="W136" i="22"/>
  <c r="A138" i="22"/>
  <c r="B137" i="22"/>
  <c r="C137" i="22"/>
  <c r="D137" i="22"/>
  <c r="E137" i="22"/>
  <c r="AD137" i="22" l="1"/>
  <c r="AR138" i="22"/>
  <c r="R137" i="22"/>
  <c r="AB138" i="22"/>
  <c r="L138" i="22"/>
  <c r="AA138" i="22"/>
  <c r="R138" i="22" s="1"/>
  <c r="Y138" i="22"/>
  <c r="Z138" i="22"/>
  <c r="K138" i="22"/>
  <c r="N138" i="22"/>
  <c r="X138" i="22"/>
  <c r="V138" i="22"/>
  <c r="M138" i="22"/>
  <c r="AH137" i="22"/>
  <c r="AG137" i="22"/>
  <c r="AE137" i="22"/>
  <c r="AC137" i="22"/>
  <c r="AF137" i="22"/>
  <c r="F138" i="22"/>
  <c r="G138" i="22"/>
  <c r="A139" i="22"/>
  <c r="B138" i="22"/>
  <c r="C138" i="22"/>
  <c r="D138" i="22"/>
  <c r="E138" i="22"/>
  <c r="U137" i="22"/>
  <c r="W137" i="22"/>
  <c r="AD138" i="22" l="1"/>
  <c r="AR139" i="22"/>
  <c r="O138" i="22"/>
  <c r="L139" i="22"/>
  <c r="AB139" i="22"/>
  <c r="N139" i="22"/>
  <c r="AA139" i="22"/>
  <c r="R139" i="22" s="1"/>
  <c r="K139" i="22"/>
  <c r="Y139" i="22"/>
  <c r="Z139" i="22"/>
  <c r="M139" i="22"/>
  <c r="X139" i="22"/>
  <c r="V139" i="22"/>
  <c r="AH138" i="22"/>
  <c r="AG138" i="22"/>
  <c r="AE138" i="22"/>
  <c r="AC138" i="22"/>
  <c r="AF138" i="22"/>
  <c r="F139" i="22"/>
  <c r="G139" i="22"/>
  <c r="U138" i="22"/>
  <c r="W138" i="22"/>
  <c r="A140" i="22"/>
  <c r="B139" i="22"/>
  <c r="D139" i="22"/>
  <c r="C139" i="22"/>
  <c r="E139" i="22"/>
  <c r="AD139" i="22" l="1"/>
  <c r="AR140" i="22"/>
  <c r="O139" i="22"/>
  <c r="N140" i="22"/>
  <c r="L140" i="22"/>
  <c r="AA140" i="22"/>
  <c r="R140" i="22" s="1"/>
  <c r="Y140" i="22"/>
  <c r="V140" i="22"/>
  <c r="Z140" i="22"/>
  <c r="K140" i="22"/>
  <c r="X140" i="22"/>
  <c r="M140" i="22"/>
  <c r="AB140" i="22"/>
  <c r="AH139" i="22"/>
  <c r="AG139" i="22"/>
  <c r="AE139" i="22"/>
  <c r="AC139" i="22"/>
  <c r="AF139" i="22"/>
  <c r="F140" i="22"/>
  <c r="G140" i="22"/>
  <c r="A141" i="22"/>
  <c r="B140" i="22"/>
  <c r="C140" i="22"/>
  <c r="D140" i="22"/>
  <c r="E140" i="22"/>
  <c r="U139" i="22"/>
  <c r="W139" i="22"/>
  <c r="AD140" i="22" l="1"/>
  <c r="AR141" i="22"/>
  <c r="O140" i="22"/>
  <c r="Y141" i="22"/>
  <c r="X141" i="22"/>
  <c r="L141" i="22"/>
  <c r="M141" i="22"/>
  <c r="AB141" i="22"/>
  <c r="Z141" i="22"/>
  <c r="V141" i="22"/>
  <c r="AA141" i="22"/>
  <c r="R141" i="22" s="1"/>
  <c r="N141" i="22"/>
  <c r="K141" i="22"/>
  <c r="AH140" i="22"/>
  <c r="AG140" i="22"/>
  <c r="AE140" i="22"/>
  <c r="AC140" i="22"/>
  <c r="AF140" i="22"/>
  <c r="F141" i="22"/>
  <c r="G141" i="22"/>
  <c r="W140" i="22"/>
  <c r="U140" i="22"/>
  <c r="A142" i="22"/>
  <c r="B141" i="22"/>
  <c r="C141" i="22"/>
  <c r="D141" i="22"/>
  <c r="E141" i="22"/>
  <c r="AD141" i="22" l="1"/>
  <c r="AR142" i="22"/>
  <c r="X142" i="22"/>
  <c r="AB142" i="22"/>
  <c r="K142" i="22"/>
  <c r="M142" i="22"/>
  <c r="V142" i="22"/>
  <c r="L142" i="22"/>
  <c r="AA142" i="22"/>
  <c r="O142" i="22" s="1"/>
  <c r="Y142" i="22"/>
  <c r="Z142" i="22"/>
  <c r="N142" i="22"/>
  <c r="O141" i="22"/>
  <c r="AH141" i="22"/>
  <c r="AG141" i="22"/>
  <c r="AE141" i="22"/>
  <c r="AC141" i="22"/>
  <c r="AF141" i="22"/>
  <c r="F142" i="22"/>
  <c r="G142" i="22"/>
  <c r="A143" i="22"/>
  <c r="B142" i="22"/>
  <c r="C142" i="22"/>
  <c r="D142" i="22"/>
  <c r="E142" i="22"/>
  <c r="W141" i="22"/>
  <c r="U141" i="22"/>
  <c r="AD142" i="22" l="1"/>
  <c r="AR143" i="22"/>
  <c r="R142" i="22"/>
  <c r="V143" i="22"/>
  <c r="AA143" i="22"/>
  <c r="O143" i="22" s="1"/>
  <c r="L143" i="22"/>
  <c r="M143" i="22"/>
  <c r="X143" i="22"/>
  <c r="AB143" i="22"/>
  <c r="K143" i="22"/>
  <c r="Y143" i="22"/>
  <c r="N143" i="22"/>
  <c r="Z143" i="22"/>
  <c r="AH142" i="22"/>
  <c r="AG142" i="22"/>
  <c r="AE142" i="22"/>
  <c r="AC142" i="22"/>
  <c r="AF142" i="22"/>
  <c r="F143" i="22"/>
  <c r="G143" i="22"/>
  <c r="U142" i="22"/>
  <c r="W142" i="22"/>
  <c r="B143" i="22"/>
  <c r="A144" i="22"/>
  <c r="D143" i="22"/>
  <c r="E143" i="22"/>
  <c r="C143" i="22"/>
  <c r="AD143" i="22" l="1"/>
  <c r="AR144" i="22"/>
  <c r="R143" i="22"/>
  <c r="Z144" i="22"/>
  <c r="AB144" i="22"/>
  <c r="AA144" i="22"/>
  <c r="O144" i="22" s="1"/>
  <c r="K144" i="22"/>
  <c r="Y144" i="22"/>
  <c r="L144" i="22"/>
  <c r="V144" i="22"/>
  <c r="X144" i="22"/>
  <c r="N144" i="22"/>
  <c r="M144" i="22"/>
  <c r="AH143" i="22"/>
  <c r="AG143" i="22"/>
  <c r="AE143" i="22"/>
  <c r="AC143" i="22"/>
  <c r="AF143" i="22"/>
  <c r="F144" i="22"/>
  <c r="G144" i="22"/>
  <c r="U143" i="22"/>
  <c r="W143" i="22"/>
  <c r="A145" i="22"/>
  <c r="B144" i="22"/>
  <c r="D144" i="22"/>
  <c r="C144" i="22"/>
  <c r="E144" i="22"/>
  <c r="AD144" i="22" l="1"/>
  <c r="AR145" i="22"/>
  <c r="AB145" i="22"/>
  <c r="K145" i="22"/>
  <c r="N145" i="22"/>
  <c r="M145" i="22"/>
  <c r="Z145" i="22"/>
  <c r="Y145" i="22"/>
  <c r="X145" i="22"/>
  <c r="AA145" i="22"/>
  <c r="R145" i="22" s="1"/>
  <c r="V145" i="22"/>
  <c r="L145" i="22"/>
  <c r="R144" i="22"/>
  <c r="AH144" i="22"/>
  <c r="AG144" i="22"/>
  <c r="AC144" i="22"/>
  <c r="AE144" i="22"/>
  <c r="AF144" i="22"/>
  <c r="F145" i="22"/>
  <c r="G145" i="22"/>
  <c r="U144" i="22"/>
  <c r="W144" i="22"/>
  <c r="A146" i="22"/>
  <c r="C145" i="22"/>
  <c r="B145" i="22"/>
  <c r="D145" i="22"/>
  <c r="E145" i="22"/>
  <c r="AD145" i="22" l="1"/>
  <c r="AR146" i="22"/>
  <c r="O145" i="22"/>
  <c r="X146" i="22"/>
  <c r="Z146" i="22"/>
  <c r="Y146" i="22"/>
  <c r="K146" i="22"/>
  <c r="M146" i="22"/>
  <c r="AB146" i="22"/>
  <c r="L146" i="22"/>
  <c r="AA146" i="22"/>
  <c r="R146" i="22" s="1"/>
  <c r="V146" i="22"/>
  <c r="N146" i="22"/>
  <c r="AH145" i="22"/>
  <c r="AG145" i="22"/>
  <c r="AE145" i="22"/>
  <c r="AC145" i="22"/>
  <c r="AF145" i="22"/>
  <c r="F146" i="22"/>
  <c r="G146" i="22"/>
  <c r="A147" i="22"/>
  <c r="B146" i="22"/>
  <c r="C146" i="22"/>
  <c r="E146" i="22"/>
  <c r="D146" i="22"/>
  <c r="U145" i="22"/>
  <c r="W145" i="22"/>
  <c r="AD146" i="22" l="1"/>
  <c r="AR147" i="22"/>
  <c r="O146" i="22"/>
  <c r="AA147" i="22"/>
  <c r="R147" i="22" s="1"/>
  <c r="N147" i="22"/>
  <c r="V147" i="22"/>
  <c r="K147" i="22"/>
  <c r="L147" i="22"/>
  <c r="M147" i="22"/>
  <c r="Y147" i="22"/>
  <c r="Z147" i="22"/>
  <c r="X147" i="22"/>
  <c r="AB147" i="22"/>
  <c r="AH146" i="22"/>
  <c r="AG146" i="22"/>
  <c r="AE146" i="22"/>
  <c r="AC146" i="22"/>
  <c r="AF146" i="22"/>
  <c r="F147" i="22"/>
  <c r="G147" i="22"/>
  <c r="U146" i="22"/>
  <c r="W146" i="22"/>
  <c r="A148" i="22"/>
  <c r="C147" i="22"/>
  <c r="B147" i="22"/>
  <c r="D147" i="22"/>
  <c r="E147" i="22"/>
  <c r="AD147" i="22" l="1"/>
  <c r="AR148" i="22"/>
  <c r="O147" i="22"/>
  <c r="Y148" i="22"/>
  <c r="K148" i="22"/>
  <c r="V148" i="22"/>
  <c r="N148" i="22"/>
  <c r="AA148" i="22"/>
  <c r="O148" i="22" s="1"/>
  <c r="L148" i="22"/>
  <c r="Z148" i="22"/>
  <c r="AB148" i="22"/>
  <c r="X148" i="22"/>
  <c r="M148" i="22"/>
  <c r="AH147" i="22"/>
  <c r="AG147" i="22"/>
  <c r="AC147" i="22"/>
  <c r="AE147" i="22"/>
  <c r="AF147" i="22"/>
  <c r="F148" i="22"/>
  <c r="G148" i="22"/>
  <c r="A149" i="22"/>
  <c r="B148" i="22"/>
  <c r="C148" i="22"/>
  <c r="D148" i="22"/>
  <c r="E148" i="22"/>
  <c r="U147" i="22"/>
  <c r="W147" i="22"/>
  <c r="AD148" i="22" l="1"/>
  <c r="AR149" i="22"/>
  <c r="R148" i="22"/>
  <c r="N149" i="22"/>
  <c r="K149" i="22"/>
  <c r="AB149" i="22"/>
  <c r="Y149" i="22"/>
  <c r="L149" i="22"/>
  <c r="M149" i="22"/>
  <c r="Z149" i="22"/>
  <c r="AA149" i="22"/>
  <c r="O149" i="22" s="1"/>
  <c r="X149" i="22"/>
  <c r="V149" i="22"/>
  <c r="AH148" i="22"/>
  <c r="AG148" i="22"/>
  <c r="AE148" i="22"/>
  <c r="AC148" i="22"/>
  <c r="AF148" i="22"/>
  <c r="F149" i="22"/>
  <c r="G149" i="22"/>
  <c r="U148" i="22"/>
  <c r="W148" i="22"/>
  <c r="A150" i="22"/>
  <c r="B149" i="22"/>
  <c r="C149" i="22"/>
  <c r="D149" i="22"/>
  <c r="E149" i="22"/>
  <c r="AD149" i="22" l="1"/>
  <c r="AR150" i="22"/>
  <c r="R149" i="22"/>
  <c r="X150" i="22"/>
  <c r="M150" i="22"/>
  <c r="N150" i="22"/>
  <c r="Y150" i="22"/>
  <c r="Z150" i="22"/>
  <c r="V150" i="22"/>
  <c r="K150" i="22"/>
  <c r="AA150" i="22"/>
  <c r="O150" i="22" s="1"/>
  <c r="L150" i="22"/>
  <c r="AB150" i="22"/>
  <c r="AH149" i="22"/>
  <c r="AG149" i="22"/>
  <c r="AC149" i="22"/>
  <c r="AE149" i="22"/>
  <c r="AF149" i="22"/>
  <c r="F150" i="22"/>
  <c r="G150" i="22"/>
  <c r="A151" i="22"/>
  <c r="B150" i="22"/>
  <c r="C150" i="22"/>
  <c r="D150" i="22"/>
  <c r="E150" i="22"/>
  <c r="U149" i="22"/>
  <c r="W149" i="22"/>
  <c r="AD150" i="22" l="1"/>
  <c r="AR151" i="22"/>
  <c r="R150" i="22"/>
  <c r="N151" i="22"/>
  <c r="Z151" i="22"/>
  <c r="X151" i="22"/>
  <c r="V151" i="22"/>
  <c r="AA151" i="22"/>
  <c r="R151" i="22" s="1"/>
  <c r="L151" i="22"/>
  <c r="M151" i="22"/>
  <c r="K151" i="22"/>
  <c r="Y151" i="22"/>
  <c r="AB151" i="22"/>
  <c r="AH150" i="22"/>
  <c r="AG150" i="22"/>
  <c r="AC150" i="22"/>
  <c r="AE150" i="22"/>
  <c r="AF150" i="22"/>
  <c r="F151" i="22"/>
  <c r="G151" i="22"/>
  <c r="U150" i="22"/>
  <c r="W150" i="22"/>
  <c r="A152" i="22"/>
  <c r="B151" i="22"/>
  <c r="D151" i="22"/>
  <c r="C151" i="22"/>
  <c r="E151" i="22"/>
  <c r="AD151" i="22" l="1"/>
  <c r="AR152" i="22"/>
  <c r="O151" i="22"/>
  <c r="L152" i="22"/>
  <c r="M152" i="22"/>
  <c r="Y152" i="22"/>
  <c r="K152" i="22"/>
  <c r="V152" i="22"/>
  <c r="X152" i="22"/>
  <c r="N152" i="22"/>
  <c r="AA152" i="22"/>
  <c r="O152" i="22" s="1"/>
  <c r="Z152" i="22"/>
  <c r="AB152" i="22"/>
  <c r="AH151" i="22"/>
  <c r="AG151" i="22"/>
  <c r="AC151" i="22"/>
  <c r="AE151" i="22"/>
  <c r="AF151" i="22"/>
  <c r="F152" i="22"/>
  <c r="G152" i="22"/>
  <c r="A153" i="22"/>
  <c r="B152" i="22"/>
  <c r="D152" i="22"/>
  <c r="C152" i="22"/>
  <c r="E152" i="22"/>
  <c r="U151" i="22"/>
  <c r="W151" i="22"/>
  <c r="AD152" i="22" l="1"/>
  <c r="AR153" i="22"/>
  <c r="R152" i="22"/>
  <c r="Z153" i="22"/>
  <c r="K153" i="22"/>
  <c r="X153" i="22"/>
  <c r="N153" i="22"/>
  <c r="AB153" i="22"/>
  <c r="L153" i="22"/>
  <c r="Y153" i="22"/>
  <c r="AA153" i="22"/>
  <c r="O153" i="22" s="1"/>
  <c r="M153" i="22"/>
  <c r="V153" i="22"/>
  <c r="AH152" i="22"/>
  <c r="AG152" i="22"/>
  <c r="AC152" i="22"/>
  <c r="AE152" i="22"/>
  <c r="AF152" i="22"/>
  <c r="F153" i="22"/>
  <c r="G153" i="22"/>
  <c r="W152" i="22"/>
  <c r="U152" i="22"/>
  <c r="A154" i="22"/>
  <c r="C153" i="22"/>
  <c r="B153" i="22"/>
  <c r="D153" i="22"/>
  <c r="E153" i="22"/>
  <c r="AD153" i="22" l="1"/>
  <c r="AR154" i="22"/>
  <c r="R153" i="22"/>
  <c r="K154" i="22"/>
  <c r="M154" i="22"/>
  <c r="N154" i="22"/>
  <c r="Z154" i="22"/>
  <c r="X154" i="22"/>
  <c r="L154" i="22"/>
  <c r="V154" i="22"/>
  <c r="AB154" i="22"/>
  <c r="Y154" i="22"/>
  <c r="AA154" i="22"/>
  <c r="R154" i="22" s="1"/>
  <c r="AH153" i="22"/>
  <c r="AG153" i="22"/>
  <c r="AC153" i="22"/>
  <c r="AE153" i="22"/>
  <c r="AF153" i="22"/>
  <c r="F154" i="22"/>
  <c r="G154" i="22"/>
  <c r="A155" i="22"/>
  <c r="B154" i="22"/>
  <c r="D154" i="22"/>
  <c r="C154" i="22"/>
  <c r="E154" i="22"/>
  <c r="W153" i="22"/>
  <c r="U153" i="22"/>
  <c r="AD154" i="22" l="1"/>
  <c r="AR155" i="22"/>
  <c r="O154" i="22"/>
  <c r="M155" i="22"/>
  <c r="N155" i="22"/>
  <c r="Y155" i="22"/>
  <c r="X155" i="22"/>
  <c r="Z155" i="22"/>
  <c r="V155" i="22"/>
  <c r="AA155" i="22"/>
  <c r="O155" i="22" s="1"/>
  <c r="L155" i="22"/>
  <c r="K155" i="22"/>
  <c r="AB155" i="22"/>
  <c r="AH154" i="22"/>
  <c r="AG154" i="22"/>
  <c r="AE154" i="22"/>
  <c r="AC154" i="22"/>
  <c r="AF154" i="22"/>
  <c r="F155" i="22"/>
  <c r="G155" i="22"/>
  <c r="U154" i="22"/>
  <c r="W154" i="22"/>
  <c r="A156" i="22"/>
  <c r="B155" i="22"/>
  <c r="E155" i="22"/>
  <c r="C155" i="22"/>
  <c r="D155" i="22"/>
  <c r="AD155" i="22" l="1"/>
  <c r="AR156" i="22"/>
  <c r="R155" i="22"/>
  <c r="AB156" i="22"/>
  <c r="K156" i="22"/>
  <c r="Z156" i="22"/>
  <c r="X156" i="22"/>
  <c r="V156" i="22"/>
  <c r="M156" i="22"/>
  <c r="Y156" i="22"/>
  <c r="AA156" i="22"/>
  <c r="R156" i="22" s="1"/>
  <c r="L156" i="22"/>
  <c r="N156" i="22"/>
  <c r="AH155" i="22"/>
  <c r="AG155" i="22"/>
  <c r="AE155" i="22"/>
  <c r="AC155" i="22"/>
  <c r="AF155" i="22"/>
  <c r="F156" i="22"/>
  <c r="G156" i="22"/>
  <c r="A157" i="22"/>
  <c r="B156" i="22"/>
  <c r="C156" i="22"/>
  <c r="E156" i="22"/>
  <c r="D156" i="22"/>
  <c r="U155" i="22"/>
  <c r="W155" i="22"/>
  <c r="AD156" i="22" l="1"/>
  <c r="AR157" i="22"/>
  <c r="O156" i="22"/>
  <c r="Z157" i="22"/>
  <c r="AB157" i="22"/>
  <c r="Y157" i="22"/>
  <c r="K157" i="22"/>
  <c r="X157" i="22"/>
  <c r="M157" i="22"/>
  <c r="V157" i="22"/>
  <c r="L157" i="22"/>
  <c r="N157" i="22"/>
  <c r="AA157" i="22"/>
  <c r="R157" i="22" s="1"/>
  <c r="AH156" i="22"/>
  <c r="AG156" i="22"/>
  <c r="AC156" i="22"/>
  <c r="AE156" i="22"/>
  <c r="AF156" i="22"/>
  <c r="F157" i="22"/>
  <c r="G157" i="22"/>
  <c r="A158" i="22"/>
  <c r="B157" i="22"/>
  <c r="C157" i="22"/>
  <c r="D157" i="22"/>
  <c r="E157" i="22"/>
  <c r="U156" i="22"/>
  <c r="W156" i="22"/>
  <c r="AD157" i="22" l="1"/>
  <c r="AR158" i="22"/>
  <c r="O157" i="22"/>
  <c r="N158" i="22"/>
  <c r="K158" i="22"/>
  <c r="Z158" i="22"/>
  <c r="X158" i="22"/>
  <c r="M158" i="22"/>
  <c r="V158" i="22"/>
  <c r="AA158" i="22"/>
  <c r="O158" i="22" s="1"/>
  <c r="L158" i="22"/>
  <c r="AB158" i="22"/>
  <c r="Y158" i="22"/>
  <c r="AH157" i="22"/>
  <c r="AG157" i="22"/>
  <c r="AE157" i="22"/>
  <c r="AC157" i="22"/>
  <c r="AF157" i="22"/>
  <c r="F158" i="22"/>
  <c r="G158" i="22"/>
  <c r="U157" i="22"/>
  <c r="W157" i="22"/>
  <c r="A159" i="22"/>
  <c r="B158" i="22"/>
  <c r="C158" i="22"/>
  <c r="D158" i="22"/>
  <c r="E158" i="22"/>
  <c r="AD158" i="22" l="1"/>
  <c r="AR159" i="22"/>
  <c r="R158" i="22"/>
  <c r="N159" i="22"/>
  <c r="V159" i="22"/>
  <c r="Z159" i="22"/>
  <c r="K159" i="22"/>
  <c r="AB159" i="22"/>
  <c r="L159" i="22"/>
  <c r="M159" i="22"/>
  <c r="AA159" i="22"/>
  <c r="O159" i="22" s="1"/>
  <c r="Y159" i="22"/>
  <c r="X159" i="22"/>
  <c r="AH158" i="22"/>
  <c r="AG158" i="22"/>
  <c r="AE158" i="22"/>
  <c r="AC158" i="22"/>
  <c r="AF158" i="22"/>
  <c r="F159" i="22"/>
  <c r="G159" i="22"/>
  <c r="A160" i="22"/>
  <c r="B159" i="22"/>
  <c r="C159" i="22"/>
  <c r="D159" i="22"/>
  <c r="E159" i="22"/>
  <c r="U158" i="22"/>
  <c r="W158" i="22"/>
  <c r="AD159" i="22" l="1"/>
  <c r="AR160" i="22"/>
  <c r="R159" i="22"/>
  <c r="L160" i="22"/>
  <c r="V160" i="22"/>
  <c r="Y160" i="22"/>
  <c r="Z160" i="22"/>
  <c r="M160" i="22"/>
  <c r="X160" i="22"/>
  <c r="N160" i="22"/>
  <c r="K160" i="22"/>
  <c r="AA160" i="22"/>
  <c r="R160" i="22" s="1"/>
  <c r="AB160" i="22"/>
  <c r="AH159" i="22"/>
  <c r="AG159" i="22"/>
  <c r="AE159" i="22"/>
  <c r="AC159" i="22"/>
  <c r="AF159" i="22"/>
  <c r="F160" i="22"/>
  <c r="G160" i="22"/>
  <c r="U159" i="22"/>
  <c r="W159" i="22"/>
  <c r="B160" i="22"/>
  <c r="A161" i="22"/>
  <c r="C160" i="22"/>
  <c r="E160" i="22"/>
  <c r="D160" i="22"/>
  <c r="AD160" i="22" l="1"/>
  <c r="AR161" i="22"/>
  <c r="O160" i="22"/>
  <c r="Y161" i="22"/>
  <c r="X161" i="22"/>
  <c r="L161" i="22"/>
  <c r="N161" i="22"/>
  <c r="K161" i="22"/>
  <c r="AB161" i="22"/>
  <c r="AA161" i="22"/>
  <c r="R161" i="22" s="1"/>
  <c r="M161" i="22"/>
  <c r="V161" i="22"/>
  <c r="Z161" i="22"/>
  <c r="AH160" i="22"/>
  <c r="AG160" i="22"/>
  <c r="AE160" i="22"/>
  <c r="AC160" i="22"/>
  <c r="AF160" i="22"/>
  <c r="F161" i="22"/>
  <c r="G161" i="22"/>
  <c r="A162" i="22"/>
  <c r="B161" i="22"/>
  <c r="C161" i="22"/>
  <c r="D161" i="22"/>
  <c r="E161" i="22"/>
  <c r="U160" i="22"/>
  <c r="W160" i="22"/>
  <c r="AD161" i="22" l="1"/>
  <c r="AR162" i="22"/>
  <c r="O161" i="22"/>
  <c r="Y162" i="22"/>
  <c r="M162" i="22"/>
  <c r="X162" i="22"/>
  <c r="AA162" i="22"/>
  <c r="O162" i="22" s="1"/>
  <c r="V162" i="22"/>
  <c r="Z162" i="22"/>
  <c r="AB162" i="22"/>
  <c r="L162" i="22"/>
  <c r="K162" i="22"/>
  <c r="N162" i="22"/>
  <c r="AH161" i="22"/>
  <c r="AG161" i="22"/>
  <c r="AE161" i="22"/>
  <c r="AC161" i="22"/>
  <c r="AF161" i="22"/>
  <c r="F162" i="22"/>
  <c r="G162" i="22"/>
  <c r="U161" i="22"/>
  <c r="W161" i="22"/>
  <c r="A163" i="22"/>
  <c r="B162" i="22"/>
  <c r="C162" i="22"/>
  <c r="D162" i="22"/>
  <c r="E162" i="22"/>
  <c r="AD162" i="22" l="1"/>
  <c r="AR163" i="22"/>
  <c r="R162" i="22"/>
  <c r="Z163" i="22"/>
  <c r="L163" i="22"/>
  <c r="X163" i="22"/>
  <c r="AA163" i="22"/>
  <c r="R163" i="22" s="1"/>
  <c r="M163" i="22"/>
  <c r="K163" i="22"/>
  <c r="N163" i="22"/>
  <c r="Y163" i="22"/>
  <c r="V163" i="22"/>
  <c r="AB163" i="22"/>
  <c r="AH162" i="22"/>
  <c r="AG162" i="22"/>
  <c r="AE162" i="22"/>
  <c r="AC162" i="22"/>
  <c r="AF162" i="22"/>
  <c r="F163" i="22"/>
  <c r="G163" i="22"/>
  <c r="A164" i="22"/>
  <c r="B163" i="22"/>
  <c r="C163" i="22"/>
  <c r="D163" i="22"/>
  <c r="E163" i="22"/>
  <c r="U162" i="22"/>
  <c r="W162" i="22"/>
  <c r="AD163" i="22" l="1"/>
  <c r="AR164" i="22"/>
  <c r="O163" i="22"/>
  <c r="X164" i="22"/>
  <c r="M164" i="22"/>
  <c r="L164" i="22"/>
  <c r="AB164" i="22"/>
  <c r="AA164" i="22"/>
  <c r="R164" i="22" s="1"/>
  <c r="Z164" i="22"/>
  <c r="V164" i="22"/>
  <c r="N164" i="22"/>
  <c r="Y164" i="22"/>
  <c r="K164" i="22"/>
  <c r="AH163" i="22"/>
  <c r="AG163" i="22"/>
  <c r="AE163" i="22"/>
  <c r="AC163" i="22"/>
  <c r="AF163" i="22"/>
  <c r="F164" i="22"/>
  <c r="G164" i="22"/>
  <c r="U163" i="22"/>
  <c r="W163" i="22"/>
  <c r="A165" i="22"/>
  <c r="B164" i="22"/>
  <c r="C164" i="22"/>
  <c r="D164" i="22"/>
  <c r="E164" i="22"/>
  <c r="AD164" i="22" l="1"/>
  <c r="AR165" i="22"/>
  <c r="O164" i="22"/>
  <c r="V165" i="22"/>
  <c r="X165" i="22"/>
  <c r="AB165" i="22"/>
  <c r="N165" i="22"/>
  <c r="AA165" i="22"/>
  <c r="O165" i="22" s="1"/>
  <c r="K165" i="22"/>
  <c r="L165" i="22"/>
  <c r="Y165" i="22"/>
  <c r="Z165" i="22"/>
  <c r="M165" i="22"/>
  <c r="AH164" i="22"/>
  <c r="AG164" i="22"/>
  <c r="AC164" i="22"/>
  <c r="AE164" i="22"/>
  <c r="AF164" i="22"/>
  <c r="F165" i="22"/>
  <c r="G165" i="22"/>
  <c r="B165" i="22"/>
  <c r="A166" i="22"/>
  <c r="C165" i="22"/>
  <c r="D165" i="22"/>
  <c r="E165" i="22"/>
  <c r="U164" i="22"/>
  <c r="W164" i="22"/>
  <c r="AD165" i="22" l="1"/>
  <c r="AR166" i="22"/>
  <c r="R165" i="22"/>
  <c r="Y166" i="22"/>
  <c r="K166" i="22"/>
  <c r="X166" i="22"/>
  <c r="N166" i="22"/>
  <c r="L166" i="22"/>
  <c r="V166" i="22"/>
  <c r="Z166" i="22"/>
  <c r="AB166" i="22"/>
  <c r="AA166" i="22"/>
  <c r="O166" i="22" s="1"/>
  <c r="M166" i="22"/>
  <c r="AH165" i="22"/>
  <c r="AG165" i="22"/>
  <c r="AC165" i="22"/>
  <c r="AE165" i="22"/>
  <c r="AF165" i="22"/>
  <c r="F166" i="22"/>
  <c r="G166" i="22"/>
  <c r="U165" i="22"/>
  <c r="W165" i="22"/>
  <c r="B166" i="22"/>
  <c r="C166" i="22"/>
  <c r="A167" i="22"/>
  <c r="D166" i="22"/>
  <c r="E166" i="22"/>
  <c r="AD166" i="22" l="1"/>
  <c r="AR167" i="22"/>
  <c r="R166" i="22"/>
  <c r="X167" i="22"/>
  <c r="Y167" i="22"/>
  <c r="K167" i="22"/>
  <c r="M167" i="22"/>
  <c r="Z167" i="22"/>
  <c r="V167" i="22"/>
  <c r="AB167" i="22"/>
  <c r="AA167" i="22"/>
  <c r="O167" i="22" s="1"/>
  <c r="N167" i="22"/>
  <c r="L167" i="22"/>
  <c r="AH166" i="22"/>
  <c r="AG166" i="22"/>
  <c r="AC166" i="22"/>
  <c r="AE166" i="22"/>
  <c r="AF166" i="22"/>
  <c r="F167" i="22"/>
  <c r="G167" i="22"/>
  <c r="U166" i="22"/>
  <c r="W166" i="22"/>
  <c r="B167" i="22"/>
  <c r="A168" i="22"/>
  <c r="C167" i="22"/>
  <c r="E167" i="22"/>
  <c r="D167" i="22"/>
  <c r="AD167" i="22" l="1"/>
  <c r="AR168" i="22"/>
  <c r="R167" i="22"/>
  <c r="M168" i="22"/>
  <c r="K168" i="22"/>
  <c r="L168" i="22"/>
  <c r="X168" i="22"/>
  <c r="AA168" i="22"/>
  <c r="O168" i="22" s="1"/>
  <c r="AB168" i="22"/>
  <c r="Y168" i="22"/>
  <c r="Z168" i="22"/>
  <c r="N168" i="22"/>
  <c r="V168" i="22"/>
  <c r="AH167" i="22"/>
  <c r="AG167" i="22"/>
  <c r="AE167" i="22"/>
  <c r="AC167" i="22"/>
  <c r="AF167" i="22"/>
  <c r="F168" i="22"/>
  <c r="G168" i="22"/>
  <c r="A169" i="22"/>
  <c r="B168" i="22"/>
  <c r="C168" i="22"/>
  <c r="D168" i="22"/>
  <c r="E168" i="22"/>
  <c r="U167" i="22"/>
  <c r="W167" i="22"/>
  <c r="AD168" i="22" l="1"/>
  <c r="AR169" i="22"/>
  <c r="R168" i="22"/>
  <c r="Z169" i="22"/>
  <c r="M169" i="22"/>
  <c r="AA169" i="22"/>
  <c r="R169" i="22" s="1"/>
  <c r="X169" i="22"/>
  <c r="V169" i="22"/>
  <c r="AB169" i="22"/>
  <c r="N169" i="22"/>
  <c r="L169" i="22"/>
  <c r="Y169" i="22"/>
  <c r="K169" i="22"/>
  <c r="AH168" i="22"/>
  <c r="AG168" i="22"/>
  <c r="AE168" i="22"/>
  <c r="AC168" i="22"/>
  <c r="AF168" i="22"/>
  <c r="F169" i="22"/>
  <c r="G169" i="22"/>
  <c r="U168" i="22"/>
  <c r="W168" i="22"/>
  <c r="A170" i="22"/>
  <c r="B169" i="22"/>
  <c r="C169" i="22"/>
  <c r="D169" i="22"/>
  <c r="E169" i="22"/>
  <c r="AD169" i="22" l="1"/>
  <c r="AR170" i="22"/>
  <c r="O169" i="22"/>
  <c r="AB170" i="22"/>
  <c r="N170" i="22"/>
  <c r="M170" i="22"/>
  <c r="Z170" i="22"/>
  <c r="K170" i="22"/>
  <c r="Y170" i="22"/>
  <c r="L170" i="22"/>
  <c r="V170" i="22"/>
  <c r="AA170" i="22"/>
  <c r="O170" i="22" s="1"/>
  <c r="X170" i="22"/>
  <c r="AH169" i="22"/>
  <c r="AG169" i="22"/>
  <c r="AE169" i="22"/>
  <c r="AC169" i="22"/>
  <c r="AF169" i="22"/>
  <c r="F170" i="22"/>
  <c r="G170" i="22"/>
  <c r="A171" i="22"/>
  <c r="B170" i="22"/>
  <c r="C170" i="22"/>
  <c r="E170" i="22"/>
  <c r="D170" i="22"/>
  <c r="U169" i="22"/>
  <c r="W169" i="22"/>
  <c r="AD170" i="22" l="1"/>
  <c r="AR171" i="22"/>
  <c r="R170" i="22"/>
  <c r="Z171" i="22"/>
  <c r="N171" i="22"/>
  <c r="M171" i="22"/>
  <c r="V171" i="22"/>
  <c r="L171" i="22"/>
  <c r="AA171" i="22"/>
  <c r="R171" i="22" s="1"/>
  <c r="X171" i="22"/>
  <c r="AB171" i="22"/>
  <c r="K171" i="22"/>
  <c r="Y171" i="22"/>
  <c r="AH170" i="22"/>
  <c r="AG170" i="22"/>
  <c r="AE170" i="22"/>
  <c r="AC170" i="22"/>
  <c r="AF170" i="22"/>
  <c r="F171" i="22"/>
  <c r="G171" i="22"/>
  <c r="U170" i="22"/>
  <c r="W170" i="22"/>
  <c r="A172" i="22"/>
  <c r="B171" i="22"/>
  <c r="C171" i="22"/>
  <c r="D171" i="22"/>
  <c r="E171" i="22"/>
  <c r="AD171" i="22" l="1"/>
  <c r="AR172" i="22"/>
  <c r="O171" i="22"/>
  <c r="Z172" i="22"/>
  <c r="AA172" i="22"/>
  <c r="O172" i="22" s="1"/>
  <c r="M172" i="22"/>
  <c r="V172" i="22"/>
  <c r="AB172" i="22"/>
  <c r="N172" i="22"/>
  <c r="X172" i="22"/>
  <c r="Y172" i="22"/>
  <c r="L172" i="22"/>
  <c r="K172" i="22"/>
  <c r="AH171" i="22"/>
  <c r="AG171" i="22"/>
  <c r="AE171" i="22"/>
  <c r="AC171" i="22"/>
  <c r="AF171" i="22"/>
  <c r="F172" i="22"/>
  <c r="G172" i="22"/>
  <c r="A173" i="22"/>
  <c r="B172" i="22"/>
  <c r="D172" i="22"/>
  <c r="C172" i="22"/>
  <c r="E172" i="22"/>
  <c r="U171" i="22"/>
  <c r="W171" i="22"/>
  <c r="AD172" i="22" l="1"/>
  <c r="AR173" i="22"/>
  <c r="R172" i="22"/>
  <c r="AA173" i="22"/>
  <c r="O173" i="22" s="1"/>
  <c r="X173" i="22"/>
  <c r="Z173" i="22"/>
  <c r="V173" i="22"/>
  <c r="N173" i="22"/>
  <c r="K173" i="22"/>
  <c r="L173" i="22"/>
  <c r="AB173" i="22"/>
  <c r="Y173" i="22"/>
  <c r="M173" i="22"/>
  <c r="AH172" i="22"/>
  <c r="AG172" i="22"/>
  <c r="AE172" i="22"/>
  <c r="AC172" i="22"/>
  <c r="AF172" i="22"/>
  <c r="F173" i="22"/>
  <c r="G173" i="22"/>
  <c r="U172" i="22"/>
  <c r="W172" i="22"/>
  <c r="A174" i="22"/>
  <c r="B173" i="22"/>
  <c r="D173" i="22"/>
  <c r="C173" i="22"/>
  <c r="E173" i="22"/>
  <c r="AD173" i="22" l="1"/>
  <c r="AR174" i="22"/>
  <c r="R173" i="22"/>
  <c r="K174" i="22"/>
  <c r="N174" i="22"/>
  <c r="Y174" i="22"/>
  <c r="Z174" i="22"/>
  <c r="M174" i="22"/>
  <c r="V174" i="22"/>
  <c r="AB174" i="22"/>
  <c r="L174" i="22"/>
  <c r="AA174" i="22"/>
  <c r="R174" i="22" s="1"/>
  <c r="X174" i="22"/>
  <c r="AH173" i="22"/>
  <c r="AG173" i="22"/>
  <c r="AC173" i="22"/>
  <c r="AE173" i="22"/>
  <c r="AF173" i="22"/>
  <c r="F174" i="22"/>
  <c r="G174" i="22"/>
  <c r="A175" i="22"/>
  <c r="B174" i="22"/>
  <c r="C174" i="22"/>
  <c r="D174" i="22"/>
  <c r="E174" i="22"/>
  <c r="U173" i="22"/>
  <c r="W173" i="22"/>
  <c r="AD174" i="22" l="1"/>
  <c r="AR175" i="22"/>
  <c r="O174" i="22"/>
  <c r="V175" i="22"/>
  <c r="AA175" i="22"/>
  <c r="O175" i="22" s="1"/>
  <c r="M175" i="22"/>
  <c r="L175" i="22"/>
  <c r="K175" i="22"/>
  <c r="AB175" i="22"/>
  <c r="Z175" i="22"/>
  <c r="X175" i="22"/>
  <c r="N175" i="22"/>
  <c r="Y175" i="22"/>
  <c r="AH174" i="22"/>
  <c r="AG174" i="22"/>
  <c r="AC174" i="22"/>
  <c r="AE174" i="22"/>
  <c r="AF174" i="22"/>
  <c r="F175" i="22"/>
  <c r="G175" i="22"/>
  <c r="U174" i="22"/>
  <c r="W174" i="22"/>
  <c r="A176" i="22"/>
  <c r="B175" i="22"/>
  <c r="C175" i="22"/>
  <c r="D175" i="22"/>
  <c r="E175" i="22"/>
  <c r="AD175" i="22" l="1"/>
  <c r="AR176" i="22"/>
  <c r="R175" i="22"/>
  <c r="AB176" i="22"/>
  <c r="N176" i="22"/>
  <c r="X176" i="22"/>
  <c r="V176" i="22"/>
  <c r="Z176" i="22"/>
  <c r="Y176" i="22"/>
  <c r="AA176" i="22"/>
  <c r="R176" i="22" s="1"/>
  <c r="L176" i="22"/>
  <c r="K176" i="22"/>
  <c r="M176" i="22"/>
  <c r="AH175" i="22"/>
  <c r="AG175" i="22"/>
  <c r="AC175" i="22"/>
  <c r="AE175" i="22"/>
  <c r="AF175" i="22"/>
  <c r="F176" i="22"/>
  <c r="G176" i="22"/>
  <c r="A177" i="22"/>
  <c r="C176" i="22"/>
  <c r="B176" i="22"/>
  <c r="E176" i="22"/>
  <c r="D176" i="22"/>
  <c r="U175" i="22"/>
  <c r="W175" i="22"/>
  <c r="AD176" i="22" l="1"/>
  <c r="AR177" i="22"/>
  <c r="O176" i="22"/>
  <c r="N177" i="22"/>
  <c r="K177" i="22"/>
  <c r="M177" i="22"/>
  <c r="Z177" i="22"/>
  <c r="V177" i="22"/>
  <c r="AB177" i="22"/>
  <c r="L177" i="22"/>
  <c r="X177" i="22"/>
  <c r="Y177" i="22"/>
  <c r="AA177" i="22"/>
  <c r="R177" i="22" s="1"/>
  <c r="AH176" i="22"/>
  <c r="AG176" i="22"/>
  <c r="AC176" i="22"/>
  <c r="AE176" i="22"/>
  <c r="AF176" i="22"/>
  <c r="F177" i="22"/>
  <c r="G177" i="22"/>
  <c r="W176" i="22"/>
  <c r="U176" i="22"/>
  <c r="A178" i="22"/>
  <c r="B177" i="22"/>
  <c r="C177" i="22"/>
  <c r="E177" i="22"/>
  <c r="D177" i="22"/>
  <c r="AD177" i="22" l="1"/>
  <c r="AR178" i="22"/>
  <c r="O177" i="22"/>
  <c r="X178" i="22"/>
  <c r="AB178" i="22"/>
  <c r="K178" i="22"/>
  <c r="L178" i="22"/>
  <c r="AA178" i="22"/>
  <c r="R178" i="22" s="1"/>
  <c r="V178" i="22"/>
  <c r="M178" i="22"/>
  <c r="Y178" i="22"/>
  <c r="N178" i="22"/>
  <c r="Z178" i="22"/>
  <c r="AH177" i="22"/>
  <c r="AG177" i="22"/>
  <c r="AC177" i="22"/>
  <c r="AE177" i="22"/>
  <c r="AF177" i="22"/>
  <c r="F178" i="22"/>
  <c r="G178" i="22"/>
  <c r="A179" i="22"/>
  <c r="B178" i="22"/>
  <c r="C178" i="22"/>
  <c r="D178" i="22"/>
  <c r="E178" i="22"/>
  <c r="W177" i="22"/>
  <c r="U177" i="22"/>
  <c r="AD178" i="22" l="1"/>
  <c r="AR179" i="22"/>
  <c r="O178" i="22"/>
  <c r="L179" i="22"/>
  <c r="M179" i="22"/>
  <c r="Y179" i="22"/>
  <c r="X179" i="22"/>
  <c r="AB179" i="22"/>
  <c r="Z179" i="22"/>
  <c r="AA179" i="22"/>
  <c r="O179" i="22" s="1"/>
  <c r="V179" i="22"/>
  <c r="K179" i="22"/>
  <c r="N179" i="22"/>
  <c r="AH178" i="22"/>
  <c r="AG178" i="22"/>
  <c r="AE178" i="22"/>
  <c r="AC178" i="22"/>
  <c r="AF178" i="22"/>
  <c r="F179" i="22"/>
  <c r="G179" i="22"/>
  <c r="U178" i="22"/>
  <c r="W178" i="22"/>
  <c r="A180" i="22"/>
  <c r="B179" i="22"/>
  <c r="C179" i="22"/>
  <c r="E179" i="22"/>
  <c r="D179" i="22"/>
  <c r="AD179" i="22" l="1"/>
  <c r="AR180" i="22"/>
  <c r="R179" i="22"/>
  <c r="V180" i="22"/>
  <c r="M180" i="22"/>
  <c r="N180" i="22"/>
  <c r="K180" i="22"/>
  <c r="AB180" i="22"/>
  <c r="Z180" i="22"/>
  <c r="AA180" i="22"/>
  <c r="R180" i="22" s="1"/>
  <c r="X180" i="22"/>
  <c r="L180" i="22"/>
  <c r="Y180" i="22"/>
  <c r="AH179" i="22"/>
  <c r="AG179" i="22"/>
  <c r="AC179" i="22"/>
  <c r="AE179" i="22"/>
  <c r="AF179" i="22"/>
  <c r="F180" i="22"/>
  <c r="G180" i="22"/>
  <c r="A181" i="22"/>
  <c r="B180" i="22"/>
  <c r="C180" i="22"/>
  <c r="D180" i="22"/>
  <c r="E180" i="22"/>
  <c r="U179" i="22"/>
  <c r="W179" i="22"/>
  <c r="AD180" i="22" l="1"/>
  <c r="AR181" i="22"/>
  <c r="O180" i="22"/>
  <c r="AA181" i="22"/>
  <c r="O181" i="22" s="1"/>
  <c r="X181" i="22"/>
  <c r="K181" i="22"/>
  <c r="V181" i="22"/>
  <c r="Y181" i="22"/>
  <c r="L181" i="22"/>
  <c r="Z181" i="22"/>
  <c r="M181" i="22"/>
  <c r="AB181" i="22"/>
  <c r="N181" i="22"/>
  <c r="AH180" i="22"/>
  <c r="AG180" i="22"/>
  <c r="AC180" i="22"/>
  <c r="AE180" i="22"/>
  <c r="AF180" i="22"/>
  <c r="F181" i="22"/>
  <c r="G181" i="22"/>
  <c r="U180" i="22"/>
  <c r="W180" i="22"/>
  <c r="A182" i="22"/>
  <c r="B181" i="22"/>
  <c r="C181" i="22"/>
  <c r="D181" i="22"/>
  <c r="E181" i="22"/>
  <c r="AD181" i="22" l="1"/>
  <c r="AR182" i="22"/>
  <c r="R181" i="22"/>
  <c r="K182" i="22"/>
  <c r="Y182" i="22"/>
  <c r="AB182" i="22"/>
  <c r="Z182" i="22"/>
  <c r="X182" i="22"/>
  <c r="V182" i="22"/>
  <c r="L182" i="22"/>
  <c r="M182" i="22"/>
  <c r="N182" i="22"/>
  <c r="AA182" i="22"/>
  <c r="R182" i="22" s="1"/>
  <c r="AH181" i="22"/>
  <c r="AG181" i="22"/>
  <c r="AE181" i="22"/>
  <c r="AC181" i="22"/>
  <c r="AF181" i="22"/>
  <c r="F182" i="22"/>
  <c r="G182" i="22"/>
  <c r="B182" i="22"/>
  <c r="A183" i="22"/>
  <c r="C182" i="22"/>
  <c r="D182" i="22"/>
  <c r="E182" i="22"/>
  <c r="U181" i="22"/>
  <c r="W181" i="22"/>
  <c r="AD182" i="22" l="1"/>
  <c r="AR183" i="22"/>
  <c r="O182" i="22"/>
  <c r="V183" i="22"/>
  <c r="AB183" i="22"/>
  <c r="K183" i="22"/>
  <c r="Z183" i="22"/>
  <c r="L183" i="22"/>
  <c r="N183" i="22"/>
  <c r="X183" i="22"/>
  <c r="Y183" i="22"/>
  <c r="M183" i="22"/>
  <c r="AA183" i="22"/>
  <c r="R183" i="22" s="1"/>
  <c r="AH182" i="22"/>
  <c r="AG182" i="22"/>
  <c r="AE182" i="22"/>
  <c r="AC182" i="22"/>
  <c r="AF182" i="22"/>
  <c r="F183" i="22"/>
  <c r="G183" i="22"/>
  <c r="U182" i="22"/>
  <c r="W182" i="22"/>
  <c r="A184" i="22"/>
  <c r="C183" i="22"/>
  <c r="B183" i="22"/>
  <c r="D183" i="22"/>
  <c r="E183" i="22"/>
  <c r="AD183" i="22" l="1"/>
  <c r="AR184" i="22"/>
  <c r="O183" i="22"/>
  <c r="N184" i="22"/>
  <c r="X184" i="22"/>
  <c r="K184" i="22"/>
  <c r="AB184" i="22"/>
  <c r="AA184" i="22"/>
  <c r="R184" i="22" s="1"/>
  <c r="Y184" i="22"/>
  <c r="L184" i="22"/>
  <c r="V184" i="22"/>
  <c r="Z184" i="22"/>
  <c r="M184" i="22"/>
  <c r="AH183" i="22"/>
  <c r="AG183" i="22"/>
  <c r="AE183" i="22"/>
  <c r="AC183" i="22"/>
  <c r="AF183" i="22"/>
  <c r="F184" i="22"/>
  <c r="G184" i="22"/>
  <c r="A185" i="22"/>
  <c r="B184" i="22"/>
  <c r="C184" i="22"/>
  <c r="D184" i="22"/>
  <c r="E184" i="22"/>
  <c r="U183" i="22"/>
  <c r="W183" i="22"/>
  <c r="AD184" i="22" l="1"/>
  <c r="AR185" i="22"/>
  <c r="O184" i="22"/>
  <c r="V185" i="22"/>
  <c r="M185" i="22"/>
  <c r="N185" i="22"/>
  <c r="X185" i="22"/>
  <c r="AB185" i="22"/>
  <c r="L185" i="22"/>
  <c r="Z185" i="22"/>
  <c r="AA185" i="22"/>
  <c r="R185" i="22" s="1"/>
  <c r="K185" i="22"/>
  <c r="Y185" i="22"/>
  <c r="AH184" i="22"/>
  <c r="AG184" i="22"/>
  <c r="AC184" i="22"/>
  <c r="AE184" i="22"/>
  <c r="AF184" i="22"/>
  <c r="F185" i="22"/>
  <c r="G185" i="22"/>
  <c r="U184" i="22"/>
  <c r="W184" i="22"/>
  <c r="A186" i="22"/>
  <c r="B185" i="22"/>
  <c r="C185" i="22"/>
  <c r="E185" i="22"/>
  <c r="D185" i="22"/>
  <c r="AD185" i="22" l="1"/>
  <c r="AR186" i="22"/>
  <c r="O185" i="22"/>
  <c r="Y186" i="22"/>
  <c r="Z186" i="22"/>
  <c r="V186" i="22"/>
  <c r="M186" i="22"/>
  <c r="AA186" i="22"/>
  <c r="O186" i="22" s="1"/>
  <c r="N186" i="22"/>
  <c r="X186" i="22"/>
  <c r="L186" i="22"/>
  <c r="AB186" i="22"/>
  <c r="K186" i="22"/>
  <c r="AH185" i="22"/>
  <c r="AG185" i="22"/>
  <c r="AC185" i="22"/>
  <c r="AE185" i="22"/>
  <c r="AF185" i="22"/>
  <c r="F186" i="22"/>
  <c r="G186" i="22"/>
  <c r="U185" i="22"/>
  <c r="W185" i="22"/>
  <c r="A187" i="22"/>
  <c r="B186" i="22"/>
  <c r="C186" i="22"/>
  <c r="D186" i="22"/>
  <c r="E186" i="22"/>
  <c r="AD186" i="22" l="1"/>
  <c r="AR187" i="22"/>
  <c r="R186" i="22"/>
  <c r="X187" i="22"/>
  <c r="L187" i="22"/>
  <c r="AA187" i="22"/>
  <c r="O187" i="22" s="1"/>
  <c r="Z187" i="22"/>
  <c r="V187" i="22"/>
  <c r="K187" i="22"/>
  <c r="N187" i="22"/>
  <c r="Y187" i="22"/>
  <c r="AB187" i="22"/>
  <c r="M187" i="22"/>
  <c r="AH186" i="22"/>
  <c r="AG186" i="22"/>
  <c r="AE186" i="22"/>
  <c r="AC186" i="22"/>
  <c r="AF186" i="22"/>
  <c r="F187" i="22"/>
  <c r="G187" i="22"/>
  <c r="U186" i="22"/>
  <c r="W186" i="22"/>
  <c r="A188" i="22"/>
  <c r="C187" i="22"/>
  <c r="D187" i="22"/>
  <c r="B187" i="22"/>
  <c r="E187" i="22"/>
  <c r="AD187" i="22" l="1"/>
  <c r="AR188" i="22"/>
  <c r="R187" i="22"/>
  <c r="N188" i="22"/>
  <c r="X188" i="22"/>
  <c r="AA188" i="22"/>
  <c r="R188" i="22" s="1"/>
  <c r="Z188" i="22"/>
  <c r="V188" i="22"/>
  <c r="K188" i="22"/>
  <c r="L188" i="22"/>
  <c r="Y188" i="22"/>
  <c r="M188" i="22"/>
  <c r="AB188" i="22"/>
  <c r="AH187" i="22"/>
  <c r="AG187" i="22"/>
  <c r="AC187" i="22"/>
  <c r="AE187" i="22"/>
  <c r="AF187" i="22"/>
  <c r="F188" i="22"/>
  <c r="G188" i="22"/>
  <c r="U187" i="22"/>
  <c r="W187" i="22"/>
  <c r="A189" i="22"/>
  <c r="C188" i="22"/>
  <c r="B188" i="22"/>
  <c r="D188" i="22"/>
  <c r="E188" i="22"/>
  <c r="AD188" i="22" l="1"/>
  <c r="AR189" i="22"/>
  <c r="O188" i="22"/>
  <c r="AA189" i="22"/>
  <c r="O189" i="22" s="1"/>
  <c r="N189" i="22"/>
  <c r="V189" i="22"/>
  <c r="K189" i="22"/>
  <c r="M189" i="22"/>
  <c r="Z189" i="22"/>
  <c r="L189" i="22"/>
  <c r="X189" i="22"/>
  <c r="AB189" i="22"/>
  <c r="Y189" i="22"/>
  <c r="AH188" i="22"/>
  <c r="AG188" i="22"/>
  <c r="AC188" i="22"/>
  <c r="AE188" i="22"/>
  <c r="AF188" i="22"/>
  <c r="F189" i="22"/>
  <c r="G189" i="22"/>
  <c r="A190" i="22"/>
  <c r="B189" i="22"/>
  <c r="C189" i="22"/>
  <c r="E189" i="22"/>
  <c r="D189" i="22"/>
  <c r="W188" i="22"/>
  <c r="U188" i="22"/>
  <c r="AD189" i="22" l="1"/>
  <c r="AR190" i="22"/>
  <c r="R189" i="22"/>
  <c r="AB190" i="22"/>
  <c r="V190" i="22"/>
  <c r="AA190" i="22"/>
  <c r="R190" i="22" s="1"/>
  <c r="L190" i="22"/>
  <c r="N190" i="22"/>
  <c r="X190" i="22"/>
  <c r="K190" i="22"/>
  <c r="Y190" i="22"/>
  <c r="M190" i="22"/>
  <c r="Z190" i="22"/>
  <c r="AH189" i="22"/>
  <c r="AG189" i="22"/>
  <c r="AE189" i="22"/>
  <c r="AC189" i="22"/>
  <c r="AF189" i="22"/>
  <c r="F190" i="22"/>
  <c r="G190" i="22"/>
  <c r="W189" i="22"/>
  <c r="U189" i="22"/>
  <c r="A191" i="22"/>
  <c r="B190" i="22"/>
  <c r="C190" i="22"/>
  <c r="D190" i="22"/>
  <c r="E190" i="22"/>
  <c r="AD190" i="22" l="1"/>
  <c r="AR191" i="22"/>
  <c r="O190" i="22"/>
  <c r="Z191" i="22"/>
  <c r="K191" i="22"/>
  <c r="X191" i="22"/>
  <c r="AB191" i="22"/>
  <c r="Y191" i="22"/>
  <c r="L191" i="22"/>
  <c r="N191" i="22"/>
  <c r="AA191" i="22"/>
  <c r="O191" i="22" s="1"/>
  <c r="M191" i="22"/>
  <c r="V191" i="22"/>
  <c r="AH190" i="22"/>
  <c r="AG190" i="22"/>
  <c r="AC190" i="22"/>
  <c r="AE190" i="22"/>
  <c r="AF190" i="22"/>
  <c r="F191" i="22"/>
  <c r="G191" i="22"/>
  <c r="A192" i="22"/>
  <c r="B191" i="22"/>
  <c r="E191" i="22"/>
  <c r="C191" i="22"/>
  <c r="D191" i="22"/>
  <c r="U190" i="22"/>
  <c r="W190" i="22"/>
  <c r="AD191" i="22" l="1"/>
  <c r="AR192" i="22"/>
  <c r="R191" i="22"/>
  <c r="AA192" i="22"/>
  <c r="O192" i="22" s="1"/>
  <c r="M192" i="22"/>
  <c r="N192" i="22"/>
  <c r="AB192" i="22"/>
  <c r="X192" i="22"/>
  <c r="K192" i="22"/>
  <c r="L192" i="22"/>
  <c r="V192" i="22"/>
  <c r="Z192" i="22"/>
  <c r="Y192" i="22"/>
  <c r="AH191" i="22"/>
  <c r="AG191" i="22"/>
  <c r="AC191" i="22"/>
  <c r="AE191" i="22"/>
  <c r="AF191" i="22"/>
  <c r="F192" i="22"/>
  <c r="G192" i="22"/>
  <c r="U191" i="22"/>
  <c r="W191" i="22"/>
  <c r="A193" i="22"/>
  <c r="B192" i="22"/>
  <c r="C192" i="22"/>
  <c r="D192" i="22"/>
  <c r="E192" i="22"/>
  <c r="AD192" i="22" l="1"/>
  <c r="AR193" i="22"/>
  <c r="R192" i="22"/>
  <c r="X193" i="22"/>
  <c r="N193" i="22"/>
  <c r="AB193" i="22"/>
  <c r="V193" i="22"/>
  <c r="AA193" i="22"/>
  <c r="O193" i="22" s="1"/>
  <c r="K193" i="22"/>
  <c r="Y193" i="22"/>
  <c r="Z193" i="22"/>
  <c r="L193" i="22"/>
  <c r="M193" i="22"/>
  <c r="AH192" i="22"/>
  <c r="AG192" i="22"/>
  <c r="AE192" i="22"/>
  <c r="AC192" i="22"/>
  <c r="AF192" i="22"/>
  <c r="F193" i="22"/>
  <c r="G193" i="22"/>
  <c r="U192" i="22"/>
  <c r="W192" i="22"/>
  <c r="A194" i="22"/>
  <c r="B193" i="22"/>
  <c r="C193" i="22"/>
  <c r="D193" i="22"/>
  <c r="E193" i="22"/>
  <c r="AD193" i="22" l="1"/>
  <c r="AR194" i="22"/>
  <c r="R193" i="22"/>
  <c r="V194" i="22"/>
  <c r="N194" i="22"/>
  <c r="M194" i="22"/>
  <c r="K194" i="22"/>
  <c r="X194" i="22"/>
  <c r="Z194" i="22"/>
  <c r="AA194" i="22"/>
  <c r="O194" i="22" s="1"/>
  <c r="L194" i="22"/>
  <c r="AB194" i="22"/>
  <c r="Y194" i="22"/>
  <c r="AH193" i="22"/>
  <c r="AG193" i="22"/>
  <c r="AE193" i="22"/>
  <c r="AC193" i="22"/>
  <c r="AF193" i="22"/>
  <c r="F194" i="22"/>
  <c r="G194" i="22"/>
  <c r="A195" i="22"/>
  <c r="B194" i="22"/>
  <c r="C194" i="22"/>
  <c r="D194" i="22"/>
  <c r="E194" i="22"/>
  <c r="U193" i="22"/>
  <c r="W193" i="22"/>
  <c r="AD194" i="22" l="1"/>
  <c r="AR195" i="22"/>
  <c r="R194" i="22"/>
  <c r="N195" i="22"/>
  <c r="Z195" i="22"/>
  <c r="M195" i="22"/>
  <c r="AA195" i="22"/>
  <c r="O195" i="22" s="1"/>
  <c r="X195" i="22"/>
  <c r="AB195" i="22"/>
  <c r="Y195" i="22"/>
  <c r="K195" i="22"/>
  <c r="V195" i="22"/>
  <c r="L195" i="22"/>
  <c r="AH194" i="22"/>
  <c r="AG194" i="22"/>
  <c r="AE194" i="22"/>
  <c r="AC194" i="22"/>
  <c r="AF194" i="22"/>
  <c r="F195" i="22"/>
  <c r="G195" i="22"/>
  <c r="U194" i="22"/>
  <c r="W194" i="22"/>
  <c r="B195" i="22"/>
  <c r="A196" i="22"/>
  <c r="C195" i="22"/>
  <c r="D195" i="22"/>
  <c r="E195" i="22"/>
  <c r="AD195" i="22" l="1"/>
  <c r="AR196" i="22"/>
  <c r="R195" i="22"/>
  <c r="Z196" i="22"/>
  <c r="X196" i="22"/>
  <c r="V196" i="22"/>
  <c r="L196" i="22"/>
  <c r="M196" i="22"/>
  <c r="K196" i="22"/>
  <c r="AB196" i="22"/>
  <c r="AA196" i="22"/>
  <c r="O196" i="22" s="1"/>
  <c r="Y196" i="22"/>
  <c r="N196" i="22"/>
  <c r="AH195" i="22"/>
  <c r="AG195" i="22"/>
  <c r="AE195" i="22"/>
  <c r="AC195" i="22"/>
  <c r="AF195" i="22"/>
  <c r="F196" i="22"/>
  <c r="G196" i="22"/>
  <c r="U195" i="22"/>
  <c r="W195" i="22"/>
  <c r="A197" i="22"/>
  <c r="B196" i="22"/>
  <c r="C196" i="22"/>
  <c r="D196" i="22"/>
  <c r="E196" i="22"/>
  <c r="AD196" i="22" l="1"/>
  <c r="AR197" i="22"/>
  <c r="R196" i="22"/>
  <c r="V197" i="22"/>
  <c r="K197" i="22"/>
  <c r="Y197" i="22"/>
  <c r="M197" i="22"/>
  <c r="AB197" i="22"/>
  <c r="AA197" i="22"/>
  <c r="R197" i="22" s="1"/>
  <c r="N197" i="22"/>
  <c r="Z197" i="22"/>
  <c r="L197" i="22"/>
  <c r="X197" i="22"/>
  <c r="AH196" i="22"/>
  <c r="AG196" i="22"/>
  <c r="AC196" i="22"/>
  <c r="AE196" i="22"/>
  <c r="AF196" i="22"/>
  <c r="F197" i="22"/>
  <c r="G197" i="22"/>
  <c r="A198" i="22"/>
  <c r="B197" i="22"/>
  <c r="C197" i="22"/>
  <c r="D197" i="22"/>
  <c r="E197" i="22"/>
  <c r="U196" i="22"/>
  <c r="W196" i="22"/>
  <c r="AD197" i="22" l="1"/>
  <c r="AR198" i="22"/>
  <c r="O197" i="22"/>
  <c r="N198" i="22"/>
  <c r="Y198" i="22"/>
  <c r="K198" i="22"/>
  <c r="AB198" i="22"/>
  <c r="X198" i="22"/>
  <c r="L198" i="22"/>
  <c r="V198" i="22"/>
  <c r="M198" i="22"/>
  <c r="Z198" i="22"/>
  <c r="AA198" i="22"/>
  <c r="R198" i="22" s="1"/>
  <c r="AH197" i="22"/>
  <c r="AG197" i="22"/>
  <c r="AE197" i="22"/>
  <c r="AC197" i="22"/>
  <c r="AF197" i="22"/>
  <c r="F198" i="22"/>
  <c r="G198" i="22"/>
  <c r="U197" i="22"/>
  <c r="W197" i="22"/>
  <c r="A199" i="22"/>
  <c r="B198" i="22"/>
  <c r="C198" i="22"/>
  <c r="D198" i="22"/>
  <c r="E198" i="22"/>
  <c r="AD198" i="22" l="1"/>
  <c r="AR199" i="22"/>
  <c r="O198" i="22"/>
  <c r="L199" i="22"/>
  <c r="Y199" i="22"/>
  <c r="X199" i="22"/>
  <c r="AA199" i="22"/>
  <c r="R199" i="22" s="1"/>
  <c r="Z199" i="22"/>
  <c r="N199" i="22"/>
  <c r="AB199" i="22"/>
  <c r="M199" i="22"/>
  <c r="K199" i="22"/>
  <c r="V199" i="22"/>
  <c r="AH198" i="22"/>
  <c r="AG198" i="22"/>
  <c r="AE198" i="22"/>
  <c r="AC198" i="22"/>
  <c r="AF198" i="22"/>
  <c r="F199" i="22"/>
  <c r="G199" i="22"/>
  <c r="A200" i="22"/>
  <c r="D199" i="22"/>
  <c r="B199" i="22"/>
  <c r="C199" i="22"/>
  <c r="E199" i="22"/>
  <c r="U198" i="22"/>
  <c r="W198" i="22"/>
  <c r="AD199" i="22" l="1"/>
  <c r="AR200" i="22"/>
  <c r="O199" i="22"/>
  <c r="K200" i="22"/>
  <c r="Z200" i="22"/>
  <c r="AB200" i="22"/>
  <c r="X200" i="22"/>
  <c r="L200" i="22"/>
  <c r="AA200" i="22"/>
  <c r="O200" i="22" s="1"/>
  <c r="M200" i="22"/>
  <c r="N200" i="22"/>
  <c r="Y200" i="22"/>
  <c r="V200" i="22"/>
  <c r="AH199" i="22"/>
  <c r="AG199" i="22"/>
  <c r="AE199" i="22"/>
  <c r="AC199" i="22"/>
  <c r="AF199" i="22"/>
  <c r="F200" i="22"/>
  <c r="G200" i="22"/>
  <c r="U199" i="22"/>
  <c r="W199" i="22"/>
  <c r="A201" i="22"/>
  <c r="B200" i="22"/>
  <c r="C200" i="22"/>
  <c r="E200" i="22"/>
  <c r="D200" i="22"/>
  <c r="AD200" i="22" l="1"/>
  <c r="AR201" i="22"/>
  <c r="R200" i="22"/>
  <c r="AB201" i="22"/>
  <c r="AA201" i="22"/>
  <c r="O201" i="22" s="1"/>
  <c r="Z201" i="22"/>
  <c r="N201" i="22"/>
  <c r="L201" i="22"/>
  <c r="Y201" i="22"/>
  <c r="X201" i="22"/>
  <c r="K201" i="22"/>
  <c r="V201" i="22"/>
  <c r="M201" i="22"/>
  <c r="AH200" i="22"/>
  <c r="AG200" i="22"/>
  <c r="AC200" i="22"/>
  <c r="AE200" i="22"/>
  <c r="AF200" i="22"/>
  <c r="F201" i="22"/>
  <c r="G201" i="22"/>
  <c r="B201" i="22"/>
  <c r="A202" i="22"/>
  <c r="C201" i="22"/>
  <c r="D201" i="22"/>
  <c r="E201" i="22"/>
  <c r="W200" i="22"/>
  <c r="U200" i="22"/>
  <c r="AD201" i="22" l="1"/>
  <c r="AR202" i="22"/>
  <c r="R201" i="22"/>
  <c r="K202" i="22"/>
  <c r="L202" i="22"/>
  <c r="X202" i="22"/>
  <c r="N202" i="22"/>
  <c r="AB202" i="22"/>
  <c r="M202" i="22"/>
  <c r="Z202" i="22"/>
  <c r="Y202" i="22"/>
  <c r="AA202" i="22"/>
  <c r="R202" i="22" s="1"/>
  <c r="V202" i="22"/>
  <c r="AH201" i="22"/>
  <c r="AG201" i="22"/>
  <c r="AC201" i="22"/>
  <c r="AE201" i="22"/>
  <c r="AF201" i="22"/>
  <c r="F202" i="22"/>
  <c r="G202" i="22"/>
  <c r="W201" i="22"/>
  <c r="U201" i="22"/>
  <c r="A203" i="22"/>
  <c r="B202" i="22"/>
  <c r="C202" i="22"/>
  <c r="D202" i="22"/>
  <c r="E202" i="22"/>
  <c r="AD202" i="22" l="1"/>
  <c r="AR203" i="22"/>
  <c r="O202" i="22"/>
  <c r="Z203" i="22"/>
  <c r="L203" i="22"/>
  <c r="M203" i="22"/>
  <c r="AB203" i="22"/>
  <c r="V203" i="22"/>
  <c r="N203" i="22"/>
  <c r="AA203" i="22"/>
  <c r="R203" i="22" s="1"/>
  <c r="K203" i="22"/>
  <c r="X203" i="22"/>
  <c r="Y203" i="22"/>
  <c r="AH202" i="22"/>
  <c r="AG202" i="22"/>
  <c r="AC202" i="22"/>
  <c r="AE202" i="22"/>
  <c r="AF202" i="22"/>
  <c r="F203" i="22"/>
  <c r="G203" i="22"/>
  <c r="A204" i="22"/>
  <c r="B203" i="22"/>
  <c r="E203" i="22"/>
  <c r="C203" i="22"/>
  <c r="D203" i="22"/>
  <c r="U202" i="22"/>
  <c r="W202" i="22"/>
  <c r="AD203" i="22" l="1"/>
  <c r="AR204" i="22"/>
  <c r="O203" i="22"/>
  <c r="AA204" i="22"/>
  <c r="R204" i="22" s="1"/>
  <c r="L204" i="22"/>
  <c r="X204" i="22"/>
  <c r="V204" i="22"/>
  <c r="Y204" i="22"/>
  <c r="AB204" i="22"/>
  <c r="Z204" i="22"/>
  <c r="N204" i="22"/>
  <c r="K204" i="22"/>
  <c r="M204" i="22"/>
  <c r="AH203" i="22"/>
  <c r="AG203" i="22"/>
  <c r="AC203" i="22"/>
  <c r="AE203" i="22"/>
  <c r="AF203" i="22"/>
  <c r="F204" i="22"/>
  <c r="G204" i="22"/>
  <c r="U203" i="22"/>
  <c r="W203" i="22"/>
  <c r="A205" i="22"/>
  <c r="B204" i="22"/>
  <c r="C204" i="22"/>
  <c r="E204" i="22"/>
  <c r="D204" i="22"/>
  <c r="AD204" i="22" l="1"/>
  <c r="AR205" i="22"/>
  <c r="O204" i="22"/>
  <c r="Z205" i="22"/>
  <c r="Y205" i="22"/>
  <c r="K205" i="22"/>
  <c r="AB205" i="22"/>
  <c r="N205" i="22"/>
  <c r="V205" i="22"/>
  <c r="L205" i="22"/>
  <c r="X205" i="22"/>
  <c r="M205" i="22"/>
  <c r="AA205" i="22"/>
  <c r="O205" i="22" s="1"/>
  <c r="AH204" i="22"/>
  <c r="AG204" i="22"/>
  <c r="AC204" i="22"/>
  <c r="AE204" i="22"/>
  <c r="AF204" i="22"/>
  <c r="F205" i="22"/>
  <c r="G205" i="22"/>
  <c r="A206" i="22"/>
  <c r="C205" i="22"/>
  <c r="B205" i="22"/>
  <c r="D205" i="22"/>
  <c r="E205" i="22"/>
  <c r="U204" i="22"/>
  <c r="W204" i="22"/>
  <c r="AD205" i="22" l="1"/>
  <c r="AR206" i="22"/>
  <c r="R205" i="22"/>
  <c r="K206" i="22"/>
  <c r="AA206" i="22"/>
  <c r="O206" i="22" s="1"/>
  <c r="Y206" i="22"/>
  <c r="AB206" i="22"/>
  <c r="Z206" i="22"/>
  <c r="L206" i="22"/>
  <c r="V206" i="22"/>
  <c r="M206" i="22"/>
  <c r="X206" i="22"/>
  <c r="N206" i="22"/>
  <c r="AH205" i="22"/>
  <c r="AG205" i="22"/>
  <c r="AE205" i="22"/>
  <c r="AC205" i="22"/>
  <c r="AF205" i="22"/>
  <c r="F206" i="22"/>
  <c r="G206" i="22"/>
  <c r="U205" i="22"/>
  <c r="W205" i="22"/>
  <c r="A207" i="22"/>
  <c r="B206" i="22"/>
  <c r="C206" i="22"/>
  <c r="D206" i="22"/>
  <c r="E206" i="22"/>
  <c r="AD206" i="22" l="1"/>
  <c r="AR207" i="22"/>
  <c r="R206" i="22"/>
  <c r="AB207" i="22"/>
  <c r="M207" i="22"/>
  <c r="N207" i="22"/>
  <c r="X207" i="22"/>
  <c r="Z207" i="22"/>
  <c r="Y207" i="22"/>
  <c r="L207" i="22"/>
  <c r="V207" i="22"/>
  <c r="AA207" i="22"/>
  <c r="R207" i="22" s="1"/>
  <c r="K207" i="22"/>
  <c r="AH206" i="22"/>
  <c r="AG206" i="22"/>
  <c r="AE206" i="22"/>
  <c r="AC206" i="22"/>
  <c r="AF206" i="22"/>
  <c r="F207" i="22"/>
  <c r="G207" i="22"/>
  <c r="A208" i="22"/>
  <c r="B207" i="22"/>
  <c r="C207" i="22"/>
  <c r="D207" i="22"/>
  <c r="E207" i="22"/>
  <c r="U206" i="22"/>
  <c r="W206" i="22"/>
  <c r="AD207" i="22" l="1"/>
  <c r="AR208" i="22"/>
  <c r="O207" i="22"/>
  <c r="N208" i="22"/>
  <c r="AB208" i="22"/>
  <c r="V208" i="22"/>
  <c r="Y208" i="22"/>
  <c r="L208" i="22"/>
  <c r="X208" i="22"/>
  <c r="M208" i="22"/>
  <c r="Z208" i="22"/>
  <c r="AA208" i="22"/>
  <c r="R208" i="22" s="1"/>
  <c r="K208" i="22"/>
  <c r="AH207" i="22"/>
  <c r="AG207" i="22"/>
  <c r="AC207" i="22"/>
  <c r="AE207" i="22"/>
  <c r="AF207" i="22"/>
  <c r="F208" i="22"/>
  <c r="G208" i="22"/>
  <c r="U207" i="22"/>
  <c r="W207" i="22"/>
  <c r="A209" i="22"/>
  <c r="B208" i="22"/>
  <c r="C208" i="22"/>
  <c r="E208" i="22"/>
  <c r="D208" i="22"/>
  <c r="AD208" i="22" l="1"/>
  <c r="AR209" i="22"/>
  <c r="O208" i="22"/>
  <c r="M209" i="22"/>
  <c r="V209" i="22"/>
  <c r="K209" i="22"/>
  <c r="L209" i="22"/>
  <c r="N209" i="22"/>
  <c r="X209" i="22"/>
  <c r="AB209" i="22"/>
  <c r="Y209" i="22"/>
  <c r="Z209" i="22"/>
  <c r="AA209" i="22"/>
  <c r="O209" i="22" s="1"/>
  <c r="AH208" i="22"/>
  <c r="AG208" i="22"/>
  <c r="AC208" i="22"/>
  <c r="AE208" i="22"/>
  <c r="AF208" i="22"/>
  <c r="F209" i="22"/>
  <c r="G209" i="22"/>
  <c r="A210" i="22"/>
  <c r="B209" i="22"/>
  <c r="C209" i="22"/>
  <c r="D209" i="22"/>
  <c r="E209" i="22"/>
  <c r="U208" i="22"/>
  <c r="W208" i="22"/>
  <c r="AD209" i="22" l="1"/>
  <c r="AR210" i="22"/>
  <c r="R209" i="22"/>
  <c r="K210" i="22"/>
  <c r="V210" i="22"/>
  <c r="X210" i="22"/>
  <c r="AA210" i="22"/>
  <c r="O210" i="22" s="1"/>
  <c r="M210" i="22"/>
  <c r="AB210" i="22"/>
  <c r="Z210" i="22"/>
  <c r="L210" i="22"/>
  <c r="Y210" i="22"/>
  <c r="N210" i="22"/>
  <c r="AH209" i="22"/>
  <c r="AG209" i="22"/>
  <c r="AC209" i="22"/>
  <c r="AE209" i="22"/>
  <c r="AF209" i="22"/>
  <c r="F210" i="22"/>
  <c r="G210" i="22"/>
  <c r="A211" i="22"/>
  <c r="B210" i="22"/>
  <c r="C210" i="22"/>
  <c r="D210" i="22"/>
  <c r="E210" i="22"/>
  <c r="U209" i="22"/>
  <c r="W209" i="22"/>
  <c r="AD210" i="22" l="1"/>
  <c r="AR211" i="22"/>
  <c r="L211" i="22"/>
  <c r="AB211" i="22"/>
  <c r="X211" i="22"/>
  <c r="K211" i="22"/>
  <c r="N211" i="22"/>
  <c r="V211" i="22"/>
  <c r="AA211" i="22"/>
  <c r="R211" i="22" s="1"/>
  <c r="M211" i="22"/>
  <c r="Y211" i="22"/>
  <c r="Z211" i="22"/>
  <c r="R210" i="22"/>
  <c r="AH210" i="22"/>
  <c r="AG210" i="22"/>
  <c r="AC210" i="22"/>
  <c r="AE210" i="22"/>
  <c r="AF210" i="22"/>
  <c r="F211" i="22"/>
  <c r="G211" i="22"/>
  <c r="U210" i="22"/>
  <c r="W210" i="22"/>
  <c r="A212" i="22"/>
  <c r="B211" i="22"/>
  <c r="D211" i="22"/>
  <c r="C211" i="22"/>
  <c r="E211" i="22"/>
  <c r="AD211" i="22" l="1"/>
  <c r="AR212" i="22"/>
  <c r="O211" i="22"/>
  <c r="X212" i="22"/>
  <c r="M212" i="22"/>
  <c r="AB212" i="22"/>
  <c r="Z212" i="22"/>
  <c r="N212" i="22"/>
  <c r="Y212" i="22"/>
  <c r="L212" i="22"/>
  <c r="K212" i="22"/>
  <c r="AA212" i="22"/>
  <c r="R212" i="22" s="1"/>
  <c r="V212" i="22"/>
  <c r="AH211" i="22"/>
  <c r="AG211" i="22"/>
  <c r="AE211" i="22"/>
  <c r="AC211" i="22"/>
  <c r="AF211" i="22"/>
  <c r="F212" i="22"/>
  <c r="G212" i="22"/>
  <c r="U211" i="22"/>
  <c r="W211" i="22"/>
  <c r="A213" i="22"/>
  <c r="B212" i="22"/>
  <c r="C212" i="22"/>
  <c r="D212" i="22"/>
  <c r="E212" i="22"/>
  <c r="AD212" i="22" l="1"/>
  <c r="AR213" i="22"/>
  <c r="O212" i="22"/>
  <c r="V213" i="22"/>
  <c r="M213" i="22"/>
  <c r="AB213" i="22"/>
  <c r="X213" i="22"/>
  <c r="Y213" i="22"/>
  <c r="N213" i="22"/>
  <c r="AA213" i="22"/>
  <c r="R213" i="22" s="1"/>
  <c r="Z213" i="22"/>
  <c r="K213" i="22"/>
  <c r="L213" i="22"/>
  <c r="AH212" i="22"/>
  <c r="AG212" i="22"/>
  <c r="AE212" i="22"/>
  <c r="AC212" i="22"/>
  <c r="AF212" i="22"/>
  <c r="F213" i="22"/>
  <c r="G213" i="22"/>
  <c r="W212" i="22"/>
  <c r="U212" i="22"/>
  <c r="B213" i="22"/>
  <c r="A214" i="22"/>
  <c r="C213" i="22"/>
  <c r="E213" i="22"/>
  <c r="D213" i="22"/>
  <c r="AD213" i="22" l="1"/>
  <c r="AR214" i="22"/>
  <c r="O213" i="22"/>
  <c r="Z214" i="22"/>
  <c r="AA214" i="22"/>
  <c r="O214" i="22" s="1"/>
  <c r="L214" i="22"/>
  <c r="X214" i="22"/>
  <c r="AB214" i="22"/>
  <c r="V214" i="22"/>
  <c r="N214" i="22"/>
  <c r="K214" i="22"/>
  <c r="Y214" i="22"/>
  <c r="M214" i="22"/>
  <c r="AH213" i="22"/>
  <c r="AG213" i="22"/>
  <c r="AC213" i="22"/>
  <c r="AE213" i="22"/>
  <c r="AF213" i="22"/>
  <c r="F214" i="22"/>
  <c r="G214" i="22"/>
  <c r="A215" i="22"/>
  <c r="B214" i="22"/>
  <c r="C214" i="22"/>
  <c r="D214" i="22"/>
  <c r="E214" i="22"/>
  <c r="W213" i="22"/>
  <c r="U213" i="22"/>
  <c r="AD214" i="22" l="1"/>
  <c r="AR215" i="22"/>
  <c r="R214" i="22"/>
  <c r="L215" i="22"/>
  <c r="X215" i="22"/>
  <c r="K215" i="22"/>
  <c r="V215" i="22"/>
  <c r="AA215" i="22"/>
  <c r="R215" i="22" s="1"/>
  <c r="Z215" i="22"/>
  <c r="N215" i="22"/>
  <c r="M215" i="22"/>
  <c r="Y215" i="22"/>
  <c r="AB215" i="22"/>
  <c r="AH214" i="22"/>
  <c r="AG214" i="22"/>
  <c r="AE214" i="22"/>
  <c r="AC214" i="22"/>
  <c r="AF214" i="22"/>
  <c r="F215" i="22"/>
  <c r="G215" i="22"/>
  <c r="U214" i="22"/>
  <c r="W214" i="22"/>
  <c r="B215" i="22"/>
  <c r="A216" i="22"/>
  <c r="D215" i="22"/>
  <c r="C215" i="22"/>
  <c r="E215" i="22"/>
  <c r="AD215" i="22" l="1"/>
  <c r="AR216" i="22"/>
  <c r="O215" i="22"/>
  <c r="Z216" i="22"/>
  <c r="Y216" i="22"/>
  <c r="N216" i="22"/>
  <c r="M216" i="22"/>
  <c r="AA216" i="22"/>
  <c r="R216" i="22" s="1"/>
  <c r="V216" i="22"/>
  <c r="X216" i="22"/>
  <c r="AB216" i="22"/>
  <c r="K216" i="22"/>
  <c r="L216" i="22"/>
  <c r="AH215" i="22"/>
  <c r="AG215" i="22"/>
  <c r="AE215" i="22"/>
  <c r="AC215" i="22"/>
  <c r="AF215" i="22"/>
  <c r="F216" i="22"/>
  <c r="G216" i="22"/>
  <c r="A217" i="22"/>
  <c r="B216" i="22"/>
  <c r="C216" i="22"/>
  <c r="D216" i="22"/>
  <c r="E216" i="22"/>
  <c r="U215" i="22"/>
  <c r="W215" i="22"/>
  <c r="AD216" i="22" l="1"/>
  <c r="AR217" i="22"/>
  <c r="O216" i="22"/>
  <c r="AA217" i="22"/>
  <c r="O217" i="22" s="1"/>
  <c r="L217" i="22"/>
  <c r="X217" i="22"/>
  <c r="Z217" i="22"/>
  <c r="M217" i="22"/>
  <c r="N217" i="22"/>
  <c r="Y217" i="22"/>
  <c r="V217" i="22"/>
  <c r="AB217" i="22"/>
  <c r="K217" i="22"/>
  <c r="AH216" i="22"/>
  <c r="AG216" i="22"/>
  <c r="AE216" i="22"/>
  <c r="AC216" i="22"/>
  <c r="AF216" i="22"/>
  <c r="F217" i="22"/>
  <c r="G217" i="22"/>
  <c r="U216" i="22"/>
  <c r="W216" i="22"/>
  <c r="A218" i="22"/>
  <c r="B217" i="22"/>
  <c r="C217" i="22"/>
  <c r="E217" i="22"/>
  <c r="D217" i="22"/>
  <c r="AD217" i="22" l="1"/>
  <c r="AR218" i="22"/>
  <c r="R217" i="22"/>
  <c r="N218" i="22"/>
  <c r="L218" i="22"/>
  <c r="X218" i="22"/>
  <c r="AA218" i="22"/>
  <c r="O218" i="22" s="1"/>
  <c r="V218" i="22"/>
  <c r="K218" i="22"/>
  <c r="Y218" i="22"/>
  <c r="Z218" i="22"/>
  <c r="AB218" i="22"/>
  <c r="M218" i="22"/>
  <c r="AH217" i="22"/>
  <c r="AG217" i="22"/>
  <c r="AE217" i="22"/>
  <c r="AC217" i="22"/>
  <c r="AF217" i="22"/>
  <c r="F218" i="22"/>
  <c r="G218" i="22"/>
  <c r="B218" i="22"/>
  <c r="A219" i="22"/>
  <c r="C218" i="22"/>
  <c r="D218" i="22"/>
  <c r="E218" i="22"/>
  <c r="U217" i="22"/>
  <c r="W217" i="22"/>
  <c r="AD218" i="22" l="1"/>
  <c r="AR219" i="22"/>
  <c r="R218" i="22"/>
  <c r="V219" i="22"/>
  <c r="AA219" i="22"/>
  <c r="O219" i="22" s="1"/>
  <c r="Y219" i="22"/>
  <c r="K219" i="22"/>
  <c r="AB219" i="22"/>
  <c r="M219" i="22"/>
  <c r="X219" i="22"/>
  <c r="N219" i="22"/>
  <c r="L219" i="22"/>
  <c r="Z219" i="22"/>
  <c r="AH218" i="22"/>
  <c r="AG218" i="22"/>
  <c r="AE218" i="22"/>
  <c r="AC218" i="22"/>
  <c r="AF218" i="22"/>
  <c r="F219" i="22"/>
  <c r="G219" i="22"/>
  <c r="U218" i="22"/>
  <c r="W218" i="22"/>
  <c r="A220" i="22"/>
  <c r="B219" i="22"/>
  <c r="D219" i="22"/>
  <c r="C219" i="22"/>
  <c r="E219" i="22"/>
  <c r="AD219" i="22" l="1"/>
  <c r="AR220" i="22"/>
  <c r="R219" i="22"/>
  <c r="Z220" i="22"/>
  <c r="N220" i="22"/>
  <c r="M220" i="22"/>
  <c r="AB220" i="22"/>
  <c r="X220" i="22"/>
  <c r="K220" i="22"/>
  <c r="Y220" i="22"/>
  <c r="L220" i="22"/>
  <c r="V220" i="22"/>
  <c r="AA220" i="22"/>
  <c r="R220" i="22" s="1"/>
  <c r="AH219" i="22"/>
  <c r="AG219" i="22"/>
  <c r="AE219" i="22"/>
  <c r="AC219" i="22"/>
  <c r="AF219" i="22"/>
  <c r="F220" i="22"/>
  <c r="G220" i="22"/>
  <c r="A221" i="22"/>
  <c r="B220" i="22"/>
  <c r="C220" i="22"/>
  <c r="E220" i="22"/>
  <c r="D220" i="22"/>
  <c r="U219" i="22"/>
  <c r="W219" i="22"/>
  <c r="AD220" i="22" l="1"/>
  <c r="AR221" i="22"/>
  <c r="O220" i="22"/>
  <c r="AB221" i="22"/>
  <c r="N221" i="22"/>
  <c r="M221" i="22"/>
  <c r="K221" i="22"/>
  <c r="X221" i="22"/>
  <c r="V221" i="22"/>
  <c r="Z221" i="22"/>
  <c r="AA221" i="22"/>
  <c r="R221" i="22" s="1"/>
  <c r="Y221" i="22"/>
  <c r="L221" i="22"/>
  <c r="AH220" i="22"/>
  <c r="AG220" i="22"/>
  <c r="AC220" i="22"/>
  <c r="AE220" i="22"/>
  <c r="AF220" i="22"/>
  <c r="F221" i="22"/>
  <c r="G221" i="22"/>
  <c r="U220" i="22"/>
  <c r="W220" i="22"/>
  <c r="A222" i="22"/>
  <c r="B221" i="22"/>
  <c r="D221" i="22"/>
  <c r="C221" i="22"/>
  <c r="E221" i="22"/>
  <c r="AD221" i="22" l="1"/>
  <c r="AR222" i="22"/>
  <c r="O221" i="22"/>
  <c r="X222" i="22"/>
  <c r="M222" i="22"/>
  <c r="K222" i="22"/>
  <c r="Z222" i="22"/>
  <c r="V222" i="22"/>
  <c r="L222" i="22"/>
  <c r="AB222" i="22"/>
  <c r="AA222" i="22"/>
  <c r="R222" i="22" s="1"/>
  <c r="Y222" i="22"/>
  <c r="N222" i="22"/>
  <c r="AH221" i="22"/>
  <c r="AG221" i="22"/>
  <c r="AE221" i="22"/>
  <c r="AC221" i="22"/>
  <c r="AF221" i="22"/>
  <c r="F222" i="22"/>
  <c r="G222" i="22"/>
  <c r="A223" i="22"/>
  <c r="B222" i="22"/>
  <c r="C222" i="22"/>
  <c r="E222" i="22"/>
  <c r="D222" i="22"/>
  <c r="U221" i="22"/>
  <c r="W221" i="22"/>
  <c r="AD222" i="22" l="1"/>
  <c r="AR223" i="22"/>
  <c r="O222" i="22"/>
  <c r="K223" i="22"/>
  <c r="N223" i="22"/>
  <c r="AA223" i="22"/>
  <c r="O223" i="22" s="1"/>
  <c r="Z223" i="22"/>
  <c r="AB223" i="22"/>
  <c r="Y223" i="22"/>
  <c r="V223" i="22"/>
  <c r="M223" i="22"/>
  <c r="L223" i="22"/>
  <c r="X223" i="22"/>
  <c r="AH222" i="22"/>
  <c r="AG222" i="22"/>
  <c r="AE222" i="22"/>
  <c r="AC222" i="22"/>
  <c r="AF222" i="22"/>
  <c r="F223" i="22"/>
  <c r="G223" i="22"/>
  <c r="A224" i="22"/>
  <c r="B223" i="22"/>
  <c r="D223" i="22"/>
  <c r="C223" i="22"/>
  <c r="E223" i="22"/>
  <c r="U222" i="22"/>
  <c r="W222" i="22"/>
  <c r="AD223" i="22" l="1"/>
  <c r="AR224" i="22"/>
  <c r="R223" i="22"/>
  <c r="X224" i="22"/>
  <c r="M224" i="22"/>
  <c r="Y224" i="22"/>
  <c r="N224" i="22"/>
  <c r="Z224" i="22"/>
  <c r="V224" i="22"/>
  <c r="L224" i="22"/>
  <c r="AA224" i="22"/>
  <c r="R224" i="22" s="1"/>
  <c r="K224" i="22"/>
  <c r="AB224" i="22"/>
  <c r="AH223" i="22"/>
  <c r="AG223" i="22"/>
  <c r="AE223" i="22"/>
  <c r="AC223" i="22"/>
  <c r="AF223" i="22"/>
  <c r="F224" i="22"/>
  <c r="G224" i="22"/>
  <c r="U223" i="22"/>
  <c r="W223" i="22"/>
  <c r="A225" i="22"/>
  <c r="B224" i="22"/>
  <c r="C224" i="22"/>
  <c r="D224" i="22"/>
  <c r="E224" i="22"/>
  <c r="AD224" i="22" l="1"/>
  <c r="AR225" i="22"/>
  <c r="O224" i="22"/>
  <c r="AA225" i="22"/>
  <c r="O225" i="22" s="1"/>
  <c r="N225" i="22"/>
  <c r="K225" i="22"/>
  <c r="L225" i="22"/>
  <c r="AB225" i="22"/>
  <c r="X225" i="22"/>
  <c r="Z225" i="22"/>
  <c r="M225" i="22"/>
  <c r="Y225" i="22"/>
  <c r="V225" i="22"/>
  <c r="AH224" i="22"/>
  <c r="AG224" i="22"/>
  <c r="AE224" i="22"/>
  <c r="AC224" i="22"/>
  <c r="AF224" i="22"/>
  <c r="F225" i="22"/>
  <c r="G225" i="22"/>
  <c r="A226" i="22"/>
  <c r="C225" i="22"/>
  <c r="B225" i="22"/>
  <c r="D225" i="22"/>
  <c r="E225" i="22"/>
  <c r="W224" i="22"/>
  <c r="U224" i="22"/>
  <c r="AD225" i="22" l="1"/>
  <c r="AR226" i="22"/>
  <c r="R225" i="22"/>
  <c r="L226" i="22"/>
  <c r="X226" i="22"/>
  <c r="V226" i="22"/>
  <c r="M226" i="22"/>
  <c r="N226" i="22"/>
  <c r="AB226" i="22"/>
  <c r="K226" i="22"/>
  <c r="Z226" i="22"/>
  <c r="AA226" i="22"/>
  <c r="O226" i="22" s="1"/>
  <c r="Y226" i="22"/>
  <c r="AH225" i="22"/>
  <c r="AG225" i="22"/>
  <c r="AC225" i="22"/>
  <c r="AE225" i="22"/>
  <c r="AF225" i="22"/>
  <c r="F226" i="22"/>
  <c r="G226" i="22"/>
  <c r="W225" i="22"/>
  <c r="U225" i="22"/>
  <c r="A227" i="22"/>
  <c r="B226" i="22"/>
  <c r="C226" i="22"/>
  <c r="D226" i="22"/>
  <c r="E226" i="22"/>
  <c r="AD226" i="22" l="1"/>
  <c r="AR227" i="22"/>
  <c r="R226" i="22"/>
  <c r="L227" i="22"/>
  <c r="K227" i="22"/>
  <c r="AB227" i="22"/>
  <c r="N227" i="22"/>
  <c r="Z227" i="22"/>
  <c r="AA227" i="22"/>
  <c r="O227" i="22" s="1"/>
  <c r="Y227" i="22"/>
  <c r="X227" i="22"/>
  <c r="V227" i="22"/>
  <c r="M227" i="22"/>
  <c r="AH226" i="22"/>
  <c r="AG226" i="22"/>
  <c r="AC226" i="22"/>
  <c r="AE226" i="22"/>
  <c r="AF226" i="22"/>
  <c r="F227" i="22"/>
  <c r="G227" i="22"/>
  <c r="A228" i="22"/>
  <c r="B227" i="22"/>
  <c r="C227" i="22"/>
  <c r="E227" i="22"/>
  <c r="D227" i="22"/>
  <c r="U226" i="22"/>
  <c r="W226" i="22"/>
  <c r="AD227" i="22" l="1"/>
  <c r="AR228" i="22"/>
  <c r="R227" i="22"/>
  <c r="AA228" i="22"/>
  <c r="R228" i="22" s="1"/>
  <c r="N228" i="22"/>
  <c r="Y228" i="22"/>
  <c r="AB228" i="22"/>
  <c r="X228" i="22"/>
  <c r="Z228" i="22"/>
  <c r="K228" i="22"/>
  <c r="L228" i="22"/>
  <c r="M228" i="22"/>
  <c r="V228" i="22"/>
  <c r="AH227" i="22"/>
  <c r="AG227" i="22"/>
  <c r="AE227" i="22"/>
  <c r="AC227" i="22"/>
  <c r="AF227" i="22"/>
  <c r="F228" i="22"/>
  <c r="G228" i="22"/>
  <c r="U227" i="22"/>
  <c r="W227" i="22"/>
  <c r="A229" i="22"/>
  <c r="B228" i="22"/>
  <c r="C228" i="22"/>
  <c r="D228" i="22"/>
  <c r="E228" i="22"/>
  <c r="AD228" i="22" l="1"/>
  <c r="AR229" i="22"/>
  <c r="O228" i="22"/>
  <c r="K229" i="22"/>
  <c r="N229" i="22"/>
  <c r="AB229" i="22"/>
  <c r="AA229" i="22"/>
  <c r="O229" i="22" s="1"/>
  <c r="V229" i="22"/>
  <c r="M229" i="22"/>
  <c r="Z229" i="22"/>
  <c r="Y229" i="22"/>
  <c r="X229" i="22"/>
  <c r="L229" i="22"/>
  <c r="AH228" i="22"/>
  <c r="AG228" i="22"/>
  <c r="AC228" i="22"/>
  <c r="AE228" i="22"/>
  <c r="AF228" i="22"/>
  <c r="F229" i="22"/>
  <c r="G229" i="22"/>
  <c r="A230" i="22"/>
  <c r="B229" i="22"/>
  <c r="C229" i="22"/>
  <c r="D229" i="22"/>
  <c r="E229" i="22"/>
  <c r="U228" i="22"/>
  <c r="W228" i="22"/>
  <c r="AD229" i="22" l="1"/>
  <c r="AR230" i="22"/>
  <c r="R229" i="22"/>
  <c r="Y230" i="22"/>
  <c r="N230" i="22"/>
  <c r="V230" i="22"/>
  <c r="L230" i="22"/>
  <c r="Z230" i="22"/>
  <c r="K230" i="22"/>
  <c r="X230" i="22"/>
  <c r="AA230" i="22"/>
  <c r="R230" i="22" s="1"/>
  <c r="M230" i="22"/>
  <c r="AB230" i="22"/>
  <c r="AH229" i="22"/>
  <c r="AG229" i="22"/>
  <c r="AC229" i="22"/>
  <c r="AE229" i="22"/>
  <c r="AF229" i="22"/>
  <c r="F230" i="22"/>
  <c r="G230" i="22"/>
  <c r="U229" i="22"/>
  <c r="W229" i="22"/>
  <c r="A231" i="22"/>
  <c r="B230" i="22"/>
  <c r="D230" i="22"/>
  <c r="C230" i="22"/>
  <c r="E230" i="22"/>
  <c r="AD230" i="22" l="1"/>
  <c r="AR231" i="22"/>
  <c r="O230" i="22"/>
  <c r="X231" i="22"/>
  <c r="Y231" i="22"/>
  <c r="AB231" i="22"/>
  <c r="N231" i="22"/>
  <c r="AA231" i="22"/>
  <c r="R231" i="22" s="1"/>
  <c r="M231" i="22"/>
  <c r="V231" i="22"/>
  <c r="Z231" i="22"/>
  <c r="L231" i="22"/>
  <c r="K231" i="22"/>
  <c r="AH230" i="22"/>
  <c r="AG230" i="22"/>
  <c r="AC230" i="22"/>
  <c r="AE230" i="22"/>
  <c r="AF230" i="22"/>
  <c r="F231" i="22"/>
  <c r="G231" i="22"/>
  <c r="A232" i="22"/>
  <c r="B231" i="22"/>
  <c r="D231" i="22"/>
  <c r="C231" i="22"/>
  <c r="E231" i="22"/>
  <c r="U230" i="22"/>
  <c r="W230" i="22"/>
  <c r="AD231" i="22" l="1"/>
  <c r="AR232" i="22"/>
  <c r="O231" i="22"/>
  <c r="Y232" i="22"/>
  <c r="V232" i="22"/>
  <c r="N232" i="22"/>
  <c r="X232" i="22"/>
  <c r="K232" i="22"/>
  <c r="Z232" i="22"/>
  <c r="AA232" i="22"/>
  <c r="O232" i="22" s="1"/>
  <c r="M232" i="22"/>
  <c r="L232" i="22"/>
  <c r="AB232" i="22"/>
  <c r="AH231" i="22"/>
  <c r="AG231" i="22"/>
  <c r="AE231" i="22"/>
  <c r="AC231" i="22"/>
  <c r="AF231" i="22"/>
  <c r="F232" i="22"/>
  <c r="G232" i="22"/>
  <c r="A233" i="22"/>
  <c r="B232" i="22"/>
  <c r="C232" i="22"/>
  <c r="D232" i="22"/>
  <c r="E232" i="22"/>
  <c r="U231" i="22"/>
  <c r="W231" i="22"/>
  <c r="AD232" i="22" l="1"/>
  <c r="AR233" i="22"/>
  <c r="R232" i="22"/>
  <c r="V233" i="22"/>
  <c r="Y233" i="22"/>
  <c r="K233" i="22"/>
  <c r="L233" i="22"/>
  <c r="N233" i="22"/>
  <c r="Z233" i="22"/>
  <c r="X233" i="22"/>
  <c r="AB233" i="22"/>
  <c r="M233" i="22"/>
  <c r="AA233" i="22"/>
  <c r="R233" i="22" s="1"/>
  <c r="AH232" i="22"/>
  <c r="AG232" i="22"/>
  <c r="AE232" i="22"/>
  <c r="AC232" i="22"/>
  <c r="AF232" i="22"/>
  <c r="F233" i="22"/>
  <c r="G233" i="22"/>
  <c r="A234" i="22"/>
  <c r="B233" i="22"/>
  <c r="C233" i="22"/>
  <c r="D233" i="22"/>
  <c r="E233" i="22"/>
  <c r="U232" i="22"/>
  <c r="W232" i="22"/>
  <c r="AD233" i="22" l="1"/>
  <c r="AR234" i="22"/>
  <c r="O233" i="22"/>
  <c r="AB234" i="22"/>
  <c r="Y234" i="22"/>
  <c r="V234" i="22"/>
  <c r="L234" i="22"/>
  <c r="N234" i="22"/>
  <c r="M234" i="22"/>
  <c r="K234" i="22"/>
  <c r="AA234" i="22"/>
  <c r="R234" i="22" s="1"/>
  <c r="X234" i="22"/>
  <c r="Z234" i="22"/>
  <c r="AH233" i="22"/>
  <c r="AG233" i="22"/>
  <c r="AC233" i="22"/>
  <c r="AE233" i="22"/>
  <c r="AF233" i="22"/>
  <c r="F234" i="22"/>
  <c r="G234" i="22"/>
  <c r="A235" i="22"/>
  <c r="B234" i="22"/>
  <c r="C234" i="22"/>
  <c r="E234" i="22"/>
  <c r="D234" i="22"/>
  <c r="U233" i="22"/>
  <c r="W233" i="22"/>
  <c r="AD234" i="22" l="1"/>
  <c r="AR235" i="22"/>
  <c r="O234" i="22"/>
  <c r="N235" i="22"/>
  <c r="V235" i="22"/>
  <c r="M235" i="22"/>
  <c r="Z235" i="22"/>
  <c r="Y235" i="22"/>
  <c r="AA235" i="22"/>
  <c r="O235" i="22" s="1"/>
  <c r="L235" i="22"/>
  <c r="K235" i="22"/>
  <c r="X235" i="22"/>
  <c r="AB235" i="22"/>
  <c r="AH234" i="22"/>
  <c r="AG234" i="22"/>
  <c r="AC234" i="22"/>
  <c r="AE234" i="22"/>
  <c r="AF234" i="22"/>
  <c r="F235" i="22"/>
  <c r="G235" i="22"/>
  <c r="U234" i="22"/>
  <c r="W234" i="22"/>
  <c r="A236" i="22"/>
  <c r="B235" i="22"/>
  <c r="D235" i="22"/>
  <c r="AR236" i="22" s="1"/>
  <c r="C235" i="22"/>
  <c r="E235" i="22"/>
  <c r="R235" i="22" l="1"/>
  <c r="X236" i="22"/>
  <c r="N236" i="22"/>
  <c r="L236" i="22"/>
  <c r="K236" i="22"/>
  <c r="AA236" i="22"/>
  <c r="O236" i="22" s="1"/>
  <c r="AB236" i="22"/>
  <c r="M236" i="22"/>
  <c r="Y236" i="22"/>
  <c r="Z236" i="22"/>
  <c r="V236" i="22"/>
  <c r="AD235" i="22"/>
  <c r="AH235" i="22"/>
  <c r="AG235" i="22"/>
  <c r="AC235" i="22"/>
  <c r="AE235" i="22"/>
  <c r="AF235" i="22"/>
  <c r="F236" i="22"/>
  <c r="G236" i="22"/>
  <c r="A237" i="22"/>
  <c r="B236" i="22"/>
  <c r="C236" i="22"/>
  <c r="E236" i="22"/>
  <c r="D236" i="22"/>
  <c r="U235" i="22"/>
  <c r="W235" i="22"/>
  <c r="AD236" i="22" l="1"/>
  <c r="AR237" i="22"/>
  <c r="R236" i="22"/>
  <c r="Y237" i="22"/>
  <c r="N237" i="22"/>
  <c r="X237" i="22"/>
  <c r="AA237" i="22"/>
  <c r="R237" i="22" s="1"/>
  <c r="L237" i="22"/>
  <c r="AB237" i="22"/>
  <c r="V237" i="22"/>
  <c r="K237" i="22"/>
  <c r="M237" i="22"/>
  <c r="Z237" i="22"/>
  <c r="AH236" i="22"/>
  <c r="AG236" i="22"/>
  <c r="AE236" i="22"/>
  <c r="AC236" i="22"/>
  <c r="AF236" i="22"/>
  <c r="F237" i="22"/>
  <c r="G237" i="22"/>
  <c r="B237" i="22"/>
  <c r="C237" i="22"/>
  <c r="A238" i="22"/>
  <c r="D237" i="22"/>
  <c r="AR238" i="22" s="1"/>
  <c r="E237" i="22"/>
  <c r="U236" i="22"/>
  <c r="W236" i="22"/>
  <c r="O237" i="22" l="1"/>
  <c r="AD237" i="22"/>
  <c r="AA238" i="22"/>
  <c r="O238" i="22" s="1"/>
  <c r="Y238" i="22"/>
  <c r="K238" i="22"/>
  <c r="N238" i="22"/>
  <c r="M238" i="22"/>
  <c r="L238" i="22"/>
  <c r="X238" i="22"/>
  <c r="AB238" i="22"/>
  <c r="Z238" i="22"/>
  <c r="V238" i="22"/>
  <c r="AH237" i="22"/>
  <c r="AG237" i="22"/>
  <c r="AE237" i="22"/>
  <c r="AC237" i="22"/>
  <c r="AF237" i="22"/>
  <c r="F238" i="22"/>
  <c r="G238" i="22"/>
  <c r="B238" i="22"/>
  <c r="A239" i="22"/>
  <c r="C238" i="22"/>
  <c r="D238" i="22"/>
  <c r="E238" i="22"/>
  <c r="U237" i="22"/>
  <c r="W237" i="22"/>
  <c r="AD238" i="22" l="1"/>
  <c r="AR239" i="22"/>
  <c r="M239" i="22"/>
  <c r="AA239" i="22"/>
  <c r="O239" i="22" s="1"/>
  <c r="Z239" i="22"/>
  <c r="V239" i="22"/>
  <c r="AB239" i="22"/>
  <c r="X239" i="22"/>
  <c r="L239" i="22"/>
  <c r="Y239" i="22"/>
  <c r="N239" i="22"/>
  <c r="K239" i="22"/>
  <c r="R238" i="22"/>
  <c r="AH238" i="22"/>
  <c r="AG238" i="22"/>
  <c r="AE238" i="22"/>
  <c r="AC238" i="22"/>
  <c r="AF238" i="22"/>
  <c r="F239" i="22"/>
  <c r="G239" i="22"/>
  <c r="B239" i="22"/>
  <c r="A240" i="22"/>
  <c r="C239" i="22"/>
  <c r="D239" i="22"/>
  <c r="AR240" i="22" s="1"/>
  <c r="E239" i="22"/>
  <c r="U238" i="22"/>
  <c r="W238" i="22"/>
  <c r="R239" i="22" l="1"/>
  <c r="AD239" i="22"/>
  <c r="AB240" i="22"/>
  <c r="K240" i="22"/>
  <c r="N240" i="22"/>
  <c r="Z240" i="22"/>
  <c r="V240" i="22"/>
  <c r="X240" i="22"/>
  <c r="AA240" i="22"/>
  <c r="O240" i="22" s="1"/>
  <c r="M240" i="22"/>
  <c r="L240" i="22"/>
  <c r="Y240" i="22"/>
  <c r="AH239" i="22"/>
  <c r="AG239" i="22"/>
  <c r="AC239" i="22"/>
  <c r="AE239" i="22"/>
  <c r="AF239" i="22"/>
  <c r="F240" i="22"/>
  <c r="G240" i="22"/>
  <c r="B240" i="22"/>
  <c r="A241" i="22"/>
  <c r="C240" i="22"/>
  <c r="D240" i="22"/>
  <c r="E240" i="22"/>
  <c r="U239" i="22"/>
  <c r="W239" i="22"/>
  <c r="AD240" i="22" l="1"/>
  <c r="AR241" i="22"/>
  <c r="L241" i="22"/>
  <c r="V241" i="22"/>
  <c r="Y241" i="22"/>
  <c r="AB241" i="22"/>
  <c r="Z241" i="22"/>
  <c r="AA241" i="22"/>
  <c r="R241" i="22" s="1"/>
  <c r="N241" i="22"/>
  <c r="K241" i="22"/>
  <c r="M241" i="22"/>
  <c r="X241" i="22"/>
  <c r="R240" i="22"/>
  <c r="AH240" i="22"/>
  <c r="AG240" i="22"/>
  <c r="AC240" i="22"/>
  <c r="AE240" i="22"/>
  <c r="AF240" i="22"/>
  <c r="F241" i="22"/>
  <c r="G241" i="22"/>
  <c r="A242" i="22"/>
  <c r="B241" i="22"/>
  <c r="C241" i="22"/>
  <c r="E241" i="22"/>
  <c r="D241" i="22"/>
  <c r="U240" i="22"/>
  <c r="W240" i="22"/>
  <c r="AD241" i="22" l="1"/>
  <c r="AR242" i="22"/>
  <c r="O241" i="22"/>
  <c r="V242" i="22"/>
  <c r="X242" i="22"/>
  <c r="Z242" i="22"/>
  <c r="AB242" i="22"/>
  <c r="N242" i="22"/>
  <c r="K242" i="22"/>
  <c r="M242" i="22"/>
  <c r="AA242" i="22"/>
  <c r="R242" i="22" s="1"/>
  <c r="Y242" i="22"/>
  <c r="L242" i="22"/>
  <c r="AH241" i="22"/>
  <c r="AG241" i="22"/>
  <c r="AC241" i="22"/>
  <c r="AE241" i="22"/>
  <c r="AF241" i="22"/>
  <c r="F242" i="22"/>
  <c r="G242" i="22"/>
  <c r="U241" i="22"/>
  <c r="W241" i="22"/>
  <c r="A243" i="22"/>
  <c r="B242" i="22"/>
  <c r="C242" i="22"/>
  <c r="D242" i="22"/>
  <c r="E242" i="22"/>
  <c r="AD242" i="22" l="1"/>
  <c r="AR243" i="22"/>
  <c r="O242" i="22"/>
  <c r="M243" i="22"/>
  <c r="L243" i="22"/>
  <c r="AB243" i="22"/>
  <c r="Z243" i="22"/>
  <c r="Y243" i="22"/>
  <c r="N243" i="22"/>
  <c r="X243" i="22"/>
  <c r="K243" i="22"/>
  <c r="V243" i="22"/>
  <c r="AA243" i="22"/>
  <c r="R243" i="22" s="1"/>
  <c r="AH242" i="22"/>
  <c r="AG242" i="22"/>
  <c r="AC242" i="22"/>
  <c r="AE242" i="22"/>
  <c r="AF242" i="22"/>
  <c r="F243" i="22"/>
  <c r="G243" i="22"/>
  <c r="A244" i="22"/>
  <c r="C243" i="22"/>
  <c r="B243" i="22"/>
  <c r="D243" i="22"/>
  <c r="E243" i="22"/>
  <c r="U242" i="22"/>
  <c r="W242" i="22"/>
  <c r="AD243" i="22" l="1"/>
  <c r="AR244" i="22"/>
  <c r="O243" i="22"/>
  <c r="Y244" i="22"/>
  <c r="X244" i="22"/>
  <c r="K244" i="22"/>
  <c r="AB244" i="22"/>
  <c r="V244" i="22"/>
  <c r="L244" i="22"/>
  <c r="AA244" i="22"/>
  <c r="O244" i="22" s="1"/>
  <c r="N244" i="22"/>
  <c r="M244" i="22"/>
  <c r="Z244" i="22"/>
  <c r="AH243" i="22"/>
  <c r="AG243" i="22"/>
  <c r="AC243" i="22"/>
  <c r="AE243" i="22"/>
  <c r="AF243" i="22"/>
  <c r="F244" i="22"/>
  <c r="G244" i="22"/>
  <c r="U243" i="22"/>
  <c r="W243" i="22"/>
  <c r="A245" i="22"/>
  <c r="B244" i="22"/>
  <c r="D244" i="22"/>
  <c r="C244" i="22"/>
  <c r="E244" i="22"/>
  <c r="AD244" i="22" l="1"/>
  <c r="AR245" i="22"/>
  <c r="R244" i="22"/>
  <c r="AA245" i="22"/>
  <c r="O245" i="22" s="1"/>
  <c r="X245" i="22"/>
  <c r="N245" i="22"/>
  <c r="Z245" i="22"/>
  <c r="AB245" i="22"/>
  <c r="K245" i="22"/>
  <c r="M245" i="22"/>
  <c r="L245" i="22"/>
  <c r="V245" i="22"/>
  <c r="Y245" i="22"/>
  <c r="AH244" i="22"/>
  <c r="AG244" i="22"/>
  <c r="AE244" i="22"/>
  <c r="AC244" i="22"/>
  <c r="AF244" i="22"/>
  <c r="F245" i="22"/>
  <c r="G245" i="22"/>
  <c r="U244" i="22"/>
  <c r="W244" i="22"/>
  <c r="A246" i="22"/>
  <c r="B245" i="22"/>
  <c r="D245" i="22"/>
  <c r="C245" i="22"/>
  <c r="E245" i="22"/>
  <c r="AD245" i="22" l="1"/>
  <c r="AR246" i="22"/>
  <c r="R245" i="22"/>
  <c r="AA246" i="22"/>
  <c r="R246" i="22" s="1"/>
  <c r="K246" i="22"/>
  <c r="V246" i="22"/>
  <c r="Z246" i="22"/>
  <c r="N246" i="22"/>
  <c r="Y246" i="22"/>
  <c r="M246" i="22"/>
  <c r="L246" i="22"/>
  <c r="X246" i="22"/>
  <c r="AB246" i="22"/>
  <c r="AH245" i="22"/>
  <c r="AG245" i="22"/>
  <c r="AC245" i="22"/>
  <c r="AE245" i="22"/>
  <c r="AF245" i="22"/>
  <c r="F246" i="22"/>
  <c r="G246" i="22"/>
  <c r="A247" i="22"/>
  <c r="B246" i="22"/>
  <c r="C246" i="22"/>
  <c r="E246" i="22"/>
  <c r="D246" i="22"/>
  <c r="U245" i="22"/>
  <c r="W245" i="22"/>
  <c r="AD246" i="22" l="1"/>
  <c r="AR247" i="22"/>
  <c r="O246" i="22"/>
  <c r="V247" i="22"/>
  <c r="AA247" i="22"/>
  <c r="O247" i="22" s="1"/>
  <c r="X247" i="22"/>
  <c r="K247" i="22"/>
  <c r="N247" i="22"/>
  <c r="M247" i="22"/>
  <c r="Z247" i="22"/>
  <c r="AB247" i="22"/>
  <c r="L247" i="22"/>
  <c r="Y247" i="22"/>
  <c r="AH246" i="22"/>
  <c r="AG246" i="22"/>
  <c r="AC246" i="22"/>
  <c r="AE246" i="22"/>
  <c r="AF246" i="22"/>
  <c r="F247" i="22"/>
  <c r="G247" i="22"/>
  <c r="U246" i="22"/>
  <c r="W246" i="22"/>
  <c r="A248" i="22"/>
  <c r="B247" i="22"/>
  <c r="D247" i="22"/>
  <c r="C247" i="22"/>
  <c r="E247" i="22"/>
  <c r="AD247" i="22" l="1"/>
  <c r="AR248" i="22"/>
  <c r="R247" i="22"/>
  <c r="M248" i="22"/>
  <c r="X248" i="22"/>
  <c r="AB248" i="22"/>
  <c r="Y248" i="22"/>
  <c r="N248" i="22"/>
  <c r="K248" i="22"/>
  <c r="Z248" i="22"/>
  <c r="AA248" i="22"/>
  <c r="R248" i="22" s="1"/>
  <c r="V248" i="22"/>
  <c r="L248" i="22"/>
  <c r="AH247" i="22"/>
  <c r="AG247" i="22"/>
  <c r="AE247" i="22"/>
  <c r="AC247" i="22"/>
  <c r="AF247" i="22"/>
  <c r="F248" i="22"/>
  <c r="G248" i="22"/>
  <c r="A249" i="22"/>
  <c r="C248" i="22"/>
  <c r="B248" i="22"/>
  <c r="D248" i="22"/>
  <c r="E248" i="22"/>
  <c r="U247" i="22"/>
  <c r="W247" i="22"/>
  <c r="AD248" i="22" l="1"/>
  <c r="AR249" i="22"/>
  <c r="O248" i="22"/>
  <c r="Y249" i="22"/>
  <c r="AB249" i="22"/>
  <c r="Z249" i="22"/>
  <c r="K249" i="22"/>
  <c r="M249" i="22"/>
  <c r="X249" i="22"/>
  <c r="L249" i="22"/>
  <c r="V249" i="22"/>
  <c r="N249" i="22"/>
  <c r="AA249" i="22"/>
  <c r="O249" i="22" s="1"/>
  <c r="AH248" i="22"/>
  <c r="AG248" i="22"/>
  <c r="AC248" i="22"/>
  <c r="AE248" i="22"/>
  <c r="AF248" i="22"/>
  <c r="F249" i="22"/>
  <c r="G249" i="22"/>
  <c r="W248" i="22"/>
  <c r="U248" i="22"/>
  <c r="A250" i="22"/>
  <c r="B249" i="22"/>
  <c r="C249" i="22"/>
  <c r="E249" i="22"/>
  <c r="D249" i="22"/>
  <c r="AD249" i="22" l="1"/>
  <c r="AR250" i="22"/>
  <c r="R249" i="22"/>
  <c r="AA250" i="22"/>
  <c r="O250" i="22" s="1"/>
  <c r="Y250" i="22"/>
  <c r="V250" i="22"/>
  <c r="M250" i="22"/>
  <c r="Z250" i="22"/>
  <c r="AB250" i="22"/>
  <c r="K250" i="22"/>
  <c r="X250" i="22"/>
  <c r="L250" i="22"/>
  <c r="N250" i="22"/>
  <c r="AH249" i="22"/>
  <c r="AG249" i="22"/>
  <c r="AE249" i="22"/>
  <c r="AF249" i="22"/>
  <c r="AC249" i="22"/>
  <c r="F250" i="22"/>
  <c r="G250" i="22"/>
  <c r="A251" i="22"/>
  <c r="B250" i="22"/>
  <c r="C250" i="22"/>
  <c r="D250" i="22"/>
  <c r="E250" i="22"/>
  <c r="W249" i="22"/>
  <c r="U249" i="22"/>
  <c r="AD250" i="22" l="1"/>
  <c r="AR251" i="22"/>
  <c r="X251" i="22"/>
  <c r="M251" i="22"/>
  <c r="AA251" i="22"/>
  <c r="O251" i="22" s="1"/>
  <c r="AB251" i="22"/>
  <c r="V251" i="22"/>
  <c r="N251" i="22"/>
  <c r="Y251" i="22"/>
  <c r="L251" i="22"/>
  <c r="K251" i="22"/>
  <c r="Z251" i="22"/>
  <c r="R250" i="22"/>
  <c r="AH250" i="22"/>
  <c r="AG250" i="22"/>
  <c r="AE250" i="22"/>
  <c r="AF250" i="22"/>
  <c r="AC250" i="22"/>
  <c r="F251" i="22"/>
  <c r="G251" i="22"/>
  <c r="U250" i="22"/>
  <c r="W250" i="22"/>
  <c r="B251" i="22"/>
  <c r="A252" i="22"/>
  <c r="E251" i="22"/>
  <c r="D251" i="22"/>
  <c r="C251" i="22"/>
  <c r="AD251" i="22" l="1"/>
  <c r="AR252" i="22"/>
  <c r="R251" i="22"/>
  <c r="L252" i="22"/>
  <c r="AB252" i="22"/>
  <c r="AA252" i="22"/>
  <c r="R252" i="22" s="1"/>
  <c r="N252" i="22"/>
  <c r="Z252" i="22"/>
  <c r="X252" i="22"/>
  <c r="V252" i="22"/>
  <c r="Y252" i="22"/>
  <c r="K252" i="22"/>
  <c r="M252" i="22"/>
  <c r="AH251" i="22"/>
  <c r="AG251" i="22"/>
  <c r="AE251" i="22"/>
  <c r="AC251" i="22"/>
  <c r="AF251" i="22"/>
  <c r="F252" i="22"/>
  <c r="G252" i="22"/>
  <c r="U251" i="22"/>
  <c r="W251" i="22"/>
  <c r="A253" i="22"/>
  <c r="B252" i="22"/>
  <c r="C252" i="22"/>
  <c r="D252" i="22"/>
  <c r="E252" i="22"/>
  <c r="AD252" i="22" l="1"/>
  <c r="AR253" i="22"/>
  <c r="O252" i="22"/>
  <c r="Z253" i="22"/>
  <c r="V253" i="22"/>
  <c r="X253" i="22"/>
  <c r="K253" i="22"/>
  <c r="N253" i="22"/>
  <c r="L253" i="22"/>
  <c r="AB253" i="22"/>
  <c r="M253" i="22"/>
  <c r="AA253" i="22"/>
  <c r="R253" i="22" s="1"/>
  <c r="Y253" i="22"/>
  <c r="AH252" i="22"/>
  <c r="AG252" i="22"/>
  <c r="AE252" i="22"/>
  <c r="AF252" i="22"/>
  <c r="AC252" i="22"/>
  <c r="F253" i="22"/>
  <c r="G253" i="22"/>
  <c r="U252" i="22"/>
  <c r="W252" i="22"/>
  <c r="A254" i="22"/>
  <c r="C253" i="22"/>
  <c r="B253" i="22"/>
  <c r="D253" i="22"/>
  <c r="E253" i="22"/>
  <c r="AD253" i="22" l="1"/>
  <c r="AR254" i="22"/>
  <c r="O253" i="22"/>
  <c r="Z254" i="22"/>
  <c r="Y254" i="22"/>
  <c r="N254" i="22"/>
  <c r="M254" i="22"/>
  <c r="L254" i="22"/>
  <c r="X254" i="22"/>
  <c r="V254" i="22"/>
  <c r="AA254" i="22"/>
  <c r="R254" i="22" s="1"/>
  <c r="AB254" i="22"/>
  <c r="K254" i="22"/>
  <c r="AH253" i="22"/>
  <c r="AG253" i="22"/>
  <c r="AE253" i="22"/>
  <c r="AC253" i="22"/>
  <c r="AF253" i="22"/>
  <c r="F254" i="22"/>
  <c r="G254" i="22"/>
  <c r="A255" i="22"/>
  <c r="B254" i="22"/>
  <c r="C254" i="22"/>
  <c r="D254" i="22"/>
  <c r="E254" i="22"/>
  <c r="U253" i="22"/>
  <c r="W253" i="22"/>
  <c r="AD254" i="22" l="1"/>
  <c r="AR255" i="22"/>
  <c r="O254" i="22"/>
  <c r="Y255" i="22"/>
  <c r="K255" i="22"/>
  <c r="AB255" i="22"/>
  <c r="L255" i="22"/>
  <c r="N255" i="22"/>
  <c r="X255" i="22"/>
  <c r="M255" i="22"/>
  <c r="AA255" i="22"/>
  <c r="R255" i="22" s="1"/>
  <c r="Z255" i="22"/>
  <c r="V255" i="22"/>
  <c r="AH254" i="22"/>
  <c r="AG254" i="22"/>
  <c r="AE254" i="22"/>
  <c r="AF254" i="22"/>
  <c r="AC254" i="22"/>
  <c r="F255" i="22"/>
  <c r="G255" i="22"/>
  <c r="U254" i="22"/>
  <c r="W254" i="22"/>
  <c r="A256" i="22"/>
  <c r="B255" i="22"/>
  <c r="D255" i="22"/>
  <c r="C255" i="22"/>
  <c r="E255" i="22"/>
  <c r="AD255" i="22" l="1"/>
  <c r="AR256" i="22"/>
  <c r="O255" i="22"/>
  <c r="Z256" i="22"/>
  <c r="X256" i="22"/>
  <c r="K256" i="22"/>
  <c r="Y256" i="22"/>
  <c r="AA256" i="22"/>
  <c r="R256" i="22" s="1"/>
  <c r="N256" i="22"/>
  <c r="V256" i="22"/>
  <c r="M256" i="22"/>
  <c r="L256" i="22"/>
  <c r="AB256" i="22"/>
  <c r="AH255" i="22"/>
  <c r="AG255" i="22"/>
  <c r="AE255" i="22"/>
  <c r="AF255" i="22"/>
  <c r="AC255" i="22"/>
  <c r="F256" i="22"/>
  <c r="G256" i="22"/>
  <c r="A257" i="22"/>
  <c r="B256" i="22"/>
  <c r="C256" i="22"/>
  <c r="E256" i="22"/>
  <c r="D256" i="22"/>
  <c r="U255" i="22"/>
  <c r="W255" i="22"/>
  <c r="AD256" i="22" l="1"/>
  <c r="AR257" i="22"/>
  <c r="O256" i="22"/>
  <c r="Y257" i="22"/>
  <c r="AA257" i="22"/>
  <c r="O257" i="22" s="1"/>
  <c r="Z257" i="22"/>
  <c r="L257" i="22"/>
  <c r="M257" i="22"/>
  <c r="N257" i="22"/>
  <c r="K257" i="22"/>
  <c r="AB257" i="22"/>
  <c r="V257" i="22"/>
  <c r="X257" i="22"/>
  <c r="AH256" i="22"/>
  <c r="AG256" i="22"/>
  <c r="AE256" i="22"/>
  <c r="AC256" i="22"/>
  <c r="AF256" i="22"/>
  <c r="F257" i="22"/>
  <c r="G257" i="22"/>
  <c r="U256" i="22"/>
  <c r="W256" i="22"/>
  <c r="A258" i="22"/>
  <c r="B257" i="22"/>
  <c r="C257" i="22"/>
  <c r="D257" i="22"/>
  <c r="E257" i="22"/>
  <c r="AD257" i="22" l="1"/>
  <c r="AR258" i="22"/>
  <c r="R257" i="22"/>
  <c r="N258" i="22"/>
  <c r="AA258" i="22"/>
  <c r="O258" i="22" s="1"/>
  <c r="K258" i="22"/>
  <c r="Y258" i="22"/>
  <c r="M258" i="22"/>
  <c r="X258" i="22"/>
  <c r="V258" i="22"/>
  <c r="AB258" i="22"/>
  <c r="Z258" i="22"/>
  <c r="L258" i="22"/>
  <c r="AH257" i="22"/>
  <c r="AG257" i="22"/>
  <c r="AE257" i="22"/>
  <c r="AC257" i="22"/>
  <c r="AF257" i="22"/>
  <c r="F258" i="22"/>
  <c r="G258" i="22"/>
  <c r="U257" i="22"/>
  <c r="W257" i="22"/>
  <c r="A259" i="22"/>
  <c r="B258" i="22"/>
  <c r="C258" i="22"/>
  <c r="D258" i="22"/>
  <c r="E258" i="22"/>
  <c r="AD258" i="22" l="1"/>
  <c r="AR259" i="22"/>
  <c r="R258" i="22"/>
  <c r="X259" i="22"/>
  <c r="V259" i="22"/>
  <c r="L259" i="22"/>
  <c r="AA259" i="22"/>
  <c r="O259" i="22" s="1"/>
  <c r="K259" i="22"/>
  <c r="Y259" i="22"/>
  <c r="N259" i="22"/>
  <c r="M259" i="22"/>
  <c r="Z259" i="22"/>
  <c r="AB259" i="22"/>
  <c r="AH258" i="22"/>
  <c r="AG258" i="22"/>
  <c r="AE258" i="22"/>
  <c r="AC258" i="22"/>
  <c r="AF258" i="22"/>
  <c r="F259" i="22"/>
  <c r="G259" i="22"/>
  <c r="U258" i="22"/>
  <c r="W258" i="22"/>
  <c r="A260" i="22"/>
  <c r="B259" i="22"/>
  <c r="D259" i="22"/>
  <c r="C259" i="22"/>
  <c r="E259" i="22"/>
  <c r="AD259" i="22" l="1"/>
  <c r="AR260" i="22"/>
  <c r="R259" i="22"/>
  <c r="L260" i="22"/>
  <c r="Y260" i="22"/>
  <c r="AB260" i="22"/>
  <c r="M260" i="22"/>
  <c r="AA260" i="22"/>
  <c r="O260" i="22" s="1"/>
  <c r="Z260" i="22"/>
  <c r="K260" i="22"/>
  <c r="V260" i="22"/>
  <c r="N260" i="22"/>
  <c r="X260" i="22"/>
  <c r="AH259" i="22"/>
  <c r="AG259" i="22"/>
  <c r="AE259" i="22"/>
  <c r="AC259" i="22"/>
  <c r="AF259" i="22"/>
  <c r="F260" i="22"/>
  <c r="G260" i="22"/>
  <c r="U259" i="22"/>
  <c r="W259" i="22"/>
  <c r="A261" i="22"/>
  <c r="B260" i="22"/>
  <c r="C260" i="22"/>
  <c r="D260" i="22"/>
  <c r="E260" i="22"/>
  <c r="AD260" i="22" l="1"/>
  <c r="AR261" i="22"/>
  <c r="R260" i="22"/>
  <c r="N261" i="22"/>
  <c r="AB261" i="22"/>
  <c r="X261" i="22"/>
  <c r="L261" i="22"/>
  <c r="V261" i="22"/>
  <c r="M261" i="22"/>
  <c r="Z261" i="22"/>
  <c r="K261" i="22"/>
  <c r="AA261" i="22"/>
  <c r="O261" i="22" s="1"/>
  <c r="Y261" i="22"/>
  <c r="AH260" i="22"/>
  <c r="AG260" i="22"/>
  <c r="AE260" i="22"/>
  <c r="AC260" i="22"/>
  <c r="AF260" i="22"/>
  <c r="F261" i="22"/>
  <c r="G261" i="22"/>
  <c r="W260" i="22"/>
  <c r="U260" i="22"/>
  <c r="A262" i="22"/>
  <c r="C261" i="22"/>
  <c r="B261" i="22"/>
  <c r="E261" i="22"/>
  <c r="D261" i="22"/>
  <c r="AD261" i="22" l="1"/>
  <c r="AR262" i="22"/>
  <c r="R261" i="22"/>
  <c r="L262" i="22"/>
  <c r="N262" i="22"/>
  <c r="Y262" i="22"/>
  <c r="Z262" i="22"/>
  <c r="K262" i="22"/>
  <c r="M262" i="22"/>
  <c r="X262" i="22"/>
  <c r="V262" i="22"/>
  <c r="AA262" i="22"/>
  <c r="R262" i="22" s="1"/>
  <c r="AB262" i="22"/>
  <c r="AH261" i="22"/>
  <c r="AG261" i="22"/>
  <c r="AE261" i="22"/>
  <c r="AF261" i="22"/>
  <c r="AC261" i="22"/>
  <c r="F262" i="22"/>
  <c r="G262" i="22"/>
  <c r="A263" i="22"/>
  <c r="B262" i="22"/>
  <c r="C262" i="22"/>
  <c r="D262" i="22"/>
  <c r="E262" i="22"/>
  <c r="W261" i="22"/>
  <c r="U261" i="22"/>
  <c r="AD262" i="22" l="1"/>
  <c r="AR263" i="22"/>
  <c r="O262" i="22"/>
  <c r="V263" i="22"/>
  <c r="M263" i="22"/>
  <c r="K263" i="22"/>
  <c r="AA263" i="22"/>
  <c r="R263" i="22" s="1"/>
  <c r="X263" i="22"/>
  <c r="N263" i="22"/>
  <c r="Z263" i="22"/>
  <c r="Y263" i="22"/>
  <c r="AB263" i="22"/>
  <c r="L263" i="22"/>
  <c r="AH262" i="22"/>
  <c r="AG262" i="22"/>
  <c r="AE262" i="22"/>
  <c r="AF262" i="22"/>
  <c r="AC262" i="22"/>
  <c r="F263" i="22"/>
  <c r="G263" i="22"/>
  <c r="U262" i="22"/>
  <c r="W262" i="22"/>
  <c r="A264" i="22"/>
  <c r="B263" i="22"/>
  <c r="C263" i="22"/>
  <c r="D263" i="22"/>
  <c r="E263" i="22"/>
  <c r="AD263" i="22" l="1"/>
  <c r="AR264" i="22"/>
  <c r="O263" i="22"/>
  <c r="L264" i="22"/>
  <c r="X264" i="22"/>
  <c r="AB264" i="22"/>
  <c r="K264" i="22"/>
  <c r="Z264" i="22"/>
  <c r="AA264" i="22"/>
  <c r="R264" i="22" s="1"/>
  <c r="N264" i="22"/>
  <c r="Y264" i="22"/>
  <c r="V264" i="22"/>
  <c r="M264" i="22"/>
  <c r="AH263" i="22"/>
  <c r="AG263" i="22"/>
  <c r="AE263" i="22"/>
  <c r="AF263" i="22"/>
  <c r="AC263" i="22"/>
  <c r="F264" i="22"/>
  <c r="G264" i="22"/>
  <c r="A265" i="22"/>
  <c r="B264" i="22"/>
  <c r="C264" i="22"/>
  <c r="D264" i="22"/>
  <c r="E264" i="22"/>
  <c r="U263" i="22"/>
  <c r="W263" i="22"/>
  <c r="AD264" i="22" l="1"/>
  <c r="AR265" i="22"/>
  <c r="O264" i="22"/>
  <c r="M265" i="22"/>
  <c r="X265" i="22"/>
  <c r="AB265" i="22"/>
  <c r="K265" i="22"/>
  <c r="Y265" i="22"/>
  <c r="V265" i="22"/>
  <c r="L265" i="22"/>
  <c r="Z265" i="22"/>
  <c r="AA265" i="22"/>
  <c r="R265" i="22" s="1"/>
  <c r="N265" i="22"/>
  <c r="AH264" i="22"/>
  <c r="AG264" i="22"/>
  <c r="AE264" i="22"/>
  <c r="AC264" i="22"/>
  <c r="AF264" i="22"/>
  <c r="F265" i="22"/>
  <c r="G265" i="22"/>
  <c r="U264" i="22"/>
  <c r="W264" i="22"/>
  <c r="A266" i="22"/>
  <c r="B265" i="22"/>
  <c r="C265" i="22"/>
  <c r="E265" i="22"/>
  <c r="D265" i="22"/>
  <c r="AD265" i="22" l="1"/>
  <c r="AR266" i="22"/>
  <c r="O265" i="22"/>
  <c r="Y266" i="22"/>
  <c r="AA266" i="22"/>
  <c r="O266" i="22" s="1"/>
  <c r="AB266" i="22"/>
  <c r="X266" i="22"/>
  <c r="L266" i="22"/>
  <c r="K266" i="22"/>
  <c r="N266" i="22"/>
  <c r="Z266" i="22"/>
  <c r="M266" i="22"/>
  <c r="V266" i="22"/>
  <c r="AH265" i="22"/>
  <c r="AG265" i="22"/>
  <c r="AE265" i="22"/>
  <c r="AF265" i="22"/>
  <c r="AC265" i="22"/>
  <c r="F266" i="22"/>
  <c r="G266" i="22"/>
  <c r="A267" i="22"/>
  <c r="B266" i="22"/>
  <c r="C266" i="22"/>
  <c r="D266" i="22"/>
  <c r="E266" i="22"/>
  <c r="U265" i="22"/>
  <c r="W265" i="22"/>
  <c r="AD266" i="22" l="1"/>
  <c r="AR267" i="22"/>
  <c r="R266" i="22"/>
  <c r="K267" i="22"/>
  <c r="M267" i="22"/>
  <c r="N267" i="22"/>
  <c r="Z267" i="22"/>
  <c r="X267" i="22"/>
  <c r="V267" i="22"/>
  <c r="L267" i="22"/>
  <c r="Y267" i="22"/>
  <c r="AB267" i="22"/>
  <c r="AA267" i="22"/>
  <c r="R267" i="22" s="1"/>
  <c r="AH266" i="22"/>
  <c r="AG266" i="22"/>
  <c r="AE266" i="22"/>
  <c r="AF266" i="22"/>
  <c r="AC266" i="22"/>
  <c r="F267" i="22"/>
  <c r="G267" i="22"/>
  <c r="U266" i="22"/>
  <c r="W266" i="22"/>
  <c r="B267" i="22"/>
  <c r="A268" i="22"/>
  <c r="D267" i="22"/>
  <c r="C267" i="22"/>
  <c r="E267" i="22"/>
  <c r="AD267" i="22" l="1"/>
  <c r="AR268" i="22"/>
  <c r="O267" i="22"/>
  <c r="X268" i="22"/>
  <c r="L268" i="22"/>
  <c r="K268" i="22"/>
  <c r="V268" i="22"/>
  <c r="AA268" i="22"/>
  <c r="O268" i="22" s="1"/>
  <c r="AB268" i="22"/>
  <c r="N268" i="22"/>
  <c r="Y268" i="22"/>
  <c r="Z268" i="22"/>
  <c r="M268" i="22"/>
  <c r="AH267" i="22"/>
  <c r="AG267" i="22"/>
  <c r="AE267" i="22"/>
  <c r="AC267" i="22"/>
  <c r="AF267" i="22"/>
  <c r="F268" i="22"/>
  <c r="G268" i="22"/>
  <c r="U267" i="22"/>
  <c r="W267" i="22"/>
  <c r="A269" i="22"/>
  <c r="B268" i="22"/>
  <c r="C268" i="22"/>
  <c r="D268" i="22"/>
  <c r="E268" i="22"/>
  <c r="AD268" i="22" l="1"/>
  <c r="AR269" i="22"/>
  <c r="R268" i="22"/>
  <c r="Z269" i="22"/>
  <c r="Y269" i="22"/>
  <c r="AA269" i="22"/>
  <c r="O269" i="22" s="1"/>
  <c r="K269" i="22"/>
  <c r="N269" i="22"/>
  <c r="M269" i="22"/>
  <c r="AB269" i="22"/>
  <c r="V269" i="22"/>
  <c r="X269" i="22"/>
  <c r="L269" i="22"/>
  <c r="AH268" i="22"/>
  <c r="AG268" i="22"/>
  <c r="AE268" i="22"/>
  <c r="AC268" i="22"/>
  <c r="AF268" i="22"/>
  <c r="F269" i="22"/>
  <c r="G269" i="22"/>
  <c r="U268" i="22"/>
  <c r="W268" i="22"/>
  <c r="A270" i="22"/>
  <c r="B269" i="22"/>
  <c r="C269" i="22"/>
  <c r="D269" i="22"/>
  <c r="E269" i="22"/>
  <c r="AD269" i="22" l="1"/>
  <c r="AR270" i="22"/>
  <c r="R269" i="22"/>
  <c r="K270" i="22"/>
  <c r="AB270" i="22"/>
  <c r="X270" i="22"/>
  <c r="AA270" i="22"/>
  <c r="O270" i="22" s="1"/>
  <c r="N270" i="22"/>
  <c r="Z270" i="22"/>
  <c r="L270" i="22"/>
  <c r="M270" i="22"/>
  <c r="V270" i="22"/>
  <c r="Y270" i="22"/>
  <c r="AH269" i="22"/>
  <c r="AG269" i="22"/>
  <c r="AE269" i="22"/>
  <c r="AC269" i="22"/>
  <c r="AF269" i="22"/>
  <c r="F270" i="22"/>
  <c r="G270" i="22"/>
  <c r="A271" i="22"/>
  <c r="B270" i="22"/>
  <c r="C270" i="22"/>
  <c r="E270" i="22"/>
  <c r="D270" i="22"/>
  <c r="U269" i="22"/>
  <c r="W269" i="22"/>
  <c r="AD270" i="22" l="1"/>
  <c r="AR271" i="22"/>
  <c r="R270" i="22"/>
  <c r="Z271" i="22"/>
  <c r="Y271" i="22"/>
  <c r="AB271" i="22"/>
  <c r="N271" i="22"/>
  <c r="M271" i="22"/>
  <c r="AA271" i="22"/>
  <c r="R271" i="22" s="1"/>
  <c r="K271" i="22"/>
  <c r="X271" i="22"/>
  <c r="L271" i="22"/>
  <c r="V271" i="22"/>
  <c r="AH270" i="22"/>
  <c r="AG270" i="22"/>
  <c r="AE270" i="22"/>
  <c r="AC270" i="22"/>
  <c r="AF270" i="22"/>
  <c r="F271" i="22"/>
  <c r="G271" i="22"/>
  <c r="U270" i="22"/>
  <c r="W270" i="22"/>
  <c r="A272" i="22"/>
  <c r="B271" i="22"/>
  <c r="D271" i="22"/>
  <c r="C271" i="22"/>
  <c r="E271" i="22"/>
  <c r="AD271" i="22" l="1"/>
  <c r="AR272" i="22"/>
  <c r="O271" i="22"/>
  <c r="K272" i="22"/>
  <c r="AA272" i="22"/>
  <c r="O272" i="22" s="1"/>
  <c r="V272" i="22"/>
  <c r="N272" i="22"/>
  <c r="Y272" i="22"/>
  <c r="L272" i="22"/>
  <c r="Z272" i="22"/>
  <c r="X272" i="22"/>
  <c r="AB272" i="22"/>
  <c r="M272" i="22"/>
  <c r="AH271" i="22"/>
  <c r="AG271" i="22"/>
  <c r="AE271" i="22"/>
  <c r="AC271" i="22"/>
  <c r="AF271" i="22"/>
  <c r="F272" i="22"/>
  <c r="G272" i="22"/>
  <c r="A273" i="22"/>
  <c r="C272" i="22"/>
  <c r="B272" i="22"/>
  <c r="D272" i="22"/>
  <c r="E272" i="22"/>
  <c r="U271" i="22"/>
  <c r="W271" i="22"/>
  <c r="AD272" i="22" l="1"/>
  <c r="AR273" i="22"/>
  <c r="R272" i="22"/>
  <c r="Z273" i="22"/>
  <c r="AB273" i="22"/>
  <c r="V273" i="22"/>
  <c r="M273" i="22"/>
  <c r="K273" i="22"/>
  <c r="AA273" i="22"/>
  <c r="O273" i="22" s="1"/>
  <c r="L273" i="22"/>
  <c r="N273" i="22"/>
  <c r="Y273" i="22"/>
  <c r="X273" i="22"/>
  <c r="AH272" i="22"/>
  <c r="AG272" i="22"/>
  <c r="AE272" i="22"/>
  <c r="AF272" i="22"/>
  <c r="AC272" i="22"/>
  <c r="F273" i="22"/>
  <c r="G273" i="22"/>
  <c r="W272" i="22"/>
  <c r="U272" i="22"/>
  <c r="B273" i="22"/>
  <c r="C273" i="22"/>
  <c r="A274" i="22"/>
  <c r="D273" i="22"/>
  <c r="E273" i="22"/>
  <c r="AD273" i="22" l="1"/>
  <c r="AR274" i="22"/>
  <c r="R273" i="22"/>
  <c r="AA274" i="22"/>
  <c r="O274" i="22" s="1"/>
  <c r="Z274" i="22"/>
  <c r="Y274" i="22"/>
  <c r="V274" i="22"/>
  <c r="K274" i="22"/>
  <c r="M274" i="22"/>
  <c r="N274" i="22"/>
  <c r="L274" i="22"/>
  <c r="AB274" i="22"/>
  <c r="X274" i="22"/>
  <c r="AH273" i="22"/>
  <c r="AG273" i="22"/>
  <c r="AE273" i="22"/>
  <c r="AF273" i="22"/>
  <c r="AC273" i="22"/>
  <c r="F274" i="22"/>
  <c r="G274" i="22"/>
  <c r="B274" i="22"/>
  <c r="A275" i="22"/>
  <c r="C274" i="22"/>
  <c r="D274" i="22"/>
  <c r="E274" i="22"/>
  <c r="W273" i="22"/>
  <c r="U273" i="22"/>
  <c r="AD274" i="22" l="1"/>
  <c r="AR275" i="22"/>
  <c r="R274" i="22"/>
  <c r="N275" i="22"/>
  <c r="L275" i="22"/>
  <c r="M275" i="22"/>
  <c r="X275" i="22"/>
  <c r="AB275" i="22"/>
  <c r="Y275" i="22"/>
  <c r="K275" i="22"/>
  <c r="Z275" i="22"/>
  <c r="AA275" i="22"/>
  <c r="R275" i="22" s="1"/>
  <c r="V275" i="22"/>
  <c r="AH274" i="22"/>
  <c r="AG274" i="22"/>
  <c r="AE274" i="22"/>
  <c r="AC274" i="22"/>
  <c r="AF274" i="22"/>
  <c r="F275" i="22"/>
  <c r="G275" i="22"/>
  <c r="U274" i="22"/>
  <c r="W274" i="22"/>
  <c r="B275" i="22"/>
  <c r="A276" i="22"/>
  <c r="C275" i="22"/>
  <c r="D275" i="22"/>
  <c r="E275" i="22"/>
  <c r="AD275" i="22" l="1"/>
  <c r="AR276" i="22"/>
  <c r="O275" i="22"/>
  <c r="AA276" i="22"/>
  <c r="O276" i="22" s="1"/>
  <c r="AB276" i="22"/>
  <c r="L276" i="22"/>
  <c r="K276" i="22"/>
  <c r="Z276" i="22"/>
  <c r="X276" i="22"/>
  <c r="Y276" i="22"/>
  <c r="M276" i="22"/>
  <c r="N276" i="22"/>
  <c r="V276" i="22"/>
  <c r="AH275" i="22"/>
  <c r="AG275" i="22"/>
  <c r="AE275" i="22"/>
  <c r="AF275" i="22"/>
  <c r="AC275" i="22"/>
  <c r="F276" i="22"/>
  <c r="G276" i="22"/>
  <c r="A277" i="22"/>
  <c r="B276" i="22"/>
  <c r="C276" i="22"/>
  <c r="D276" i="22"/>
  <c r="E276" i="22"/>
  <c r="U275" i="22"/>
  <c r="W275" i="22"/>
  <c r="AD276" i="22" l="1"/>
  <c r="AR277" i="22"/>
  <c r="R276" i="22"/>
  <c r="K277" i="22"/>
  <c r="Y277" i="22"/>
  <c r="L277" i="22"/>
  <c r="V277" i="22"/>
  <c r="X277" i="22"/>
  <c r="AB277" i="22"/>
  <c r="M277" i="22"/>
  <c r="AA277" i="22"/>
  <c r="R277" i="22" s="1"/>
  <c r="Z277" i="22"/>
  <c r="N277" i="22"/>
  <c r="AH276" i="22"/>
  <c r="AG276" i="22"/>
  <c r="AE276" i="22"/>
  <c r="AC276" i="22"/>
  <c r="AF276" i="22"/>
  <c r="F277" i="22"/>
  <c r="G277" i="22"/>
  <c r="U276" i="22"/>
  <c r="W276" i="22"/>
  <c r="C277" i="22"/>
  <c r="A278" i="22"/>
  <c r="B277" i="22"/>
  <c r="E277" i="22"/>
  <c r="D277" i="22"/>
  <c r="AD277" i="22" l="1"/>
  <c r="AR278" i="22"/>
  <c r="O277" i="22"/>
  <c r="X278" i="22"/>
  <c r="Y278" i="22"/>
  <c r="V278" i="22"/>
  <c r="M278" i="22"/>
  <c r="N278" i="22"/>
  <c r="Z278" i="22"/>
  <c r="K278" i="22"/>
  <c r="AA278" i="22"/>
  <c r="R278" i="22" s="1"/>
  <c r="L278" i="22"/>
  <c r="AB278" i="22"/>
  <c r="AH277" i="22"/>
  <c r="AG277" i="22"/>
  <c r="AE277" i="22"/>
  <c r="AF277" i="22"/>
  <c r="AC277" i="22"/>
  <c r="F278" i="22"/>
  <c r="G278" i="22"/>
  <c r="A279" i="22"/>
  <c r="B278" i="22"/>
  <c r="C278" i="22"/>
  <c r="D278" i="22"/>
  <c r="E278" i="22"/>
  <c r="U277" i="22"/>
  <c r="W277" i="22"/>
  <c r="AD278" i="22" l="1"/>
  <c r="AR279" i="22"/>
  <c r="O278" i="22"/>
  <c r="AB279" i="22"/>
  <c r="Y279" i="22"/>
  <c r="N279" i="22"/>
  <c r="Z279" i="22"/>
  <c r="AA279" i="22"/>
  <c r="O279" i="22" s="1"/>
  <c r="V279" i="22"/>
  <c r="M279" i="22"/>
  <c r="K279" i="22"/>
  <c r="L279" i="22"/>
  <c r="X279" i="22"/>
  <c r="AH278" i="22"/>
  <c r="AG278" i="22"/>
  <c r="AE278" i="22"/>
  <c r="AC278" i="22"/>
  <c r="AF278" i="22"/>
  <c r="F279" i="22"/>
  <c r="G279" i="22"/>
  <c r="U278" i="22"/>
  <c r="W278" i="22"/>
  <c r="A280" i="22"/>
  <c r="B279" i="22"/>
  <c r="C279" i="22"/>
  <c r="D279" i="22"/>
  <c r="E279" i="22"/>
  <c r="AD279" i="22" l="1"/>
  <c r="AR280" i="22"/>
  <c r="R279" i="22"/>
  <c r="L280" i="22"/>
  <c r="N280" i="22"/>
  <c r="AB280" i="22"/>
  <c r="Z280" i="22"/>
  <c r="K280" i="22"/>
  <c r="AA280" i="22"/>
  <c r="R280" i="22" s="1"/>
  <c r="X280" i="22"/>
  <c r="M280" i="22"/>
  <c r="Y280" i="22"/>
  <c r="V280" i="22"/>
  <c r="AH279" i="22"/>
  <c r="AG279" i="22"/>
  <c r="AE279" i="22"/>
  <c r="AF279" i="22"/>
  <c r="AC279" i="22"/>
  <c r="F280" i="22"/>
  <c r="G280" i="22"/>
  <c r="A281" i="22"/>
  <c r="B280" i="22"/>
  <c r="C280" i="22"/>
  <c r="D280" i="22"/>
  <c r="E280" i="22"/>
  <c r="U279" i="22"/>
  <c r="W279" i="22"/>
  <c r="AD280" i="22" l="1"/>
  <c r="AR281" i="22"/>
  <c r="O280" i="22"/>
  <c r="V281" i="22"/>
  <c r="AA281" i="22"/>
  <c r="O281" i="22" s="1"/>
  <c r="L281" i="22"/>
  <c r="X281" i="22"/>
  <c r="K281" i="22"/>
  <c r="Y281" i="22"/>
  <c r="M281" i="22"/>
  <c r="AB281" i="22"/>
  <c r="Z281" i="22"/>
  <c r="N281" i="22"/>
  <c r="AH280" i="22"/>
  <c r="AG280" i="22"/>
  <c r="AE280" i="22"/>
  <c r="AC280" i="22"/>
  <c r="AF280" i="22"/>
  <c r="F281" i="22"/>
  <c r="G281" i="22"/>
  <c r="U280" i="22"/>
  <c r="W280" i="22"/>
  <c r="A282" i="22"/>
  <c r="B281" i="22"/>
  <c r="D281" i="22"/>
  <c r="C281" i="22"/>
  <c r="E281" i="22"/>
  <c r="AD281" i="22" l="1"/>
  <c r="AR282" i="22"/>
  <c r="R281" i="22"/>
  <c r="V282" i="22"/>
  <c r="AA282" i="22"/>
  <c r="R282" i="22" s="1"/>
  <c r="M282" i="22"/>
  <c r="Z282" i="22"/>
  <c r="AB282" i="22"/>
  <c r="N282" i="22"/>
  <c r="X282" i="22"/>
  <c r="L282" i="22"/>
  <c r="K282" i="22"/>
  <c r="Y282" i="22"/>
  <c r="AH281" i="22"/>
  <c r="AG281" i="22"/>
  <c r="AE281" i="22"/>
  <c r="AF281" i="22"/>
  <c r="AC281" i="22"/>
  <c r="F282" i="22"/>
  <c r="G282" i="22"/>
  <c r="A283" i="22"/>
  <c r="B282" i="22"/>
  <c r="D282" i="22"/>
  <c r="E282" i="22"/>
  <c r="C282" i="22"/>
  <c r="U281" i="22"/>
  <c r="W281" i="22"/>
  <c r="AD282" i="22" l="1"/>
  <c r="AR283" i="22"/>
  <c r="O282" i="22"/>
  <c r="M283" i="22"/>
  <c r="AA283" i="22"/>
  <c r="R283" i="22" s="1"/>
  <c r="Z283" i="22"/>
  <c r="L283" i="22"/>
  <c r="X283" i="22"/>
  <c r="Y283" i="22"/>
  <c r="V283" i="22"/>
  <c r="K283" i="22"/>
  <c r="N283" i="22"/>
  <c r="AB283" i="22"/>
  <c r="AH282" i="22"/>
  <c r="AG282" i="22"/>
  <c r="AE282" i="22"/>
  <c r="AF282" i="22"/>
  <c r="AC282" i="22"/>
  <c r="F283" i="22"/>
  <c r="G283" i="22"/>
  <c r="U282" i="22"/>
  <c r="W282" i="22"/>
  <c r="A284" i="22"/>
  <c r="B283" i="22"/>
  <c r="D283" i="22"/>
  <c r="C283" i="22"/>
  <c r="E283" i="22"/>
  <c r="AD283" i="22" l="1"/>
  <c r="AR284" i="22"/>
  <c r="O283" i="22"/>
  <c r="AB284" i="22"/>
  <c r="Z284" i="22"/>
  <c r="N284" i="22"/>
  <c r="K284" i="22"/>
  <c r="V284" i="22"/>
  <c r="X284" i="22"/>
  <c r="AA284" i="22"/>
  <c r="R284" i="22" s="1"/>
  <c r="M284" i="22"/>
  <c r="L284" i="22"/>
  <c r="Y284" i="22"/>
  <c r="AH283" i="22"/>
  <c r="AG283" i="22"/>
  <c r="AE283" i="22"/>
  <c r="AC283" i="22"/>
  <c r="AF283" i="22"/>
  <c r="F284" i="22"/>
  <c r="G284" i="22"/>
  <c r="A285" i="22"/>
  <c r="C284" i="22"/>
  <c r="B284" i="22"/>
  <c r="D284" i="22"/>
  <c r="E284" i="22"/>
  <c r="U283" i="22"/>
  <c r="W283" i="22"/>
  <c r="AD284" i="22" l="1"/>
  <c r="AR285" i="22"/>
  <c r="O284" i="22"/>
  <c r="AA285" i="22"/>
  <c r="O285" i="22" s="1"/>
  <c r="Z285" i="22"/>
  <c r="K285" i="22"/>
  <c r="AB285" i="22"/>
  <c r="X285" i="22"/>
  <c r="M285" i="22"/>
  <c r="L285" i="22"/>
  <c r="Y285" i="22"/>
  <c r="V285" i="22"/>
  <c r="N285" i="22"/>
  <c r="AH284" i="22"/>
  <c r="AG284" i="22"/>
  <c r="AE284" i="22"/>
  <c r="AC284" i="22"/>
  <c r="AF284" i="22"/>
  <c r="F285" i="22"/>
  <c r="G285" i="22"/>
  <c r="W284" i="22"/>
  <c r="U284" i="22"/>
  <c r="A286" i="22"/>
  <c r="C285" i="22"/>
  <c r="B285" i="22"/>
  <c r="E285" i="22"/>
  <c r="D285" i="22"/>
  <c r="AD285" i="22" l="1"/>
  <c r="AR286" i="22"/>
  <c r="R285" i="22"/>
  <c r="AB286" i="22"/>
  <c r="L286" i="22"/>
  <c r="Z286" i="22"/>
  <c r="V286" i="22"/>
  <c r="X286" i="22"/>
  <c r="M286" i="22"/>
  <c r="N286" i="22"/>
  <c r="AA286" i="22"/>
  <c r="R286" i="22" s="1"/>
  <c r="K286" i="22"/>
  <c r="Y286" i="22"/>
  <c r="AH285" i="22"/>
  <c r="AG285" i="22"/>
  <c r="AE285" i="22"/>
  <c r="AF285" i="22"/>
  <c r="AC285" i="22"/>
  <c r="F286" i="22"/>
  <c r="G286" i="22"/>
  <c r="A287" i="22"/>
  <c r="B286" i="22"/>
  <c r="C286" i="22"/>
  <c r="D286" i="22"/>
  <c r="E286" i="22"/>
  <c r="W285" i="22"/>
  <c r="U285" i="22"/>
  <c r="AD286" i="22" l="1"/>
  <c r="AR287" i="22"/>
  <c r="O286" i="22"/>
  <c r="N287" i="22"/>
  <c r="X287" i="22"/>
  <c r="M287" i="22"/>
  <c r="K287" i="22"/>
  <c r="Z287" i="22"/>
  <c r="V287" i="22"/>
  <c r="AB287" i="22"/>
  <c r="L287" i="22"/>
  <c r="AA287" i="22"/>
  <c r="O287" i="22" s="1"/>
  <c r="Y287" i="22"/>
  <c r="AH286" i="22"/>
  <c r="AG286" i="22"/>
  <c r="AE286" i="22"/>
  <c r="AC286" i="22"/>
  <c r="AF286" i="22"/>
  <c r="F287" i="22"/>
  <c r="G287" i="22"/>
  <c r="U286" i="22"/>
  <c r="W286" i="22"/>
  <c r="A288" i="22"/>
  <c r="B287" i="22"/>
  <c r="D287" i="22"/>
  <c r="C287" i="22"/>
  <c r="E287" i="22"/>
  <c r="AD287" i="22" l="1"/>
  <c r="AR288" i="22"/>
  <c r="R287" i="22"/>
  <c r="K288" i="22"/>
  <c r="V288" i="22"/>
  <c r="L288" i="22"/>
  <c r="AB288" i="22"/>
  <c r="X288" i="22"/>
  <c r="N288" i="22"/>
  <c r="AA288" i="22"/>
  <c r="R288" i="22" s="1"/>
  <c r="Y288" i="22"/>
  <c r="Z288" i="22"/>
  <c r="M288" i="22"/>
  <c r="AH287" i="22"/>
  <c r="AG287" i="22"/>
  <c r="AE287" i="22"/>
  <c r="AF287" i="22"/>
  <c r="AC287" i="22"/>
  <c r="F288" i="22"/>
  <c r="G288" i="22"/>
  <c r="U287" i="22"/>
  <c r="W287" i="22"/>
  <c r="A289" i="22"/>
  <c r="B288" i="22"/>
  <c r="C288" i="22"/>
  <c r="D288" i="22"/>
  <c r="E288" i="22"/>
  <c r="AD288" i="22" l="1"/>
  <c r="AR289" i="22"/>
  <c r="O288" i="22"/>
  <c r="AB289" i="22"/>
  <c r="N289" i="22"/>
  <c r="Z289" i="22"/>
  <c r="AA289" i="22"/>
  <c r="R289" i="22" s="1"/>
  <c r="M289" i="22"/>
  <c r="X289" i="22"/>
  <c r="Y289" i="22"/>
  <c r="K289" i="22"/>
  <c r="V289" i="22"/>
  <c r="L289" i="22"/>
  <c r="AH288" i="22"/>
  <c r="AG288" i="22"/>
  <c r="AE288" i="22"/>
  <c r="AF288" i="22"/>
  <c r="AC288" i="22"/>
  <c r="F289" i="22"/>
  <c r="G289" i="22"/>
  <c r="U288" i="22"/>
  <c r="W288" i="22"/>
  <c r="B289" i="22"/>
  <c r="C289" i="22"/>
  <c r="A290" i="22"/>
  <c r="E289" i="22"/>
  <c r="D289" i="22"/>
  <c r="AD289" i="22" l="1"/>
  <c r="AR290" i="22"/>
  <c r="O289" i="22"/>
  <c r="L290" i="22"/>
  <c r="M290" i="22"/>
  <c r="Y290" i="22"/>
  <c r="K290" i="22"/>
  <c r="N290" i="22"/>
  <c r="AA290" i="22"/>
  <c r="R290" i="22" s="1"/>
  <c r="V290" i="22"/>
  <c r="X290" i="22"/>
  <c r="AB290" i="22"/>
  <c r="Z290" i="22"/>
  <c r="AH289" i="22"/>
  <c r="AG289" i="22"/>
  <c r="AE289" i="22"/>
  <c r="AF289" i="22"/>
  <c r="AC289" i="22"/>
  <c r="F290" i="22"/>
  <c r="G290" i="22"/>
  <c r="U289" i="22"/>
  <c r="W289" i="22"/>
  <c r="B290" i="22"/>
  <c r="A291" i="22"/>
  <c r="C290" i="22"/>
  <c r="D290" i="22"/>
  <c r="E290" i="22"/>
  <c r="AD290" i="22" l="1"/>
  <c r="AR291" i="22"/>
  <c r="O290" i="22"/>
  <c r="M291" i="22"/>
  <c r="L291" i="22"/>
  <c r="AA291" i="22"/>
  <c r="O291" i="22" s="1"/>
  <c r="X291" i="22"/>
  <c r="N291" i="22"/>
  <c r="AB291" i="22"/>
  <c r="V291" i="22"/>
  <c r="K291" i="22"/>
  <c r="Y291" i="22"/>
  <c r="Z291" i="22"/>
  <c r="AH290" i="22"/>
  <c r="AG290" i="22"/>
  <c r="AE290" i="22"/>
  <c r="AF290" i="22"/>
  <c r="AC290" i="22"/>
  <c r="F291" i="22"/>
  <c r="G291" i="22"/>
  <c r="U290" i="22"/>
  <c r="W290" i="22"/>
  <c r="A292" i="22"/>
  <c r="B291" i="22"/>
  <c r="D291" i="22"/>
  <c r="C291" i="22"/>
  <c r="E291" i="22"/>
  <c r="AD291" i="22" l="1"/>
  <c r="AR292" i="22"/>
  <c r="R291" i="22"/>
  <c r="N292" i="22"/>
  <c r="Z292" i="22"/>
  <c r="X292" i="22"/>
  <c r="L292" i="22"/>
  <c r="K292" i="22"/>
  <c r="V292" i="22"/>
  <c r="AA292" i="22"/>
  <c r="R292" i="22" s="1"/>
  <c r="AB292" i="22"/>
  <c r="M292" i="22"/>
  <c r="Y292" i="22"/>
  <c r="AH291" i="22"/>
  <c r="AG291" i="22"/>
  <c r="AE291" i="22"/>
  <c r="AC291" i="22"/>
  <c r="AF291" i="22"/>
  <c r="F292" i="22"/>
  <c r="G292" i="22"/>
  <c r="A293" i="22"/>
  <c r="B292" i="22"/>
  <c r="C292" i="22"/>
  <c r="D292" i="22"/>
  <c r="E292" i="22"/>
  <c r="U291" i="22"/>
  <c r="W291" i="22"/>
  <c r="AD292" i="22" l="1"/>
  <c r="AR293" i="22"/>
  <c r="O292" i="22"/>
  <c r="N293" i="22"/>
  <c r="V293" i="22"/>
  <c r="AB293" i="22"/>
  <c r="K293" i="22"/>
  <c r="L293" i="22"/>
  <c r="X293" i="22"/>
  <c r="Z293" i="22"/>
  <c r="AA293" i="22"/>
  <c r="O293" i="22" s="1"/>
  <c r="M293" i="22"/>
  <c r="Y293" i="22"/>
  <c r="AH292" i="22"/>
  <c r="AG292" i="22"/>
  <c r="AE292" i="22"/>
  <c r="AC292" i="22"/>
  <c r="AF292" i="22"/>
  <c r="F293" i="22"/>
  <c r="G293" i="22"/>
  <c r="U292" i="22"/>
  <c r="W292" i="22"/>
  <c r="A294" i="22"/>
  <c r="B293" i="22"/>
  <c r="C293" i="22"/>
  <c r="D293" i="22"/>
  <c r="E293" i="22"/>
  <c r="AD293" i="22" l="1"/>
  <c r="AR294" i="22"/>
  <c r="R293" i="22"/>
  <c r="Y294" i="22"/>
  <c r="L294" i="22"/>
  <c r="M294" i="22"/>
  <c r="K294" i="22"/>
  <c r="AA294" i="22"/>
  <c r="R294" i="22" s="1"/>
  <c r="N294" i="22"/>
  <c r="X294" i="22"/>
  <c r="V294" i="22"/>
  <c r="Z294" i="22"/>
  <c r="AB294" i="22"/>
  <c r="AH293" i="22"/>
  <c r="AG293" i="22"/>
  <c r="AE293" i="22"/>
  <c r="AC293" i="22"/>
  <c r="AF293" i="22"/>
  <c r="F294" i="22"/>
  <c r="G294" i="22"/>
  <c r="A295" i="22"/>
  <c r="B294" i="22"/>
  <c r="C294" i="22"/>
  <c r="D294" i="22"/>
  <c r="E294" i="22"/>
  <c r="U293" i="22"/>
  <c r="W293" i="22"/>
  <c r="AD294" i="22" l="1"/>
  <c r="AR295" i="22"/>
  <c r="O294" i="22"/>
  <c r="K295" i="22"/>
  <c r="X295" i="22"/>
  <c r="AB295" i="22"/>
  <c r="N295" i="22"/>
  <c r="L295" i="22"/>
  <c r="M295" i="22"/>
  <c r="Y295" i="22"/>
  <c r="AA295" i="22"/>
  <c r="R295" i="22" s="1"/>
  <c r="Z295" i="22"/>
  <c r="V295" i="22"/>
  <c r="AH294" i="22"/>
  <c r="AG294" i="22"/>
  <c r="AE294" i="22"/>
  <c r="AF294" i="22"/>
  <c r="AC294" i="22"/>
  <c r="F295" i="22"/>
  <c r="G295" i="22"/>
  <c r="U294" i="22"/>
  <c r="W294" i="22"/>
  <c r="A296" i="22"/>
  <c r="B295" i="22"/>
  <c r="D295" i="22"/>
  <c r="C295" i="22"/>
  <c r="E295" i="22"/>
  <c r="AD295" i="22" l="1"/>
  <c r="AR296" i="22"/>
  <c r="O295" i="22"/>
  <c r="M296" i="22"/>
  <c r="V296" i="22"/>
  <c r="K296" i="22"/>
  <c r="X296" i="22"/>
  <c r="Y296" i="22"/>
  <c r="L296" i="22"/>
  <c r="N296" i="22"/>
  <c r="AB296" i="22"/>
  <c r="AA296" i="22"/>
  <c r="R296" i="22" s="1"/>
  <c r="Z296" i="22"/>
  <c r="AH295" i="22"/>
  <c r="AG295" i="22"/>
  <c r="AE295" i="22"/>
  <c r="AC295" i="22"/>
  <c r="AF295" i="22"/>
  <c r="F296" i="22"/>
  <c r="G296" i="22"/>
  <c r="A297" i="22"/>
  <c r="C296" i="22"/>
  <c r="B296" i="22"/>
  <c r="D296" i="22"/>
  <c r="E296" i="22"/>
  <c r="U295" i="22"/>
  <c r="W295" i="22"/>
  <c r="AD296" i="22" l="1"/>
  <c r="AR297" i="22"/>
  <c r="O296" i="22"/>
  <c r="N297" i="22"/>
  <c r="AA297" i="22"/>
  <c r="O297" i="22" s="1"/>
  <c r="X297" i="22"/>
  <c r="Y297" i="22"/>
  <c r="AB297" i="22"/>
  <c r="V297" i="22"/>
  <c r="Z297" i="22"/>
  <c r="L297" i="22"/>
  <c r="K297" i="22"/>
  <c r="M297" i="22"/>
  <c r="AH296" i="22"/>
  <c r="AG296" i="22"/>
  <c r="AE296" i="22"/>
  <c r="AC296" i="22"/>
  <c r="AF296" i="22"/>
  <c r="F297" i="22"/>
  <c r="G297" i="22"/>
  <c r="W296" i="22"/>
  <c r="U296" i="22"/>
  <c r="A298" i="22"/>
  <c r="B297" i="22"/>
  <c r="C297" i="22"/>
  <c r="D297" i="22"/>
  <c r="E297" i="22"/>
  <c r="AD297" i="22" l="1"/>
  <c r="AR298" i="22"/>
  <c r="R297" i="22"/>
  <c r="AB298" i="22"/>
  <c r="M298" i="22"/>
  <c r="N298" i="22"/>
  <c r="K298" i="22"/>
  <c r="Z298" i="22"/>
  <c r="Y298" i="22"/>
  <c r="V298" i="22"/>
  <c r="L298" i="22"/>
  <c r="X298" i="22"/>
  <c r="AA298" i="22"/>
  <c r="O298" i="22" s="1"/>
  <c r="AH297" i="22"/>
  <c r="AG297" i="22"/>
  <c r="AE297" i="22"/>
  <c r="AF297" i="22"/>
  <c r="AC297" i="22"/>
  <c r="F298" i="22"/>
  <c r="G298" i="22"/>
  <c r="A299" i="22"/>
  <c r="B298" i="22"/>
  <c r="C298" i="22"/>
  <c r="D298" i="22"/>
  <c r="E298" i="22"/>
  <c r="W297" i="22"/>
  <c r="U297" i="22"/>
  <c r="AD298" i="22" l="1"/>
  <c r="AR299" i="22"/>
  <c r="R298" i="22"/>
  <c r="K299" i="22"/>
  <c r="V299" i="22"/>
  <c r="N299" i="22"/>
  <c r="X299" i="22"/>
  <c r="L299" i="22"/>
  <c r="AB299" i="22"/>
  <c r="M299" i="22"/>
  <c r="Y299" i="22"/>
  <c r="AA299" i="22"/>
  <c r="O299" i="22" s="1"/>
  <c r="Z299" i="22"/>
  <c r="AH298" i="22"/>
  <c r="AG298" i="22"/>
  <c r="AE298" i="22"/>
  <c r="AC298" i="22"/>
  <c r="AF298" i="22"/>
  <c r="F299" i="22"/>
  <c r="G299" i="22"/>
  <c r="U298" i="22"/>
  <c r="W298" i="22"/>
  <c r="A300" i="22"/>
  <c r="B299" i="22"/>
  <c r="C299" i="22"/>
  <c r="E299" i="22"/>
  <c r="D299" i="22"/>
  <c r="AD299" i="22" l="1"/>
  <c r="AR300" i="22"/>
  <c r="R299" i="22"/>
  <c r="L300" i="22"/>
  <c r="Z300" i="22"/>
  <c r="V300" i="22"/>
  <c r="M300" i="22"/>
  <c r="X300" i="22"/>
  <c r="Y300" i="22"/>
  <c r="AA300" i="22"/>
  <c r="R300" i="22" s="1"/>
  <c r="AB300" i="22"/>
  <c r="K300" i="22"/>
  <c r="N300" i="22"/>
  <c r="AH299" i="22"/>
  <c r="AG299" i="22"/>
  <c r="AE299" i="22"/>
  <c r="AC299" i="22"/>
  <c r="AF299" i="22"/>
  <c r="F300" i="22"/>
  <c r="G300" i="22"/>
  <c r="A301" i="22"/>
  <c r="B300" i="22"/>
  <c r="C300" i="22"/>
  <c r="E300" i="22"/>
  <c r="D300" i="22"/>
  <c r="AR301" i="22" s="1"/>
  <c r="U299" i="22"/>
  <c r="W299" i="22"/>
  <c r="O300" i="22" l="1"/>
  <c r="Y301" i="22"/>
  <c r="Z301" i="22"/>
  <c r="AA301" i="22"/>
  <c r="O301" i="22" s="1"/>
  <c r="L301" i="22"/>
  <c r="N301" i="22"/>
  <c r="X301" i="22"/>
  <c r="V301" i="22"/>
  <c r="AB301" i="22"/>
  <c r="M301" i="22"/>
  <c r="K301" i="22"/>
  <c r="AD300" i="22"/>
  <c r="AH300" i="22"/>
  <c r="AG300" i="22"/>
  <c r="AE300" i="22"/>
  <c r="AC300" i="22"/>
  <c r="AF300" i="22"/>
  <c r="F301" i="22"/>
  <c r="G301" i="22"/>
  <c r="U300" i="22"/>
  <c r="W300" i="22"/>
  <c r="A302" i="22"/>
  <c r="B301" i="22"/>
  <c r="C301" i="22"/>
  <c r="D301" i="22"/>
  <c r="E301" i="22"/>
  <c r="AD301" i="22" l="1"/>
  <c r="AR302" i="22"/>
  <c r="R301" i="22"/>
  <c r="Z302" i="22"/>
  <c r="L302" i="22"/>
  <c r="Y302" i="22"/>
  <c r="N302" i="22"/>
  <c r="V302" i="22"/>
  <c r="K302" i="22"/>
  <c r="AB302" i="22"/>
  <c r="X302" i="22"/>
  <c r="M302" i="22"/>
  <c r="AA302" i="22"/>
  <c r="R302" i="22" s="1"/>
  <c r="AH301" i="22"/>
  <c r="AG301" i="22"/>
  <c r="AE301" i="22"/>
  <c r="AF301" i="22"/>
  <c r="AC301" i="22"/>
  <c r="F302" i="22"/>
  <c r="G302" i="22"/>
  <c r="A303" i="22"/>
  <c r="B302" i="22"/>
  <c r="D302" i="22"/>
  <c r="AR303" i="22" s="1"/>
  <c r="C302" i="22"/>
  <c r="E302" i="22"/>
  <c r="U301" i="22"/>
  <c r="W301" i="22"/>
  <c r="O302" i="22" l="1"/>
  <c r="AD302" i="22"/>
  <c r="X303" i="22"/>
  <c r="AA303" i="22"/>
  <c r="O303" i="22" s="1"/>
  <c r="N303" i="22"/>
  <c r="L303" i="22"/>
  <c r="Z303" i="22"/>
  <c r="AB303" i="22"/>
  <c r="M303" i="22"/>
  <c r="Y303" i="22"/>
  <c r="K303" i="22"/>
  <c r="V303" i="22"/>
  <c r="AH302" i="22"/>
  <c r="AG302" i="22"/>
  <c r="AE302" i="22"/>
  <c r="AC302" i="22"/>
  <c r="AF302" i="22"/>
  <c r="F303" i="22"/>
  <c r="G303" i="22"/>
  <c r="U302" i="22"/>
  <c r="W302" i="22"/>
  <c r="B303" i="22"/>
  <c r="A304" i="22"/>
  <c r="D303" i="22"/>
  <c r="C303" i="22"/>
  <c r="E303" i="22"/>
  <c r="AD303" i="22" l="1"/>
  <c r="AR304" i="22"/>
  <c r="R303" i="22"/>
  <c r="AA304" i="22"/>
  <c r="O304" i="22" s="1"/>
  <c r="L304" i="22"/>
  <c r="M304" i="22"/>
  <c r="N304" i="22"/>
  <c r="V304" i="22"/>
  <c r="AB304" i="22"/>
  <c r="Z304" i="22"/>
  <c r="K304" i="22"/>
  <c r="X304" i="22"/>
  <c r="Y304" i="22"/>
  <c r="AH303" i="22"/>
  <c r="AG303" i="22"/>
  <c r="AE303" i="22"/>
  <c r="AC303" i="22"/>
  <c r="AF303" i="22"/>
  <c r="F304" i="22"/>
  <c r="G304" i="22"/>
  <c r="A305" i="22"/>
  <c r="B304" i="22"/>
  <c r="C304" i="22"/>
  <c r="E304" i="22"/>
  <c r="D304" i="22"/>
  <c r="U303" i="22"/>
  <c r="W303" i="22"/>
  <c r="AD304" i="22" l="1"/>
  <c r="AR305" i="22"/>
  <c r="R304" i="22"/>
  <c r="AA305" i="22"/>
  <c r="R305" i="22" s="1"/>
  <c r="AB305" i="22"/>
  <c r="X305" i="22"/>
  <c r="V305" i="22"/>
  <c r="K305" i="22"/>
  <c r="Y305" i="22"/>
  <c r="M305" i="22"/>
  <c r="N305" i="22"/>
  <c r="Z305" i="22"/>
  <c r="L305" i="22"/>
  <c r="AH304" i="22"/>
  <c r="AG304" i="22"/>
  <c r="AE304" i="22"/>
  <c r="AF304" i="22"/>
  <c r="AC304" i="22"/>
  <c r="F305" i="22"/>
  <c r="G305" i="22"/>
  <c r="U304" i="22"/>
  <c r="W304" i="22"/>
  <c r="A306" i="22"/>
  <c r="B305" i="22"/>
  <c r="C305" i="22"/>
  <c r="D305" i="22"/>
  <c r="E305" i="22"/>
  <c r="AD305" i="22" l="1"/>
  <c r="AR306" i="22"/>
  <c r="O305" i="22"/>
  <c r="M306" i="22"/>
  <c r="K306" i="22"/>
  <c r="X306" i="22"/>
  <c r="L306" i="22"/>
  <c r="Y306" i="22"/>
  <c r="N306" i="22"/>
  <c r="V306" i="22"/>
  <c r="Z306" i="22"/>
  <c r="AA306" i="22"/>
  <c r="O306" i="22" s="1"/>
  <c r="AB306" i="22"/>
  <c r="AH305" i="22"/>
  <c r="AG305" i="22"/>
  <c r="AE305" i="22"/>
  <c r="AF305" i="22"/>
  <c r="AC305" i="22"/>
  <c r="F306" i="22"/>
  <c r="G306" i="22"/>
  <c r="U305" i="22"/>
  <c r="W305" i="22"/>
  <c r="A307" i="22"/>
  <c r="B306" i="22"/>
  <c r="C306" i="22"/>
  <c r="D306" i="22"/>
  <c r="E306" i="22"/>
  <c r="AD306" i="22" l="1"/>
  <c r="AR307" i="22"/>
  <c r="R306" i="22"/>
  <c r="K307" i="22"/>
  <c r="M307" i="22"/>
  <c r="X307" i="22"/>
  <c r="AA307" i="22"/>
  <c r="R307" i="22" s="1"/>
  <c r="N307" i="22"/>
  <c r="AB307" i="22"/>
  <c r="Y307" i="22"/>
  <c r="L307" i="22"/>
  <c r="V307" i="22"/>
  <c r="Z307" i="22"/>
  <c r="AH306" i="22"/>
  <c r="AG306" i="22"/>
  <c r="AE306" i="22"/>
  <c r="AF306" i="22"/>
  <c r="AC306" i="22"/>
  <c r="F307" i="22"/>
  <c r="G307" i="22"/>
  <c r="A308" i="22"/>
  <c r="B307" i="22"/>
  <c r="D307" i="22"/>
  <c r="C307" i="22"/>
  <c r="E307" i="22"/>
  <c r="U306" i="22"/>
  <c r="W306" i="22"/>
  <c r="AD307" i="22" l="1"/>
  <c r="AR308" i="22"/>
  <c r="O307" i="22"/>
  <c r="AA308" i="22"/>
  <c r="O308" i="22" s="1"/>
  <c r="Z308" i="22"/>
  <c r="Y308" i="22"/>
  <c r="N308" i="22"/>
  <c r="L308" i="22"/>
  <c r="V308" i="22"/>
  <c r="X308" i="22"/>
  <c r="AB308" i="22"/>
  <c r="M308" i="22"/>
  <c r="K308" i="22"/>
  <c r="AH307" i="22"/>
  <c r="AG307" i="22"/>
  <c r="AE307" i="22"/>
  <c r="AC307" i="22"/>
  <c r="AF307" i="22"/>
  <c r="F308" i="22"/>
  <c r="G308" i="22"/>
  <c r="U307" i="22"/>
  <c r="W307" i="22"/>
  <c r="A309" i="22"/>
  <c r="B308" i="22"/>
  <c r="C308" i="22"/>
  <c r="D308" i="22"/>
  <c r="E308" i="22"/>
  <c r="AD308" i="22" l="1"/>
  <c r="AR309" i="22"/>
  <c r="R308" i="22"/>
  <c r="AB309" i="22"/>
  <c r="AA309" i="22"/>
  <c r="O309" i="22" s="1"/>
  <c r="N309" i="22"/>
  <c r="L309" i="22"/>
  <c r="Z309" i="22"/>
  <c r="Y309" i="22"/>
  <c r="M309" i="22"/>
  <c r="V309" i="22"/>
  <c r="K309" i="22"/>
  <c r="X309" i="22"/>
  <c r="AH308" i="22"/>
  <c r="AG308" i="22"/>
  <c r="AE308" i="22"/>
  <c r="AF308" i="22"/>
  <c r="AC308" i="22"/>
  <c r="F309" i="22"/>
  <c r="G309" i="22"/>
  <c r="U308" i="22"/>
  <c r="W308" i="22"/>
  <c r="A310" i="22"/>
  <c r="B309" i="22"/>
  <c r="C309" i="22"/>
  <c r="E309" i="22"/>
  <c r="D309" i="22"/>
  <c r="AD309" i="22" l="1"/>
  <c r="AR310" i="22"/>
  <c r="R309" i="22"/>
  <c r="M310" i="22"/>
  <c r="AA310" i="22"/>
  <c r="O310" i="22" s="1"/>
  <c r="X310" i="22"/>
  <c r="L310" i="22"/>
  <c r="Y310" i="22"/>
  <c r="AB310" i="22"/>
  <c r="V310" i="22"/>
  <c r="K310" i="22"/>
  <c r="Z310" i="22"/>
  <c r="N310" i="22"/>
  <c r="AH309" i="22"/>
  <c r="AG309" i="22"/>
  <c r="AE309" i="22"/>
  <c r="AF309" i="22"/>
  <c r="AC309" i="22"/>
  <c r="F310" i="22"/>
  <c r="G310" i="22"/>
  <c r="A311" i="22"/>
  <c r="B310" i="22"/>
  <c r="C310" i="22"/>
  <c r="D310" i="22"/>
  <c r="E310" i="22"/>
  <c r="U309" i="22"/>
  <c r="W309" i="22"/>
  <c r="AD310" i="22" l="1"/>
  <c r="AR311" i="22"/>
  <c r="R310" i="22"/>
  <c r="AA311" i="22"/>
  <c r="O311" i="22" s="1"/>
  <c r="Y311" i="22"/>
  <c r="AB311" i="22"/>
  <c r="N311" i="22"/>
  <c r="K311" i="22"/>
  <c r="X311" i="22"/>
  <c r="L311" i="22"/>
  <c r="M311" i="22"/>
  <c r="Z311" i="22"/>
  <c r="V311" i="22"/>
  <c r="AH310" i="22"/>
  <c r="AG310" i="22"/>
  <c r="AE310" i="22"/>
  <c r="AF310" i="22"/>
  <c r="AC310" i="22"/>
  <c r="F311" i="22"/>
  <c r="G311" i="22"/>
  <c r="U310" i="22"/>
  <c r="W310" i="22"/>
  <c r="A312" i="22"/>
  <c r="B311" i="22"/>
  <c r="D311" i="22"/>
  <c r="C311" i="22"/>
  <c r="E311" i="22"/>
  <c r="AD311" i="22" l="1"/>
  <c r="AR312" i="22"/>
  <c r="R311" i="22"/>
  <c r="X312" i="22"/>
  <c r="Y312" i="22"/>
  <c r="Z312" i="22"/>
  <c r="M312" i="22"/>
  <c r="AB312" i="22"/>
  <c r="K312" i="22"/>
  <c r="AA312" i="22"/>
  <c r="R312" i="22" s="1"/>
  <c r="L312" i="22"/>
  <c r="N312" i="22"/>
  <c r="V312" i="22"/>
  <c r="AH311" i="22"/>
  <c r="AG311" i="22"/>
  <c r="AE311" i="22"/>
  <c r="AF311" i="22"/>
  <c r="AC311" i="22"/>
  <c r="F312" i="22"/>
  <c r="G312" i="22"/>
  <c r="B312" i="22"/>
  <c r="A313" i="22"/>
  <c r="D312" i="22"/>
  <c r="C312" i="22"/>
  <c r="E312" i="22"/>
  <c r="U311" i="22"/>
  <c r="W311" i="22"/>
  <c r="AD312" i="22" l="1"/>
  <c r="AR313" i="22"/>
  <c r="O312" i="22"/>
  <c r="N313" i="22"/>
  <c r="AB313" i="22"/>
  <c r="Z313" i="22"/>
  <c r="V313" i="22"/>
  <c r="K313" i="22"/>
  <c r="L313" i="22"/>
  <c r="Y313" i="22"/>
  <c r="AA313" i="22"/>
  <c r="R313" i="22" s="1"/>
  <c r="M313" i="22"/>
  <c r="X313" i="22"/>
  <c r="AH312" i="22"/>
  <c r="AG312" i="22"/>
  <c r="AE312" i="22"/>
  <c r="AC312" i="22"/>
  <c r="AF312" i="22"/>
  <c r="F313" i="22"/>
  <c r="G313" i="22"/>
  <c r="U312" i="22"/>
  <c r="W312" i="22"/>
  <c r="A314" i="22"/>
  <c r="C313" i="22"/>
  <c r="B313" i="22"/>
  <c r="E313" i="22"/>
  <c r="D313" i="22"/>
  <c r="AD313" i="22" l="1"/>
  <c r="AR314" i="22"/>
  <c r="O313" i="22"/>
  <c r="Y314" i="22"/>
  <c r="Z314" i="22"/>
  <c r="AA314" i="22"/>
  <c r="O314" i="22" s="1"/>
  <c r="X314" i="22"/>
  <c r="L314" i="22"/>
  <c r="M314" i="22"/>
  <c r="K314" i="22"/>
  <c r="N314" i="22"/>
  <c r="AB314" i="22"/>
  <c r="V314" i="22"/>
  <c r="AH313" i="22"/>
  <c r="AG313" i="22"/>
  <c r="AE313" i="22"/>
  <c r="AF313" i="22"/>
  <c r="AC313" i="22"/>
  <c r="F314" i="22"/>
  <c r="G314" i="22"/>
  <c r="U313" i="22"/>
  <c r="W313" i="22"/>
  <c r="A315" i="22"/>
  <c r="B314" i="22"/>
  <c r="C314" i="22"/>
  <c r="D314" i="22"/>
  <c r="E314" i="22"/>
  <c r="AD314" i="22" l="1"/>
  <c r="AR315" i="22"/>
  <c r="R314" i="22"/>
  <c r="V315" i="22"/>
  <c r="Z315" i="22"/>
  <c r="AB315" i="22"/>
  <c r="Y315" i="22"/>
  <c r="X315" i="22"/>
  <c r="K315" i="22"/>
  <c r="L315" i="22"/>
  <c r="M315" i="22"/>
  <c r="N315" i="22"/>
  <c r="AA315" i="22"/>
  <c r="R315" i="22" s="1"/>
  <c r="AH314" i="22"/>
  <c r="AG314" i="22"/>
  <c r="AE314" i="22"/>
  <c r="AC314" i="22"/>
  <c r="AF314" i="22"/>
  <c r="F315" i="22"/>
  <c r="G315" i="22"/>
  <c r="A316" i="22"/>
  <c r="C315" i="22"/>
  <c r="B315" i="22"/>
  <c r="D315" i="22"/>
  <c r="E315" i="22"/>
  <c r="U314" i="22"/>
  <c r="W314" i="22"/>
  <c r="AD315" i="22" l="1"/>
  <c r="AR316" i="22"/>
  <c r="O315" i="22"/>
  <c r="Y316" i="22"/>
  <c r="K316" i="22"/>
  <c r="N316" i="22"/>
  <c r="Z316" i="22"/>
  <c r="M316" i="22"/>
  <c r="X316" i="22"/>
  <c r="AB316" i="22"/>
  <c r="V316" i="22"/>
  <c r="L316" i="22"/>
  <c r="AA316" i="22"/>
  <c r="R316" i="22" s="1"/>
  <c r="AH315" i="22"/>
  <c r="AG315" i="22"/>
  <c r="AE315" i="22"/>
  <c r="AC315" i="22"/>
  <c r="AF315" i="22"/>
  <c r="F316" i="22"/>
  <c r="G316" i="22"/>
  <c r="U315" i="22"/>
  <c r="W315" i="22"/>
  <c r="A317" i="22"/>
  <c r="B316" i="22"/>
  <c r="D316" i="22"/>
  <c r="C316" i="22"/>
  <c r="E316" i="22"/>
  <c r="AD316" i="22" l="1"/>
  <c r="AR317" i="22"/>
  <c r="O316" i="22"/>
  <c r="K317" i="22"/>
  <c r="AA317" i="22"/>
  <c r="R317" i="22" s="1"/>
  <c r="X317" i="22"/>
  <c r="Y317" i="22"/>
  <c r="M317" i="22"/>
  <c r="Z317" i="22"/>
  <c r="V317" i="22"/>
  <c r="L317" i="22"/>
  <c r="N317" i="22"/>
  <c r="AB317" i="22"/>
  <c r="AH316" i="22"/>
  <c r="AG316" i="22"/>
  <c r="AE316" i="22"/>
  <c r="AF316" i="22"/>
  <c r="AC316" i="22"/>
  <c r="F317" i="22"/>
  <c r="G317" i="22"/>
  <c r="A318" i="22"/>
  <c r="B317" i="22"/>
  <c r="C317" i="22"/>
  <c r="D317" i="22"/>
  <c r="E317" i="22"/>
  <c r="U316" i="22"/>
  <c r="W316" i="22"/>
  <c r="AD317" i="22" l="1"/>
  <c r="AR318" i="22"/>
  <c r="O317" i="22"/>
  <c r="X318" i="22"/>
  <c r="Y318" i="22"/>
  <c r="AA318" i="22"/>
  <c r="O318" i="22" s="1"/>
  <c r="V318" i="22"/>
  <c r="N318" i="22"/>
  <c r="Z318" i="22"/>
  <c r="M318" i="22"/>
  <c r="K318" i="22"/>
  <c r="L318" i="22"/>
  <c r="AB318" i="22"/>
  <c r="AH317" i="22"/>
  <c r="AG317" i="22"/>
  <c r="AE317" i="22"/>
  <c r="AC317" i="22"/>
  <c r="AF317" i="22"/>
  <c r="F318" i="22"/>
  <c r="G318" i="22"/>
  <c r="U317" i="22"/>
  <c r="W317" i="22"/>
  <c r="A319" i="22"/>
  <c r="B318" i="22"/>
  <c r="C318" i="22"/>
  <c r="E318" i="22"/>
  <c r="D318" i="22"/>
  <c r="AD318" i="22" l="1"/>
  <c r="AR319" i="22"/>
  <c r="R318" i="22"/>
  <c r="AA319" i="22"/>
  <c r="O319" i="22" s="1"/>
  <c r="AB319" i="22"/>
  <c r="M319" i="22"/>
  <c r="V319" i="22"/>
  <c r="Y319" i="22"/>
  <c r="K319" i="22"/>
  <c r="N319" i="22"/>
  <c r="Z319" i="22"/>
  <c r="X319" i="22"/>
  <c r="L319" i="22"/>
  <c r="AH318" i="22"/>
  <c r="AG318" i="22"/>
  <c r="AE318" i="22"/>
  <c r="AC318" i="22"/>
  <c r="AF318" i="22"/>
  <c r="F319" i="22"/>
  <c r="G319" i="22"/>
  <c r="U318" i="22"/>
  <c r="W318" i="22"/>
  <c r="A320" i="22"/>
  <c r="B319" i="22"/>
  <c r="D319" i="22"/>
  <c r="C319" i="22"/>
  <c r="E319" i="22"/>
  <c r="AD319" i="22" l="1"/>
  <c r="AR320" i="22"/>
  <c r="R319" i="22"/>
  <c r="Z320" i="22"/>
  <c r="N320" i="22"/>
  <c r="AA320" i="22"/>
  <c r="O320" i="22" s="1"/>
  <c r="Y320" i="22"/>
  <c r="L320" i="22"/>
  <c r="X320" i="22"/>
  <c r="AB320" i="22"/>
  <c r="M320" i="22"/>
  <c r="K320" i="22"/>
  <c r="V320" i="22"/>
  <c r="AH319" i="22"/>
  <c r="AG319" i="22"/>
  <c r="AE319" i="22"/>
  <c r="AC319" i="22"/>
  <c r="AF319" i="22"/>
  <c r="F320" i="22"/>
  <c r="G320" i="22"/>
  <c r="U319" i="22"/>
  <c r="W319" i="22"/>
  <c r="A321" i="22"/>
  <c r="B320" i="22"/>
  <c r="C320" i="22"/>
  <c r="E320" i="22"/>
  <c r="D320" i="22"/>
  <c r="AD320" i="22" l="1"/>
  <c r="AR321" i="22"/>
  <c r="R320" i="22"/>
  <c r="V321" i="22"/>
  <c r="AB321" i="22"/>
  <c r="AA321" i="22"/>
  <c r="O321" i="22" s="1"/>
  <c r="X321" i="22"/>
  <c r="L321" i="22"/>
  <c r="Z321" i="22"/>
  <c r="K321" i="22"/>
  <c r="N321" i="22"/>
  <c r="Y321" i="22"/>
  <c r="M321" i="22"/>
  <c r="AH320" i="22"/>
  <c r="AG320" i="22"/>
  <c r="AE320" i="22"/>
  <c r="AF320" i="22"/>
  <c r="AC320" i="22"/>
  <c r="F321" i="22"/>
  <c r="G321" i="22"/>
  <c r="A322" i="22"/>
  <c r="B321" i="22"/>
  <c r="C321" i="22"/>
  <c r="D321" i="22"/>
  <c r="E321" i="22"/>
  <c r="W320" i="22"/>
  <c r="U320" i="22"/>
  <c r="AD321" i="22" l="1"/>
  <c r="AR322" i="22"/>
  <c r="R321" i="22"/>
  <c r="K322" i="22"/>
  <c r="Z322" i="22"/>
  <c r="X322" i="22"/>
  <c r="Y322" i="22"/>
  <c r="L322" i="22"/>
  <c r="V322" i="22"/>
  <c r="M322" i="22"/>
  <c r="AB322" i="22"/>
  <c r="AA322" i="22"/>
  <c r="R322" i="22" s="1"/>
  <c r="N322" i="22"/>
  <c r="AH321" i="22"/>
  <c r="AG321" i="22"/>
  <c r="AE321" i="22"/>
  <c r="AF321" i="22"/>
  <c r="AC321" i="22"/>
  <c r="F322" i="22"/>
  <c r="G322" i="22"/>
  <c r="W321" i="22"/>
  <c r="U321" i="22"/>
  <c r="B322" i="22"/>
  <c r="A323" i="22"/>
  <c r="C322" i="22"/>
  <c r="E322" i="22"/>
  <c r="D322" i="22"/>
  <c r="AD322" i="22" l="1"/>
  <c r="AR323" i="22"/>
  <c r="O322" i="22"/>
  <c r="Z323" i="22"/>
  <c r="N323" i="22"/>
  <c r="L323" i="22"/>
  <c r="V323" i="22"/>
  <c r="K323" i="22"/>
  <c r="AA323" i="22"/>
  <c r="R323" i="22" s="1"/>
  <c r="X323" i="22"/>
  <c r="AB323" i="22"/>
  <c r="M323" i="22"/>
  <c r="Y323" i="22"/>
  <c r="AH322" i="22"/>
  <c r="AG322" i="22"/>
  <c r="AE322" i="22"/>
  <c r="AC322" i="22"/>
  <c r="AF322" i="22"/>
  <c r="F323" i="22"/>
  <c r="G323" i="22"/>
  <c r="U322" i="22"/>
  <c r="W322" i="22"/>
  <c r="B323" i="22"/>
  <c r="A324" i="22"/>
  <c r="C323" i="22"/>
  <c r="D323" i="22"/>
  <c r="E323" i="22"/>
  <c r="AD323" i="22" l="1"/>
  <c r="AR324" i="22"/>
  <c r="O323" i="22"/>
  <c r="N324" i="22"/>
  <c r="AA324" i="22"/>
  <c r="O324" i="22" s="1"/>
  <c r="M324" i="22"/>
  <c r="X324" i="22"/>
  <c r="Y324" i="22"/>
  <c r="L324" i="22"/>
  <c r="V324" i="22"/>
  <c r="Z324" i="22"/>
  <c r="AB324" i="22"/>
  <c r="K324" i="22"/>
  <c r="AH323" i="22"/>
  <c r="AG323" i="22"/>
  <c r="AE323" i="22"/>
  <c r="AC323" i="22"/>
  <c r="AF323" i="22"/>
  <c r="F324" i="22"/>
  <c r="G324" i="22"/>
  <c r="B324" i="22"/>
  <c r="A325" i="22"/>
  <c r="C324" i="22"/>
  <c r="D324" i="22"/>
  <c r="E324" i="22"/>
  <c r="U323" i="22"/>
  <c r="W323" i="22"/>
  <c r="AD324" i="22" l="1"/>
  <c r="AR325" i="22"/>
  <c r="R324" i="22"/>
  <c r="N325" i="22"/>
  <c r="M325" i="22"/>
  <c r="AA325" i="22"/>
  <c r="R325" i="22" s="1"/>
  <c r="Y325" i="22"/>
  <c r="X325" i="22"/>
  <c r="L325" i="22"/>
  <c r="Z325" i="22"/>
  <c r="K325" i="22"/>
  <c r="AB325" i="22"/>
  <c r="V325" i="22"/>
  <c r="AH324" i="22"/>
  <c r="AG324" i="22"/>
  <c r="AE324" i="22"/>
  <c r="AC324" i="22"/>
  <c r="AF324" i="22"/>
  <c r="F325" i="22"/>
  <c r="G325" i="22"/>
  <c r="U324" i="22"/>
  <c r="W324" i="22"/>
  <c r="A326" i="22"/>
  <c r="B325" i="22"/>
  <c r="C325" i="22"/>
  <c r="D325" i="22"/>
  <c r="E325" i="22"/>
  <c r="AD325" i="22" l="1"/>
  <c r="AR326" i="22"/>
  <c r="O325" i="22"/>
  <c r="N326" i="22"/>
  <c r="AA326" i="22"/>
  <c r="R326" i="22" s="1"/>
  <c r="Y326" i="22"/>
  <c r="K326" i="22"/>
  <c r="Z326" i="22"/>
  <c r="V326" i="22"/>
  <c r="X326" i="22"/>
  <c r="AB326" i="22"/>
  <c r="M326" i="22"/>
  <c r="L326" i="22"/>
  <c r="AH325" i="22"/>
  <c r="AG325" i="22"/>
  <c r="AE325" i="22"/>
  <c r="AC325" i="22"/>
  <c r="AF325" i="22"/>
  <c r="F326" i="22"/>
  <c r="G326" i="22"/>
  <c r="A327" i="22"/>
  <c r="B326" i="22"/>
  <c r="C326" i="22"/>
  <c r="D326" i="22"/>
  <c r="E326" i="22"/>
  <c r="U325" i="22"/>
  <c r="W325" i="22"/>
  <c r="AD326" i="22" l="1"/>
  <c r="AR327" i="22"/>
  <c r="O326" i="22"/>
  <c r="AB327" i="22"/>
  <c r="V327" i="22"/>
  <c r="Y327" i="22"/>
  <c r="L327" i="22"/>
  <c r="AA327" i="22"/>
  <c r="O327" i="22" s="1"/>
  <c r="K327" i="22"/>
  <c r="X327" i="22"/>
  <c r="M327" i="22"/>
  <c r="N327" i="22"/>
  <c r="Z327" i="22"/>
  <c r="AH326" i="22"/>
  <c r="AG326" i="22"/>
  <c r="AE326" i="22"/>
  <c r="AC326" i="22"/>
  <c r="AF326" i="22"/>
  <c r="F327" i="22"/>
  <c r="G327" i="22"/>
  <c r="U326" i="22"/>
  <c r="W326" i="22"/>
  <c r="A328" i="22"/>
  <c r="B327" i="22"/>
  <c r="D327" i="22"/>
  <c r="C327" i="22"/>
  <c r="E327" i="22"/>
  <c r="AD327" i="22" l="1"/>
  <c r="AR328" i="22"/>
  <c r="R327" i="22"/>
  <c r="AA328" i="22"/>
  <c r="R328" i="22" s="1"/>
  <c r="L328" i="22"/>
  <c r="Z328" i="22"/>
  <c r="X328" i="22"/>
  <c r="N328" i="22"/>
  <c r="M328" i="22"/>
  <c r="Y328" i="22"/>
  <c r="AB328" i="22"/>
  <c r="K328" i="22"/>
  <c r="V328" i="22"/>
  <c r="AH327" i="22"/>
  <c r="AG327" i="22"/>
  <c r="AE327" i="22"/>
  <c r="AC327" i="22"/>
  <c r="AF327" i="22"/>
  <c r="F328" i="22"/>
  <c r="G328" i="22"/>
  <c r="A329" i="22"/>
  <c r="B328" i="22"/>
  <c r="C328" i="22"/>
  <c r="D328" i="22"/>
  <c r="E328" i="22"/>
  <c r="U327" i="22"/>
  <c r="W327" i="22"/>
  <c r="AD328" i="22" l="1"/>
  <c r="AR329" i="22"/>
  <c r="O328" i="22"/>
  <c r="Y329" i="22"/>
  <c r="L329" i="22"/>
  <c r="X329" i="22"/>
  <c r="V329" i="22"/>
  <c r="Z329" i="22"/>
  <c r="K329" i="22"/>
  <c r="AA329" i="22"/>
  <c r="R329" i="22" s="1"/>
  <c r="AB329" i="22"/>
  <c r="M329" i="22"/>
  <c r="N329" i="22"/>
  <c r="AH328" i="22"/>
  <c r="AG328" i="22"/>
  <c r="AE328" i="22"/>
  <c r="AF328" i="22"/>
  <c r="AC328" i="22"/>
  <c r="F329" i="22"/>
  <c r="G329" i="22"/>
  <c r="U328" i="22"/>
  <c r="W328" i="22"/>
  <c r="A330" i="22"/>
  <c r="B329" i="22"/>
  <c r="C329" i="22"/>
  <c r="D329" i="22"/>
  <c r="E329" i="22"/>
  <c r="AD329" i="22" l="1"/>
  <c r="AR330" i="22"/>
  <c r="O329" i="22"/>
  <c r="N330" i="22"/>
  <c r="Z330" i="22"/>
  <c r="X330" i="22"/>
  <c r="Y330" i="22"/>
  <c r="AA330" i="22"/>
  <c r="R330" i="22" s="1"/>
  <c r="L330" i="22"/>
  <c r="M330" i="22"/>
  <c r="K330" i="22"/>
  <c r="V330" i="22"/>
  <c r="AB330" i="22"/>
  <c r="AH329" i="22"/>
  <c r="AG329" i="22"/>
  <c r="AE329" i="22"/>
  <c r="AC329" i="22"/>
  <c r="AF329" i="22"/>
  <c r="F330" i="22"/>
  <c r="G330" i="22"/>
  <c r="A331" i="22"/>
  <c r="C330" i="22"/>
  <c r="B330" i="22"/>
  <c r="D330" i="22"/>
  <c r="E330" i="22"/>
  <c r="U329" i="22"/>
  <c r="W329" i="22"/>
  <c r="AD330" i="22" l="1"/>
  <c r="AR331" i="22"/>
  <c r="O330" i="22"/>
  <c r="N331" i="22"/>
  <c r="V331" i="22"/>
  <c r="AB331" i="22"/>
  <c r="Z331" i="22"/>
  <c r="AA331" i="22"/>
  <c r="R331" i="22" s="1"/>
  <c r="M331" i="22"/>
  <c r="K331" i="22"/>
  <c r="Y331" i="22"/>
  <c r="L331" i="22"/>
  <c r="X331" i="22"/>
  <c r="AH330" i="22"/>
  <c r="AG330" i="22"/>
  <c r="AE330" i="22"/>
  <c r="AC330" i="22"/>
  <c r="AF330" i="22"/>
  <c r="F331" i="22"/>
  <c r="G331" i="22"/>
  <c r="U330" i="22"/>
  <c r="W330" i="22"/>
  <c r="A332" i="22"/>
  <c r="B331" i="22"/>
  <c r="D331" i="22"/>
  <c r="C331" i="22"/>
  <c r="E331" i="22"/>
  <c r="AD331" i="22" l="1"/>
  <c r="AR332" i="22"/>
  <c r="O331" i="22"/>
  <c r="M332" i="22"/>
  <c r="K332" i="22"/>
  <c r="Z332" i="22"/>
  <c r="V332" i="22"/>
  <c r="Y332" i="22"/>
  <c r="AA332" i="22"/>
  <c r="O332" i="22" s="1"/>
  <c r="N332" i="22"/>
  <c r="AB332" i="22"/>
  <c r="L332" i="22"/>
  <c r="X332" i="22"/>
  <c r="AH331" i="22"/>
  <c r="AG331" i="22"/>
  <c r="AE331" i="22"/>
  <c r="AF331" i="22"/>
  <c r="AC331" i="22"/>
  <c r="F332" i="22"/>
  <c r="G332" i="22"/>
  <c r="A333" i="22"/>
  <c r="B332" i="22"/>
  <c r="C332" i="22"/>
  <c r="D332" i="22"/>
  <c r="E332" i="22"/>
  <c r="U331" i="22"/>
  <c r="W331" i="22"/>
  <c r="AD332" i="22" l="1"/>
  <c r="AR333" i="22"/>
  <c r="R332" i="22"/>
  <c r="L333" i="22"/>
  <c r="AA333" i="22"/>
  <c r="O333" i="22" s="1"/>
  <c r="Z333" i="22"/>
  <c r="N333" i="22"/>
  <c r="M333" i="22"/>
  <c r="V333" i="22"/>
  <c r="X333" i="22"/>
  <c r="AB333" i="22"/>
  <c r="Y333" i="22"/>
  <c r="K333" i="22"/>
  <c r="AH332" i="22"/>
  <c r="AG332" i="22"/>
  <c r="AE332" i="22"/>
  <c r="AF332" i="22"/>
  <c r="AC332" i="22"/>
  <c r="F333" i="22"/>
  <c r="G333" i="22"/>
  <c r="W332" i="22"/>
  <c r="U332" i="22"/>
  <c r="A334" i="22"/>
  <c r="B333" i="22"/>
  <c r="C333" i="22"/>
  <c r="D333" i="22"/>
  <c r="E333" i="22"/>
  <c r="AD333" i="22" l="1"/>
  <c r="AR334" i="22"/>
  <c r="R333" i="22"/>
  <c r="L334" i="22"/>
  <c r="X334" i="22"/>
  <c r="AA334" i="22"/>
  <c r="R334" i="22" s="1"/>
  <c r="M334" i="22"/>
  <c r="V334" i="22"/>
  <c r="K334" i="22"/>
  <c r="Z334" i="22"/>
  <c r="Y334" i="22"/>
  <c r="AB334" i="22"/>
  <c r="N334" i="22"/>
  <c r="AH333" i="22"/>
  <c r="AG333" i="22"/>
  <c r="AE333" i="22"/>
  <c r="AF333" i="22"/>
  <c r="AC333" i="22"/>
  <c r="F334" i="22"/>
  <c r="G334" i="22"/>
  <c r="A335" i="22"/>
  <c r="B334" i="22"/>
  <c r="C334" i="22"/>
  <c r="D334" i="22"/>
  <c r="E334" i="22"/>
  <c r="W333" i="22"/>
  <c r="U333" i="22"/>
  <c r="AD334" i="22" l="1"/>
  <c r="AR335" i="22"/>
  <c r="O334" i="22"/>
  <c r="L335" i="22"/>
  <c r="Z335" i="22"/>
  <c r="X335" i="22"/>
  <c r="AA335" i="22"/>
  <c r="O335" i="22" s="1"/>
  <c r="N335" i="22"/>
  <c r="V335" i="22"/>
  <c r="Y335" i="22"/>
  <c r="AB335" i="22"/>
  <c r="M335" i="22"/>
  <c r="K335" i="22"/>
  <c r="AH334" i="22"/>
  <c r="AG334" i="22"/>
  <c r="AE334" i="22"/>
  <c r="AC334" i="22"/>
  <c r="AF334" i="22"/>
  <c r="F335" i="22"/>
  <c r="G335" i="22"/>
  <c r="U334" i="22"/>
  <c r="W334" i="22"/>
  <c r="A336" i="22"/>
  <c r="B335" i="22"/>
  <c r="C335" i="22"/>
  <c r="D335" i="22"/>
  <c r="E335" i="22"/>
  <c r="AD335" i="22" l="1"/>
  <c r="AR336" i="22"/>
  <c r="R335" i="22"/>
  <c r="K336" i="22"/>
  <c r="X336" i="22"/>
  <c r="N336" i="22"/>
  <c r="V336" i="22"/>
  <c r="Z336" i="22"/>
  <c r="AB336" i="22"/>
  <c r="AA336" i="22"/>
  <c r="O336" i="22" s="1"/>
  <c r="Y336" i="22"/>
  <c r="M336" i="22"/>
  <c r="L336" i="22"/>
  <c r="AH335" i="22"/>
  <c r="AG335" i="22"/>
  <c r="AE335" i="22"/>
  <c r="AF335" i="22"/>
  <c r="AC335" i="22"/>
  <c r="F336" i="22"/>
  <c r="G336" i="22"/>
  <c r="A337" i="22"/>
  <c r="B336" i="22"/>
  <c r="C336" i="22"/>
  <c r="D336" i="22"/>
  <c r="E336" i="22"/>
  <c r="U335" i="22"/>
  <c r="W335" i="22"/>
  <c r="AD336" i="22" l="1"/>
  <c r="AR337" i="22"/>
  <c r="R336" i="22"/>
  <c r="M337" i="22"/>
  <c r="X337" i="22"/>
  <c r="L337" i="22"/>
  <c r="K337" i="22"/>
  <c r="Z337" i="22"/>
  <c r="AB337" i="22"/>
  <c r="N337" i="22"/>
  <c r="V337" i="22"/>
  <c r="AA337" i="22"/>
  <c r="R337" i="22" s="1"/>
  <c r="Y337" i="22"/>
  <c r="AH336" i="22"/>
  <c r="AG336" i="22"/>
  <c r="AE336" i="22"/>
  <c r="AF336" i="22"/>
  <c r="AC336" i="22"/>
  <c r="F337" i="22"/>
  <c r="G337" i="22"/>
  <c r="A338" i="22"/>
  <c r="B337" i="22"/>
  <c r="C337" i="22"/>
  <c r="E337" i="22"/>
  <c r="D337" i="22"/>
  <c r="AR338" i="22" s="1"/>
  <c r="U336" i="22"/>
  <c r="W336" i="22"/>
  <c r="O337" i="22" l="1"/>
  <c r="M338" i="22"/>
  <c r="L338" i="22"/>
  <c r="V338" i="22"/>
  <c r="AB338" i="22"/>
  <c r="X338" i="22"/>
  <c r="Z338" i="22"/>
  <c r="AA338" i="22"/>
  <c r="R338" i="22" s="1"/>
  <c r="K338" i="22"/>
  <c r="Y338" i="22"/>
  <c r="N338" i="22"/>
  <c r="AD337" i="22"/>
  <c r="AH337" i="22"/>
  <c r="AG337" i="22"/>
  <c r="AE337" i="22"/>
  <c r="AF337" i="22"/>
  <c r="AC337" i="22"/>
  <c r="F338" i="22"/>
  <c r="G338" i="22"/>
  <c r="B338" i="22"/>
  <c r="A339" i="22"/>
  <c r="D338" i="22"/>
  <c r="C338" i="22"/>
  <c r="E338" i="22"/>
  <c r="U337" i="22"/>
  <c r="W337" i="22"/>
  <c r="AD338" i="22" l="1"/>
  <c r="AR339" i="22"/>
  <c r="O338" i="22"/>
  <c r="AA339" i="22"/>
  <c r="O339" i="22" s="1"/>
  <c r="V339" i="22"/>
  <c r="X339" i="22"/>
  <c r="AB339" i="22"/>
  <c r="M339" i="22"/>
  <c r="Z339" i="22"/>
  <c r="Y339" i="22"/>
  <c r="N339" i="22"/>
  <c r="L339" i="22"/>
  <c r="K339" i="22"/>
  <c r="AH338" i="22"/>
  <c r="AG338" i="22"/>
  <c r="AE338" i="22"/>
  <c r="AC338" i="22"/>
  <c r="AF338" i="22"/>
  <c r="F339" i="22"/>
  <c r="G339" i="22"/>
  <c r="U338" i="22"/>
  <c r="W338" i="22"/>
  <c r="A340" i="22"/>
  <c r="B339" i="22"/>
  <c r="D339" i="22"/>
  <c r="AR340" i="22" s="1"/>
  <c r="C339" i="22"/>
  <c r="E339" i="22"/>
  <c r="R339" i="22" l="1"/>
  <c r="AD339" i="22"/>
  <c r="V340" i="22"/>
  <c r="X340" i="22"/>
  <c r="Y340" i="22"/>
  <c r="AA340" i="22"/>
  <c r="R340" i="22" s="1"/>
  <c r="AB340" i="22"/>
  <c r="Z340" i="22"/>
  <c r="M340" i="22"/>
  <c r="N340" i="22"/>
  <c r="L340" i="22"/>
  <c r="K340" i="22"/>
  <c r="AH339" i="22"/>
  <c r="AG339" i="22"/>
  <c r="AF339" i="22"/>
  <c r="AE339" i="22"/>
  <c r="AC339" i="22"/>
  <c r="F340" i="22"/>
  <c r="G340" i="22"/>
  <c r="A341" i="22"/>
  <c r="B340" i="22"/>
  <c r="D340" i="22"/>
  <c r="C340" i="22"/>
  <c r="E340" i="22"/>
  <c r="U339" i="22"/>
  <c r="W339" i="22"/>
  <c r="AD340" i="22" l="1"/>
  <c r="AR341" i="22"/>
  <c r="O340" i="22"/>
  <c r="V341" i="22"/>
  <c r="L341" i="22"/>
  <c r="Z341" i="22"/>
  <c r="Y341" i="22"/>
  <c r="N341" i="22"/>
  <c r="X341" i="22"/>
  <c r="K341" i="22"/>
  <c r="AA341" i="22"/>
  <c r="R341" i="22" s="1"/>
  <c r="AB341" i="22"/>
  <c r="M341" i="22"/>
  <c r="AH340" i="22"/>
  <c r="AG340" i="22"/>
  <c r="AF340" i="22"/>
  <c r="AE340" i="22"/>
  <c r="AC340" i="22"/>
  <c r="F341" i="22"/>
  <c r="G341" i="22"/>
  <c r="U340" i="22"/>
  <c r="W340" i="22"/>
  <c r="A342" i="22"/>
  <c r="B341" i="22"/>
  <c r="C341" i="22"/>
  <c r="D341" i="22"/>
  <c r="AR342" i="22" s="1"/>
  <c r="E341" i="22"/>
  <c r="O341" i="22" l="1"/>
  <c r="L342" i="22"/>
  <c r="V342" i="22"/>
  <c r="AB342" i="22"/>
  <c r="AA342" i="22"/>
  <c r="R342" i="22" s="1"/>
  <c r="X342" i="22"/>
  <c r="M342" i="22"/>
  <c r="K342" i="22"/>
  <c r="Z342" i="22"/>
  <c r="Y342" i="22"/>
  <c r="N342" i="22"/>
  <c r="AD341" i="22"/>
  <c r="AH341" i="22"/>
  <c r="AG341" i="22"/>
  <c r="AE341" i="22"/>
  <c r="AF341" i="22"/>
  <c r="AC341" i="22"/>
  <c r="F342" i="22"/>
  <c r="G342" i="22"/>
  <c r="A343" i="22"/>
  <c r="B342" i="22"/>
  <c r="C342" i="22"/>
  <c r="E342" i="22"/>
  <c r="D342" i="22"/>
  <c r="U341" i="22"/>
  <c r="W341" i="22"/>
  <c r="AD342" i="22" l="1"/>
  <c r="AR343" i="22"/>
  <c r="O342" i="22"/>
  <c r="K343" i="22"/>
  <c r="L343" i="22"/>
  <c r="V343" i="22"/>
  <c r="M343" i="22"/>
  <c r="X343" i="22"/>
  <c r="N343" i="22"/>
  <c r="Y343" i="22"/>
  <c r="Z343" i="22"/>
  <c r="AB343" i="22"/>
  <c r="AA343" i="22"/>
  <c r="R343" i="22" s="1"/>
  <c r="AH342" i="22"/>
  <c r="AG342" i="22"/>
  <c r="AE342" i="22"/>
  <c r="AF342" i="22"/>
  <c r="AC342" i="22"/>
  <c r="F343" i="22"/>
  <c r="G343" i="22"/>
  <c r="U342" i="22"/>
  <c r="W342" i="22"/>
  <c r="A344" i="22"/>
  <c r="B343" i="22"/>
  <c r="D343" i="22"/>
  <c r="AR344" i="22" s="1"/>
  <c r="C343" i="22"/>
  <c r="E343" i="22"/>
  <c r="O343" i="22" l="1"/>
  <c r="Y344" i="22"/>
  <c r="V344" i="22"/>
  <c r="Z344" i="22"/>
  <c r="AA344" i="22"/>
  <c r="R344" i="22" s="1"/>
  <c r="L344" i="22"/>
  <c r="X344" i="22"/>
  <c r="K344" i="22"/>
  <c r="N344" i="22"/>
  <c r="M344" i="22"/>
  <c r="AB344" i="22"/>
  <c r="AD343" i="22"/>
  <c r="AH343" i="22"/>
  <c r="AG343" i="22"/>
  <c r="AF343" i="22"/>
  <c r="AE343" i="22"/>
  <c r="AC343" i="22"/>
  <c r="F344" i="22"/>
  <c r="G344" i="22"/>
  <c r="A345" i="22"/>
  <c r="B344" i="22"/>
  <c r="C344" i="22"/>
  <c r="E344" i="22"/>
  <c r="D344" i="22"/>
  <c r="U343" i="22"/>
  <c r="W343" i="22"/>
  <c r="AD344" i="22" l="1"/>
  <c r="AR345" i="22"/>
  <c r="O344" i="22"/>
  <c r="M345" i="22"/>
  <c r="AA345" i="22"/>
  <c r="R345" i="22" s="1"/>
  <c r="AB345" i="22"/>
  <c r="V345" i="22"/>
  <c r="K345" i="22"/>
  <c r="L345" i="22"/>
  <c r="X345" i="22"/>
  <c r="Y345" i="22"/>
  <c r="N345" i="22"/>
  <c r="Z345" i="22"/>
  <c r="AH344" i="22"/>
  <c r="AG344" i="22"/>
  <c r="AF344" i="22"/>
  <c r="AE344" i="22"/>
  <c r="AC344" i="22"/>
  <c r="F345" i="22"/>
  <c r="G345" i="22"/>
  <c r="W344" i="22"/>
  <c r="U344" i="22"/>
  <c r="B345" i="22"/>
  <c r="A346" i="22"/>
  <c r="C345" i="22"/>
  <c r="D345" i="22"/>
  <c r="E345" i="22"/>
  <c r="AD345" i="22" l="1"/>
  <c r="AR346" i="22"/>
  <c r="O345" i="22"/>
  <c r="Z346" i="22"/>
  <c r="Y346" i="22"/>
  <c r="K346" i="22"/>
  <c r="AA346" i="22"/>
  <c r="R346" i="22" s="1"/>
  <c r="M346" i="22"/>
  <c r="V346" i="22"/>
  <c r="AB346" i="22"/>
  <c r="L346" i="22"/>
  <c r="X346" i="22"/>
  <c r="N346" i="22"/>
  <c r="AH345" i="22"/>
  <c r="AG345" i="22"/>
  <c r="AF345" i="22"/>
  <c r="AE345" i="22"/>
  <c r="AC345" i="22"/>
  <c r="F346" i="22"/>
  <c r="G346" i="22"/>
  <c r="A347" i="22"/>
  <c r="B346" i="22"/>
  <c r="C346" i="22"/>
  <c r="D346" i="22"/>
  <c r="E346" i="22"/>
  <c r="W345" i="22"/>
  <c r="U345" i="22"/>
  <c r="AD346" i="22" l="1"/>
  <c r="AR347" i="22"/>
  <c r="O346" i="22"/>
  <c r="X347" i="22"/>
  <c r="AA347" i="22"/>
  <c r="R347" i="22" s="1"/>
  <c r="N347" i="22"/>
  <c r="Z347" i="22"/>
  <c r="L347" i="22"/>
  <c r="K347" i="22"/>
  <c r="Y347" i="22"/>
  <c r="M347" i="22"/>
  <c r="V347" i="22"/>
  <c r="AB347" i="22"/>
  <c r="AH346" i="22"/>
  <c r="AG346" i="22"/>
  <c r="AF346" i="22"/>
  <c r="AE346" i="22"/>
  <c r="AC346" i="22"/>
  <c r="F347" i="22"/>
  <c r="G347" i="22"/>
  <c r="U346" i="22"/>
  <c r="W346" i="22"/>
  <c r="A348" i="22"/>
  <c r="B347" i="22"/>
  <c r="D347" i="22"/>
  <c r="C347" i="22"/>
  <c r="E347" i="22"/>
  <c r="AD347" i="22" l="1"/>
  <c r="AR348" i="22"/>
  <c r="O347" i="22"/>
  <c r="K348" i="22"/>
  <c r="X348" i="22"/>
  <c r="Y348" i="22"/>
  <c r="N348" i="22"/>
  <c r="AA348" i="22"/>
  <c r="R348" i="22" s="1"/>
  <c r="L348" i="22"/>
  <c r="V348" i="22"/>
  <c r="AB348" i="22"/>
  <c r="Z348" i="22"/>
  <c r="M348" i="22"/>
  <c r="AH347" i="22"/>
  <c r="AG347" i="22"/>
  <c r="AF347" i="22"/>
  <c r="AE347" i="22"/>
  <c r="AC347" i="22"/>
  <c r="F348" i="22"/>
  <c r="G348" i="22"/>
  <c r="A349" i="22"/>
  <c r="B348" i="22"/>
  <c r="C348" i="22"/>
  <c r="E348" i="22"/>
  <c r="D348" i="22"/>
  <c r="U347" i="22"/>
  <c r="W347" i="22"/>
  <c r="AD348" i="22" l="1"/>
  <c r="AR349" i="22"/>
  <c r="O348" i="22"/>
  <c r="AB349" i="22"/>
  <c r="V349" i="22"/>
  <c r="X349" i="22"/>
  <c r="K349" i="22"/>
  <c r="N349" i="22"/>
  <c r="Y349" i="22"/>
  <c r="L349" i="22"/>
  <c r="Z349" i="22"/>
  <c r="AA349" i="22"/>
  <c r="O349" i="22" s="1"/>
  <c r="M349" i="22"/>
  <c r="AH348" i="22"/>
  <c r="AG348" i="22"/>
  <c r="AF348" i="22"/>
  <c r="AE348" i="22"/>
  <c r="AC348" i="22"/>
  <c r="F349" i="22"/>
  <c r="G349" i="22"/>
  <c r="U348" i="22"/>
  <c r="W348" i="22"/>
  <c r="C349" i="22"/>
  <c r="A350" i="22"/>
  <c r="B349" i="22"/>
  <c r="E349" i="22"/>
  <c r="D349" i="22"/>
  <c r="AD349" i="22" l="1"/>
  <c r="AR350" i="22"/>
  <c r="R349" i="22"/>
  <c r="V350" i="22"/>
  <c r="X350" i="22"/>
  <c r="Z350" i="22"/>
  <c r="Y350" i="22"/>
  <c r="AA350" i="22"/>
  <c r="O350" i="22" s="1"/>
  <c r="M350" i="22"/>
  <c r="L350" i="22"/>
  <c r="AB350" i="22"/>
  <c r="K350" i="22"/>
  <c r="N350" i="22"/>
  <c r="AH349" i="22"/>
  <c r="AG349" i="22"/>
  <c r="AF349" i="22"/>
  <c r="AE349" i="22"/>
  <c r="AC349" i="22"/>
  <c r="F350" i="22"/>
  <c r="G350" i="22"/>
  <c r="A351" i="22"/>
  <c r="B350" i="22"/>
  <c r="C350" i="22"/>
  <c r="D350" i="22"/>
  <c r="E350" i="22"/>
  <c r="U349" i="22"/>
  <c r="W349" i="22"/>
  <c r="AD350" i="22" l="1"/>
  <c r="AR351" i="22"/>
  <c r="R350" i="22"/>
  <c r="K351" i="22"/>
  <c r="V351" i="22"/>
  <c r="Z351" i="22"/>
  <c r="M351" i="22"/>
  <c r="N351" i="22"/>
  <c r="X351" i="22"/>
  <c r="AB351" i="22"/>
  <c r="L351" i="22"/>
  <c r="AA351" i="22"/>
  <c r="R351" i="22" s="1"/>
  <c r="Y351" i="22"/>
  <c r="AH350" i="22"/>
  <c r="AG350" i="22"/>
  <c r="AF350" i="22"/>
  <c r="AE350" i="22"/>
  <c r="AC350" i="22"/>
  <c r="F351" i="22"/>
  <c r="G351" i="22"/>
  <c r="U350" i="22"/>
  <c r="W350" i="22"/>
  <c r="B351" i="22"/>
  <c r="A352" i="22"/>
  <c r="C351" i="22"/>
  <c r="D351" i="22"/>
  <c r="E351" i="22"/>
  <c r="AD351" i="22" l="1"/>
  <c r="AR352" i="22"/>
  <c r="O351" i="22"/>
  <c r="V352" i="22"/>
  <c r="X352" i="22"/>
  <c r="K352" i="22"/>
  <c r="Y352" i="22"/>
  <c r="N352" i="22"/>
  <c r="AB352" i="22"/>
  <c r="Z352" i="22"/>
  <c r="L352" i="22"/>
  <c r="AA352" i="22"/>
  <c r="O352" i="22" s="1"/>
  <c r="M352" i="22"/>
  <c r="AH351" i="22"/>
  <c r="AG351" i="22"/>
  <c r="AF351" i="22"/>
  <c r="AE351" i="22"/>
  <c r="AC351" i="22"/>
  <c r="F352" i="22"/>
  <c r="G352" i="22"/>
  <c r="A353" i="22"/>
  <c r="B352" i="22"/>
  <c r="C352" i="22"/>
  <c r="E352" i="22"/>
  <c r="D352" i="22"/>
  <c r="U351" i="22"/>
  <c r="W351" i="22"/>
  <c r="AD352" i="22" l="1"/>
  <c r="AR353" i="22"/>
  <c r="R352" i="22"/>
  <c r="AB353" i="22"/>
  <c r="X353" i="22"/>
  <c r="V353" i="22"/>
  <c r="AA353" i="22"/>
  <c r="O353" i="22" s="1"/>
  <c r="M353" i="22"/>
  <c r="K353" i="22"/>
  <c r="L353" i="22"/>
  <c r="Y353" i="22"/>
  <c r="Z353" i="22"/>
  <c r="N353" i="22"/>
  <c r="AH352" i="22"/>
  <c r="AG352" i="22"/>
  <c r="AF352" i="22"/>
  <c r="AE352" i="22"/>
  <c r="AC352" i="22"/>
  <c r="F353" i="22"/>
  <c r="G353" i="22"/>
  <c r="A354" i="22"/>
  <c r="B353" i="22"/>
  <c r="C353" i="22"/>
  <c r="D353" i="22"/>
  <c r="E353" i="22"/>
  <c r="U352" i="22"/>
  <c r="W352" i="22"/>
  <c r="AD353" i="22" l="1"/>
  <c r="AR354" i="22"/>
  <c r="R353" i="22"/>
  <c r="Z354" i="22"/>
  <c r="Y354" i="22"/>
  <c r="X354" i="22"/>
  <c r="N354" i="22"/>
  <c r="AB354" i="22"/>
  <c r="L354" i="22"/>
  <c r="V354" i="22"/>
  <c r="AA354" i="22"/>
  <c r="R354" i="22" s="1"/>
  <c r="M354" i="22"/>
  <c r="K354" i="22"/>
  <c r="AH353" i="22"/>
  <c r="AG353" i="22"/>
  <c r="AE353" i="22"/>
  <c r="AF353" i="22"/>
  <c r="AC353" i="22"/>
  <c r="F354" i="22"/>
  <c r="G354" i="22"/>
  <c r="U353" i="22"/>
  <c r="W353" i="22"/>
  <c r="A355" i="22"/>
  <c r="C354" i="22"/>
  <c r="B354" i="22"/>
  <c r="D354" i="22"/>
  <c r="E354" i="22"/>
  <c r="AD354" i="22" l="1"/>
  <c r="AR355" i="22"/>
  <c r="O354" i="22"/>
  <c r="L355" i="22"/>
  <c r="K355" i="22"/>
  <c r="AB355" i="22"/>
  <c r="Y355" i="22"/>
  <c r="V355" i="22"/>
  <c r="M355" i="22"/>
  <c r="AA355" i="22"/>
  <c r="R355" i="22" s="1"/>
  <c r="X355" i="22"/>
  <c r="Z355" i="22"/>
  <c r="N355" i="22"/>
  <c r="AH354" i="22"/>
  <c r="AG354" i="22"/>
  <c r="AF354" i="22"/>
  <c r="AE354" i="22"/>
  <c r="AC354" i="22"/>
  <c r="F355" i="22"/>
  <c r="G355" i="22"/>
  <c r="A356" i="22"/>
  <c r="D355" i="22"/>
  <c r="C355" i="22"/>
  <c r="B355" i="22"/>
  <c r="E355" i="22"/>
  <c r="U354" i="22"/>
  <c r="W354" i="22"/>
  <c r="AD355" i="22" l="1"/>
  <c r="AR356" i="22"/>
  <c r="O355" i="22"/>
  <c r="Y356" i="22"/>
  <c r="K356" i="22"/>
  <c r="N356" i="22"/>
  <c r="V356" i="22"/>
  <c r="M356" i="22"/>
  <c r="AA356" i="22"/>
  <c r="O356" i="22" s="1"/>
  <c r="AB356" i="22"/>
  <c r="X356" i="22"/>
  <c r="Z356" i="22"/>
  <c r="L356" i="22"/>
  <c r="AH355" i="22"/>
  <c r="AG355" i="22"/>
  <c r="AF355" i="22"/>
  <c r="AE355" i="22"/>
  <c r="AC355" i="22"/>
  <c r="F356" i="22"/>
  <c r="G356" i="22"/>
  <c r="U355" i="22"/>
  <c r="W355" i="22"/>
  <c r="A357" i="22"/>
  <c r="C356" i="22"/>
  <c r="B356" i="22"/>
  <c r="D356" i="22"/>
  <c r="E356" i="22"/>
  <c r="AD356" i="22" l="1"/>
  <c r="AR357" i="22"/>
  <c r="R356" i="22"/>
  <c r="V357" i="22"/>
  <c r="X357" i="22"/>
  <c r="K357" i="22"/>
  <c r="N357" i="22"/>
  <c r="AB357" i="22"/>
  <c r="M357" i="22"/>
  <c r="AA357" i="22"/>
  <c r="O357" i="22" s="1"/>
  <c r="L357" i="22"/>
  <c r="Y357" i="22"/>
  <c r="Z357" i="22"/>
  <c r="AH356" i="22"/>
  <c r="AG356" i="22"/>
  <c r="AF356" i="22"/>
  <c r="AE356" i="22"/>
  <c r="AC356" i="22"/>
  <c r="F357" i="22"/>
  <c r="G357" i="22"/>
  <c r="W356" i="22"/>
  <c r="U356" i="22"/>
  <c r="A358" i="22"/>
  <c r="C357" i="22"/>
  <c r="B357" i="22"/>
  <c r="D357" i="22"/>
  <c r="E357" i="22"/>
  <c r="AD357" i="22" l="1"/>
  <c r="AR358" i="22"/>
  <c r="R357" i="22"/>
  <c r="M358" i="22"/>
  <c r="AA358" i="22"/>
  <c r="O358" i="22" s="1"/>
  <c r="N358" i="22"/>
  <c r="K358" i="22"/>
  <c r="Z358" i="22"/>
  <c r="AB358" i="22"/>
  <c r="V358" i="22"/>
  <c r="Y358" i="22"/>
  <c r="L358" i="22"/>
  <c r="X358" i="22"/>
  <c r="AH357" i="22"/>
  <c r="AG357" i="22"/>
  <c r="AF357" i="22"/>
  <c r="AE357" i="22"/>
  <c r="AC357" i="22"/>
  <c r="F358" i="22"/>
  <c r="G358" i="22"/>
  <c r="A359" i="22"/>
  <c r="B358" i="22"/>
  <c r="C358" i="22"/>
  <c r="D358" i="22"/>
  <c r="E358" i="22"/>
  <c r="W357" i="22"/>
  <c r="U357" i="22"/>
  <c r="AD358" i="22" l="1"/>
  <c r="AR359" i="22"/>
  <c r="R358" i="22"/>
  <c r="M359" i="22"/>
  <c r="Z359" i="22"/>
  <c r="N359" i="22"/>
  <c r="L359" i="22"/>
  <c r="K359" i="22"/>
  <c r="AA359" i="22"/>
  <c r="O359" i="22" s="1"/>
  <c r="X359" i="22"/>
  <c r="Y359" i="22"/>
  <c r="AB359" i="22"/>
  <c r="V359" i="22"/>
  <c r="AH358" i="22"/>
  <c r="AG358" i="22"/>
  <c r="AF358" i="22"/>
  <c r="AE358" i="22"/>
  <c r="AC358" i="22"/>
  <c r="F359" i="22"/>
  <c r="G359" i="22"/>
  <c r="U358" i="22"/>
  <c r="W358" i="22"/>
  <c r="A360" i="22"/>
  <c r="B359" i="22"/>
  <c r="D359" i="22"/>
  <c r="C359" i="22"/>
  <c r="E359" i="22"/>
  <c r="AD359" i="22" l="1"/>
  <c r="AR360" i="22"/>
  <c r="R359" i="22"/>
  <c r="AA360" i="22"/>
  <c r="O360" i="22" s="1"/>
  <c r="V360" i="22"/>
  <c r="M360" i="22"/>
  <c r="Z360" i="22"/>
  <c r="L360" i="22"/>
  <c r="N360" i="22"/>
  <c r="K360" i="22"/>
  <c r="AB360" i="22"/>
  <c r="X360" i="22"/>
  <c r="Y360" i="22"/>
  <c r="AH359" i="22"/>
  <c r="AG359" i="22"/>
  <c r="AF359" i="22"/>
  <c r="AE359" i="22"/>
  <c r="AC359" i="22"/>
  <c r="F360" i="22"/>
  <c r="G360" i="22"/>
  <c r="B360" i="22"/>
  <c r="A361" i="22"/>
  <c r="C360" i="22"/>
  <c r="D360" i="22"/>
  <c r="E360" i="22"/>
  <c r="U359" i="22"/>
  <c r="W359" i="22"/>
  <c r="AD360" i="22" l="1"/>
  <c r="AR361" i="22"/>
  <c r="R360" i="22"/>
  <c r="N361" i="22"/>
  <c r="Y361" i="22"/>
  <c r="V361" i="22"/>
  <c r="X361" i="22"/>
  <c r="Z361" i="22"/>
  <c r="K361" i="22"/>
  <c r="M361" i="22"/>
  <c r="AA361" i="22"/>
  <c r="O361" i="22" s="1"/>
  <c r="L361" i="22"/>
  <c r="AB361" i="22"/>
  <c r="AH360" i="22"/>
  <c r="AG360" i="22"/>
  <c r="AF360" i="22"/>
  <c r="AE360" i="22"/>
  <c r="AC360" i="22"/>
  <c r="F361" i="22"/>
  <c r="G361" i="22"/>
  <c r="U360" i="22"/>
  <c r="W360" i="22"/>
  <c r="A362" i="22"/>
  <c r="B361" i="22"/>
  <c r="C361" i="22"/>
  <c r="E361" i="22"/>
  <c r="D361" i="22"/>
  <c r="AD361" i="22" l="1"/>
  <c r="AR362" i="22"/>
  <c r="R361" i="22"/>
  <c r="K362" i="22"/>
  <c r="AB362" i="22"/>
  <c r="Z362" i="22"/>
  <c r="V362" i="22"/>
  <c r="AA362" i="22"/>
  <c r="R362" i="22" s="1"/>
  <c r="M362" i="22"/>
  <c r="Y362" i="22"/>
  <c r="L362" i="22"/>
  <c r="X362" i="22"/>
  <c r="N362" i="22"/>
  <c r="AH361" i="22"/>
  <c r="AG361" i="22"/>
  <c r="AF361" i="22"/>
  <c r="AE361" i="22"/>
  <c r="AC361" i="22"/>
  <c r="F362" i="22"/>
  <c r="G362" i="22"/>
  <c r="A363" i="22"/>
  <c r="B362" i="22"/>
  <c r="C362" i="22"/>
  <c r="D362" i="22"/>
  <c r="E362" i="22"/>
  <c r="U361" i="22"/>
  <c r="W361" i="22"/>
  <c r="AD362" i="22" l="1"/>
  <c r="AR363" i="22"/>
  <c r="O362" i="22"/>
  <c r="L363" i="22"/>
  <c r="K363" i="22"/>
  <c r="M363" i="22"/>
  <c r="AB363" i="22"/>
  <c r="AA363" i="22"/>
  <c r="R363" i="22" s="1"/>
  <c r="V363" i="22"/>
  <c r="N363" i="22"/>
  <c r="X363" i="22"/>
  <c r="Z363" i="22"/>
  <c r="Y363" i="22"/>
  <c r="AH362" i="22"/>
  <c r="AG362" i="22"/>
  <c r="AF362" i="22"/>
  <c r="AE362" i="22"/>
  <c r="AC362" i="22"/>
  <c r="F363" i="22"/>
  <c r="G363" i="22"/>
  <c r="U362" i="22"/>
  <c r="W362" i="22"/>
  <c r="A364" i="22"/>
  <c r="B363" i="22"/>
  <c r="D363" i="22"/>
  <c r="C363" i="22"/>
  <c r="E363" i="22"/>
  <c r="AD363" i="22" l="1"/>
  <c r="AR364" i="22"/>
  <c r="O363" i="22"/>
  <c r="N364" i="22"/>
  <c r="K364" i="22"/>
  <c r="X364" i="22"/>
  <c r="V364" i="22"/>
  <c r="AB364" i="22"/>
  <c r="L364" i="22"/>
  <c r="M364" i="22"/>
  <c r="Z364" i="22"/>
  <c r="AA364" i="22"/>
  <c r="R364" i="22" s="1"/>
  <c r="Y364" i="22"/>
  <c r="AH363" i="22"/>
  <c r="AG363" i="22"/>
  <c r="AF363" i="22"/>
  <c r="AE363" i="22"/>
  <c r="AC363" i="22"/>
  <c r="F364" i="22"/>
  <c r="G364" i="22"/>
  <c r="A365" i="22"/>
  <c r="B364" i="22"/>
  <c r="C364" i="22"/>
  <c r="D364" i="22"/>
  <c r="E364" i="22"/>
  <c r="U363" i="22"/>
  <c r="W363" i="22"/>
  <c r="AD364" i="22" l="1"/>
  <c r="AR365" i="22"/>
  <c r="O364" i="22"/>
  <c r="V365" i="22"/>
  <c r="M365" i="22"/>
  <c r="L365" i="22"/>
  <c r="X365" i="22"/>
  <c r="N365" i="22"/>
  <c r="AA365" i="22"/>
  <c r="O365" i="22" s="1"/>
  <c r="Z365" i="22"/>
  <c r="Y365" i="22"/>
  <c r="AB365" i="22"/>
  <c r="K365" i="22"/>
  <c r="AH364" i="22"/>
  <c r="AG364" i="22"/>
  <c r="AE364" i="22"/>
  <c r="AF364" i="22"/>
  <c r="AC364" i="22"/>
  <c r="F365" i="22"/>
  <c r="G365" i="22"/>
  <c r="U364" i="22"/>
  <c r="W364" i="22"/>
  <c r="A366" i="22"/>
  <c r="B365" i="22"/>
  <c r="C365" i="22"/>
  <c r="D365" i="22"/>
  <c r="E365" i="22"/>
  <c r="AD365" i="22" l="1"/>
  <c r="AR366" i="22"/>
  <c r="R365" i="22"/>
  <c r="K366" i="22"/>
  <c r="Z366" i="22"/>
  <c r="M366" i="22"/>
  <c r="AB366" i="22"/>
  <c r="Y366" i="22"/>
  <c r="N366" i="22"/>
  <c r="V366" i="22"/>
  <c r="AA366" i="22"/>
  <c r="O366" i="22" s="1"/>
  <c r="L366" i="22"/>
  <c r="X366" i="22"/>
  <c r="AH365" i="22"/>
  <c r="AG365" i="22"/>
  <c r="AE365" i="22"/>
  <c r="AF365" i="22"/>
  <c r="AC365" i="22"/>
  <c r="F366" i="22"/>
  <c r="G366" i="22"/>
  <c r="A367" i="22"/>
  <c r="B366" i="22"/>
  <c r="C366" i="22"/>
  <c r="E366" i="22"/>
  <c r="D366" i="22"/>
  <c r="U365" i="22"/>
  <c r="W365" i="22"/>
  <c r="AD366" i="22" l="1"/>
  <c r="AR367" i="22"/>
  <c r="R366" i="22"/>
  <c r="M367" i="22"/>
  <c r="Y367" i="22"/>
  <c r="Z367" i="22"/>
  <c r="AA367" i="22"/>
  <c r="R367" i="22" s="1"/>
  <c r="K367" i="22"/>
  <c r="AB367" i="22"/>
  <c r="V367" i="22"/>
  <c r="N367" i="22"/>
  <c r="L367" i="22"/>
  <c r="X367" i="22"/>
  <c r="AH366" i="22"/>
  <c r="AG366" i="22"/>
  <c r="AE366" i="22"/>
  <c r="AF366" i="22"/>
  <c r="AC366" i="22"/>
  <c r="F367" i="22"/>
  <c r="G367" i="22"/>
  <c r="U366" i="22"/>
  <c r="W366" i="22"/>
  <c r="A368" i="22"/>
  <c r="B367" i="22"/>
  <c r="D367" i="22"/>
  <c r="C367" i="22"/>
  <c r="E367" i="22"/>
  <c r="AD367" i="22" l="1"/>
  <c r="AR368" i="22"/>
  <c r="O367" i="22"/>
  <c r="Z368" i="22"/>
  <c r="Y368" i="22"/>
  <c r="N368" i="22"/>
  <c r="L368" i="22"/>
  <c r="X368" i="22"/>
  <c r="V368" i="22"/>
  <c r="M368" i="22"/>
  <c r="AB368" i="22"/>
  <c r="K368" i="22"/>
  <c r="AA368" i="22"/>
  <c r="O368" i="22" s="1"/>
  <c r="AH367" i="22"/>
  <c r="AG367" i="22"/>
  <c r="AF367" i="22"/>
  <c r="AE367" i="22"/>
  <c r="AC367" i="22"/>
  <c r="F368" i="22"/>
  <c r="G368" i="22"/>
  <c r="A369" i="22"/>
  <c r="C368" i="22"/>
  <c r="B368" i="22"/>
  <c r="D368" i="22"/>
  <c r="E368" i="22"/>
  <c r="U367" i="22"/>
  <c r="W367" i="22"/>
  <c r="AD368" i="22" l="1"/>
  <c r="AR369" i="22"/>
  <c r="R368" i="22"/>
  <c r="E11" i="20"/>
  <c r="C9" i="9"/>
  <c r="M369" i="22"/>
  <c r="X369" i="22"/>
  <c r="Y369" i="22"/>
  <c r="AB369" i="22"/>
  <c r="AA369" i="22"/>
  <c r="O369" i="22" s="1"/>
  <c r="K369" i="22"/>
  <c r="L369" i="22"/>
  <c r="V369" i="22"/>
  <c r="N369" i="22"/>
  <c r="Z369" i="22"/>
  <c r="D9" i="9"/>
  <c r="D18" i="9"/>
  <c r="F11" i="20"/>
  <c r="D11" i="20"/>
  <c r="D24" i="9"/>
  <c r="E24" i="9" s="1"/>
  <c r="D21" i="9"/>
  <c r="E21" i="9" s="1"/>
  <c r="C12" i="9"/>
  <c r="E12" i="9" s="1"/>
  <c r="C18" i="9"/>
  <c r="C15" i="9"/>
  <c r="E15" i="9" s="1"/>
  <c r="AH368" i="22"/>
  <c r="AG368" i="22"/>
  <c r="AF368" i="22"/>
  <c r="AE368" i="22"/>
  <c r="AC368" i="22"/>
  <c r="F369" i="22"/>
  <c r="G369" i="22"/>
  <c r="W368" i="22"/>
  <c r="U368" i="22"/>
  <c r="C369" i="22"/>
  <c r="B369" i="22"/>
  <c r="D369" i="22"/>
  <c r="E369" i="22"/>
  <c r="Q6" i="23" l="1"/>
  <c r="Q3" i="23"/>
  <c r="Q2" i="23"/>
  <c r="Q4" i="23"/>
  <c r="Q5" i="23"/>
  <c r="Q9" i="23"/>
  <c r="Q7" i="23"/>
  <c r="Q12" i="23"/>
  <c r="Q10" i="23"/>
  <c r="Q8" i="23"/>
  <c r="Q11" i="23"/>
  <c r="Q13" i="23"/>
  <c r="Q14" i="23"/>
  <c r="Q15" i="23"/>
  <c r="Q16" i="23"/>
  <c r="Q17" i="23"/>
  <c r="Q18" i="23"/>
  <c r="Q19" i="23"/>
  <c r="Q20" i="23"/>
  <c r="Q21" i="23"/>
  <c r="Q22" i="23"/>
  <c r="Q23" i="23"/>
  <c r="Q24" i="23"/>
  <c r="Q25" i="23"/>
  <c r="E18" i="9"/>
  <c r="R369" i="22"/>
  <c r="E9" i="9"/>
  <c r="J11" i="20"/>
  <c r="H11" i="20"/>
  <c r="L13" i="21"/>
  <c r="L16" i="21"/>
  <c r="AD369" i="22"/>
  <c r="D17" i="21"/>
  <c r="D10" i="21"/>
  <c r="F10" i="21"/>
  <c r="F15" i="21"/>
  <c r="D19" i="21"/>
  <c r="D18" i="21"/>
  <c r="N10" i="21"/>
  <c r="F14" i="21"/>
  <c r="D12" i="21"/>
  <c r="D11" i="21"/>
  <c r="L10" i="21"/>
  <c r="F20" i="21"/>
  <c r="D15" i="21"/>
  <c r="D16" i="21"/>
  <c r="F18" i="21"/>
  <c r="F11" i="21"/>
  <c r="F13" i="21"/>
  <c r="N12" i="21"/>
  <c r="L11" i="21"/>
  <c r="L14" i="21"/>
  <c r="L17" i="21"/>
  <c r="N18" i="21"/>
  <c r="L15" i="21"/>
  <c r="N14" i="21"/>
  <c r="N11" i="21"/>
  <c r="L20" i="21"/>
  <c r="D14" i="21"/>
  <c r="N15" i="21"/>
  <c r="N20" i="21"/>
  <c r="F19" i="21"/>
  <c r="F17" i="21"/>
  <c r="F12" i="21"/>
  <c r="N16" i="21"/>
  <c r="F16" i="21"/>
  <c r="N19" i="21"/>
  <c r="L18" i="21"/>
  <c r="L12" i="21"/>
  <c r="N13" i="21"/>
  <c r="D13" i="21"/>
  <c r="N17" i="21"/>
  <c r="L19" i="21"/>
  <c r="D20" i="21"/>
  <c r="F4" i="21"/>
  <c r="D4" i="21"/>
  <c r="AH369" i="22"/>
  <c r="AG369" i="22"/>
  <c r="AF369" i="22"/>
  <c r="AE369" i="22"/>
  <c r="AC369" i="22"/>
  <c r="C11" i="20" s="1"/>
  <c r="Z7" i="23"/>
  <c r="Z2" i="23"/>
  <c r="D21" i="21"/>
  <c r="Z12" i="23"/>
  <c r="F21" i="21"/>
  <c r="Z3" i="23"/>
  <c r="Z9" i="23"/>
  <c r="Z13" i="23"/>
  <c r="Z11" i="23"/>
  <c r="Z5" i="23"/>
  <c r="Z8" i="23"/>
  <c r="Z6" i="23"/>
  <c r="Z10" i="23"/>
  <c r="Z4" i="23"/>
  <c r="Z18" i="23"/>
  <c r="Z23" i="23"/>
  <c r="Z24" i="23"/>
  <c r="Z17" i="23"/>
  <c r="Z22" i="23"/>
  <c r="D4" i="20"/>
  <c r="Z15" i="23"/>
  <c r="Z21" i="23"/>
  <c r="Z14" i="23"/>
  <c r="Z16" i="23"/>
  <c r="Z25" i="23"/>
  <c r="Z19" i="23"/>
  <c r="F4" i="20"/>
  <c r="Z20" i="23"/>
  <c r="W369" i="22"/>
  <c r="U369" i="22"/>
  <c r="H16" i="21" l="1"/>
  <c r="H11" i="21"/>
  <c r="H18" i="21"/>
  <c r="H10" i="21"/>
  <c r="H12" i="21"/>
  <c r="H17" i="21"/>
  <c r="H19" i="21"/>
  <c r="H14" i="21"/>
  <c r="H13" i="21"/>
  <c r="H15" i="21"/>
  <c r="H20" i="21"/>
  <c r="D20" i="9"/>
  <c r="D19" i="9"/>
  <c r="J4" i="20"/>
  <c r="H4" i="20"/>
  <c r="D10" i="9"/>
  <c r="H21" i="21"/>
  <c r="I11" i="20"/>
  <c r="G11" i="20"/>
  <c r="H4" i="21"/>
  <c r="J4" i="21"/>
  <c r="D11" i="9"/>
  <c r="L4" i="21"/>
  <c r="L21" i="21"/>
  <c r="L4" i="20"/>
  <c r="L11" i="20"/>
  <c r="N4" i="21"/>
  <c r="N21" i="21"/>
  <c r="N4" i="20"/>
  <c r="N11" i="20"/>
  <c r="B12" i="21"/>
  <c r="J12" i="21" s="1"/>
  <c r="B13" i="21"/>
  <c r="J13" i="21" s="1"/>
  <c r="B10" i="21"/>
  <c r="J10" i="21" s="1"/>
  <c r="B11" i="21"/>
  <c r="J11" i="21" s="1"/>
  <c r="B18" i="21"/>
  <c r="J18" i="21" s="1"/>
  <c r="B14" i="21"/>
  <c r="J14" i="21" s="1"/>
  <c r="B19" i="21"/>
  <c r="J19" i="21" s="1"/>
  <c r="B21" i="21"/>
  <c r="J21" i="21" s="1"/>
  <c r="B16" i="21"/>
  <c r="J16" i="21" s="1"/>
  <c r="B15" i="21"/>
  <c r="J15" i="21" s="1"/>
  <c r="B17" i="21"/>
  <c r="J17" i="21" s="1"/>
  <c r="B20" i="21"/>
  <c r="J20" i="21" s="1"/>
  <c r="D14" i="9" l="1"/>
  <c r="D23" i="9"/>
  <c r="E23" i="9" s="1"/>
  <c r="D22" i="9"/>
  <c r="E22" i="9" s="1"/>
  <c r="D17" i="9"/>
  <c r="D25" i="9"/>
  <c r="E25" i="9" s="1"/>
  <c r="D16" i="9"/>
  <c r="D13" i="9"/>
  <c r="D26" i="9"/>
  <c r="E26" i="9" s="1"/>
  <c r="U9" i="23"/>
  <c r="R9" i="23"/>
  <c r="R25" i="23"/>
  <c r="U25" i="23"/>
  <c r="X25" i="23" s="1"/>
  <c r="U17" i="23"/>
  <c r="R17" i="23"/>
  <c r="C13" i="21" s="1"/>
  <c r="U13" i="23"/>
  <c r="R13" i="23"/>
  <c r="R3" i="23"/>
  <c r="U3" i="23"/>
  <c r="U16" i="23"/>
  <c r="R16" i="23"/>
  <c r="R23" i="23"/>
  <c r="C19" i="21" s="1"/>
  <c r="U23" i="23"/>
  <c r="R12" i="23"/>
  <c r="U12" i="23"/>
  <c r="U24" i="23"/>
  <c r="R24" i="23"/>
  <c r="C20" i="21" s="1"/>
  <c r="R11" i="23"/>
  <c r="U11" i="23"/>
  <c r="R5" i="23"/>
  <c r="U5" i="23"/>
  <c r="U18" i="23"/>
  <c r="R18" i="23"/>
  <c r="C14" i="21" s="1"/>
  <c r="U21" i="23"/>
  <c r="R21" i="23"/>
  <c r="C17" i="21" s="1"/>
  <c r="R10" i="23"/>
  <c r="U10" i="23"/>
  <c r="R19" i="23"/>
  <c r="C15" i="21" s="1"/>
  <c r="U19" i="23"/>
  <c r="R8" i="23"/>
  <c r="U8" i="23"/>
  <c r="U22" i="23"/>
  <c r="R22" i="23"/>
  <c r="C18" i="21" s="1"/>
  <c r="R20" i="23"/>
  <c r="C16" i="21" s="1"/>
  <c r="U20" i="23"/>
  <c r="R6" i="23"/>
  <c r="U6" i="23"/>
  <c r="R4" i="23"/>
  <c r="U4" i="23"/>
  <c r="U15" i="23"/>
  <c r="R15" i="23"/>
  <c r="C11" i="21" s="1"/>
  <c r="U2" i="23"/>
  <c r="R2" i="23"/>
  <c r="U7" i="23"/>
  <c r="R7" i="23"/>
  <c r="U14" i="23"/>
  <c r="E10" i="21" s="1"/>
  <c r="I10" i="21" s="1"/>
  <c r="R14" i="23"/>
  <c r="C10" i="21" s="1"/>
  <c r="C12" i="21" l="1"/>
  <c r="C4" i="20"/>
  <c r="C21" i="21"/>
  <c r="G10" i="21"/>
  <c r="X18" i="23"/>
  <c r="E14" i="21"/>
  <c r="X19" i="23"/>
  <c r="E15" i="21"/>
  <c r="X23" i="23"/>
  <c r="E19" i="21"/>
  <c r="X17" i="23"/>
  <c r="E13" i="21"/>
  <c r="X20" i="23"/>
  <c r="E16" i="21"/>
  <c r="X16" i="23"/>
  <c r="E12" i="21"/>
  <c r="X15" i="23"/>
  <c r="E11" i="21"/>
  <c r="X22" i="23"/>
  <c r="E18" i="21"/>
  <c r="X21" i="23"/>
  <c r="E17" i="21"/>
  <c r="X24" i="23"/>
  <c r="E20" i="21"/>
  <c r="X8" i="23"/>
  <c r="X12" i="23"/>
  <c r="X4" i="23"/>
  <c r="S4" i="23"/>
  <c r="X13" i="23"/>
  <c r="E4" i="20"/>
  <c r="X6" i="23"/>
  <c r="X5" i="23"/>
  <c r="X7" i="23"/>
  <c r="E21" i="21"/>
  <c r="X10" i="23"/>
  <c r="X11" i="23"/>
  <c r="X3" i="23"/>
  <c r="X9" i="23"/>
  <c r="X14" i="23"/>
  <c r="V25" i="23"/>
  <c r="Y25" i="23" s="1"/>
  <c r="V23" i="23"/>
  <c r="Y23" i="23" s="1"/>
  <c r="V18" i="23"/>
  <c r="Y18" i="23" s="1"/>
  <c r="V24" i="23"/>
  <c r="Y24" i="23" s="1"/>
  <c r="V15" i="23"/>
  <c r="Y15" i="23" s="1"/>
  <c r="V17" i="23"/>
  <c r="Y17" i="23" s="1"/>
  <c r="V19" i="23"/>
  <c r="Y19" i="23" s="1"/>
  <c r="V20" i="23"/>
  <c r="Y20" i="23" s="1"/>
  <c r="V21" i="23"/>
  <c r="Y21" i="23" s="1"/>
  <c r="V22" i="23"/>
  <c r="Y22" i="23" s="1"/>
  <c r="V14" i="23"/>
  <c r="Y14" i="23" s="1"/>
  <c r="V16" i="23"/>
  <c r="Y16" i="23" s="1"/>
  <c r="S5" i="23"/>
  <c r="S6" i="23"/>
  <c r="S8" i="23"/>
  <c r="S2" i="23"/>
  <c r="S13" i="23"/>
  <c r="S9" i="23"/>
  <c r="S11" i="23"/>
  <c r="S7" i="23"/>
  <c r="S12" i="23"/>
  <c r="S3" i="23"/>
  <c r="S10" i="23"/>
  <c r="V5" i="23"/>
  <c r="Y5" i="23" s="1"/>
  <c r="V3" i="23"/>
  <c r="Y3" i="23" s="1"/>
  <c r="V12" i="23"/>
  <c r="Y12" i="23" s="1"/>
  <c r="V10" i="23"/>
  <c r="Y10" i="23" s="1"/>
  <c r="X2" i="23"/>
  <c r="V13" i="23"/>
  <c r="V4" i="23"/>
  <c r="Y4" i="23" s="1"/>
  <c r="V6" i="23"/>
  <c r="Y6" i="23" s="1"/>
  <c r="V11" i="23"/>
  <c r="Y11" i="23" s="1"/>
  <c r="V9" i="23"/>
  <c r="Y9" i="23" s="1"/>
  <c r="V7" i="23"/>
  <c r="Y7" i="23" s="1"/>
  <c r="V8" i="23"/>
  <c r="Y8" i="23" s="1"/>
  <c r="V2" i="23"/>
  <c r="Y2" i="23" s="1"/>
  <c r="S20" i="23"/>
  <c r="S21" i="23"/>
  <c r="S22" i="23"/>
  <c r="S23" i="23"/>
  <c r="S24" i="23"/>
  <c r="S14" i="23"/>
  <c r="S15" i="23"/>
  <c r="S16" i="23"/>
  <c r="S17" i="23"/>
  <c r="S25" i="23"/>
  <c r="S18" i="23"/>
  <c r="S19" i="23"/>
  <c r="G11" i="21" l="1"/>
  <c r="I11" i="21"/>
  <c r="G19" i="21"/>
  <c r="I19" i="21"/>
  <c r="G20" i="21"/>
  <c r="I20" i="21"/>
  <c r="G12" i="21"/>
  <c r="I12" i="21"/>
  <c r="G15" i="21"/>
  <c r="I15" i="21"/>
  <c r="G13" i="21"/>
  <c r="I13" i="21"/>
  <c r="G17" i="21"/>
  <c r="I17" i="21"/>
  <c r="G16" i="21"/>
  <c r="I16" i="21"/>
  <c r="G14" i="21"/>
  <c r="I14" i="21"/>
  <c r="G18" i="21"/>
  <c r="I18" i="21"/>
  <c r="C19" i="9"/>
  <c r="E19" i="9" s="1"/>
  <c r="C4" i="21"/>
  <c r="I21" i="21"/>
  <c r="G21" i="21"/>
  <c r="I4" i="20"/>
  <c r="G4" i="20"/>
  <c r="C10" i="9"/>
  <c r="E10" i="9" s="1"/>
  <c r="Y13" i="23"/>
  <c r="E4" i="21"/>
  <c r="C16" i="9" l="1"/>
  <c r="E16" i="9" s="1"/>
  <c r="C13" i="9"/>
  <c r="E13" i="9" s="1"/>
  <c r="C20" i="9"/>
  <c r="E20" i="9" s="1"/>
  <c r="I4" i="21"/>
  <c r="G4" i="21"/>
  <c r="C11" i="9"/>
  <c r="E11" i="9" s="1"/>
  <c r="C14" i="9" l="1"/>
  <c r="E14" i="9" s="1"/>
  <c r="C17" i="9"/>
  <c r="E17" i="9" s="1"/>
  <c r="AH212" i="5"/>
  <c r="AH211" i="5"/>
  <c r="AH210" i="5"/>
  <c r="AH209" i="5"/>
  <c r="AH206" i="5"/>
  <c r="AH205" i="5"/>
  <c r="AH204" i="5"/>
  <c r="AH207" i="5" l="1"/>
  <c r="AH208" i="5"/>
</calcChain>
</file>

<file path=xl/sharedStrings.xml><?xml version="1.0" encoding="utf-8"?>
<sst xmlns="http://schemas.openxmlformats.org/spreadsheetml/2006/main" count="9121" uniqueCount="1389">
  <si>
    <t>Performance Summary of JPPL 50 MW Agra as on date and YTD</t>
  </si>
  <si>
    <t xml:space="preserve">Month </t>
  </si>
  <si>
    <t xml:space="preserve">Date </t>
  </si>
  <si>
    <t>Operation Year</t>
  </si>
  <si>
    <t>FY26</t>
  </si>
  <si>
    <t>Year Start Date</t>
  </si>
  <si>
    <t>Year End Date</t>
  </si>
  <si>
    <t>Sr. No.</t>
  </si>
  <si>
    <t>Particular</t>
  </si>
  <si>
    <t>Target</t>
  </si>
  <si>
    <t>Measured</t>
  </si>
  <si>
    <t>Deviation</t>
  </si>
  <si>
    <t>Remarks</t>
  </si>
  <si>
    <t>E_Grid Daily (MWh)</t>
  </si>
  <si>
    <t>E_Grid MTD(MWh)</t>
  </si>
  <si>
    <t>E_Grid YTD (MWh)</t>
  </si>
  <si>
    <t>CUF Daily(%)</t>
  </si>
  <si>
    <t>CUF MTD(%)</t>
  </si>
  <si>
    <t>CUF YTD(%)</t>
  </si>
  <si>
    <t>PR_Daily (%)</t>
  </si>
  <si>
    <t>PR_MTD (%)</t>
  </si>
  <si>
    <t>PR_YTD (%)</t>
  </si>
  <si>
    <t>POA Daily (KWh/m2)</t>
  </si>
  <si>
    <t>POA MTD(KWh/m2)</t>
  </si>
  <si>
    <t>POA YTD(KWh/m2)</t>
  </si>
  <si>
    <t xml:space="preserve">PA Daily </t>
  </si>
  <si>
    <t>PA MTD</t>
  </si>
  <si>
    <t>PA YTD</t>
  </si>
  <si>
    <t xml:space="preserve">GA Daily </t>
  </si>
  <si>
    <t>GA MTD</t>
  </si>
  <si>
    <t>GA YTD</t>
  </si>
  <si>
    <t>Till Date</t>
  </si>
  <si>
    <t>JPPL 50 MW Performance Summary-YTD</t>
  </si>
  <si>
    <t>Year</t>
  </si>
  <si>
    <t>Days</t>
  </si>
  <si>
    <t>Estimated POA(KWh/m2)</t>
  </si>
  <si>
    <t>Measured POA (KWh/m2)</t>
  </si>
  <si>
    <t>Budgeted Energy (MWh)</t>
  </si>
  <si>
    <t>Measured Energy (MWh)</t>
  </si>
  <si>
    <t>Targt PR (%)</t>
  </si>
  <si>
    <t>Measured PR(%)</t>
  </si>
  <si>
    <t>Target DC CUF (%)</t>
  </si>
  <si>
    <t>Measured DC CUF (%)</t>
  </si>
  <si>
    <t>Target GA (%)</t>
  </si>
  <si>
    <t>Measured GA (%)</t>
  </si>
  <si>
    <t>Target PA (%)</t>
  </si>
  <si>
    <t>Measured PA (%)</t>
  </si>
  <si>
    <t>WPR_Eac</t>
  </si>
  <si>
    <t>WPR_Edc</t>
  </si>
  <si>
    <t>JPPL 50 MW Performance Summary-Monthwise</t>
  </si>
  <si>
    <t>JPPL 50 MW  Performance Summary</t>
  </si>
  <si>
    <t>Start Date</t>
  </si>
  <si>
    <t>End Date</t>
  </si>
  <si>
    <t>JPPL50 MW  Performance Summary</t>
  </si>
  <si>
    <t>Date</t>
  </si>
  <si>
    <t>Finacial Year</t>
  </si>
  <si>
    <t>Calendor Year</t>
  </si>
  <si>
    <t>Contrcatual Year</t>
  </si>
  <si>
    <t>Operating Year</t>
  </si>
  <si>
    <t>Month Year</t>
  </si>
  <si>
    <t>Cycle Number</t>
  </si>
  <si>
    <t>Resources</t>
  </si>
  <si>
    <t>Blk1</t>
  </si>
  <si>
    <t>Blk2</t>
  </si>
  <si>
    <t>Blk3</t>
  </si>
  <si>
    <t>Blk4</t>
  </si>
  <si>
    <t>Blk5</t>
  </si>
  <si>
    <t>Blk6</t>
  </si>
  <si>
    <t>Blk7</t>
  </si>
  <si>
    <t>Blk8</t>
  </si>
  <si>
    <t>Total No.Table GC done</t>
  </si>
  <si>
    <t>Mrthod of Cutting</t>
  </si>
  <si>
    <t>Remarks for the day</t>
  </si>
  <si>
    <t>Year_2</t>
  </si>
  <si>
    <t>Grass cutting in Block 8 by Rotavator</t>
  </si>
  <si>
    <t>It was raining so grass could not be harvested</t>
  </si>
  <si>
    <t>The grass cutting has been completed in the entire ICR area.</t>
  </si>
  <si>
    <t>The grass cutting happened near MCR area.</t>
  </si>
  <si>
    <t>Tractor based Rotavetor</t>
  </si>
  <si>
    <t>Honda Machine</t>
  </si>
  <si>
    <t>Tractor Based Rotavetor &amp; Honda Machine</t>
  </si>
  <si>
    <t>Total NO. Module cleaned</t>
  </si>
  <si>
    <t>Morning Start Time</t>
  </si>
  <si>
    <t>Morning End Time</t>
  </si>
  <si>
    <t>Evening Start Time</t>
  </si>
  <si>
    <t>Evening End time</t>
  </si>
  <si>
    <t>Brush/MOP Replcemnet</t>
  </si>
  <si>
    <t>Water Test Report</t>
  </si>
  <si>
    <t>MOP</t>
  </si>
  <si>
    <t>Cleaning Stop due to Fanbalt Broken</t>
  </si>
  <si>
    <t>Cleaning not done due to marriage in vendor's family</t>
  </si>
  <si>
    <t>Cleaning stop due to Tractor pulli Broken</t>
  </si>
  <si>
    <t>Cleaning Stop due to Tractor under breakdown</t>
  </si>
  <si>
    <t>Module cleaning stopped by vendor due to festival yesterday.</t>
  </si>
  <si>
    <t>Venders absent</t>
  </si>
  <si>
    <t>Cleaning Stop due to Festival</t>
  </si>
  <si>
    <t>Cleaning happed only evening due to tractor breadown on 26 March night.</t>
  </si>
  <si>
    <t>One tractor breakdown</t>
  </si>
  <si>
    <t>Cleaning was stopped at the site yesterday because module cleaning was done by rain.</t>
  </si>
  <si>
    <t>Cleaning was stopped at the site yesterday due to heavy rain</t>
  </si>
  <si>
    <t>13.40mm Rain fall at Site</t>
  </si>
  <si>
    <t>53.40mm Rain fall at Site</t>
  </si>
  <si>
    <t>180.20mm Rain fall at Site</t>
  </si>
  <si>
    <t>Rain at Site</t>
  </si>
  <si>
    <t>111.20mm Rain fall at Site</t>
  </si>
  <si>
    <t>36.0mm rainfall at site</t>
  </si>
  <si>
    <t>15.2mm rainfall at site</t>
  </si>
  <si>
    <t>3.20mm rainfall at site</t>
  </si>
  <si>
    <t>light Rain at Site</t>
  </si>
  <si>
    <t>2.2mm rainfall at site</t>
  </si>
  <si>
    <t>22.2mm rainfall at site</t>
  </si>
  <si>
    <t>7.80mm rainfall at site</t>
  </si>
  <si>
    <t>12.2 mm rainfall at Site</t>
  </si>
  <si>
    <t>9.20mm rainfall at site</t>
  </si>
  <si>
    <t>6.60mm rainfall at site</t>
  </si>
  <si>
    <t>27.60mm rainfall at site</t>
  </si>
  <si>
    <t>6.8mm rainfall at site</t>
  </si>
  <si>
    <t>4.5mm rainfall at site</t>
  </si>
  <si>
    <t>12.6mm rainfall at site</t>
  </si>
  <si>
    <t>38.2mm rainfall at site</t>
  </si>
  <si>
    <t>13.6mm rainfall at site</t>
  </si>
  <si>
    <t>8.2mm rainfall at site</t>
  </si>
  <si>
    <t>0.8 mm rainfall at site</t>
  </si>
  <si>
    <t>0.9 mm rainfall at site</t>
  </si>
  <si>
    <t>15.8mm rainfall at site</t>
  </si>
  <si>
    <t>0.6mm rainfall at site</t>
  </si>
  <si>
    <t>14.6mm rainfall at site</t>
  </si>
  <si>
    <t>7mm rainfall at site</t>
  </si>
  <si>
    <t>0.2mm rainfall at site</t>
  </si>
  <si>
    <t>4.2mm rainfall at site</t>
  </si>
  <si>
    <t>8.0mm rainfall at site</t>
  </si>
  <si>
    <t>8.4mm rainfall at site</t>
  </si>
  <si>
    <t>23.20mm rainfall at site</t>
  </si>
  <si>
    <t>42.40mm rainfall at site</t>
  </si>
  <si>
    <t>2.6mm rainfall at site</t>
  </si>
  <si>
    <t>144.4mm rainfall at site</t>
  </si>
  <si>
    <t>Tractor breakdown</t>
  </si>
  <si>
    <t>one tractor breakdown</t>
  </si>
  <si>
    <t>Yesterday module cleaning stopped because the vendor did not come due to the New Year.</t>
  </si>
  <si>
    <t>Cleaning stopped that day due to bad weather.</t>
  </si>
  <si>
    <t>Cleaning stopped that day due to vendor home family function.</t>
  </si>
  <si>
    <t>Function at vendor's home</t>
  </si>
  <si>
    <t>Robot Cleaning</t>
  </si>
  <si>
    <t>Plant DC Capcity (MW)</t>
  </si>
  <si>
    <t>Sunrise Time (POA&gt;20 W/m2)</t>
  </si>
  <si>
    <t>Sunset Time (POA&lt;20 W/m2)</t>
  </si>
  <si>
    <t>BLK1_INV1</t>
  </si>
  <si>
    <t>BLK1_INV2</t>
  </si>
  <si>
    <t>BLK1_INV3</t>
  </si>
  <si>
    <t>BLK1_INV4</t>
  </si>
  <si>
    <t>BLK1_INV5</t>
  </si>
  <si>
    <t>BLK1_INV6</t>
  </si>
  <si>
    <t>BLK1_INV7</t>
  </si>
  <si>
    <t>BLK1_INV8</t>
  </si>
  <si>
    <t>BLK1_INV9</t>
  </si>
  <si>
    <t>BLK1_INV10</t>
  </si>
  <si>
    <t>BLK1_INV11</t>
  </si>
  <si>
    <t>BLK1_INV12</t>
  </si>
  <si>
    <t>BLK1_INV13</t>
  </si>
  <si>
    <t>BLK1_INV14</t>
  </si>
  <si>
    <t>BLK1_INV15</t>
  </si>
  <si>
    <t>BLK1_INV16</t>
  </si>
  <si>
    <t>BLK1_INV17</t>
  </si>
  <si>
    <t>BLK1_INV18</t>
  </si>
  <si>
    <t>BLK1_INV19</t>
  </si>
  <si>
    <t>BLK1_INV20</t>
  </si>
  <si>
    <t>BLK1_INV21</t>
  </si>
  <si>
    <t>BLK1_INV22</t>
  </si>
  <si>
    <t>BLK1_INV23</t>
  </si>
  <si>
    <t>BLK1_INV24</t>
  </si>
  <si>
    <t>BLK1_INV25</t>
  </si>
  <si>
    <t>BLK1_INV26</t>
  </si>
  <si>
    <t>BLK1_INV27</t>
  </si>
  <si>
    <t>BLK1_INV28</t>
  </si>
  <si>
    <t>BLK1_INV29</t>
  </si>
  <si>
    <t>BLK1_INV30</t>
  </si>
  <si>
    <t>BLK1_INV31</t>
  </si>
  <si>
    <t>BLK1_INV32</t>
  </si>
  <si>
    <t>BLK2_INV1</t>
  </si>
  <si>
    <t>BLK2_INV2</t>
  </si>
  <si>
    <t>BLK2_INV3</t>
  </si>
  <si>
    <t>BLK2_INV4</t>
  </si>
  <si>
    <t>BLK2_INV5</t>
  </si>
  <si>
    <t>BLK2_INV6</t>
  </si>
  <si>
    <t>BLK2_INV7</t>
  </si>
  <si>
    <t>BLK2_INV8</t>
  </si>
  <si>
    <t>BLK2_INV9</t>
  </si>
  <si>
    <t>BLK2_INV10</t>
  </si>
  <si>
    <t>BLK2_INV11</t>
  </si>
  <si>
    <t>BLK2_INV12</t>
  </si>
  <si>
    <t>BLK2_INV13</t>
  </si>
  <si>
    <t>BLK2_INV14</t>
  </si>
  <si>
    <t>BLK2_INV15</t>
  </si>
  <si>
    <t>BLK2_INV16</t>
  </si>
  <si>
    <t>BLK2_INV17</t>
  </si>
  <si>
    <t>BLK2_INV18</t>
  </si>
  <si>
    <t>BLK2_INV19</t>
  </si>
  <si>
    <t>BLK2_INV20</t>
  </si>
  <si>
    <t>BLK2_INV21</t>
  </si>
  <si>
    <t>BLK2_INV22</t>
  </si>
  <si>
    <t>BLK2_INV23</t>
  </si>
  <si>
    <t>BLK2_INV24</t>
  </si>
  <si>
    <t>BLK2_INV25</t>
  </si>
  <si>
    <t>BLK2_INV26</t>
  </si>
  <si>
    <t>BLK2_INV27</t>
  </si>
  <si>
    <t>BLK2_INV28</t>
  </si>
  <si>
    <t>BLK2_INV29</t>
  </si>
  <si>
    <t>BLK2_INV30</t>
  </si>
  <si>
    <t>BLK2_INV31</t>
  </si>
  <si>
    <t>BLK2_INV32</t>
  </si>
  <si>
    <t>BLK3_INV1</t>
  </si>
  <si>
    <t>BLK3_INV2</t>
  </si>
  <si>
    <t>BLK3_INV3</t>
  </si>
  <si>
    <t>BLK3_INV4</t>
  </si>
  <si>
    <t>BLK3_INV5</t>
  </si>
  <si>
    <t>BLK3_INV6</t>
  </si>
  <si>
    <t>BLK3_INV7</t>
  </si>
  <si>
    <t>BLK3_INV8</t>
  </si>
  <si>
    <t>BLK3_INV9</t>
  </si>
  <si>
    <t>BLK3_INV10</t>
  </si>
  <si>
    <t>BLK3_INV11</t>
  </si>
  <si>
    <t>BLK3_INV12</t>
  </si>
  <si>
    <t>BLK3_INV13</t>
  </si>
  <si>
    <t>BLK3_INV14</t>
  </si>
  <si>
    <t>BLK3_INV15</t>
  </si>
  <si>
    <t>BLK3_INV16</t>
  </si>
  <si>
    <t>BLK3_INV17</t>
  </si>
  <si>
    <t>BLK3_INV18</t>
  </si>
  <si>
    <t>BLK3_INV19</t>
  </si>
  <si>
    <t>BLK3_INV20</t>
  </si>
  <si>
    <t>BLK3_INV21</t>
  </si>
  <si>
    <t>BLK3_INV22</t>
  </si>
  <si>
    <t>BLK3_INV23</t>
  </si>
  <si>
    <t>BLK3_INV24</t>
  </si>
  <si>
    <t>BLK3_INV25</t>
  </si>
  <si>
    <t>BLK3_INV26</t>
  </si>
  <si>
    <t>BLK3_INV27</t>
  </si>
  <si>
    <t>BLK3_INV28</t>
  </si>
  <si>
    <t>BLK3_INV29</t>
  </si>
  <si>
    <t>BLK3_INV30</t>
  </si>
  <si>
    <t>BLK3_INV31</t>
  </si>
  <si>
    <t>BLK4_INV1</t>
  </si>
  <si>
    <t>BLK4_INV2</t>
  </si>
  <si>
    <t>BLK4_INV3</t>
  </si>
  <si>
    <t>BLK4_INV4</t>
  </si>
  <si>
    <t>BLK4_INV5</t>
  </si>
  <si>
    <t>BLK4_INV6</t>
  </si>
  <si>
    <t>BLK4_INV7</t>
  </si>
  <si>
    <t>BLK4_INV8</t>
  </si>
  <si>
    <t>BLK4_INV9</t>
  </si>
  <si>
    <t>BLK4_INV10</t>
  </si>
  <si>
    <t>BLK4_INV11</t>
  </si>
  <si>
    <t>BLK4_INV12</t>
  </si>
  <si>
    <t>BLK4_INV13</t>
  </si>
  <si>
    <t>BLK4_INV14</t>
  </si>
  <si>
    <t>BLK4_INV15</t>
  </si>
  <si>
    <t>BLK4_INV16</t>
  </si>
  <si>
    <t>BLK4_INV17</t>
  </si>
  <si>
    <t>BLK4_INV18</t>
  </si>
  <si>
    <t>BLK4_INV19</t>
  </si>
  <si>
    <t>BLK4_INV20</t>
  </si>
  <si>
    <t>BLK4_INV21</t>
  </si>
  <si>
    <t>BLK4_INV22</t>
  </si>
  <si>
    <t>BLK4_INV23</t>
  </si>
  <si>
    <t>BLK4_INV24</t>
  </si>
  <si>
    <t>BLK4_INV25</t>
  </si>
  <si>
    <t>BLK4_INV26</t>
  </si>
  <si>
    <t>BLK4_INV27</t>
  </si>
  <si>
    <t>BLK4_INV28</t>
  </si>
  <si>
    <t>BLK4_INV29</t>
  </si>
  <si>
    <t>BLK4_INV30</t>
  </si>
  <si>
    <t>BLK4_INV31</t>
  </si>
  <si>
    <t>BLK5_INV1</t>
  </si>
  <si>
    <t>BLK5_INV2</t>
  </si>
  <si>
    <t>BLK5_INV3</t>
  </si>
  <si>
    <t>BLK5_INV4</t>
  </si>
  <si>
    <t>BLK5_INV5</t>
  </si>
  <si>
    <t>BLK5_INV6</t>
  </si>
  <si>
    <t>BLK5_INV7</t>
  </si>
  <si>
    <t>BLK5_INV8</t>
  </si>
  <si>
    <t>BLK5_INV9</t>
  </si>
  <si>
    <t>BLK5_INV10</t>
  </si>
  <si>
    <t>BLK5_INV11</t>
  </si>
  <si>
    <t>BLK5_INV12</t>
  </si>
  <si>
    <t>BLK5_INV13</t>
  </si>
  <si>
    <t>BLK5_INV14</t>
  </si>
  <si>
    <t>BLK5_INV15</t>
  </si>
  <si>
    <t>BLK5_INV16</t>
  </si>
  <si>
    <t>BLK5_INV17</t>
  </si>
  <si>
    <t>BLK5_INV18</t>
  </si>
  <si>
    <t>BLK5_INV19</t>
  </si>
  <si>
    <t>BLK5_INV20</t>
  </si>
  <si>
    <t>BLK5_INV21</t>
  </si>
  <si>
    <t>BLK5_INV22</t>
  </si>
  <si>
    <t>BLK5_INV23</t>
  </si>
  <si>
    <t>BLK5_INV24</t>
  </si>
  <si>
    <t>BLK5_INV25</t>
  </si>
  <si>
    <t>BLK5_INV26</t>
  </si>
  <si>
    <t>BLK5_INV27</t>
  </si>
  <si>
    <t>BLK5_INV28</t>
  </si>
  <si>
    <t>BLK5_INV29</t>
  </si>
  <si>
    <t>BLK5_INV30</t>
  </si>
  <si>
    <t>BLK5_INV31</t>
  </si>
  <si>
    <t>BLK5_INV32</t>
  </si>
  <si>
    <t>BLK6_INV1</t>
  </si>
  <si>
    <t>BLK6_INV2</t>
  </si>
  <si>
    <t>BLK6_INV3</t>
  </si>
  <si>
    <t>BLK6_INV4</t>
  </si>
  <si>
    <t>BLK6_INV5</t>
  </si>
  <si>
    <t>BLK6_INV6</t>
  </si>
  <si>
    <t>BLK6_INV7</t>
  </si>
  <si>
    <t>BLK6_INV8</t>
  </si>
  <si>
    <t>BLK6_INV9</t>
  </si>
  <si>
    <t>BLK6_INV10</t>
  </si>
  <si>
    <t>BLK6_INV11</t>
  </si>
  <si>
    <t>BLK6_INV12</t>
  </si>
  <si>
    <t>BLK6_INV13</t>
  </si>
  <si>
    <t>BLK6_INV14</t>
  </si>
  <si>
    <t>BLK6_INV15</t>
  </si>
  <si>
    <t>BLK6_INV16</t>
  </si>
  <si>
    <t>BLK6_INV17</t>
  </si>
  <si>
    <t>BLK6_INV18</t>
  </si>
  <si>
    <t>BLK6_INV19</t>
  </si>
  <si>
    <t>BLK6_INV20</t>
  </si>
  <si>
    <t>BLK6_INV21</t>
  </si>
  <si>
    <t>BLK6_INV22</t>
  </si>
  <si>
    <t>BLK6_INV23</t>
  </si>
  <si>
    <t>BLK6_INV24</t>
  </si>
  <si>
    <t>BLK6_INV25</t>
  </si>
  <si>
    <t>BLK6_INV26</t>
  </si>
  <si>
    <t>BLK6_INV27</t>
  </si>
  <si>
    <t>BLK6_INV28</t>
  </si>
  <si>
    <t>BLK6_INV29</t>
  </si>
  <si>
    <t>BLK6_INV30</t>
  </si>
  <si>
    <t>BLK6_INV31</t>
  </si>
  <si>
    <t>BLK6_INV32</t>
  </si>
  <si>
    <t>BLK7_INV1</t>
  </si>
  <si>
    <t>BLK7_INV2</t>
  </si>
  <si>
    <t>BLK7_INV3</t>
  </si>
  <si>
    <t>BLK7_INV4</t>
  </si>
  <si>
    <t>BLK7_INV5</t>
  </si>
  <si>
    <t>BLK7_INV6</t>
  </si>
  <si>
    <t>BLK7_INV7</t>
  </si>
  <si>
    <t>BLK7_INV8</t>
  </si>
  <si>
    <t>BLK7_INV9</t>
  </si>
  <si>
    <t>BLK7_INV10</t>
  </si>
  <si>
    <t>BLK7_INV11</t>
  </si>
  <si>
    <t>BLK7_INV12</t>
  </si>
  <si>
    <t>BLK7_INV13</t>
  </si>
  <si>
    <t>BLK7_INV14</t>
  </si>
  <si>
    <t>BLK7_INV15</t>
  </si>
  <si>
    <t>BLK7_INV16</t>
  </si>
  <si>
    <t>BLK7_INV17</t>
  </si>
  <si>
    <t>BLK7_INV18</t>
  </si>
  <si>
    <t>BLK7_INV19</t>
  </si>
  <si>
    <t>BLK7_INV20</t>
  </si>
  <si>
    <t>BLK7_INV21</t>
  </si>
  <si>
    <t>BLK7_INV22</t>
  </si>
  <si>
    <t>BLK7_INV23</t>
  </si>
  <si>
    <t>BLK7_INV24</t>
  </si>
  <si>
    <t>BLK7_INV25</t>
  </si>
  <si>
    <t>BLK7_INV26</t>
  </si>
  <si>
    <t>BLK7_INV27</t>
  </si>
  <si>
    <t>BLK7_INV28</t>
  </si>
  <si>
    <t>BLK7_INV29</t>
  </si>
  <si>
    <t>BLK7_INV30</t>
  </si>
  <si>
    <t>BLK7_INV31</t>
  </si>
  <si>
    <t>BLK7_INV32</t>
  </si>
  <si>
    <t>BLK8_INV1</t>
  </si>
  <si>
    <t>BLK8_INV2</t>
  </si>
  <si>
    <t>BLK8_INV3</t>
  </si>
  <si>
    <t>BLK8_INV4</t>
  </si>
  <si>
    <t>BLK8_INV5</t>
  </si>
  <si>
    <t>BLK8_INV6</t>
  </si>
  <si>
    <t>BLK8_INV7</t>
  </si>
  <si>
    <t>BLK8_INV8</t>
  </si>
  <si>
    <t>BLK8_INV9</t>
  </si>
  <si>
    <t>BLK8_INV10</t>
  </si>
  <si>
    <t>BLK8_INV11</t>
  </si>
  <si>
    <t>BLK8_INV12</t>
  </si>
  <si>
    <t>BLK8_INV13</t>
  </si>
  <si>
    <t>BLK8_INV14</t>
  </si>
  <si>
    <t>BLK8_INV15</t>
  </si>
  <si>
    <t>BLK8_INV16</t>
  </si>
  <si>
    <t>BLK8_INV17</t>
  </si>
  <si>
    <t>BLK8_INV18</t>
  </si>
  <si>
    <t>BLK8_INV19</t>
  </si>
  <si>
    <t>BLK8_INV20</t>
  </si>
  <si>
    <t>BLK8_INV21</t>
  </si>
  <si>
    <t>BLK8_INV22</t>
  </si>
  <si>
    <t>BLK8_INV23</t>
  </si>
  <si>
    <t>BLK8_INV24</t>
  </si>
  <si>
    <t>BLK8_INV25</t>
  </si>
  <si>
    <t>BLK8_INV26</t>
  </si>
  <si>
    <t>BLK8_INV27</t>
  </si>
  <si>
    <t>BLK8_INV28</t>
  </si>
  <si>
    <t>AT (°C) 14 Hours</t>
  </si>
  <si>
    <t>MT (°C) Gen. Hours</t>
  </si>
  <si>
    <t>WS_Avg (m/s) (24 Hours)</t>
  </si>
  <si>
    <t>WS_Max (m/s)</t>
  </si>
  <si>
    <t>Rain (mm)</t>
  </si>
  <si>
    <t xml:space="preserve">GHI </t>
  </si>
  <si>
    <t>POA</t>
  </si>
  <si>
    <t xml:space="preserve">GHI_Lost </t>
  </si>
  <si>
    <t>POA_Lost</t>
  </si>
  <si>
    <t>33kV_IC1_ExPort</t>
  </si>
  <si>
    <t>33kV_IC1_Import</t>
  </si>
  <si>
    <t>33kV_IC2_ExPort</t>
  </si>
  <si>
    <t>33kV_IC2_Import</t>
  </si>
  <si>
    <t>33kV_IC3_ExPort</t>
  </si>
  <si>
    <t>33kV_IC3_Import</t>
  </si>
  <si>
    <t>33kV_IC4_ExPort</t>
  </si>
  <si>
    <t>33kV_IC4_Import</t>
  </si>
  <si>
    <t xml:space="preserve"> </t>
  </si>
  <si>
    <t>I31kV_PQM_Im</t>
  </si>
  <si>
    <t>33kV_IC1_ExPort(KWh)</t>
  </si>
  <si>
    <t>33kV_IC1_Import(KWh)</t>
  </si>
  <si>
    <t>33kV_IC2_ExPort(KWh)</t>
  </si>
  <si>
    <t>33kV_IC2_Import(KWh)</t>
  </si>
  <si>
    <t>33kV_IC3_ExPort(KWh)</t>
  </si>
  <si>
    <t>33kV_IC3_Import(KWh)</t>
  </si>
  <si>
    <t>33kV_IC4_ExPort(kWh)</t>
  </si>
  <si>
    <t>33kV_IC4_Import(KWh)</t>
  </si>
  <si>
    <t>132kV_PQM_Ex(KWh)</t>
  </si>
  <si>
    <t>132kV_PQM_Im(KWh)</t>
  </si>
  <si>
    <t>33kV_Net_Ex (kWh)</t>
  </si>
  <si>
    <t>132kV_Net_Ex (kWh)</t>
  </si>
  <si>
    <t>Operating Hours</t>
  </si>
  <si>
    <t>GHI (KWh/m2)2</t>
  </si>
  <si>
    <t>POA(KWh/m2)2</t>
  </si>
  <si>
    <t>Amm_Temp(°C)</t>
  </si>
  <si>
    <t>Mod_Temp(°C)</t>
  </si>
  <si>
    <t>WS_Avg(m/s)</t>
  </si>
  <si>
    <t>WS_Max(m/s)</t>
  </si>
  <si>
    <t>Inv_Exp(KWh)</t>
  </si>
  <si>
    <r>
      <t>WPR_E</t>
    </r>
    <r>
      <rPr>
        <b/>
        <vertAlign val="subscript"/>
        <sz val="9"/>
        <color theme="0"/>
        <rFont val="Calibri"/>
        <family val="2"/>
        <scheme val="minor"/>
      </rPr>
      <t>dc</t>
    </r>
  </si>
  <si>
    <t>WPR</t>
  </si>
  <si>
    <t>`1031</t>
  </si>
  <si>
    <t>1012]</t>
  </si>
  <si>
    <t>1168.1.</t>
  </si>
  <si>
    <t>Financial Year</t>
  </si>
  <si>
    <t>Calendar Year</t>
  </si>
  <si>
    <t>GHI-UP (KWh/m2)</t>
  </si>
  <si>
    <t>GHI-Down(KWh/m2)</t>
  </si>
  <si>
    <t>POA-UP(KWh/m2)</t>
  </si>
  <si>
    <t>POA-Down(KWh/m2)</t>
  </si>
  <si>
    <t>Amb_Temp(°C)</t>
  </si>
  <si>
    <t>PA(%)</t>
  </si>
  <si>
    <t>MA (%)</t>
  </si>
  <si>
    <t>IGA (%)</t>
  </si>
  <si>
    <t>EGA(%)</t>
  </si>
  <si>
    <t>EMA (%)</t>
  </si>
  <si>
    <t>TA (%)</t>
  </si>
  <si>
    <t>PR(%)</t>
  </si>
  <si>
    <t>WPR(%)</t>
  </si>
  <si>
    <t>CUF(%)</t>
  </si>
  <si>
    <t>Gen_Exp (kWh)</t>
  </si>
  <si>
    <t>Mtr_Export (kWh)</t>
  </si>
  <si>
    <t>Mtr_Import (kWh)</t>
  </si>
  <si>
    <t>Mtr_Net_Exp (KWh)</t>
  </si>
  <si>
    <t>Operational Capacity (MW)</t>
  </si>
  <si>
    <t>Bugt_Resource</t>
  </si>
  <si>
    <t>Bugt_Energy</t>
  </si>
  <si>
    <t>Bugt PR</t>
  </si>
  <si>
    <t>Bugt CUF</t>
  </si>
  <si>
    <t>Bugt_PA</t>
  </si>
  <si>
    <t>Bugt_EGA</t>
  </si>
  <si>
    <t>Expected Energy</t>
  </si>
  <si>
    <t>Actual Energy WPR</t>
  </si>
  <si>
    <t>RA (%)</t>
  </si>
  <si>
    <t>Mod Clean Dry (Num)</t>
  </si>
  <si>
    <t>Mod Clean Wet (Num)</t>
  </si>
  <si>
    <t>Line Loss(%)</t>
  </si>
  <si>
    <t>Reactive Power (%)</t>
  </si>
  <si>
    <t>Bugt Line loss (%) (Wind)</t>
  </si>
  <si>
    <t>Bugt Reactive Power (%) (Wind)</t>
  </si>
  <si>
    <t>Bugt Capacity</t>
  </si>
  <si>
    <t>CC*Bugt</t>
  </si>
  <si>
    <t>Month Name</t>
  </si>
  <si>
    <t>Month Number</t>
  </si>
  <si>
    <t>Month</t>
  </si>
  <si>
    <t>CY</t>
  </si>
  <si>
    <t>FY</t>
  </si>
  <si>
    <t>No. of Days in Month</t>
  </si>
  <si>
    <t>GHI</t>
  </si>
  <si>
    <t>WS</t>
  </si>
  <si>
    <t>Tamb</t>
  </si>
  <si>
    <t>Tmod</t>
  </si>
  <si>
    <t>Egrid (MWh)</t>
  </si>
  <si>
    <t>Bugt_Capacity</t>
  </si>
  <si>
    <t>PR</t>
  </si>
  <si>
    <t>Daily POA</t>
  </si>
  <si>
    <t>Days Operated</t>
  </si>
  <si>
    <t>MTD POA</t>
  </si>
  <si>
    <t>YTD POA</t>
  </si>
  <si>
    <t>Daily Energy (MWh)</t>
  </si>
  <si>
    <t>MTD Energy (MWh)</t>
  </si>
  <si>
    <t>YTD Energy (MWh)</t>
  </si>
  <si>
    <t>Bugt CUF (%)</t>
  </si>
  <si>
    <t>Bugt CUF (%) MTD</t>
  </si>
  <si>
    <t>Bugt CUF (%)YTD</t>
  </si>
  <si>
    <t>Ave. Cap MTD</t>
  </si>
  <si>
    <t>Ave. Cap YTD</t>
  </si>
  <si>
    <t>CC Energy MTD</t>
  </si>
  <si>
    <t>WS MTD</t>
  </si>
  <si>
    <t>WS YTD</t>
  </si>
  <si>
    <t>Bugt PA</t>
  </si>
  <si>
    <t>Bugt EGA</t>
  </si>
  <si>
    <t>Bugt TA</t>
  </si>
  <si>
    <t>Bugt MA</t>
  </si>
  <si>
    <t>Bugt IGA</t>
  </si>
  <si>
    <t>Corelation</t>
  </si>
  <si>
    <t>Bugt Line loss</t>
  </si>
  <si>
    <t>Bugt Reactive Power</t>
  </si>
  <si>
    <t>CC*Bugt (MTD)</t>
  </si>
  <si>
    <t>CC*Bugt (YTD)</t>
  </si>
  <si>
    <t xml:space="preserve"> Capacity</t>
  </si>
  <si>
    <t>April</t>
  </si>
  <si>
    <t>FY25</t>
  </si>
  <si>
    <t>May</t>
  </si>
  <si>
    <t>June</t>
  </si>
  <si>
    <t>July</t>
  </si>
  <si>
    <t>August</t>
  </si>
  <si>
    <t>September</t>
  </si>
  <si>
    <t>October</t>
  </si>
  <si>
    <t>November</t>
  </si>
  <si>
    <t>December</t>
  </si>
  <si>
    <t>January</t>
  </si>
  <si>
    <t>February</t>
  </si>
  <si>
    <t>March</t>
  </si>
  <si>
    <t>9</t>
  </si>
  <si>
    <t>Total Generation Time</t>
  </si>
  <si>
    <t>Inverter  Station Number (if Bd in filed)</t>
  </si>
  <si>
    <t>LT Number (If breakdwon in Below LT Panel)</t>
  </si>
  <si>
    <t>ACCB Number (If BD below ACCB)</t>
  </si>
  <si>
    <t>Inverter number (If Inv or Str BD)</t>
  </si>
  <si>
    <t>String Type(If String BD, No other filed to be inserted)</t>
  </si>
  <si>
    <t>Equipment (If any BD above LT panel)</t>
  </si>
  <si>
    <t xml:space="preserve">Affected Equipment </t>
  </si>
  <si>
    <t>DC Capacity Affected (kW)</t>
  </si>
  <si>
    <t>Plant Equivalent Weightage</t>
  </si>
  <si>
    <t>Fault Category</t>
  </si>
  <si>
    <t>Fault Code (As per HMI)</t>
  </si>
  <si>
    <t>Breakdown Description</t>
  </si>
  <si>
    <t>Fault Time</t>
  </si>
  <si>
    <t xml:space="preserve">Acknowledgement Time </t>
  </si>
  <si>
    <t>Work Start time on Fault</t>
  </si>
  <si>
    <t>Work Completion time on fault</t>
  </si>
  <si>
    <t xml:space="preserve">Acknow. time </t>
  </si>
  <si>
    <t>Response Time</t>
  </si>
  <si>
    <t>Resolution Time</t>
  </si>
  <si>
    <t>Breakdown Time</t>
  </si>
  <si>
    <t>Action taken</t>
  </si>
  <si>
    <t>Status</t>
  </si>
  <si>
    <t>Plant Equivalent breakdown</t>
  </si>
  <si>
    <t>Lost PoA(kWh/m2)</t>
  </si>
  <si>
    <t>Approximate Energy Loss (KWh)</t>
  </si>
  <si>
    <t>PTW No.</t>
  </si>
  <si>
    <t>Job Card No.</t>
  </si>
  <si>
    <t>BLK2</t>
  </si>
  <si>
    <t>LT2</t>
  </si>
  <si>
    <t>I/C trip in overcurrent</t>
  </si>
  <si>
    <t>LT Trip due to over current , after reset LT and charge succesfully</t>
  </si>
  <si>
    <t>Close</t>
  </si>
  <si>
    <t>BLK5</t>
  </si>
  <si>
    <t>INV1</t>
  </si>
  <si>
    <t>Inverter</t>
  </si>
  <si>
    <t>Inverter trip in ground fault</t>
  </si>
  <si>
    <t>Open</t>
  </si>
  <si>
    <t>Ground Fault</t>
  </si>
  <si>
    <t>The inverter tripped due to a ground fault. After performing IR testing, we found a cable fault. Once the cable was repaired, the inverter was successfully charged</t>
  </si>
  <si>
    <t>INV2</t>
  </si>
  <si>
    <t>Precautionry shutdown</t>
  </si>
  <si>
    <t>LT Panel</t>
  </si>
  <si>
    <t>ACB Triped in overcurrent</t>
  </si>
  <si>
    <t>INV23</t>
  </si>
  <si>
    <t>Inv manually tripped for precautionary shutdown</t>
  </si>
  <si>
    <t>LT tripped due to overcurrent, causing the inverter to shut down. After reducing generation, the inverter was charged and restarted</t>
  </si>
  <si>
    <t>INV12</t>
  </si>
  <si>
    <t>BLK8</t>
  </si>
  <si>
    <t>INV31</t>
  </si>
  <si>
    <t>INV32</t>
  </si>
  <si>
    <t>LT tripped due to overcurrent, causing the inverter to shut down. After reducing generation, the inverter was charged and restarted…..12 Times LT2 Trip Some ratio changes on Breaker</t>
  </si>
  <si>
    <t>INV30</t>
  </si>
  <si>
    <t>LT tripped due to overcurrent, causing the inverter to shut down. After reducing generation, the inverter was charged and restarted…..</t>
  </si>
  <si>
    <t>All_Inv</t>
  </si>
  <si>
    <t>All inverter Tripped LT2</t>
  </si>
  <si>
    <t>BLK1</t>
  </si>
  <si>
    <t>LT1</t>
  </si>
  <si>
    <t>IDT</t>
  </si>
  <si>
    <t xml:space="preserve">IDT tripped due to overcurrent  </t>
  </si>
  <si>
    <t>INV5</t>
  </si>
  <si>
    <t>Connectors</t>
  </si>
  <si>
    <t>Found inv string open, connected &amp; rectified</t>
  </si>
  <si>
    <t>INV10</t>
  </si>
  <si>
    <t>INV11</t>
  </si>
  <si>
    <t>INV13</t>
  </si>
  <si>
    <t>BLK3</t>
  </si>
  <si>
    <t>INV6</t>
  </si>
  <si>
    <t>INV20</t>
  </si>
  <si>
    <t>INV17</t>
  </si>
  <si>
    <t>INV18</t>
  </si>
  <si>
    <t xml:space="preserve">String Fuses </t>
  </si>
  <si>
    <t>Replaced the fuse and rectified</t>
  </si>
  <si>
    <t>Cables</t>
  </si>
  <si>
    <t>During Grass cutting cable cut</t>
  </si>
  <si>
    <t>BLK7</t>
  </si>
  <si>
    <t>INV3</t>
  </si>
  <si>
    <t>DC cable damage caused by tractor movement. The cable was replaced with a new one</t>
  </si>
  <si>
    <t>DC cable damage caused by tractor movement. The cables were replaced with new ones.</t>
  </si>
  <si>
    <t>INV24</t>
  </si>
  <si>
    <t>Cable Damged due to tractor movement</t>
  </si>
  <si>
    <t>INV28</t>
  </si>
  <si>
    <t>Due to a short circuit caused by tractor movement. The cable was replaced with a new one.</t>
  </si>
  <si>
    <t>Cable Damge due to grass cutting activitysame replaced</t>
  </si>
  <si>
    <t>BLK6</t>
  </si>
  <si>
    <t>INV7</t>
  </si>
  <si>
    <t>INV8</t>
  </si>
  <si>
    <t>INV15</t>
  </si>
  <si>
    <t>inv tripped on system fault</t>
  </si>
  <si>
    <t>Inv Fault System Shudown</t>
  </si>
  <si>
    <t>BLK4</t>
  </si>
  <si>
    <t>cable short</t>
  </si>
  <si>
    <t>Cable Damge due to grass cutting activity same replaced</t>
  </si>
  <si>
    <t>mc4 open</t>
  </si>
  <si>
    <t>MC4 Open FOUND rectified</t>
  </si>
  <si>
    <t>cable cut</t>
  </si>
  <si>
    <t>INV21</t>
  </si>
  <si>
    <t>Open Found and rectified</t>
  </si>
  <si>
    <t>MC4 Found open condition</t>
  </si>
  <si>
    <t>Opend Found MC4 Rectified</t>
  </si>
  <si>
    <t>MC4 Found opend condition</t>
  </si>
  <si>
    <t>two string found Opend Found MC4 Rectified</t>
  </si>
  <si>
    <t>2 MC4 Found OPEN Condition</t>
  </si>
  <si>
    <t>INV9</t>
  </si>
  <si>
    <t>Tripped due to overcurrent fault</t>
  </si>
  <si>
    <t>Reset &amp; Started</t>
  </si>
  <si>
    <t>INV27</t>
  </si>
  <si>
    <t>Found MC4 connector faulty condition</t>
  </si>
  <si>
    <t>1 nos of +ve &amp; -ve MC4 connector replaced with new one</t>
  </si>
  <si>
    <t>MC4 tightned</t>
  </si>
  <si>
    <t>INV19</t>
  </si>
  <si>
    <t>3 nos of +ve &amp; -ve MC4 connector replaced with new one</t>
  </si>
  <si>
    <t>2 nos of +ve &amp; -ve MC4 connector replaced with new one</t>
  </si>
  <si>
    <t>INV4</t>
  </si>
  <si>
    <t>One nos of MC4 connector replaced with new one</t>
  </si>
  <si>
    <t>IDT tripped on over current fault</t>
  </si>
  <si>
    <t>Normally check the all parameters &amp; charge the idt</t>
  </si>
  <si>
    <t>INV14</t>
  </si>
  <si>
    <t>Found MC4 connectors open condition</t>
  </si>
  <si>
    <t>Found Y connector shorted</t>
  </si>
  <si>
    <t>1Nos y connector used</t>
  </si>
  <si>
    <t>Found Y connector shorted &amp; MC4 1Pair</t>
  </si>
  <si>
    <t>1 pair of mc4 connectors &amp; 1NOs of Y connector</t>
  </si>
  <si>
    <t>INV26</t>
  </si>
  <si>
    <t>mc4 tightned</t>
  </si>
  <si>
    <t>MC4 found open condition</t>
  </si>
  <si>
    <t>Inv tripped on excessive leakage current fault</t>
  </si>
  <si>
    <t>1Nos of y connector used &amp; reset the fault after got the password</t>
  </si>
  <si>
    <t>Inverter tripped due to ground fault</t>
  </si>
  <si>
    <t>Checked all string one by one and found one string was grounded and after rectified the same charge the Inverter</t>
  </si>
  <si>
    <t>INV25</t>
  </si>
  <si>
    <t>1Nos y connector used and 1 nos of 15A fuse replaced with new one</t>
  </si>
  <si>
    <t>INV16</t>
  </si>
  <si>
    <t>Power Trafo</t>
  </si>
  <si>
    <t>Tripped on REF HV Earth Fault</t>
  </si>
  <si>
    <t>Checked all Parameter &amp; Testing than charged the Power trafo</t>
  </si>
  <si>
    <t>Tripped on Over current</t>
  </si>
  <si>
    <t>Checked all parameter &amp; charged the IDT</t>
  </si>
  <si>
    <t>247.5</t>
  </si>
  <si>
    <t>Manually shutdown</t>
  </si>
  <si>
    <t>12:45</t>
  </si>
  <si>
    <t>13:45</t>
  </si>
  <si>
    <t>14:00</t>
  </si>
  <si>
    <t>Manually tripped</t>
  </si>
  <si>
    <t>Checked all parameter &amp; charged the breaker</t>
  </si>
  <si>
    <t>1 nos of +ve &amp; -ve MC4 connector replaced with new one and 60 mtr cable replaced with new one</t>
  </si>
  <si>
    <t>Theft cable</t>
  </si>
  <si>
    <t>290 meter cable used ,2 pair MC4 connecter ,2 15A fuse replaced with new one</t>
  </si>
  <si>
    <t>276 meter cable used ,2 pair MC4 connecter ,2 15A fuse replaced with new one</t>
  </si>
  <si>
    <t>260 meter cable used ,2 pair MC4 connecter ,2 15A fuse replaced with new one</t>
  </si>
  <si>
    <t>Str_Typ4(440*60)</t>
  </si>
  <si>
    <t>St-13 120 mtr cables, 2 pair of MC4 connecter replaced with new one</t>
  </si>
  <si>
    <t>St-14 120 mtr cables, 2 pair of MC4 connecter replaced with new one</t>
  </si>
  <si>
    <t>St-15 120 mtr cables, 2 pair of MC4 connecter replaced with new one</t>
  </si>
  <si>
    <t>I nos of string cable fired by short circuited</t>
  </si>
  <si>
    <t>St-4 ,50 mtr cables, 2 pair of MC4 connecter replaced with new one</t>
  </si>
  <si>
    <t>Mc4 connecter found open</t>
  </si>
  <si>
    <t>String cable found faulty</t>
  </si>
  <si>
    <t>Inverter tripped due to system fault</t>
  </si>
  <si>
    <t>After checking all parameter restart the inverter</t>
  </si>
  <si>
    <t>S7-17 half string found grounded</t>
  </si>
  <si>
    <t>Y connecter faulty</t>
  </si>
  <si>
    <t>Y connecter burrnt &amp; 2 nos of Mc4  replaced with new one</t>
  </si>
  <si>
    <t>Tripped due to over current</t>
  </si>
  <si>
    <t>Str_Typ1(445*50)</t>
  </si>
  <si>
    <t>Str_Typ2 (330*60)</t>
  </si>
  <si>
    <t xml:space="preserve">String </t>
  </si>
  <si>
    <t>Pending for verification</t>
  </si>
  <si>
    <t>mc4 Connector Found open</t>
  </si>
  <si>
    <t>String Found open restored immidiate</t>
  </si>
  <si>
    <t>1851</t>
  </si>
  <si>
    <t>16-May-25</t>
  </si>
  <si>
    <t>Y Connector found open same replaced after avrifying load</t>
  </si>
  <si>
    <t>String cut by grass cutting machine same is restored after applying 2 nos Positive and Negative  MC4 Connectore</t>
  </si>
  <si>
    <t>Mc4 Connector found open same is restored after varifying the load</t>
  </si>
  <si>
    <t>Y Connectoor Fuse was failure</t>
  </si>
  <si>
    <t>1863</t>
  </si>
  <si>
    <t>Yconnector Fuse burn</t>
  </si>
  <si>
    <t>1 module replaced</t>
  </si>
  <si>
    <t>Module replaced</t>
  </si>
  <si>
    <t>BLK3INV16</t>
  </si>
  <si>
    <t>module fixing</t>
  </si>
  <si>
    <t>module fixing, tighten &amp; string rectification</t>
  </si>
  <si>
    <t>INV22</t>
  </si>
  <si>
    <t>2 fuse was fused which was replaced with a new one &amp; restored</t>
  </si>
  <si>
    <t>fuse replaced with a new one &amp; connect the same</t>
  </si>
  <si>
    <t>mc4 open so rectify &amp; connect the same</t>
  </si>
  <si>
    <t>MCCB</t>
  </si>
  <si>
    <t>Inv MCCB (250Amp) flash-over replaced with a new one &amp; restore</t>
  </si>
  <si>
    <t>Manually shutdown taken for restoretion work of inv 26</t>
  </si>
  <si>
    <t>INV29</t>
  </si>
  <si>
    <t>MC4 Connector found open Same is restored after verfying the load</t>
  </si>
  <si>
    <t>Found Fuse burn replace with a new one &amp; restore the same</t>
  </si>
  <si>
    <t>Found MC4 Faulty</t>
  </si>
  <si>
    <t>1Pair of MC4 connector replaced with new one</t>
  </si>
  <si>
    <t xml:space="preserve">1 No of MC4, 1 pcs of Y connector  &amp; 1 pair of Fuse replaced with new one </t>
  </si>
  <si>
    <t>module displaced</t>
  </si>
  <si>
    <t>Fixed with same</t>
  </si>
  <si>
    <t>Module flyout due to yesterday wind strom impact , same is restored</t>
  </si>
  <si>
    <t>LT1 trippedon over current fault</t>
  </si>
  <si>
    <t>Check the all parmeter &amp; charged</t>
  </si>
  <si>
    <t>Inverter tripped on excessive leakage current fault</t>
  </si>
  <si>
    <t>Module flyout due to day before yesterday wind strom impact , same is restored</t>
  </si>
  <si>
    <t>Plant was in breakdown  due to HT cable failure(It was failure during civil construction(Vendor Name:- Govind Yadav(O2 Power)) work at near between block-5 &amp; 6 river area. Same is restored after isolate the block-6
 Cable Failure Details:- Block-6 O/G cable (Rating 3C*300 Sqmm)</t>
  </si>
  <si>
    <t>After Isolation  of Block-6  and  all parameter checking &amp; physical inspection  of all equipment we restored it</t>
  </si>
  <si>
    <t>1924</t>
  </si>
  <si>
    <t xml:space="preserve"> Jointing work in progress, It will be restored after joint work.</t>
  </si>
  <si>
    <t xml:space="preserve">string </t>
  </si>
  <si>
    <t>Inverter was tripped due to excessive  leakage current,</t>
  </si>
  <si>
    <t>we have physically checked all parameter of this inverter &amp; string's then we found that string no-2 MC4 Connector Positive &amp; negative  was failure same is restored after replaced it new one.</t>
  </si>
  <si>
    <t>HT Cables jointing work has been done of Block-6 O/G Cable, we have to  take manually shutdown of incommer-3(Connected Block 5&amp;6) for take load of Block which is connected to block -5</t>
  </si>
  <si>
    <t>After connected the load of block-6 to block -5, checked the all parameters then charged the Block 5</t>
  </si>
  <si>
    <t>HT Cable jointing work</t>
  </si>
  <si>
    <t>after checking all the parameter &amp; visual inspection of block 6  we charge the ICR</t>
  </si>
  <si>
    <t xml:space="preserve">LT-1 was in breakdown under over current </t>
  </si>
  <si>
    <t>after checking all the parameter &amp; visual inspection of block 8 LT-1 we charge it.</t>
  </si>
  <si>
    <t>05:13</t>
  </si>
  <si>
    <t>18:24</t>
  </si>
  <si>
    <t>Block8 Inv No 28 3 nos String add after replaced all faulty module(Jakson-335wp),Now Inverter isrunning with total 12.5 String</t>
  </si>
  <si>
    <t>Inv 6 Under breakdown due to insulation fault</t>
  </si>
  <si>
    <t>Block-1 IDT tripped due to over current ( Weather flactuating ( moving cloud)) as line voltage not stable at our plant</t>
  </si>
  <si>
    <t>Block-5 IDT tripped due to over current ( Weather flactuating ( moving cloud)) as line voltage not stable at our plant</t>
  </si>
  <si>
    <t>Block-6 IDT tripped due to over current ( Weather flactuating ( moving cloud)) as line voltage not stable at our plant</t>
  </si>
  <si>
    <t>Block-2 IDT tripped due to over current ( Weather flactuating ( moving cloud)) as line voltage not stable at our plant</t>
  </si>
  <si>
    <t>Found Fuse, Y- connector &amp; MC4 burn replace with a new one &amp; restore the same</t>
  </si>
  <si>
    <t>MC4 connector melted causes failure so replaced it with new one</t>
  </si>
  <si>
    <t>Block-7 LT1 tripped due to over current ( Weather flactuating ( moving cloud)) as line voltage not stable at our plant</t>
  </si>
  <si>
    <t>As per O2 Team, instruction we have taken manually shutdown for active power control</t>
  </si>
  <si>
    <t>MC4 Connector found melted, Same is restored after verfying the load</t>
  </si>
  <si>
    <t>Y connector &amp; fuse failure so replaced it with new one</t>
  </si>
  <si>
    <t xml:space="preserve">sTring </t>
  </si>
  <si>
    <t>MC4 Connecto found open Same is restored after verfying the load</t>
  </si>
  <si>
    <t>Y connector, fuse  &amp; mc4 failure</t>
  </si>
  <si>
    <t>Y connector, fuse  &amp; mc4 failure so replaced it with new one</t>
  </si>
  <si>
    <t>MC4 Connector found melted</t>
  </si>
  <si>
    <t>MC4 Connecto found open</t>
  </si>
  <si>
    <t xml:space="preserve">MC4 Connecto found open </t>
  </si>
  <si>
    <t>Found 1 fuse failure</t>
  </si>
  <si>
    <t>Found 1 fuse failure so replaced it with new one</t>
  </si>
  <si>
    <t xml:space="preserve">Inverter frequently shutdown on fault of excessive leakage current </t>
  </si>
  <si>
    <t>Inverter frequently shutdown on fault of excessive leakage current after reset the fault &amp; verify all parameter charge the inverter</t>
  </si>
  <si>
    <t>As per O2 Power instruction, manual shutdown taken to avoid unexpected tripping</t>
  </si>
  <si>
    <t>String</t>
  </si>
  <si>
    <t>MC4 connector failure</t>
  </si>
  <si>
    <t>Equipment</t>
  </si>
  <si>
    <t>Affected DC Capacity</t>
  </si>
  <si>
    <t>Fault Category Plant BD sheet</t>
  </si>
  <si>
    <t>IS Number</t>
  </si>
  <si>
    <t>LT Number</t>
  </si>
  <si>
    <t>String Type</t>
  </si>
  <si>
    <t>Inverter  Number</t>
  </si>
  <si>
    <t>Plant capacity</t>
  </si>
  <si>
    <t>BLK1INV1</t>
  </si>
  <si>
    <t>Module</t>
  </si>
  <si>
    <t>ACCB1</t>
  </si>
  <si>
    <t>Tx</t>
  </si>
  <si>
    <t>BLK1INV2</t>
  </si>
  <si>
    <t>ACCB2</t>
  </si>
  <si>
    <t>MVP</t>
  </si>
  <si>
    <t>BLK1INV3</t>
  </si>
  <si>
    <t>ACCB3</t>
  </si>
  <si>
    <t>Str_Typ3(335*60)</t>
  </si>
  <si>
    <t>Aux_Tx</t>
  </si>
  <si>
    <t>BLK1INV4</t>
  </si>
  <si>
    <t>ACCB</t>
  </si>
  <si>
    <t>ACCB4</t>
  </si>
  <si>
    <t>MCR_MVP_IC_1</t>
  </si>
  <si>
    <t>BLK1INV5</t>
  </si>
  <si>
    <t>ACCB5</t>
  </si>
  <si>
    <t>MCR_MVP_IC_2</t>
  </si>
  <si>
    <t>BLK1INV6</t>
  </si>
  <si>
    <t>ACCB6</t>
  </si>
  <si>
    <t>MCR_MVP_IC_3</t>
  </si>
  <si>
    <t>BLK1INV7</t>
  </si>
  <si>
    <t>PTR</t>
  </si>
  <si>
    <t>ACCB7</t>
  </si>
  <si>
    <t>MCR_MVP_IC_4</t>
  </si>
  <si>
    <t>BLK1INV8</t>
  </si>
  <si>
    <t>MV Panel</t>
  </si>
  <si>
    <t>ACCB8</t>
  </si>
  <si>
    <t>MCR_MVP_OG</t>
  </si>
  <si>
    <t>BLK1INV9</t>
  </si>
  <si>
    <t>Metering System Plant</t>
  </si>
  <si>
    <t>PWR_Tx</t>
  </si>
  <si>
    <t>BLK1INV10</t>
  </si>
  <si>
    <t>Grid System</t>
  </si>
  <si>
    <t>Line_Bay1</t>
  </si>
  <si>
    <t>BLK1INV11</t>
  </si>
  <si>
    <t>Metering System Grid</t>
  </si>
  <si>
    <t>BLK1INV12</t>
  </si>
  <si>
    <t>WMS</t>
  </si>
  <si>
    <t>BLK1INV13</t>
  </si>
  <si>
    <t>MMS</t>
  </si>
  <si>
    <t>BLK1INV14</t>
  </si>
  <si>
    <t>Battery Charger_MCR</t>
  </si>
  <si>
    <t>BLK1INV15</t>
  </si>
  <si>
    <t>IC_UPS</t>
  </si>
  <si>
    <t>BLK1INV16</t>
  </si>
  <si>
    <t>IC_Auxiliary Tranformer</t>
  </si>
  <si>
    <t>BLK1INV17</t>
  </si>
  <si>
    <t>IC_Auxiliary DB</t>
  </si>
  <si>
    <t>BLK1INV18</t>
  </si>
  <si>
    <t>IC_SCADA Panel</t>
  </si>
  <si>
    <t>BLK1INV19</t>
  </si>
  <si>
    <t>BLK1INV20</t>
  </si>
  <si>
    <t>BLK1INV21</t>
  </si>
  <si>
    <t>SS</t>
  </si>
  <si>
    <t>BLK1INV22</t>
  </si>
  <si>
    <t>Force Majeure</t>
  </si>
  <si>
    <t>BLK1INV23</t>
  </si>
  <si>
    <t>BLK1INV24</t>
  </si>
  <si>
    <t>BLK1INV25</t>
  </si>
  <si>
    <t>BLK1INV26</t>
  </si>
  <si>
    <t>BLK1INV27</t>
  </si>
  <si>
    <t>BLK1INV28</t>
  </si>
  <si>
    <t>BLK1INV29</t>
  </si>
  <si>
    <t>BLK1INV30</t>
  </si>
  <si>
    <t>BLK1INV31</t>
  </si>
  <si>
    <t>BLK2INV1</t>
  </si>
  <si>
    <t>BLK2INV2</t>
  </si>
  <si>
    <t>BLK2INV3</t>
  </si>
  <si>
    <t>BLK2INV4</t>
  </si>
  <si>
    <t>BLK2INV5</t>
  </si>
  <si>
    <t>BLK2INV6</t>
  </si>
  <si>
    <t>BLK2INV7</t>
  </si>
  <si>
    <t>BLK2INV8</t>
  </si>
  <si>
    <t>BLK2INV9</t>
  </si>
  <si>
    <t>BLK2INV10</t>
  </si>
  <si>
    <t>BLK2INV11</t>
  </si>
  <si>
    <t>BLK2INV12</t>
  </si>
  <si>
    <t>BLK2INV13</t>
  </si>
  <si>
    <t>BLK2INV14</t>
  </si>
  <si>
    <t>BLK2INV15</t>
  </si>
  <si>
    <t>BLK2INV16</t>
  </si>
  <si>
    <t>BLK2INV17</t>
  </si>
  <si>
    <t>BLK2INV18</t>
  </si>
  <si>
    <t>BLK2INV19</t>
  </si>
  <si>
    <t>BLK2INV20</t>
  </si>
  <si>
    <t>BLK2INV21</t>
  </si>
  <si>
    <t>BLK2INV22</t>
  </si>
  <si>
    <t>BLK2INV23</t>
  </si>
  <si>
    <t>BLK2INV24</t>
  </si>
  <si>
    <t>BLK2INV25</t>
  </si>
  <si>
    <t>BLK2INV26</t>
  </si>
  <si>
    <t>BLK2INV27</t>
  </si>
  <si>
    <t>BLK2INV28</t>
  </si>
  <si>
    <t>BLK2INV29</t>
  </si>
  <si>
    <t>BLK2INV30</t>
  </si>
  <si>
    <t>BLK2INV31</t>
  </si>
  <si>
    <t>BLK3INV1</t>
  </si>
  <si>
    <t>BLK3INV2</t>
  </si>
  <si>
    <t>BLK3INV3</t>
  </si>
  <si>
    <t>BLK3INV4</t>
  </si>
  <si>
    <t>BLK3INV5</t>
  </si>
  <si>
    <t>BLK3INV6</t>
  </si>
  <si>
    <t>BLK3INV7</t>
  </si>
  <si>
    <t>BLK3INV8</t>
  </si>
  <si>
    <t>BLK3INV9</t>
  </si>
  <si>
    <t>BLK3INV10</t>
  </si>
  <si>
    <t>BLK3INV11</t>
  </si>
  <si>
    <t>BLK3INV12</t>
  </si>
  <si>
    <t>BLK3INV13</t>
  </si>
  <si>
    <t>BLK3INV14</t>
  </si>
  <si>
    <t>BLK3INV15</t>
  </si>
  <si>
    <t>BLK3INV17</t>
  </si>
  <si>
    <t>BLK3INV18</t>
  </si>
  <si>
    <t>BLK3INV19</t>
  </si>
  <si>
    <t>BLK3INV20</t>
  </si>
  <si>
    <t>BLK3INV21</t>
  </si>
  <si>
    <t>BLK3INV22</t>
  </si>
  <si>
    <t>BLK3INV23</t>
  </si>
  <si>
    <t>BLK3INV24</t>
  </si>
  <si>
    <t>BLK3INV25</t>
  </si>
  <si>
    <t>BLK3INV26</t>
  </si>
  <si>
    <t>BLK3INV27</t>
  </si>
  <si>
    <t>BLK3INV28</t>
  </si>
  <si>
    <t>BLK3INV29</t>
  </si>
  <si>
    <t>BLK3INV30</t>
  </si>
  <si>
    <t>BLK3INV31</t>
  </si>
  <si>
    <t>BLK4INV1</t>
  </si>
  <si>
    <t>BLK4INV2</t>
  </si>
  <si>
    <t>BLK4INV3</t>
  </si>
  <si>
    <t>BLK4INV4</t>
  </si>
  <si>
    <t>BLK4INV5</t>
  </si>
  <si>
    <t>BLK4INV6</t>
  </si>
  <si>
    <t>BLK4INV7</t>
  </si>
  <si>
    <t>BLK4INV8</t>
  </si>
  <si>
    <t>BLK4INV9</t>
  </si>
  <si>
    <t>BLK4INV10</t>
  </si>
  <si>
    <t>BLK4INV11</t>
  </si>
  <si>
    <t>BLK4INV12</t>
  </si>
  <si>
    <t>BLK4INV13</t>
  </si>
  <si>
    <t>BLK4INV14</t>
  </si>
  <si>
    <t>BLK4INV15</t>
  </si>
  <si>
    <t>BLK4INV16</t>
  </si>
  <si>
    <t>BLK4INV17</t>
  </si>
  <si>
    <t>BLK4INV18</t>
  </si>
  <si>
    <t>BLK4INV19</t>
  </si>
  <si>
    <t>BLK4INV20</t>
  </si>
  <si>
    <t>BLK4INV21</t>
  </si>
  <si>
    <t>BLK4INV22</t>
  </si>
  <si>
    <t>BLK4INV23</t>
  </si>
  <si>
    <t>BLK4INV24</t>
  </si>
  <si>
    <t>BLK4INV25</t>
  </si>
  <si>
    <t>BLK4INV26</t>
  </si>
  <si>
    <t>BLK4INV27</t>
  </si>
  <si>
    <t>BLK4INV28</t>
  </si>
  <si>
    <t>BLK4INV29</t>
  </si>
  <si>
    <t>BLK4INV30</t>
  </si>
  <si>
    <t>BLK4INV31</t>
  </si>
  <si>
    <t>BLK5INV1</t>
  </si>
  <si>
    <t>BLK5INV2</t>
  </si>
  <si>
    <t>BLK5INV3</t>
  </si>
  <si>
    <t>BLK5INV4</t>
  </si>
  <si>
    <t>BLK5INV5</t>
  </si>
  <si>
    <t>BLK5INV6</t>
  </si>
  <si>
    <t>BLK5INV7</t>
  </si>
  <si>
    <t>BLK5INV8</t>
  </si>
  <si>
    <t>BLK5INV9</t>
  </si>
  <si>
    <t>BLK5INV10</t>
  </si>
  <si>
    <t>BLK5INV11</t>
  </si>
  <si>
    <t>BLK5INV12</t>
  </si>
  <si>
    <t>BLK5INV13</t>
  </si>
  <si>
    <t>BLK5INV14</t>
  </si>
  <si>
    <t>BLK5INV15</t>
  </si>
  <si>
    <t>BLK5INV16</t>
  </si>
  <si>
    <t>BLK5INV17</t>
  </si>
  <si>
    <t>BLK5INV18</t>
  </si>
  <si>
    <t>BLK5INV19</t>
  </si>
  <si>
    <t>BLK5INV20</t>
  </si>
  <si>
    <t>BLK5INV21</t>
  </si>
  <si>
    <t>BLK5INV22</t>
  </si>
  <si>
    <t>BLK5INV23</t>
  </si>
  <si>
    <t>BLK5INV24</t>
  </si>
  <si>
    <t>BLK5INV25</t>
  </si>
  <si>
    <t>BLK5INV26</t>
  </si>
  <si>
    <t>BLK5INV27</t>
  </si>
  <si>
    <t>BLK5INV28</t>
  </si>
  <si>
    <t>BLK5INV29</t>
  </si>
  <si>
    <t>BLK5INV30</t>
  </si>
  <si>
    <t>BLK5INV31</t>
  </si>
  <si>
    <t>BLK5INV32</t>
  </si>
  <si>
    <t>BLK6INV1</t>
  </si>
  <si>
    <t>BLK6INV2</t>
  </si>
  <si>
    <t>BLK6INV3</t>
  </si>
  <si>
    <t>BLK6INV4</t>
  </si>
  <si>
    <t>BLK6INV5</t>
  </si>
  <si>
    <t>BLK6INV6</t>
  </si>
  <si>
    <t>BLK6INV7</t>
  </si>
  <si>
    <t>BLK6INV8</t>
  </si>
  <si>
    <t>BLK6INV9</t>
  </si>
  <si>
    <t>BLK6INV10</t>
  </si>
  <si>
    <t>BLK6INV11</t>
  </si>
  <si>
    <t>BLK6INV12</t>
  </si>
  <si>
    <t>BLK6INV13</t>
  </si>
  <si>
    <t>BLK6INV14</t>
  </si>
  <si>
    <t>BLK6INV15</t>
  </si>
  <si>
    <t>BLK6INV16</t>
  </si>
  <si>
    <t>BLK6INV17</t>
  </si>
  <si>
    <t>BLK6INV18</t>
  </si>
  <si>
    <t>BLK6INV19</t>
  </si>
  <si>
    <t>BLK6INV20</t>
  </si>
  <si>
    <t>BLK6INV21</t>
  </si>
  <si>
    <t>BLK6INV22</t>
  </si>
  <si>
    <t>BLK6INV23</t>
  </si>
  <si>
    <t>BLK6INV24</t>
  </si>
  <si>
    <t>BLK6INV25</t>
  </si>
  <si>
    <t>BLK6INV26</t>
  </si>
  <si>
    <t>BLK6INV27</t>
  </si>
  <si>
    <t>BLK6INV28</t>
  </si>
  <si>
    <t>BLK6INV29</t>
  </si>
  <si>
    <t>BLK6INV30</t>
  </si>
  <si>
    <t>BLK6INV31</t>
  </si>
  <si>
    <t>BLK6INV32</t>
  </si>
  <si>
    <t>BLK7INV1</t>
  </si>
  <si>
    <t>BLK7INV2</t>
  </si>
  <si>
    <t>BLK7INV3</t>
  </si>
  <si>
    <t>BLK7INV4</t>
  </si>
  <si>
    <t>BLK7INV5</t>
  </si>
  <si>
    <t>BLK7INV6</t>
  </si>
  <si>
    <t>BLK7INV7</t>
  </si>
  <si>
    <t>BLK7INV8</t>
  </si>
  <si>
    <t>BLK7INV9</t>
  </si>
  <si>
    <t>BLK7INV10</t>
  </si>
  <si>
    <t>BLK7INV11</t>
  </si>
  <si>
    <t>BLK7INV12</t>
  </si>
  <si>
    <t>BLK7INV13</t>
  </si>
  <si>
    <t>BLK7INV14</t>
  </si>
  <si>
    <t>BLK7INV15</t>
  </si>
  <si>
    <t>BLK7INV16</t>
  </si>
  <si>
    <t>BLK7INV17</t>
  </si>
  <si>
    <t>BLK7INV18</t>
  </si>
  <si>
    <t>BLK7INV19</t>
  </si>
  <si>
    <t>BLK7INV20</t>
  </si>
  <si>
    <t>BLK7INV21</t>
  </si>
  <si>
    <t>BLK7INV22</t>
  </si>
  <si>
    <t>BLK7INV23</t>
  </si>
  <si>
    <t>BLK7INV24</t>
  </si>
  <si>
    <t>BLK7INV25</t>
  </si>
  <si>
    <t>BLK7INV26</t>
  </si>
  <si>
    <t>BLK7INV27</t>
  </si>
  <si>
    <t>BLK7INV28</t>
  </si>
  <si>
    <t>BLK7INV29</t>
  </si>
  <si>
    <t>BLK7INV30</t>
  </si>
  <si>
    <t>BLK7INV31</t>
  </si>
  <si>
    <t>BLK8INV1</t>
  </si>
  <si>
    <t>BLK8INV2</t>
  </si>
  <si>
    <t>BLK8INV3</t>
  </si>
  <si>
    <t>BLK8INV4</t>
  </si>
  <si>
    <t>BLK8INV5</t>
  </si>
  <si>
    <t>BLK8INV6</t>
  </si>
  <si>
    <t>BLK8INV7</t>
  </si>
  <si>
    <t>BLK8INV8</t>
  </si>
  <si>
    <t>BLK8INV9</t>
  </si>
  <si>
    <t>BLK8INV10</t>
  </si>
  <si>
    <t>BLK8INV11</t>
  </si>
  <si>
    <t>BLK8INV12</t>
  </si>
  <si>
    <t>BLK8INV13</t>
  </si>
  <si>
    <t>BLK8INV14</t>
  </si>
  <si>
    <t>BLK8INV15</t>
  </si>
  <si>
    <t>BLK8INV16</t>
  </si>
  <si>
    <t>BLK8INV17</t>
  </si>
  <si>
    <t>BLK8INV18</t>
  </si>
  <si>
    <t>BLK8INV19</t>
  </si>
  <si>
    <t>BLK8INV20</t>
  </si>
  <si>
    <t>BLK8INV21</t>
  </si>
  <si>
    <t>BLK8INV22</t>
  </si>
  <si>
    <t>BLK8INV23</t>
  </si>
  <si>
    <t>BLK8INV24</t>
  </si>
  <si>
    <t>BLK8INV25</t>
  </si>
  <si>
    <t>BLK8INV26</t>
  </si>
  <si>
    <t>BLK8INV27</t>
  </si>
  <si>
    <t>BLK8INV28</t>
  </si>
  <si>
    <t>BLK1LT1</t>
  </si>
  <si>
    <t>BLK1LT2</t>
  </si>
  <si>
    <t>BLK2LT1</t>
  </si>
  <si>
    <t>BLK2LT2</t>
  </si>
  <si>
    <t>BLK3LT1</t>
  </si>
  <si>
    <t>BLK3LT2</t>
  </si>
  <si>
    <t>BLK4LT1</t>
  </si>
  <si>
    <t>BLK4LT2</t>
  </si>
  <si>
    <t>BLK5LT1</t>
  </si>
  <si>
    <t>BLK5LT2</t>
  </si>
  <si>
    <t>BLK6LT1</t>
  </si>
  <si>
    <t>BLK6LT2</t>
  </si>
  <si>
    <t>BLK7LT1</t>
  </si>
  <si>
    <t>BLK7LT2</t>
  </si>
  <si>
    <t>BLK8LT1</t>
  </si>
  <si>
    <t>BLK8LT2</t>
  </si>
  <si>
    <t>BLK1LT1ACCB1</t>
  </si>
  <si>
    <t>BLK1LT1ACCB2</t>
  </si>
  <si>
    <t>BLK1LT1ACCB3</t>
  </si>
  <si>
    <t>BLK1LT1ACCB4</t>
  </si>
  <si>
    <t>BLK1LT1ACCB5</t>
  </si>
  <si>
    <t>BLK1LT1ACCB6</t>
  </si>
  <si>
    <t>BLK1LT1ACCB7</t>
  </si>
  <si>
    <t>BLK1LT1ACCB8</t>
  </si>
  <si>
    <t>BLK1LT2ACCB1</t>
  </si>
  <si>
    <t>BLK1LT2ACCB2</t>
  </si>
  <si>
    <t>BLK1LT2ACCB3</t>
  </si>
  <si>
    <t>BLK1LT2ACCB4</t>
  </si>
  <si>
    <t>BLK1LT2ACCB5</t>
  </si>
  <si>
    <t>BLK1LT2ACCB6</t>
  </si>
  <si>
    <t>BLK1LT2ACCB7</t>
  </si>
  <si>
    <t>BLK1LT2ACCB8</t>
  </si>
  <si>
    <t>BLK2LT1ACCB1</t>
  </si>
  <si>
    <t>BLK2LT1ACCB2</t>
  </si>
  <si>
    <t>BLK2LT1ACCB3</t>
  </si>
  <si>
    <t>BLK2LT1ACCB4</t>
  </si>
  <si>
    <t>BLK2LT1ACCB5</t>
  </si>
  <si>
    <t>BLK2LT1ACCB6</t>
  </si>
  <si>
    <t>BLK2LT1ACCB7</t>
  </si>
  <si>
    <t>BLK2LT1ACCB8</t>
  </si>
  <si>
    <t>BLK2LT2ACCB1</t>
  </si>
  <si>
    <t>BLK2LT2ACCB2</t>
  </si>
  <si>
    <t>BLK2LT2ACCB3</t>
  </si>
  <si>
    <t>BLK2LT2ACCB4</t>
  </si>
  <si>
    <t>BLK2LT2ACCB5</t>
  </si>
  <si>
    <t>BLK2LT2ACCB6</t>
  </si>
  <si>
    <t>BLK2LT2ACCB7</t>
  </si>
  <si>
    <t>BLK2LT2ACCB8</t>
  </si>
  <si>
    <t>BLK3LT1ACCB1</t>
  </si>
  <si>
    <t>BLK3LT1ACCB2</t>
  </si>
  <si>
    <t>BLK3LT1ACCB3</t>
  </si>
  <si>
    <t>BLK3LT1ACCB4</t>
  </si>
  <si>
    <t>BLK3LT1ACCB5</t>
  </si>
  <si>
    <t>BLK3LT1ACCB6</t>
  </si>
  <si>
    <t>BLK3LT1ACCB7</t>
  </si>
  <si>
    <t>BLK3LT1ACCB8</t>
  </si>
  <si>
    <t>BLK3LT2ACCB1</t>
  </si>
  <si>
    <t>BLK3LT2ACCB2</t>
  </si>
  <si>
    <t>BLK3LT2ACCB3</t>
  </si>
  <si>
    <t>BLK3LT2ACCB4</t>
  </si>
  <si>
    <t>BLK3LT2ACCB5</t>
  </si>
  <si>
    <t>BLK3LT2ACCB6</t>
  </si>
  <si>
    <t>BLK3LT2ACCB7</t>
  </si>
  <si>
    <t>BLK3LT2ACCB8</t>
  </si>
  <si>
    <t>BLK4LT1ACCB1</t>
  </si>
  <si>
    <t>BLK4LT1ACCB2</t>
  </si>
  <si>
    <t>BLK4LT1ACCB3</t>
  </si>
  <si>
    <t>BLK4LT1ACCB4</t>
  </si>
  <si>
    <t>BLK4LT1ACCB5</t>
  </si>
  <si>
    <t>BLK4LT1ACCB6</t>
  </si>
  <si>
    <t>BLK4LT1ACCB7</t>
  </si>
  <si>
    <t>BLK4LT1ACCB8</t>
  </si>
  <si>
    <t>BLK4LT2ACCB1</t>
  </si>
  <si>
    <t>BLK4LT2ACCB2</t>
  </si>
  <si>
    <t>BLK4LT2ACCB3</t>
  </si>
  <si>
    <t>BLK4LT2ACCB4</t>
  </si>
  <si>
    <t>BLK4LT2ACCB5</t>
  </si>
  <si>
    <t>BLK4LT2ACCB6</t>
  </si>
  <si>
    <t>BLK4LT2ACCB7</t>
  </si>
  <si>
    <t>BLK4LT2ACCB8</t>
  </si>
  <si>
    <t>BLK5LT1ACCB1</t>
  </si>
  <si>
    <t>BLK5LT1ACCB2</t>
  </si>
  <si>
    <t>BLK5LT1ACCB3</t>
  </si>
  <si>
    <t>BLK5LT1ACCB4</t>
  </si>
  <si>
    <t>BLK5LT1ACCB5</t>
  </si>
  <si>
    <t>BLK5LT1ACCB6</t>
  </si>
  <si>
    <t>BLK5LT1ACCB7</t>
  </si>
  <si>
    <t>BLK5LT1ACCB8</t>
  </si>
  <si>
    <t>BLK5LT2ACCB1</t>
  </si>
  <si>
    <t>BLK5LT2ACCB2</t>
  </si>
  <si>
    <t>BLK5LT2ACCB3</t>
  </si>
  <si>
    <t>BLK5LT2ACCB4</t>
  </si>
  <si>
    <t>BLK5LT2ACCB5</t>
  </si>
  <si>
    <t>BLK5LT2ACCB6</t>
  </si>
  <si>
    <t>BLK5LT2ACCB7</t>
  </si>
  <si>
    <t>BLK5LT2ACCB8</t>
  </si>
  <si>
    <t>BLK6LT1ACCB1</t>
  </si>
  <si>
    <t>BLK6LT1ACCB2</t>
  </si>
  <si>
    <t>BLK6LT1ACCB3</t>
  </si>
  <si>
    <t>BLK6LT1ACCB4</t>
  </si>
  <si>
    <t>BLK6LT1ACCB5</t>
  </si>
  <si>
    <t>BLK6LT1ACCB6</t>
  </si>
  <si>
    <t>BLK6LT1ACCB7</t>
  </si>
  <si>
    <t>BLK6LT1ACCB8</t>
  </si>
  <si>
    <t>BLK6LT2ACCB1</t>
  </si>
  <si>
    <t>BLK6LT2ACCB2</t>
  </si>
  <si>
    <t>BLK6LT2ACCB3</t>
  </si>
  <si>
    <t>BLK6LT2ACCB4</t>
  </si>
  <si>
    <t>BLK6LT2ACCB5</t>
  </si>
  <si>
    <t>BLK6LT2ACCB6</t>
  </si>
  <si>
    <t>BLK6LT2ACCB7</t>
  </si>
  <si>
    <t>BLK6LT2ACCB8</t>
  </si>
  <si>
    <t>BLK7LT1ACCB1</t>
  </si>
  <si>
    <t>BLK7LT1ACCB2</t>
  </si>
  <si>
    <t>BLK7LT1ACCB3</t>
  </si>
  <si>
    <t>BLK7LT1ACCB4</t>
  </si>
  <si>
    <t>BLK7LT1ACCB5</t>
  </si>
  <si>
    <t>BLK7LT1ACCB6</t>
  </si>
  <si>
    <t>BLK7LT1ACCB7</t>
  </si>
  <si>
    <t>BLK7LT1ACCB8</t>
  </si>
  <si>
    <t>BLK7LT2ACCB1</t>
  </si>
  <si>
    <t>BLK7LT2ACCB2</t>
  </si>
  <si>
    <t>BLK7LT2ACCB3</t>
  </si>
  <si>
    <t>BLK7LT2ACCB4</t>
  </si>
  <si>
    <t>BLK7LT2ACCB5</t>
  </si>
  <si>
    <t>BLK7LT2ACCB6</t>
  </si>
  <si>
    <t>BLK7LT2ACCB7</t>
  </si>
  <si>
    <t>BLK7LT2ACCB8</t>
  </si>
  <si>
    <t>BLK8LT1ACCB1</t>
  </si>
  <si>
    <t>BLK8LT1ACCB2</t>
  </si>
  <si>
    <t>BLK8LT1ACCB3</t>
  </si>
  <si>
    <t>BLK8LT1ACCB4</t>
  </si>
  <si>
    <t>BLK8LT1ACCB5</t>
  </si>
  <si>
    <t>BLK8LT1ACCB6</t>
  </si>
  <si>
    <t>BLK8LT1ACCB7</t>
  </si>
  <si>
    <t>BLK8LT1ACCB8</t>
  </si>
  <si>
    <t>BLK8LT2ACCB1</t>
  </si>
  <si>
    <t>BLK8LT2ACCB2</t>
  </si>
  <si>
    <t>BLK8LT2ACCB3</t>
  </si>
  <si>
    <t>BLK8LT2ACCB4</t>
  </si>
  <si>
    <t>BLK8LT2ACCB5</t>
  </si>
  <si>
    <t>BLK8LT2ACCB6</t>
  </si>
  <si>
    <t>BLK1TX</t>
  </si>
  <si>
    <t>BLK2TX</t>
  </si>
  <si>
    <t>BLK3TX</t>
  </si>
  <si>
    <t>BLK4TX</t>
  </si>
  <si>
    <t>BLK5TX</t>
  </si>
  <si>
    <t>BLK6TX</t>
  </si>
  <si>
    <t>BLK7TX</t>
  </si>
  <si>
    <t>BLK8TX</t>
  </si>
  <si>
    <t>PWR_TX</t>
  </si>
  <si>
    <t>132KV_OC</t>
  </si>
  <si>
    <t>BLK1MVP</t>
  </si>
  <si>
    <t>BLK2MVP</t>
  </si>
  <si>
    <t>BLK3MVP</t>
  </si>
  <si>
    <t>BLK4MVP</t>
  </si>
  <si>
    <t>BLK5MVP</t>
  </si>
  <si>
    <t>BLK6MVP</t>
  </si>
  <si>
    <t>BLK7MVP</t>
  </si>
  <si>
    <t>BLK8MVP</t>
  </si>
  <si>
    <t>BLK1Aux_Tx</t>
  </si>
  <si>
    <t>BLK2Aux_Tx</t>
  </si>
  <si>
    <t>BLK3Aux_Tx</t>
  </si>
  <si>
    <t>BLK4Aux_Tx</t>
  </si>
  <si>
    <t>BLK5Aux_Tx</t>
  </si>
  <si>
    <t>BLK6Aux_Tx</t>
  </si>
  <si>
    <t>BLK7Aux_Tx</t>
  </si>
  <si>
    <t>BLK8Aux_Tx</t>
  </si>
  <si>
    <t>Contractual Year</t>
  </si>
  <si>
    <t>Year-2</t>
  </si>
  <si>
    <t>Plnat</t>
  </si>
  <si>
    <t>During String current measurement activity we have observed that String-12 is grounded, so replaced with new one.</t>
  </si>
  <si>
    <t xml:space="preserve">MC4 Connector melted so replace it with new one </t>
  </si>
  <si>
    <t>fuse failure so replaced it with new one</t>
  </si>
  <si>
    <t>During String current measurement activity we have observed that String-12 is grounded</t>
  </si>
  <si>
    <t>MC4 Connector melted</t>
  </si>
  <si>
    <t>fuse failure</t>
  </si>
  <si>
    <t xml:space="preserve">MC4 Connector found open </t>
  </si>
  <si>
    <t xml:space="preserve">Inv Shut down on the fault of 47 (Relay Card Faulty) </t>
  </si>
  <si>
    <t>after discussion with OEM we replaced the Inv with a new one</t>
  </si>
  <si>
    <t>after checking the all strin found string no 4 &amp;11 floating is not ok, after rectification connected the string &amp; restore</t>
  </si>
  <si>
    <t>mvp</t>
  </si>
  <si>
    <t>BLK1INV32</t>
  </si>
  <si>
    <t>BLK2INV32</t>
  </si>
  <si>
    <t>BLK7INV32</t>
  </si>
  <si>
    <t>POWER TRAFO</t>
  </si>
  <si>
    <t xml:space="preserve">Inv tripped on fault of string back fedded current </t>
  </si>
  <si>
    <t>INV tripped on fault of excessive leakage current</t>
  </si>
  <si>
    <t>MC4 Connecto found open Same is restored after verfying the load[@[Action taken]]</t>
  </si>
  <si>
    <t>we have physically checked all parameter of this inverter &amp; string's then we found that all string are healthy same is store.</t>
  </si>
  <si>
    <t>we have physically checked all parameter of this inverter &amp; string's then we found that string no-4,9,11 MC4 Connector Positive &amp; negative  was failure same is restored after replaced it new one.</t>
  </si>
  <si>
    <t>we have physically checked all parameter of this inverter &amp; string's then we found that string no-6,10, MC4 Connector Positive &amp; negative  was failure same is restored after replaced it new one.</t>
  </si>
  <si>
    <t xml:space="preserve">B-4 IDT tripped due to 2 Nos. of  500Amp MCCb failure after generation </t>
  </si>
  <si>
    <t>after checking the all parameters &amp; verifying the load charge the IDT</t>
  </si>
  <si>
    <t>After checking the all paramerters &amp; meggaring the MCCB &amp; found MCCB Healthy same is restore</t>
  </si>
  <si>
    <t>MCCB meggaring value is not good</t>
  </si>
  <si>
    <t>string</t>
  </si>
  <si>
    <t xml:space="preserve">Due to Block-4 Inverter failure this impact 500 Amp MCCB of this inverter also failure. </t>
  </si>
  <si>
    <t>It will be restored after rectification of MCCB or Replacment of MCCB.</t>
  </si>
  <si>
    <t xml:space="preserve"> Block-4 Inverter No-11 IGBT Failure , it was restored after MCCB replacment work.</t>
  </si>
  <si>
    <t>As per observation we observed that String  no -13 was grounded due to this inverter was in breakdown on exxcusive leakage current.</t>
  </si>
  <si>
    <t>As per observation we observed that String  no -13 &amp;14 was grounded due to this inverter was in breakdown on exxcusive leakage current.</t>
  </si>
  <si>
    <t>As per observation we observed that String  no -9 was grounded due to this inverter was in breakdown on exxcusive leakage current.</t>
  </si>
  <si>
    <t>As per observation we observed that String  no -5 was grounded due to this inverter was in breakdown on exxcusive leakage current.</t>
  </si>
  <si>
    <t>As per observation we observed that String  no -1,10 &amp; 12 was grounded due to this inverter was in breakdown on exxcusive leakage current.</t>
  </si>
  <si>
    <t>3 Nos. string VOC is not  accurate so we open the Y connector of these string so cleaned &amp; verify the voltage than restore the same</t>
  </si>
  <si>
    <t>1 Nos. string VOC is not  accurate so we open the Y connector of these string so cleaned &amp; verify the voltage than restore the same</t>
  </si>
  <si>
    <t xml:space="preserve">1 Nos. string VOC is not accurate so after checking we got DC string cable failure </t>
  </si>
  <si>
    <t>During VOC we got string np 9 faulty so isolated this string &amp; charge</t>
  </si>
  <si>
    <t>During VOC we got string no 13 &amp; 14 DC cable shorted so isolated the string &amp; charge</t>
  </si>
  <si>
    <t>During VOC we got string no 13 DC cable shorted so isolated the string &amp; charge</t>
  </si>
  <si>
    <t>closed</t>
  </si>
  <si>
    <t>RO</t>
  </si>
  <si>
    <t>4 Robot Running (Robot1 (1 to 11),Robot2 (73 to 79),Robot 3(80 to 86) &amp; Robot 4 (87 to 92)</t>
  </si>
  <si>
    <t>4 Robot Running (Robot1 (12 to 18),Robot2 (70 to 73),Robot 3(93 to 98) &amp; Robot 4 (99 to104)</t>
  </si>
  <si>
    <t>4 Robot Running (Robot1 (19 to 33),Robot2 (81 to 86),Robot 3(105 to 112) &amp; Robot 4 (113 to126)</t>
  </si>
  <si>
    <t>4 Robot Running (Robot1 (22 to 33),Robot2 (34 to 40),Robot 3(80 to 92) &amp; Robot 4 (127 to144)</t>
  </si>
  <si>
    <t>4 Robot Running (Robot1 (40 to 55),Robot2 (73 to 77),Robot 3(93 to 98) &amp; Robot 4 (137 to 166)</t>
  </si>
  <si>
    <t>4 Robot Running (Robot1 (132 to 152),Robot2 (56 to 64),Robot 3(68 to 72) &amp; Robot 4 (99 to 104)</t>
  </si>
  <si>
    <t>4 Robot Running (Robot1 (57 to 63),Robot2 (64 to 67),Robot 3(95 to 111) &amp; Robot 4 (172 to 185)</t>
  </si>
  <si>
    <t>4 Robot Running (Robot1 (50 to 56),Robot2 (68to 74),Robot 3(123 to 131) &amp; Robot 4 (110 to 116)</t>
  </si>
  <si>
    <t>4 Robot Running (Robot1 (26 to 49),Robot2 (2 to 17),Robot 3(103 to 110) &amp; Robot 4 (64 to 69)</t>
  </si>
  <si>
    <t>4 Robot Running (Robot1 (44 to 59),Robot2 (17 to 34),Robot 3(67 to 70) &amp; Robot 4 (97 to 102)</t>
  </si>
  <si>
    <t>4 Robot Running (Robot1 (40 to 55),Robot2 (76 to 79),Robot 3(87 to 91) &amp; Robot 4 (104 to 113)</t>
  </si>
  <si>
    <t>4 Robot Running (Robot1 (62 to 65),Robot2 (81 to 84),Robot 3(87 to 90) &amp; Robot 4 (98 to 102)</t>
  </si>
  <si>
    <t>4 Robot Running (Robot1 (01 to 08),Robot2 (158 to165),Robot 3(148 to 157) &amp; Robot 4 (104 to 110)</t>
  </si>
  <si>
    <t xml:space="preserve"> We have checked all string &amp; found that few string's VOC is not acuurate so we Open the all Y- Connector of this inverter &amp; found that moisture ingress issue in Y-Connector , after cleaned of these &amp; voltage verifcation we restored the same.</t>
  </si>
  <si>
    <t xml:space="preserve">During morning after few time of plant start Block-3  inverter-16  Shut down on fault of ecxcessive leakage current, When Done VOC we got that String NO. 8 yconnector &amp; fuse was failure so replace it with new one, restore </t>
  </si>
  <si>
    <t xml:space="preserve">During morning after few time of plant start Block-4  inverter-12  shut down on fault of ecxcessive leakage current, When Done VOC we got that String NO. 13 MC4 connector &amp; fuse was failure so replace it with new one, restore </t>
  </si>
  <si>
    <t>We have checked all string &amp; found that few string's Voc is not accurate so we open the all Y-connector of this inverter &amp; found that moisture ingress issue in Y connector, after cleaned of these &amp; voltage verification we restored the same.</t>
  </si>
  <si>
    <t>Restoretion of Inverter &amp; 250 Amp MCCB, after verifying the all parameter connect the same</t>
  </si>
  <si>
    <t xml:space="preserve">2 Nos. string VOC is not accurate so after checking we got DC string cable failure </t>
  </si>
  <si>
    <t>Morning string checking found that String no 9 , Y connector, fuse &amp; MC4 connector melted</t>
  </si>
  <si>
    <t>Morning string checking found that String no 13 MC4 connector melted</t>
  </si>
  <si>
    <t>Morning string checking found that String no 9 , Y connector, fuse &amp; MC4 connector melted, so replace it with new one, restored</t>
  </si>
  <si>
    <t>Morning string checking found that String no 13 MC4 connector melted, same is replace it with new one, restored</t>
  </si>
  <si>
    <t>During morining string checking we got that 1 string MC4 connector open, same restore</t>
  </si>
  <si>
    <t xml:space="preserve">During morning after few time of plant start Block-4  inverter-2  shut down on fault of ecxcessive leakage current &amp; fault 47, When Done VOC we got that String NO. 12 MC4 connector &amp; fuse was failure so replace it with new one &amp; also share Log file of Inverter to OEm after got permission from OEM reset it, restore </t>
  </si>
  <si>
    <t xml:space="preserve"> Block-4 inverter 13 failure on fault of 1616 &amp; 21  in morning, after sharing the log file to OEM, inverter has been replaced with spare one</t>
  </si>
  <si>
    <t>As per obsservation we found that Block-4 Inverter11 running with derating generation, after Discussion with Oem &amp; sharing Log file to OEM, they instructed to change control card, After changing the Control card now its under observation</t>
  </si>
  <si>
    <t>During morning Inverter IGBT failure on fault of 21, after discussion with OEM,  Inverter log file has been shared &amp; replacement raised for the Inverter</t>
  </si>
  <si>
    <t>Inverter shutdown in morining on fault of excessive leakage current, after removing the faulty string inverter fault reset, restore</t>
  </si>
  <si>
    <t>In evening inverter shows intial standby mode, SO we take the log file &amp; share to OEM, After discuusion With OEM inverter replacement (Under warranty) Claimed</t>
  </si>
  <si>
    <t>During String current measurement activity we have observed that String-1 MC4 connector was melted so replace it with spare one.</t>
  </si>
  <si>
    <t>During String current measurement activity we have observed that String-10 MC4 connector was melted so replace it with spare one.</t>
  </si>
  <si>
    <t>During String current measurement activity we have observed that String-5 MC4 connector was melted so replace it with spare one.</t>
  </si>
  <si>
    <t>During String current measurement activity we have observed that String No.-6 MC4 connector was melted so replace it with spare one.</t>
  </si>
  <si>
    <t>1 Nos. string VOC is not accurate so after checking we got DC string cable failure</t>
  </si>
  <si>
    <t>inverter</t>
  </si>
  <si>
    <t>Inverter IGBT was failure so replace it with spare one</t>
  </si>
  <si>
    <t>String no. 13 load shifted to string no. 14 &amp; string no. 6 splited to 2 half string, now restore</t>
  </si>
  <si>
    <t>during string monitoring found string no. 7 MC4 connector open, now restore</t>
  </si>
  <si>
    <t>during string monitoring found string no. 3 MC4 connector open, now restore</t>
  </si>
  <si>
    <t>During string monitoring found string no. 1 shows ground fault, rectified now restore</t>
  </si>
  <si>
    <t>During string monitoring found string no. 3&amp; 6 in ground fault now rectified &amp; restore</t>
  </si>
  <si>
    <t>During string monitoring found string no. 12 in ground fault now rectified &amp; restore</t>
  </si>
  <si>
    <t>during string monitoring found string no. 1 MC4 connector melted so replace it with spare one, now restore</t>
  </si>
  <si>
    <t>during string monitoring found string no. 9on ground fault while string no.12 Fuse &amp; y connector melted so replace it with spare one, now restore</t>
  </si>
  <si>
    <t xml:space="preserve">During morning after few time of plant start Block-2  inverter-31 shutdown on excessive lekage current, When we got Voc found  that String NO. 3,6,9 MC4 connector &amp; fuse was failure so replace it with new one , restore </t>
  </si>
  <si>
    <t xml:space="preserve">During morning after few time of plant start Block-4  inverter-2 shutdown on excessive lekage current, When we got Voc found  that String NO. 2,5 MC4 connector &amp; fuse was failure so replace it with new one , restore </t>
  </si>
  <si>
    <t>During string monitoring we found that Block-4 Inverter-11 String-6 mc4 connector open, connected the same, restore</t>
  </si>
  <si>
    <t xml:space="preserve">During morning after few time of plant start Block-3  inverter-29 , When we got Voc found  that String NO. 1,5  MC4 connector  was failure so replace it with new one , restore </t>
  </si>
  <si>
    <t>Inverter restoration work completed</t>
  </si>
  <si>
    <t>today will closed this fault</t>
  </si>
  <si>
    <t>During morning after few time of plant start Block-5  inverter-22 shutdown on PV reverse current alarm , When we got Voc found  that String NO. 7  Y connector  was failure, so isolate it and charge the inverter</t>
  </si>
  <si>
    <t xml:space="preserve"> String NO. 7 Y connector  was melted so replace it with spare one,restore</t>
  </si>
  <si>
    <t>During morning after few time of plant start Block-6  inverter-6 shutdown on low system isulation alarm , When we got Voc found  that String NO. 1,3,6,10,11 was failure, so isolate it and charge the inverter</t>
  </si>
  <si>
    <t xml:space="preserve"> String NO. 1,,3,6,10,11 MC4 Fuse &amp; Y connector was melted so replace it with spare one, restore</t>
  </si>
  <si>
    <t>During morning after few time of plant start Block-6  inverter-9 shutdown on low system isulation alarm , When we got Voc found  that String NO. 3,4,5,7 was failure, so isolate it and charge the inverter</t>
  </si>
  <si>
    <t xml:space="preserve"> String NO. 3,4,5,7 MC4 Fuse &amp; Y connector was melted so replace it with spare one, restore</t>
  </si>
  <si>
    <t>During morning after few time of plant start Block-6  inverter-10 shutdown on low system isulation alarm , When we got Voc found  that String NO. 1,3,4,7 was failure, so isolate it and charge the inverter</t>
  </si>
  <si>
    <t xml:space="preserve"> String NO. 1,3,4,7 MC4 Fuse &amp; Y connector was melted so replace it with spare one, restore</t>
  </si>
  <si>
    <t>String no 3 MC4 was melted so replace it with spare one</t>
  </si>
  <si>
    <t>String no 8 MC4 was melted so replace it with spare one</t>
  </si>
  <si>
    <t>String no 8 Y connector, fuse &amp; MC4 was melted so replace it with spare one</t>
  </si>
  <si>
    <t>String no 7  MC4 was melted so replace it with spare one</t>
  </si>
  <si>
    <t>String no 1,4,7 MC4 was melted so replace it with spare one</t>
  </si>
  <si>
    <t>String no 5 on ground fault, rectified</t>
  </si>
  <si>
    <t>During string monitoring we found that string no 2 MC4 connector open so connect it &amp; restore</t>
  </si>
  <si>
    <t>String no.4 &amp; 6 on ground fault due to MC4 Connector &amp; Y-connector was melted, rectified</t>
  </si>
  <si>
    <t>String no.1,6,10,11 &amp; 12 on ground fault due to MC4 Connector  was melted, rectified</t>
  </si>
  <si>
    <t>During string monitoring we found that string no 5 MC4 connector was melted so replace it with spare one  &amp; restore</t>
  </si>
  <si>
    <t>During string monitoring we found that string no 6 MC4 connector was melted so replace it with spare one  &amp; restore</t>
  </si>
  <si>
    <t>INVERTER SHUT DOWN on fault of excessive leakage current, restore</t>
  </si>
  <si>
    <t>Inverter shutdown on fault of excessive leakage current, after identify the string, isolate the string &amp; charge the inverter</t>
  </si>
  <si>
    <t>during VOC we found that sring no 9 in ground fault so rectify it &amp; connect to the inverter, restore</t>
  </si>
  <si>
    <t>String 13 cable failure so  for minimize the generation lost its load is connected with string no 14 while string no 5 seprated to 2v half string &amp; connected to inverter</t>
  </si>
  <si>
    <t>String 14 cable failure so  for minimize the generation lost its load is connected with string no 15 while string no 6 seprated to 2v half string &amp; connected to inverter</t>
  </si>
  <si>
    <t>String no.12 on ground fault due to MC4 Connector &amp; Y-connector was melted, rectified</t>
  </si>
  <si>
    <t>String no.12 on ground fault due to MC4 Connector &amp; Y-connector was melted, rectified (Due to rain rectification work delayed)</t>
  </si>
  <si>
    <t>String no.4&amp; 6  on ground fault due to MC4 Connector &amp; Y-connector was melted, rectified</t>
  </si>
  <si>
    <t>String no.12  on ground fault due to MC4 Connector was melted, rectified</t>
  </si>
  <si>
    <t>Inverter tripped after the IDT tripping as inverter not bootup auto,(we have to Manually trip the inverter &amp; ACCB from to Charge the Inverter)</t>
  </si>
  <si>
    <t>Inverter Shows starting up mode so we have to check all the string after checking the string we got all string are accurate so we Off the Inverter as well as ACCB, Then Charge, Restore</t>
  </si>
  <si>
    <t>String no.3  on ground fault due to MC4 Connector was melted, rectified</t>
  </si>
  <si>
    <t>Inverter tripped after the IDT tripping as inverter not bootup auto, so we share the logfile to OEM after getting the instruction from the OEM we Manually trip the inverter &amp; ACCB &amp; than Charge the Inverter)</t>
  </si>
  <si>
    <t>Inverter no 27 shutdown on fault of excessive leakage current so we isolate the all string &amp; found that St no 13 on ground fault so we rectify &amp; connect the same</t>
  </si>
  <si>
    <t>Inverter no 30 shutdown on fault of excessive leakage current so we isolate the all string &amp; found that St no 1 on ground fault so we rectify &amp; connect the same</t>
  </si>
  <si>
    <t>Inverter no 26 shutdown on fault of excessive leakage current so we isolate the all string &amp; found that St no 1 on ground fault so we rectify &amp; connect the same</t>
  </si>
  <si>
    <t>Inverter no 10 shutdown on fault of excessive leakage current so we isolate the all string &amp; found that St no 7 on ground fault so we rectify &amp; connect the same</t>
  </si>
  <si>
    <t>To control unneceesary tripping of IDT all inverter active power limit set to 68%</t>
  </si>
  <si>
    <t>To control unneceesary tripping of IDT all inverter active power limit set to 60%</t>
  </si>
  <si>
    <t>To control unneceesary tripping of IDT all inverter active power limit set to 75%</t>
  </si>
  <si>
    <t>To control unneceesary tripping of IDT all inverter active power limit set to 78%</t>
  </si>
  <si>
    <t xml:space="preserve">Block-8 Inverter 26 string no 10 &amp; 12 isolated from the inverter as O2 Power management Team instructed to dismantle the MMS to control water of river </t>
  </si>
  <si>
    <t>open</t>
  </si>
  <si>
    <t>Inverter no 10 shutdown on fault of excessive leakage current so we isolate the all string &amp; found that St no 10 on ground fault so we rectify &amp; connect the same</t>
  </si>
  <si>
    <t>Inverter no 15 shutdown on fault of excessive leakage current so we isolate the all string &amp; found that St no 12 on ground fault so we rectify &amp; connect the same</t>
  </si>
  <si>
    <t xml:space="preserve">During string monitoring found that inverter 23 st 7 shows 0 Amp current so we check in field &amp; found that Fuse &amp; Y Connector melted so replace it with spare one, restore </t>
  </si>
  <si>
    <t>Inverter no 23 shutdown on fault of excessive leakage current so we isolate the all string &amp; found that St no 9 on ground fault so we rectify &amp; connect the same</t>
  </si>
  <si>
    <t>Inverter 13 string no 11 fuse was failure so replace it with spare one</t>
  </si>
  <si>
    <t xml:space="preserve">Inverter no 28 string no1 &amp; 3 was on ground fault so replace it with spare one(as this inverter not communicated with scada so  we got  late information) </t>
  </si>
  <si>
    <t>Inverter no 28 string no1 &amp; 3 was on ground fault so (Fuse failure)replace it with spare one</t>
  </si>
  <si>
    <t>Inverter no 23 shutdown on fault of excessive leakage current so we isolate the all string &amp; found that St no 9 on ground fault (Yconnector melted)so we rectify &amp; connect the same</t>
  </si>
  <si>
    <t>Inverter no 15 shutdown on fault of excessive leakage current so we isolate the all string &amp; found that St no 12 (DC cable punctured) on ground fault so we rectify &amp; connect the same</t>
  </si>
  <si>
    <t xml:space="preserve">Block-8 Inverter 19 string no 5 &amp; 8 isolated from the inverter as O2 Power management Team instructed to dismantle the MMS to control water of river </t>
  </si>
  <si>
    <t>To control unneceesary tripping of IDT all inverter active power limit set to 6600kW</t>
  </si>
  <si>
    <t>To control unneceesary tripping of IDT all inverter active power limit set to 6700kW</t>
  </si>
  <si>
    <t>To control unneceesary tripping of IDT all inverter active power limit set to 6650kW</t>
  </si>
  <si>
    <t>To control unnecessary tripping of IDT all inverter active power limit set to 6600kW</t>
  </si>
  <si>
    <t>To control unnecessary tripping of IDT all inverter active power limit set to 6650kW</t>
  </si>
  <si>
    <t>To control unnecessary tripping of IDT all inverter active power limit set to 6700kW</t>
  </si>
  <si>
    <t>Inverter tripped on fault of excessive leakage current, when we check the VOC of the string we found that String no 13 VOC is not accurate, found Y connector burnt replace it with spare one</t>
  </si>
  <si>
    <t>Durig string monitoring we found that string no 7 MC4 open, after verifying the load connect the same</t>
  </si>
  <si>
    <t>Durig string monitoring we found that string no 4 fuse failure (1 Nos.), after verifying the load connect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</si>
</sst>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 #,##0.00_ ;_ * \-#,##0.00_ ;_ * &quot;-&quot;??_ ;_ @_ "/>
    <numFmt numFmtId="165" formatCode="[$-409]d/mmm/yy;@"/>
    <numFmt numFmtId="166" formatCode="0.0"/>
    <numFmt numFmtId="167" formatCode="[$-14009]hh:mm;@"/>
    <numFmt numFmtId="168" formatCode="_ * #,##0.0_ ;_ * \-#,##0.0_ ;_ * &quot;-&quot;??_ ;_ @_ "/>
    <numFmt numFmtId="169" formatCode="_ * #,##0_ ;_ * \-#,##0_ ;_ * &quot;-&quot;??_ ;_ @_ "/>
    <numFmt numFmtId="170" formatCode="0.0%"/>
    <numFmt numFmtId="171" formatCode="[$-409]mmm/yy;@"/>
    <numFmt numFmtId="172" formatCode="0.000%"/>
    <numFmt numFmtId="173" formatCode="h:mm;@"/>
    <numFmt numFmtId="174" formatCode="[$-F800]dddd\,\ mmmm\ dd\,\ yyyy"/>
    <numFmt numFmtId="175" formatCode="[$-14009]hh:mm"/>
    <numFmt numFmtId="176" formatCode="hh:mm"/>
    <numFmt numFmtId="177" formatCode="mmm/yy"/>
    <numFmt numFmtId="178" formatCode="dd/mmm/yy"/>
  </numFmts>
  <fonts count="49" x14ac:knownFonts="1">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9"/>
      <color theme="0"/>
      <name val="Calibri"/>
      <family val="2"/>
      <scheme val="minor"/>
    </font>
    <font>
      <sz val="8"/>
      <name val="Calibri"/>
      <family val="2"/>
      <scheme val="minor"/>
    </font>
    <font>
      <b/>
      <sz val="11"/>
      <color theme="1"/>
      <name val="Calibri"/>
      <family val="2"/>
      <scheme val="minor"/>
    </font>
    <font>
      <sz val="11"/>
      <color theme="0"/>
      <name val="Calibri"/>
      <family val="2"/>
      <scheme val="minor"/>
    </font>
    <font>
      <b/>
      <vertAlign val="subscript"/>
      <sz val="9"/>
      <color theme="0"/>
      <name val="Calibri"/>
      <family val="2"/>
      <scheme val="minor"/>
    </font>
    <font>
      <b/>
      <sz val="16"/>
      <color theme="0"/>
      <name val="Calibri"/>
      <family val="2"/>
      <scheme val="minor"/>
    </font>
    <font>
      <b/>
      <sz val="12"/>
      <color theme="0"/>
      <name val="Hadassah Friedlaender"/>
      <family val="1"/>
      <charset val="177"/>
    </font>
    <font>
      <b/>
      <sz val="10"/>
      <color theme="0"/>
      <name val="Hadassah Friedlaender"/>
      <family val="1"/>
      <charset val="177"/>
    </font>
    <font>
      <sz val="10"/>
      <name val="Arial"/>
      <family val="2"/>
    </font>
    <font>
      <sz val="10"/>
      <name val="Hadassah Friedlaender"/>
      <family val="1"/>
      <charset val="177"/>
    </font>
    <font>
      <sz val="10"/>
      <color theme="1"/>
      <name val="Hadassah Friedlaender"/>
      <family val="1"/>
      <charset val="177"/>
    </font>
    <font>
      <b/>
      <sz val="10"/>
      <name val="Hadassah Friedlaender"/>
      <family val="1"/>
      <charset val="177"/>
    </font>
    <font>
      <sz val="11"/>
      <color indexed="8"/>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1"/>
      <name val="Calibri"/>
      <family val="2"/>
      <scheme val="minor"/>
    </font>
    <font>
      <sz val="11"/>
      <color theme="1"/>
      <name val="Calibri"/>
      <family val="2"/>
      <scheme val="minor"/>
    </font>
    <font>
      <sz val="11"/>
      <color rgb="FF000000"/>
      <name val="Calibri"/>
      <family val="2"/>
      <scheme val="minor"/>
    </font>
    <font>
      <sz val="11"/>
      <color rgb="FF9C6500"/>
      <name val="Calibri"/>
      <family val="2"/>
      <scheme val="minor"/>
    </font>
    <font>
      <b/>
      <sz val="11"/>
      <color theme="1"/>
      <name val="Comic Sans MS"/>
      <family val="4"/>
    </font>
    <font>
      <sz val="10"/>
      <color theme="1"/>
      <name val="Calibri"/>
      <family val="2"/>
    </font>
    <font>
      <sz val="11"/>
      <color theme="1"/>
      <name val="Calibri"/>
      <family val="2"/>
      <scheme val="minor"/>
    </font>
    <font>
      <sz val="11"/>
      <color theme="1"/>
      <name val="Calibri"/>
      <family val="2"/>
      <scheme val="minor"/>
    </font>
    <font>
      <sz val="11"/>
      <color rgb="FF000000"/>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sz val="11"/>
      <color theme="1"/>
      <name val="Calibri"/>
      <family val="2"/>
    </font>
    <font>
      <sz val="11"/>
      <name val="Calibri"/>
      <family val="2"/>
      <scheme val="minor"/>
    </font>
    <font>
      <sz val="12"/>
      <color rgb="FF000000"/>
      <name val="Aptos"/>
      <family val="2"/>
    </font>
    <font>
      <sz val="11"/>
      <color theme="1"/>
      <name val="Calibri"/>
      <family val="2"/>
      <scheme val="minor"/>
    </font>
  </fonts>
  <fills count="95">
    <fill>
      <patternFill patternType="none"/>
    </fill>
    <fill>
      <patternFill patternType="gray125"/>
    </fill>
    <fill>
      <patternFill patternType="solid">
        <fgColor theme="9"/>
        <bgColor indexed="64"/>
      </patternFill>
    </fill>
    <fill>
      <patternFill patternType="solid">
        <fgColor theme="6"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A5A5A5"/>
        <bgColor indexed="64"/>
      </patternFill>
    </fill>
    <fill>
      <patternFill patternType="solid">
        <fgColor theme="0"/>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4506668294322"/>
        <bgColor indexed="64"/>
      </patternFill>
    </fill>
    <fill>
      <patternFill patternType="solid">
        <fgColor rgb="FFFFEB9C"/>
        <bgColor indexed="64"/>
      </patternFill>
    </fill>
    <fill>
      <patternFill patternType="solid">
        <fgColor theme="5" tint="0.39994506668294322"/>
        <bgColor indexed="64"/>
      </patternFill>
    </fill>
    <fill>
      <patternFill patternType="solid">
        <fgColor theme="4" tint="0.39994506668294322"/>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theme="6" tint="0.39994506668294322"/>
        <bgColor indexed="64"/>
      </patternFill>
    </fill>
    <fill>
      <patternFill patternType="solid">
        <fgColor theme="9" tint="0.7993408001953185"/>
        <bgColor indexed="64"/>
      </patternFill>
    </fill>
    <fill>
      <patternFill patternType="solid">
        <fgColor rgb="FFFF0000"/>
        <bgColor indexed="64"/>
      </patternFill>
    </fill>
    <fill>
      <patternFill patternType="solid">
        <fgColor theme="5" tint="0.7993408001953185"/>
        <bgColor indexed="64"/>
      </patternFill>
    </fill>
    <fill>
      <patternFill patternType="solid">
        <fgColor theme="5" tint="0.39912106692709126"/>
        <bgColor indexed="64"/>
      </patternFill>
    </fill>
    <fill>
      <patternFill patternType="solid">
        <fgColor theme="6" tint="0.39912106692709126"/>
        <bgColor indexed="64"/>
      </patternFill>
    </fill>
    <fill>
      <patternFill patternType="solid">
        <fgColor theme="7" tint="0.7993408001953185"/>
        <bgColor indexed="64"/>
      </patternFill>
    </fill>
    <fill>
      <patternFill patternType="solid">
        <fgColor theme="6" tint="0.7993408001953185"/>
        <bgColor indexed="64"/>
      </patternFill>
    </fill>
    <fill>
      <patternFill patternType="solid">
        <fgColor theme="7" tint="0.59999389629810485"/>
        <bgColor indexed="64"/>
      </patternFill>
    </fill>
    <fill>
      <patternFill patternType="solid">
        <fgColor rgb="FFFFFFCC"/>
        <bgColor indexed="64"/>
      </patternFill>
    </fill>
    <fill>
      <patternFill patternType="solid">
        <fgColor theme="4" tint="0.79934080019531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8" tint="0.7993408001953185"/>
        <bgColor indexed="64"/>
      </patternFill>
    </fill>
    <fill>
      <patternFill patternType="solid">
        <fgColor theme="7" tint="0.39979247413556324"/>
        <bgColor indexed="64"/>
      </patternFill>
    </fill>
    <fill>
      <patternFill patternType="solid">
        <fgColor theme="7" tint="0.79979857783745845"/>
        <bgColor indexed="64"/>
      </patternFill>
    </fill>
    <fill>
      <patternFill patternType="solid">
        <fgColor theme="9" tint="0.39979247413556324"/>
        <bgColor indexed="64"/>
      </patternFill>
    </fill>
    <fill>
      <patternFill patternType="solid">
        <fgColor rgb="FFC6EFCE"/>
        <bgColor indexed="64"/>
      </patternFill>
    </fill>
    <fill>
      <patternFill patternType="solid">
        <fgColor theme="8" tint="0.39912106692709126"/>
        <bgColor indexed="64"/>
      </patternFill>
    </fill>
    <fill>
      <patternFill patternType="solid">
        <fgColor theme="6"/>
        <bgColor indexed="64"/>
      </patternFill>
    </fill>
    <fill>
      <patternFill patternType="solid">
        <fgColor theme="7" tint="0.39912106692709126"/>
        <bgColor indexed="64"/>
      </patternFill>
    </fill>
    <fill>
      <patternFill patternType="solid">
        <fgColor rgb="FFFFC7CE"/>
        <bgColor indexed="64"/>
      </patternFill>
    </fill>
    <fill>
      <patternFill patternType="solid">
        <fgColor theme="4"/>
        <bgColor indexed="64"/>
      </patternFill>
    </fill>
    <fill>
      <patternFill patternType="solid">
        <fgColor theme="4" tint="0.39912106692709126"/>
        <bgColor indexed="64"/>
      </patternFill>
    </fill>
    <fill>
      <patternFill patternType="solid">
        <fgColor theme="8" tint="0.79979857783745845"/>
        <bgColor indexed="64"/>
      </patternFill>
    </fill>
    <fill>
      <patternFill patternType="solid">
        <fgColor theme="4" tint="0.79979857783745845"/>
        <bgColor indexed="64"/>
      </patternFill>
    </fill>
    <fill>
      <patternFill patternType="solid">
        <fgColor rgb="FFFFCC99"/>
        <bgColor indexed="64"/>
      </patternFill>
    </fill>
    <fill>
      <patternFill patternType="solid">
        <fgColor theme="6" tint="0.39979247413556324"/>
        <bgColor indexed="64"/>
      </patternFill>
    </fill>
    <fill>
      <patternFill patternType="solid">
        <fgColor theme="5" tint="0.79979857783745845"/>
        <bgColor indexed="64"/>
      </patternFill>
    </fill>
    <fill>
      <patternFill patternType="solid">
        <fgColor theme="8" tint="0.39979247413556324"/>
        <bgColor indexed="64"/>
      </patternFill>
    </fill>
    <fill>
      <patternFill patternType="solid">
        <fgColor theme="5" tint="0.39979247413556324"/>
        <bgColor indexed="64"/>
      </patternFill>
    </fill>
    <fill>
      <patternFill patternType="solid">
        <fgColor rgb="FFF2F2F2"/>
        <bgColor indexed="64"/>
      </patternFill>
    </fill>
    <fill>
      <patternFill patternType="solid">
        <fgColor theme="9" tint="0.39912106692709126"/>
        <bgColor indexed="64"/>
      </patternFill>
    </fill>
    <fill>
      <patternFill patternType="solid">
        <fgColor theme="6" tint="0.79979857783745845"/>
        <bgColor indexed="64"/>
      </patternFill>
    </fill>
    <fill>
      <patternFill patternType="solid">
        <fgColor theme="4" tint="0.39979247413556324"/>
        <bgColor indexed="64"/>
      </patternFill>
    </fill>
    <fill>
      <patternFill patternType="solid">
        <fgColor theme="9" tint="0.79979857783745845"/>
        <bgColor indexed="64"/>
      </patternFill>
    </fill>
    <fill>
      <patternFill patternType="solid">
        <fgColor theme="7" tint="0.79998168889431442"/>
        <bgColor indexed="64"/>
      </patternFill>
    </fill>
    <fill>
      <patternFill patternType="solid">
        <fgColor rgb="FFD9D9D9"/>
        <bgColor rgb="FF000000"/>
      </patternFill>
    </fill>
    <fill>
      <patternFill patternType="solid">
        <fgColor theme="8"/>
        <bgColor theme="9" tint="0.59999389629810485"/>
      </patternFill>
    </fill>
    <fill>
      <patternFill patternType="solid">
        <fgColor rgb="FFD8D8D8"/>
        <bgColor rgb="FFD8D8D8"/>
      </patternFill>
    </fill>
    <fill>
      <patternFill patternType="solid">
        <fgColor rgb="FFD9D9D9"/>
        <bgColor rgb="FFD9D9D9"/>
      </patternFill>
    </fill>
    <fill>
      <patternFill patternType="solid">
        <fgColor rgb="FFDADADA"/>
        <bgColor rgb="FFDADADA"/>
      </patternFill>
    </fill>
  </fills>
  <borders count="52">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thin">
        <color indexed="64"/>
      </left>
      <right style="thin">
        <color indexed="64"/>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dotted">
        <color auto="1"/>
      </left>
      <right style="dotted">
        <color auto="1"/>
      </right>
      <top/>
      <bottom style="dotted">
        <color auto="1"/>
      </bottom>
      <diagonal/>
    </border>
    <border>
      <left style="thin">
        <color indexed="64"/>
      </left>
      <right style="thin">
        <color indexed="64"/>
      </right>
      <top style="thin">
        <color indexed="64"/>
      </top>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39979247413556324"/>
      </bottom>
      <diagonal/>
    </border>
    <border>
      <left/>
      <right/>
      <top/>
      <bottom style="medium">
        <color theme="4" tint="0.39912106692709126"/>
      </bottom>
      <diagonal/>
    </border>
    <border>
      <left style="thin">
        <color rgb="FF000000"/>
      </left>
      <right style="thin">
        <color rgb="FF000000"/>
      </right>
      <top style="thin">
        <color rgb="FF000000"/>
      </top>
      <bottom style="thin">
        <color rgb="FF000000"/>
      </bottom>
      <diagonal/>
    </border>
    <border>
      <left/>
      <right style="dotted">
        <color theme="5" tint="0.59996337778862885"/>
      </right>
      <top/>
      <bottom style="hair">
        <color auto="1"/>
      </bottom>
      <diagonal/>
    </border>
    <border>
      <left style="dotted">
        <color theme="5" tint="0.59996337778862885"/>
      </left>
      <right style="dotted">
        <color theme="5" tint="0.59996337778862885"/>
      </right>
      <top style="hair">
        <color auto="1"/>
      </top>
      <bottom style="hair">
        <color auto="1"/>
      </bottom>
      <diagonal/>
    </border>
    <border>
      <left style="dotted">
        <color theme="5" tint="0.59996337778862885"/>
      </left>
      <right style="dotted">
        <color theme="5" tint="0.59996337778862885"/>
      </right>
      <top/>
      <bottom style="hair">
        <color auto="1"/>
      </bottom>
      <diagonal/>
    </border>
    <border>
      <left/>
      <right style="dotted">
        <color theme="5" tint="0.59996337778862885"/>
      </right>
      <top style="hair">
        <color auto="1"/>
      </top>
      <bottom style="hair">
        <color auto="1"/>
      </bottom>
      <diagonal/>
    </border>
    <border>
      <left/>
      <right/>
      <top style="hair">
        <color auto="1"/>
      </top>
      <bottom style="hair">
        <color auto="1"/>
      </bottom>
      <diagonal/>
    </border>
    <border>
      <left/>
      <right style="dotted">
        <color theme="5" tint="0.59996337778862885"/>
      </right>
      <top style="hair">
        <color auto="1"/>
      </top>
      <bottom/>
      <diagonal/>
    </border>
    <border>
      <left style="dotted">
        <color theme="5" tint="0.59996337778862885"/>
      </left>
      <right style="dotted">
        <color theme="5" tint="0.59996337778862885"/>
      </right>
      <top style="hair">
        <color auto="1"/>
      </top>
      <bottom/>
      <diagonal/>
    </border>
    <border>
      <left style="thin">
        <color rgb="FF000000"/>
      </left>
      <right style="thin">
        <color rgb="FF000000"/>
      </right>
      <top/>
      <bottom/>
      <diagonal/>
    </border>
    <border>
      <left style="dotted">
        <color theme="5" tint="0.59996337778862885"/>
      </left>
      <right/>
      <top/>
      <bottom style="hair">
        <color auto="1"/>
      </bottom>
      <diagonal/>
    </border>
    <border>
      <left/>
      <right/>
      <top style="hair">
        <color auto="1"/>
      </top>
      <bottom/>
      <diagonal/>
    </border>
    <border>
      <left/>
      <right/>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theme="0"/>
      </left>
      <right style="thin">
        <color theme="0"/>
      </right>
      <top style="thin">
        <color theme="0"/>
      </top>
      <bottom style="thin">
        <color theme="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indexed="64"/>
      </left>
      <right style="thin">
        <color indexed="64"/>
      </right>
      <top style="thin">
        <color indexed="64"/>
      </top>
      <bottom style="medium">
        <color indexed="64"/>
      </bottom>
      <diagonal/>
    </border>
    <border>
      <left style="hair">
        <color auto="1"/>
      </left>
      <right style="hair">
        <color rgb="FF000000"/>
      </right>
      <top style="hair">
        <color rgb="FF000000"/>
      </top>
      <bottom style="thin">
        <color indexed="64"/>
      </bottom>
      <diagonal/>
    </border>
    <border>
      <left style="hair">
        <color rgb="FF000000"/>
      </left>
      <right style="hair">
        <color auto="1"/>
      </right>
      <top style="hair">
        <color rgb="FF000000"/>
      </top>
      <bottom style="thin">
        <color indexed="64"/>
      </bottom>
      <diagonal/>
    </border>
    <border>
      <left/>
      <right style="hair">
        <color auto="1"/>
      </right>
      <top/>
      <bottom/>
      <diagonal/>
    </border>
  </borders>
  <cellStyleXfs count="38302">
    <xf numFmtId="0" fontId="0"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12" fillId="0" borderId="0"/>
    <xf numFmtId="9" fontId="16" fillId="0" borderId="0" applyFont="0" applyFill="0" applyBorder="0" applyAlignment="0" applyProtection="0"/>
    <xf numFmtId="0" fontId="17" fillId="0" borderId="0" applyNumberFormat="0" applyFill="0" applyBorder="0" applyAlignment="0" applyProtection="0"/>
    <xf numFmtId="0" fontId="18" fillId="0" borderId="18" applyNumberFormat="0" applyFill="0" applyAlignment="0" applyProtection="0"/>
    <xf numFmtId="0" fontId="19" fillId="0" borderId="19" applyNumberFormat="0" applyFill="0" applyAlignment="0" applyProtection="0"/>
    <xf numFmtId="0" fontId="20" fillId="0" borderId="20" applyNumberFormat="0" applyFill="0" applyAlignment="0" applyProtection="0"/>
    <xf numFmtId="0" fontId="20" fillId="0" borderId="0" applyNumberFormat="0" applyFill="0" applyBorder="0" applyAlignment="0" applyProtection="0"/>
    <xf numFmtId="0" fontId="21" fillId="16" borderId="0" applyNumberFormat="0" applyBorder="0" applyAlignment="0" applyProtection="0"/>
    <xf numFmtId="0" fontId="22" fillId="17" borderId="0" applyNumberFormat="0" applyBorder="0" applyAlignment="0" applyProtection="0"/>
    <xf numFmtId="0" fontId="23" fillId="18" borderId="0" applyNumberFormat="0" applyBorder="0" applyAlignment="0" applyProtection="0"/>
    <xf numFmtId="0" fontId="24" fillId="19" borderId="21" applyNumberFormat="0" applyAlignment="0" applyProtection="0"/>
    <xf numFmtId="0" fontId="25" fillId="20" borderId="22" applyNumberFormat="0" applyAlignment="0" applyProtection="0"/>
    <xf numFmtId="0" fontId="26" fillId="20" borderId="21" applyNumberFormat="0" applyAlignment="0" applyProtection="0"/>
    <xf numFmtId="0" fontId="27" fillId="0" borderId="23" applyNumberFormat="0" applyFill="0" applyAlignment="0" applyProtection="0"/>
    <xf numFmtId="0" fontId="3" fillId="21" borderId="14" applyNumberFormat="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6" fillId="0" borderId="25" applyNumberFormat="0" applyFill="0" applyAlignment="0" applyProtection="0"/>
    <xf numFmtId="0" fontId="7"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7"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7"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7"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7"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7" fillId="43"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30" fillId="0" borderId="0"/>
    <xf numFmtId="9" fontId="12" fillId="0" borderId="0" applyFont="0" applyFill="0" applyBorder="0" applyAlignment="0" applyProtection="0"/>
    <xf numFmtId="0" fontId="12" fillId="0" borderId="0"/>
    <xf numFmtId="0" fontId="12" fillId="0" borderId="0"/>
    <xf numFmtId="174" fontId="2" fillId="0" borderId="0"/>
    <xf numFmtId="0" fontId="16"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52" borderId="0" applyNumberFormat="0" applyBorder="0" applyAlignment="0" applyProtection="0"/>
    <xf numFmtId="164" fontId="2" fillId="0" borderId="0" applyFont="0" applyFill="0" applyBorder="0" applyAlignment="0" applyProtection="0"/>
    <xf numFmtId="0" fontId="2" fillId="53" borderId="0" applyNumberFormat="0" applyBorder="0" applyAlignment="0" applyProtection="0"/>
    <xf numFmtId="0" fontId="12" fillId="0" borderId="0"/>
    <xf numFmtId="0" fontId="12" fillId="0" borderId="0"/>
    <xf numFmtId="0" fontId="2" fillId="51" borderId="0" applyNumberFormat="0" applyBorder="0" applyAlignment="0" applyProtection="0"/>
    <xf numFmtId="0" fontId="16" fillId="0" borderId="0"/>
    <xf numFmtId="0" fontId="16" fillId="0" borderId="0"/>
    <xf numFmtId="0" fontId="12" fillId="0" borderId="0"/>
    <xf numFmtId="164" fontId="2" fillId="0" borderId="0" applyFont="0" applyFill="0" applyBorder="0" applyAlignment="0" applyProtection="0"/>
    <xf numFmtId="0" fontId="2" fillId="50" borderId="0" applyNumberFormat="0" applyBorder="0" applyAlignment="0" applyProtection="0"/>
    <xf numFmtId="0" fontId="12" fillId="0" borderId="0"/>
    <xf numFmtId="0" fontId="2" fillId="49" borderId="0" applyNumberFormat="0" applyBorder="0" applyAlignment="0" applyProtection="0"/>
    <xf numFmtId="0" fontId="23" fillId="48" borderId="0" applyNumberFormat="0" applyBorder="0" applyAlignment="0" applyProtection="0"/>
    <xf numFmtId="0" fontId="2" fillId="47" borderId="0" applyNumberFormat="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22" borderId="24" applyNumberFormat="0" applyFont="0" applyAlignment="0" applyProtection="0"/>
    <xf numFmtId="0" fontId="2" fillId="0" borderId="0"/>
    <xf numFmtId="0" fontId="28" fillId="0" borderId="0" applyNumberFormat="0" applyFill="0" applyBorder="0" applyAlignment="0" applyProtection="0"/>
    <xf numFmtId="0" fontId="2" fillId="22" borderId="24" applyNumberFormat="0" applyFont="0" applyAlignment="0" applyProtection="0"/>
    <xf numFmtId="0" fontId="6" fillId="0" borderId="25" applyNumberFormat="0" applyFill="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164" fontId="2" fillId="0" borderId="0" applyFont="0" applyFill="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164" fontId="2" fillId="0" borderId="0" applyFont="0" applyFill="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31" fillId="0" borderId="0"/>
    <xf numFmtId="0" fontId="2" fillId="62" borderId="24" applyNumberFormat="0" applyFont="0" applyAlignment="0" applyProtection="0"/>
    <xf numFmtId="0" fontId="2" fillId="62" borderId="24" applyNumberFormat="0" applyFont="0" applyAlignment="0" applyProtection="0"/>
    <xf numFmtId="0" fontId="25" fillId="84" borderId="22" applyNumberForma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9" fontId="2" fillId="0" borderId="0" applyFont="0" applyFill="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5" fillId="84" borderId="22" applyNumberForma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4"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0" borderId="0"/>
    <xf numFmtId="0" fontId="2" fillId="0" borderId="0"/>
    <xf numFmtId="0" fontId="2" fillId="0" borderId="0"/>
    <xf numFmtId="0" fontId="2" fillId="3" borderId="0" applyNumberFormat="0" applyBorder="0" applyAlignment="0" applyProtection="0"/>
    <xf numFmtId="0" fontId="2" fillId="12" borderId="0" applyNumberFormat="0" applyBorder="0" applyAlignment="0" applyProtection="0"/>
    <xf numFmtId="0" fontId="2" fillId="0" borderId="0"/>
    <xf numFmtId="0" fontId="2" fillId="0" borderId="0"/>
    <xf numFmtId="0" fontId="2" fillId="3"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0" borderId="0"/>
    <xf numFmtId="0" fontId="2" fillId="0" borderId="0"/>
    <xf numFmtId="0" fontId="2" fillId="0" borderId="0"/>
    <xf numFmtId="0" fontId="2" fillId="0" borderId="0"/>
    <xf numFmtId="0" fontId="2" fillId="1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63" borderId="0" applyNumberFormat="0" applyBorder="0" applyAlignment="0" applyProtection="0"/>
    <xf numFmtId="0" fontId="2" fillId="0" borderId="0"/>
    <xf numFmtId="0" fontId="2" fillId="0" borderId="0"/>
    <xf numFmtId="0" fontId="2" fillId="0" borderId="0"/>
    <xf numFmtId="0" fontId="2" fillId="62" borderId="24" applyNumberFormat="0" applyFont="0" applyAlignment="0" applyProtection="0"/>
    <xf numFmtId="0" fontId="2" fillId="54" borderId="0" applyNumberFormat="0" applyBorder="0" applyAlignment="0" applyProtection="0"/>
    <xf numFmtId="0" fontId="2" fillId="0" borderId="0"/>
    <xf numFmtId="0" fontId="2" fillId="0" borderId="0"/>
    <xf numFmtId="0" fontId="2" fillId="0" borderId="0"/>
    <xf numFmtId="0" fontId="2" fillId="12"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0" borderId="0"/>
    <xf numFmtId="0" fontId="2" fillId="0" borderId="0"/>
    <xf numFmtId="0" fontId="2" fillId="61" borderId="0" applyNumberFormat="0" applyBorder="0" applyAlignment="0" applyProtection="0"/>
    <xf numFmtId="0" fontId="2" fillId="0" borderId="0"/>
    <xf numFmtId="0" fontId="2" fillId="0" borderId="0"/>
    <xf numFmtId="0" fontId="2" fillId="0" borderId="0"/>
    <xf numFmtId="0" fontId="2" fillId="0" borderId="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60"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0" borderId="0"/>
    <xf numFmtId="0" fontId="2" fillId="3"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66" borderId="0" applyNumberFormat="0" applyBorder="0" applyAlignment="0" applyProtection="0"/>
    <xf numFmtId="0" fontId="2" fillId="59" borderId="0" applyNumberFormat="0" applyBorder="0" applyAlignment="0" applyProtection="0"/>
    <xf numFmtId="0" fontId="2" fillId="0" borderId="0"/>
    <xf numFmtId="0" fontId="2" fillId="0" borderId="0"/>
    <xf numFmtId="0" fontId="2" fillId="64"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3" borderId="0" applyNumberFormat="0" applyBorder="0" applyAlignment="0" applyProtection="0"/>
    <xf numFmtId="0" fontId="2" fillId="0" borderId="0"/>
    <xf numFmtId="0" fontId="2" fillId="3"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59" borderId="0" applyNumberFormat="0" applyBorder="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54" borderId="0" applyNumberFormat="0" applyBorder="0" applyAlignment="0" applyProtection="0"/>
    <xf numFmtId="0" fontId="2" fillId="12" borderId="0" applyNumberFormat="0" applyBorder="0" applyAlignment="0" applyProtection="0"/>
    <xf numFmtId="0" fontId="2" fillId="0" borderId="0"/>
    <xf numFmtId="0" fontId="2" fillId="54"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54" borderId="0" applyNumberFormat="0" applyBorder="0" applyAlignment="0" applyProtection="0"/>
    <xf numFmtId="0" fontId="2" fillId="0" borderId="0"/>
    <xf numFmtId="0" fontId="2" fillId="0" borderId="0"/>
    <xf numFmtId="0" fontId="2" fillId="54"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0" borderId="0"/>
    <xf numFmtId="0" fontId="2" fillId="54" borderId="0" applyNumberFormat="0" applyBorder="0" applyAlignment="0" applyProtection="0"/>
    <xf numFmtId="0" fontId="2" fillId="12"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60" borderId="0" applyNumberFormat="0" applyBorder="0" applyAlignment="0" applyProtection="0"/>
    <xf numFmtId="0" fontId="2" fillId="54" borderId="0" applyNumberFormat="0" applyBorder="0" applyAlignment="0" applyProtection="0"/>
    <xf numFmtId="0" fontId="2" fillId="0" borderId="0"/>
    <xf numFmtId="0" fontId="2" fillId="62" borderId="24" applyNumberFormat="0" applyFont="0" applyAlignment="0" applyProtection="0"/>
    <xf numFmtId="0" fontId="2" fillId="0" borderId="0"/>
    <xf numFmtId="0" fontId="2" fillId="11" borderId="0" applyNumberFormat="0" applyBorder="0" applyAlignment="0" applyProtection="0"/>
    <xf numFmtId="0" fontId="2" fillId="63" borderId="0" applyNumberFormat="0" applyBorder="0" applyAlignment="0" applyProtection="0"/>
    <xf numFmtId="0" fontId="2" fillId="0" borderId="0"/>
    <xf numFmtId="0" fontId="2" fillId="0" borderId="0"/>
    <xf numFmtId="0" fontId="2" fillId="0" borderId="0"/>
    <xf numFmtId="0" fontId="2" fillId="11"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0" borderId="0"/>
    <xf numFmtId="0" fontId="2" fillId="11"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11" borderId="0" applyNumberFormat="0" applyBorder="0" applyAlignment="0" applyProtection="0"/>
    <xf numFmtId="0" fontId="2" fillId="0" borderId="0"/>
    <xf numFmtId="0" fontId="2" fillId="60" borderId="0" applyNumberFormat="0" applyBorder="0" applyAlignment="0" applyProtection="0"/>
    <xf numFmtId="0" fontId="2" fillId="11" borderId="0" applyNumberFormat="0" applyBorder="0" applyAlignment="0" applyProtection="0"/>
    <xf numFmtId="0" fontId="2" fillId="0" borderId="0"/>
    <xf numFmtId="0" fontId="2" fillId="0" borderId="0"/>
    <xf numFmtId="0" fontId="2" fillId="54" borderId="0" applyNumberFormat="0" applyBorder="0" applyAlignment="0" applyProtection="0"/>
    <xf numFmtId="0" fontId="2" fillId="0" borderId="0"/>
    <xf numFmtId="0" fontId="2" fillId="0" borderId="0"/>
    <xf numFmtId="0" fontId="2" fillId="63"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6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0" borderId="0" applyNumberFormat="0" applyBorder="0" applyAlignment="0" applyProtection="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0" borderId="0"/>
    <xf numFmtId="0" fontId="2" fillId="61"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6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0" borderId="0"/>
    <xf numFmtId="0" fontId="2" fillId="62" borderId="24" applyNumberFormat="0" applyFont="0" applyAlignment="0" applyProtection="0"/>
    <xf numFmtId="0" fontId="2" fillId="0" borderId="0"/>
    <xf numFmtId="0" fontId="2" fillId="3" borderId="0" applyNumberFormat="0" applyBorder="0" applyAlignment="0" applyProtection="0"/>
    <xf numFmtId="0" fontId="2" fillId="0" borderId="0"/>
    <xf numFmtId="0" fontId="2" fillId="0" borderId="0"/>
    <xf numFmtId="0" fontId="2" fillId="0" borderId="0"/>
    <xf numFmtId="0" fontId="2" fillId="61" borderId="0" applyNumberFormat="0" applyBorder="0" applyAlignment="0" applyProtection="0"/>
    <xf numFmtId="0" fontId="2" fillId="0" borderId="0"/>
    <xf numFmtId="0" fontId="2" fillId="62" borderId="24" applyNumberFormat="0" applyFont="0" applyAlignment="0" applyProtection="0"/>
    <xf numFmtId="0" fontId="2" fillId="62" borderId="24" applyNumberFormat="0" applyFont="0" applyAlignment="0" applyProtection="0"/>
    <xf numFmtId="0" fontId="2" fillId="0" borderId="0"/>
    <xf numFmtId="0" fontId="2" fillId="0" borderId="0"/>
    <xf numFmtId="0" fontId="2" fillId="56" borderId="0" applyNumberFormat="0" applyBorder="0" applyAlignment="0" applyProtection="0"/>
    <xf numFmtId="0" fontId="2" fillId="66" borderId="0" applyNumberFormat="0" applyBorder="0" applyAlignment="0" applyProtection="0"/>
    <xf numFmtId="0" fontId="2" fillId="0" borderId="0"/>
    <xf numFmtId="0" fontId="2" fillId="0" borderId="0"/>
    <xf numFmtId="0" fontId="2" fillId="66" borderId="0" applyNumberFormat="0" applyBorder="0" applyAlignment="0" applyProtection="0"/>
    <xf numFmtId="0" fontId="2" fillId="56" borderId="0" applyNumberFormat="0" applyBorder="0" applyAlignment="0" applyProtection="0"/>
    <xf numFmtId="0" fontId="2" fillId="0" borderId="0"/>
    <xf numFmtId="0" fontId="2" fillId="0" borderId="0"/>
    <xf numFmtId="0" fontId="2" fillId="11" borderId="0" applyNumberFormat="0" applyBorder="0" applyAlignment="0" applyProtection="0"/>
    <xf numFmtId="0" fontId="2" fillId="0" borderId="0"/>
    <xf numFmtId="0" fontId="2" fillId="61" borderId="0" applyNumberFormat="0" applyBorder="0" applyAlignment="0" applyProtection="0"/>
    <xf numFmtId="0" fontId="2" fillId="63"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5" borderId="0" applyNumberFormat="0" applyBorder="0" applyAlignment="0" applyProtection="0"/>
    <xf numFmtId="0" fontId="2" fillId="0" borderId="0"/>
    <xf numFmtId="0" fontId="2" fillId="62" borderId="24" applyNumberFormat="0" applyFont="0" applyAlignment="0" applyProtection="0"/>
    <xf numFmtId="0" fontId="2" fillId="0" borderId="0"/>
    <xf numFmtId="0" fontId="2" fillId="65" borderId="0" applyNumberFormat="0" applyBorder="0" applyAlignment="0" applyProtection="0"/>
    <xf numFmtId="0" fontId="2" fillId="0" borderId="0"/>
    <xf numFmtId="0" fontId="2" fillId="0" borderId="0"/>
    <xf numFmtId="0" fontId="2" fillId="65" borderId="0" applyNumberFormat="0" applyBorder="0" applyAlignment="0" applyProtection="0"/>
    <xf numFmtId="0" fontId="2" fillId="0" borderId="0"/>
    <xf numFmtId="0" fontId="2" fillId="0" borderId="0"/>
    <xf numFmtId="0" fontId="2" fillId="61" borderId="0" applyNumberFormat="0" applyBorder="0" applyAlignment="0" applyProtection="0"/>
    <xf numFmtId="0" fontId="2" fillId="0" borderId="0"/>
    <xf numFmtId="0" fontId="2" fillId="0" borderId="0"/>
    <xf numFmtId="0" fontId="16" fillId="0" borderId="0"/>
    <xf numFmtId="0" fontId="2" fillId="0" borderId="0"/>
    <xf numFmtId="0" fontId="2" fillId="61"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0" borderId="0"/>
    <xf numFmtId="0" fontId="2" fillId="56" borderId="0" applyNumberFormat="0" applyBorder="0" applyAlignment="0" applyProtection="0"/>
    <xf numFmtId="0" fontId="2" fillId="0" borderId="0"/>
    <xf numFmtId="0" fontId="2" fillId="60"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56" borderId="0" applyNumberFormat="0" applyBorder="0" applyAlignment="0" applyProtection="0"/>
    <xf numFmtId="0" fontId="2" fillId="0" borderId="0"/>
    <xf numFmtId="0" fontId="2" fillId="0" borderId="0"/>
    <xf numFmtId="0" fontId="2" fillId="0" borderId="0"/>
    <xf numFmtId="0" fontId="2" fillId="3" borderId="0" applyNumberFormat="0" applyBorder="0" applyAlignment="0" applyProtection="0"/>
    <xf numFmtId="0" fontId="2" fillId="0" borderId="0"/>
    <xf numFmtId="0" fontId="2" fillId="0" borderId="0"/>
    <xf numFmtId="0" fontId="2" fillId="0" borderId="0"/>
    <xf numFmtId="0" fontId="2" fillId="0" borderId="0"/>
    <xf numFmtId="0" fontId="2" fillId="56" borderId="0" applyNumberFormat="0" applyBorder="0" applyAlignment="0" applyProtection="0"/>
    <xf numFmtId="0" fontId="2" fillId="0" borderId="0"/>
    <xf numFmtId="0" fontId="2" fillId="0" borderId="0"/>
    <xf numFmtId="0" fontId="2" fillId="0" borderId="0"/>
    <xf numFmtId="0" fontId="2" fillId="63"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0" borderId="0"/>
    <xf numFmtId="0" fontId="2" fillId="60" borderId="0" applyNumberFormat="0" applyBorder="0" applyAlignment="0" applyProtection="0"/>
    <xf numFmtId="0" fontId="2" fillId="0" borderId="0"/>
    <xf numFmtId="0" fontId="2" fillId="60" borderId="0" applyNumberFormat="0" applyBorder="0" applyAlignment="0" applyProtection="0"/>
    <xf numFmtId="0" fontId="2" fillId="0" borderId="0"/>
    <xf numFmtId="0" fontId="32" fillId="0" borderId="0"/>
    <xf numFmtId="0" fontId="2" fillId="54" borderId="0" applyNumberFormat="0" applyBorder="0" applyAlignment="0" applyProtection="0"/>
    <xf numFmtId="0" fontId="2" fillId="0" borderId="0"/>
    <xf numFmtId="0" fontId="35" fillId="0" borderId="0"/>
    <xf numFmtId="0" fontId="2" fillId="63" borderId="0" applyNumberFormat="0" applyBorder="0" applyAlignment="0" applyProtection="0"/>
    <xf numFmtId="0" fontId="2" fillId="3"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0" borderId="0"/>
    <xf numFmtId="0" fontId="2" fillId="0" borderId="0"/>
    <xf numFmtId="0" fontId="2" fillId="0" borderId="0"/>
    <xf numFmtId="0" fontId="16"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3" borderId="0" applyNumberFormat="0" applyBorder="0" applyAlignment="0" applyProtection="0"/>
    <xf numFmtId="0" fontId="2" fillId="0" borderId="0"/>
    <xf numFmtId="0" fontId="2" fillId="0" borderId="0"/>
    <xf numFmtId="0" fontId="2" fillId="0" borderId="0"/>
    <xf numFmtId="0" fontId="2" fillId="0" borderId="0"/>
    <xf numFmtId="0" fontId="2" fillId="54" borderId="0" applyNumberFormat="0" applyBorder="0" applyAlignment="0" applyProtection="0"/>
    <xf numFmtId="0" fontId="2" fillId="11" borderId="0" applyNumberFormat="0" applyBorder="0" applyAlignment="0" applyProtection="0"/>
    <xf numFmtId="0" fontId="2" fillId="0" borderId="0"/>
    <xf numFmtId="0" fontId="2" fillId="63" borderId="0" applyNumberFormat="0" applyBorder="0" applyAlignment="0" applyProtection="0"/>
    <xf numFmtId="0" fontId="2" fillId="54" borderId="0" applyNumberFormat="0" applyBorder="0" applyAlignment="0" applyProtection="0"/>
    <xf numFmtId="0" fontId="2" fillId="0" borderId="0"/>
    <xf numFmtId="0" fontId="2" fillId="0" borderId="0"/>
    <xf numFmtId="0" fontId="2" fillId="64" borderId="0" applyNumberFormat="0" applyBorder="0" applyAlignment="0" applyProtection="0"/>
    <xf numFmtId="0" fontId="2" fillId="0" borderId="0"/>
    <xf numFmtId="0" fontId="2" fillId="11" borderId="0" applyNumberFormat="0" applyBorder="0" applyAlignment="0" applyProtection="0"/>
    <xf numFmtId="0" fontId="2" fillId="59" borderId="0" applyNumberFormat="0" applyBorder="0" applyAlignment="0" applyProtection="0"/>
    <xf numFmtId="0" fontId="2" fillId="0" borderId="0"/>
    <xf numFmtId="0" fontId="2" fillId="11"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0" borderId="0"/>
    <xf numFmtId="0" fontId="2" fillId="11"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0" borderId="0"/>
    <xf numFmtId="0" fontId="2" fillId="54"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16" fillId="0" borderId="0"/>
    <xf numFmtId="0" fontId="2" fillId="62" borderId="24" applyNumberFormat="0" applyFont="0" applyAlignment="0" applyProtection="0"/>
    <xf numFmtId="0" fontId="2" fillId="0" borderId="0"/>
    <xf numFmtId="0" fontId="2" fillId="0" borderId="0"/>
    <xf numFmtId="0" fontId="2" fillId="0" borderId="0"/>
    <xf numFmtId="0" fontId="2" fillId="0" borderId="0"/>
    <xf numFmtId="0" fontId="2" fillId="59"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59" borderId="0" applyNumberFormat="0" applyBorder="0" applyAlignment="0" applyProtection="0"/>
    <xf numFmtId="0" fontId="2" fillId="0" borderId="0"/>
    <xf numFmtId="0" fontId="2" fillId="0" borderId="0"/>
    <xf numFmtId="0" fontId="2" fillId="59"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59" borderId="0" applyNumberFormat="0" applyBorder="0" applyAlignment="0" applyProtection="0"/>
    <xf numFmtId="0" fontId="2" fillId="0" borderId="0"/>
    <xf numFmtId="0" fontId="2" fillId="0" borderId="0"/>
    <xf numFmtId="0" fontId="2" fillId="59"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0" borderId="0"/>
    <xf numFmtId="0" fontId="2" fillId="60"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59" borderId="0" applyNumberFormat="0" applyBorder="0" applyAlignment="0" applyProtection="0"/>
    <xf numFmtId="0" fontId="2" fillId="66"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0" borderId="0"/>
    <xf numFmtId="0" fontId="2" fillId="59" borderId="0" applyNumberFormat="0" applyBorder="0" applyAlignment="0" applyProtection="0"/>
    <xf numFmtId="0" fontId="2" fillId="66"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0" borderId="0"/>
    <xf numFmtId="0" fontId="2" fillId="62" borderId="24" applyNumberFormat="0" applyFont="0" applyAlignment="0" applyProtection="0"/>
    <xf numFmtId="0" fontId="12" fillId="0" borderId="0"/>
    <xf numFmtId="0" fontId="2" fillId="0" borderId="0"/>
    <xf numFmtId="0" fontId="2" fillId="0" borderId="0"/>
    <xf numFmtId="0" fontId="2" fillId="5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0" borderId="0"/>
    <xf numFmtId="0" fontId="2" fillId="3" borderId="0" applyNumberFormat="0" applyBorder="0" applyAlignment="0" applyProtection="0"/>
    <xf numFmtId="0" fontId="2" fillId="0" borderId="0"/>
    <xf numFmtId="0" fontId="2" fillId="0" borderId="0"/>
    <xf numFmtId="0" fontId="2" fillId="0" borderId="0"/>
    <xf numFmtId="0" fontId="2" fillId="0" borderId="0"/>
    <xf numFmtId="0" fontId="2" fillId="56" borderId="0" applyNumberFormat="0" applyBorder="0" applyAlignment="0" applyProtection="0"/>
    <xf numFmtId="0" fontId="2" fillId="0" borderId="0"/>
    <xf numFmtId="0" fontId="2" fillId="0" borderId="0"/>
    <xf numFmtId="0" fontId="2" fillId="0" borderId="0"/>
    <xf numFmtId="0" fontId="2" fillId="56"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5" borderId="0" applyNumberFormat="0" applyBorder="0" applyAlignment="0" applyProtection="0"/>
    <xf numFmtId="0" fontId="2" fillId="56"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62" borderId="24" applyNumberFormat="0" applyFont="0" applyAlignment="0" applyProtection="0"/>
    <xf numFmtId="0" fontId="2" fillId="56" borderId="0" applyNumberFormat="0" applyBorder="0" applyAlignment="0" applyProtection="0"/>
    <xf numFmtId="0" fontId="2" fillId="0" borderId="0"/>
    <xf numFmtId="0" fontId="2" fillId="0" borderId="0"/>
    <xf numFmtId="0" fontId="2" fillId="62" borderId="24" applyNumberFormat="0" applyFont="0" applyAlignment="0" applyProtection="0"/>
    <xf numFmtId="0" fontId="2" fillId="56" borderId="0" applyNumberFormat="0" applyBorder="0" applyAlignment="0" applyProtection="0"/>
    <xf numFmtId="0" fontId="2" fillId="0" borderId="0"/>
    <xf numFmtId="0" fontId="2" fillId="62" borderId="24" applyNumberFormat="0" applyFont="0" applyAlignment="0" applyProtection="0"/>
    <xf numFmtId="0" fontId="2" fillId="56" borderId="0" applyNumberFormat="0" applyBorder="0" applyAlignment="0" applyProtection="0"/>
    <xf numFmtId="0" fontId="2" fillId="0" borderId="0"/>
    <xf numFmtId="0" fontId="2" fillId="62" borderId="24" applyNumberFormat="0" applyFont="0" applyAlignment="0" applyProtection="0"/>
    <xf numFmtId="0" fontId="2" fillId="56" borderId="0" applyNumberFormat="0" applyBorder="0" applyAlignment="0" applyProtection="0"/>
    <xf numFmtId="0" fontId="2" fillId="0" borderId="0"/>
    <xf numFmtId="0" fontId="2" fillId="62" borderId="24" applyNumberFormat="0" applyFont="0" applyAlignment="0" applyProtection="0"/>
    <xf numFmtId="0" fontId="2" fillId="56" borderId="0" applyNumberFormat="0" applyBorder="0" applyAlignment="0" applyProtection="0"/>
    <xf numFmtId="0" fontId="2" fillId="0" borderId="0"/>
    <xf numFmtId="0" fontId="2" fillId="62" borderId="24" applyNumberFormat="0" applyFont="0" applyAlignment="0" applyProtection="0"/>
    <xf numFmtId="0" fontId="2" fillId="5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6" borderId="0" applyNumberFormat="0" applyBorder="0" applyAlignment="0" applyProtection="0"/>
    <xf numFmtId="0" fontId="2" fillId="56" borderId="0" applyNumberFormat="0" applyBorder="0" applyAlignment="0" applyProtection="0"/>
    <xf numFmtId="0" fontId="2" fillId="0" borderId="0"/>
    <xf numFmtId="0" fontId="2" fillId="0" borderId="0"/>
    <xf numFmtId="0" fontId="20" fillId="0" borderId="27" applyNumberFormat="0" applyFill="0" applyAlignment="0" applyProtection="0"/>
    <xf numFmtId="0" fontId="19" fillId="0" borderId="19" applyNumberFormat="0" applyFill="0" applyAlignment="0" applyProtection="0"/>
    <xf numFmtId="0" fontId="2" fillId="65" borderId="0" applyNumberFormat="0" applyBorder="0" applyAlignment="0" applyProtection="0"/>
    <xf numFmtId="0" fontId="18" fillId="0" borderId="18" applyNumberFormat="0" applyFill="0" applyAlignment="0" applyProtection="0"/>
    <xf numFmtId="0" fontId="22" fillId="74" borderId="0" applyNumberFormat="0" applyBorder="0" applyAlignment="0" applyProtection="0"/>
    <xf numFmtId="0" fontId="2" fillId="0" borderId="0"/>
    <xf numFmtId="0" fontId="2" fillId="66" borderId="0" applyNumberFormat="0" applyBorder="0" applyAlignment="0" applyProtection="0"/>
    <xf numFmtId="0" fontId="22" fillId="74" borderId="0" applyNumberFormat="0" applyBorder="0" applyAlignment="0" applyProtection="0"/>
    <xf numFmtId="0" fontId="7" fillId="75"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0" borderId="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0" borderId="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0" borderId="0"/>
    <xf numFmtId="0" fontId="2" fillId="66"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54"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0" borderId="0"/>
    <xf numFmtId="0" fontId="2" fillId="0" borderId="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0" borderId="0"/>
    <xf numFmtId="0" fontId="2" fillId="12" borderId="0" applyNumberFormat="0" applyBorder="0" applyAlignment="0" applyProtection="0"/>
    <xf numFmtId="0" fontId="2" fillId="54"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62" borderId="24" applyNumberFormat="0" applyFont="0" applyAlignment="0" applyProtection="0"/>
    <xf numFmtId="0" fontId="2" fillId="12"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0" borderId="0"/>
    <xf numFmtId="0" fontId="2" fillId="62" borderId="24" applyNumberFormat="0" applyFont="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1" borderId="0" applyNumberFormat="0" applyBorder="0" applyAlignment="0" applyProtection="0"/>
    <xf numFmtId="0" fontId="2" fillId="0" borderId="0"/>
    <xf numFmtId="0" fontId="2" fillId="62" borderId="24" applyNumberFormat="0" applyFont="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6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0" borderId="0"/>
    <xf numFmtId="0" fontId="2" fillId="60"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6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3" fillId="6" borderId="14" applyNumberFormat="0" applyAlignment="0" applyProtection="0"/>
    <xf numFmtId="0" fontId="2" fillId="62" borderId="24" applyNumberFormat="0" applyFont="0" applyAlignment="0" applyProtection="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0" borderId="0"/>
    <xf numFmtId="0" fontId="2" fillId="5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3" fillId="6" borderId="14" applyNumberFormat="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0" borderId="0"/>
    <xf numFmtId="0" fontId="7" fillId="85"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0" borderId="0"/>
    <xf numFmtId="0" fontId="2" fillId="62" borderId="24" applyNumberFormat="0" applyFont="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54"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0" borderId="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60"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12"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64"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12"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12" borderId="0" applyNumberFormat="0" applyBorder="0" applyAlignment="0" applyProtection="0"/>
    <xf numFmtId="0" fontId="2" fillId="0" borderId="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65"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0" borderId="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66"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0" borderId="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0" borderId="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0" borderId="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65"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2" borderId="24" applyNumberFormat="0" applyFont="0" applyAlignment="0" applyProtection="0"/>
    <xf numFmtId="0" fontId="2" fillId="5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5"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12"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0" borderId="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0" borderId="0"/>
    <xf numFmtId="0" fontId="2" fillId="12"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4"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0" borderId="0"/>
    <xf numFmtId="0" fontId="2" fillId="59"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0" borderId="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0" borderId="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0"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60"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0" borderId="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12" borderId="0" applyNumberFormat="0" applyBorder="0" applyAlignment="0" applyProtection="0"/>
    <xf numFmtId="0" fontId="2" fillId="65" borderId="0" applyNumberFormat="0" applyBorder="0" applyAlignment="0" applyProtection="0"/>
    <xf numFmtId="0" fontId="2" fillId="0" borderId="0"/>
    <xf numFmtId="0" fontId="2" fillId="12"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0" borderId="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0" borderId="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3"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0"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65"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59"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0" borderId="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0" borderId="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0" borderId="0"/>
    <xf numFmtId="0" fontId="2" fillId="60" borderId="0" applyNumberFormat="0" applyBorder="0" applyAlignment="0" applyProtection="0"/>
    <xf numFmtId="0" fontId="2" fillId="65" borderId="0" applyNumberFormat="0" applyBorder="0" applyAlignment="0" applyProtection="0"/>
    <xf numFmtId="0" fontId="2" fillId="0" borderId="0"/>
    <xf numFmtId="0" fontId="16" fillId="0" borderId="0"/>
    <xf numFmtId="0" fontId="2" fillId="0" borderId="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0" borderId="0"/>
    <xf numFmtId="0" fontId="2" fillId="6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12" borderId="0" applyNumberFormat="0" applyBorder="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3"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59"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59"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0" borderId="0"/>
    <xf numFmtId="0" fontId="2" fillId="65"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0" borderId="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60" borderId="0" applyNumberFormat="0" applyBorder="0" applyAlignment="0" applyProtection="0"/>
    <xf numFmtId="0" fontId="2" fillId="12" borderId="0" applyNumberFormat="0" applyBorder="0" applyAlignment="0" applyProtection="0"/>
    <xf numFmtId="0" fontId="2" fillId="0" borderId="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5"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0" borderId="0"/>
    <xf numFmtId="0" fontId="2" fillId="1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1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3"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0" borderId="0"/>
    <xf numFmtId="0" fontId="2" fillId="1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54"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59"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9"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0" borderId="0"/>
    <xf numFmtId="0" fontId="2" fillId="59"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1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0" borderId="0"/>
    <xf numFmtId="0" fontId="2" fillId="62" borderId="24" applyNumberFormat="0" applyFont="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4"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1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0" borderId="0"/>
    <xf numFmtId="0" fontId="2" fillId="61" borderId="0" applyNumberFormat="0" applyBorder="0" applyAlignment="0" applyProtection="0"/>
    <xf numFmtId="0" fontId="2" fillId="12" borderId="0" applyNumberFormat="0" applyBorder="0" applyAlignment="0" applyProtection="0"/>
    <xf numFmtId="0" fontId="2" fillId="0" borderId="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0" borderId="0"/>
    <xf numFmtId="0" fontId="2" fillId="6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66"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1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2" borderId="24" applyNumberFormat="0" applyFont="0" applyAlignment="0" applyProtection="0"/>
    <xf numFmtId="0" fontId="2" fillId="6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0" borderId="0"/>
    <xf numFmtId="0" fontId="2" fillId="61" borderId="0" applyNumberFormat="0" applyBorder="0" applyAlignment="0" applyProtection="0"/>
    <xf numFmtId="0" fontId="2" fillId="11" borderId="0" applyNumberFormat="0" applyBorder="0" applyAlignment="0" applyProtection="0"/>
    <xf numFmtId="0" fontId="2" fillId="0" borderId="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64"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5"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7" fillId="2"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7" fillId="2"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0" borderId="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0" borderId="0"/>
    <xf numFmtId="0" fontId="2" fillId="61" borderId="0" applyNumberFormat="0" applyBorder="0" applyAlignment="0" applyProtection="0"/>
    <xf numFmtId="0" fontId="2" fillId="63" borderId="0" applyNumberFormat="0" applyBorder="0" applyAlignment="0" applyProtection="0"/>
    <xf numFmtId="0" fontId="2" fillId="0" borderId="0"/>
    <xf numFmtId="0" fontId="2" fillId="61" borderId="0" applyNumberFormat="0" applyBorder="0" applyAlignment="0" applyProtection="0"/>
    <xf numFmtId="0" fontId="2" fillId="63"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7" fillId="8"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6" fillId="84" borderId="21" applyNumberFormat="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2" borderId="24" applyNumberFormat="0" applyFont="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6"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5"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1" borderId="0" applyNumberFormat="0" applyBorder="0" applyAlignment="0" applyProtection="0"/>
    <xf numFmtId="0" fontId="2" fillId="0" borderId="0"/>
    <xf numFmtId="0" fontId="2" fillId="6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61" borderId="0" applyNumberFormat="0" applyBorder="0" applyAlignment="0" applyProtection="0"/>
    <xf numFmtId="0" fontId="2" fillId="0" borderId="0"/>
    <xf numFmtId="0" fontId="2" fillId="5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65"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0" borderId="0"/>
    <xf numFmtId="0" fontId="2" fillId="0" borderId="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2" borderId="24" applyNumberFormat="0" applyFont="0" applyAlignment="0" applyProtection="0"/>
    <xf numFmtId="0" fontId="2" fillId="0" borderId="0"/>
    <xf numFmtId="0" fontId="2" fillId="65"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1" borderId="0" applyNumberFormat="0" applyBorder="0" applyAlignment="0" applyProtection="0"/>
    <xf numFmtId="0" fontId="2" fillId="0" borderId="0"/>
    <xf numFmtId="0" fontId="2" fillId="65"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61"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61" borderId="0" applyNumberFormat="0" applyBorder="0" applyAlignment="0" applyProtection="0"/>
    <xf numFmtId="0" fontId="2" fillId="0" borderId="0"/>
    <xf numFmtId="0" fontId="2" fillId="62" borderId="24" applyNumberFormat="0" applyFont="0" applyAlignment="0" applyProtection="0"/>
    <xf numFmtId="0" fontId="2" fillId="64"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0" borderId="0"/>
    <xf numFmtId="0" fontId="2" fillId="62" borderId="24" applyNumberFormat="0" applyFont="0" applyAlignment="0" applyProtection="0"/>
    <xf numFmtId="0" fontId="2" fillId="64"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0" borderId="0"/>
    <xf numFmtId="0" fontId="2" fillId="6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0" borderId="0"/>
    <xf numFmtId="0" fontId="2" fillId="6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5" borderId="0" applyNumberFormat="0" applyBorder="0" applyAlignment="0" applyProtection="0"/>
    <xf numFmtId="0" fontId="2" fillId="0" borderId="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0" borderId="0"/>
    <xf numFmtId="0" fontId="2" fillId="64"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64"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54"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59" borderId="0" applyNumberFormat="0" applyBorder="0" applyAlignment="0" applyProtection="0"/>
    <xf numFmtId="0" fontId="2" fillId="0" borderId="0"/>
    <xf numFmtId="0" fontId="2" fillId="66"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3"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0" borderId="0"/>
    <xf numFmtId="0" fontId="2" fillId="6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62" borderId="24" applyNumberFormat="0" applyFont="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4" borderId="0" applyNumberFormat="0" applyBorder="0" applyAlignment="0" applyProtection="0"/>
    <xf numFmtId="0" fontId="2" fillId="0" borderId="0"/>
    <xf numFmtId="0" fontId="2" fillId="61" borderId="0" applyNumberFormat="0" applyBorder="0" applyAlignment="0" applyProtection="0"/>
    <xf numFmtId="0" fontId="2" fillId="59"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59"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65"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0" borderId="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0" borderId="0"/>
    <xf numFmtId="0" fontId="2" fillId="65"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4" borderId="0" applyNumberFormat="0" applyBorder="0" applyAlignment="0" applyProtection="0"/>
    <xf numFmtId="0" fontId="2" fillId="0" borderId="0"/>
    <xf numFmtId="0" fontId="2" fillId="61" borderId="0" applyNumberFormat="0" applyBorder="0" applyAlignment="0" applyProtection="0"/>
    <xf numFmtId="0" fontId="2" fillId="54" borderId="0" applyNumberFormat="0" applyBorder="0" applyAlignment="0" applyProtection="0"/>
    <xf numFmtId="0" fontId="2" fillId="0" borderId="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62" borderId="24" applyNumberFormat="0" applyFont="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0" borderId="0"/>
    <xf numFmtId="0" fontId="2" fillId="0" borderId="0"/>
    <xf numFmtId="0" fontId="2" fillId="61" borderId="0" applyNumberFormat="0" applyBorder="0" applyAlignment="0" applyProtection="0"/>
    <xf numFmtId="0" fontId="2" fillId="62" borderId="24" applyNumberFormat="0" applyFont="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0" borderId="0"/>
    <xf numFmtId="0" fontId="2" fillId="62" borderId="24" applyNumberFormat="0" applyFont="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0" borderId="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6"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2" borderId="24" applyNumberFormat="0" applyFont="0" applyAlignment="0" applyProtection="0"/>
    <xf numFmtId="0" fontId="2" fillId="0" borderId="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0" borderId="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0" borderId="0"/>
    <xf numFmtId="0" fontId="2" fillId="11" borderId="0" applyNumberFormat="0" applyBorder="0" applyAlignment="0" applyProtection="0"/>
    <xf numFmtId="164" fontId="2" fillId="0" borderId="0" applyFont="0" applyFill="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164" fontId="2" fillId="0" borderId="0" applyFont="0" applyFill="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164" fontId="2" fillId="0" borderId="0" applyFont="0" applyFill="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1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61"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6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6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0" borderId="0"/>
    <xf numFmtId="0" fontId="2" fillId="54"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3" borderId="0" applyNumberFormat="0" applyBorder="0" applyAlignment="0" applyProtection="0"/>
    <xf numFmtId="0" fontId="2" fillId="0" borderId="0"/>
    <xf numFmtId="0" fontId="2" fillId="5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5" borderId="0" applyNumberFormat="0" applyBorder="0" applyAlignment="0" applyProtection="0"/>
    <xf numFmtId="0" fontId="2" fillId="0" borderId="0"/>
    <xf numFmtId="0" fontId="2" fillId="6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65"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0" borderId="0"/>
    <xf numFmtId="0" fontId="2" fillId="3"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3"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0" borderId="0"/>
    <xf numFmtId="0" fontId="2" fillId="3"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0" borderId="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62" borderId="24" applyNumberFormat="0" applyFont="0" applyAlignment="0" applyProtection="0"/>
    <xf numFmtId="0" fontId="2" fillId="60" borderId="0" applyNumberFormat="0" applyBorder="0" applyAlignment="0" applyProtection="0"/>
    <xf numFmtId="0" fontId="2" fillId="3" borderId="0" applyNumberFormat="0" applyBorder="0" applyAlignment="0" applyProtection="0"/>
    <xf numFmtId="0" fontId="2" fillId="0" borderId="0"/>
    <xf numFmtId="0" fontId="2" fillId="12"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0" borderId="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0" borderId="0"/>
    <xf numFmtId="0" fontId="2" fillId="3"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0" borderId="0"/>
    <xf numFmtId="0" fontId="2" fillId="65"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4" fillId="79" borderId="21" applyNumberFormat="0" applyAlignment="0" applyProtection="0"/>
    <xf numFmtId="0" fontId="2" fillId="0" borderId="0"/>
    <xf numFmtId="0" fontId="2" fillId="0" borderId="0"/>
    <xf numFmtId="0" fontId="2" fillId="56" borderId="0" applyNumberFormat="0" applyBorder="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0" borderId="0"/>
    <xf numFmtId="0" fontId="2" fillId="62" borderId="24" applyNumberFormat="0" applyFont="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60"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62" borderId="24" applyNumberFormat="0" applyFont="0" applyAlignment="0" applyProtection="0"/>
    <xf numFmtId="0" fontId="2" fillId="66"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3"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0" borderId="0"/>
    <xf numFmtId="0" fontId="2" fillId="0" borderId="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0" borderId="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66"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54"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0" borderId="0"/>
    <xf numFmtId="0" fontId="2" fillId="62" borderId="24" applyNumberFormat="0" applyFont="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0" borderId="0"/>
    <xf numFmtId="0" fontId="2" fillId="61"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9" fontId="34" fillId="55" borderId="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2"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11" borderId="0" applyNumberFormat="0" applyBorder="0" applyAlignment="0" applyProtection="0"/>
    <xf numFmtId="0" fontId="2" fillId="0" borderId="0"/>
    <xf numFmtId="0" fontId="2" fillId="65"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0" borderId="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33" fillId="48"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0" borderId="0"/>
    <xf numFmtId="0" fontId="2" fillId="63"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0" borderId="0"/>
    <xf numFmtId="0" fontId="2" fillId="11"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0" borderId="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16" fillId="0" borderId="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0" borderId="0"/>
    <xf numFmtId="0" fontId="2" fillId="60"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0" borderId="0"/>
    <xf numFmtId="0" fontId="2" fillId="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0" borderId="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0" borderId="0"/>
    <xf numFmtId="0" fontId="2" fillId="11"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0" borderId="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0" borderId="0"/>
    <xf numFmtId="0" fontId="2" fillId="0" borderId="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0" borderId="0"/>
    <xf numFmtId="0" fontId="2" fillId="1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0" borderId="0"/>
    <xf numFmtId="0" fontId="2" fillId="5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0" borderId="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35" fillId="0" borderId="0"/>
    <xf numFmtId="0" fontId="2" fillId="11" borderId="0" applyNumberFormat="0" applyBorder="0" applyAlignment="0" applyProtection="0"/>
    <xf numFmtId="174"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0" borderId="0"/>
    <xf numFmtId="0" fontId="2" fillId="1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62" borderId="24" applyNumberFormat="0" applyFont="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65" borderId="0" applyNumberFormat="0" applyBorder="0" applyAlignment="0" applyProtection="0"/>
    <xf numFmtId="0" fontId="2" fillId="56"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0" borderId="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0" borderId="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0" borderId="0"/>
    <xf numFmtId="0" fontId="2" fillId="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0" borderId="0"/>
    <xf numFmtId="0" fontId="2" fillId="65"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0" borderId="0"/>
    <xf numFmtId="0" fontId="2" fillId="65"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4" fillId="79" borderId="21" applyNumberFormat="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0" borderId="0"/>
    <xf numFmtId="0" fontId="2" fillId="6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11"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0" borderId="0"/>
    <xf numFmtId="0" fontId="2" fillId="6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0" borderId="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0" borderId="0"/>
    <xf numFmtId="0" fontId="2" fillId="66"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0" borderId="0"/>
    <xf numFmtId="0" fontId="2" fillId="6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5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0" borderId="0"/>
    <xf numFmtId="0" fontId="2" fillId="64"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0" borderId="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0" borderId="0"/>
    <xf numFmtId="0" fontId="2" fillId="64"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0" borderId="0"/>
    <xf numFmtId="0" fontId="2" fillId="65"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7" fillId="10"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3"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0" borderId="0"/>
    <xf numFmtId="0" fontId="2" fillId="11"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0" borderId="0"/>
    <xf numFmtId="0" fontId="2" fillId="0" borderId="0"/>
    <xf numFmtId="0" fontId="2" fillId="54"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0" borderId="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7" fillId="71"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8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7" fillId="58"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7" fillId="58"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5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0" borderId="0"/>
    <xf numFmtId="0" fontId="2" fillId="0" borderId="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0" borderId="0"/>
    <xf numFmtId="0" fontId="2" fillId="54"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8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0" borderId="0"/>
    <xf numFmtId="0" fontId="2" fillId="6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0" borderId="0"/>
    <xf numFmtId="0" fontId="2" fillId="6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6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1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87"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7" fillId="7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0" borderId="0"/>
    <xf numFmtId="0" fontId="2" fillId="0" borderId="0"/>
    <xf numFmtId="0" fontId="2" fillId="64" borderId="0" applyNumberFormat="0" applyBorder="0" applyAlignment="0" applyProtection="0"/>
    <xf numFmtId="0" fontId="2" fillId="0" borderId="0"/>
    <xf numFmtId="0" fontId="2" fillId="64" borderId="0" applyNumberFormat="0" applyBorder="0" applyAlignment="0" applyProtection="0"/>
    <xf numFmtId="0" fontId="2" fillId="62" borderId="24" applyNumberFormat="0" applyFont="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0" borderId="0"/>
    <xf numFmtId="0" fontId="2" fillId="0" borderId="0"/>
    <xf numFmtId="0" fontId="2" fillId="6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0" borderId="0"/>
    <xf numFmtId="0" fontId="2" fillId="0" borderId="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0" borderId="0"/>
    <xf numFmtId="0" fontId="2" fillId="59"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0" borderId="0"/>
    <xf numFmtId="0" fontId="2" fillId="64" borderId="0" applyNumberFormat="0" applyBorder="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6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0" borderId="0"/>
    <xf numFmtId="0" fontId="2" fillId="62" borderId="24" applyNumberFormat="0" applyFont="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2" borderId="0" applyNumberFormat="0" applyBorder="0" applyAlignment="0" applyProtection="0"/>
    <xf numFmtId="0" fontId="2" fillId="0" borderId="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0" borderId="0"/>
    <xf numFmtId="0" fontId="2" fillId="54"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64" borderId="0" applyNumberFormat="0" applyBorder="0" applyAlignment="0" applyProtection="0"/>
    <xf numFmtId="0" fontId="2" fillId="0" borderId="0"/>
    <xf numFmtId="0" fontId="2" fillId="5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54"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0" borderId="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0" borderId="0"/>
    <xf numFmtId="0" fontId="2" fillId="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64"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4"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0" borderId="0"/>
    <xf numFmtId="0" fontId="2" fillId="6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6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0" borderId="0"/>
    <xf numFmtId="0" fontId="2" fillId="64"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0" borderId="0"/>
    <xf numFmtId="0" fontId="2" fillId="62" borderId="24" applyNumberFormat="0" applyFont="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0" borderId="0"/>
    <xf numFmtId="0" fontId="2" fillId="62" borderId="24" applyNumberFormat="0" applyFont="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0" borderId="0"/>
    <xf numFmtId="0" fontId="2" fillId="62" borderId="24" applyNumberFormat="0" applyFont="0" applyAlignment="0" applyProtection="0"/>
    <xf numFmtId="0" fontId="2" fillId="54" borderId="0" applyNumberFormat="0" applyBorder="0" applyAlignment="0" applyProtection="0"/>
    <xf numFmtId="0" fontId="2" fillId="54" borderId="0" applyNumberFormat="0" applyBorder="0" applyAlignment="0" applyProtection="0"/>
    <xf numFmtId="0" fontId="2" fillId="7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0" borderId="0"/>
    <xf numFmtId="0" fontId="2" fillId="59"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12"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0" borderId="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12" borderId="0" applyNumberFormat="0" applyBorder="0" applyAlignment="0" applyProtection="0"/>
    <xf numFmtId="0" fontId="7" fillId="85"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11"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0" borderId="0"/>
    <xf numFmtId="0" fontId="2" fillId="59"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0" borderId="0"/>
    <xf numFmtId="0" fontId="2" fillId="65"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6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164" fontId="2" fillId="0" borderId="0" applyFont="0" applyFill="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6" borderId="0" applyNumberFormat="0" applyBorder="0" applyAlignment="0" applyProtection="0"/>
    <xf numFmtId="0" fontId="2" fillId="0" borderId="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5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0" borderId="0"/>
    <xf numFmtId="0" fontId="2" fillId="65"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0" borderId="0"/>
    <xf numFmtId="0" fontId="2" fillId="6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54"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32" fillId="0" borderId="0"/>
    <xf numFmtId="0" fontId="2" fillId="11"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54" borderId="0" applyNumberFormat="0" applyBorder="0" applyAlignment="0" applyProtection="0"/>
    <xf numFmtId="0" fontId="2" fillId="63" borderId="0" applyNumberFormat="0" applyBorder="0" applyAlignment="0" applyProtection="0"/>
    <xf numFmtId="0" fontId="2" fillId="0" borderId="0"/>
    <xf numFmtId="0" fontId="2" fillId="66" borderId="0" applyNumberFormat="0" applyBorder="0" applyAlignment="0" applyProtection="0"/>
    <xf numFmtId="0" fontId="2" fillId="54" borderId="0" applyNumberFormat="0" applyBorder="0" applyAlignment="0" applyProtection="0"/>
    <xf numFmtId="0" fontId="2" fillId="0" borderId="0"/>
    <xf numFmtId="0" fontId="2" fillId="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32" fillId="0" borderId="0"/>
    <xf numFmtId="0" fontId="2" fillId="0" borderId="0"/>
    <xf numFmtId="0" fontId="2" fillId="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0" borderId="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77"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0" borderId="0"/>
    <xf numFmtId="0" fontId="2" fillId="59"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11"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0" borderId="0"/>
    <xf numFmtId="0" fontId="2" fillId="59" borderId="0" applyNumberFormat="0" applyBorder="0" applyAlignment="0" applyProtection="0"/>
    <xf numFmtId="0" fontId="2" fillId="56" borderId="0" applyNumberFormat="0" applyBorder="0" applyAlignment="0" applyProtection="0"/>
    <xf numFmtId="0" fontId="2" fillId="0" borderId="0"/>
    <xf numFmtId="0" fontId="2" fillId="54"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54"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1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0" fillId="0" borderId="26" applyNumberFormat="0" applyFill="0" applyAlignment="0" applyProtection="0"/>
    <xf numFmtId="0" fontId="2" fillId="62" borderId="24" applyNumberFormat="0" applyFont="0" applyAlignment="0" applyProtection="0"/>
    <xf numFmtId="0" fontId="2" fillId="61" borderId="0" applyNumberFormat="0" applyBorder="0" applyAlignment="0" applyProtection="0"/>
    <xf numFmtId="0" fontId="2" fillId="0" borderId="0"/>
    <xf numFmtId="0" fontId="2" fillId="54"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0" borderId="0"/>
    <xf numFmtId="0" fontId="2" fillId="12"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0" borderId="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0" borderId="0"/>
    <xf numFmtId="0" fontId="2" fillId="66" borderId="0" applyNumberFormat="0" applyBorder="0" applyAlignment="0" applyProtection="0"/>
    <xf numFmtId="0" fontId="2" fillId="56" borderId="0" applyNumberFormat="0" applyBorder="0" applyAlignment="0" applyProtection="0"/>
    <xf numFmtId="0" fontId="2" fillId="0" borderId="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0" borderId="0"/>
    <xf numFmtId="0" fontId="2" fillId="11"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0" borderId="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33" fillId="48"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6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0" borderId="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0"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0" borderId="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0" borderId="0"/>
    <xf numFmtId="0" fontId="2" fillId="64"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11"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7" fillId="75"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59" borderId="0" applyNumberFormat="0" applyBorder="0" applyAlignment="0" applyProtection="0"/>
    <xf numFmtId="0" fontId="2" fillId="66" borderId="0" applyNumberFormat="0" applyBorder="0" applyAlignment="0" applyProtection="0"/>
    <xf numFmtId="0" fontId="2" fillId="0" borderId="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11" borderId="0" applyNumberFormat="0" applyBorder="0" applyAlignment="0" applyProtection="0"/>
    <xf numFmtId="0" fontId="2" fillId="60" borderId="0" applyNumberFormat="0" applyBorder="0" applyAlignment="0" applyProtection="0"/>
    <xf numFmtId="0" fontId="2" fillId="0" borderId="0"/>
    <xf numFmtId="0" fontId="2" fillId="66"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0" borderId="0"/>
    <xf numFmtId="0" fontId="2" fillId="62" borderId="24" applyNumberFormat="0" applyFont="0" applyAlignment="0" applyProtection="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5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59"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0" borderId="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0" borderId="0"/>
    <xf numFmtId="0" fontId="2" fillId="65"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16" fillId="0" borderId="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63"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0" borderId="0"/>
    <xf numFmtId="0" fontId="2" fillId="6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6" borderId="0" applyNumberFormat="0" applyBorder="0" applyAlignment="0" applyProtection="0"/>
    <xf numFmtId="0" fontId="2" fillId="0" borderId="0"/>
    <xf numFmtId="0" fontId="2" fillId="65"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6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0" borderId="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0" borderId="0"/>
    <xf numFmtId="0" fontId="2" fillId="11"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0" borderId="0"/>
    <xf numFmtId="0" fontId="2" fillId="63"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0" borderId="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0" borderId="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0" borderId="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9" fillId="0" borderId="0" applyNumberFormat="0" applyFill="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62" borderId="24" applyNumberFormat="0" applyFont="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59"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7" fillId="57"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0" borderId="0"/>
    <xf numFmtId="0" fontId="2" fillId="6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66"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0" borderId="0"/>
    <xf numFmtId="0" fontId="2" fillId="0" borderId="0"/>
    <xf numFmtId="0" fontId="2" fillId="62" borderId="24" applyNumberFormat="0" applyFont="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0" borderId="0"/>
    <xf numFmtId="0" fontId="2" fillId="3" borderId="0" applyNumberFormat="0" applyBorder="0" applyAlignment="0" applyProtection="0"/>
    <xf numFmtId="0" fontId="2" fillId="62" borderId="24" applyNumberFormat="0" applyFont="0" applyAlignment="0" applyProtection="0"/>
    <xf numFmtId="0" fontId="2" fillId="0" borderId="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6" borderId="0" applyNumberFormat="0" applyBorder="0" applyAlignment="0" applyProtection="0"/>
    <xf numFmtId="0" fontId="2" fillId="0" borderId="0"/>
    <xf numFmtId="0" fontId="2" fillId="62" borderId="24" applyNumberFormat="0" applyFont="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66" borderId="0" applyNumberFormat="0" applyBorder="0" applyAlignment="0" applyProtection="0"/>
    <xf numFmtId="0" fontId="2" fillId="54"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0" borderId="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0" borderId="0"/>
    <xf numFmtId="0" fontId="2" fillId="63"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0" borderId="0"/>
    <xf numFmtId="0" fontId="2" fillId="62" borderId="24" applyNumberFormat="0" applyFont="0" applyAlignment="0" applyProtection="0"/>
    <xf numFmtId="0" fontId="2" fillId="6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6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0" borderId="0"/>
    <xf numFmtId="0" fontId="2" fillId="6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0" borderId="0"/>
    <xf numFmtId="0" fontId="2" fillId="59"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60"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59"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0" borderId="0"/>
    <xf numFmtId="0" fontId="2" fillId="65"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12" fillId="0" borderId="0"/>
    <xf numFmtId="0" fontId="2" fillId="5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0" borderId="0"/>
    <xf numFmtId="0" fontId="2" fillId="66"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0" borderId="0"/>
    <xf numFmtId="0" fontId="2" fillId="61" borderId="0" applyNumberFormat="0" applyBorder="0" applyAlignment="0" applyProtection="0"/>
    <xf numFmtId="0" fontId="2" fillId="54"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0" borderId="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66"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62" borderId="24" applyNumberFormat="0" applyFont="0" applyAlignment="0" applyProtection="0"/>
    <xf numFmtId="0" fontId="2" fillId="0" borderId="0"/>
    <xf numFmtId="0" fontId="2" fillId="66" borderId="0" applyNumberFormat="0" applyBorder="0" applyAlignment="0" applyProtection="0"/>
    <xf numFmtId="0" fontId="2" fillId="0" borderId="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59"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0" borderId="0"/>
    <xf numFmtId="0" fontId="2" fillId="11"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66" borderId="0" applyNumberFormat="0" applyBorder="0" applyAlignment="0" applyProtection="0"/>
    <xf numFmtId="0" fontId="2" fillId="0" borderId="0"/>
    <xf numFmtId="0" fontId="2" fillId="6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0" borderId="0"/>
    <xf numFmtId="0" fontId="2" fillId="6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0" borderId="0"/>
    <xf numFmtId="0" fontId="2" fillId="59"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0" borderId="0"/>
    <xf numFmtId="0" fontId="2" fillId="59"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0" borderId="0"/>
    <xf numFmtId="0" fontId="2" fillId="65" borderId="0" applyNumberFormat="0" applyBorder="0" applyAlignment="0" applyProtection="0"/>
    <xf numFmtId="0" fontId="2" fillId="54"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59" borderId="0" applyNumberFormat="0" applyBorder="0" applyAlignment="0" applyProtection="0"/>
    <xf numFmtId="0" fontId="2" fillId="60"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59"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0" borderId="0"/>
    <xf numFmtId="0" fontId="2" fillId="59"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6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7" fillId="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60" borderId="0" applyNumberFormat="0" applyBorder="0" applyAlignment="0" applyProtection="0"/>
    <xf numFmtId="0" fontId="2" fillId="64" borderId="0" applyNumberFormat="0" applyBorder="0" applyAlignment="0" applyProtection="0"/>
    <xf numFmtId="0" fontId="2" fillId="0" borderId="0"/>
    <xf numFmtId="0" fontId="2" fillId="12"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0" borderId="0"/>
    <xf numFmtId="0" fontId="2" fillId="59"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60"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59" borderId="0" applyNumberFormat="0" applyBorder="0" applyAlignment="0" applyProtection="0"/>
    <xf numFmtId="0" fontId="2" fillId="65" borderId="0" applyNumberFormat="0" applyBorder="0" applyAlignment="0" applyProtection="0"/>
    <xf numFmtId="0" fontId="2" fillId="0" borderId="0"/>
    <xf numFmtId="0" fontId="2" fillId="59" borderId="0" applyNumberFormat="0" applyBorder="0" applyAlignment="0" applyProtection="0"/>
    <xf numFmtId="0" fontId="2" fillId="64" borderId="0" applyNumberFormat="0" applyBorder="0" applyAlignment="0" applyProtection="0"/>
    <xf numFmtId="0" fontId="2" fillId="0" borderId="0"/>
    <xf numFmtId="0" fontId="2" fillId="59"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0" borderId="0"/>
    <xf numFmtId="0" fontId="2" fillId="54"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0" borderId="0"/>
    <xf numFmtId="0" fontId="2" fillId="5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0" borderId="0"/>
    <xf numFmtId="0" fontId="2" fillId="0" borderId="0"/>
    <xf numFmtId="0" fontId="2" fillId="3"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12"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0" borderId="0"/>
    <xf numFmtId="0" fontId="2" fillId="65"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0" borderId="0"/>
    <xf numFmtId="0" fontId="2" fillId="59"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7" fillId="10"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7" fillId="8"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7" fillId="72"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5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12" fillId="0" borderId="0"/>
    <xf numFmtId="0" fontId="2" fillId="62" borderId="24" applyNumberFormat="0" applyFont="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0" borderId="0"/>
    <xf numFmtId="0" fontId="2" fillId="63"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6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0" borderId="0"/>
    <xf numFmtId="0" fontId="2" fillId="60"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0" borderId="0"/>
    <xf numFmtId="0" fontId="2" fillId="12"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0" borderId="0"/>
    <xf numFmtId="0" fontId="2" fillId="5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0" borderId="0"/>
    <xf numFmtId="0" fontId="2" fillId="6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0" borderId="0"/>
    <xf numFmtId="0" fontId="2" fillId="59"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0" borderId="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6" fillId="84" borderId="21" applyNumberFormat="0" applyAlignment="0" applyProtection="0"/>
    <xf numFmtId="0" fontId="2" fillId="62" borderId="24" applyNumberFormat="0" applyFont="0" applyAlignment="0" applyProtection="0"/>
    <xf numFmtId="0" fontId="2" fillId="61"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2" fillId="0" borderId="0"/>
    <xf numFmtId="0" fontId="2" fillId="3"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12" fillId="0" borderId="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0" borderId="0"/>
    <xf numFmtId="0" fontId="2" fillId="6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3" borderId="0" applyNumberFormat="0" applyBorder="0" applyAlignment="0" applyProtection="0"/>
    <xf numFmtId="0" fontId="2" fillId="59" borderId="0" applyNumberFormat="0" applyBorder="0" applyAlignment="0" applyProtection="0"/>
    <xf numFmtId="0" fontId="2" fillId="0" borderId="0"/>
    <xf numFmtId="0" fontId="2" fillId="62" borderId="24" applyNumberFormat="0" applyFont="0" applyAlignment="0" applyProtection="0"/>
    <xf numFmtId="0" fontId="2" fillId="63" borderId="0" applyNumberFormat="0" applyBorder="0" applyAlignment="0" applyProtection="0"/>
    <xf numFmtId="0" fontId="2" fillId="0" borderId="0"/>
    <xf numFmtId="0" fontId="2" fillId="66"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0" borderId="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65"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6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0" borderId="0"/>
    <xf numFmtId="0" fontId="2" fillId="59"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0" borderId="0"/>
    <xf numFmtId="0" fontId="2" fillId="6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0" borderId="0"/>
    <xf numFmtId="0" fontId="2" fillId="59"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59"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0" borderId="0"/>
    <xf numFmtId="0" fontId="2" fillId="6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0" borderId="0"/>
    <xf numFmtId="0" fontId="2" fillId="6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65"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7" fillId="7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0" borderId="0"/>
    <xf numFmtId="0" fontId="2" fillId="11" borderId="0" applyNumberFormat="0" applyBorder="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59" borderId="0" applyNumberFormat="0" applyBorder="0" applyAlignment="0" applyProtection="0"/>
    <xf numFmtId="0" fontId="2" fillId="0" borderId="0"/>
    <xf numFmtId="0" fontId="2" fillId="0" borderId="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62" borderId="24" applyNumberFormat="0" applyFont="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0" borderId="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9" borderId="0" applyNumberFormat="0" applyBorder="0" applyAlignment="0" applyProtection="0"/>
    <xf numFmtId="0" fontId="2" fillId="62" borderId="24" applyNumberFormat="0" applyFont="0" applyAlignment="0" applyProtection="0"/>
    <xf numFmtId="0" fontId="2" fillId="0" borderId="0"/>
    <xf numFmtId="0" fontId="2" fillId="12"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0" borderId="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60"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0" borderId="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65"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0" borderId="0"/>
    <xf numFmtId="0" fontId="2" fillId="12"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6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0" borderId="0"/>
    <xf numFmtId="0" fontId="2" fillId="6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7" fillId="7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59"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7" fillId="73" borderId="0" applyNumberFormat="0" applyBorder="0" applyAlignment="0" applyProtection="0"/>
    <xf numFmtId="0" fontId="2" fillId="64"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6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1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54"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7" fillId="72"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0" borderId="0"/>
    <xf numFmtId="0" fontId="2" fillId="59"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0" borderId="0"/>
    <xf numFmtId="0" fontId="2" fillId="0" borderId="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0" borderId="0"/>
    <xf numFmtId="0" fontId="2" fillId="59"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0" borderId="0"/>
    <xf numFmtId="0" fontId="2" fillId="65"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0" borderId="0"/>
    <xf numFmtId="0" fontId="2" fillId="59"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63"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0" borderId="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0" borderId="0"/>
    <xf numFmtId="0" fontId="2" fillId="12"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59"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0" borderId="0"/>
    <xf numFmtId="0" fontId="2" fillId="0" borderId="0"/>
    <xf numFmtId="0" fontId="2" fillId="59"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164" fontId="2" fillId="0" borderId="0" applyFont="0" applyFill="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0" borderId="0"/>
    <xf numFmtId="0" fontId="2" fillId="65"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62" borderId="24" applyNumberFormat="0" applyFont="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59"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5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59"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7" fillId="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64" borderId="0" applyNumberFormat="0" applyBorder="0" applyAlignment="0" applyProtection="0"/>
    <xf numFmtId="0" fontId="2" fillId="56" borderId="0" applyNumberFormat="0" applyBorder="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59" borderId="0" applyNumberFormat="0" applyBorder="0" applyAlignment="0" applyProtection="0"/>
    <xf numFmtId="0" fontId="2" fillId="0" borderId="0"/>
    <xf numFmtId="0" fontId="2" fillId="6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82"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0" borderId="0"/>
    <xf numFmtId="0" fontId="2" fillId="66"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6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0" borderId="0"/>
    <xf numFmtId="0" fontId="2" fillId="0" borderId="0"/>
    <xf numFmtId="0" fontId="2" fillId="5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64" borderId="0" applyNumberFormat="0" applyBorder="0" applyAlignment="0" applyProtection="0"/>
    <xf numFmtId="0" fontId="2" fillId="11" borderId="0" applyNumberFormat="0" applyBorder="0" applyAlignment="0" applyProtection="0"/>
    <xf numFmtId="0" fontId="2" fillId="0" borderId="0"/>
    <xf numFmtId="0" fontId="2" fillId="5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0" borderId="0"/>
    <xf numFmtId="0" fontId="2" fillId="64"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0" borderId="0"/>
    <xf numFmtId="0" fontId="2" fillId="64"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0" borderId="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0" borderId="0"/>
    <xf numFmtId="0" fontId="2" fillId="65"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0" borderId="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0" borderId="0"/>
    <xf numFmtId="0" fontId="2" fillId="60"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0" borderId="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65"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12"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0" borderId="0"/>
    <xf numFmtId="0" fontId="2" fillId="54" borderId="0" applyNumberFormat="0" applyBorder="0" applyAlignment="0" applyProtection="0"/>
    <xf numFmtId="0" fontId="2" fillId="65" borderId="0" applyNumberFormat="0" applyBorder="0" applyAlignment="0" applyProtection="0"/>
    <xf numFmtId="0" fontId="2" fillId="0" borderId="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0" borderId="0"/>
    <xf numFmtId="0" fontId="2" fillId="6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0" borderId="0"/>
    <xf numFmtId="0" fontId="2" fillId="12"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0" borderId="0"/>
    <xf numFmtId="0" fontId="2" fillId="59"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12"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5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66"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0" borderId="0"/>
    <xf numFmtId="0" fontId="2" fillId="65"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0" borderId="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60"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4"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0" borderId="0"/>
    <xf numFmtId="0" fontId="2" fillId="60"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0" borderId="0"/>
    <xf numFmtId="0" fontId="2" fillId="0" borderId="0"/>
    <xf numFmtId="0" fontId="2" fillId="63"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7" fillId="71" borderId="0" applyNumberFormat="0" applyBorder="0" applyAlignment="0" applyProtection="0"/>
    <xf numFmtId="0" fontId="2" fillId="59" borderId="0" applyNumberFormat="0" applyBorder="0" applyAlignment="0" applyProtection="0"/>
    <xf numFmtId="0" fontId="2" fillId="0" borderId="0"/>
    <xf numFmtId="0" fontId="2" fillId="66" borderId="0" applyNumberFormat="0" applyBorder="0" applyAlignment="0" applyProtection="0"/>
    <xf numFmtId="0" fontId="2" fillId="0" borderId="0"/>
    <xf numFmtId="0" fontId="2" fillId="65"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0" borderId="0"/>
    <xf numFmtId="0" fontId="2" fillId="60"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1" fillId="70"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1" fillId="7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0" borderId="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12"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7" fillId="0" borderId="23" applyNumberFormat="0" applyFill="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54"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11"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12"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5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0" borderId="0"/>
    <xf numFmtId="0" fontId="2" fillId="6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11"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5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0" borderId="0"/>
    <xf numFmtId="0" fontId="2" fillId="6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0" borderId="0"/>
    <xf numFmtId="0" fontId="2" fillId="5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0" borderId="0"/>
    <xf numFmtId="0" fontId="2" fillId="60"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0" borderId="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9" borderId="0" applyNumberFormat="0" applyBorder="0" applyAlignment="0" applyProtection="0"/>
    <xf numFmtId="0" fontId="2" fillId="60" borderId="0" applyNumberFormat="0" applyBorder="0" applyAlignment="0" applyProtection="0"/>
    <xf numFmtId="0" fontId="2" fillId="0" borderId="0"/>
    <xf numFmtId="0" fontId="2" fillId="6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6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0" borderId="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0" borderId="0"/>
    <xf numFmtId="0" fontId="2" fillId="54"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60" borderId="0" applyNumberFormat="0" applyBorder="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0" borderId="0"/>
    <xf numFmtId="0" fontId="2" fillId="60"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0" borderId="0"/>
    <xf numFmtId="0" fontId="2" fillId="3"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0" borderId="0"/>
    <xf numFmtId="0" fontId="2" fillId="60"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61"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0" borderId="0"/>
    <xf numFmtId="0" fontId="2" fillId="60"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0" borderId="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0" borderId="0"/>
    <xf numFmtId="0" fontId="2" fillId="60" borderId="0" applyNumberFormat="0" applyBorder="0" applyAlignment="0" applyProtection="0"/>
    <xf numFmtId="0" fontId="2" fillId="62" borderId="24" applyNumberFormat="0" applyFont="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2" borderId="0" applyNumberFormat="0" applyBorder="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0" borderId="0"/>
    <xf numFmtId="0" fontId="2" fillId="12"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12"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0" borderId="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5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6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3"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3"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0" borderId="0" applyNumberFormat="0" applyBorder="0" applyAlignment="0" applyProtection="0"/>
    <xf numFmtId="0" fontId="2" fillId="0" borderId="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65"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0" borderId="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9"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0" borderId="0"/>
    <xf numFmtId="0" fontId="2" fillId="63" borderId="0" applyNumberFormat="0" applyBorder="0" applyAlignment="0" applyProtection="0"/>
    <xf numFmtId="0" fontId="2" fillId="6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0" borderId="0"/>
    <xf numFmtId="0" fontId="2" fillId="11"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0" borderId="0"/>
    <xf numFmtId="0" fontId="2" fillId="62" borderId="24" applyNumberFormat="0" applyFont="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61"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0" borderId="0"/>
    <xf numFmtId="0" fontId="2" fillId="60"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3" borderId="0" applyNumberFormat="0" applyBorder="0" applyAlignment="0" applyProtection="0"/>
    <xf numFmtId="0" fontId="2" fillId="0" borderId="0"/>
    <xf numFmtId="0" fontId="2" fillId="60"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0" borderId="0"/>
    <xf numFmtId="0" fontId="2" fillId="56"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88"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1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9"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0" borderId="0"/>
    <xf numFmtId="0" fontId="2" fillId="5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0" borderId="0"/>
    <xf numFmtId="0" fontId="2" fillId="64" borderId="0" applyNumberFormat="0" applyBorder="0" applyAlignment="0" applyProtection="0"/>
    <xf numFmtId="0" fontId="2" fillId="0" borderId="0"/>
    <xf numFmtId="0" fontId="2" fillId="11"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0" borderId="0"/>
    <xf numFmtId="0" fontId="2" fillId="59" borderId="0" applyNumberFormat="0" applyBorder="0" applyAlignment="0" applyProtection="0"/>
    <xf numFmtId="0" fontId="2" fillId="5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0" borderId="0"/>
    <xf numFmtId="0" fontId="2" fillId="65"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6"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0" borderId="0"/>
    <xf numFmtId="0" fontId="2" fillId="0" borderId="0"/>
    <xf numFmtId="0" fontId="2" fillId="6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0" borderId="0"/>
    <xf numFmtId="0" fontId="2" fillId="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6"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0" borderId="0"/>
    <xf numFmtId="0" fontId="2" fillId="11" borderId="0" applyNumberFormat="0" applyBorder="0" applyAlignment="0" applyProtection="0"/>
    <xf numFmtId="0" fontId="2" fillId="0" borderId="0"/>
    <xf numFmtId="0" fontId="2" fillId="6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0" borderId="0"/>
    <xf numFmtId="0" fontId="2" fillId="0" borderId="0"/>
    <xf numFmtId="0" fontId="2" fillId="61"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0" borderId="0"/>
    <xf numFmtId="0" fontId="2" fillId="66"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0" borderId="0"/>
    <xf numFmtId="0" fontId="2" fillId="63"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62" borderId="24" applyNumberFormat="0" applyFont="0" applyAlignment="0" applyProtection="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0" borderId="0"/>
    <xf numFmtId="0" fontId="2" fillId="62" borderId="24" applyNumberFormat="0" applyFont="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0" borderId="0"/>
    <xf numFmtId="0" fontId="2" fillId="62" borderId="24" applyNumberFormat="0" applyFont="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0" borderId="0"/>
    <xf numFmtId="0" fontId="2" fillId="11" borderId="0" applyNumberFormat="0" applyBorder="0" applyAlignment="0" applyProtection="0"/>
    <xf numFmtId="0" fontId="2" fillId="0" borderId="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6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0" borderId="0"/>
    <xf numFmtId="0" fontId="2" fillId="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5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0" borderId="0"/>
    <xf numFmtId="0" fontId="2" fillId="62" borderId="24" applyNumberFormat="0" applyFont="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12"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63"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0" borderId="0"/>
    <xf numFmtId="0" fontId="2" fillId="6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0" borderId="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0" borderId="0"/>
    <xf numFmtId="0" fontId="2" fillId="6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59"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6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0" borderId="0"/>
    <xf numFmtId="0" fontId="2" fillId="3"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0" borderId="0"/>
    <xf numFmtId="0" fontId="2" fillId="61"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0" borderId="0"/>
    <xf numFmtId="0" fontId="2" fillId="3"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60"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0" borderId="0"/>
    <xf numFmtId="0" fontId="2" fillId="6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0" borderId="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66"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66" borderId="0" applyNumberFormat="0" applyBorder="0" applyAlignment="0" applyProtection="0"/>
    <xf numFmtId="0" fontId="2" fillId="0" borderId="0"/>
    <xf numFmtId="0" fontId="2" fillId="0" borderId="0"/>
    <xf numFmtId="0" fontId="2" fillId="65"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9"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0" borderId="0"/>
    <xf numFmtId="0" fontId="2" fillId="56"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0" borderId="0"/>
    <xf numFmtId="0" fontId="2" fillId="12"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0" borderId="0"/>
    <xf numFmtId="0" fontId="2" fillId="6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2"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0" borderId="0"/>
    <xf numFmtId="0" fontId="2" fillId="0" borderId="0"/>
    <xf numFmtId="0" fontId="2" fillId="56"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6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1"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0" borderId="0"/>
    <xf numFmtId="0" fontId="2" fillId="54"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0" borderId="0"/>
    <xf numFmtId="0" fontId="2" fillId="6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0" borderId="0"/>
    <xf numFmtId="0" fontId="2" fillId="60"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64"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8" borderId="0" applyNumberFormat="0" applyBorder="0" applyAlignment="0" applyProtection="0"/>
    <xf numFmtId="0" fontId="2" fillId="56"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11"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60"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0" borderId="0"/>
    <xf numFmtId="0" fontId="2" fillId="65"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0" borderId="0"/>
    <xf numFmtId="0" fontId="2" fillId="11"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0" borderId="0"/>
    <xf numFmtId="0" fontId="2" fillId="60"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0" borderId="0"/>
    <xf numFmtId="0" fontId="2" fillId="60"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0" borderId="0"/>
    <xf numFmtId="0" fontId="2" fillId="60"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12"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65"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0" borderId="0"/>
    <xf numFmtId="0" fontId="2" fillId="6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0" borderId="0"/>
    <xf numFmtId="0" fontId="2" fillId="65"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0" borderId="0"/>
    <xf numFmtId="0" fontId="2" fillId="6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0" borderId="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0" borderId="0"/>
    <xf numFmtId="0" fontId="2" fillId="6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0" borderId="0"/>
    <xf numFmtId="0" fontId="2" fillId="66"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0" borderId="0"/>
    <xf numFmtId="0" fontId="2" fillId="64"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0" borderId="0"/>
    <xf numFmtId="0" fontId="2" fillId="60"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8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6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6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0" borderId="0"/>
    <xf numFmtId="0" fontId="2" fillId="59"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0" borderId="0"/>
    <xf numFmtId="0" fontId="2" fillId="5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5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0" borderId="0"/>
    <xf numFmtId="0" fontId="2" fillId="63" borderId="0" applyNumberFormat="0" applyBorder="0" applyAlignment="0" applyProtection="0"/>
    <xf numFmtId="0" fontId="2" fillId="63" borderId="0" applyNumberFormat="0" applyBorder="0" applyAlignment="0" applyProtection="0"/>
    <xf numFmtId="0" fontId="20" fillId="0" borderId="0" applyNumberFormat="0" applyFill="0" applyBorder="0" applyAlignment="0" applyProtection="0"/>
    <xf numFmtId="0" fontId="2" fillId="62" borderId="24" applyNumberFormat="0" applyFont="0" applyAlignment="0" applyProtection="0"/>
    <xf numFmtId="0" fontId="2" fillId="0" borderId="0"/>
    <xf numFmtId="0" fontId="2" fillId="0" borderId="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59"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0" borderId="0"/>
    <xf numFmtId="0" fontId="2" fillId="64"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6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0" borderId="0"/>
    <xf numFmtId="0" fontId="16" fillId="0" borderId="0"/>
    <xf numFmtId="0" fontId="2" fillId="65"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0" borderId="0"/>
    <xf numFmtId="0" fontId="2" fillId="65"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11"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0" borderId="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12"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0" borderId="0"/>
    <xf numFmtId="0" fontId="2" fillId="0" borderId="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62" borderId="24" applyNumberFormat="0" applyFont="0" applyAlignment="0" applyProtection="0"/>
    <xf numFmtId="0" fontId="2" fillId="59"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6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66"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6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0" borderId="0"/>
    <xf numFmtId="0" fontId="2" fillId="0" borderId="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0" borderId="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0" borderId="0"/>
    <xf numFmtId="0" fontId="2" fillId="63" borderId="0" applyNumberFormat="0" applyBorder="0" applyAlignment="0" applyProtection="0"/>
    <xf numFmtId="0" fontId="2" fillId="5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6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0" borderId="0"/>
    <xf numFmtId="0" fontId="2" fillId="54"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54"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0" borderId="0"/>
    <xf numFmtId="0" fontId="2" fillId="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59" borderId="0" applyNumberFormat="0" applyBorder="0" applyAlignment="0" applyProtection="0"/>
    <xf numFmtId="0" fontId="2" fillId="0" borderId="0"/>
    <xf numFmtId="0" fontId="2" fillId="6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2" borderId="0" applyNumberFormat="0" applyBorder="0" applyAlignment="0" applyProtection="0"/>
    <xf numFmtId="0" fontId="2" fillId="0" borderId="0"/>
    <xf numFmtId="0" fontId="2" fillId="54"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11"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65"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11" borderId="0" applyNumberFormat="0" applyBorder="0" applyAlignment="0" applyProtection="0"/>
    <xf numFmtId="0" fontId="2" fillId="54" borderId="0" applyNumberFormat="0" applyBorder="0" applyAlignment="0" applyProtection="0"/>
    <xf numFmtId="0" fontId="2" fillId="0" borderId="0"/>
    <xf numFmtId="0" fontId="2" fillId="61"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0" borderId="0"/>
    <xf numFmtId="0" fontId="2" fillId="64"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0" borderId="0"/>
    <xf numFmtId="0" fontId="2" fillId="64"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0" borderId="0"/>
    <xf numFmtId="0" fontId="2" fillId="6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11"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0" borderId="0"/>
    <xf numFmtId="0" fontId="2" fillId="6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0" borderId="0"/>
    <xf numFmtId="0" fontId="2" fillId="60"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0" borderId="0"/>
    <xf numFmtId="0" fontId="2" fillId="54"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0" borderId="0"/>
    <xf numFmtId="0" fontId="2" fillId="6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0" borderId="0"/>
    <xf numFmtId="0" fontId="2" fillId="1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0" borderId="0"/>
    <xf numFmtId="0" fontId="2" fillId="0" borderId="0"/>
    <xf numFmtId="0" fontId="2" fillId="59"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63"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0" borderId="0"/>
    <xf numFmtId="0" fontId="2" fillId="60"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11"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0" borderId="0"/>
    <xf numFmtId="0" fontId="2" fillId="63"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0" borderId="0"/>
    <xf numFmtId="0" fontId="2" fillId="11"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0" borderId="0"/>
    <xf numFmtId="0" fontId="2" fillId="12" borderId="0" applyNumberFormat="0" applyBorder="0" applyAlignment="0" applyProtection="0"/>
    <xf numFmtId="0" fontId="2" fillId="0" borderId="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59"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0" borderId="0"/>
    <xf numFmtId="0" fontId="2" fillId="63"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0" borderId="0"/>
    <xf numFmtId="0" fontId="2" fillId="59" borderId="0" applyNumberFormat="0" applyBorder="0" applyAlignment="0" applyProtection="0"/>
    <xf numFmtId="0" fontId="2" fillId="0" borderId="0"/>
    <xf numFmtId="0" fontId="2" fillId="0" borderId="0"/>
    <xf numFmtId="0" fontId="2" fillId="63"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60"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1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0" borderId="0"/>
    <xf numFmtId="0" fontId="2" fillId="0" borderId="0"/>
    <xf numFmtId="0" fontId="2" fillId="11"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0" borderId="0"/>
    <xf numFmtId="0" fontId="2" fillId="64"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6" borderId="0" applyNumberFormat="0" applyBorder="0" applyAlignment="0" applyProtection="0"/>
    <xf numFmtId="0" fontId="2" fillId="0" borderId="0"/>
    <xf numFmtId="0" fontId="2" fillId="60"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0" borderId="0"/>
    <xf numFmtId="0" fontId="2" fillId="12"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3" borderId="0" applyNumberFormat="0" applyBorder="0" applyAlignment="0" applyProtection="0"/>
    <xf numFmtId="0" fontId="2" fillId="65"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63"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0" borderId="0"/>
    <xf numFmtId="0" fontId="2" fillId="11"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0" borderId="0"/>
    <xf numFmtId="0" fontId="2" fillId="6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0" borderId="0"/>
    <xf numFmtId="0" fontId="2" fillId="3" borderId="0" applyNumberFormat="0" applyBorder="0" applyAlignment="0" applyProtection="0"/>
    <xf numFmtId="0" fontId="2" fillId="56" borderId="0" applyNumberFormat="0" applyBorder="0" applyAlignment="0" applyProtection="0"/>
    <xf numFmtId="0" fontId="2" fillId="0" borderId="0"/>
    <xf numFmtId="0" fontId="2" fillId="6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3" borderId="0" applyNumberFormat="0" applyBorder="0" applyAlignment="0" applyProtection="0"/>
    <xf numFmtId="0" fontId="2" fillId="59" borderId="0" applyNumberFormat="0" applyBorder="0" applyAlignment="0" applyProtection="0"/>
    <xf numFmtId="0" fontId="2" fillId="0" borderId="0"/>
    <xf numFmtId="0" fontId="2" fillId="11" borderId="0" applyNumberFormat="0" applyBorder="0" applyAlignment="0" applyProtection="0"/>
    <xf numFmtId="0" fontId="2" fillId="11"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0" borderId="0"/>
    <xf numFmtId="0" fontId="2" fillId="60"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0" borderId="0"/>
    <xf numFmtId="0" fontId="2" fillId="60"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0" borderId="0"/>
    <xf numFmtId="0" fontId="2" fillId="62" borderId="24" applyNumberFormat="0" applyFont="0" applyAlignment="0" applyProtection="0"/>
    <xf numFmtId="0" fontId="2" fillId="65"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0" borderId="0"/>
    <xf numFmtId="0" fontId="2" fillId="6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6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0" borderId="0"/>
    <xf numFmtId="0" fontId="2" fillId="11"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0" borderId="0"/>
    <xf numFmtId="0" fontId="2" fillId="59"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0" borderId="0"/>
    <xf numFmtId="0" fontId="2" fillId="60"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0" borderId="0"/>
    <xf numFmtId="0" fontId="2" fillId="61"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6" borderId="0" applyNumberFormat="0" applyBorder="0" applyAlignment="0" applyProtection="0"/>
    <xf numFmtId="0" fontId="2" fillId="0" borderId="0"/>
    <xf numFmtId="0" fontId="2" fillId="3" borderId="0" applyNumberFormat="0" applyBorder="0" applyAlignment="0" applyProtection="0"/>
    <xf numFmtId="0" fontId="2" fillId="66"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5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0" borderId="0"/>
    <xf numFmtId="0" fontId="2" fillId="66" borderId="0" applyNumberFormat="0" applyBorder="0" applyAlignment="0" applyProtection="0"/>
    <xf numFmtId="0" fontId="2" fillId="65"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0" borderId="0"/>
    <xf numFmtId="0" fontId="2" fillId="60"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64"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54"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54" borderId="0" applyNumberFormat="0" applyBorder="0" applyAlignment="0" applyProtection="0"/>
    <xf numFmtId="0" fontId="2" fillId="0" borderId="0"/>
    <xf numFmtId="0" fontId="2" fillId="54"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86"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0" borderId="0"/>
    <xf numFmtId="0" fontId="2" fillId="62" borderId="24" applyNumberFormat="0" applyFont="0" applyAlignment="0" applyProtection="0"/>
    <xf numFmtId="0" fontId="2" fillId="5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0" borderId="0"/>
    <xf numFmtId="0" fontId="2" fillId="12"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12"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66" borderId="0" applyNumberFormat="0" applyBorder="0" applyAlignment="0" applyProtection="0"/>
    <xf numFmtId="0" fontId="2" fillId="0" borderId="0"/>
    <xf numFmtId="0" fontId="2" fillId="66"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59" borderId="0" applyNumberFormat="0" applyBorder="0" applyAlignment="0" applyProtection="0"/>
    <xf numFmtId="0" fontId="2" fillId="0" borderId="0"/>
    <xf numFmtId="0" fontId="2" fillId="6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0" borderId="0"/>
    <xf numFmtId="0" fontId="2" fillId="65"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4" borderId="0" applyNumberFormat="0" applyBorder="0" applyAlignment="0" applyProtection="0"/>
    <xf numFmtId="0" fontId="2" fillId="59"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12"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0" borderId="0"/>
    <xf numFmtId="0" fontId="2" fillId="59"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3" borderId="0" applyNumberFormat="0" applyBorder="0" applyAlignment="0" applyProtection="0"/>
    <xf numFmtId="0" fontId="2" fillId="0" borderId="0"/>
    <xf numFmtId="0" fontId="2" fillId="54"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0" borderId="0"/>
    <xf numFmtId="0" fontId="2" fillId="12"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0" borderId="0"/>
    <xf numFmtId="0" fontId="2" fillId="11"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0" borderId="0"/>
    <xf numFmtId="0" fontId="2" fillId="11"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61"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0" borderId="0"/>
    <xf numFmtId="0" fontId="2" fillId="64"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66"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0" borderId="0"/>
    <xf numFmtId="0" fontId="2" fillId="65" borderId="0" applyNumberFormat="0" applyBorder="0" applyAlignment="0" applyProtection="0"/>
    <xf numFmtId="0" fontId="2" fillId="0" borderId="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12"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0" borderId="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12"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2" borderId="24" applyNumberFormat="0" applyFont="0" applyAlignment="0" applyProtection="0"/>
    <xf numFmtId="0" fontId="2" fillId="0" borderId="0"/>
    <xf numFmtId="0" fontId="2" fillId="54" borderId="0" applyNumberFormat="0" applyBorder="0" applyAlignment="0" applyProtection="0"/>
    <xf numFmtId="0" fontId="2" fillId="65"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0" borderId="0"/>
    <xf numFmtId="0" fontId="2" fillId="64"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0" borderId="0"/>
    <xf numFmtId="0" fontId="2" fillId="66" borderId="0" applyNumberFormat="0" applyBorder="0" applyAlignment="0" applyProtection="0"/>
    <xf numFmtId="0" fontId="2" fillId="66" borderId="0" applyNumberFormat="0" applyBorder="0" applyAlignment="0" applyProtection="0"/>
    <xf numFmtId="0" fontId="2" fillId="65"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6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2" borderId="24" applyNumberFormat="0" applyFont="0" applyAlignment="0" applyProtection="0"/>
    <xf numFmtId="0" fontId="2" fillId="61"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0" borderId="0"/>
    <xf numFmtId="0" fontId="2" fillId="63"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0" borderId="0"/>
    <xf numFmtId="0" fontId="2" fillId="3" borderId="0" applyNumberFormat="0" applyBorder="0" applyAlignment="0" applyProtection="0"/>
    <xf numFmtId="0" fontId="2" fillId="60" borderId="0" applyNumberFormat="0" applyBorder="0" applyAlignment="0" applyProtection="0"/>
    <xf numFmtId="0" fontId="2" fillId="0" borderId="0"/>
    <xf numFmtId="0" fontId="2" fillId="6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0"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1" borderId="0" applyNumberFormat="0" applyBorder="0" applyAlignment="0" applyProtection="0"/>
    <xf numFmtId="0" fontId="2" fillId="59" borderId="0" applyNumberFormat="0" applyBorder="0" applyAlignment="0" applyProtection="0"/>
    <xf numFmtId="0" fontId="2" fillId="64"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7" borderId="0" applyNumberFormat="0" applyBorder="0" applyAlignment="0" applyProtection="0"/>
    <xf numFmtId="0" fontId="2" fillId="61"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0" borderId="0"/>
    <xf numFmtId="0" fontId="2" fillId="64"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5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11"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3"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0" borderId="0"/>
    <xf numFmtId="0" fontId="2" fillId="65" borderId="0" applyNumberFormat="0" applyBorder="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0" borderId="0"/>
    <xf numFmtId="0" fontId="2" fillId="63" borderId="0" applyNumberFormat="0" applyBorder="0" applyAlignment="0" applyProtection="0"/>
    <xf numFmtId="0" fontId="2" fillId="65"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59" borderId="0" applyNumberFormat="0" applyBorder="0" applyAlignment="0" applyProtection="0"/>
    <xf numFmtId="0" fontId="2" fillId="0" borderId="0"/>
    <xf numFmtId="0" fontId="2" fillId="56" borderId="0" applyNumberFormat="0" applyBorder="0" applyAlignment="0" applyProtection="0"/>
    <xf numFmtId="0" fontId="2" fillId="54" borderId="0" applyNumberFormat="0" applyBorder="0" applyAlignment="0" applyProtection="0"/>
    <xf numFmtId="0" fontId="2" fillId="62" borderId="24" applyNumberFormat="0" applyFont="0" applyAlignment="0" applyProtection="0"/>
    <xf numFmtId="0" fontId="2" fillId="59" borderId="0" applyNumberFormat="0" applyBorder="0" applyAlignment="0" applyProtection="0"/>
    <xf numFmtId="0" fontId="2" fillId="0" borderId="0"/>
    <xf numFmtId="0" fontId="2" fillId="0" borderId="0"/>
    <xf numFmtId="0" fontId="2" fillId="61" borderId="0" applyNumberFormat="0" applyBorder="0" applyAlignment="0" applyProtection="0"/>
    <xf numFmtId="0" fontId="2" fillId="11"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0" borderId="0"/>
    <xf numFmtId="0" fontId="2" fillId="59"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0" borderId="0"/>
    <xf numFmtId="0" fontId="2" fillId="12" borderId="0" applyNumberFormat="0" applyBorder="0" applyAlignment="0" applyProtection="0"/>
    <xf numFmtId="0" fontId="2" fillId="11"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2" borderId="24" applyNumberFormat="0" applyFont="0" applyAlignment="0" applyProtection="0"/>
    <xf numFmtId="0" fontId="2" fillId="63"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5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3"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12"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0" borderId="0"/>
    <xf numFmtId="0" fontId="2" fillId="61" borderId="0" applyNumberFormat="0" applyBorder="0" applyAlignment="0" applyProtection="0"/>
    <xf numFmtId="0" fontId="2" fillId="60" borderId="0" applyNumberFormat="0" applyBorder="0" applyAlignment="0" applyProtection="0"/>
    <xf numFmtId="0" fontId="2" fillId="59" borderId="0" applyNumberFormat="0" applyBorder="0" applyAlignment="0" applyProtection="0"/>
    <xf numFmtId="0" fontId="2" fillId="54" borderId="0" applyNumberFormat="0" applyBorder="0" applyAlignment="0" applyProtection="0"/>
    <xf numFmtId="0" fontId="2" fillId="0" borderId="0"/>
    <xf numFmtId="0" fontId="2" fillId="60" borderId="0" applyNumberFormat="0" applyBorder="0" applyAlignment="0" applyProtection="0"/>
    <xf numFmtId="0" fontId="2" fillId="66"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0" borderId="0"/>
    <xf numFmtId="0" fontId="2" fillId="59" borderId="0" applyNumberFormat="0" applyBorder="0" applyAlignment="0" applyProtection="0"/>
    <xf numFmtId="0" fontId="2" fillId="62" borderId="24" applyNumberFormat="0" applyFont="0" applyAlignment="0" applyProtection="0"/>
    <xf numFmtId="0" fontId="2" fillId="0" borderId="0"/>
    <xf numFmtId="0" fontId="2" fillId="66"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3" borderId="0" applyNumberFormat="0" applyBorder="0" applyAlignment="0" applyProtection="0"/>
    <xf numFmtId="0" fontId="2" fillId="0" borderId="0"/>
    <xf numFmtId="0" fontId="2" fillId="56" borderId="0" applyNumberFormat="0" applyBorder="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59" borderId="0" applyNumberFormat="0" applyBorder="0" applyAlignment="0" applyProtection="0"/>
    <xf numFmtId="0" fontId="2" fillId="62" borderId="24" applyNumberFormat="0" applyFont="0" applyAlignment="0" applyProtection="0"/>
    <xf numFmtId="0" fontId="2" fillId="6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5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61" borderId="0" applyNumberFormat="0" applyBorder="0" applyAlignment="0" applyProtection="0"/>
    <xf numFmtId="0" fontId="2" fillId="60" borderId="0" applyNumberFormat="0" applyBorder="0" applyAlignment="0" applyProtection="0"/>
    <xf numFmtId="0" fontId="2" fillId="0" borderId="0"/>
    <xf numFmtId="0" fontId="2" fillId="60" borderId="0" applyNumberFormat="0" applyBorder="0" applyAlignment="0" applyProtection="0"/>
    <xf numFmtId="0" fontId="2" fillId="61" borderId="0" applyNumberFormat="0" applyBorder="0" applyAlignment="0" applyProtection="0"/>
    <xf numFmtId="0" fontId="2" fillId="56" borderId="0" applyNumberFormat="0" applyBorder="0" applyAlignment="0" applyProtection="0"/>
    <xf numFmtId="0" fontId="2" fillId="11"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54"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12" borderId="0" applyNumberFormat="0" applyBorder="0" applyAlignment="0" applyProtection="0"/>
    <xf numFmtId="0" fontId="2" fillId="66" borderId="0" applyNumberFormat="0" applyBorder="0" applyAlignment="0" applyProtection="0"/>
    <xf numFmtId="0" fontId="2" fillId="0" borderId="0"/>
    <xf numFmtId="0" fontId="2" fillId="63" borderId="0" applyNumberFormat="0" applyBorder="0" applyAlignment="0" applyProtection="0"/>
    <xf numFmtId="0" fontId="2" fillId="62" borderId="24" applyNumberFormat="0" applyFont="0" applyAlignment="0" applyProtection="0"/>
    <xf numFmtId="0" fontId="2" fillId="64" borderId="0" applyNumberFormat="0" applyBorder="0" applyAlignment="0" applyProtection="0"/>
    <xf numFmtId="0" fontId="2" fillId="56" borderId="0" applyNumberFormat="0" applyBorder="0" applyAlignment="0" applyProtection="0"/>
    <xf numFmtId="0" fontId="2" fillId="64"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0" borderId="0"/>
    <xf numFmtId="0" fontId="2" fillId="56"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59"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3" borderId="0" applyNumberFormat="0" applyBorder="0" applyAlignment="0" applyProtection="0"/>
    <xf numFmtId="0" fontId="2" fillId="60" borderId="0" applyNumberFormat="0" applyBorder="0" applyAlignment="0" applyProtection="0"/>
    <xf numFmtId="0" fontId="2" fillId="54" borderId="0" applyNumberFormat="0" applyBorder="0" applyAlignment="0" applyProtection="0"/>
    <xf numFmtId="0" fontId="2" fillId="0" borderId="0"/>
    <xf numFmtId="0" fontId="2" fillId="56" borderId="0" applyNumberFormat="0" applyBorder="0" applyAlignment="0" applyProtection="0"/>
    <xf numFmtId="0" fontId="2" fillId="63" borderId="0" applyNumberFormat="0" applyBorder="0" applyAlignment="0" applyProtection="0"/>
    <xf numFmtId="0" fontId="2" fillId="0" borderId="0"/>
    <xf numFmtId="0" fontId="2" fillId="60"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65" borderId="0" applyNumberFormat="0" applyBorder="0" applyAlignment="0" applyProtection="0"/>
    <xf numFmtId="0" fontId="2" fillId="60" borderId="0" applyNumberFormat="0" applyBorder="0" applyAlignment="0" applyProtection="0"/>
    <xf numFmtId="0" fontId="2" fillId="3" borderId="0" applyNumberFormat="0" applyBorder="0" applyAlignment="0" applyProtection="0"/>
    <xf numFmtId="0" fontId="2" fillId="12"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5"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3"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11"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7" fillId="57"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62" borderId="24" applyNumberFormat="0" applyFont="0" applyAlignment="0" applyProtection="0"/>
    <xf numFmtId="0" fontId="2" fillId="0" borderId="0"/>
    <xf numFmtId="0" fontId="2" fillId="60" borderId="0" applyNumberFormat="0" applyBorder="0" applyAlignment="0" applyProtection="0"/>
    <xf numFmtId="0" fontId="2" fillId="66" borderId="0" applyNumberFormat="0" applyBorder="0" applyAlignment="0" applyProtection="0"/>
    <xf numFmtId="0" fontId="2" fillId="0" borderId="0"/>
    <xf numFmtId="0" fontId="2" fillId="56" borderId="0" applyNumberFormat="0" applyBorder="0" applyAlignment="0" applyProtection="0"/>
    <xf numFmtId="0" fontId="2" fillId="60" borderId="0" applyNumberFormat="0" applyBorder="0" applyAlignment="0" applyProtection="0"/>
    <xf numFmtId="0" fontId="2" fillId="0" borderId="0"/>
    <xf numFmtId="0" fontId="2" fillId="64" borderId="0" applyNumberFormat="0" applyBorder="0" applyAlignment="0" applyProtection="0"/>
    <xf numFmtId="0" fontId="2" fillId="63" borderId="0" applyNumberFormat="0" applyBorder="0" applyAlignment="0" applyProtection="0"/>
    <xf numFmtId="0" fontId="2" fillId="0" borderId="0"/>
    <xf numFmtId="0" fontId="2" fillId="62" borderId="24" applyNumberFormat="0" applyFont="0" applyAlignment="0" applyProtection="0"/>
    <xf numFmtId="0" fontId="2" fillId="11"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0" borderId="0"/>
    <xf numFmtId="0" fontId="2" fillId="0" borderId="0"/>
    <xf numFmtId="0" fontId="2" fillId="56" borderId="0" applyNumberFormat="0" applyBorder="0" applyAlignment="0" applyProtection="0"/>
    <xf numFmtId="0" fontId="2" fillId="56" borderId="0" applyNumberFormat="0" applyBorder="0" applyAlignment="0" applyProtection="0"/>
    <xf numFmtId="0" fontId="2" fillId="12" borderId="0" applyNumberFormat="0" applyBorder="0" applyAlignment="0" applyProtection="0"/>
    <xf numFmtId="0" fontId="2" fillId="63" borderId="0" applyNumberFormat="0" applyBorder="0" applyAlignment="0" applyProtection="0"/>
    <xf numFmtId="0" fontId="2" fillId="54" borderId="0" applyNumberFormat="0" applyBorder="0" applyAlignment="0" applyProtection="0"/>
    <xf numFmtId="0" fontId="2" fillId="12" borderId="0" applyNumberFormat="0" applyBorder="0" applyAlignment="0" applyProtection="0"/>
    <xf numFmtId="0" fontId="2" fillId="64" borderId="0" applyNumberFormat="0" applyBorder="0" applyAlignment="0" applyProtection="0"/>
    <xf numFmtId="0" fontId="2" fillId="63" borderId="0" applyNumberFormat="0" applyBorder="0" applyAlignment="0" applyProtection="0"/>
    <xf numFmtId="0" fontId="2" fillId="0" borderId="0"/>
    <xf numFmtId="0" fontId="2" fillId="56" borderId="0" applyNumberFormat="0" applyBorder="0" applyAlignment="0" applyProtection="0"/>
    <xf numFmtId="0" fontId="2" fillId="62" borderId="24" applyNumberFormat="0" applyFont="0" applyAlignment="0" applyProtection="0"/>
    <xf numFmtId="0" fontId="2" fillId="63" borderId="0" applyNumberFormat="0" applyBorder="0" applyAlignment="0" applyProtection="0"/>
    <xf numFmtId="0" fontId="2" fillId="0" borderId="0"/>
    <xf numFmtId="0" fontId="2" fillId="66" borderId="0" applyNumberFormat="0" applyBorder="0" applyAlignment="0" applyProtection="0"/>
    <xf numFmtId="0" fontId="2" fillId="63" borderId="0" applyNumberFormat="0" applyBorder="0" applyAlignment="0" applyProtection="0"/>
    <xf numFmtId="0" fontId="2" fillId="60" borderId="0" applyNumberFormat="0" applyBorder="0" applyAlignment="0" applyProtection="0"/>
    <xf numFmtId="0" fontId="2" fillId="62" borderId="24" applyNumberFormat="0" applyFont="0" applyAlignment="0" applyProtection="0"/>
    <xf numFmtId="0" fontId="2" fillId="12" borderId="0" applyNumberFormat="0" applyBorder="0" applyAlignment="0" applyProtection="0"/>
    <xf numFmtId="0" fontId="2" fillId="64" borderId="0" applyNumberFormat="0" applyBorder="0" applyAlignment="0" applyProtection="0"/>
    <xf numFmtId="0" fontId="2" fillId="62" borderId="24" applyNumberFormat="0" applyFont="0" applyAlignment="0" applyProtection="0"/>
    <xf numFmtId="0" fontId="2" fillId="54" borderId="0" applyNumberFormat="0" applyBorder="0" applyAlignment="0" applyProtection="0"/>
    <xf numFmtId="0" fontId="2" fillId="61" borderId="0" applyNumberFormat="0" applyBorder="0" applyAlignment="0" applyProtection="0"/>
    <xf numFmtId="0" fontId="2" fillId="62" borderId="24" applyNumberFormat="0" applyFont="0" applyAlignment="0" applyProtection="0"/>
    <xf numFmtId="0" fontId="2" fillId="60" borderId="0" applyNumberFormat="0" applyBorder="0" applyAlignment="0" applyProtection="0"/>
    <xf numFmtId="0" fontId="2" fillId="0" borderId="0"/>
    <xf numFmtId="0" fontId="2" fillId="56" borderId="0" applyNumberFormat="0" applyBorder="0" applyAlignment="0" applyProtection="0"/>
    <xf numFmtId="0" fontId="2" fillId="65" borderId="0" applyNumberFormat="0" applyBorder="0" applyAlignment="0" applyProtection="0"/>
    <xf numFmtId="0" fontId="2" fillId="59"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60" borderId="0" applyNumberFormat="0" applyBorder="0" applyAlignment="0" applyProtection="0"/>
    <xf numFmtId="0" fontId="2" fillId="11" borderId="0" applyNumberFormat="0" applyBorder="0" applyAlignment="0" applyProtection="0"/>
    <xf numFmtId="0" fontId="2" fillId="66" borderId="0" applyNumberFormat="0" applyBorder="0" applyAlignment="0" applyProtection="0"/>
    <xf numFmtId="0" fontId="2" fillId="3" borderId="0" applyNumberFormat="0" applyBorder="0" applyAlignment="0" applyProtection="0"/>
    <xf numFmtId="0" fontId="2" fillId="63" borderId="0" applyNumberFormat="0" applyBorder="0" applyAlignment="0" applyProtection="0"/>
    <xf numFmtId="0" fontId="2" fillId="3" borderId="0" applyNumberFormat="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12" fillId="0" borderId="0"/>
    <xf numFmtId="0" fontId="1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52" borderId="0" applyNumberFormat="0" applyBorder="0" applyAlignment="0" applyProtection="0"/>
    <xf numFmtId="164" fontId="2" fillId="0" borderId="0" applyFont="0" applyFill="0" applyBorder="0" applyAlignment="0" applyProtection="0"/>
    <xf numFmtId="0" fontId="2" fillId="53" borderId="0" applyNumberFormat="0" applyBorder="0" applyAlignment="0" applyProtection="0"/>
    <xf numFmtId="0" fontId="12" fillId="0" borderId="0"/>
    <xf numFmtId="0" fontId="12" fillId="0" borderId="0"/>
    <xf numFmtId="0" fontId="2" fillId="51" borderId="0" applyNumberFormat="0" applyBorder="0" applyAlignment="0" applyProtection="0"/>
    <xf numFmtId="0" fontId="12" fillId="0" borderId="0"/>
    <xf numFmtId="164" fontId="2" fillId="0" borderId="0" applyFont="0" applyFill="0" applyBorder="0" applyAlignment="0" applyProtection="0"/>
    <xf numFmtId="0" fontId="2" fillId="50" borderId="0" applyNumberFormat="0" applyBorder="0" applyAlignment="0" applyProtection="0"/>
    <xf numFmtId="0" fontId="12" fillId="0" borderId="0"/>
    <xf numFmtId="0" fontId="2" fillId="49" borderId="0" applyNumberFormat="0" applyBorder="0" applyAlignment="0" applyProtection="0"/>
    <xf numFmtId="0" fontId="23" fillId="48" borderId="0" applyNumberFormat="0" applyBorder="0" applyAlignment="0" applyProtection="0"/>
    <xf numFmtId="0" fontId="2" fillId="47" borderId="0" applyNumberFormat="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22" borderId="24" applyNumberFormat="0" applyFont="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164" fontId="2" fillId="0" borderId="0" applyFont="0" applyFill="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164" fontId="2" fillId="0" borderId="0" applyFont="0" applyFill="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22" borderId="24" applyNumberFormat="0" applyFont="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22" borderId="24" applyNumberFormat="0" applyFont="0" applyAlignment="0" applyProtection="0"/>
    <xf numFmtId="0" fontId="2" fillId="0" borderId="0"/>
    <xf numFmtId="0" fontId="2" fillId="24"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 fillId="44"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2" fillId="41" borderId="0" applyNumberFormat="0" applyBorder="0" applyAlignment="0" applyProtection="0"/>
    <xf numFmtId="0" fontId="2" fillId="45"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0" borderId="0"/>
    <xf numFmtId="0" fontId="36"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22" borderId="24" applyNumberFormat="0" applyFont="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164" fontId="2" fillId="0" borderId="0" applyFont="0" applyFill="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0" borderId="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37"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39"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40"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41" fillId="0" borderId="0"/>
    <xf numFmtId="164" fontId="2" fillId="0" borderId="0" applyFont="0" applyFill="0" applyBorder="0" applyAlignment="0" applyProtection="0"/>
    <xf numFmtId="0" fontId="2" fillId="22" borderId="24" applyNumberFormat="0" applyFont="0" applyAlignment="0" applyProtection="0"/>
    <xf numFmtId="0" fontId="2" fillId="0" borderId="0"/>
    <xf numFmtId="0" fontId="2" fillId="22" borderId="24" applyNumberFormat="0" applyFont="0" applyAlignment="0" applyProtection="0"/>
    <xf numFmtId="0" fontId="2" fillId="22" borderId="24" applyNumberFormat="0" applyFont="0" applyAlignment="0" applyProtection="0"/>
    <xf numFmtId="0" fontId="2" fillId="0" borderId="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4"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 fillId="44"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2" fillId="41" borderId="0" applyNumberFormat="0" applyBorder="0" applyAlignment="0" applyProtection="0"/>
    <xf numFmtId="0" fontId="2" fillId="45"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4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22" borderId="24" applyNumberFormat="0" applyFont="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0" borderId="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164" fontId="2" fillId="0" borderId="0" applyFont="0" applyFill="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 fillId="44"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2" fillId="41" borderId="0" applyNumberFormat="0" applyBorder="0" applyAlignment="0" applyProtection="0"/>
    <xf numFmtId="0" fontId="2" fillId="45"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0" borderId="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 fillId="44"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2" fillId="41" borderId="0" applyNumberFormat="0" applyBorder="0" applyAlignment="0" applyProtection="0"/>
    <xf numFmtId="0" fontId="2" fillId="45"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164" fontId="2" fillId="0" borderId="0" applyFont="0" applyFill="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 fillId="44"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2" fillId="41" borderId="0" applyNumberFormat="0" applyBorder="0" applyAlignment="0" applyProtection="0"/>
    <xf numFmtId="0" fontId="2" fillId="45"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0" borderId="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4"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 fillId="44"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2" fillId="41" borderId="0" applyNumberFormat="0" applyBorder="0" applyAlignment="0" applyProtection="0"/>
    <xf numFmtId="0" fontId="2" fillId="45"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22" borderId="24" applyNumberFormat="0" applyFont="0" applyAlignment="0" applyProtection="0"/>
    <xf numFmtId="0" fontId="2" fillId="0" borderId="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0" fontId="2" fillId="22" borderId="24"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401">
    <xf numFmtId="0" fontId="0" fillId="0" borderId="0" xfId="0"/>
    <xf numFmtId="0" fontId="0" fillId="0" borderId="0" xfId="0" applyAlignment="1">
      <alignment horizontal="center"/>
    </xf>
    <xf numFmtId="0" fontId="4" fillId="2" borderId="4" xfId="3" applyFont="1" applyFill="1" applyBorder="1" applyAlignment="1">
      <alignment horizontal="center" vertical="center" wrapText="1"/>
    </xf>
    <xf numFmtId="0" fontId="4" fillId="2" borderId="5" xfId="3" applyFont="1" applyFill="1" applyBorder="1" applyAlignment="1">
      <alignment horizontal="center" vertical="center" wrapText="1"/>
    </xf>
    <xf numFmtId="165" fontId="4" fillId="2" borderId="5" xfId="3" applyNumberFormat="1" applyFont="1" applyFill="1" applyBorder="1" applyAlignment="1">
      <alignment horizontal="center" vertical="center" wrapText="1"/>
    </xf>
    <xf numFmtId="0" fontId="4" fillId="2" borderId="6" xfId="3" applyFont="1"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xf>
    <xf numFmtId="17" fontId="0" fillId="3" borderId="1" xfId="0" applyNumberFormat="1" applyFill="1" applyBorder="1" applyAlignment="1">
      <alignment horizontal="center"/>
    </xf>
    <xf numFmtId="1" fontId="0" fillId="3" borderId="1" xfId="0" applyNumberFormat="1" applyFill="1" applyBorder="1" applyAlignment="1">
      <alignment horizontal="center"/>
    </xf>
    <xf numFmtId="167" fontId="0" fillId="3" borderId="1" xfId="0" applyNumberFormat="1" applyFill="1" applyBorder="1" applyAlignment="1">
      <alignment horizontal="center"/>
    </xf>
    <xf numFmtId="166" fontId="0" fillId="3" borderId="1" xfId="0" applyNumberFormat="1" applyFill="1" applyBorder="1" applyAlignment="1">
      <alignment horizontal="center"/>
    </xf>
    <xf numFmtId="0" fontId="0" fillId="3" borderId="1" xfId="0" applyFill="1" applyBorder="1"/>
    <xf numFmtId="2" fontId="0" fillId="3" borderId="1" xfId="0" applyNumberFormat="1" applyFill="1" applyBorder="1" applyAlignment="1">
      <alignment horizontal="center" vertical="center"/>
    </xf>
    <xf numFmtId="169" fontId="0" fillId="0" borderId="1" xfId="1" applyNumberFormat="1" applyFont="1" applyBorder="1" applyAlignment="1">
      <alignment horizontal="center"/>
    </xf>
    <xf numFmtId="169" fontId="0" fillId="0" borderId="1" xfId="1" applyNumberFormat="1" applyFont="1" applyBorder="1"/>
    <xf numFmtId="168" fontId="0" fillId="0" borderId="1" xfId="1" applyNumberFormat="1" applyFont="1" applyBorder="1" applyAlignment="1">
      <alignment horizontal="center"/>
    </xf>
    <xf numFmtId="0" fontId="0" fillId="4" borderId="2" xfId="0" applyFill="1" applyBorder="1" applyAlignment="1">
      <alignment vertical="center"/>
    </xf>
    <xf numFmtId="0" fontId="0" fillId="4" borderId="2" xfId="0" applyFill="1" applyBorder="1" applyAlignment="1">
      <alignment horizontal="center" vertical="center"/>
    </xf>
    <xf numFmtId="170" fontId="0" fillId="4" borderId="2" xfId="2" applyNumberFormat="1" applyFont="1" applyFill="1" applyBorder="1" applyAlignment="1">
      <alignment horizontal="center" vertical="center" wrapText="1"/>
    </xf>
    <xf numFmtId="0" fontId="0" fillId="0" borderId="0" xfId="0" applyAlignment="1">
      <alignment vertical="center"/>
    </xf>
    <xf numFmtId="0" fontId="0" fillId="4" borderId="0" xfId="0" applyFill="1" applyAlignment="1">
      <alignment vertical="center"/>
    </xf>
    <xf numFmtId="0" fontId="0" fillId="0" borderId="2" xfId="0" applyBorder="1"/>
    <xf numFmtId="170" fontId="0" fillId="0" borderId="2" xfId="2" applyNumberFormat="1" applyFont="1" applyBorder="1" applyAlignment="1">
      <alignment horizontal="center"/>
    </xf>
    <xf numFmtId="0" fontId="0" fillId="0" borderId="10" xfId="0" applyBorder="1"/>
    <xf numFmtId="0" fontId="0" fillId="0" borderId="0" xfId="0" applyAlignment="1">
      <alignment horizontal="left"/>
    </xf>
    <xf numFmtId="2" fontId="0" fillId="0" borderId="2" xfId="0" applyNumberFormat="1" applyBorder="1" applyAlignment="1">
      <alignment horizontal="center"/>
    </xf>
    <xf numFmtId="10" fontId="0" fillId="0" borderId="0" xfId="2" applyNumberFormat="1" applyFont="1"/>
    <xf numFmtId="172" fontId="0" fillId="0" borderId="2" xfId="2" applyNumberFormat="1" applyFont="1" applyBorder="1" applyAlignment="1">
      <alignment horizontal="center"/>
    </xf>
    <xf numFmtId="0" fontId="0" fillId="8" borderId="0" xfId="0" applyFill="1" applyAlignment="1">
      <alignment vertical="center"/>
    </xf>
    <xf numFmtId="15" fontId="0" fillId="5" borderId="0" xfId="0" applyNumberFormat="1" applyFill="1" applyAlignment="1">
      <alignment horizontal="center" vertical="center"/>
    </xf>
    <xf numFmtId="0" fontId="3" fillId="10" borderId="2" xfId="0" applyFont="1" applyFill="1" applyBorder="1" applyAlignment="1">
      <alignment vertical="center"/>
    </xf>
    <xf numFmtId="0" fontId="3" fillId="10" borderId="2" xfId="0" applyFont="1" applyFill="1" applyBorder="1" applyAlignment="1">
      <alignment horizontal="center" vertical="center" wrapText="1"/>
    </xf>
    <xf numFmtId="17" fontId="7" fillId="10" borderId="2" xfId="0" applyNumberFormat="1" applyFont="1" applyFill="1" applyBorder="1" applyAlignment="1">
      <alignment horizontal="center"/>
    </xf>
    <xf numFmtId="1" fontId="0" fillId="11" borderId="2" xfId="0" applyNumberFormat="1" applyFill="1" applyBorder="1" applyAlignment="1">
      <alignment horizontal="center"/>
    </xf>
    <xf numFmtId="1" fontId="0" fillId="12" borderId="2" xfId="0" applyNumberFormat="1" applyFill="1" applyBorder="1" applyAlignment="1">
      <alignment horizontal="center"/>
    </xf>
    <xf numFmtId="170" fontId="0" fillId="11" borderId="2" xfId="2" applyNumberFormat="1" applyFont="1" applyFill="1" applyBorder="1" applyAlignment="1">
      <alignment horizontal="center"/>
    </xf>
    <xf numFmtId="170" fontId="0" fillId="12" borderId="2" xfId="2" applyNumberFormat="1" applyFont="1" applyFill="1" applyBorder="1" applyAlignment="1">
      <alignment horizontal="center"/>
    </xf>
    <xf numFmtId="0" fontId="3" fillId="13" borderId="2" xfId="0" applyFont="1" applyFill="1" applyBorder="1" applyAlignment="1">
      <alignment vertical="center"/>
    </xf>
    <xf numFmtId="0" fontId="3" fillId="13" borderId="2" xfId="0" applyFont="1" applyFill="1" applyBorder="1" applyAlignment="1">
      <alignment horizontal="center" vertical="center" wrapText="1"/>
    </xf>
    <xf numFmtId="17" fontId="7" fillId="13" borderId="2" xfId="0" applyNumberFormat="1" applyFont="1" applyFill="1" applyBorder="1" applyAlignment="1">
      <alignment horizontal="center"/>
    </xf>
    <xf numFmtId="0" fontId="0" fillId="7" borderId="0" xfId="0" applyFill="1"/>
    <xf numFmtId="0" fontId="3" fillId="10" borderId="2" xfId="0" applyFont="1" applyFill="1" applyBorder="1" applyAlignment="1">
      <alignment horizontal="center" vertical="center"/>
    </xf>
    <xf numFmtId="1" fontId="0" fillId="11" borderId="2" xfId="0" applyNumberFormat="1" applyFill="1" applyBorder="1" applyAlignment="1">
      <alignment horizontal="center" vertical="center"/>
    </xf>
    <xf numFmtId="1" fontId="0" fillId="12" borderId="2" xfId="0" applyNumberFormat="1" applyFill="1" applyBorder="1" applyAlignment="1">
      <alignment horizontal="center" vertical="center"/>
    </xf>
    <xf numFmtId="170" fontId="0" fillId="11" borderId="2" xfId="2" applyNumberFormat="1" applyFont="1" applyFill="1" applyBorder="1" applyAlignment="1">
      <alignment horizontal="center" vertical="center"/>
    </xf>
    <xf numFmtId="170" fontId="0" fillId="12" borderId="2" xfId="2" applyNumberFormat="1" applyFont="1" applyFill="1" applyBorder="1" applyAlignment="1">
      <alignment horizontal="center" vertical="center"/>
    </xf>
    <xf numFmtId="10" fontId="0" fillId="12" borderId="2" xfId="2" applyNumberFormat="1" applyFont="1" applyFill="1" applyBorder="1" applyAlignment="1">
      <alignment horizontal="center" vertical="center"/>
    </xf>
    <xf numFmtId="1" fontId="0" fillId="11" borderId="2" xfId="2" applyNumberFormat="1" applyFont="1" applyFill="1" applyBorder="1" applyAlignment="1">
      <alignment horizontal="center"/>
    </xf>
    <xf numFmtId="1" fontId="0" fillId="12" borderId="2" xfId="2" applyNumberFormat="1" applyFont="1" applyFill="1" applyBorder="1" applyAlignment="1">
      <alignment horizontal="center"/>
    </xf>
    <xf numFmtId="1" fontId="0" fillId="11" borderId="2" xfId="2" applyNumberFormat="1" applyFont="1" applyFill="1" applyBorder="1" applyAlignment="1">
      <alignment horizontal="center" vertical="center"/>
    </xf>
    <xf numFmtId="165" fontId="4" fillId="2" borderId="4" xfId="3" applyNumberFormat="1" applyFont="1" applyFill="1" applyBorder="1" applyAlignment="1">
      <alignment horizontal="center" vertical="center" wrapText="1"/>
    </xf>
    <xf numFmtId="15" fontId="0" fillId="3" borderId="7" xfId="0" applyNumberFormat="1" applyFill="1" applyBorder="1" applyAlignment="1">
      <alignment horizontal="center"/>
    </xf>
    <xf numFmtId="166" fontId="0" fillId="0" borderId="1" xfId="0" applyNumberFormat="1" applyBorder="1" applyAlignment="1">
      <alignment horizontal="center"/>
    </xf>
    <xf numFmtId="1" fontId="0" fillId="0" borderId="1" xfId="0" applyNumberFormat="1" applyBorder="1" applyAlignment="1">
      <alignment horizontal="center"/>
    </xf>
    <xf numFmtId="166" fontId="0" fillId="5" borderId="1" xfId="0" applyNumberFormat="1" applyFill="1" applyBorder="1" applyAlignment="1">
      <alignment horizontal="center"/>
    </xf>
    <xf numFmtId="0" fontId="0" fillId="0" borderId="1" xfId="0" applyBorder="1"/>
    <xf numFmtId="0" fontId="0" fillId="15" borderId="7" xfId="0" applyFill="1" applyBorder="1" applyAlignment="1">
      <alignment horizontal="center"/>
    </xf>
    <xf numFmtId="15" fontId="0" fillId="15" borderId="1" xfId="0" applyNumberFormat="1" applyFill="1" applyBorder="1"/>
    <xf numFmtId="0" fontId="0" fillId="15" borderId="1" xfId="0" applyFill="1" applyBorder="1" applyAlignment="1">
      <alignment horizontal="center"/>
    </xf>
    <xf numFmtId="20" fontId="0" fillId="0" borderId="1" xfId="0" applyNumberFormat="1" applyBorder="1" applyAlignment="1">
      <alignment horizontal="center"/>
    </xf>
    <xf numFmtId="0" fontId="0" fillId="15" borderId="1" xfId="0" applyFill="1" applyBorder="1"/>
    <xf numFmtId="170" fontId="0" fillId="0" borderId="1" xfId="2" applyNumberFormat="1" applyFont="1" applyBorder="1" applyAlignment="1">
      <alignment horizontal="center"/>
    </xf>
    <xf numFmtId="173" fontId="0" fillId="15" borderId="1" xfId="0" applyNumberFormat="1" applyFill="1" applyBorder="1" applyAlignment="1">
      <alignment horizontal="center"/>
    </xf>
    <xf numFmtId="0" fontId="0" fillId="0" borderId="7" xfId="0" applyBorder="1" applyAlignment="1">
      <alignment horizontal="center"/>
    </xf>
    <xf numFmtId="20" fontId="0" fillId="15" borderId="1" xfId="0" applyNumberFormat="1" applyFill="1" applyBorder="1" applyAlignment="1">
      <alignment horizontal="center"/>
    </xf>
    <xf numFmtId="166" fontId="0" fillId="15" borderId="1" xfId="0" applyNumberFormat="1" applyFill="1" applyBorder="1" applyAlignment="1">
      <alignment horizontal="center"/>
    </xf>
    <xf numFmtId="2" fontId="0" fillId="0" borderId="1" xfId="0" applyNumberFormat="1" applyBorder="1" applyAlignment="1">
      <alignment horizontal="center"/>
    </xf>
    <xf numFmtId="0" fontId="0" fillId="15" borderId="8" xfId="0" applyFill="1" applyBorder="1" applyAlignment="1">
      <alignment horizontal="center"/>
    </xf>
    <xf numFmtId="2" fontId="0" fillId="0" borderId="3" xfId="0" applyNumberFormat="1" applyBorder="1" applyAlignment="1">
      <alignment horizontal="center"/>
    </xf>
    <xf numFmtId="0" fontId="0" fillId="0" borderId="13" xfId="0" applyBorder="1"/>
    <xf numFmtId="0" fontId="11" fillId="14" borderId="2" xfId="0" applyFont="1" applyFill="1" applyBorder="1"/>
    <xf numFmtId="0" fontId="14" fillId="7" borderId="2" xfId="0" applyFont="1" applyFill="1" applyBorder="1"/>
    <xf numFmtId="165" fontId="15" fillId="7" borderId="2" xfId="4" applyNumberFormat="1" applyFont="1" applyFill="1" applyBorder="1" applyAlignment="1">
      <alignment horizontal="left" vertical="center"/>
    </xf>
    <xf numFmtId="0" fontId="11" fillId="14" borderId="2" xfId="0" applyFont="1" applyFill="1" applyBorder="1" applyAlignment="1">
      <alignment horizontal="center" vertical="center" wrapText="1"/>
    </xf>
    <xf numFmtId="1" fontId="13" fillId="7" borderId="2" xfId="4" applyNumberFormat="1" applyFont="1" applyFill="1" applyBorder="1" applyAlignment="1">
      <alignment horizontal="center" vertical="center"/>
    </xf>
    <xf numFmtId="3" fontId="14" fillId="7" borderId="2" xfId="0" applyNumberFormat="1" applyFont="1" applyFill="1" applyBorder="1" applyAlignment="1">
      <alignment horizontal="center"/>
    </xf>
    <xf numFmtId="10" fontId="14" fillId="7" borderId="2" xfId="5" applyNumberFormat="1" applyFont="1" applyFill="1" applyBorder="1" applyAlignment="1">
      <alignment horizontal="center"/>
    </xf>
    <xf numFmtId="1" fontId="14" fillId="7" borderId="2" xfId="0" applyNumberFormat="1" applyFont="1" applyFill="1" applyBorder="1" applyAlignment="1">
      <alignment horizontal="center"/>
    </xf>
    <xf numFmtId="170" fontId="13" fillId="7" borderId="2" xfId="2" applyNumberFormat="1" applyFont="1" applyFill="1" applyBorder="1" applyAlignment="1">
      <alignment horizontal="center" vertical="center"/>
    </xf>
    <xf numFmtId="170" fontId="14" fillId="7" borderId="2" xfId="2" applyNumberFormat="1" applyFont="1" applyFill="1" applyBorder="1" applyAlignment="1">
      <alignment horizontal="center"/>
    </xf>
    <xf numFmtId="170" fontId="13" fillId="7" borderId="2" xfId="5" applyNumberFormat="1" applyFont="1" applyFill="1" applyBorder="1" applyAlignment="1">
      <alignment horizontal="center" vertical="center"/>
    </xf>
    <xf numFmtId="0" fontId="4" fillId="2" borderId="5" xfId="3" applyFont="1" applyFill="1" applyBorder="1" applyAlignment="1">
      <alignment horizontal="left" vertical="center" wrapText="1"/>
    </xf>
    <xf numFmtId="0" fontId="4" fillId="2" borderId="1" xfId="3" applyFont="1" applyFill="1" applyBorder="1" applyAlignment="1">
      <alignment horizontal="center" vertical="center" wrapText="1"/>
    </xf>
    <xf numFmtId="15" fontId="0" fillId="0" borderId="0" xfId="0" applyNumberFormat="1"/>
    <xf numFmtId="15" fontId="0" fillId="0" borderId="7" xfId="0" applyNumberFormat="1" applyBorder="1"/>
    <xf numFmtId="2" fontId="0" fillId="0" borderId="8" xfId="0" applyNumberFormat="1" applyBorder="1" applyAlignment="1">
      <alignment horizontal="center"/>
    </xf>
    <xf numFmtId="15" fontId="0" fillId="0" borderId="9" xfId="0" applyNumberFormat="1" applyBorder="1"/>
    <xf numFmtId="0" fontId="0" fillId="15" borderId="1" xfId="0" applyFill="1" applyBorder="1" applyAlignment="1">
      <alignment horizontal="left"/>
    </xf>
    <xf numFmtId="1" fontId="0" fillId="0" borderId="8" xfId="0" applyNumberFormat="1" applyBorder="1" applyAlignment="1">
      <alignment horizontal="center"/>
    </xf>
    <xf numFmtId="170" fontId="0" fillId="0" borderId="1" xfId="0" applyNumberFormat="1" applyBorder="1" applyAlignment="1">
      <alignment horizontal="center"/>
    </xf>
    <xf numFmtId="9" fontId="0" fillId="7" borderId="0" xfId="2" applyFont="1" applyFill="1"/>
    <xf numFmtId="2" fontId="0" fillId="0" borderId="0" xfId="0" applyNumberFormat="1" applyAlignment="1">
      <alignment horizontal="center"/>
    </xf>
    <xf numFmtId="0" fontId="32" fillId="0" borderId="28" xfId="0" applyFont="1" applyBorder="1" applyAlignment="1">
      <alignment horizontal="center"/>
    </xf>
    <xf numFmtId="0" fontId="4" fillId="2" borderId="5" xfId="3" applyFont="1" applyFill="1" applyBorder="1" applyAlignment="1">
      <alignment horizontal="center" vertical="center"/>
    </xf>
    <xf numFmtId="2" fontId="0" fillId="5" borderId="1" xfId="0" applyNumberFormat="1" applyFill="1" applyBorder="1" applyAlignment="1">
      <alignment horizontal="center"/>
    </xf>
    <xf numFmtId="17" fontId="0" fillId="0" borderId="1" xfId="0" applyNumberFormat="1" applyBorder="1" applyAlignment="1">
      <alignment horizontal="center"/>
    </xf>
    <xf numFmtId="9" fontId="0" fillId="0" borderId="1" xfId="2" applyFont="1" applyBorder="1" applyAlignment="1">
      <alignment horizontal="center"/>
    </xf>
    <xf numFmtId="10" fontId="14" fillId="7" borderId="2" xfId="5" applyNumberFormat="1" applyFont="1" applyFill="1" applyBorder="1" applyAlignment="1">
      <alignment horizontal="center" vertical="center"/>
    </xf>
    <xf numFmtId="0" fontId="43" fillId="2" borderId="1" xfId="3" applyFont="1" applyFill="1" applyBorder="1" applyAlignment="1">
      <alignment horizontal="center" vertical="center" wrapText="1"/>
    </xf>
    <xf numFmtId="165" fontId="43" fillId="2" borderId="1" xfId="3" applyNumberFormat="1" applyFont="1" applyFill="1" applyBorder="1" applyAlignment="1">
      <alignment horizontal="center" vertical="center" wrapText="1"/>
    </xf>
    <xf numFmtId="0" fontId="0" fillId="89" borderId="29" xfId="0" applyFill="1" applyBorder="1" applyAlignment="1">
      <alignment horizontal="center"/>
    </xf>
    <xf numFmtId="0" fontId="0" fillId="0" borderId="30" xfId="0" applyBorder="1" applyAlignment="1">
      <alignment horizontal="center"/>
    </xf>
    <xf numFmtId="165" fontId="44" fillId="89" borderId="31" xfId="0" applyNumberFormat="1" applyFont="1" applyFill="1" applyBorder="1" applyAlignment="1">
      <alignment horizontal="center"/>
    </xf>
    <xf numFmtId="20" fontId="0" fillId="89" borderId="29" xfId="0" applyNumberFormat="1" applyFill="1" applyBorder="1" applyAlignment="1">
      <alignment horizontal="center"/>
    </xf>
    <xf numFmtId="0" fontId="0" fillId="89" borderId="29" xfId="0" applyFill="1" applyBorder="1" applyAlignment="1">
      <alignment horizontal="left"/>
    </xf>
    <xf numFmtId="0" fontId="0" fillId="89" borderId="32" xfId="0" applyFill="1" applyBorder="1" applyAlignment="1">
      <alignment horizontal="center"/>
    </xf>
    <xf numFmtId="20" fontId="0" fillId="89" borderId="32" xfId="0" applyNumberFormat="1" applyFill="1" applyBorder="1" applyAlignment="1">
      <alignment horizontal="center"/>
    </xf>
    <xf numFmtId="0" fontId="0" fillId="89" borderId="32" xfId="0" applyFill="1" applyBorder="1" applyAlignment="1">
      <alignment horizontal="center" vertical="center"/>
    </xf>
    <xf numFmtId="1" fontId="0" fillId="0" borderId="29" xfId="0" applyNumberFormat="1" applyBorder="1" applyAlignment="1">
      <alignment horizontal="center"/>
    </xf>
    <xf numFmtId="0" fontId="0" fillId="0" borderId="29" xfId="0" applyBorder="1" applyAlignment="1">
      <alignment horizontal="center"/>
    </xf>
    <xf numFmtId="2" fontId="0" fillId="0" borderId="1" xfId="0" applyNumberFormat="1" applyBorder="1"/>
    <xf numFmtId="2" fontId="0" fillId="0" borderId="1" xfId="0" applyNumberFormat="1" applyBorder="1" applyAlignment="1">
      <alignment horizontal="right"/>
    </xf>
    <xf numFmtId="0" fontId="4" fillId="2" borderId="5" xfId="3" applyFont="1" applyFill="1" applyBorder="1" applyAlignment="1">
      <alignment vertical="center" wrapText="1"/>
    </xf>
    <xf numFmtId="0" fontId="0" fillId="0" borderId="1" xfId="0" applyBorder="1" applyAlignment="1">
      <alignment horizontal="left"/>
    </xf>
    <xf numFmtId="0" fontId="0" fillId="89" borderId="32" xfId="0" applyFill="1" applyBorder="1" applyAlignment="1">
      <alignment horizontal="left" vertical="center"/>
    </xf>
    <xf numFmtId="0" fontId="0" fillId="89" borderId="32" xfId="0" applyFill="1" applyBorder="1" applyAlignment="1">
      <alignment horizontal="left"/>
    </xf>
    <xf numFmtId="0" fontId="0" fillId="15" borderId="3" xfId="0" applyFill="1" applyBorder="1" applyAlignment="1">
      <alignment horizontal="left"/>
    </xf>
    <xf numFmtId="0" fontId="0" fillId="0" borderId="3" xfId="0" applyBorder="1" applyAlignment="1">
      <alignment horizontal="left"/>
    </xf>
    <xf numFmtId="166" fontId="0" fillId="15" borderId="1" xfId="0" applyNumberFormat="1" applyFill="1" applyBorder="1" applyAlignment="1">
      <alignment horizontal="left"/>
    </xf>
    <xf numFmtId="20" fontId="0" fillId="0" borderId="3" xfId="0" applyNumberFormat="1" applyBorder="1" applyAlignment="1">
      <alignment horizontal="center"/>
    </xf>
    <xf numFmtId="0" fontId="0" fillId="89" borderId="33" xfId="0" applyFill="1" applyBorder="1" applyAlignment="1">
      <alignment horizontal="center"/>
    </xf>
    <xf numFmtId="0" fontId="0" fillId="89" borderId="34" xfId="0" applyFill="1" applyBorder="1" applyAlignment="1">
      <alignment horizontal="center"/>
    </xf>
    <xf numFmtId="0" fontId="0" fillId="89" borderId="32" xfId="0" applyFill="1" applyBorder="1" applyAlignment="1">
      <alignment horizontal="left" vertical="top"/>
    </xf>
    <xf numFmtId="0" fontId="0" fillId="89" borderId="34" xfId="0" applyFill="1" applyBorder="1" applyAlignment="1">
      <alignment horizontal="left"/>
    </xf>
    <xf numFmtId="0" fontId="0" fillId="89" borderId="32" xfId="0" applyFill="1" applyBorder="1"/>
    <xf numFmtId="1" fontId="0" fillId="0" borderId="33" xfId="0" applyNumberFormat="1" applyBorder="1" applyAlignment="1">
      <alignment horizontal="center"/>
    </xf>
    <xf numFmtId="0" fontId="0" fillId="0" borderId="35" xfId="0" applyBorder="1" applyAlignment="1">
      <alignment horizontal="center"/>
    </xf>
    <xf numFmtId="0" fontId="0" fillId="15" borderId="3" xfId="0" applyFill="1" applyBorder="1" applyAlignment="1">
      <alignment horizontal="center"/>
    </xf>
    <xf numFmtId="0" fontId="0" fillId="0" borderId="3" xfId="0" applyBorder="1" applyAlignment="1">
      <alignment horizontal="center"/>
    </xf>
    <xf numFmtId="0" fontId="0" fillId="0" borderId="3" xfId="0" applyBorder="1"/>
    <xf numFmtId="166" fontId="0" fillId="0" borderId="3" xfId="0" applyNumberFormat="1" applyBorder="1" applyAlignment="1">
      <alignment horizontal="center"/>
    </xf>
    <xf numFmtId="170" fontId="0" fillId="0" borderId="3" xfId="0" applyNumberFormat="1" applyBorder="1" applyAlignment="1">
      <alignment horizontal="center"/>
    </xf>
    <xf numFmtId="0" fontId="0" fillId="15" borderId="3" xfId="0" applyFill="1" applyBorder="1"/>
    <xf numFmtId="2" fontId="0" fillId="0" borderId="3" xfId="0" applyNumberFormat="1" applyBorder="1"/>
    <xf numFmtId="2" fontId="0" fillId="0" borderId="3" xfId="0" applyNumberFormat="1" applyBorder="1" applyAlignment="1">
      <alignment horizontal="right"/>
    </xf>
    <xf numFmtId="0" fontId="1" fillId="0" borderId="9" xfId="0" applyFont="1" applyBorder="1" applyAlignment="1">
      <alignment horizontal="center"/>
    </xf>
    <xf numFmtId="15" fontId="1" fillId="15" borderId="3" xfId="0" applyNumberFormat="1" applyFont="1" applyFill="1" applyBorder="1"/>
    <xf numFmtId="0" fontId="1" fillId="0" borderId="3" xfId="0" applyFont="1" applyBorder="1" applyAlignment="1">
      <alignment horizontal="center"/>
    </xf>
    <xf numFmtId="0" fontId="1" fillId="0" borderId="3" xfId="0" applyFont="1" applyBorder="1"/>
    <xf numFmtId="20" fontId="1" fillId="0" borderId="3" xfId="0" applyNumberFormat="1" applyFont="1" applyBorder="1" applyAlignment="1">
      <alignment horizontal="center"/>
    </xf>
    <xf numFmtId="166" fontId="1" fillId="0" borderId="3" xfId="0" applyNumberFormat="1" applyFont="1" applyBorder="1" applyAlignment="1">
      <alignment horizontal="center"/>
    </xf>
    <xf numFmtId="20" fontId="1" fillId="15" borderId="3" xfId="0" applyNumberFormat="1" applyFont="1" applyFill="1" applyBorder="1" applyAlignment="1">
      <alignment horizontal="center"/>
    </xf>
    <xf numFmtId="9" fontId="1" fillId="0" borderId="3" xfId="2" applyFont="1" applyFill="1" applyBorder="1" applyAlignment="1">
      <alignment horizontal="center"/>
    </xf>
    <xf numFmtId="173" fontId="1" fillId="15" borderId="3" xfId="0" applyNumberFormat="1" applyFont="1" applyFill="1" applyBorder="1" applyAlignment="1">
      <alignment horizontal="center"/>
    </xf>
    <xf numFmtId="2" fontId="1" fillId="0" borderId="3" xfId="0" applyNumberFormat="1" applyFont="1" applyBorder="1" applyAlignment="1">
      <alignment horizontal="center"/>
    </xf>
    <xf numFmtId="166" fontId="1" fillId="15" borderId="3" xfId="0" applyNumberFormat="1" applyFont="1" applyFill="1" applyBorder="1" applyAlignment="1">
      <alignment horizontal="left"/>
    </xf>
    <xf numFmtId="166" fontId="1" fillId="15" borderId="3" xfId="0" applyNumberFormat="1" applyFont="1" applyFill="1" applyBorder="1" applyAlignment="1">
      <alignment horizontal="center"/>
    </xf>
    <xf numFmtId="0" fontId="1" fillId="15" borderId="3" xfId="0" applyFont="1" applyFill="1" applyBorder="1" applyAlignment="1">
      <alignment horizontal="center"/>
    </xf>
    <xf numFmtId="166" fontId="1" fillId="15" borderId="1" xfId="0" applyNumberFormat="1" applyFont="1" applyFill="1" applyBorder="1" applyAlignment="1">
      <alignment horizontal="left"/>
    </xf>
    <xf numFmtId="173" fontId="1" fillId="15" borderId="1" xfId="0" applyNumberFormat="1" applyFont="1" applyFill="1" applyBorder="1" applyAlignment="1">
      <alignment horizontal="center"/>
    </xf>
    <xf numFmtId="2" fontId="1" fillId="0" borderId="1" xfId="0" applyNumberFormat="1" applyFont="1" applyBorder="1" applyAlignment="1">
      <alignment horizontal="center"/>
    </xf>
    <xf numFmtId="166" fontId="1" fillId="15" borderId="1" xfId="0" applyNumberFormat="1" applyFont="1" applyFill="1" applyBorder="1" applyAlignment="1">
      <alignment horizontal="center"/>
    </xf>
    <xf numFmtId="0" fontId="1" fillId="15" borderId="1" xfId="0" applyFont="1" applyFill="1" applyBorder="1" applyAlignment="1">
      <alignment horizontal="center"/>
    </xf>
    <xf numFmtId="0" fontId="1" fillId="15" borderId="8" xfId="0" applyFont="1" applyFill="1" applyBorder="1" applyAlignment="1">
      <alignment horizontal="center"/>
    </xf>
    <xf numFmtId="9" fontId="1" fillId="0" borderId="1" xfId="2" applyFont="1" applyFill="1" applyBorder="1" applyAlignment="1">
      <alignment horizontal="center"/>
    </xf>
    <xf numFmtId="166" fontId="1" fillId="0" borderId="1" xfId="0" applyNumberFormat="1" applyFont="1" applyBorder="1" applyAlignment="1">
      <alignment horizontal="center"/>
    </xf>
    <xf numFmtId="0" fontId="32" fillId="0" borderId="36" xfId="0" applyFont="1" applyBorder="1" applyAlignment="1">
      <alignment horizontal="center"/>
    </xf>
    <xf numFmtId="2" fontId="0" fillId="0" borderId="1" xfId="0" applyNumberFormat="1" applyBorder="1" applyAlignment="1">
      <alignment horizontal="left"/>
    </xf>
    <xf numFmtId="2" fontId="0" fillId="0" borderId="3" xfId="0" applyNumberFormat="1" applyBorder="1" applyAlignment="1">
      <alignment horizontal="left"/>
    </xf>
    <xf numFmtId="20" fontId="0" fillId="0" borderId="1" xfId="0" applyNumberFormat="1" applyBorder="1"/>
    <xf numFmtId="20" fontId="0" fillId="0" borderId="0" xfId="0" applyNumberFormat="1" applyAlignment="1">
      <alignment horizontal="center"/>
    </xf>
    <xf numFmtId="15" fontId="38" fillId="15" borderId="1" xfId="0" applyNumberFormat="1" applyFont="1" applyFill="1" applyBorder="1"/>
    <xf numFmtId="0" fontId="38" fillId="15" borderId="1" xfId="0" applyFont="1" applyFill="1" applyBorder="1" applyAlignment="1">
      <alignment horizontal="center"/>
    </xf>
    <xf numFmtId="0" fontId="38" fillId="90" borderId="1" xfId="0" applyFont="1" applyFill="1" applyBorder="1" applyAlignment="1">
      <alignment horizontal="center"/>
    </xf>
    <xf numFmtId="0" fontId="38" fillId="0" borderId="1" xfId="0" applyFont="1" applyBorder="1" applyAlignment="1">
      <alignment horizontal="left"/>
    </xf>
    <xf numFmtId="0" fontId="38" fillId="15" borderId="9" xfId="0" applyFont="1" applyFill="1" applyBorder="1" applyAlignment="1">
      <alignment horizontal="center"/>
    </xf>
    <xf numFmtId="0" fontId="0" fillId="89" borderId="30" xfId="0" applyFill="1" applyBorder="1" applyAlignment="1">
      <alignment horizontal="center"/>
    </xf>
    <xf numFmtId="165" fontId="44" fillId="89" borderId="37" xfId="0" applyNumberFormat="1" applyFont="1" applyFill="1" applyBorder="1" applyAlignment="1">
      <alignment horizontal="center"/>
    </xf>
    <xf numFmtId="1" fontId="0" fillId="0" borderId="38" xfId="0" applyNumberFormat="1" applyBorder="1" applyAlignment="1">
      <alignment horizontal="center"/>
    </xf>
    <xf numFmtId="165" fontId="4" fillId="0" borderId="15" xfId="38297" applyNumberFormat="1" applyFont="1" applyBorder="1" applyAlignment="1">
      <alignment horizontal="center" vertical="center" wrapText="1"/>
    </xf>
    <xf numFmtId="0" fontId="4" fillId="0" borderId="15" xfId="38297" applyFont="1" applyBorder="1" applyAlignment="1">
      <alignment horizontal="center" vertical="center" wrapText="1"/>
    </xf>
    <xf numFmtId="0" fontId="3" fillId="0" borderId="15" xfId="38298" applyFont="1" applyBorder="1" applyAlignment="1">
      <alignment horizontal="center" vertical="center" wrapText="1"/>
    </xf>
    <xf numFmtId="9" fontId="3" fillId="0" borderId="15" xfId="38299" applyFont="1" applyFill="1" applyBorder="1" applyAlignment="1">
      <alignment horizontal="center" vertical="center" wrapText="1"/>
    </xf>
    <xf numFmtId="0" fontId="1" fillId="0" borderId="0" xfId="38298"/>
    <xf numFmtId="15" fontId="1" fillId="0" borderId="0" xfId="38298" applyNumberFormat="1" applyAlignment="1">
      <alignment horizontal="center" vertical="center"/>
    </xf>
    <xf numFmtId="1" fontId="1" fillId="0" borderId="0" xfId="38298" applyNumberFormat="1" applyAlignment="1">
      <alignment horizontal="center" vertical="center"/>
    </xf>
    <xf numFmtId="0" fontId="1" fillId="0" borderId="0" xfId="38298" applyAlignment="1">
      <alignment horizontal="center" vertical="center"/>
    </xf>
    <xf numFmtId="17" fontId="1" fillId="0" borderId="0" xfId="38298" applyNumberFormat="1" applyAlignment="1">
      <alignment horizontal="center" vertical="center"/>
    </xf>
    <xf numFmtId="2" fontId="0" fillId="0" borderId="0" xfId="38300" applyNumberFormat="1" applyFont="1" applyFill="1" applyAlignment="1">
      <alignment horizontal="center" vertical="center"/>
    </xf>
    <xf numFmtId="166" fontId="0" fillId="0" borderId="0" xfId="38300" applyNumberFormat="1" applyFont="1" applyFill="1" applyBorder="1" applyAlignment="1">
      <alignment horizontal="center" vertical="center"/>
    </xf>
    <xf numFmtId="9" fontId="0" fillId="0" borderId="0" xfId="38300" applyFont="1" applyFill="1" applyAlignment="1">
      <alignment horizontal="center" vertical="center"/>
    </xf>
    <xf numFmtId="10" fontId="45" fillId="0" borderId="0" xfId="38300" applyNumberFormat="1" applyFont="1" applyFill="1" applyAlignment="1">
      <alignment horizontal="center" vertical="center"/>
    </xf>
    <xf numFmtId="170" fontId="0" fillId="0" borderId="0" xfId="38300" applyNumberFormat="1" applyFont="1" applyFill="1" applyAlignment="1">
      <alignment horizontal="center" vertical="center"/>
    </xf>
    <xf numFmtId="10" fontId="0" fillId="0" borderId="0" xfId="38300" applyNumberFormat="1" applyFont="1" applyFill="1" applyAlignment="1">
      <alignment horizontal="center" vertical="center"/>
    </xf>
    <xf numFmtId="166" fontId="1" fillId="0" borderId="0" xfId="38298" applyNumberFormat="1" applyAlignment="1">
      <alignment horizontal="center" vertical="center"/>
    </xf>
    <xf numFmtId="10" fontId="0" fillId="0" borderId="0" xfId="38299" applyNumberFormat="1" applyFont="1" applyFill="1" applyAlignment="1">
      <alignment horizontal="center" vertical="center"/>
    </xf>
    <xf numFmtId="9" fontId="0" fillId="0" borderId="0" xfId="38299" applyFont="1" applyFill="1" applyAlignment="1">
      <alignment horizontal="center" vertical="center"/>
    </xf>
    <xf numFmtId="9" fontId="0" fillId="0" borderId="0" xfId="38299" applyFont="1"/>
    <xf numFmtId="0" fontId="3" fillId="0" borderId="39" xfId="38298" applyFont="1" applyBorder="1" applyAlignment="1">
      <alignment horizontal="center" vertical="center" wrapText="1"/>
    </xf>
    <xf numFmtId="0" fontId="3" fillId="0" borderId="39" xfId="38297" applyFont="1" applyBorder="1" applyAlignment="1">
      <alignment horizontal="center" vertical="center" wrapText="1"/>
    </xf>
    <xf numFmtId="2" fontId="1" fillId="0" borderId="0" xfId="38298" applyNumberFormat="1" applyAlignment="1">
      <alignment horizontal="center" vertical="center"/>
    </xf>
    <xf numFmtId="1" fontId="0" fillId="0" borderId="40" xfId="38301" applyNumberFormat="1" applyFont="1" applyFill="1" applyBorder="1" applyAlignment="1">
      <alignment horizontal="center" vertical="center"/>
    </xf>
    <xf numFmtId="1" fontId="0" fillId="0" borderId="41" xfId="38301" applyNumberFormat="1" applyFont="1" applyFill="1" applyBorder="1" applyAlignment="1">
      <alignment horizontal="center" vertical="center"/>
    </xf>
    <xf numFmtId="17" fontId="0" fillId="0" borderId="40" xfId="38301" applyNumberFormat="1" applyFont="1" applyFill="1" applyBorder="1" applyAlignment="1">
      <alignment horizontal="center" vertical="center"/>
    </xf>
    <xf numFmtId="0" fontId="0" fillId="0" borderId="40" xfId="38301" applyNumberFormat="1" applyFont="1" applyFill="1" applyBorder="1" applyAlignment="1">
      <alignment horizontal="center" vertical="center"/>
    </xf>
    <xf numFmtId="0" fontId="1" fillId="0" borderId="40" xfId="38298" applyBorder="1" applyAlignment="1">
      <alignment horizontal="center" vertical="center"/>
    </xf>
    <xf numFmtId="2" fontId="1" fillId="0" borderId="41" xfId="38298" applyNumberFormat="1" applyBorder="1" applyAlignment="1">
      <alignment horizontal="center" vertical="center"/>
    </xf>
    <xf numFmtId="166" fontId="1" fillId="0" borderId="40" xfId="38298" applyNumberFormat="1" applyBorder="1" applyAlignment="1">
      <alignment horizontal="center" vertical="center"/>
    </xf>
    <xf numFmtId="1" fontId="1" fillId="0" borderId="40" xfId="38298" applyNumberFormat="1" applyBorder="1" applyAlignment="1">
      <alignment horizontal="center" vertical="center"/>
    </xf>
    <xf numFmtId="10" fontId="0" fillId="0" borderId="40" xfId="38300" applyNumberFormat="1" applyFont="1" applyFill="1" applyBorder="1" applyAlignment="1">
      <alignment horizontal="center" vertical="center"/>
    </xf>
    <xf numFmtId="2" fontId="1" fillId="0" borderId="40" xfId="38298" applyNumberFormat="1" applyBorder="1" applyAlignment="1">
      <alignment horizontal="center" vertical="center"/>
    </xf>
    <xf numFmtId="0" fontId="46" fillId="0" borderId="39" xfId="38299" applyNumberFormat="1" applyFont="1" applyFill="1" applyBorder="1" applyAlignment="1">
      <alignment horizontal="center" vertical="center"/>
    </xf>
    <xf numFmtId="0" fontId="0" fillId="0" borderId="41" xfId="38301" applyNumberFormat="1" applyFont="1" applyFill="1" applyBorder="1" applyAlignment="1">
      <alignment horizontal="center" vertical="center"/>
    </xf>
    <xf numFmtId="0" fontId="1" fillId="0" borderId="41" xfId="38298" applyBorder="1" applyAlignment="1">
      <alignment horizontal="center" vertical="center"/>
    </xf>
    <xf numFmtId="166" fontId="1" fillId="0" borderId="41" xfId="38298" applyNumberFormat="1" applyBorder="1" applyAlignment="1">
      <alignment horizontal="center" vertical="center"/>
    </xf>
    <xf numFmtId="1" fontId="1" fillId="0" borderId="41" xfId="38298" applyNumberFormat="1" applyBorder="1" applyAlignment="1">
      <alignment horizontal="center" vertical="center"/>
    </xf>
    <xf numFmtId="10" fontId="0" fillId="0" borderId="41" xfId="38300" applyNumberFormat="1" applyFont="1" applyFill="1" applyBorder="1" applyAlignment="1">
      <alignment horizontal="center" vertical="center"/>
    </xf>
    <xf numFmtId="1" fontId="46" fillId="0" borderId="39" xfId="38299" applyNumberFormat="1" applyFont="1" applyFill="1" applyBorder="1" applyAlignment="1">
      <alignment horizontal="center" vertical="center"/>
    </xf>
    <xf numFmtId="166" fontId="0" fillId="0" borderId="40" xfId="38298" applyNumberFormat="1" applyFont="1" applyBorder="1" applyAlignment="1">
      <alignment horizontal="center" vertical="center"/>
    </xf>
    <xf numFmtId="1" fontId="0" fillId="0" borderId="39" xfId="38299" applyNumberFormat="1" applyFont="1" applyFill="1" applyBorder="1" applyAlignment="1">
      <alignment horizontal="center" vertical="center"/>
    </xf>
    <xf numFmtId="1" fontId="0" fillId="0" borderId="40" xfId="38298" applyNumberFormat="1" applyFont="1" applyBorder="1" applyAlignment="1">
      <alignment horizontal="center" vertical="center"/>
    </xf>
    <xf numFmtId="1" fontId="7" fillId="91" borderId="42" xfId="38298" applyNumberFormat="1" applyFont="1" applyFill="1" applyBorder="1" applyAlignment="1">
      <alignment horizontal="center" vertical="center"/>
    </xf>
    <xf numFmtId="2" fontId="13" fillId="7" borderId="2" xfId="2" applyNumberFormat="1" applyFont="1" applyFill="1" applyBorder="1" applyAlignment="1">
      <alignment horizontal="center" vertical="center"/>
    </xf>
    <xf numFmtId="2" fontId="14" fillId="7" borderId="2" xfId="0" applyNumberFormat="1" applyFont="1" applyFill="1" applyBorder="1" applyAlignment="1">
      <alignment horizontal="center"/>
    </xf>
    <xf numFmtId="1" fontId="0" fillId="3" borderId="3" xfId="0" applyNumberFormat="1" applyFill="1" applyBorder="1" applyAlignment="1">
      <alignment horizontal="center"/>
    </xf>
    <xf numFmtId="0" fontId="0" fillId="3" borderId="3" xfId="0" applyFill="1" applyBorder="1" applyAlignment="1">
      <alignment horizontal="center"/>
    </xf>
    <xf numFmtId="17" fontId="0" fillId="3" borderId="3" xfId="0" applyNumberFormat="1" applyFill="1" applyBorder="1" applyAlignment="1">
      <alignment horizontal="center"/>
    </xf>
    <xf numFmtId="169" fontId="0" fillId="0" borderId="3" xfId="1" applyNumberFormat="1" applyFont="1" applyBorder="1"/>
    <xf numFmtId="168" fontId="0" fillId="0" borderId="3" xfId="1" applyNumberFormat="1" applyFont="1" applyBorder="1" applyAlignment="1">
      <alignment horizontal="center"/>
    </xf>
    <xf numFmtId="1" fontId="0" fillId="0" borderId="3" xfId="0" applyNumberFormat="1" applyBorder="1" applyAlignment="1">
      <alignment horizontal="center"/>
    </xf>
    <xf numFmtId="2" fontId="0" fillId="5" borderId="3" xfId="0" applyNumberFormat="1" applyFill="1" applyBorder="1" applyAlignment="1">
      <alignment horizontal="center"/>
    </xf>
    <xf numFmtId="166" fontId="0" fillId="5" borderId="3" xfId="0" applyNumberFormat="1" applyFill="1" applyBorder="1" applyAlignment="1">
      <alignment horizontal="center"/>
    </xf>
    <xf numFmtId="166" fontId="0" fillId="3" borderId="3" xfId="0" applyNumberFormat="1" applyFill="1" applyBorder="1" applyAlignment="1">
      <alignment horizontal="center"/>
    </xf>
    <xf numFmtId="2" fontId="0" fillId="3" borderId="3" xfId="0" applyNumberFormat="1" applyFill="1" applyBorder="1" applyAlignment="1">
      <alignment horizontal="center" vertical="center"/>
    </xf>
    <xf numFmtId="0" fontId="0" fillId="3" borderId="3" xfId="0" applyFill="1" applyBorder="1"/>
    <xf numFmtId="0" fontId="0" fillId="15" borderId="3" xfId="0" applyFill="1" applyBorder="1" applyAlignment="1">
      <alignment wrapText="1"/>
    </xf>
    <xf numFmtId="1" fontId="0" fillId="0" borderId="0" xfId="0" applyNumberFormat="1"/>
    <xf numFmtId="0" fontId="0" fillId="15" borderId="1" xfId="0" applyFill="1" applyBorder="1" applyAlignment="1">
      <alignment wrapText="1"/>
    </xf>
    <xf numFmtId="0" fontId="0" fillId="15" borderId="9" xfId="0" applyFill="1" applyBorder="1" applyAlignment="1">
      <alignment horizontal="center"/>
    </xf>
    <xf numFmtId="170" fontId="13" fillId="7" borderId="2" xfId="2" applyNumberFormat="1" applyFont="1" applyFill="1" applyBorder="1" applyAlignment="1">
      <alignment horizontal="center"/>
    </xf>
    <xf numFmtId="15" fontId="0" fillId="3" borderId="9" xfId="0" applyNumberFormat="1" applyFill="1" applyBorder="1" applyAlignment="1">
      <alignment horizontal="center"/>
    </xf>
    <xf numFmtId="167" fontId="0" fillId="3" borderId="3" xfId="0" applyNumberFormat="1" applyFill="1" applyBorder="1" applyAlignment="1">
      <alignment horizontal="center"/>
    </xf>
    <xf numFmtId="15" fontId="0" fillId="15" borderId="3" xfId="0" applyNumberFormat="1" applyFill="1" applyBorder="1"/>
    <xf numFmtId="0" fontId="14" fillId="7" borderId="2" xfId="0" applyFont="1" applyFill="1" applyBorder="1" applyProtection="1">
      <protection locked="0"/>
    </xf>
    <xf numFmtId="1" fontId="14" fillId="7" borderId="2" xfId="0" applyNumberFormat="1" applyFont="1" applyFill="1" applyBorder="1" applyProtection="1">
      <protection locked="0"/>
    </xf>
    <xf numFmtId="0" fontId="14" fillId="7" borderId="2" xfId="0" applyFont="1" applyFill="1" applyBorder="1" applyAlignment="1" applyProtection="1">
      <alignment wrapText="1"/>
      <protection locked="0"/>
    </xf>
    <xf numFmtId="0" fontId="3" fillId="0" borderId="15" xfId="38298" applyFont="1" applyBorder="1" applyAlignment="1" applyProtection="1">
      <alignment horizontal="center" vertical="center" wrapText="1"/>
      <protection locked="0"/>
    </xf>
    <xf numFmtId="0" fontId="1" fillId="0" borderId="0" xfId="38298" applyAlignment="1" applyProtection="1">
      <alignment horizontal="center" vertical="center"/>
      <protection locked="0"/>
    </xf>
    <xf numFmtId="0" fontId="1" fillId="0" borderId="0" xfId="38298" applyProtection="1">
      <protection locked="0"/>
    </xf>
    <xf numFmtId="0" fontId="47" fillId="0" borderId="0" xfId="0" applyFont="1"/>
    <xf numFmtId="0" fontId="47" fillId="0" borderId="0" xfId="0" applyFont="1" applyAlignment="1">
      <alignment wrapText="1"/>
    </xf>
    <xf numFmtId="0" fontId="0" fillId="0" borderId="2" xfId="0" applyBorder="1" applyAlignment="1">
      <alignment horizontal="center"/>
    </xf>
    <xf numFmtId="15" fontId="0" fillId="4" borderId="7" xfId="0" applyNumberFormat="1" applyFill="1" applyBorder="1" applyAlignment="1">
      <alignment horizontal="center"/>
    </xf>
    <xf numFmtId="1" fontId="0" fillId="4" borderId="1" xfId="0" applyNumberFormat="1" applyFill="1" applyBorder="1" applyAlignment="1">
      <alignment horizontal="center"/>
    </xf>
    <xf numFmtId="0" fontId="0" fillId="4" borderId="1" xfId="0" applyFill="1" applyBorder="1" applyAlignment="1">
      <alignment horizontal="center"/>
    </xf>
    <xf numFmtId="17" fontId="0" fillId="4" borderId="1" xfId="0" applyNumberFormat="1" applyFill="1" applyBorder="1" applyAlignment="1">
      <alignment horizontal="center"/>
    </xf>
    <xf numFmtId="167" fontId="0" fillId="4" borderId="1" xfId="0" applyNumberFormat="1" applyFill="1" applyBorder="1" applyAlignment="1">
      <alignment horizontal="center"/>
    </xf>
    <xf numFmtId="166" fontId="0" fillId="4" borderId="1" xfId="0" applyNumberFormat="1" applyFill="1" applyBorder="1" applyAlignment="1">
      <alignment horizontal="center"/>
    </xf>
    <xf numFmtId="2" fontId="0" fillId="4" borderId="1" xfId="0" applyNumberFormat="1" applyFill="1" applyBorder="1" applyAlignment="1">
      <alignment horizontal="center" vertical="center"/>
    </xf>
    <xf numFmtId="0" fontId="0" fillId="4" borderId="1" xfId="0" applyFill="1" applyBorder="1"/>
    <xf numFmtId="169" fontId="0" fillId="4" borderId="1" xfId="1" applyNumberFormat="1" applyFont="1" applyFill="1" applyBorder="1" applyAlignment="1">
      <alignment horizontal="center"/>
    </xf>
    <xf numFmtId="169" fontId="0" fillId="4" borderId="1" xfId="1" applyNumberFormat="1" applyFont="1" applyFill="1" applyBorder="1"/>
    <xf numFmtId="168" fontId="0" fillId="4" borderId="1" xfId="1" applyNumberFormat="1" applyFont="1" applyFill="1" applyBorder="1" applyAlignment="1">
      <alignment horizontal="center"/>
    </xf>
    <xf numFmtId="2" fontId="0" fillId="4" borderId="1" xfId="0" applyNumberFormat="1" applyFill="1" applyBorder="1" applyAlignment="1">
      <alignment horizontal="center"/>
    </xf>
    <xf numFmtId="170" fontId="0" fillId="4" borderId="1" xfId="0" applyNumberFormat="1" applyFill="1" applyBorder="1" applyAlignment="1">
      <alignment horizontal="center"/>
    </xf>
    <xf numFmtId="0" fontId="0" fillId="4" borderId="0" xfId="0" applyFill="1"/>
    <xf numFmtId="0" fontId="0" fillId="0" borderId="38" xfId="0" applyBorder="1"/>
    <xf numFmtId="0" fontId="0" fillId="0" borderId="38" xfId="0" applyBorder="1" applyAlignment="1">
      <alignment horizontal="center"/>
    </xf>
    <xf numFmtId="2" fontId="45" fillId="3" borderId="1" xfId="0" applyNumberFormat="1" applyFont="1" applyFill="1" applyBorder="1" applyAlignment="1">
      <alignment horizontal="center" vertical="center"/>
    </xf>
    <xf numFmtId="1" fontId="45" fillId="3" borderId="1" xfId="0" applyNumberFormat="1" applyFont="1" applyFill="1" applyBorder="1" applyAlignment="1">
      <alignment horizontal="center"/>
    </xf>
    <xf numFmtId="0" fontId="45" fillId="15" borderId="1" xfId="0" applyFont="1" applyFill="1" applyBorder="1" applyAlignment="1">
      <alignment wrapText="1"/>
    </xf>
    <xf numFmtId="15" fontId="45" fillId="15" borderId="3" xfId="0" applyNumberFormat="1" applyFont="1" applyFill="1" applyBorder="1"/>
    <xf numFmtId="20" fontId="0" fillId="0" borderId="38" xfId="0" applyNumberFormat="1" applyBorder="1" applyAlignment="1">
      <alignment horizontal="center"/>
    </xf>
    <xf numFmtId="1" fontId="45" fillId="94" borderId="43" xfId="0" applyNumberFormat="1" applyFont="1" applyFill="1" applyBorder="1" applyAlignment="1">
      <alignment horizontal="center"/>
    </xf>
    <xf numFmtId="0" fontId="0" fillId="0" borderId="1" xfId="0" applyBorder="1" applyAlignment="1">
      <alignment horizontal="left" wrapText="1"/>
    </xf>
    <xf numFmtId="0" fontId="38" fillId="0" borderId="46" xfId="0" applyFont="1" applyBorder="1" applyAlignment="1">
      <alignment horizontal="left"/>
    </xf>
    <xf numFmtId="0" fontId="0" fillId="0" borderId="2" xfId="0" applyBorder="1" applyAlignment="1">
      <alignment vertical="center" wrapText="1"/>
    </xf>
    <xf numFmtId="20" fontId="0" fillId="0" borderId="2" xfId="0" applyNumberFormat="1" applyBorder="1" applyAlignment="1">
      <alignment horizontal="center" vertical="center"/>
    </xf>
    <xf numFmtId="20" fontId="0" fillId="0" borderId="2" xfId="0" applyNumberFormat="1" applyBorder="1" applyAlignment="1">
      <alignment horizontal="center"/>
    </xf>
    <xf numFmtId="0" fontId="0" fillId="0" borderId="2" xfId="0" applyBorder="1" applyAlignment="1">
      <alignment horizontal="left" vertical="center"/>
    </xf>
    <xf numFmtId="0" fontId="0" fillId="0" borderId="48" xfId="0" applyBorder="1"/>
    <xf numFmtId="20" fontId="0" fillId="3" borderId="1" xfId="0" applyNumberFormat="1" applyFill="1" applyBorder="1" applyAlignment="1">
      <alignment horizontal="center"/>
    </xf>
    <xf numFmtId="0" fontId="0" fillId="0" borderId="2" xfId="0" applyBorder="1" applyAlignment="1">
      <alignment wrapText="1"/>
    </xf>
    <xf numFmtId="0" fontId="0" fillId="0" borderId="2" xfId="0" applyBorder="1" applyAlignment="1">
      <alignment horizontal="left" vertical="center" wrapText="1"/>
    </xf>
    <xf numFmtId="2" fontId="0" fillId="3" borderId="3" xfId="0" applyNumberFormat="1" applyFill="1" applyBorder="1" applyAlignment="1">
      <alignment horizontal="center"/>
    </xf>
    <xf numFmtId="17" fontId="0" fillId="3" borderId="1" xfId="0" applyNumberFormat="1" applyFill="1" applyBorder="1" applyAlignment="1">
      <alignment horizontal="center"/>
    </xf>
    <xf numFmtId="0" fontId="0" fillId="3" borderId="1" xfId="0" applyFill="1" applyBorder="1" applyAlignment="1"/>
    <xf numFmtId="1" fontId="45" fillId="3" borderId="3" xfId="0" applyNumberFormat="1" applyFont="1" applyFill="1" applyBorder="1" applyAlignment="1">
      <alignment horizontal="center"/>
    </xf>
    <xf numFmtId="166" fontId="45" fillId="3" borderId="3" xfId="0" applyNumberFormat="1" applyFont="1" applyFill="1" applyBorder="1" applyAlignment="1">
      <alignment horizontal="center"/>
    </xf>
    <xf numFmtId="2" fontId="45" fillId="3" borderId="3" xfId="0" applyNumberFormat="1" applyFont="1" applyFill="1" applyBorder="1" applyAlignment="1">
      <alignment horizontal="center" vertical="center"/>
    </xf>
    <xf numFmtId="0" fontId="45" fillId="3" borderId="3" xfId="0" applyFont="1" applyFill="1" applyBorder="1"/>
    <xf numFmtId="169" fontId="1" fillId="0" borderId="1" xfId="1" applyNumberFormat="1" applyFont="1" applyBorder="1" applyAlignment="1">
      <alignment horizontal="center"/>
    </xf>
    <xf numFmtId="169" fontId="45" fillId="0" borderId="3" xfId="1" applyNumberFormat="1" applyFont="1" applyBorder="1" applyAlignment="1">
      <alignment horizontal="center"/>
    </xf>
    <xf numFmtId="169" fontId="1" fillId="0" borderId="3" xfId="1" applyNumberFormat="1" applyFont="1" applyBorder="1" applyAlignment="1">
      <alignment horizontal="center"/>
    </xf>
    <xf numFmtId="169" fontId="45" fillId="0" borderId="3" xfId="1" applyNumberFormat="1" applyFont="1" applyBorder="1"/>
    <xf numFmtId="168" fontId="45" fillId="0" borderId="3" xfId="1" applyNumberFormat="1" applyFont="1" applyBorder="1" applyAlignment="1">
      <alignment horizontal="center"/>
    </xf>
    <xf numFmtId="166" fontId="45" fillId="0" borderId="3" xfId="0" applyNumberFormat="1" applyFont="1" applyBorder="1" applyAlignment="1">
      <alignment horizontal="center"/>
    </xf>
    <xf numFmtId="1" fontId="45" fillId="0" borderId="3" xfId="0" applyNumberFormat="1" applyFont="1" applyBorder="1" applyAlignment="1">
      <alignment horizontal="center"/>
    </xf>
    <xf numFmtId="166" fontId="45" fillId="3" borderId="1" xfId="0" applyNumberFormat="1" applyFont="1" applyFill="1" applyBorder="1" applyAlignment="1">
      <alignment horizontal="center"/>
    </xf>
    <xf numFmtId="0" fontId="45" fillId="3" borderId="1" xfId="0" applyFont="1" applyFill="1" applyBorder="1"/>
    <xf numFmtId="169" fontId="45" fillId="0" borderId="1" xfId="1" applyNumberFormat="1" applyFont="1" applyBorder="1"/>
    <xf numFmtId="168" fontId="45" fillId="0" borderId="1" xfId="1" applyNumberFormat="1" applyFont="1" applyBorder="1" applyAlignment="1">
      <alignment horizontal="center"/>
    </xf>
    <xf numFmtId="166" fontId="45" fillId="0" borderId="1" xfId="0" applyNumberFormat="1" applyFont="1" applyBorder="1" applyAlignment="1">
      <alignment horizontal="center"/>
    </xf>
    <xf numFmtId="1" fontId="45" fillId="0" borderId="1" xfId="0" applyNumberFormat="1" applyFont="1" applyBorder="1" applyAlignment="1">
      <alignment horizontal="center"/>
    </xf>
    <xf numFmtId="175" fontId="45" fillId="94" borderId="43" xfId="0" applyNumberFormat="1" applyFont="1" applyFill="1" applyBorder="1" applyAlignment="1">
      <alignment horizontal="center"/>
    </xf>
    <xf numFmtId="166" fontId="45" fillId="94" borderId="43" xfId="0" applyNumberFormat="1" applyFont="1" applyFill="1" applyBorder="1" applyAlignment="1">
      <alignment horizontal="center"/>
    </xf>
    <xf numFmtId="0" fontId="45" fillId="94" borderId="43" xfId="0" applyFont="1" applyFill="1" applyBorder="1"/>
    <xf numFmtId="0" fontId="45" fillId="15" borderId="3" xfId="0" applyFont="1" applyFill="1" applyBorder="1" applyAlignment="1">
      <alignment horizontal="center"/>
    </xf>
    <xf numFmtId="0" fontId="45" fillId="0" borderId="3" xfId="0" applyFont="1" applyBorder="1" applyAlignment="1">
      <alignment horizontal="center"/>
    </xf>
    <xf numFmtId="0" fontId="38" fillId="93" borderId="3" xfId="0" applyFont="1" applyFill="1" applyBorder="1" applyAlignment="1">
      <alignment horizontal="center"/>
    </xf>
    <xf numFmtId="17" fontId="45" fillId="0" borderId="3" xfId="0" applyNumberFormat="1" applyFont="1" applyBorder="1" applyAlignment="1">
      <alignment horizontal="center"/>
    </xf>
    <xf numFmtId="0" fontId="45" fillId="0" borderId="3" xfId="0" applyFont="1" applyBorder="1"/>
    <xf numFmtId="20" fontId="45" fillId="0" borderId="3" xfId="0" applyNumberFormat="1" applyFont="1" applyBorder="1" applyAlignment="1">
      <alignment horizontal="center"/>
    </xf>
    <xf numFmtId="166" fontId="45" fillId="0" borderId="43" xfId="0" applyNumberFormat="1" applyFont="1" applyBorder="1" applyAlignment="1">
      <alignment horizontal="center"/>
    </xf>
    <xf numFmtId="0" fontId="45" fillId="92" borderId="0" xfId="0" applyFont="1" applyFill="1" applyAlignment="1">
      <alignment horizontal="center"/>
    </xf>
    <xf numFmtId="0" fontId="45" fillId="92" borderId="0" xfId="0" applyFont="1" applyFill="1" applyAlignment="1">
      <alignment horizontal="left"/>
    </xf>
    <xf numFmtId="0" fontId="45" fillId="0" borderId="43" xfId="0" applyFont="1" applyBorder="1" applyAlignment="1">
      <alignment horizontal="left"/>
    </xf>
    <xf numFmtId="20" fontId="45" fillId="0" borderId="0" xfId="0" applyNumberFormat="1" applyFont="1" applyAlignment="1">
      <alignment horizontal="center"/>
    </xf>
    <xf numFmtId="2" fontId="45" fillId="0" borderId="43" xfId="0" applyNumberFormat="1" applyFont="1" applyBorder="1" applyAlignment="1">
      <alignment horizontal="left"/>
    </xf>
    <xf numFmtId="2" fontId="45" fillId="0" borderId="43" xfId="0" applyNumberFormat="1" applyFont="1" applyBorder="1" applyAlignment="1">
      <alignment horizontal="right"/>
    </xf>
    <xf numFmtId="2" fontId="45" fillId="0" borderId="43" xfId="0" applyNumberFormat="1" applyFont="1" applyBorder="1"/>
    <xf numFmtId="0" fontId="45" fillId="92" borderId="43" xfId="0" applyFont="1" applyFill="1" applyBorder="1" applyAlignment="1">
      <alignment wrapText="1"/>
    </xf>
    <xf numFmtId="0" fontId="45" fillId="0" borderId="43" xfId="0" applyFont="1" applyBorder="1" applyAlignment="1">
      <alignment horizontal="center"/>
    </xf>
    <xf numFmtId="0" fontId="45" fillId="15" borderId="3" xfId="0" applyFont="1" applyFill="1" applyBorder="1" applyAlignment="1">
      <alignment horizontal="left"/>
    </xf>
    <xf numFmtId="0" fontId="45" fillId="0" borderId="3" xfId="0" applyFont="1" applyBorder="1" applyAlignment="1">
      <alignment horizontal="left"/>
    </xf>
    <xf numFmtId="2" fontId="45" fillId="0" borderId="3" xfId="0" applyNumberFormat="1" applyFont="1" applyBorder="1" applyAlignment="1">
      <alignment horizontal="left"/>
    </xf>
    <xf numFmtId="2" fontId="45" fillId="0" borderId="3" xfId="0" applyNumberFormat="1" applyFont="1" applyBorder="1" applyAlignment="1">
      <alignment horizontal="right"/>
    </xf>
    <xf numFmtId="2" fontId="45" fillId="0" borderId="3" xfId="0" applyNumberFormat="1" applyFont="1" applyBorder="1"/>
    <xf numFmtId="15" fontId="45" fillId="15" borderId="1" xfId="0" applyNumberFormat="1" applyFont="1" applyFill="1" applyBorder="1"/>
    <xf numFmtId="0" fontId="45" fillId="15" borderId="1" xfId="0" applyFont="1" applyFill="1" applyBorder="1" applyAlignment="1">
      <alignment horizontal="center"/>
    </xf>
    <xf numFmtId="0" fontId="45" fillId="0" borderId="1" xfId="0" applyFont="1" applyBorder="1" applyAlignment="1">
      <alignment horizontal="center"/>
    </xf>
    <xf numFmtId="0" fontId="38" fillId="93" borderId="1" xfId="0" applyFont="1" applyFill="1" applyBorder="1" applyAlignment="1">
      <alignment horizontal="center"/>
    </xf>
    <xf numFmtId="17" fontId="45" fillId="0" borderId="1" xfId="0" applyNumberFormat="1" applyFont="1" applyBorder="1" applyAlignment="1">
      <alignment horizontal="center"/>
    </xf>
    <xf numFmtId="0" fontId="45" fillId="0" borderId="1" xfId="0" applyFont="1" applyBorder="1"/>
    <xf numFmtId="0" fontId="45" fillId="15" borderId="1" xfId="0" applyFont="1" applyFill="1" applyBorder="1" applyAlignment="1">
      <alignment horizontal="left"/>
    </xf>
    <xf numFmtId="20" fontId="45" fillId="0" borderId="1" xfId="0" applyNumberFormat="1" applyFont="1" applyBorder="1" applyAlignment="1">
      <alignment horizontal="center"/>
    </xf>
    <xf numFmtId="2" fontId="45" fillId="0" borderId="1" xfId="0" applyNumberFormat="1" applyFont="1" applyBorder="1" applyAlignment="1">
      <alignment horizontal="left"/>
    </xf>
    <xf numFmtId="2" fontId="45" fillId="0" borderId="1" xfId="0" applyNumberFormat="1" applyFont="1" applyBorder="1" applyAlignment="1">
      <alignment horizontal="right"/>
    </xf>
    <xf numFmtId="2" fontId="45" fillId="0" borderId="1" xfId="0" applyNumberFormat="1" applyFont="1" applyBorder="1"/>
    <xf numFmtId="0" fontId="45" fillId="0" borderId="1" xfId="0" applyFont="1" applyBorder="1" applyAlignment="1">
      <alignment horizontal="left"/>
    </xf>
    <xf numFmtId="0" fontId="45" fillId="92" borderId="44" xfId="0" applyFont="1" applyFill="1" applyBorder="1" applyAlignment="1">
      <alignment horizontal="center"/>
    </xf>
    <xf numFmtId="15" fontId="45" fillId="92" borderId="45" xfId="0" applyNumberFormat="1" applyFont="1" applyFill="1" applyBorder="1"/>
    <xf numFmtId="0" fontId="38" fillId="92" borderId="43" xfId="0" applyFont="1" applyFill="1" applyBorder="1" applyAlignment="1">
      <alignment horizontal="center"/>
    </xf>
    <xf numFmtId="0" fontId="45" fillId="0" borderId="45" xfId="0" applyFont="1" applyBorder="1" applyAlignment="1">
      <alignment horizontal="center"/>
    </xf>
    <xf numFmtId="0" fontId="45" fillId="0" borderId="45" xfId="0" applyFont="1" applyBorder="1"/>
    <xf numFmtId="17" fontId="45" fillId="0" borderId="45" xfId="0" applyNumberFormat="1" applyFont="1" applyBorder="1" applyAlignment="1">
      <alignment horizontal="center"/>
    </xf>
    <xf numFmtId="0" fontId="45" fillId="0" borderId="43" xfId="0" applyFont="1" applyBorder="1"/>
    <xf numFmtId="20" fontId="45" fillId="0" borderId="43" xfId="0" applyNumberFormat="1" applyFont="1" applyBorder="1" applyAlignment="1">
      <alignment horizontal="center"/>
    </xf>
    <xf numFmtId="0" fontId="45" fillId="92" borderId="43" xfId="0" applyFont="1" applyFill="1" applyBorder="1" applyAlignment="1">
      <alignment horizontal="center"/>
    </xf>
    <xf numFmtId="0" fontId="45" fillId="92" borderId="43" xfId="0" applyFont="1" applyFill="1" applyBorder="1" applyAlignment="1">
      <alignment horizontal="left"/>
    </xf>
    <xf numFmtId="0" fontId="38" fillId="0" borderId="28" xfId="0" applyFont="1" applyBorder="1"/>
    <xf numFmtId="20" fontId="38" fillId="0" borderId="28" xfId="0" applyNumberFormat="1" applyFont="1" applyBorder="1" applyAlignment="1">
      <alignment horizontal="center"/>
    </xf>
    <xf numFmtId="0" fontId="38" fillId="0" borderId="0" xfId="0" applyFont="1" applyAlignment="1">
      <alignment horizontal="center"/>
    </xf>
    <xf numFmtId="0" fontId="38" fillId="0" borderId="46" xfId="0" applyFont="1" applyBorder="1"/>
    <xf numFmtId="20" fontId="38" fillId="0" borderId="46" xfId="0" applyNumberFormat="1" applyFont="1" applyBorder="1" applyAlignment="1">
      <alignment horizontal="center"/>
    </xf>
    <xf numFmtId="0" fontId="38" fillId="0" borderId="36" xfId="0" applyFont="1" applyBorder="1" applyAlignment="1">
      <alignment horizontal="center"/>
    </xf>
    <xf numFmtId="0" fontId="38" fillId="0" borderId="47" xfId="0" applyFont="1" applyBorder="1" applyAlignment="1">
      <alignment horizontal="center"/>
    </xf>
    <xf numFmtId="0" fontId="0" fillId="0" borderId="1" xfId="0" applyNumberFormat="1" applyBorder="1" applyAlignment="1">
      <alignment horizontal="center"/>
    </xf>
    <xf numFmtId="20" fontId="0" fillId="0" borderId="1" xfId="0" applyNumberFormat="1" applyBorder="1" applyAlignment="1">
      <alignment horizontal="center"/>
    </xf>
    <xf numFmtId="0" fontId="0" fillId="0" borderId="2" xfId="0" applyBorder="1" applyAlignment="1">
      <alignment wrapText="1"/>
    </xf>
    <xf numFmtId="20" fontId="0" fillId="0" borderId="2" xfId="0" applyNumberFormat="1" applyBorder="1" applyAlignment="1">
      <alignment horizontal="center" vertical="center"/>
    </xf>
    <xf numFmtId="20" fontId="0" fillId="0" borderId="2" xfId="0" applyNumberFormat="1" applyBorder="1" applyAlignment="1">
      <alignment horizontal="center" vertical="center"/>
    </xf>
    <xf numFmtId="0" fontId="0" fillId="0" borderId="2" xfId="0" applyBorder="1" applyAlignment="1">
      <alignment horizontal="left" vertical="center"/>
    </xf>
    <xf numFmtId="0" fontId="0" fillId="0" borderId="0" xfId="0"/>
    <xf numFmtId="20" fontId="0" fillId="0" borderId="2" xfId="0" applyNumberFormat="1" applyBorder="1" applyAlignment="1">
      <alignment horizontal="center" vertical="center"/>
    </xf>
    <xf numFmtId="0" fontId="0" fillId="0" borderId="2" xfId="0" applyBorder="1" applyAlignment="1">
      <alignment wrapText="1"/>
    </xf>
    <xf numFmtId="0" fontId="0" fillId="0" borderId="2" xfId="0" applyBorder="1" applyAlignment="1">
      <alignment horizontal="left" vertical="center"/>
    </xf>
    <xf numFmtId="20" fontId="0" fillId="7" borderId="2" xfId="0" applyNumberFormat="1" applyFill="1" applyBorder="1" applyAlignment="1">
      <alignment horizontal="center" vertical="center"/>
    </xf>
    <xf numFmtId="176" fontId="0" fillId="0" borderId="1" xfId="0" applyNumberFormat="1" applyBorder="1" applyAlignment="1">
      <alignment horizontal="center"/>
    </xf>
    <xf numFmtId="0" fontId="0" fillId="0" borderId="16" xfId="0" applyBorder="1" applyAlignment="1">
      <alignment wrapText="1"/>
    </xf>
    <xf numFmtId="176" fontId="0" fillId="3" borderId="1" xfId="0" applyNumberFormat="1" applyFill="1" applyBorder="1" applyAlignment="1">
      <alignment horizontal="center"/>
    </xf>
    <xf numFmtId="0" fontId="32" fillId="0" borderId="0" xfId="0" applyFont="1"/>
    <xf numFmtId="2" fontId="45" fillId="94" borderId="43" xfId="0" applyNumberFormat="1" applyFont="1" applyFill="1" applyBorder="1" applyAlignment="1">
      <alignment horizontal="center" vertical="center"/>
    </xf>
    <xf numFmtId="0" fontId="0" fillId="0" borderId="3" xfId="0" applyNumberFormat="1" applyBorder="1" applyAlignment="1">
      <alignment horizontal="center"/>
    </xf>
    <xf numFmtId="0" fontId="0" fillId="0" borderId="0" xfId="0" applyBorder="1"/>
    <xf numFmtId="176" fontId="0" fillId="0" borderId="3" xfId="0" applyNumberFormat="1" applyBorder="1" applyAlignment="1">
      <alignment horizontal="center"/>
    </xf>
    <xf numFmtId="177" fontId="0" fillId="3" borderId="1" xfId="0" applyNumberFormat="1" applyFill="1" applyBorder="1" applyAlignment="1">
      <alignment horizontal="center"/>
    </xf>
    <xf numFmtId="1" fontId="0" fillId="0" borderId="33" xfId="0" applyNumberFormat="1" applyFill="1" applyBorder="1" applyAlignment="1">
      <alignment horizontal="center"/>
    </xf>
    <xf numFmtId="0" fontId="0" fillId="0" borderId="30" xfId="0" applyFill="1" applyBorder="1" applyAlignment="1">
      <alignment horizontal="center"/>
    </xf>
    <xf numFmtId="0" fontId="0" fillId="0" borderId="0" xfId="0" applyNumberFormat="1" applyAlignment="1">
      <alignment horizontal="center"/>
    </xf>
    <xf numFmtId="0" fontId="0" fillId="89" borderId="32" xfId="0" applyNumberFormat="1" applyFill="1" applyBorder="1" applyAlignment="1">
      <alignment horizontal="center"/>
    </xf>
    <xf numFmtId="0" fontId="0" fillId="89" borderId="32" xfId="0" applyFill="1" applyBorder="1" applyAlignment="1">
      <alignment horizontal="center" wrapText="1"/>
    </xf>
    <xf numFmtId="0" fontId="45" fillId="0" borderId="49" xfId="0" applyFont="1" applyBorder="1" applyAlignment="1">
      <alignment horizontal="center"/>
    </xf>
    <xf numFmtId="0" fontId="45" fillId="0" borderId="50" xfId="0" applyFont="1" applyBorder="1"/>
    <xf numFmtId="0" fontId="0" fillId="0" borderId="3" xfId="0" applyBorder="1" applyAlignment="1">
      <alignment horizontal="left" wrapText="1"/>
    </xf>
    <xf numFmtId="178" fontId="0" fillId="15" borderId="3" xfId="0" applyNumberFormat="1" applyFill="1" applyBorder="1"/>
    <xf numFmtId="0" fontId="0" fillId="15" borderId="51" xfId="0" applyFill="1" applyBorder="1" applyAlignment="1">
      <alignment horizontal="center"/>
    </xf>
    <xf numFmtId="169" fontId="45" fillId="0" borderId="1" xfId="1" applyNumberFormat="1" applyFont="1" applyBorder="1" applyAlignment="1">
      <alignment horizontal="center"/>
    </xf>
    <xf numFmtId="169" fontId="48" fillId="0" borderId="1" xfId="1" applyNumberFormat="1" applyFont="1" applyBorder="1" applyAlignment="1">
      <alignment horizontal="center"/>
    </xf>
    <xf numFmtId="0" fontId="0" fillId="15" borderId="3" xfId="0" applyFill="1" applyBorder="1" applyAlignment="1">
      <alignment vertical="center" wrapText="1"/>
    </xf>
    <xf numFmtId="167" fontId="0" fillId="7" borderId="1" xfId="0" applyNumberFormat="1" applyFill="1" applyBorder="1" applyAlignment="1">
      <alignment horizontal="center"/>
    </xf>
    <xf numFmtId="0" fontId="14" fillId="7" borderId="16" xfId="0" applyFont="1" applyFill="1" applyBorder="1" applyAlignment="1">
      <alignment horizontal="center" vertical="center"/>
    </xf>
    <xf numFmtId="0" fontId="14" fillId="7" borderId="10" xfId="0" applyFont="1" applyFill="1" applyBorder="1" applyAlignment="1">
      <alignment horizontal="center" vertical="center"/>
    </xf>
    <xf numFmtId="0" fontId="14" fillId="7" borderId="11" xfId="0" applyFont="1" applyFill="1" applyBorder="1" applyAlignment="1">
      <alignment horizontal="center" vertical="center"/>
    </xf>
    <xf numFmtId="165" fontId="13" fillId="7" borderId="13" xfId="4" applyNumberFormat="1" applyFont="1" applyFill="1" applyBorder="1" applyAlignment="1">
      <alignment horizontal="left" vertical="center"/>
    </xf>
    <xf numFmtId="165" fontId="13" fillId="7" borderId="17" xfId="4" applyNumberFormat="1" applyFont="1" applyFill="1" applyBorder="1" applyAlignment="1">
      <alignment horizontal="left" vertical="center"/>
    </xf>
    <xf numFmtId="165" fontId="13" fillId="7" borderId="12" xfId="4" applyNumberFormat="1" applyFont="1" applyFill="1" applyBorder="1" applyAlignment="1">
      <alignment horizontal="left" vertical="center"/>
    </xf>
    <xf numFmtId="0" fontId="10" fillId="14" borderId="13" xfId="0" applyFont="1" applyFill="1" applyBorder="1" applyAlignment="1">
      <alignment horizontal="center"/>
    </xf>
    <xf numFmtId="0" fontId="10" fillId="14" borderId="17" xfId="0" applyFont="1" applyFill="1" applyBorder="1" applyAlignment="1">
      <alignment horizontal="center"/>
    </xf>
    <xf numFmtId="0" fontId="10" fillId="14" borderId="12" xfId="0" applyFont="1" applyFill="1" applyBorder="1" applyAlignment="1">
      <alignment horizontal="center"/>
    </xf>
    <xf numFmtId="171" fontId="13" fillId="7" borderId="13" xfId="4" applyNumberFormat="1" applyFont="1" applyFill="1" applyBorder="1" applyAlignment="1" applyProtection="1">
      <alignment horizontal="left" vertical="center"/>
      <protection locked="0"/>
    </xf>
    <xf numFmtId="171" fontId="13" fillId="7" borderId="17" xfId="4" applyNumberFormat="1" applyFont="1" applyFill="1" applyBorder="1" applyAlignment="1" applyProtection="1">
      <alignment horizontal="left" vertical="center"/>
      <protection locked="0"/>
    </xf>
    <xf numFmtId="171" fontId="13" fillId="7" borderId="12" xfId="4" applyNumberFormat="1" applyFont="1" applyFill="1" applyBorder="1" applyAlignment="1" applyProtection="1">
      <alignment horizontal="left" vertical="center"/>
      <protection locked="0"/>
    </xf>
    <xf numFmtId="165" fontId="13" fillId="7" borderId="13" xfId="4" applyNumberFormat="1" applyFont="1" applyFill="1" applyBorder="1" applyAlignment="1" applyProtection="1">
      <alignment horizontal="left" vertical="center"/>
      <protection locked="0"/>
    </xf>
    <xf numFmtId="165" fontId="13" fillId="7" borderId="17" xfId="4" applyNumberFormat="1" applyFont="1" applyFill="1" applyBorder="1" applyAlignment="1" applyProtection="1">
      <alignment horizontal="left" vertical="center"/>
      <protection locked="0"/>
    </xf>
    <xf numFmtId="165" fontId="13" fillId="7" borderId="12" xfId="4" applyNumberFormat="1" applyFont="1" applyFill="1" applyBorder="1" applyAlignment="1" applyProtection="1">
      <alignment horizontal="left" vertical="center"/>
      <protection locked="0"/>
    </xf>
    <xf numFmtId="0" fontId="14" fillId="7" borderId="13" xfId="0" applyFont="1" applyFill="1" applyBorder="1" applyAlignment="1">
      <alignment horizontal="left"/>
    </xf>
    <xf numFmtId="0" fontId="14" fillId="7" borderId="17" xfId="0" applyFont="1" applyFill="1" applyBorder="1" applyAlignment="1">
      <alignment horizontal="left"/>
    </xf>
    <xf numFmtId="0" fontId="14" fillId="7" borderId="12" xfId="0" applyFont="1" applyFill="1" applyBorder="1" applyAlignment="1">
      <alignment horizontal="left"/>
    </xf>
    <xf numFmtId="0" fontId="9" fillId="9" borderId="2" xfId="0" applyFont="1" applyFill="1" applyBorder="1" applyAlignment="1">
      <alignment horizontal="center" vertical="center"/>
    </xf>
  </cellXfs>
  <cellStyles count="38302">
    <cellStyle name="20% - Accent1" xfId="23" builtinId="30" customBuiltin="1"/>
    <cellStyle name="20% - Accent1 10" xfId="178" xr:uid="{00000000-0005-0000-0000-000001000000}"/>
    <cellStyle name="20% - Accent1 10 2" xfId="27478" xr:uid="{00000000-0005-0000-0000-000002000000}"/>
    <cellStyle name="20% - Accent1 10 2 2" xfId="31907" xr:uid="{00000000-0005-0000-0000-000003000000}"/>
    <cellStyle name="20% - Accent1 10 2 3" xfId="34892" xr:uid="{00000000-0005-0000-0000-000004000000}"/>
    <cellStyle name="20% - Accent1 10 3" xfId="32992" xr:uid="{00000000-0005-0000-0000-000005000000}"/>
    <cellStyle name="20% - Accent1 10 3 2" xfId="35094" xr:uid="{00000000-0005-0000-0000-000006000000}"/>
    <cellStyle name="20% - Accent1 10 4" xfId="34520" xr:uid="{00000000-0005-0000-0000-000007000000}"/>
    <cellStyle name="20% - Accent1 10 5" xfId="33797" xr:uid="{00000000-0005-0000-0000-000008000000}"/>
    <cellStyle name="20% - Accent1 10 5 2" xfId="35517" xr:uid="{00000000-0005-0000-0000-000009000000}"/>
    <cellStyle name="20% - Accent1 10 6" xfId="36390" xr:uid="{00000000-0005-0000-0000-00000A000000}"/>
    <cellStyle name="20% - Accent1 10 7" xfId="36676" xr:uid="{00000000-0005-0000-0000-00000B000000}"/>
    <cellStyle name="20% - Accent1 10 8" xfId="37561" xr:uid="{00000000-0005-0000-0000-00000C000000}"/>
    <cellStyle name="20% - Accent1 11" xfId="33458" xr:uid="{00000000-0005-0000-0000-00000D000000}"/>
    <cellStyle name="20% - Accent1 11 2" xfId="31714" xr:uid="{00000000-0005-0000-0000-00000E000000}"/>
    <cellStyle name="20% - Accent1 11 2 2" xfId="35113" xr:uid="{00000000-0005-0000-0000-00000F000000}"/>
    <cellStyle name="20% - Accent1 11 3" xfId="34690" xr:uid="{00000000-0005-0000-0000-000010000000}"/>
    <cellStyle name="20% - Accent1 11 4" xfId="35537" xr:uid="{00000000-0005-0000-0000-000011000000}"/>
    <cellStyle name="20% - Accent1 11 5" xfId="36410" xr:uid="{00000000-0005-0000-0000-000012000000}"/>
    <cellStyle name="20% - Accent1 11 6" xfId="36696" xr:uid="{00000000-0005-0000-0000-000013000000}"/>
    <cellStyle name="20% - Accent1 11 7" xfId="37581" xr:uid="{00000000-0005-0000-0000-000014000000}"/>
    <cellStyle name="20% - Accent1 12" xfId="17715" xr:uid="{00000000-0005-0000-0000-000015000000}"/>
    <cellStyle name="20% - Accent1 12 2" xfId="34703" xr:uid="{00000000-0005-0000-0000-000016000000}"/>
    <cellStyle name="20% - Accent1 12 3" xfId="35316" xr:uid="{00000000-0005-0000-0000-000017000000}"/>
    <cellStyle name="20% - Accent1 12 4" xfId="35556" xr:uid="{00000000-0005-0000-0000-000018000000}"/>
    <cellStyle name="20% - Accent1 12 5" xfId="36429" xr:uid="{00000000-0005-0000-0000-000019000000}"/>
    <cellStyle name="20% - Accent1 12 6" xfId="36715" xr:uid="{00000000-0005-0000-0000-00001A000000}"/>
    <cellStyle name="20% - Accent1 12 7" xfId="37600" xr:uid="{00000000-0005-0000-0000-00001B000000}"/>
    <cellStyle name="20% - Accent1 13" xfId="18971" xr:uid="{00000000-0005-0000-0000-00001C000000}"/>
    <cellStyle name="20% - Accent1 13 2" xfId="34731" xr:uid="{00000000-0005-0000-0000-00001D000000}"/>
    <cellStyle name="20% - Accent1 13 3" xfId="35575" xr:uid="{00000000-0005-0000-0000-00001E000000}"/>
    <cellStyle name="20% - Accent1 13 4" xfId="36450" xr:uid="{00000000-0005-0000-0000-00001F000000}"/>
    <cellStyle name="20% - Accent1 13 5" xfId="36736" xr:uid="{00000000-0005-0000-0000-000020000000}"/>
    <cellStyle name="20% - Accent1 13 6" xfId="37621" xr:uid="{00000000-0005-0000-0000-000021000000}"/>
    <cellStyle name="20% - Accent1 14" xfId="18969" xr:uid="{00000000-0005-0000-0000-000022000000}"/>
    <cellStyle name="20% - Accent1 14 2" xfId="34921" xr:uid="{00000000-0005-0000-0000-000023000000}"/>
    <cellStyle name="20% - Accent1 14 3" xfId="36754" xr:uid="{00000000-0005-0000-0000-000024000000}"/>
    <cellStyle name="20% - Accent1 14 4" xfId="37639" xr:uid="{00000000-0005-0000-0000-000025000000}"/>
    <cellStyle name="20% - Accent1 15" xfId="34647" xr:uid="{00000000-0005-0000-0000-000026000000}"/>
    <cellStyle name="20% - Accent1 15 2" xfId="36475" xr:uid="{00000000-0005-0000-0000-000027000000}"/>
    <cellStyle name="20% - Accent1 15 3" xfId="36773" xr:uid="{00000000-0005-0000-0000-000028000000}"/>
    <cellStyle name="20% - Accent1 15 4" xfId="37661" xr:uid="{00000000-0005-0000-0000-000029000000}"/>
    <cellStyle name="20% - Accent1 16" xfId="35355" xr:uid="{00000000-0005-0000-0000-00002A000000}"/>
    <cellStyle name="20% - Accent1 16 2" xfId="36493" xr:uid="{00000000-0005-0000-0000-00002B000000}"/>
    <cellStyle name="20% - Accent1 16 3" xfId="36791" xr:uid="{00000000-0005-0000-0000-00002C000000}"/>
    <cellStyle name="20% - Accent1 16 4" xfId="37680" xr:uid="{00000000-0005-0000-0000-00002D000000}"/>
    <cellStyle name="20% - Accent1 17" xfId="35642" xr:uid="{00000000-0005-0000-0000-00002E000000}"/>
    <cellStyle name="20% - Accent1 17 2" xfId="36810" xr:uid="{00000000-0005-0000-0000-00002F000000}"/>
    <cellStyle name="20% - Accent1 17 3" xfId="37700" xr:uid="{00000000-0005-0000-0000-000030000000}"/>
    <cellStyle name="20% - Accent1 18" xfId="35660" xr:uid="{00000000-0005-0000-0000-000031000000}"/>
    <cellStyle name="20% - Accent1 18 2" xfId="36829" xr:uid="{00000000-0005-0000-0000-000032000000}"/>
    <cellStyle name="20% - Accent1 18 3" xfId="37719" xr:uid="{00000000-0005-0000-0000-000033000000}"/>
    <cellStyle name="20% - Accent1 19" xfId="35679" xr:uid="{00000000-0005-0000-0000-000034000000}"/>
    <cellStyle name="20% - Accent1 19 2" xfId="36848" xr:uid="{00000000-0005-0000-0000-000035000000}"/>
    <cellStyle name="20% - Accent1 19 3" xfId="37738" xr:uid="{00000000-0005-0000-0000-000036000000}"/>
    <cellStyle name="20% - Accent1 2" xfId="78" xr:uid="{00000000-0005-0000-0000-000037000000}"/>
    <cellStyle name="20% - Accent1 2 10" xfId="28549" xr:uid="{00000000-0005-0000-0000-000038000000}"/>
    <cellStyle name="20% - Accent1 2 10 2" xfId="28131" xr:uid="{00000000-0005-0000-0000-000039000000}"/>
    <cellStyle name="20% - Accent1 2 10 3" xfId="37419" xr:uid="{00000000-0005-0000-0000-00003A000000}"/>
    <cellStyle name="20% - Accent1 2 11" xfId="29596" xr:uid="{00000000-0005-0000-0000-00003B000000}"/>
    <cellStyle name="20% - Accent1 2 12" xfId="34438" xr:uid="{00000000-0005-0000-0000-00003C000000}"/>
    <cellStyle name="20% - Accent1 2 13" xfId="14863" xr:uid="{00000000-0005-0000-0000-00003D000000}"/>
    <cellStyle name="20% - Accent1 2 2" xfId="139" xr:uid="{00000000-0005-0000-0000-00003E000000}"/>
    <cellStyle name="20% - Accent1 2 2 10" xfId="34290" xr:uid="{00000000-0005-0000-0000-00003F000000}"/>
    <cellStyle name="20% - Accent1 2 2 11" xfId="34493" xr:uid="{00000000-0005-0000-0000-000040000000}"/>
    <cellStyle name="20% - Accent1 2 2 12" xfId="14861" xr:uid="{00000000-0005-0000-0000-000041000000}"/>
    <cellStyle name="20% - Accent1 2 2 2" xfId="32001" xr:uid="{00000000-0005-0000-0000-000042000000}"/>
    <cellStyle name="20% - Accent1 2 2 2 2" xfId="32970" xr:uid="{00000000-0005-0000-0000-000043000000}"/>
    <cellStyle name="20% - Accent1 2 2 2 2 2" xfId="26514" xr:uid="{00000000-0005-0000-0000-000044000000}"/>
    <cellStyle name="20% - Accent1 2 2 2 2 2 2" xfId="32387" xr:uid="{00000000-0005-0000-0000-000045000000}"/>
    <cellStyle name="20% - Accent1 2 2 2 2 2 2 2" xfId="27491" xr:uid="{00000000-0005-0000-0000-000046000000}"/>
    <cellStyle name="20% - Accent1 2 2 2 2 2 2 2 2" xfId="33626" xr:uid="{00000000-0005-0000-0000-000047000000}"/>
    <cellStyle name="20% - Accent1 2 2 2 2 2 2 2 2 2" xfId="28091" xr:uid="{00000000-0005-0000-0000-000048000000}"/>
    <cellStyle name="20% - Accent1 2 2 2 2 2 2 2 2 2 2" xfId="20666" xr:uid="{00000000-0005-0000-0000-000049000000}"/>
    <cellStyle name="20% - Accent1 2 2 2 2 2 2 2 2 2 2 2" xfId="33295" xr:uid="{00000000-0005-0000-0000-00004A000000}"/>
    <cellStyle name="20% - Accent1 2 2 2 2 2 2 2 2 2 3" xfId="32573" xr:uid="{00000000-0005-0000-0000-00004B000000}"/>
    <cellStyle name="20% - Accent1 2 2 2 2 2 2 2 2 3" xfId="27217" xr:uid="{00000000-0005-0000-0000-00004C000000}"/>
    <cellStyle name="20% - Accent1 2 2 2 2 2 2 2 2 3 2" xfId="20605" xr:uid="{00000000-0005-0000-0000-00004D000000}"/>
    <cellStyle name="20% - Accent1 2 2 2 2 2 2 2 2 4" xfId="27210" xr:uid="{00000000-0005-0000-0000-00004E000000}"/>
    <cellStyle name="20% - Accent1 2 2 2 2 2 2 2 3" xfId="14315" xr:uid="{00000000-0005-0000-0000-00004F000000}"/>
    <cellStyle name="20% - Accent1 2 2 2 2 2 2 2 3 2" xfId="12986" xr:uid="{00000000-0005-0000-0000-000050000000}"/>
    <cellStyle name="20% - Accent1 2 2 2 2 2 2 2 3 2 2" xfId="20417" xr:uid="{00000000-0005-0000-0000-000051000000}"/>
    <cellStyle name="20% - Accent1 2 2 2 2 2 2 2 3 3" xfId="28983" xr:uid="{00000000-0005-0000-0000-000052000000}"/>
    <cellStyle name="20% - Accent1 2 2 2 2 2 2 2 4" xfId="25065" xr:uid="{00000000-0005-0000-0000-000053000000}"/>
    <cellStyle name="20% - Accent1 2 2 2 2 2 2 2 4 2" xfId="15852" xr:uid="{00000000-0005-0000-0000-000054000000}"/>
    <cellStyle name="20% - Accent1 2 2 2 2 2 2 2 5" xfId="25051" xr:uid="{00000000-0005-0000-0000-000055000000}"/>
    <cellStyle name="20% - Accent1 2 2 2 2 2 2 3" xfId="31533" xr:uid="{00000000-0005-0000-0000-000056000000}"/>
    <cellStyle name="20% - Accent1 2 2 2 2 2 2 3 2" xfId="34007" xr:uid="{00000000-0005-0000-0000-000057000000}"/>
    <cellStyle name="20% - Accent1 2 2 2 2 2 2 3 2 2" xfId="27203" xr:uid="{00000000-0005-0000-0000-000058000000}"/>
    <cellStyle name="20% - Accent1 2 2 2 2 2 2 3 2 2 2" xfId="18594" xr:uid="{00000000-0005-0000-0000-000059000000}"/>
    <cellStyle name="20% - Accent1 2 2 2 2 2 2 3 2 3" xfId="25706" xr:uid="{00000000-0005-0000-0000-00005A000000}"/>
    <cellStyle name="20% - Accent1 2 2 2 2 2 2 3 3" xfId="34330" xr:uid="{00000000-0005-0000-0000-00005B000000}"/>
    <cellStyle name="20% - Accent1 2 2 2 2 2 2 3 3 2" xfId="22760" xr:uid="{00000000-0005-0000-0000-00005C000000}"/>
    <cellStyle name="20% - Accent1 2 2 2 2 2 2 3 4" xfId="34386" xr:uid="{00000000-0005-0000-0000-00005D000000}"/>
    <cellStyle name="20% - Accent1 2 2 2 2 2 2 4" xfId="27015" xr:uid="{00000000-0005-0000-0000-00005E000000}"/>
    <cellStyle name="20% - Accent1 2 2 2 2 2 2 4 2" xfId="31032" xr:uid="{00000000-0005-0000-0000-00005F000000}"/>
    <cellStyle name="20% - Accent1 2 2 2 2 2 2 4 2 2" xfId="25562" xr:uid="{00000000-0005-0000-0000-000060000000}"/>
    <cellStyle name="20% - Accent1 2 2 2 2 2 2 4 3" xfId="31011" xr:uid="{00000000-0005-0000-0000-000061000000}"/>
    <cellStyle name="20% - Accent1 2 2 2 2 2 2 5" xfId="22018" xr:uid="{00000000-0005-0000-0000-000062000000}"/>
    <cellStyle name="20% - Accent1 2 2 2 2 2 2 5 2" xfId="12157" xr:uid="{00000000-0005-0000-0000-000063000000}"/>
    <cellStyle name="20% - Accent1 2 2 2 2 2 2 6" xfId="22014" xr:uid="{00000000-0005-0000-0000-000064000000}"/>
    <cellStyle name="20% - Accent1 2 2 2 2 2 3" xfId="31859" xr:uid="{00000000-0005-0000-0000-000065000000}"/>
    <cellStyle name="20% - Accent1 2 2 2 2 2 3 2" xfId="29911" xr:uid="{00000000-0005-0000-0000-000066000000}"/>
    <cellStyle name="20% - Accent1 2 2 2 2 2 3 2 2" xfId="30759" xr:uid="{00000000-0005-0000-0000-000067000000}"/>
    <cellStyle name="20% - Accent1 2 2 2 2 2 3 2 2 2" xfId="27177" xr:uid="{00000000-0005-0000-0000-000068000000}"/>
    <cellStyle name="20% - Accent1 2 2 2 2 2 3 2 2 2 2" xfId="30631" xr:uid="{00000000-0005-0000-0000-000069000000}"/>
    <cellStyle name="20% - Accent1 2 2 2 2 2 3 2 2 3" xfId="27167" xr:uid="{00000000-0005-0000-0000-00006A000000}"/>
    <cellStyle name="20% - Accent1 2 2 2 2 2 3 2 3" xfId="28705" xr:uid="{00000000-0005-0000-0000-00006B000000}"/>
    <cellStyle name="20% - Accent1 2 2 2 2 2 3 2 3 2" xfId="25973" xr:uid="{00000000-0005-0000-0000-00006C000000}"/>
    <cellStyle name="20% - Accent1 2 2 2 2 2 3 2 4" xfId="33350" xr:uid="{00000000-0005-0000-0000-00006D000000}"/>
    <cellStyle name="20% - Accent1 2 2 2 2 2 3 3" xfId="24772" xr:uid="{00000000-0005-0000-0000-00006E000000}"/>
    <cellStyle name="20% - Accent1 2 2 2 2 2 3 3 2" xfId="33829" xr:uid="{00000000-0005-0000-0000-00006F000000}"/>
    <cellStyle name="20% - Accent1 2 2 2 2 2 3 3 2 2" xfId="25371" xr:uid="{00000000-0005-0000-0000-000070000000}"/>
    <cellStyle name="20% - Accent1 2 2 2 2 2 3 3 3" xfId="28591" xr:uid="{00000000-0005-0000-0000-000071000000}"/>
    <cellStyle name="20% - Accent1 2 2 2 2 2 3 4" xfId="22003" xr:uid="{00000000-0005-0000-0000-000072000000}"/>
    <cellStyle name="20% - Accent1 2 2 2 2 2 3 4 2" xfId="34097" xr:uid="{00000000-0005-0000-0000-000073000000}"/>
    <cellStyle name="20% - Accent1 2 2 2 2 2 3 5" xfId="15156" xr:uid="{00000000-0005-0000-0000-000074000000}"/>
    <cellStyle name="20% - Accent1 2 2 2 2 2 4" xfId="34184" xr:uid="{00000000-0005-0000-0000-000075000000}"/>
    <cellStyle name="20% - Accent1 2 2 2 2 2 4 2" xfId="29554" xr:uid="{00000000-0005-0000-0000-000076000000}"/>
    <cellStyle name="20% - Accent1 2 2 2 2 2 4 2 2" xfId="29209" xr:uid="{00000000-0005-0000-0000-000077000000}"/>
    <cellStyle name="20% - Accent1 2 2 2 2 2 4 2 2 2" xfId="24345" xr:uid="{00000000-0005-0000-0000-000078000000}"/>
    <cellStyle name="20% - Accent1 2 2 2 2 2 4 2 3" xfId="28177" xr:uid="{00000000-0005-0000-0000-000079000000}"/>
    <cellStyle name="20% - Accent1 2 2 2 2 2 4 3" xfId="31483" xr:uid="{00000000-0005-0000-0000-00007A000000}"/>
    <cellStyle name="20% - Accent1 2 2 2 2 2 4 3 2" xfId="31410" xr:uid="{00000000-0005-0000-0000-00007B000000}"/>
    <cellStyle name="20% - Accent1 2 2 2 2 2 4 4" xfId="28433" xr:uid="{00000000-0005-0000-0000-00007C000000}"/>
    <cellStyle name="20% - Accent1 2 2 2 2 2 5" xfId="34253" xr:uid="{00000000-0005-0000-0000-00007D000000}"/>
    <cellStyle name="20% - Accent1 2 2 2 2 2 5 2" xfId="23205" xr:uid="{00000000-0005-0000-0000-00007E000000}"/>
    <cellStyle name="20% - Accent1 2 2 2 2 2 5 2 2" xfId="33744" xr:uid="{00000000-0005-0000-0000-00007F000000}"/>
    <cellStyle name="20% - Accent1 2 2 2 2 2 5 3" xfId="20168" xr:uid="{00000000-0005-0000-0000-000080000000}"/>
    <cellStyle name="20% - Accent1 2 2 2 2 2 6" xfId="34160" xr:uid="{00000000-0005-0000-0000-000081000000}"/>
    <cellStyle name="20% - Accent1 2 2 2 2 2 6 2" xfId="30322" xr:uid="{00000000-0005-0000-0000-000082000000}"/>
    <cellStyle name="20% - Accent1 2 2 2 2 2 7" xfId="34140" xr:uid="{00000000-0005-0000-0000-000083000000}"/>
    <cellStyle name="20% - Accent1 2 2 2 2 3" xfId="27924" xr:uid="{00000000-0005-0000-0000-000084000000}"/>
    <cellStyle name="20% - Accent1 2 2 2 2 3 2" xfId="33378" xr:uid="{00000000-0005-0000-0000-000085000000}"/>
    <cellStyle name="20% - Accent1 2 2 2 2 3 2 2" xfId="29481" xr:uid="{00000000-0005-0000-0000-000086000000}"/>
    <cellStyle name="20% - Accent1 2 2 2 2 3 2 2 2" xfId="33633" xr:uid="{00000000-0005-0000-0000-000087000000}"/>
    <cellStyle name="20% - Accent1 2 2 2 2 3 2 2 2 2" xfId="20086" xr:uid="{00000000-0005-0000-0000-000088000000}"/>
    <cellStyle name="20% - Accent1 2 2 2 2 3 2 2 2 2 2" xfId="17725" xr:uid="{00000000-0005-0000-0000-000089000000}"/>
    <cellStyle name="20% - Accent1 2 2 2 2 3 2 2 2 3" xfId="20077" xr:uid="{00000000-0005-0000-0000-00008A000000}"/>
    <cellStyle name="20% - Accent1 2 2 2 2 3 2 2 3" xfId="34286" xr:uid="{00000000-0005-0000-0000-00008B000000}"/>
    <cellStyle name="20% - Accent1 2 2 2 2 3 2 2 3 2" xfId="20051" xr:uid="{00000000-0005-0000-0000-00008C000000}"/>
    <cellStyle name="20% - Accent1 2 2 2 2 3 2 2 4" xfId="16491" xr:uid="{00000000-0005-0000-0000-00008D000000}"/>
    <cellStyle name="20% - Accent1 2 2 2 2 3 2 3" xfId="24591" xr:uid="{00000000-0005-0000-0000-00008E000000}"/>
    <cellStyle name="20% - Accent1 2 2 2 2 3 2 3 2" xfId="5677" xr:uid="{00000000-0005-0000-0000-00008F000000}"/>
    <cellStyle name="20% - Accent1 2 2 2 2 3 2 3 2 2" xfId="26943" xr:uid="{00000000-0005-0000-0000-000090000000}"/>
    <cellStyle name="20% - Accent1 2 2 2 2 3 2 3 3" xfId="6719" xr:uid="{00000000-0005-0000-0000-000091000000}"/>
    <cellStyle name="20% - Accent1 2 2 2 2 3 2 4" xfId="23692" xr:uid="{00000000-0005-0000-0000-000092000000}"/>
    <cellStyle name="20% - Accent1 2 2 2 2 3 2 4 2" xfId="5653" xr:uid="{00000000-0005-0000-0000-000093000000}"/>
    <cellStyle name="20% - Accent1 2 2 2 2 3 2 5" xfId="31412" xr:uid="{00000000-0005-0000-0000-000094000000}"/>
    <cellStyle name="20% - Accent1 2 2 2 2 3 3" xfId="29177" xr:uid="{00000000-0005-0000-0000-000095000000}"/>
    <cellStyle name="20% - Accent1 2 2 2 2 3 3 2" xfId="24564" xr:uid="{00000000-0005-0000-0000-000096000000}"/>
    <cellStyle name="20% - Accent1 2 2 2 2 3 3 2 2" xfId="34268" xr:uid="{00000000-0005-0000-0000-000097000000}"/>
    <cellStyle name="20% - Accent1 2 2 2 2 3 3 2 2 2" xfId="20010" xr:uid="{00000000-0005-0000-0000-000098000000}"/>
    <cellStyle name="20% - Accent1 2 2 2 2 3 3 2 3" xfId="28694" xr:uid="{00000000-0005-0000-0000-000099000000}"/>
    <cellStyle name="20% - Accent1 2 2 2 2 3 3 3" xfId="21967" xr:uid="{00000000-0005-0000-0000-00009A000000}"/>
    <cellStyle name="20% - Accent1 2 2 2 2 3 3 3 2" xfId="34254" xr:uid="{00000000-0005-0000-0000-00009B000000}"/>
    <cellStyle name="20% - Accent1 2 2 2 2 3 3 4" xfId="23454" xr:uid="{00000000-0005-0000-0000-00009C000000}"/>
    <cellStyle name="20% - Accent1 2 2 2 2 3 4" xfId="29172" xr:uid="{00000000-0005-0000-0000-00009D000000}"/>
    <cellStyle name="20% - Accent1 2 2 2 2 3 4 2" xfId="26479" xr:uid="{00000000-0005-0000-0000-00009E000000}"/>
    <cellStyle name="20% - Accent1 2 2 2 2 3 4 2 2" xfId="34039" xr:uid="{00000000-0005-0000-0000-00009F000000}"/>
    <cellStyle name="20% - Accent1 2 2 2 2 3 4 3" xfId="26656" xr:uid="{00000000-0005-0000-0000-0000A0000000}"/>
    <cellStyle name="20% - Accent1 2 2 2 2 3 5" xfId="34154" xr:uid="{00000000-0005-0000-0000-0000A1000000}"/>
    <cellStyle name="20% - Accent1 2 2 2 2 3 5 2" xfId="20141" xr:uid="{00000000-0005-0000-0000-0000A2000000}"/>
    <cellStyle name="20% - Accent1 2 2 2 2 3 6" xfId="34280" xr:uid="{00000000-0005-0000-0000-0000A3000000}"/>
    <cellStyle name="20% - Accent1 2 2 2 2 4" xfId="27920" xr:uid="{00000000-0005-0000-0000-0000A4000000}"/>
    <cellStyle name="20% - Accent1 2 2 2 2 4 2" xfId="34241" xr:uid="{00000000-0005-0000-0000-0000A5000000}"/>
    <cellStyle name="20% - Accent1 2 2 2 2 4 2 2" xfId="32636" xr:uid="{00000000-0005-0000-0000-0000A6000000}"/>
    <cellStyle name="20% - Accent1 2 2 2 2 4 2 2 2" xfId="34230" xr:uid="{00000000-0005-0000-0000-0000A7000000}"/>
    <cellStyle name="20% - Accent1 2 2 2 2 4 2 2 2 2" xfId="18553" xr:uid="{00000000-0005-0000-0000-0000A8000000}"/>
    <cellStyle name="20% - Accent1 2 2 2 2 4 2 2 3" xfId="32831" xr:uid="{00000000-0005-0000-0000-0000A9000000}"/>
    <cellStyle name="20% - Accent1 2 2 2 2 4 2 3" xfId="30162" xr:uid="{00000000-0005-0000-0000-0000AA000000}"/>
    <cellStyle name="20% - Accent1 2 2 2 2 4 2 3 2" xfId="32616" xr:uid="{00000000-0005-0000-0000-0000AB000000}"/>
    <cellStyle name="20% - Accent1 2 2 2 2 4 2 4" xfId="23250" xr:uid="{00000000-0005-0000-0000-0000AC000000}"/>
    <cellStyle name="20% - Accent1 2 2 2 2 4 3" xfId="33949" xr:uid="{00000000-0005-0000-0000-0000AD000000}"/>
    <cellStyle name="20% - Accent1 2 2 2 2 4 3 2" xfId="32154" xr:uid="{00000000-0005-0000-0000-0000AE000000}"/>
    <cellStyle name="20% - Accent1 2 2 2 2 4 3 2 2" xfId="34219" xr:uid="{00000000-0005-0000-0000-0000AF000000}"/>
    <cellStyle name="20% - Accent1 2 2 2 2 4 3 3" xfId="21943" xr:uid="{00000000-0005-0000-0000-0000B0000000}"/>
    <cellStyle name="20% - Accent1 2 2 2 2 4 4" xfId="27136" xr:uid="{00000000-0005-0000-0000-0000B1000000}"/>
    <cellStyle name="20% - Accent1 2 2 2 2 4 4 2" xfId="30877" xr:uid="{00000000-0005-0000-0000-0000B2000000}"/>
    <cellStyle name="20% - Accent1 2 2 2 2 4 5" xfId="34308" xr:uid="{00000000-0005-0000-0000-0000B3000000}"/>
    <cellStyle name="20% - Accent1 2 2 2 2 5" xfId="8511" xr:uid="{00000000-0005-0000-0000-0000B4000000}"/>
    <cellStyle name="20% - Accent1 2 2 2 2 5 2" xfId="25900" xr:uid="{00000000-0005-0000-0000-0000B5000000}"/>
    <cellStyle name="20% - Accent1 2 2 2 2 5 2 2" xfId="30863" xr:uid="{00000000-0005-0000-0000-0000B6000000}"/>
    <cellStyle name="20% - Accent1 2 2 2 2 5 2 2 2" xfId="21227" xr:uid="{00000000-0005-0000-0000-0000B7000000}"/>
    <cellStyle name="20% - Accent1 2 2 2 2 5 2 3" xfId="21933" xr:uid="{00000000-0005-0000-0000-0000B8000000}"/>
    <cellStyle name="20% - Accent1 2 2 2 2 5 3" xfId="31647" xr:uid="{00000000-0005-0000-0000-0000B9000000}"/>
    <cellStyle name="20% - Accent1 2 2 2 2 5 3 2" xfId="21925" xr:uid="{00000000-0005-0000-0000-0000BA000000}"/>
    <cellStyle name="20% - Accent1 2 2 2 2 5 4" xfId="30044" xr:uid="{00000000-0005-0000-0000-0000BB000000}"/>
    <cellStyle name="20% - Accent1 2 2 2 2 6" xfId="22926" xr:uid="{00000000-0005-0000-0000-0000BC000000}"/>
    <cellStyle name="20% - Accent1 2 2 2 2 6 2" xfId="25462" xr:uid="{00000000-0005-0000-0000-0000BD000000}"/>
    <cellStyle name="20% - Accent1 2 2 2 2 6 2 2" xfId="30825" xr:uid="{00000000-0005-0000-0000-0000BE000000}"/>
    <cellStyle name="20% - Accent1 2 2 2 2 6 3" xfId="33493" xr:uid="{00000000-0005-0000-0000-0000BF000000}"/>
    <cellStyle name="20% - Accent1 2 2 2 2 7" xfId="22923" xr:uid="{00000000-0005-0000-0000-0000C0000000}"/>
    <cellStyle name="20% - Accent1 2 2 2 2 7 2" xfId="19259" xr:uid="{00000000-0005-0000-0000-0000C1000000}"/>
    <cellStyle name="20% - Accent1 2 2 2 2 8" xfId="34383" xr:uid="{00000000-0005-0000-0000-0000C2000000}"/>
    <cellStyle name="20% - Accent1 2 2 2 3" xfId="30584" xr:uid="{00000000-0005-0000-0000-0000C3000000}"/>
    <cellStyle name="20% - Accent1 2 2 2 3 2" xfId="9471" xr:uid="{00000000-0005-0000-0000-0000C4000000}"/>
    <cellStyle name="20% - Accent1 2 2 2 3 2 2" xfId="13532" xr:uid="{00000000-0005-0000-0000-0000C5000000}"/>
    <cellStyle name="20% - Accent1 2 2 2 3 2 2 2" xfId="24909" xr:uid="{00000000-0005-0000-0000-0000C6000000}"/>
    <cellStyle name="20% - Accent1 2 2 2 3 2 2 2 2" xfId="19954" xr:uid="{00000000-0005-0000-0000-0000C7000000}"/>
    <cellStyle name="20% - Accent1 2 2 2 3 2 2 2 2 2" xfId="20296" xr:uid="{00000000-0005-0000-0000-0000C8000000}"/>
    <cellStyle name="20% - Accent1 2 2 2 3 2 2 2 2 2 2" xfId="24585" xr:uid="{00000000-0005-0000-0000-0000C9000000}"/>
    <cellStyle name="20% - Accent1 2 2 2 3 2 2 2 2 3" xfId="26089" xr:uid="{00000000-0005-0000-0000-0000CA000000}"/>
    <cellStyle name="20% - Accent1 2 2 2 3 2 2 2 3" xfId="22175" xr:uid="{00000000-0005-0000-0000-0000CB000000}"/>
    <cellStyle name="20% - Accent1 2 2 2 3 2 2 2 3 2" xfId="26136" xr:uid="{00000000-0005-0000-0000-0000CC000000}"/>
    <cellStyle name="20% - Accent1 2 2 2 3 2 2 2 4" xfId="22129" xr:uid="{00000000-0005-0000-0000-0000CD000000}"/>
    <cellStyle name="20% - Accent1 2 2 2 3 2 2 3" xfId="24222" xr:uid="{00000000-0005-0000-0000-0000CE000000}"/>
    <cellStyle name="20% - Accent1 2 2 2 3 2 2 3 2" xfId="22337" xr:uid="{00000000-0005-0000-0000-0000CF000000}"/>
    <cellStyle name="20% - Accent1 2 2 2 3 2 2 3 2 2" xfId="26127" xr:uid="{00000000-0005-0000-0000-0000D0000000}"/>
    <cellStyle name="20% - Accent1 2 2 2 3 2 2 3 3" xfId="33099" xr:uid="{00000000-0005-0000-0000-0000D1000000}"/>
    <cellStyle name="20% - Accent1 2 2 2 3 2 2 4" xfId="21799" xr:uid="{00000000-0005-0000-0000-0000D2000000}"/>
    <cellStyle name="20% - Accent1 2 2 2 3 2 2 4 2" xfId="19937" xr:uid="{00000000-0005-0000-0000-0000D3000000}"/>
    <cellStyle name="20% - Accent1 2 2 2 3 2 2 5" xfId="26074" xr:uid="{00000000-0005-0000-0000-0000D4000000}"/>
    <cellStyle name="20% - Accent1 2 2 2 3 2 3" xfId="11411" xr:uid="{00000000-0005-0000-0000-0000D5000000}"/>
    <cellStyle name="20% - Accent1 2 2 2 3 2 3 2" xfId="24183" xr:uid="{00000000-0005-0000-0000-0000D6000000}"/>
    <cellStyle name="20% - Accent1 2 2 2 3 2 3 2 2" xfId="7778" xr:uid="{00000000-0005-0000-0000-0000D7000000}"/>
    <cellStyle name="20% - Accent1 2 2 2 3 2 3 2 2 2" xfId="20205" xr:uid="{00000000-0005-0000-0000-0000D8000000}"/>
    <cellStyle name="20% - Accent1 2 2 2 3 2 3 2 3" xfId="21912" xr:uid="{00000000-0005-0000-0000-0000D9000000}"/>
    <cellStyle name="20% - Accent1 2 2 2 3 2 3 3" xfId="21792" xr:uid="{00000000-0005-0000-0000-0000DA000000}"/>
    <cellStyle name="20% - Accent1 2 2 2 3 2 3 3 2" xfId="19801" xr:uid="{00000000-0005-0000-0000-0000DB000000}"/>
    <cellStyle name="20% - Accent1 2 2 2 3 2 3 4" xfId="21786" xr:uid="{00000000-0005-0000-0000-0000DC000000}"/>
    <cellStyle name="20% - Accent1 2 2 2 3 2 4" xfId="11385" xr:uid="{00000000-0005-0000-0000-0000DD000000}"/>
    <cellStyle name="20% - Accent1 2 2 2 3 2 4 2" xfId="29376" xr:uid="{00000000-0005-0000-0000-0000DE000000}"/>
    <cellStyle name="20% - Accent1 2 2 2 3 2 4 2 2" xfId="14935" xr:uid="{00000000-0005-0000-0000-0000DF000000}"/>
    <cellStyle name="20% - Accent1 2 2 2 3 2 4 3" xfId="18976" xr:uid="{00000000-0005-0000-0000-0000E0000000}"/>
    <cellStyle name="20% - Accent1 2 2 2 3 2 5" xfId="13241" xr:uid="{00000000-0005-0000-0000-0000E1000000}"/>
    <cellStyle name="20% - Accent1 2 2 2 3 2 5 2" xfId="18090" xr:uid="{00000000-0005-0000-0000-0000E2000000}"/>
    <cellStyle name="20% - Accent1 2 2 2 3 2 6" xfId="11372" xr:uid="{00000000-0005-0000-0000-0000E3000000}"/>
    <cellStyle name="20% - Accent1 2 2 2 3 3" xfId="9453" xr:uid="{00000000-0005-0000-0000-0000E4000000}"/>
    <cellStyle name="20% - Accent1 2 2 2 3 3 2" xfId="9451" xr:uid="{00000000-0005-0000-0000-0000E5000000}"/>
    <cellStyle name="20% - Accent1 2 2 2 3 3 2 2" xfId="23672" xr:uid="{00000000-0005-0000-0000-0000E6000000}"/>
    <cellStyle name="20% - Accent1 2 2 2 3 3 2 2 2" xfId="19628" xr:uid="{00000000-0005-0000-0000-0000E7000000}"/>
    <cellStyle name="20% - Accent1 2 2 2 3 3 2 2 2 2" xfId="17511" xr:uid="{00000000-0005-0000-0000-0000E8000000}"/>
    <cellStyle name="20% - Accent1 2 2 2 3 3 2 2 3" xfId="21540" xr:uid="{00000000-0005-0000-0000-0000E9000000}"/>
    <cellStyle name="20% - Accent1 2 2 2 3 3 2 3" xfId="21765" xr:uid="{00000000-0005-0000-0000-0000EA000000}"/>
    <cellStyle name="20% - Accent1 2 2 2 3 3 2 3 2" xfId="19622" xr:uid="{00000000-0005-0000-0000-0000EB000000}"/>
    <cellStyle name="20% - Accent1 2 2 2 3 3 2 4" xfId="22907" xr:uid="{00000000-0005-0000-0000-0000EC000000}"/>
    <cellStyle name="20% - Accent1 2 2 2 3 3 3" xfId="11367" xr:uid="{00000000-0005-0000-0000-0000ED000000}"/>
    <cellStyle name="20% - Accent1 2 2 2 3 3 3 2" xfId="21761" xr:uid="{00000000-0005-0000-0000-0000EE000000}"/>
    <cellStyle name="20% - Accent1 2 2 2 3 3 3 2 2" xfId="27173" xr:uid="{00000000-0005-0000-0000-0000EF000000}"/>
    <cellStyle name="20% - Accent1 2 2 2 3 3 3 3" xfId="21757" xr:uid="{00000000-0005-0000-0000-0000F0000000}"/>
    <cellStyle name="20% - Accent1 2 2 2 3 3 4" xfId="11353" xr:uid="{00000000-0005-0000-0000-0000F1000000}"/>
    <cellStyle name="20% - Accent1 2 2 2 3 3 4 2" xfId="29298" xr:uid="{00000000-0005-0000-0000-0000F2000000}"/>
    <cellStyle name="20% - Accent1 2 2 2 3 3 5" xfId="11347" xr:uid="{00000000-0005-0000-0000-0000F3000000}"/>
    <cellStyle name="20% - Accent1 2 2 2 3 4" xfId="9446" xr:uid="{00000000-0005-0000-0000-0000F4000000}"/>
    <cellStyle name="20% - Accent1 2 2 2 3 4 2" xfId="9443" xr:uid="{00000000-0005-0000-0000-0000F5000000}"/>
    <cellStyle name="20% - Accent1 2 2 2 3 4 2 2" xfId="31945" xr:uid="{00000000-0005-0000-0000-0000F6000000}"/>
    <cellStyle name="20% - Accent1 2 2 2 3 4 2 2 2" xfId="19526" xr:uid="{00000000-0005-0000-0000-0000F7000000}"/>
    <cellStyle name="20% - Accent1 2 2 2 3 4 2 3" xfId="29668" xr:uid="{00000000-0005-0000-0000-0000F8000000}"/>
    <cellStyle name="20% - Accent1 2 2 2 3 4 3" xfId="11339" xr:uid="{00000000-0005-0000-0000-0000F9000000}"/>
    <cellStyle name="20% - Accent1 2 2 2 3 4 3 2" xfId="21744" xr:uid="{00000000-0005-0000-0000-0000FA000000}"/>
    <cellStyle name="20% - Accent1 2 2 2 3 4 4" xfId="11326" xr:uid="{00000000-0005-0000-0000-0000FB000000}"/>
    <cellStyle name="20% - Accent1 2 2 2 3 5" xfId="22373" xr:uid="{00000000-0005-0000-0000-0000FC000000}"/>
    <cellStyle name="20% - Accent1 2 2 2 3 5 2" xfId="9438" xr:uid="{00000000-0005-0000-0000-0000FD000000}"/>
    <cellStyle name="20% - Accent1 2 2 2 3 5 2 2" xfId="21736" xr:uid="{00000000-0005-0000-0000-0000FE000000}"/>
    <cellStyle name="20% - Accent1 2 2 2 3 5 3" xfId="11320" xr:uid="{00000000-0005-0000-0000-0000FF000000}"/>
    <cellStyle name="20% - Accent1 2 2 2 3 6" xfId="18147" xr:uid="{00000000-0005-0000-0000-000000010000}"/>
    <cellStyle name="20% - Accent1 2 2 2 3 6 2" xfId="30441" xr:uid="{00000000-0005-0000-0000-000001010000}"/>
    <cellStyle name="20% - Accent1 2 2 2 3 7" xfId="26113" xr:uid="{00000000-0005-0000-0000-000002010000}"/>
    <cellStyle name="20% - Accent1 2 2 2 4" xfId="33979" xr:uid="{00000000-0005-0000-0000-000003010000}"/>
    <cellStyle name="20% - Accent1 2 2 2 4 2" xfId="9418" xr:uid="{00000000-0005-0000-0000-000004010000}"/>
    <cellStyle name="20% - Accent1 2 2 2 4 2 2" xfId="14188" xr:uid="{00000000-0005-0000-0000-000005010000}"/>
    <cellStyle name="20% - Accent1 2 2 2 4 2 2 2" xfId="23946" xr:uid="{00000000-0005-0000-0000-000006010000}"/>
    <cellStyle name="20% - Accent1 2 2 2 4 2 2 2 2" xfId="19371" xr:uid="{00000000-0005-0000-0000-000007010000}"/>
    <cellStyle name="20% - Accent1 2 2 2 4 2 2 2 2 2" xfId="25618" xr:uid="{00000000-0005-0000-0000-000008010000}"/>
    <cellStyle name="20% - Accent1 2 2 2 4 2 2 2 3" xfId="20468" xr:uid="{00000000-0005-0000-0000-000009010000}"/>
    <cellStyle name="20% - Accent1 2 2 2 4 2 2 3" xfId="21679" xr:uid="{00000000-0005-0000-0000-00000A010000}"/>
    <cellStyle name="20% - Accent1 2 2 2 4 2 2 3 2" xfId="20193" xr:uid="{00000000-0005-0000-0000-00000B010000}"/>
    <cellStyle name="20% - Accent1 2 2 2 4 2 2 4" xfId="21674" xr:uid="{00000000-0005-0000-0000-00000C010000}"/>
    <cellStyle name="20% - Accent1 2 2 2 4 2 3" xfId="11195" xr:uid="{00000000-0005-0000-0000-00000D010000}"/>
    <cellStyle name="20% - Accent1 2 2 2 4 2 3 2" xfId="30604" xr:uid="{00000000-0005-0000-0000-00000E010000}"/>
    <cellStyle name="20% - Accent1 2 2 2 4 2 3 2 2" xfId="19334" xr:uid="{00000000-0005-0000-0000-00000F010000}"/>
    <cellStyle name="20% - Accent1 2 2 2 4 2 3 3" xfId="21666" xr:uid="{00000000-0005-0000-0000-000010010000}"/>
    <cellStyle name="20% - Accent1 2 2 2 4 2 4" xfId="11176" xr:uid="{00000000-0005-0000-0000-000011010000}"/>
    <cellStyle name="20% - Accent1 2 2 2 4 2 4 2" xfId="23462" xr:uid="{00000000-0005-0000-0000-000012010000}"/>
    <cellStyle name="20% - Accent1 2 2 2 4 2 5" xfId="11171" xr:uid="{00000000-0005-0000-0000-000013010000}"/>
    <cellStyle name="20% - Accent1 2 2 2 4 3" xfId="9413" xr:uid="{00000000-0005-0000-0000-000014010000}"/>
    <cellStyle name="20% - Accent1 2 2 2 4 3 2" xfId="9411" xr:uid="{00000000-0005-0000-0000-000015010000}"/>
    <cellStyle name="20% - Accent1 2 2 2 4 3 2 2" xfId="21661" xr:uid="{00000000-0005-0000-0000-000016010000}"/>
    <cellStyle name="20% - Accent1 2 2 2 4 3 2 2 2" xfId="19283" xr:uid="{00000000-0005-0000-0000-000017010000}"/>
    <cellStyle name="20% - Accent1 2 2 2 4 3 2 3" xfId="21654" xr:uid="{00000000-0005-0000-0000-000018010000}"/>
    <cellStyle name="20% - Accent1 2 2 2 4 3 3" xfId="11167" xr:uid="{00000000-0005-0000-0000-000019010000}"/>
    <cellStyle name="20% - Accent1 2 2 2 4 3 3 2" xfId="21648" xr:uid="{00000000-0005-0000-0000-00001A010000}"/>
    <cellStyle name="20% - Accent1 2 2 2 4 3 4" xfId="11151" xr:uid="{00000000-0005-0000-0000-00001B010000}"/>
    <cellStyle name="20% - Accent1 2 2 2 4 4" xfId="17006" xr:uid="{00000000-0005-0000-0000-00001C010000}"/>
    <cellStyle name="20% - Accent1 2 2 2 4 4 2" xfId="9404" xr:uid="{00000000-0005-0000-0000-00001D010000}"/>
    <cellStyle name="20% - Accent1 2 2 2 4 4 2 2" xfId="21641" xr:uid="{00000000-0005-0000-0000-00001E010000}"/>
    <cellStyle name="20% - Accent1 2 2 2 4 4 3" xfId="11145" xr:uid="{00000000-0005-0000-0000-00001F010000}"/>
    <cellStyle name="20% - Accent1 2 2 2 4 5" xfId="22806" xr:uid="{00000000-0005-0000-0000-000020010000}"/>
    <cellStyle name="20% - Accent1 2 2 2 4 5 2" xfId="29770" xr:uid="{00000000-0005-0000-0000-000021010000}"/>
    <cellStyle name="20% - Accent1 2 2 2 4 6" xfId="27823" xr:uid="{00000000-0005-0000-0000-000022010000}"/>
    <cellStyle name="20% - Accent1 2 2 2 5" xfId="33485" xr:uid="{00000000-0005-0000-0000-000023010000}"/>
    <cellStyle name="20% - Accent1 2 2 2 5 2" xfId="9384" xr:uid="{00000000-0005-0000-0000-000024010000}"/>
    <cellStyle name="20% - Accent1 2 2 2 5 2 2" xfId="9382" xr:uid="{00000000-0005-0000-0000-000025010000}"/>
    <cellStyle name="20% - Accent1 2 2 2 5 2 2 2" xfId="21597" xr:uid="{00000000-0005-0000-0000-000026010000}"/>
    <cellStyle name="20% - Accent1 2 2 2 5 2 2 2 2" xfId="22550" xr:uid="{00000000-0005-0000-0000-000027010000}"/>
    <cellStyle name="20% - Accent1 2 2 2 5 2 2 3" xfId="20241" xr:uid="{00000000-0005-0000-0000-000028010000}"/>
    <cellStyle name="20% - Accent1 2 2 2 5 2 3" xfId="11061" xr:uid="{00000000-0005-0000-0000-000029010000}"/>
    <cellStyle name="20% - Accent1 2 2 2 5 2 3 2" xfId="21590" xr:uid="{00000000-0005-0000-0000-00002A010000}"/>
    <cellStyle name="20% - Accent1 2 2 2 5 2 4" xfId="11044" xr:uid="{00000000-0005-0000-0000-00002B010000}"/>
    <cellStyle name="20% - Accent1 2 2 2 5 3" xfId="13650" xr:uid="{00000000-0005-0000-0000-00002C010000}"/>
    <cellStyle name="20% - Accent1 2 2 2 5 3 2" xfId="28065" xr:uid="{00000000-0005-0000-0000-00002D010000}"/>
    <cellStyle name="20% - Accent1 2 2 2 5 3 2 2" xfId="21586" xr:uid="{00000000-0005-0000-0000-00002E010000}"/>
    <cellStyle name="20% - Accent1 2 2 2 5 3 3" xfId="11040" xr:uid="{00000000-0005-0000-0000-00002F010000}"/>
    <cellStyle name="20% - Accent1 2 2 2 5 4" xfId="9376" xr:uid="{00000000-0005-0000-0000-000030010000}"/>
    <cellStyle name="20% - Accent1 2 2 2 5 4 2" xfId="9372" xr:uid="{00000000-0005-0000-0000-000031010000}"/>
    <cellStyle name="20% - Accent1 2 2 2 5 5" xfId="5515" xr:uid="{00000000-0005-0000-0000-000032010000}"/>
    <cellStyle name="20% - Accent1 2 2 2 6" xfId="32417" xr:uid="{00000000-0005-0000-0000-000033010000}"/>
    <cellStyle name="20% - Accent1 2 2 2 6 2" xfId="11954" xr:uid="{00000000-0005-0000-0000-000034010000}"/>
    <cellStyle name="20% - Accent1 2 2 2 6 2 2" xfId="11951" xr:uid="{00000000-0005-0000-0000-000035010000}"/>
    <cellStyle name="20% - Accent1 2 2 2 6 2 2 2" xfId="21564" xr:uid="{00000000-0005-0000-0000-000036010000}"/>
    <cellStyle name="20% - Accent1 2 2 2 6 2 3" xfId="10980" xr:uid="{00000000-0005-0000-0000-000037010000}"/>
    <cellStyle name="20% - Accent1 2 2 2 6 3" xfId="11947" xr:uid="{00000000-0005-0000-0000-000038010000}"/>
    <cellStyle name="20% - Accent1 2 2 2 6 3 2" xfId="9360" xr:uid="{00000000-0005-0000-0000-000039010000}"/>
    <cellStyle name="20% - Accent1 2 2 2 6 4" xfId="9358" xr:uid="{00000000-0005-0000-0000-00003A010000}"/>
    <cellStyle name="20% - Accent1 2 2 2 7" xfId="30887" xr:uid="{00000000-0005-0000-0000-00003B010000}"/>
    <cellStyle name="20% - Accent1 2 2 2 7 2" xfId="12258" xr:uid="{00000000-0005-0000-0000-00003C010000}"/>
    <cellStyle name="20% - Accent1 2 2 2 7 2 2" xfId="9353" xr:uid="{00000000-0005-0000-0000-00003D010000}"/>
    <cellStyle name="20% - Accent1 2 2 2 7 3" xfId="9351" xr:uid="{00000000-0005-0000-0000-00003E010000}"/>
    <cellStyle name="20% - Accent1 2 2 2 8" xfId="29221" xr:uid="{00000000-0005-0000-0000-00003F010000}"/>
    <cellStyle name="20% - Accent1 2 2 2 8 2" xfId="9344" xr:uid="{00000000-0005-0000-0000-000040010000}"/>
    <cellStyle name="20% - Accent1 2 2 2 9" xfId="25929" xr:uid="{00000000-0005-0000-0000-000041010000}"/>
    <cellStyle name="20% - Accent1 2 2 3" xfId="17471" xr:uid="{00000000-0005-0000-0000-000042010000}"/>
    <cellStyle name="20% - Accent1 2 2 3 2" xfId="31574" xr:uid="{00000000-0005-0000-0000-000043010000}"/>
    <cellStyle name="20% - Accent1 2 2 3 2 2" xfId="34094" xr:uid="{00000000-0005-0000-0000-000044010000}"/>
    <cellStyle name="20% - Accent1 2 2 3 2 2 2" xfId="33629" xr:uid="{00000000-0005-0000-0000-000045010000}"/>
    <cellStyle name="20% - Accent1 2 2 3 2 2 2 2" xfId="30396" xr:uid="{00000000-0005-0000-0000-000046010000}"/>
    <cellStyle name="20% - Accent1 2 2 3 2 2 2 2 2" xfId="14726" xr:uid="{00000000-0005-0000-0000-000047010000}"/>
    <cellStyle name="20% - Accent1 2 2 3 2 2 2 2 2 2" xfId="22268" xr:uid="{00000000-0005-0000-0000-000048010000}"/>
    <cellStyle name="20% - Accent1 2 2 3 2 2 2 2 2 2 2" xfId="33120" xr:uid="{00000000-0005-0000-0000-000049010000}"/>
    <cellStyle name="20% - Accent1 2 2 3 2 2 2 2 2 3" xfId="7207" xr:uid="{00000000-0005-0000-0000-00004A010000}"/>
    <cellStyle name="20% - Accent1 2 2 3 2 2 2 2 3" xfId="12854" xr:uid="{00000000-0005-0000-0000-00004B010000}"/>
    <cellStyle name="20% - Accent1 2 2 3 2 2 2 2 3 2" xfId="24420" xr:uid="{00000000-0005-0000-0000-00004C010000}"/>
    <cellStyle name="20% - Accent1 2 2 3 2 2 2 2 4" xfId="7111" xr:uid="{00000000-0005-0000-0000-00004D010000}"/>
    <cellStyle name="20% - Accent1 2 2 3 2 2 2 3" xfId="23521" xr:uid="{00000000-0005-0000-0000-00004E010000}"/>
    <cellStyle name="20% - Accent1 2 2 3 2 2 2 3 2" xfId="12852" xr:uid="{00000000-0005-0000-0000-00004F010000}"/>
    <cellStyle name="20% - Accent1 2 2 3 2 2 2 3 2 2" xfId="24409" xr:uid="{00000000-0005-0000-0000-000050010000}"/>
    <cellStyle name="20% - Accent1 2 2 3 2 2 2 3 3" xfId="7103" xr:uid="{00000000-0005-0000-0000-000051010000}"/>
    <cellStyle name="20% - Accent1 2 2 3 2 2 2 4" xfId="21478" xr:uid="{00000000-0005-0000-0000-000052010000}"/>
    <cellStyle name="20% - Accent1 2 2 3 2 2 2 4 2" xfId="15399" xr:uid="{00000000-0005-0000-0000-000053010000}"/>
    <cellStyle name="20% - Accent1 2 2 3 2 2 2 5" xfId="21473" xr:uid="{00000000-0005-0000-0000-000054010000}"/>
    <cellStyle name="20% - Accent1 2 2 3 2 2 3" xfId="33920" xr:uid="{00000000-0005-0000-0000-000055010000}"/>
    <cellStyle name="20% - Accent1 2 2 3 2 2 3 2" xfId="23501" xr:uid="{00000000-0005-0000-0000-000056010000}"/>
    <cellStyle name="20% - Accent1 2 2 3 2 2 3 2 2" xfId="12848" xr:uid="{00000000-0005-0000-0000-000057010000}"/>
    <cellStyle name="20% - Accent1 2 2 3 2 2 3 2 2 2" xfId="20160" xr:uid="{00000000-0005-0000-0000-000058010000}"/>
    <cellStyle name="20% - Accent1 2 2 3 2 2 3 2 3" xfId="22765" xr:uid="{00000000-0005-0000-0000-000059010000}"/>
    <cellStyle name="20% - Accent1 2 2 3 2 2 3 3" xfId="21465" xr:uid="{00000000-0005-0000-0000-00005A010000}"/>
    <cellStyle name="20% - Accent1 2 2 3 2 2 3 3 2" xfId="32963" xr:uid="{00000000-0005-0000-0000-00005B010000}"/>
    <cellStyle name="20% - Accent1 2 2 3 2 2 3 4" xfId="21461" xr:uid="{00000000-0005-0000-0000-00005C010000}"/>
    <cellStyle name="20% - Accent1 2 2 3 2 2 4" xfId="32391" xr:uid="{00000000-0005-0000-0000-00005D010000}"/>
    <cellStyle name="20% - Accent1 2 2 3 2 2 4 2" xfId="21459" xr:uid="{00000000-0005-0000-0000-00005E010000}"/>
    <cellStyle name="20% - Accent1 2 2 3 2 2 4 2 2" xfId="30447" xr:uid="{00000000-0005-0000-0000-00005F010000}"/>
    <cellStyle name="20% - Accent1 2 2 3 2 2 4 3" xfId="21455" xr:uid="{00000000-0005-0000-0000-000060010000}"/>
    <cellStyle name="20% - Accent1 2 2 3 2 2 5" xfId="34021" xr:uid="{00000000-0005-0000-0000-000061010000}"/>
    <cellStyle name="20% - Accent1 2 2 3 2 2 5 2" xfId="29826" xr:uid="{00000000-0005-0000-0000-000062010000}"/>
    <cellStyle name="20% - Accent1 2 2 3 2 2 6" xfId="32804" xr:uid="{00000000-0005-0000-0000-000063010000}"/>
    <cellStyle name="20% - Accent1 2 2 3 2 3" xfId="27909" xr:uid="{00000000-0005-0000-0000-000064010000}"/>
    <cellStyle name="20% - Accent1 2 2 3 2 3 2" xfId="34008" xr:uid="{00000000-0005-0000-0000-000065010000}"/>
    <cellStyle name="20% - Accent1 2 2 3 2 3 2 2" xfId="23342" xr:uid="{00000000-0005-0000-0000-000066010000}"/>
    <cellStyle name="20% - Accent1 2 2 3 2 3 2 2 2" xfId="29267" xr:uid="{00000000-0005-0000-0000-000067010000}"/>
    <cellStyle name="20% - Accent1 2 2 3 2 3 2 2 2 2" xfId="24076" xr:uid="{00000000-0005-0000-0000-000068010000}"/>
    <cellStyle name="20% - Accent1 2 2 3 2 3 2 2 3" xfId="28565" xr:uid="{00000000-0005-0000-0000-000069010000}"/>
    <cellStyle name="20% - Accent1 2 2 3 2 3 2 3" xfId="21445" xr:uid="{00000000-0005-0000-0000-00006A010000}"/>
    <cellStyle name="20% - Accent1 2 2 3 2 3 2 3 2" xfId="30553" xr:uid="{00000000-0005-0000-0000-00006B010000}"/>
    <cellStyle name="20% - Accent1 2 2 3 2 3 2 4" xfId="21440" xr:uid="{00000000-0005-0000-0000-00006C010000}"/>
    <cellStyle name="20% - Accent1 2 2 3 2 3 3" xfId="22144" xr:uid="{00000000-0005-0000-0000-00006D010000}"/>
    <cellStyle name="20% - Accent1 2 2 3 2 3 3 2" xfId="21438" xr:uid="{00000000-0005-0000-0000-00006E010000}"/>
    <cellStyle name="20% - Accent1 2 2 3 2 3 3 2 2" xfId="33891" xr:uid="{00000000-0005-0000-0000-00006F010000}"/>
    <cellStyle name="20% - Accent1 2 2 3 2 3 3 3" xfId="21431" xr:uid="{00000000-0005-0000-0000-000070010000}"/>
    <cellStyle name="20% - Accent1 2 2 3 2 3 4" xfId="34004" xr:uid="{00000000-0005-0000-0000-000071010000}"/>
    <cellStyle name="20% - Accent1 2 2 3 2 3 4 2" xfId="30310" xr:uid="{00000000-0005-0000-0000-000072010000}"/>
    <cellStyle name="20% - Accent1 2 2 3 2 3 5" xfId="33894" xr:uid="{00000000-0005-0000-0000-000073010000}"/>
    <cellStyle name="20% - Accent1 2 2 3 2 4" xfId="33990" xr:uid="{00000000-0005-0000-0000-000074010000}"/>
    <cellStyle name="20% - Accent1 2 2 3 2 4 2" xfId="33572" xr:uid="{00000000-0005-0000-0000-000075010000}"/>
    <cellStyle name="20% - Accent1 2 2 3 2 4 2 2" xfId="12739" xr:uid="{00000000-0005-0000-0000-000076010000}"/>
    <cellStyle name="20% - Accent1 2 2 3 2 4 2 2 2" xfId="31852" xr:uid="{00000000-0005-0000-0000-000077010000}"/>
    <cellStyle name="20% - Accent1 2 2 3 2 4 2 3" xfId="12732" xr:uid="{00000000-0005-0000-0000-000078010000}"/>
    <cellStyle name="20% - Accent1 2 2 3 2 4 3" xfId="33568" xr:uid="{00000000-0005-0000-0000-000079010000}"/>
    <cellStyle name="20% - Accent1 2 2 3 2 4 3 2" xfId="21415" xr:uid="{00000000-0005-0000-0000-00007A010000}"/>
    <cellStyle name="20% - Accent1 2 2 3 2 4 4" xfId="33908" xr:uid="{00000000-0005-0000-0000-00007B010000}"/>
    <cellStyle name="20% - Accent1 2 2 3 2 5" xfId="34238" xr:uid="{00000000-0005-0000-0000-00007C010000}"/>
    <cellStyle name="20% - Accent1 2 2 3 2 5 2" xfId="31378" xr:uid="{00000000-0005-0000-0000-00007D010000}"/>
    <cellStyle name="20% - Accent1 2 2 3 2 5 2 2" xfId="12281" xr:uid="{00000000-0005-0000-0000-00007E010000}"/>
    <cellStyle name="20% - Accent1 2 2 3 2 5 3" xfId="25424" xr:uid="{00000000-0005-0000-0000-00007F010000}"/>
    <cellStyle name="20% - Accent1 2 2 3 2 6" xfId="22912" xr:uid="{00000000-0005-0000-0000-000080010000}"/>
    <cellStyle name="20% - Accent1 2 2 3 2 6 2" xfId="33832" xr:uid="{00000000-0005-0000-0000-000081010000}"/>
    <cellStyle name="20% - Accent1 2 2 3 2 7" xfId="34022" xr:uid="{00000000-0005-0000-0000-000082010000}"/>
    <cellStyle name="20% - Accent1 2 2 3 3" xfId="34038" xr:uid="{00000000-0005-0000-0000-000083010000}"/>
    <cellStyle name="20% - Accent1 2 2 3 3 2" xfId="31702" xr:uid="{00000000-0005-0000-0000-000084010000}"/>
    <cellStyle name="20% - Accent1 2 2 3 3 2 2" xfId="24433" xr:uid="{00000000-0005-0000-0000-000085010000}"/>
    <cellStyle name="20% - Accent1 2 2 3 3 2 2 2" xfId="30445" xr:uid="{00000000-0005-0000-0000-000086010000}"/>
    <cellStyle name="20% - Accent1 2 2 3 3 2 2 2 2" xfId="12801" xr:uid="{00000000-0005-0000-0000-000087010000}"/>
    <cellStyle name="20% - Accent1 2 2 3 3 2 2 2 2 2" xfId="22544" xr:uid="{00000000-0005-0000-0000-000088010000}"/>
    <cellStyle name="20% - Accent1 2 2 3 3 2 2 2 3" xfId="11619" xr:uid="{00000000-0005-0000-0000-000089010000}"/>
    <cellStyle name="20% - Accent1 2 2 3 3 2 2 3" xfId="30177" xr:uid="{00000000-0005-0000-0000-00008A010000}"/>
    <cellStyle name="20% - Accent1 2 2 3 3 2 2 3 2" xfId="20596" xr:uid="{00000000-0005-0000-0000-00008B010000}"/>
    <cellStyle name="20% - Accent1 2 2 3 3 2 2 4" xfId="21386" xr:uid="{00000000-0005-0000-0000-00008C010000}"/>
    <cellStyle name="20% - Accent1 2 2 3 3 2 3" xfId="25744" xr:uid="{00000000-0005-0000-0000-00008D010000}"/>
    <cellStyle name="20% - Accent1 2 2 3 3 2 3 2" xfId="29713" xr:uid="{00000000-0005-0000-0000-00008E010000}"/>
    <cellStyle name="20% - Accent1 2 2 3 3 2 3 2 2" xfId="26141" xr:uid="{00000000-0005-0000-0000-00008F010000}"/>
    <cellStyle name="20% - Accent1 2 2 3 3 2 3 3" xfId="21384" xr:uid="{00000000-0005-0000-0000-000090010000}"/>
    <cellStyle name="20% - Accent1 2 2 3 3 2 4" xfId="32885" xr:uid="{00000000-0005-0000-0000-000091010000}"/>
    <cellStyle name="20% - Accent1 2 2 3 3 2 4 2" xfId="21382" xr:uid="{00000000-0005-0000-0000-000092010000}"/>
    <cellStyle name="20% - Accent1 2 2 3 3 2 5" xfId="10806" xr:uid="{00000000-0005-0000-0000-000093010000}"/>
    <cellStyle name="20% - Accent1 2 2 3 3 3" xfId="31676" xr:uid="{00000000-0005-0000-0000-000094010000}"/>
    <cellStyle name="20% - Accent1 2 2 3 3 3 2" xfId="31664" xr:uid="{00000000-0005-0000-0000-000095010000}"/>
    <cellStyle name="20% - Accent1 2 2 3 3 3 2 2" xfId="30143" xr:uid="{00000000-0005-0000-0000-000096010000}"/>
    <cellStyle name="20% - Accent1 2 2 3 3 3 2 2 2" xfId="18807" xr:uid="{00000000-0005-0000-0000-000097010000}"/>
    <cellStyle name="20% - Accent1 2 2 3 3 3 2 3" xfId="21376" xr:uid="{00000000-0005-0000-0000-000098010000}"/>
    <cellStyle name="20% - Accent1 2 2 3 3 3 3" xfId="10800" xr:uid="{00000000-0005-0000-0000-000099010000}"/>
    <cellStyle name="20% - Accent1 2 2 3 3 3 3 2" xfId="18016" xr:uid="{00000000-0005-0000-0000-00009A010000}"/>
    <cellStyle name="20% - Accent1 2 2 3 3 3 4" xfId="10790" xr:uid="{00000000-0005-0000-0000-00009B010000}"/>
    <cellStyle name="20% - Accent1 2 2 3 3 4" xfId="22260" xr:uid="{00000000-0005-0000-0000-00009C010000}"/>
    <cellStyle name="20% - Accent1 2 2 3 3 4 2" xfId="9274" xr:uid="{00000000-0005-0000-0000-00009D010000}"/>
    <cellStyle name="20% - Accent1 2 2 3 3 4 2 2" xfId="11993" xr:uid="{00000000-0005-0000-0000-00009E010000}"/>
    <cellStyle name="20% - Accent1 2 2 3 3 4 3" xfId="22880" xr:uid="{00000000-0005-0000-0000-00009F010000}"/>
    <cellStyle name="20% - Accent1 2 2 3 3 5" xfId="22790" xr:uid="{00000000-0005-0000-0000-0000A0010000}"/>
    <cellStyle name="20% - Accent1 2 2 3 3 5 2" xfId="9272" xr:uid="{00000000-0005-0000-0000-0000A1010000}"/>
    <cellStyle name="20% - Accent1 2 2 3 3 6" xfId="27383" xr:uid="{00000000-0005-0000-0000-0000A2010000}"/>
    <cellStyle name="20% - Accent1 2 2 3 4" xfId="31149" xr:uid="{00000000-0005-0000-0000-0000A3010000}"/>
    <cellStyle name="20% - Accent1 2 2 3 4 2" xfId="31644" xr:uid="{00000000-0005-0000-0000-0000A4010000}"/>
    <cellStyle name="20% - Accent1 2 2 3 4 2 2" xfId="31147" xr:uid="{00000000-0005-0000-0000-0000A5010000}"/>
    <cellStyle name="20% - Accent1 2 2 3 4 2 2 2" xfId="29925" xr:uid="{00000000-0005-0000-0000-0000A6010000}"/>
    <cellStyle name="20% - Accent1 2 2 3 4 2 2 2 2" xfId="18683" xr:uid="{00000000-0005-0000-0000-0000A7010000}"/>
    <cellStyle name="20% - Accent1 2 2 3 4 2 2 3" xfId="21358" xr:uid="{00000000-0005-0000-0000-0000A8010000}"/>
    <cellStyle name="20% - Accent1 2 2 3 4 2 3" xfId="14574" xr:uid="{00000000-0005-0000-0000-0000A9010000}"/>
    <cellStyle name="20% - Accent1 2 2 3 4 2 3 2" xfId="21354" xr:uid="{00000000-0005-0000-0000-0000AA010000}"/>
    <cellStyle name="20% - Accent1 2 2 3 4 2 4" xfId="10693" xr:uid="{00000000-0005-0000-0000-0000AB010000}"/>
    <cellStyle name="20% - Accent1 2 2 3 4 3" xfId="30800" xr:uid="{00000000-0005-0000-0000-0000AC010000}"/>
    <cellStyle name="20% - Accent1 2 2 3 4 3 2" xfId="14567" xr:uid="{00000000-0005-0000-0000-0000AD010000}"/>
    <cellStyle name="20% - Accent1 2 2 3 4 3 2 2" xfId="21351" xr:uid="{00000000-0005-0000-0000-0000AE010000}"/>
    <cellStyle name="20% - Accent1 2 2 3 4 3 3" xfId="10687" xr:uid="{00000000-0005-0000-0000-0000AF010000}"/>
    <cellStyle name="20% - Accent1 2 2 3 4 4" xfId="9238" xr:uid="{00000000-0005-0000-0000-0000B0010000}"/>
    <cellStyle name="20% - Accent1 2 2 3 4 4 2" xfId="9235" xr:uid="{00000000-0005-0000-0000-0000B1010000}"/>
    <cellStyle name="20% - Accent1 2 2 3 4 5" xfId="9233" xr:uid="{00000000-0005-0000-0000-0000B2010000}"/>
    <cellStyle name="20% - Accent1 2 2 3 5" xfId="25419" xr:uid="{00000000-0005-0000-0000-0000B3010000}"/>
    <cellStyle name="20% - Accent1 2 2 3 5 2" xfId="31624" xr:uid="{00000000-0005-0000-0000-0000B4010000}"/>
    <cellStyle name="20% - Accent1 2 2 3 5 2 2" xfId="14560" xr:uid="{00000000-0005-0000-0000-0000B5010000}"/>
    <cellStyle name="20% - Accent1 2 2 3 5 2 2 2" xfId="21341" xr:uid="{00000000-0005-0000-0000-0000B6010000}"/>
    <cellStyle name="20% - Accent1 2 2 3 5 2 3" xfId="10626" xr:uid="{00000000-0005-0000-0000-0000B7010000}"/>
    <cellStyle name="20% - Accent1 2 2 3 5 3" xfId="18209" xr:uid="{00000000-0005-0000-0000-0000B8010000}"/>
    <cellStyle name="20% - Accent1 2 2 3 5 3 2" xfId="9213" xr:uid="{00000000-0005-0000-0000-0000B9010000}"/>
    <cellStyle name="20% - Accent1 2 2 3 5 4" xfId="27714" xr:uid="{00000000-0005-0000-0000-0000BA010000}"/>
    <cellStyle name="20% - Accent1 2 2 3 6" xfId="29906" xr:uid="{00000000-0005-0000-0000-0000BB010000}"/>
    <cellStyle name="20% - Accent1 2 2 3 6 2" xfId="11941" xr:uid="{00000000-0005-0000-0000-0000BC010000}"/>
    <cellStyle name="20% - Accent1 2 2 3 6 2 2" xfId="12813" xr:uid="{00000000-0005-0000-0000-0000BD010000}"/>
    <cellStyle name="20% - Accent1 2 2 3 6 3" xfId="18205" xr:uid="{00000000-0005-0000-0000-0000BE010000}"/>
    <cellStyle name="20% - Accent1 2 2 3 7" xfId="29577" xr:uid="{00000000-0005-0000-0000-0000BF010000}"/>
    <cellStyle name="20% - Accent1 2 2 3 7 2" xfId="9195" xr:uid="{00000000-0005-0000-0000-0000C0010000}"/>
    <cellStyle name="20% - Accent1 2 2 3 8" xfId="29008" xr:uid="{00000000-0005-0000-0000-0000C1010000}"/>
    <cellStyle name="20% - Accent1 2 2 4" xfId="5639" xr:uid="{00000000-0005-0000-0000-0000C2010000}"/>
    <cellStyle name="20% - Accent1 2 2 4 2" xfId="9427" xr:uid="{00000000-0005-0000-0000-0000C3010000}"/>
    <cellStyle name="20% - Accent1 2 2 4 2 2" xfId="9424" xr:uid="{00000000-0005-0000-0000-0000C4010000}"/>
    <cellStyle name="20% - Accent1 2 2 4 2 2 2" xfId="33338" xr:uid="{00000000-0005-0000-0000-0000C5010000}"/>
    <cellStyle name="20% - Accent1 2 2 4 2 2 2 2" xfId="22850" xr:uid="{00000000-0005-0000-0000-0000C6010000}"/>
    <cellStyle name="20% - Accent1 2 2 4 2 2 2 2 2" xfId="29349" xr:uid="{00000000-0005-0000-0000-0000C7010000}"/>
    <cellStyle name="20% - Accent1 2 2 4 2 2 2 2 2 2" xfId="26327" xr:uid="{00000000-0005-0000-0000-0000C8010000}"/>
    <cellStyle name="20% - Accent1 2 2 4 2 2 2 2 3" xfId="10072" xr:uid="{00000000-0005-0000-0000-0000C9010000}"/>
    <cellStyle name="20% - Accent1 2 2 4 2 2 2 3" xfId="23554" xr:uid="{00000000-0005-0000-0000-0000CA010000}"/>
    <cellStyle name="20% - Accent1 2 2 4 2 2 2 3 2" xfId="28383" xr:uid="{00000000-0005-0000-0000-0000CB010000}"/>
    <cellStyle name="20% - Accent1 2 2 4 2 2 2 4" xfId="21252" xr:uid="{00000000-0005-0000-0000-0000CC010000}"/>
    <cellStyle name="20% - Accent1 2 2 4 2 2 3" xfId="33331" xr:uid="{00000000-0005-0000-0000-0000CD010000}"/>
    <cellStyle name="20% - Accent1 2 2 4 2 2 3 2" xfId="21248" xr:uid="{00000000-0005-0000-0000-0000CE010000}"/>
    <cellStyle name="20% - Accent1 2 2 4 2 2 3 2 2" xfId="21217" xr:uid="{00000000-0005-0000-0000-0000CF010000}"/>
    <cellStyle name="20% - Accent1 2 2 4 2 2 3 3" xfId="21245" xr:uid="{00000000-0005-0000-0000-0000D0010000}"/>
    <cellStyle name="20% - Accent1 2 2 4 2 2 4" xfId="33321" xr:uid="{00000000-0005-0000-0000-0000D1010000}"/>
    <cellStyle name="20% - Accent1 2 2 4 2 2 4 2" xfId="21242" xr:uid="{00000000-0005-0000-0000-0000D2010000}"/>
    <cellStyle name="20% - Accent1 2 2 4 2 2 5" xfId="32716" xr:uid="{00000000-0005-0000-0000-0000D3010000}"/>
    <cellStyle name="20% - Accent1 2 2 4 2 3" xfId="5637" xr:uid="{00000000-0005-0000-0000-0000D4010000}"/>
    <cellStyle name="20% - Accent1 2 2 4 2 3 2" xfId="33306" xr:uid="{00000000-0005-0000-0000-0000D5010000}"/>
    <cellStyle name="20% - Accent1 2 2 4 2 3 2 2" xfId="21233" xr:uid="{00000000-0005-0000-0000-0000D6010000}"/>
    <cellStyle name="20% - Accent1 2 2 4 2 3 2 2 2" xfId="20698" xr:uid="{00000000-0005-0000-0000-0000D7010000}"/>
    <cellStyle name="20% - Accent1 2 2 4 2 3 2 3" xfId="21229" xr:uid="{00000000-0005-0000-0000-0000D8010000}"/>
    <cellStyle name="20% - Accent1 2 2 4 2 3 3" xfId="33291" xr:uid="{00000000-0005-0000-0000-0000D9010000}"/>
    <cellStyle name="20% - Accent1 2 2 4 2 3 3 2" xfId="21225" xr:uid="{00000000-0005-0000-0000-0000DA010000}"/>
    <cellStyle name="20% - Accent1 2 2 4 2 3 4" xfId="32647" xr:uid="{00000000-0005-0000-0000-0000DB010000}"/>
    <cellStyle name="20% - Accent1 2 2 4 2 4" xfId="33217" xr:uid="{00000000-0005-0000-0000-0000DC010000}"/>
    <cellStyle name="20% - Accent1 2 2 4 2 4 2" xfId="31993" xr:uid="{00000000-0005-0000-0000-0000DD010000}"/>
    <cellStyle name="20% - Accent1 2 2 4 2 4 2 2" xfId="24394" xr:uid="{00000000-0005-0000-0000-0000DE010000}"/>
    <cellStyle name="20% - Accent1 2 2 4 2 4 3" xfId="32622" xr:uid="{00000000-0005-0000-0000-0000DF010000}"/>
    <cellStyle name="20% - Accent1 2 2 4 2 5" xfId="29113" xr:uid="{00000000-0005-0000-0000-0000E0010000}"/>
    <cellStyle name="20% - Accent1 2 2 4 2 5 2" xfId="16823" xr:uid="{00000000-0005-0000-0000-0000E1010000}"/>
    <cellStyle name="20% - Accent1 2 2 4 2 6" xfId="32584" xr:uid="{00000000-0005-0000-0000-0000E2010000}"/>
    <cellStyle name="20% - Accent1 2 2 4 3" xfId="9421" xr:uid="{00000000-0005-0000-0000-0000E3010000}"/>
    <cellStyle name="20% - Accent1 2 2 4 3 2" xfId="5633" xr:uid="{00000000-0005-0000-0000-0000E4010000}"/>
    <cellStyle name="20% - Accent1 2 2 4 3 2 2" xfId="13514" xr:uid="{00000000-0005-0000-0000-0000E5010000}"/>
    <cellStyle name="20% - Accent1 2 2 4 3 2 2 2" xfId="23357" xr:uid="{00000000-0005-0000-0000-0000E6010000}"/>
    <cellStyle name="20% - Accent1 2 2 4 3 2 2 2 2" xfId="18430" xr:uid="{00000000-0005-0000-0000-0000E7010000}"/>
    <cellStyle name="20% - Accent1 2 2 4 3 2 2 3" xfId="21208" xr:uid="{00000000-0005-0000-0000-0000E8010000}"/>
    <cellStyle name="20% - Accent1 2 2 4 3 2 3" xfId="10512" xr:uid="{00000000-0005-0000-0000-0000E9010000}"/>
    <cellStyle name="20% - Accent1 2 2 4 3 2 3 2" xfId="10420" xr:uid="{00000000-0005-0000-0000-0000EA010000}"/>
    <cellStyle name="20% - Accent1 2 2 4 3 2 4" xfId="10506" xr:uid="{00000000-0005-0000-0000-0000EB010000}"/>
    <cellStyle name="20% - Accent1 2 2 4 3 3" xfId="25485" xr:uid="{00000000-0005-0000-0000-0000EC010000}"/>
    <cellStyle name="20% - Accent1 2 2 4 3 3 2" xfId="9141" xr:uid="{00000000-0005-0000-0000-0000ED010000}"/>
    <cellStyle name="20% - Accent1 2 2 4 3 3 2 2" xfId="21202" xr:uid="{00000000-0005-0000-0000-0000EE010000}"/>
    <cellStyle name="20% - Accent1 2 2 4 3 3 3" xfId="10497" xr:uid="{00000000-0005-0000-0000-0000EF010000}"/>
    <cellStyle name="20% - Accent1 2 2 4 3 4" xfId="22549" xr:uid="{00000000-0005-0000-0000-0000F0010000}"/>
    <cellStyle name="20% - Accent1 2 2 4 3 4 2" xfId="9137" xr:uid="{00000000-0005-0000-0000-0000F1010000}"/>
    <cellStyle name="20% - Accent1 2 2 4 3 5" xfId="18751" xr:uid="{00000000-0005-0000-0000-0000F2010000}"/>
    <cellStyle name="20% - Accent1 2 2 4 4" xfId="5631" xr:uid="{00000000-0005-0000-0000-0000F3010000}"/>
    <cellStyle name="20% - Accent1 2 2 4 4 2" xfId="13292" xr:uid="{00000000-0005-0000-0000-0000F4010000}"/>
    <cellStyle name="20% - Accent1 2 2 4 4 2 2" xfId="13287" xr:uid="{00000000-0005-0000-0000-0000F5010000}"/>
    <cellStyle name="20% - Accent1 2 2 4 4 2 2 2" xfId="23861" xr:uid="{00000000-0005-0000-0000-0000F6010000}"/>
    <cellStyle name="20% - Accent1 2 2 4 4 2 3" xfId="10440" xr:uid="{00000000-0005-0000-0000-0000F7010000}"/>
    <cellStyle name="20% - Accent1 2 2 4 4 3" xfId="24503" xr:uid="{00000000-0005-0000-0000-0000F8010000}"/>
    <cellStyle name="20% - Accent1 2 2 4 4 3 2" xfId="9112" xr:uid="{00000000-0005-0000-0000-0000F9010000}"/>
    <cellStyle name="20% - Accent1 2 2 4 4 4" xfId="13627" xr:uid="{00000000-0005-0000-0000-0000FA010000}"/>
    <cellStyle name="20% - Accent1 2 2 4 5" xfId="25405" xr:uid="{00000000-0005-0000-0000-0000FB010000}"/>
    <cellStyle name="20% - Accent1 2 2 4 5 2" xfId="19584" xr:uid="{00000000-0005-0000-0000-0000FC010000}"/>
    <cellStyle name="20% - Accent1 2 2 4 5 2 2" xfId="9097" xr:uid="{00000000-0005-0000-0000-0000FD010000}"/>
    <cellStyle name="20% - Accent1 2 2 4 5 3" xfId="13166" xr:uid="{00000000-0005-0000-0000-0000FE010000}"/>
    <cellStyle name="20% - Accent1 2 2 4 6" xfId="33025" xr:uid="{00000000-0005-0000-0000-0000FF010000}"/>
    <cellStyle name="20% - Accent1 2 2 4 6 2" xfId="13145" xr:uid="{00000000-0005-0000-0000-000000020000}"/>
    <cellStyle name="20% - Accent1 2 2 4 7" xfId="31103" xr:uid="{00000000-0005-0000-0000-000001020000}"/>
    <cellStyle name="20% - Accent1 2 2 5" xfId="5629" xr:uid="{00000000-0005-0000-0000-000002020000}"/>
    <cellStyle name="20% - Accent1 2 2 5 2" xfId="33158" xr:uid="{00000000-0005-0000-0000-000003020000}"/>
    <cellStyle name="20% - Accent1 2 2 5 2 2" xfId="29215" xr:uid="{00000000-0005-0000-0000-000004020000}"/>
    <cellStyle name="20% - Accent1 2 2 5 2 2 2" xfId="25019" xr:uid="{00000000-0005-0000-0000-000005020000}"/>
    <cellStyle name="20% - Accent1 2 2 5 2 2 2 2" xfId="23179" xr:uid="{00000000-0005-0000-0000-000006020000}"/>
    <cellStyle name="20% - Accent1 2 2 5 2 2 2 2 2" xfId="30999" xr:uid="{00000000-0005-0000-0000-000007020000}"/>
    <cellStyle name="20% - Accent1 2 2 5 2 2 2 3" xfId="23350" xr:uid="{00000000-0005-0000-0000-000008020000}"/>
    <cellStyle name="20% - Accent1 2 2 5 2 2 3" xfId="33079" xr:uid="{00000000-0005-0000-0000-000009020000}"/>
    <cellStyle name="20% - Accent1 2 2 5 2 2 3 2" xfId="23346" xr:uid="{00000000-0005-0000-0000-00000A020000}"/>
    <cellStyle name="20% - Accent1 2 2 5 2 2 4" xfId="32747" xr:uid="{00000000-0005-0000-0000-00000B020000}"/>
    <cellStyle name="20% - Accent1 2 2 5 2 3" xfId="26217" xr:uid="{00000000-0005-0000-0000-00000C020000}"/>
    <cellStyle name="20% - Accent1 2 2 5 2 3 2" xfId="16849" xr:uid="{00000000-0005-0000-0000-00000D020000}"/>
    <cellStyle name="20% - Accent1 2 2 5 2 3 2 2" xfId="23332" xr:uid="{00000000-0005-0000-0000-00000E020000}"/>
    <cellStyle name="20% - Accent1 2 2 5 2 3 3" xfId="32375" xr:uid="{00000000-0005-0000-0000-00000F020000}"/>
    <cellStyle name="20% - Accent1 2 2 5 2 4" xfId="27253" xr:uid="{00000000-0005-0000-0000-000010020000}"/>
    <cellStyle name="20% - Accent1 2 2 5 2 4 2" xfId="27309" xr:uid="{00000000-0005-0000-0000-000011020000}"/>
    <cellStyle name="20% - Accent1 2 2 5 2 5" xfId="31116" xr:uid="{00000000-0005-0000-0000-000012020000}"/>
    <cellStyle name="20% - Accent1 2 2 5 3" xfId="11245" xr:uid="{00000000-0005-0000-0000-000013020000}"/>
    <cellStyle name="20% - Accent1 2 2 5 3 2" xfId="13051" xr:uid="{00000000-0005-0000-0000-000014020000}"/>
    <cellStyle name="20% - Accent1 2 2 5 3 2 2" xfId="13048" xr:uid="{00000000-0005-0000-0000-000015020000}"/>
    <cellStyle name="20% - Accent1 2 2 5 3 2 2 2" xfId="29261" xr:uid="{00000000-0005-0000-0000-000016020000}"/>
    <cellStyle name="20% - Accent1 2 2 5 3 2 3" xfId="10370" xr:uid="{00000000-0005-0000-0000-000017020000}"/>
    <cellStyle name="20% - Accent1 2 2 5 3 3" xfId="25459" xr:uid="{00000000-0005-0000-0000-000018020000}"/>
    <cellStyle name="20% - Accent1 2 2 5 3 3 2" xfId="9066" xr:uid="{00000000-0005-0000-0000-000019020000}"/>
    <cellStyle name="20% - Accent1 2 2 5 3 4" xfId="13585" xr:uid="{00000000-0005-0000-0000-00001A020000}"/>
    <cellStyle name="20% - Accent1 2 2 5 4" xfId="33280" xr:uid="{00000000-0005-0000-0000-00001B020000}"/>
    <cellStyle name="20% - Accent1 2 2 5 4 2" xfId="12967" xr:uid="{00000000-0005-0000-0000-00001C020000}"/>
    <cellStyle name="20% - Accent1 2 2 5 4 2 2" xfId="9058" xr:uid="{00000000-0005-0000-0000-00001D020000}"/>
    <cellStyle name="20% - Accent1 2 2 5 4 3" xfId="12952" xr:uid="{00000000-0005-0000-0000-00001E020000}"/>
    <cellStyle name="20% - Accent1 2 2 5 5" xfId="32696" xr:uid="{00000000-0005-0000-0000-00001F020000}"/>
    <cellStyle name="20% - Accent1 2 2 5 5 2" xfId="12929" xr:uid="{00000000-0005-0000-0000-000020020000}"/>
    <cellStyle name="20% - Accent1 2 2 5 6" xfId="30592" xr:uid="{00000000-0005-0000-0000-000021020000}"/>
    <cellStyle name="20% - Accent1 2 2 6" xfId="5627" xr:uid="{00000000-0005-0000-0000-000022020000}"/>
    <cellStyle name="20% - Accent1 2 2 6 2" xfId="11213" xr:uid="{00000000-0005-0000-0000-000023020000}"/>
    <cellStyle name="20% - Accent1 2 2 6 2 2" xfId="27601" xr:uid="{00000000-0005-0000-0000-000024020000}"/>
    <cellStyle name="20% - Accent1 2 2 6 2 2 2" xfId="24470" xr:uid="{00000000-0005-0000-0000-000025020000}"/>
    <cellStyle name="20% - Accent1 2 2 6 2 2 2 2" xfId="23127" xr:uid="{00000000-0005-0000-0000-000026020000}"/>
    <cellStyle name="20% - Accent1 2 2 6 2 2 3" xfId="18702" xr:uid="{00000000-0005-0000-0000-000027020000}"/>
    <cellStyle name="20% - Accent1 2 2 6 2 3" xfId="26043" xr:uid="{00000000-0005-0000-0000-000028020000}"/>
    <cellStyle name="20% - Accent1 2 2 6 2 3 2" xfId="18692" xr:uid="{00000000-0005-0000-0000-000029020000}"/>
    <cellStyle name="20% - Accent1 2 2 6 2 4" xfId="31085" xr:uid="{00000000-0005-0000-0000-00002A020000}"/>
    <cellStyle name="20% - Accent1 2 2 6 3" xfId="32177" xr:uid="{00000000-0005-0000-0000-00002B020000}"/>
    <cellStyle name="20% - Accent1 2 2 6 3 2" xfId="14749" xr:uid="{00000000-0005-0000-0000-00002C020000}"/>
    <cellStyle name="20% - Accent1 2 2 6 3 2 2" xfId="9023" xr:uid="{00000000-0005-0000-0000-00002D020000}"/>
    <cellStyle name="20% - Accent1 2 2 6 3 3" xfId="14732" xr:uid="{00000000-0005-0000-0000-00002E020000}"/>
    <cellStyle name="20% - Accent1 2 2 6 4" xfId="32524" xr:uid="{00000000-0005-0000-0000-00002F020000}"/>
    <cellStyle name="20% - Accent1 2 2 6 4 2" xfId="14691" xr:uid="{00000000-0005-0000-0000-000030020000}"/>
    <cellStyle name="20% - Accent1 2 2 6 5" xfId="32656" xr:uid="{00000000-0005-0000-0000-000031020000}"/>
    <cellStyle name="20% - Accent1 2 2 7" xfId="5625" xr:uid="{00000000-0005-0000-0000-000032020000}"/>
    <cellStyle name="20% - Accent1 2 2 7 2" xfId="25108" xr:uid="{00000000-0005-0000-0000-000033020000}"/>
    <cellStyle name="20% - Accent1 2 2 7 2 2" xfId="25106" xr:uid="{00000000-0005-0000-0000-000034020000}"/>
    <cellStyle name="20% - Accent1 2 2 7 2 2 2" xfId="19047" xr:uid="{00000000-0005-0000-0000-000035020000}"/>
    <cellStyle name="20% - Accent1 2 2 7 2 3" xfId="32105" xr:uid="{00000000-0005-0000-0000-000036020000}"/>
    <cellStyle name="20% - Accent1 2 2 7 3" xfId="29156" xr:uid="{00000000-0005-0000-0000-000037020000}"/>
    <cellStyle name="20% - Accent1 2 2 7 3 2" xfId="14281" xr:uid="{00000000-0005-0000-0000-000038020000}"/>
    <cellStyle name="20% - Accent1 2 2 7 4" xfId="29152" xr:uid="{00000000-0005-0000-0000-000039020000}"/>
    <cellStyle name="20% - Accent1 2 2 8" xfId="32074" xr:uid="{00000000-0005-0000-0000-00003A020000}"/>
    <cellStyle name="20% - Accent1 2 2 8 2" xfId="30662" xr:uid="{00000000-0005-0000-0000-00003B020000}"/>
    <cellStyle name="20% - Accent1 2 2 8 2 2" xfId="25768" xr:uid="{00000000-0005-0000-0000-00003C020000}"/>
    <cellStyle name="20% - Accent1 2 2 8 3" xfId="29143" xr:uid="{00000000-0005-0000-0000-00003D020000}"/>
    <cellStyle name="20% - Accent1 2 2 9" xfId="32581" xr:uid="{00000000-0005-0000-0000-00003E020000}"/>
    <cellStyle name="20% - Accent1 2 2 9 2" xfId="28559" xr:uid="{00000000-0005-0000-0000-00003F020000}"/>
    <cellStyle name="20% - Accent1 2 3" xfId="200" xr:uid="{00000000-0005-0000-0000-000040020000}"/>
    <cellStyle name="20% - Accent1 2 3 10" xfId="34535" xr:uid="{00000000-0005-0000-0000-000041020000}"/>
    <cellStyle name="20% - Accent1 2 3 11" xfId="30786" xr:uid="{00000000-0005-0000-0000-000042020000}"/>
    <cellStyle name="20% - Accent1 2 3 2" xfId="31373" xr:uid="{00000000-0005-0000-0000-000043020000}"/>
    <cellStyle name="20% - Accent1 2 3 2 2" xfId="31120" xr:uid="{00000000-0005-0000-0000-000044020000}"/>
    <cellStyle name="20% - Accent1 2 3 2 2 2" xfId="25746" xr:uid="{00000000-0005-0000-0000-000045020000}"/>
    <cellStyle name="20% - Accent1 2 3 2 2 2 2" xfId="25793" xr:uid="{00000000-0005-0000-0000-000046020000}"/>
    <cellStyle name="20% - Accent1 2 3 2 2 2 2 2" xfId="29206" xr:uid="{00000000-0005-0000-0000-000047020000}"/>
    <cellStyle name="20% - Accent1 2 3 2 2 2 2 2 2" xfId="16639" xr:uid="{00000000-0005-0000-0000-000048020000}"/>
    <cellStyle name="20% - Accent1 2 3 2 2 2 2 2 2 2" xfId="22347" xr:uid="{00000000-0005-0000-0000-000049020000}"/>
    <cellStyle name="20% - Accent1 2 3 2 2 2 2 2 2 2 2" xfId="18443" xr:uid="{00000000-0005-0000-0000-00004A020000}"/>
    <cellStyle name="20% - Accent1 2 3 2 2 2 2 2 2 3" xfId="26139" xr:uid="{00000000-0005-0000-0000-00004B020000}"/>
    <cellStyle name="20% - Accent1 2 3 2 2 2 2 2 3" xfId="27648" xr:uid="{00000000-0005-0000-0000-00004C020000}"/>
    <cellStyle name="20% - Accent1 2 3 2 2 2 2 2 3 2" xfId="26133" xr:uid="{00000000-0005-0000-0000-00004D020000}"/>
    <cellStyle name="20% - Accent1 2 3 2 2 2 2 2 4" xfId="33552" xr:uid="{00000000-0005-0000-0000-00004E020000}"/>
    <cellStyle name="20% - Accent1 2 3 2 2 2 2 3" xfId="21983" xr:uid="{00000000-0005-0000-0000-00004F020000}"/>
    <cellStyle name="20% - Accent1 2 3 2 2 2 2 3 2" xfId="31354" xr:uid="{00000000-0005-0000-0000-000050020000}"/>
    <cellStyle name="20% - Accent1 2 3 2 2 2 2 3 2 2" xfId="26124" xr:uid="{00000000-0005-0000-0000-000051020000}"/>
    <cellStyle name="20% - Accent1 2 3 2 2 2 2 3 3" xfId="33004" xr:uid="{00000000-0005-0000-0000-000052020000}"/>
    <cellStyle name="20% - Accent1 2 3 2 2 2 2 4" xfId="20765" xr:uid="{00000000-0005-0000-0000-000053020000}"/>
    <cellStyle name="20% - Accent1 2 3 2 2 2 2 4 2" xfId="31840" xr:uid="{00000000-0005-0000-0000-000054020000}"/>
    <cellStyle name="20% - Accent1 2 3 2 2 2 2 5" xfId="20653" xr:uid="{00000000-0005-0000-0000-000055020000}"/>
    <cellStyle name="20% - Accent1 2 3 2 2 2 3" xfId="24859" xr:uid="{00000000-0005-0000-0000-000056020000}"/>
    <cellStyle name="20% - Accent1 2 3 2 2 2 3 2" xfId="21960" xr:uid="{00000000-0005-0000-0000-000057020000}"/>
    <cellStyle name="20% - Accent1 2 3 2 2 2 3 2 2" xfId="31347" xr:uid="{00000000-0005-0000-0000-000058020000}"/>
    <cellStyle name="20% - Accent1 2 3 2 2 2 3 2 2 2" xfId="26108" xr:uid="{00000000-0005-0000-0000-000059020000}"/>
    <cellStyle name="20% - Accent1 2 3 2 2 2 3 2 3" xfId="28196" xr:uid="{00000000-0005-0000-0000-00005A020000}"/>
    <cellStyle name="20% - Accent1 2 3 2 2 2 3 3" xfId="21952" xr:uid="{00000000-0005-0000-0000-00005B020000}"/>
    <cellStyle name="20% - Accent1 2 3 2 2 2 3 3 2" xfId="33721" xr:uid="{00000000-0005-0000-0000-00005C020000}"/>
    <cellStyle name="20% - Accent1 2 3 2 2 2 3 4" xfId="20456" xr:uid="{00000000-0005-0000-0000-00005D020000}"/>
    <cellStyle name="20% - Accent1 2 3 2 2 2 4" xfId="24828" xr:uid="{00000000-0005-0000-0000-00005E020000}"/>
    <cellStyle name="20% - Accent1 2 3 2 2 2 4 2" xfId="21937" xr:uid="{00000000-0005-0000-0000-00005F020000}"/>
    <cellStyle name="20% - Accent1 2 3 2 2 2 4 2 2" xfId="33717" xr:uid="{00000000-0005-0000-0000-000060020000}"/>
    <cellStyle name="20% - Accent1 2 3 2 2 2 4 3" xfId="20967" xr:uid="{00000000-0005-0000-0000-000061020000}"/>
    <cellStyle name="20% - Accent1 2 3 2 2 2 5" xfId="31524" xr:uid="{00000000-0005-0000-0000-000062020000}"/>
    <cellStyle name="20% - Accent1 2 3 2 2 2 5 2" xfId="20962" xr:uid="{00000000-0005-0000-0000-000063020000}"/>
    <cellStyle name="20% - Accent1 2 3 2 2 2 6" xfId="33109" xr:uid="{00000000-0005-0000-0000-000064020000}"/>
    <cellStyle name="20% - Accent1 2 3 2 2 3" xfId="23057" xr:uid="{00000000-0005-0000-0000-000065020000}"/>
    <cellStyle name="20% - Accent1 2 3 2 2 3 2" xfId="24818" xr:uid="{00000000-0005-0000-0000-000066020000}"/>
    <cellStyle name="20% - Accent1 2 3 2 2 3 2 2" xfId="21781" xr:uid="{00000000-0005-0000-0000-000067020000}"/>
    <cellStyle name="20% - Accent1 2 3 2 2 3 2 2 2" xfId="31200" xr:uid="{00000000-0005-0000-0000-000068020000}"/>
    <cellStyle name="20% - Accent1 2 3 2 2 3 2 2 2 2" xfId="25961" xr:uid="{00000000-0005-0000-0000-000069020000}"/>
    <cellStyle name="20% - Accent1 2 3 2 2 3 2 2 3" xfId="32844" xr:uid="{00000000-0005-0000-0000-00006A020000}"/>
    <cellStyle name="20% - Accent1 2 3 2 2 3 2 3" xfId="21770" xr:uid="{00000000-0005-0000-0000-00006B020000}"/>
    <cellStyle name="20% - Accent1 2 3 2 2 3 2 3 2" xfId="34064" xr:uid="{00000000-0005-0000-0000-00006C020000}"/>
    <cellStyle name="20% - Accent1 2 3 2 2 3 2 4" xfId="19144" xr:uid="{00000000-0005-0000-0000-00006D020000}"/>
    <cellStyle name="20% - Accent1 2 3 2 2 3 3" xfId="26760" xr:uid="{00000000-0005-0000-0000-00006E020000}"/>
    <cellStyle name="20% - Accent1 2 3 2 2 3 3 2" xfId="21750" xr:uid="{00000000-0005-0000-0000-00006F020000}"/>
    <cellStyle name="20% - Accent1 2 3 2 2 3 3 2 2" xfId="32100" xr:uid="{00000000-0005-0000-0000-000070020000}"/>
    <cellStyle name="20% - Accent1 2 3 2 2 3 3 3" xfId="20958" xr:uid="{00000000-0005-0000-0000-000071020000}"/>
    <cellStyle name="20% - Accent1 2 3 2 2 3 4" xfId="34281" xr:uid="{00000000-0005-0000-0000-000072020000}"/>
    <cellStyle name="20% - Accent1 2 3 2 2 3 4 2" xfId="20953" xr:uid="{00000000-0005-0000-0000-000073020000}"/>
    <cellStyle name="20% - Accent1 2 3 2 2 3 5" xfId="29913" xr:uid="{00000000-0005-0000-0000-000074020000}"/>
    <cellStyle name="20% - Accent1 2 3 2 2 4" xfId="20474" xr:uid="{00000000-0005-0000-0000-000075020000}"/>
    <cellStyle name="20% - Accent1 2 3 2 2 4 2" xfId="28420" xr:uid="{00000000-0005-0000-0000-000076020000}"/>
    <cellStyle name="20% - Accent1 2 3 2 2 4 2 2" xfId="29126" xr:uid="{00000000-0005-0000-0000-000077020000}"/>
    <cellStyle name="20% - Accent1 2 3 2 2 4 2 2 2" xfId="33263" xr:uid="{00000000-0005-0000-0000-000078020000}"/>
    <cellStyle name="20% - Accent1 2 3 2 2 4 2 3" xfId="20945" xr:uid="{00000000-0005-0000-0000-000079020000}"/>
    <cellStyle name="20% - Accent1 2 3 2 2 4 3" xfId="32763" xr:uid="{00000000-0005-0000-0000-00007A020000}"/>
    <cellStyle name="20% - Accent1 2 3 2 2 4 3 2" xfId="29117" xr:uid="{00000000-0005-0000-0000-00007B020000}"/>
    <cellStyle name="20% - Accent1 2 3 2 2 4 4" xfId="32753" xr:uid="{00000000-0005-0000-0000-00007C020000}"/>
    <cellStyle name="20% - Accent1 2 3 2 2 5" xfId="22782" xr:uid="{00000000-0005-0000-0000-00007D020000}"/>
    <cellStyle name="20% - Accent1 2 3 2 2 5 2" xfId="32265" xr:uid="{00000000-0005-0000-0000-00007E020000}"/>
    <cellStyle name="20% - Accent1 2 3 2 2 5 2 2" xfId="20937" xr:uid="{00000000-0005-0000-0000-00007F020000}"/>
    <cellStyle name="20% - Accent1 2 3 2 2 5 3" xfId="33281" xr:uid="{00000000-0005-0000-0000-000080020000}"/>
    <cellStyle name="20% - Accent1 2 3 2 2 6" xfId="24319" xr:uid="{00000000-0005-0000-0000-000081020000}"/>
    <cellStyle name="20% - Accent1 2 3 2 2 6 2" xfId="34174" xr:uid="{00000000-0005-0000-0000-000082020000}"/>
    <cellStyle name="20% - Accent1 2 3 2 2 7" xfId="21959" xr:uid="{00000000-0005-0000-0000-000083020000}"/>
    <cellStyle name="20% - Accent1 2 3 2 3" xfId="33683" xr:uid="{00000000-0005-0000-0000-000084020000}"/>
    <cellStyle name="20% - Accent1 2 3 2 3 2" xfId="7546" xr:uid="{00000000-0005-0000-0000-000085020000}"/>
    <cellStyle name="20% - Accent1 2 3 2 3 2 2" xfId="7543" xr:uid="{00000000-0005-0000-0000-000086020000}"/>
    <cellStyle name="20% - Accent1 2 3 2 3 2 2 2" xfId="21451" xr:uid="{00000000-0005-0000-0000-000087020000}"/>
    <cellStyle name="20% - Accent1 2 3 2 3 2 2 2 2" xfId="30280" xr:uid="{00000000-0005-0000-0000-000088020000}"/>
    <cellStyle name="20% - Accent1 2 3 2 3 2 2 2 2 2" xfId="24604" xr:uid="{00000000-0005-0000-0000-000089020000}"/>
    <cellStyle name="20% - Accent1 2 3 2 3 2 2 2 3" xfId="30723" xr:uid="{00000000-0005-0000-0000-00008A020000}"/>
    <cellStyle name="20% - Accent1 2 3 2 3 2 2 3" xfId="21447" xr:uid="{00000000-0005-0000-0000-00008B020000}"/>
    <cellStyle name="20% - Accent1 2 3 2 3 2 2 3 2" xfId="33672" xr:uid="{00000000-0005-0000-0000-00008C020000}"/>
    <cellStyle name="20% - Accent1 2 3 2 3 2 2 4" xfId="22405" xr:uid="{00000000-0005-0000-0000-00008D020000}"/>
    <cellStyle name="20% - Accent1 2 3 2 3 2 3" xfId="10127" xr:uid="{00000000-0005-0000-0000-00008E020000}"/>
    <cellStyle name="20% - Accent1 2 3 2 3 2 3 2" xfId="21429" xr:uid="{00000000-0005-0000-0000-00008F020000}"/>
    <cellStyle name="20% - Accent1 2 3 2 3 2 3 2 2" xfId="32870" xr:uid="{00000000-0005-0000-0000-000090020000}"/>
    <cellStyle name="20% - Accent1 2 3 2 3 2 3 3" xfId="20889" xr:uid="{00000000-0005-0000-0000-000091020000}"/>
    <cellStyle name="20% - Accent1 2 3 2 3 2 4" xfId="10114" xr:uid="{00000000-0005-0000-0000-000092020000}"/>
    <cellStyle name="20% - Accent1 2 3 2 3 2 4 2" xfId="20886" xr:uid="{00000000-0005-0000-0000-000093020000}"/>
    <cellStyle name="20% - Accent1 2 3 2 3 2 5" xfId="10110" xr:uid="{00000000-0005-0000-0000-000094020000}"/>
    <cellStyle name="20% - Accent1 2 3 2 3 3" xfId="7524" xr:uid="{00000000-0005-0000-0000-000095020000}"/>
    <cellStyle name="20% - Accent1 2 3 2 3 3 2" xfId="7522" xr:uid="{00000000-0005-0000-0000-000096020000}"/>
    <cellStyle name="20% - Accent1 2 3 2 3 3 2 2" xfId="21379" xr:uid="{00000000-0005-0000-0000-000097020000}"/>
    <cellStyle name="20% - Accent1 2 3 2 3 3 2 2 2" xfId="34114" xr:uid="{00000000-0005-0000-0000-000098020000}"/>
    <cellStyle name="20% - Accent1 2 3 2 3 3 2 3" xfId="20880" xr:uid="{00000000-0005-0000-0000-000099020000}"/>
    <cellStyle name="20% - Accent1 2 3 2 3 3 3" xfId="10104" xr:uid="{00000000-0005-0000-0000-00009A020000}"/>
    <cellStyle name="20% - Accent1 2 3 2 3 3 3 2" xfId="20877" xr:uid="{00000000-0005-0000-0000-00009B020000}"/>
    <cellStyle name="20% - Accent1 2 3 2 3 3 4" xfId="10092" xr:uid="{00000000-0005-0000-0000-00009C020000}"/>
    <cellStyle name="20% - Accent1 2 3 2 3 4" xfId="7514" xr:uid="{00000000-0005-0000-0000-00009D020000}"/>
    <cellStyle name="20% - Accent1 2 3 2 3 4 2" xfId="7512" xr:uid="{00000000-0005-0000-0000-00009E020000}"/>
    <cellStyle name="20% - Accent1 2 3 2 3 4 2 2" xfId="20875" xr:uid="{00000000-0005-0000-0000-00009F020000}"/>
    <cellStyle name="20% - Accent1 2 3 2 3 4 3" xfId="10086" xr:uid="{00000000-0005-0000-0000-0000A0020000}"/>
    <cellStyle name="20% - Accent1 2 3 2 3 5" xfId="20074" xr:uid="{00000000-0005-0000-0000-0000A1020000}"/>
    <cellStyle name="20% - Accent1 2 3 2 3 5 2" xfId="7505" xr:uid="{00000000-0005-0000-0000-0000A2020000}"/>
    <cellStyle name="20% - Accent1 2 3 2 3 6" xfId="17640" xr:uid="{00000000-0005-0000-0000-0000A3020000}"/>
    <cellStyle name="20% - Accent1 2 3 2 4" xfId="6919" xr:uid="{00000000-0005-0000-0000-0000A4020000}"/>
    <cellStyle name="20% - Accent1 2 3 2 4 2" xfId="7476" xr:uid="{00000000-0005-0000-0000-0000A5020000}"/>
    <cellStyle name="20% - Accent1 2 3 2 4 2 2" xfId="7473" xr:uid="{00000000-0005-0000-0000-0000A6020000}"/>
    <cellStyle name="20% - Accent1 2 3 2 4 2 2 2" xfId="21238" xr:uid="{00000000-0005-0000-0000-0000A7020000}"/>
    <cellStyle name="20% - Accent1 2 3 2 4 2 2 2 2" xfId="33020" xr:uid="{00000000-0005-0000-0000-0000A8020000}"/>
    <cellStyle name="20% - Accent1 2 3 2 4 2 2 3" xfId="22180" xr:uid="{00000000-0005-0000-0000-0000A9020000}"/>
    <cellStyle name="20% - Accent1 2 3 2 4 2 3" xfId="10006" xr:uid="{00000000-0005-0000-0000-0000AA020000}"/>
    <cellStyle name="20% - Accent1 2 3 2 4 2 3 2" xfId="20833" xr:uid="{00000000-0005-0000-0000-0000AB020000}"/>
    <cellStyle name="20% - Accent1 2 3 2 4 2 4" xfId="9994" xr:uid="{00000000-0005-0000-0000-0000AC020000}"/>
    <cellStyle name="20% - Accent1 2 3 2 4 3" xfId="7466" xr:uid="{00000000-0005-0000-0000-0000AD020000}"/>
    <cellStyle name="20% - Accent1 2 3 2 4 3 2" xfId="7464" xr:uid="{00000000-0005-0000-0000-0000AE020000}"/>
    <cellStyle name="20% - Accent1 2 3 2 4 3 2 2" xfId="20830" xr:uid="{00000000-0005-0000-0000-0000AF020000}"/>
    <cellStyle name="20% - Accent1 2 3 2 4 3 3" xfId="9989" xr:uid="{00000000-0005-0000-0000-0000B0020000}"/>
    <cellStyle name="20% - Accent1 2 3 2 4 4" xfId="7459" xr:uid="{00000000-0005-0000-0000-0000B1020000}"/>
    <cellStyle name="20% - Accent1 2 3 2 4 4 2" xfId="7457" xr:uid="{00000000-0005-0000-0000-0000B2020000}"/>
    <cellStyle name="20% - Accent1 2 3 2 4 5" xfId="7454" xr:uid="{00000000-0005-0000-0000-0000B3020000}"/>
    <cellStyle name="20% - Accent1 2 3 2 5" xfId="33933" xr:uid="{00000000-0005-0000-0000-0000B4020000}"/>
    <cellStyle name="20% - Accent1 2 3 2 5 2" xfId="7429" xr:uid="{00000000-0005-0000-0000-0000B5020000}"/>
    <cellStyle name="20% - Accent1 2 3 2 5 2 2" xfId="7427" xr:uid="{00000000-0005-0000-0000-0000B6020000}"/>
    <cellStyle name="20% - Accent1 2 3 2 5 2 2 2" xfId="21443" xr:uid="{00000000-0005-0000-0000-0000B7020000}"/>
    <cellStyle name="20% - Accent1 2 3 2 5 2 3" xfId="21885" xr:uid="{00000000-0005-0000-0000-0000B8020000}"/>
    <cellStyle name="20% - Accent1 2 3 2 5 3" xfId="7422" xr:uid="{00000000-0005-0000-0000-0000B9020000}"/>
    <cellStyle name="20% - Accent1 2 3 2 5 3 2" xfId="32200" xr:uid="{00000000-0005-0000-0000-0000BA020000}"/>
    <cellStyle name="20% - Accent1 2 3 2 5 4" xfId="7417" xr:uid="{00000000-0005-0000-0000-0000BB020000}"/>
    <cellStyle name="20% - Accent1 2 3 2 6" xfId="31139" xr:uid="{00000000-0005-0000-0000-0000BC020000}"/>
    <cellStyle name="20% - Accent1 2 3 2 6 2" xfId="11779" xr:uid="{00000000-0005-0000-0000-0000BD020000}"/>
    <cellStyle name="20% - Accent1 2 3 2 6 2 2" xfId="7403" xr:uid="{00000000-0005-0000-0000-0000BE020000}"/>
    <cellStyle name="20% - Accent1 2 3 2 6 3" xfId="7399" xr:uid="{00000000-0005-0000-0000-0000BF020000}"/>
    <cellStyle name="20% - Accent1 2 3 2 7" xfId="31089" xr:uid="{00000000-0005-0000-0000-0000C0020000}"/>
    <cellStyle name="20% - Accent1 2 3 2 7 2" xfId="7389" xr:uid="{00000000-0005-0000-0000-0000C1020000}"/>
    <cellStyle name="20% - Accent1 2 3 2 8" xfId="25916" xr:uid="{00000000-0005-0000-0000-0000C2020000}"/>
    <cellStyle name="20% - Accent1 2 3 3" xfId="33553" xr:uid="{00000000-0005-0000-0000-0000C3020000}"/>
    <cellStyle name="20% - Accent1 2 3 3 2" xfId="33968" xr:uid="{00000000-0005-0000-0000-0000C4020000}"/>
    <cellStyle name="20% - Accent1 2 3 3 2 2" xfId="22933" xr:uid="{00000000-0005-0000-0000-0000C5020000}"/>
    <cellStyle name="20% - Accent1 2 3 3 2 2 2" xfId="22929" xr:uid="{00000000-0005-0000-0000-0000C6020000}"/>
    <cellStyle name="20% - Accent1 2 3 3 2 2 2 2" xfId="20964" xr:uid="{00000000-0005-0000-0000-0000C7020000}"/>
    <cellStyle name="20% - Accent1 2 3 3 2 2 2 2 2" xfId="12568" xr:uid="{00000000-0005-0000-0000-0000C8020000}"/>
    <cellStyle name="20% - Accent1 2 3 3 2 2 2 2 2 2" xfId="28640" xr:uid="{00000000-0005-0000-0000-0000C9020000}"/>
    <cellStyle name="20% - Accent1 2 3 3 2 2 2 2 3" xfId="6684" xr:uid="{00000000-0005-0000-0000-0000CA020000}"/>
    <cellStyle name="20% - Accent1 2 3 3 2 2 2 3" xfId="28829" xr:uid="{00000000-0005-0000-0000-0000CB020000}"/>
    <cellStyle name="20% - Accent1 2 3 3 2 2 2 3 2" xfId="16038" xr:uid="{00000000-0005-0000-0000-0000CC020000}"/>
    <cellStyle name="20% - Accent1 2 3 3 2 2 2 4" xfId="20717" xr:uid="{00000000-0005-0000-0000-0000CD020000}"/>
    <cellStyle name="20% - Accent1 2 3 3 2 2 3" xfId="29701" xr:uid="{00000000-0005-0000-0000-0000CE020000}"/>
    <cellStyle name="20% - Accent1 2 3 3 2 2 3 2" xfId="20949" xr:uid="{00000000-0005-0000-0000-0000CF020000}"/>
    <cellStyle name="20% - Accent1 2 3 3 2 2 3 2 2" xfId="10492" xr:uid="{00000000-0005-0000-0000-0000D0020000}"/>
    <cellStyle name="20% - Accent1 2 3 3 2 2 3 3" xfId="20713" xr:uid="{00000000-0005-0000-0000-0000D1020000}"/>
    <cellStyle name="20% - Accent1 2 3 3 2 2 4" xfId="29692" xr:uid="{00000000-0005-0000-0000-0000D2020000}"/>
    <cellStyle name="20% - Accent1 2 3 3 2 2 4 2" xfId="20710" xr:uid="{00000000-0005-0000-0000-0000D3020000}"/>
    <cellStyle name="20% - Accent1 2 3 3 2 2 5" xfId="33594" xr:uid="{00000000-0005-0000-0000-0000D4020000}"/>
    <cellStyle name="20% - Accent1 2 3 3 2 3" xfId="22920" xr:uid="{00000000-0005-0000-0000-0000D5020000}"/>
    <cellStyle name="20% - Accent1 2 3 3 2 3 2" xfId="22916" xr:uid="{00000000-0005-0000-0000-0000D6020000}"/>
    <cellStyle name="20% - Accent1 2 3 3 2 3 2 2" xfId="20884" xr:uid="{00000000-0005-0000-0000-0000D7020000}"/>
    <cellStyle name="20% - Accent1 2 3 3 2 3 2 2 2" xfId="33584" xr:uid="{00000000-0005-0000-0000-0000D8020000}"/>
    <cellStyle name="20% - Accent1 2 3 3 2 3 2 3" xfId="20708" xr:uid="{00000000-0005-0000-0000-0000D9020000}"/>
    <cellStyle name="20% - Accent1 2 3 3 2 3 3" xfId="29683" xr:uid="{00000000-0005-0000-0000-0000DA020000}"/>
    <cellStyle name="20% - Accent1 2 3 3 2 3 3 2" xfId="28779" xr:uid="{00000000-0005-0000-0000-0000DB020000}"/>
    <cellStyle name="20% - Accent1 2 3 3 2 3 4" xfId="33971" xr:uid="{00000000-0005-0000-0000-0000DC020000}"/>
    <cellStyle name="20% - Accent1 2 3 3 2 4" xfId="27618" xr:uid="{00000000-0005-0000-0000-0000DD020000}"/>
    <cellStyle name="20% - Accent1 2 3 3 2 4 2" xfId="25053" xr:uid="{00000000-0005-0000-0000-0000DE020000}"/>
    <cellStyle name="20% - Accent1 2 3 3 2 4 2 2" xfId="20701" xr:uid="{00000000-0005-0000-0000-0000DF020000}"/>
    <cellStyle name="20% - Accent1 2 3 3 2 4 3" xfId="28521" xr:uid="{00000000-0005-0000-0000-0000E0020000}"/>
    <cellStyle name="20% - Accent1 2 3 3 2 5" xfId="33575" xr:uid="{00000000-0005-0000-0000-0000E1020000}"/>
    <cellStyle name="20% - Accent1 2 3 3 2 5 2" xfId="34131" xr:uid="{00000000-0005-0000-0000-0000E2020000}"/>
    <cellStyle name="20% - Accent1 2 3 3 2 6" xfId="33570" xr:uid="{00000000-0005-0000-0000-0000E3020000}"/>
    <cellStyle name="20% - Accent1 2 3 3 3" xfId="33774" xr:uid="{00000000-0005-0000-0000-0000E4020000}"/>
    <cellStyle name="20% - Accent1 2 3 3 3 2" xfId="22621" xr:uid="{00000000-0005-0000-0000-0000E5020000}"/>
    <cellStyle name="20% - Accent1 2 3 3 3 2 2" xfId="21627" xr:uid="{00000000-0005-0000-0000-0000E6020000}"/>
    <cellStyle name="20% - Accent1 2 3 3 3 2 2 2" xfId="27165" xr:uid="{00000000-0005-0000-0000-0000E7020000}"/>
    <cellStyle name="20% - Accent1 2 3 3 3 2 2 2 2" xfId="24167" xr:uid="{00000000-0005-0000-0000-0000E8020000}"/>
    <cellStyle name="20% - Accent1 2 3 3 3 2 2 3" xfId="27157" xr:uid="{00000000-0005-0000-0000-0000E9020000}"/>
    <cellStyle name="20% - Accent1 2 3 3 3 2 3" xfId="9821" xr:uid="{00000000-0005-0000-0000-0000EA020000}"/>
    <cellStyle name="20% - Accent1 2 3 3 3 2 3 2" xfId="28564" xr:uid="{00000000-0005-0000-0000-0000EB020000}"/>
    <cellStyle name="20% - Accent1 2 3 3 3 2 4" xfId="9805" xr:uid="{00000000-0005-0000-0000-0000EC020000}"/>
    <cellStyle name="20% - Accent1 2 3 3 3 3" xfId="22615" xr:uid="{00000000-0005-0000-0000-0000ED020000}"/>
    <cellStyle name="20% - Accent1 2 3 3 3 3 2" xfId="7322" xr:uid="{00000000-0005-0000-0000-0000EE020000}"/>
    <cellStyle name="20% - Accent1 2 3 3 3 3 2 2" xfId="27137" xr:uid="{00000000-0005-0000-0000-0000EF020000}"/>
    <cellStyle name="20% - Accent1 2 3 3 3 3 3" xfId="9798" xr:uid="{00000000-0005-0000-0000-0000F0020000}"/>
    <cellStyle name="20% - Accent1 2 3 3 3 4" xfId="7315" xr:uid="{00000000-0005-0000-0000-0000F1020000}"/>
    <cellStyle name="20% - Accent1 2 3 3 3 4 2" xfId="6319" xr:uid="{00000000-0005-0000-0000-0000F2020000}"/>
    <cellStyle name="20% - Accent1 2 3 3 3 5" xfId="7309" xr:uid="{00000000-0005-0000-0000-0000F3020000}"/>
    <cellStyle name="20% - Accent1 2 3 3 4" xfId="25388" xr:uid="{00000000-0005-0000-0000-0000F4020000}"/>
    <cellStyle name="20% - Accent1 2 3 3 4 2" xfId="23363" xr:uid="{00000000-0005-0000-0000-0000F5020000}"/>
    <cellStyle name="20% - Accent1 2 3 3 4 2 2" xfId="14510" xr:uid="{00000000-0005-0000-0000-0000F6020000}"/>
    <cellStyle name="20% - Accent1 2 3 3 4 2 2 2" xfId="26927" xr:uid="{00000000-0005-0000-0000-0000F7020000}"/>
    <cellStyle name="20% - Accent1 2 3 3 4 2 3" xfId="9738" xr:uid="{00000000-0005-0000-0000-0000F8020000}"/>
    <cellStyle name="20% - Accent1 2 3 3 4 3" xfId="7285" xr:uid="{00000000-0005-0000-0000-0000F9020000}"/>
    <cellStyle name="20% - Accent1 2 3 3 4 3 2" xfId="7282" xr:uid="{00000000-0005-0000-0000-0000FA020000}"/>
    <cellStyle name="20% - Accent1 2 3 3 4 4" xfId="7278" xr:uid="{00000000-0005-0000-0000-0000FB020000}"/>
    <cellStyle name="20% - Accent1 2 3 3 5" xfId="25385" xr:uid="{00000000-0005-0000-0000-0000FC020000}"/>
    <cellStyle name="20% - Accent1 2 3 3 5 2" xfId="7261" xr:uid="{00000000-0005-0000-0000-0000FD020000}"/>
    <cellStyle name="20% - Accent1 2 3 3 5 2 2" xfId="7259" xr:uid="{00000000-0005-0000-0000-0000FE020000}"/>
    <cellStyle name="20% - Accent1 2 3 3 5 3" xfId="28737" xr:uid="{00000000-0005-0000-0000-0000FF020000}"/>
    <cellStyle name="20% - Accent1 2 3 3 6" xfId="32522" xr:uid="{00000000-0005-0000-0000-000000030000}"/>
    <cellStyle name="20% - Accent1 2 3 3 6 2" xfId="7246" xr:uid="{00000000-0005-0000-0000-000001030000}"/>
    <cellStyle name="20% - Accent1 2 3 3 7" xfId="31084" xr:uid="{00000000-0005-0000-0000-000002030000}"/>
    <cellStyle name="20% - Accent1 2 3 4" xfId="32049" xr:uid="{00000000-0005-0000-0000-000003030000}"/>
    <cellStyle name="20% - Accent1 2 3 4 2" xfId="24725" xr:uid="{00000000-0005-0000-0000-000004030000}"/>
    <cellStyle name="20% - Accent1 2 3 4 2 2" xfId="32032" xr:uid="{00000000-0005-0000-0000-000005030000}"/>
    <cellStyle name="20% - Accent1 2 3 4 2 2 2" xfId="29461" xr:uid="{00000000-0005-0000-0000-000006030000}"/>
    <cellStyle name="20% - Accent1 2 3 4 2 2 2 2" xfId="16956" xr:uid="{00000000-0005-0000-0000-000007030000}"/>
    <cellStyle name="20% - Accent1 2 3 4 2 2 2 2 2" xfId="26892" xr:uid="{00000000-0005-0000-0000-000008030000}"/>
    <cellStyle name="20% - Accent1 2 3 4 2 2 2 3" xfId="21692" xr:uid="{00000000-0005-0000-0000-000009030000}"/>
    <cellStyle name="20% - Accent1 2 3 4 2 2 3" xfId="29624" xr:uid="{00000000-0005-0000-0000-00000A030000}"/>
    <cellStyle name="20% - Accent1 2 3 4 2 2 3 2" xfId="20632" xr:uid="{00000000-0005-0000-0000-00000B030000}"/>
    <cellStyle name="20% - Accent1 2 3 4 2 2 4" xfId="20016" xr:uid="{00000000-0005-0000-0000-00000C030000}"/>
    <cellStyle name="20% - Accent1 2 3 4 2 3" xfId="29854" xr:uid="{00000000-0005-0000-0000-00000D030000}"/>
    <cellStyle name="20% - Accent1 2 3 4 2 3 2" xfId="31684" xr:uid="{00000000-0005-0000-0000-00000E030000}"/>
    <cellStyle name="20% - Accent1 2 3 4 2 3 2 2" xfId="20628" xr:uid="{00000000-0005-0000-0000-00000F030000}"/>
    <cellStyle name="20% - Accent1 2 3 4 2 3 3" xfId="33771" xr:uid="{00000000-0005-0000-0000-000010030000}"/>
    <cellStyle name="20% - Accent1 2 3 4 2 4" xfId="31194" xr:uid="{00000000-0005-0000-0000-000011030000}"/>
    <cellStyle name="20% - Accent1 2 3 4 2 4 2" xfId="34051" xr:uid="{00000000-0005-0000-0000-000012030000}"/>
    <cellStyle name="20% - Accent1 2 3 4 2 5" xfId="31962" xr:uid="{00000000-0005-0000-0000-000013030000}"/>
    <cellStyle name="20% - Accent1 2 3 4 3" xfId="24721" xr:uid="{00000000-0005-0000-0000-000014030000}"/>
    <cellStyle name="20% - Accent1 2 3 4 3 2" xfId="12633" xr:uid="{00000000-0005-0000-0000-000015030000}"/>
    <cellStyle name="20% - Accent1 2 3 4 3 2 2" xfId="7222" xr:uid="{00000000-0005-0000-0000-000016030000}"/>
    <cellStyle name="20% - Accent1 2 3 4 3 2 2 2" xfId="26098" xr:uid="{00000000-0005-0000-0000-000017030000}"/>
    <cellStyle name="20% - Accent1 2 3 4 3 2 3" xfId="9641" xr:uid="{00000000-0005-0000-0000-000018030000}"/>
    <cellStyle name="20% - Accent1 2 3 4 3 3" xfId="25444" xr:uid="{00000000-0005-0000-0000-000019030000}"/>
    <cellStyle name="20% - Accent1 2 3 4 3 3 2" xfId="7215" xr:uid="{00000000-0005-0000-0000-00001A030000}"/>
    <cellStyle name="20% - Accent1 2 3 4 3 4" xfId="21809" xr:uid="{00000000-0005-0000-0000-00001B030000}"/>
    <cellStyle name="20% - Accent1 2 3 4 4" xfId="25373" xr:uid="{00000000-0005-0000-0000-00001C030000}"/>
    <cellStyle name="20% - Accent1 2 3 4 4 2" xfId="12519" xr:uid="{00000000-0005-0000-0000-00001D030000}"/>
    <cellStyle name="20% - Accent1 2 3 4 4 2 2" xfId="7196" xr:uid="{00000000-0005-0000-0000-00001E030000}"/>
    <cellStyle name="20% - Accent1 2 3 4 4 3" xfId="21802" xr:uid="{00000000-0005-0000-0000-00001F030000}"/>
    <cellStyle name="20% - Accent1 2 3 4 5" xfId="32109" xr:uid="{00000000-0005-0000-0000-000020030000}"/>
    <cellStyle name="20% - Accent1 2 3 4 5 2" xfId="12465" xr:uid="{00000000-0005-0000-0000-000021030000}"/>
    <cellStyle name="20% - Accent1 2 3 4 6" xfId="31828" xr:uid="{00000000-0005-0000-0000-000022030000}"/>
    <cellStyle name="20% - Accent1 2 3 5" xfId="31799" xr:uid="{00000000-0005-0000-0000-000023030000}"/>
    <cellStyle name="20% - Accent1 2 3 5 2" xfId="24713" xr:uid="{00000000-0005-0000-0000-000024030000}"/>
    <cellStyle name="20% - Accent1 2 3 5 2 2" xfId="31792" xr:uid="{00000000-0005-0000-0000-000025030000}"/>
    <cellStyle name="20% - Accent1 2 3 5 2 2 2" xfId="26256" xr:uid="{00000000-0005-0000-0000-000026030000}"/>
    <cellStyle name="20% - Accent1 2 3 5 2 2 2 2" xfId="22785" xr:uid="{00000000-0005-0000-0000-000027030000}"/>
    <cellStyle name="20% - Accent1 2 3 5 2 2 3" xfId="31933" xr:uid="{00000000-0005-0000-0000-000028030000}"/>
    <cellStyle name="20% - Accent1 2 3 5 2 3" xfId="31756" xr:uid="{00000000-0005-0000-0000-000029030000}"/>
    <cellStyle name="20% - Accent1 2 3 5 2 3 2" xfId="26233" xr:uid="{00000000-0005-0000-0000-00002A030000}"/>
    <cellStyle name="20% - Accent1 2 3 5 2 4" xfId="31060" xr:uid="{00000000-0005-0000-0000-00002B030000}"/>
    <cellStyle name="20% - Accent1 2 3 5 3" xfId="31715" xr:uid="{00000000-0005-0000-0000-00002C030000}"/>
    <cellStyle name="20% - Accent1 2 3 5 3 2" xfId="12393" xr:uid="{00000000-0005-0000-0000-00002D030000}"/>
    <cellStyle name="20% - Accent1 2 3 5 3 2 2" xfId="7157" xr:uid="{00000000-0005-0000-0000-00002E030000}"/>
    <cellStyle name="20% - Accent1 2 3 5 3 3" xfId="12382" xr:uid="{00000000-0005-0000-0000-00002F030000}"/>
    <cellStyle name="20% - Accent1 2 3 5 4" xfId="32964" xr:uid="{00000000-0005-0000-0000-000030030000}"/>
    <cellStyle name="20% - Accent1 2 3 5 4 2" xfId="16966" xr:uid="{00000000-0005-0000-0000-000031030000}"/>
    <cellStyle name="20% - Accent1 2 3 5 5" xfId="33479" xr:uid="{00000000-0005-0000-0000-000032030000}"/>
    <cellStyle name="20% - Accent1 2 3 6" xfId="27845" xr:uid="{00000000-0005-0000-0000-000033030000}"/>
    <cellStyle name="20% - Accent1 2 3 6 2" xfId="22342" xr:uid="{00000000-0005-0000-0000-000034030000}"/>
    <cellStyle name="20% - Accent1 2 3 6 2 2" xfId="20372" xr:uid="{00000000-0005-0000-0000-000035030000}"/>
    <cellStyle name="20% - Accent1 2 3 6 2 2 2" xfId="18640" xr:uid="{00000000-0005-0000-0000-000036030000}"/>
    <cellStyle name="20% - Accent1 2 3 6 2 3" xfId="31653" xr:uid="{00000000-0005-0000-0000-000037030000}"/>
    <cellStyle name="20% - Accent1 2 3 6 3" xfId="31615" xr:uid="{00000000-0005-0000-0000-000038030000}"/>
    <cellStyle name="20% - Accent1 2 3 6 3 2" xfId="12769" xr:uid="{00000000-0005-0000-0000-000039030000}"/>
    <cellStyle name="20% - Accent1 2 3 6 4" xfId="32506" xr:uid="{00000000-0005-0000-0000-00003A030000}"/>
    <cellStyle name="20% - Accent1 2 3 7" xfId="23033" xr:uid="{00000000-0005-0000-0000-00003B030000}"/>
    <cellStyle name="20% - Accent1 2 3 7 2" xfId="23027" xr:uid="{00000000-0005-0000-0000-00003C030000}"/>
    <cellStyle name="20% - Accent1 2 3 7 2 2" xfId="31587" xr:uid="{00000000-0005-0000-0000-00003D030000}"/>
    <cellStyle name="20% - Accent1 2 3 7 3" xfId="22739" xr:uid="{00000000-0005-0000-0000-00003E030000}"/>
    <cellStyle name="20% - Accent1 2 3 8" xfId="16915" xr:uid="{00000000-0005-0000-0000-00003F030000}"/>
    <cellStyle name="20% - Accent1 2 3 8 2" xfId="23016" xr:uid="{00000000-0005-0000-0000-000040030000}"/>
    <cellStyle name="20% - Accent1 2 3 9" xfId="23446" xr:uid="{00000000-0005-0000-0000-000041030000}"/>
    <cellStyle name="20% - Accent1 2 4" xfId="29806" xr:uid="{00000000-0005-0000-0000-000042030000}"/>
    <cellStyle name="20% - Accent1 2 4 2" xfId="33003" xr:uid="{00000000-0005-0000-0000-000043030000}"/>
    <cellStyle name="20% - Accent1 2 4 2 2" xfId="34087" xr:uid="{00000000-0005-0000-0000-000044030000}"/>
    <cellStyle name="20% - Accent1 2 4 2 2 2" xfId="32976" xr:uid="{00000000-0005-0000-0000-000045030000}"/>
    <cellStyle name="20% - Accent1 2 4 2 2 2 2" xfId="31844" xr:uid="{00000000-0005-0000-0000-000046030000}"/>
    <cellStyle name="20% - Accent1 2 4 2 2 2 2 2" xfId="22319" xr:uid="{00000000-0005-0000-0000-000047030000}"/>
    <cellStyle name="20% - Accent1 2 4 2 2 2 2 2 2" xfId="27481" xr:uid="{00000000-0005-0000-0000-000048030000}"/>
    <cellStyle name="20% - Accent1 2 4 2 2 2 2 2 2 2" xfId="29014" xr:uid="{00000000-0005-0000-0000-000049030000}"/>
    <cellStyle name="20% - Accent1 2 4 2 2 2 2 2 3" xfId="22369" xr:uid="{00000000-0005-0000-0000-00004A030000}"/>
    <cellStyle name="20% - Accent1 2 4 2 2 2 2 3" xfId="22306" xr:uid="{00000000-0005-0000-0000-00004B030000}"/>
    <cellStyle name="20% - Accent1 2 4 2 2 2 2 3 2" xfId="27801" xr:uid="{00000000-0005-0000-0000-00004C030000}"/>
    <cellStyle name="20% - Accent1 2 4 2 2 2 2 4" xfId="18563" xr:uid="{00000000-0005-0000-0000-00004D030000}"/>
    <cellStyle name="20% - Accent1 2 4 2 2 2 3" xfId="31838" xr:uid="{00000000-0005-0000-0000-00004E030000}"/>
    <cellStyle name="20% - Accent1 2 4 2 2 2 3 2" xfId="22298" xr:uid="{00000000-0005-0000-0000-00004F030000}"/>
    <cellStyle name="20% - Accent1 2 4 2 2 2 3 2 2" xfId="27466" xr:uid="{00000000-0005-0000-0000-000050030000}"/>
    <cellStyle name="20% - Accent1 2 4 2 2 2 3 3" xfId="20529" xr:uid="{00000000-0005-0000-0000-000051030000}"/>
    <cellStyle name="20% - Accent1 2 4 2 2 2 4" xfId="33444" xr:uid="{00000000-0005-0000-0000-000052030000}"/>
    <cellStyle name="20% - Accent1 2 4 2 2 2 4 2" xfId="20519" xr:uid="{00000000-0005-0000-0000-000053030000}"/>
    <cellStyle name="20% - Accent1 2 4 2 2 2 5" xfId="32113" xr:uid="{00000000-0005-0000-0000-000054030000}"/>
    <cellStyle name="20% - Accent1 2 4 2 2 3" xfId="31824" xr:uid="{00000000-0005-0000-0000-000055030000}"/>
    <cellStyle name="20% - Accent1 2 4 2 2 3 2" xfId="33441" xr:uid="{00000000-0005-0000-0000-000056030000}"/>
    <cellStyle name="20% - Accent1 2 4 2 2 3 2 2" xfId="22242" xr:uid="{00000000-0005-0000-0000-000057030000}"/>
    <cellStyle name="20% - Accent1 2 4 2 2 3 2 2 2" xfId="33435" xr:uid="{00000000-0005-0000-0000-000058030000}"/>
    <cellStyle name="20% - Accent1 2 4 2 2 3 2 3" xfId="20510" xr:uid="{00000000-0005-0000-0000-000059030000}"/>
    <cellStyle name="20% - Accent1 2 4 2 2 3 3" xfId="33428" xr:uid="{00000000-0005-0000-0000-00005A030000}"/>
    <cellStyle name="20% - Accent1 2 4 2 2 3 3 2" xfId="5661" xr:uid="{00000000-0005-0000-0000-00005B030000}"/>
    <cellStyle name="20% - Accent1 2 4 2 2 3 4" xfId="33413" xr:uid="{00000000-0005-0000-0000-00005C030000}"/>
    <cellStyle name="20% - Accent1 2 4 2 2 4" xfId="22719" xr:uid="{00000000-0005-0000-0000-00005D030000}"/>
    <cellStyle name="20% - Accent1 2 4 2 2 4 2" xfId="33405" xr:uid="{00000000-0005-0000-0000-00005E030000}"/>
    <cellStyle name="20% - Accent1 2 4 2 2 4 2 2" xfId="20500" xr:uid="{00000000-0005-0000-0000-00005F030000}"/>
    <cellStyle name="20% - Accent1 2 4 2 2 4 3" xfId="26611" xr:uid="{00000000-0005-0000-0000-000060030000}"/>
    <cellStyle name="20% - Accent1 2 4 2 2 5" xfId="31800" xr:uid="{00000000-0005-0000-0000-000061030000}"/>
    <cellStyle name="20% - Accent1 2 4 2 2 5 2" xfId="33392" xr:uid="{00000000-0005-0000-0000-000062030000}"/>
    <cellStyle name="20% - Accent1 2 4 2 2 6" xfId="33379" xr:uid="{00000000-0005-0000-0000-000063030000}"/>
    <cellStyle name="20% - Accent1 2 4 2 3" xfId="31283" xr:uid="{00000000-0005-0000-0000-000064030000}"/>
    <cellStyle name="20% - Accent1 2 4 2 3 2" xfId="7909" xr:uid="{00000000-0005-0000-0000-000065030000}"/>
    <cellStyle name="20% - Accent1 2 4 2 3 2 2" xfId="6049" xr:uid="{00000000-0005-0000-0000-000066030000}"/>
    <cellStyle name="20% - Accent1 2 4 2 3 2 2 2" xfId="28346" xr:uid="{00000000-0005-0000-0000-000067030000}"/>
    <cellStyle name="20% - Accent1 2 4 2 3 2 2 2 2" xfId="28391" xr:uid="{00000000-0005-0000-0000-000068030000}"/>
    <cellStyle name="20% - Accent1 2 4 2 3 2 2 3" xfId="28329" xr:uid="{00000000-0005-0000-0000-000069030000}"/>
    <cellStyle name="20% - Accent1 2 4 2 3 2 3" xfId="11460" xr:uid="{00000000-0005-0000-0000-00006A030000}"/>
    <cellStyle name="20% - Accent1 2 4 2 3 2 3 2" xfId="25845" xr:uid="{00000000-0005-0000-0000-00006B030000}"/>
    <cellStyle name="20% - Accent1 2 4 2 3 2 4" xfId="11447" xr:uid="{00000000-0005-0000-0000-00006C030000}"/>
    <cellStyle name="20% - Accent1 2 4 2 3 3" xfId="30527" xr:uid="{00000000-0005-0000-0000-00006D030000}"/>
    <cellStyle name="20% - Accent1 2 4 2 3 3 2" xfId="32922" xr:uid="{00000000-0005-0000-0000-00006E030000}"/>
    <cellStyle name="20% - Accent1 2 4 2 3 3 2 2" xfId="5607" xr:uid="{00000000-0005-0000-0000-00006F030000}"/>
    <cellStyle name="20% - Accent1 2 4 2 3 3 3" xfId="32824" xr:uid="{00000000-0005-0000-0000-000070030000}"/>
    <cellStyle name="20% - Accent1 2 4 2 3 4" xfId="20005" xr:uid="{00000000-0005-0000-0000-000071030000}"/>
    <cellStyle name="20% - Accent1 2 4 2 3 4 2" xfId="14052" xr:uid="{00000000-0005-0000-0000-000072030000}"/>
    <cellStyle name="20% - Accent1 2 4 2 3 5" xfId="17526" xr:uid="{00000000-0005-0000-0000-000073030000}"/>
    <cellStyle name="20% - Accent1 2 4 2 4" xfId="33277" xr:uid="{00000000-0005-0000-0000-000074030000}"/>
    <cellStyle name="20% - Accent1 2 4 2 4 2" xfId="6012" xr:uid="{00000000-0005-0000-0000-000075030000}"/>
    <cellStyle name="20% - Accent1 2 4 2 4 2 2" xfId="17407" xr:uid="{00000000-0005-0000-0000-000076030000}"/>
    <cellStyle name="20% - Accent1 2 4 2 4 2 2 2" xfId="28280" xr:uid="{00000000-0005-0000-0000-000077030000}"/>
    <cellStyle name="20% - Accent1 2 4 2 4 2 3" xfId="17382" xr:uid="{00000000-0005-0000-0000-000078030000}"/>
    <cellStyle name="20% - Accent1 2 4 2 4 3" xfId="17296" xr:uid="{00000000-0005-0000-0000-000079030000}"/>
    <cellStyle name="20% - Accent1 2 4 2 4 3 2" xfId="29006" xr:uid="{00000000-0005-0000-0000-00007A030000}"/>
    <cellStyle name="20% - Accent1 2 4 2 4 4" xfId="18050" xr:uid="{00000000-0005-0000-0000-00007B030000}"/>
    <cellStyle name="20% - Accent1 2 4 2 5" xfId="32695" xr:uid="{00000000-0005-0000-0000-00007C030000}"/>
    <cellStyle name="20% - Accent1 2 4 2 5 2" xfId="5993" xr:uid="{00000000-0005-0000-0000-00007D030000}"/>
    <cellStyle name="20% - Accent1 2 4 2 5 2 2" xfId="17281" xr:uid="{00000000-0005-0000-0000-00007E030000}"/>
    <cellStyle name="20% - Accent1 2 4 2 5 3" xfId="23695" xr:uid="{00000000-0005-0000-0000-00007F030000}"/>
    <cellStyle name="20% - Accent1 2 4 2 6" xfId="29290" xr:uid="{00000000-0005-0000-0000-000080030000}"/>
    <cellStyle name="20% - Accent1 2 4 2 6 2" xfId="5975" xr:uid="{00000000-0005-0000-0000-000081030000}"/>
    <cellStyle name="20% - Accent1 2 4 2 7" xfId="31078" xr:uid="{00000000-0005-0000-0000-000082030000}"/>
    <cellStyle name="20% - Accent1 2 4 3" xfId="22345" xr:uid="{00000000-0005-0000-0000-000083030000}"/>
    <cellStyle name="20% - Accent1 2 4 3 2" xfId="33285" xr:uid="{00000000-0005-0000-0000-000084030000}"/>
    <cellStyle name="20% - Accent1 2 4 3 2 2" xfId="31469" xr:uid="{00000000-0005-0000-0000-000085030000}"/>
    <cellStyle name="20% - Accent1 2 4 3 2 2 2" xfId="31463" xr:uid="{00000000-0005-0000-0000-000086030000}"/>
    <cellStyle name="20% - Accent1 2 4 3 2 2 2 2" xfId="28258" xr:uid="{00000000-0005-0000-0000-000087030000}"/>
    <cellStyle name="20% - Accent1 2 4 3 2 2 2 2 2" xfId="26322" xr:uid="{00000000-0005-0000-0000-000088030000}"/>
    <cellStyle name="20% - Accent1 2 4 3 2 2 2 3" xfId="20447" xr:uid="{00000000-0005-0000-0000-000089030000}"/>
    <cellStyle name="20% - Accent1 2 4 3 2 2 3" xfId="31457" xr:uid="{00000000-0005-0000-0000-00008A030000}"/>
    <cellStyle name="20% - Accent1 2 4 3 2 2 3 2" xfId="20439" xr:uid="{00000000-0005-0000-0000-00008B030000}"/>
    <cellStyle name="20% - Accent1 2 4 3 2 2 4" xfId="30032" xr:uid="{00000000-0005-0000-0000-00008C030000}"/>
    <cellStyle name="20% - Accent1 2 4 3 2 3" xfId="31445" xr:uid="{00000000-0005-0000-0000-00008D030000}"/>
    <cellStyle name="20% - Accent1 2 4 3 2 3 2" xfId="33270" xr:uid="{00000000-0005-0000-0000-00008E030000}"/>
    <cellStyle name="20% - Accent1 2 4 3 2 3 2 2" xfId="20748" xr:uid="{00000000-0005-0000-0000-00008F030000}"/>
    <cellStyle name="20% - Accent1 2 4 3 2 3 3" xfId="29438" xr:uid="{00000000-0005-0000-0000-000090030000}"/>
    <cellStyle name="20% - Accent1 2 4 3 2 4" xfId="31440" xr:uid="{00000000-0005-0000-0000-000091030000}"/>
    <cellStyle name="20% - Accent1 2 4 3 2 4 2" xfId="33268" xr:uid="{00000000-0005-0000-0000-000092030000}"/>
    <cellStyle name="20% - Accent1 2 4 3 2 5" xfId="33221" xr:uid="{00000000-0005-0000-0000-000093030000}"/>
    <cellStyle name="20% - Accent1 2 4 3 3" xfId="33264" xr:uid="{00000000-0005-0000-0000-000094030000}"/>
    <cellStyle name="20% - Accent1 2 4 3 3 2" xfId="24583" xr:uid="{00000000-0005-0000-0000-000095030000}"/>
    <cellStyle name="20% - Accent1 2 4 3 3 2 2" xfId="19490" xr:uid="{00000000-0005-0000-0000-000096030000}"/>
    <cellStyle name="20% - Accent1 2 4 3 3 2 2 2" xfId="28201" xr:uid="{00000000-0005-0000-0000-000097030000}"/>
    <cellStyle name="20% - Accent1 2 4 3 3 2 3" xfId="11237" xr:uid="{00000000-0005-0000-0000-000098030000}"/>
    <cellStyle name="20% - Accent1 2 4 3 3 3" xfId="17287" xr:uid="{00000000-0005-0000-0000-000099030000}"/>
    <cellStyle name="20% - Accent1 2 4 3 3 3 2" xfId="27372" xr:uid="{00000000-0005-0000-0000-00009A030000}"/>
    <cellStyle name="20% - Accent1 2 4 3 3 4" xfId="30466" xr:uid="{00000000-0005-0000-0000-00009B030000}"/>
    <cellStyle name="20% - Accent1 2 4 3 4" xfId="32678" xr:uid="{00000000-0005-0000-0000-00009C030000}"/>
    <cellStyle name="20% - Accent1 2 4 3 4 2" xfId="5956" xr:uid="{00000000-0005-0000-0000-00009D030000}"/>
    <cellStyle name="20% - Accent1 2 4 3 4 2 2" xfId="17156" xr:uid="{00000000-0005-0000-0000-00009E030000}"/>
    <cellStyle name="20% - Accent1 2 4 3 4 3" xfId="30461" xr:uid="{00000000-0005-0000-0000-00009F030000}"/>
    <cellStyle name="20% - Accent1 2 4 3 5" xfId="32102" xr:uid="{00000000-0005-0000-0000-0000A0030000}"/>
    <cellStyle name="20% - Accent1 2 4 3 5 2" xfId="7826" xr:uid="{00000000-0005-0000-0000-0000A1030000}"/>
    <cellStyle name="20% - Accent1 2 4 3 6" xfId="33212" xr:uid="{00000000-0005-0000-0000-0000A2030000}"/>
    <cellStyle name="20% - Accent1 2 4 4" xfId="5623" xr:uid="{00000000-0005-0000-0000-0000A3030000}"/>
    <cellStyle name="20% - Accent1 2 4 4 2" xfId="18964" xr:uid="{00000000-0005-0000-0000-0000A4030000}"/>
    <cellStyle name="20% - Accent1 2 4 4 2 2" xfId="12331" xr:uid="{00000000-0005-0000-0000-0000A5030000}"/>
    <cellStyle name="20% - Accent1 2 4 4 2 2 2" xfId="31240" xr:uid="{00000000-0005-0000-0000-0000A6030000}"/>
    <cellStyle name="20% - Accent1 2 4 4 2 2 2 2" xfId="19535" xr:uid="{00000000-0005-0000-0000-0000A7030000}"/>
    <cellStyle name="20% - Accent1 2 4 4 2 2 3" xfId="32038" xr:uid="{00000000-0005-0000-0000-0000A8030000}"/>
    <cellStyle name="20% - Accent1 2 4 4 2 3" xfId="31235" xr:uid="{00000000-0005-0000-0000-0000A9030000}"/>
    <cellStyle name="20% - Accent1 2 4 4 2 3 2" xfId="31515" xr:uid="{00000000-0005-0000-0000-0000AA030000}"/>
    <cellStyle name="20% - Accent1 2 4 4 2 4" xfId="31511" xr:uid="{00000000-0005-0000-0000-0000AB030000}"/>
    <cellStyle name="20% - Accent1 2 4 4 3" xfId="25057" xr:uid="{00000000-0005-0000-0000-0000AC030000}"/>
    <cellStyle name="20% - Accent1 2 4 4 3 2" xfId="12179" xr:uid="{00000000-0005-0000-0000-0000AD030000}"/>
    <cellStyle name="20% - Accent1 2 4 4 3 2 2" xfId="5921" xr:uid="{00000000-0005-0000-0000-0000AE030000}"/>
    <cellStyle name="20% - Accent1 2 4 4 3 3" xfId="20115" xr:uid="{00000000-0005-0000-0000-0000AF030000}"/>
    <cellStyle name="20% - Accent1 2 4 4 4" xfId="22778" xr:uid="{00000000-0005-0000-0000-0000B0030000}"/>
    <cellStyle name="20% - Accent1 2 4 4 4 2" xfId="12143" xr:uid="{00000000-0005-0000-0000-0000B1030000}"/>
    <cellStyle name="20% - Accent1 2 4 4 5" xfId="31467" xr:uid="{00000000-0005-0000-0000-0000B2030000}"/>
    <cellStyle name="20% - Accent1 2 4 5" xfId="5620" xr:uid="{00000000-0005-0000-0000-0000B3030000}"/>
    <cellStyle name="20% - Accent1 2 4 5 2" xfId="18954" xr:uid="{00000000-0005-0000-0000-0000B4030000}"/>
    <cellStyle name="20% - Accent1 2 4 5 2 2" xfId="28398" xr:uid="{00000000-0005-0000-0000-0000B5030000}"/>
    <cellStyle name="20% - Accent1 2 4 5 2 2 2" xfId="25677" xr:uid="{00000000-0005-0000-0000-0000B6030000}"/>
    <cellStyle name="20% - Accent1 2 4 5 2 3" xfId="31424" xr:uid="{00000000-0005-0000-0000-0000B7030000}"/>
    <cellStyle name="20% - Accent1 2 4 5 3" xfId="12517" xr:uid="{00000000-0005-0000-0000-0000B8030000}"/>
    <cellStyle name="20% - Accent1 2 4 5 3 2" xfId="12078" xr:uid="{00000000-0005-0000-0000-0000B9030000}"/>
    <cellStyle name="20% - Accent1 2 4 5 4" xfId="12508" xr:uid="{00000000-0005-0000-0000-0000BA030000}"/>
    <cellStyle name="20% - Accent1 2 4 6" xfId="5405" xr:uid="{00000000-0005-0000-0000-0000BB030000}"/>
    <cellStyle name="20% - Accent1 2 4 6 2" xfId="31384" xr:uid="{00000000-0005-0000-0000-0000BC030000}"/>
    <cellStyle name="20% - Accent1 2 4 6 2 2" xfId="31382" xr:uid="{00000000-0005-0000-0000-0000BD030000}"/>
    <cellStyle name="20% - Accent1 2 4 6 3" xfId="12504" xr:uid="{00000000-0005-0000-0000-0000BE030000}"/>
    <cellStyle name="20% - Accent1 2 4 7" xfId="23405" xr:uid="{00000000-0005-0000-0000-0000BF030000}"/>
    <cellStyle name="20% - Accent1 2 4 7 2" xfId="23012" xr:uid="{00000000-0005-0000-0000-0000C0030000}"/>
    <cellStyle name="20% - Accent1 2 4 8" xfId="7704" xr:uid="{00000000-0005-0000-0000-0000C1030000}"/>
    <cellStyle name="20% - Accent1 2 4 9" xfId="34752" xr:uid="{00000000-0005-0000-0000-0000C2030000}"/>
    <cellStyle name="20% - Accent1 2 5" xfId="26401" xr:uid="{00000000-0005-0000-0000-0000C3030000}"/>
    <cellStyle name="20% - Accent1 2 5 2" xfId="14268" xr:uid="{00000000-0005-0000-0000-0000C4030000}"/>
    <cellStyle name="20% - Accent1 2 5 2 2" xfId="14266" xr:uid="{00000000-0005-0000-0000-0000C5030000}"/>
    <cellStyle name="20% - Accent1 2 5 2 2 2" xfId="28010" xr:uid="{00000000-0005-0000-0000-0000C6030000}"/>
    <cellStyle name="20% - Accent1 2 5 2 2 2 2" xfId="24192" xr:uid="{00000000-0005-0000-0000-0000C7030000}"/>
    <cellStyle name="20% - Accent1 2 5 2 2 2 2 2" xfId="20353" xr:uid="{00000000-0005-0000-0000-0000C8030000}"/>
    <cellStyle name="20% - Accent1 2 5 2 2 2 2 2 2" xfId="24800" xr:uid="{00000000-0005-0000-0000-0000C9030000}"/>
    <cellStyle name="20% - Accent1 2 5 2 2 2 2 3" xfId="18021" xr:uid="{00000000-0005-0000-0000-0000CA030000}"/>
    <cellStyle name="20% - Accent1 2 5 2 2 2 3" xfId="24187" xr:uid="{00000000-0005-0000-0000-0000CB030000}"/>
    <cellStyle name="20% - Accent1 2 5 2 2 2 3 2" xfId="20343" xr:uid="{00000000-0005-0000-0000-0000CC030000}"/>
    <cellStyle name="20% - Accent1 2 5 2 2 2 4" xfId="33964" xr:uid="{00000000-0005-0000-0000-0000CD030000}"/>
    <cellStyle name="20% - Accent1 2 5 2 2 3" xfId="33169" xr:uid="{00000000-0005-0000-0000-0000CE030000}"/>
    <cellStyle name="20% - Accent1 2 5 2 2 3 2" xfId="33162" xr:uid="{00000000-0005-0000-0000-0000CF030000}"/>
    <cellStyle name="20% - Accent1 2 5 2 2 3 2 2" xfId="28085" xr:uid="{00000000-0005-0000-0000-0000D0030000}"/>
    <cellStyle name="20% - Accent1 2 5 2 2 3 3" xfId="33803" xr:uid="{00000000-0005-0000-0000-0000D1030000}"/>
    <cellStyle name="20% - Accent1 2 5 2 2 4" xfId="33148" xr:uid="{00000000-0005-0000-0000-0000D2030000}"/>
    <cellStyle name="20% - Accent1 2 5 2 2 4 2" xfId="33143" xr:uid="{00000000-0005-0000-0000-0000D3030000}"/>
    <cellStyle name="20% - Accent1 2 5 2 2 5" xfId="19970" xr:uid="{00000000-0005-0000-0000-0000D4030000}"/>
    <cellStyle name="20% - Accent1 2 5 2 3" xfId="28007" xr:uid="{00000000-0005-0000-0000-0000D5030000}"/>
    <cellStyle name="20% - Accent1 2 5 2 3 2" xfId="33518" xr:uid="{00000000-0005-0000-0000-0000D6030000}"/>
    <cellStyle name="20% - Accent1 2 5 2 3 2 2" xfId="6491" xr:uid="{00000000-0005-0000-0000-0000D7030000}"/>
    <cellStyle name="20% - Accent1 2 5 2 3 2 2 2" xfId="28048" xr:uid="{00000000-0005-0000-0000-0000D8030000}"/>
    <cellStyle name="20% - Accent1 2 5 2 3 2 3" xfId="26737" xr:uid="{00000000-0005-0000-0000-0000D9030000}"/>
    <cellStyle name="20% - Accent1 2 5 2 3 3" xfId="17274" xr:uid="{00000000-0005-0000-0000-0000DA030000}"/>
    <cellStyle name="20% - Accent1 2 5 2 3 3 2" xfId="6476" xr:uid="{00000000-0005-0000-0000-0000DB030000}"/>
    <cellStyle name="20% - Accent1 2 5 2 3 4" xfId="17464" xr:uid="{00000000-0005-0000-0000-0000DC030000}"/>
    <cellStyle name="20% - Accent1 2 5 2 4" xfId="32961" xr:uid="{00000000-0005-0000-0000-0000DD030000}"/>
    <cellStyle name="20% - Accent1 2 5 2 4 2" xfId="32941" xr:uid="{00000000-0005-0000-0000-0000DE030000}"/>
    <cellStyle name="20% - Accent1 2 5 2 4 2 2" xfId="6456" xr:uid="{00000000-0005-0000-0000-0000DF030000}"/>
    <cellStyle name="20% - Accent1 2 5 2 4 3" xfId="33097" xr:uid="{00000000-0005-0000-0000-0000E0030000}"/>
    <cellStyle name="20% - Accent1 2 5 2 5" xfId="33075" xr:uid="{00000000-0005-0000-0000-0000E1030000}"/>
    <cellStyle name="20% - Accent1 2 5 2 5 2" xfId="25685" xr:uid="{00000000-0005-0000-0000-0000E2030000}"/>
    <cellStyle name="20% - Accent1 2 5 2 6" xfId="34000" xr:uid="{00000000-0005-0000-0000-0000E3030000}"/>
    <cellStyle name="20% - Accent1 2 5 3" xfId="9880" xr:uid="{00000000-0005-0000-0000-0000E4030000}"/>
    <cellStyle name="20% - Accent1 2 5 3 2" xfId="32712" xr:uid="{00000000-0005-0000-0000-0000E5030000}"/>
    <cellStyle name="20% - Accent1 2 5 3 2 2" xfId="30917" xr:uid="{00000000-0005-0000-0000-0000E6030000}"/>
    <cellStyle name="20% - Accent1 2 5 3 2 2 2" xfId="24094" xr:uid="{00000000-0005-0000-0000-0000E7030000}"/>
    <cellStyle name="20% - Accent1 2 5 3 2 2 2 2" xfId="20290" xr:uid="{00000000-0005-0000-0000-0000E8030000}"/>
    <cellStyle name="20% - Accent1 2 5 3 2 2 3" xfId="19061" xr:uid="{00000000-0005-0000-0000-0000E9030000}"/>
    <cellStyle name="20% - Accent1 2 5 3 2 3" xfId="32449" xr:uid="{00000000-0005-0000-0000-0000EA030000}"/>
    <cellStyle name="20% - Accent1 2 5 3 2 3 2" xfId="19037" xr:uid="{00000000-0005-0000-0000-0000EB030000}"/>
    <cellStyle name="20% - Accent1 2 5 3 2 4" xfId="33034" xr:uid="{00000000-0005-0000-0000-0000EC030000}"/>
    <cellStyle name="20% - Accent1 2 5 3 3" xfId="33015" xr:uid="{00000000-0005-0000-0000-0000ED030000}"/>
    <cellStyle name="20% - Accent1 2 5 3 3 2" xfId="32959" xr:uid="{00000000-0005-0000-0000-0000EE030000}"/>
    <cellStyle name="20% - Accent1 2 5 3 3 2 2" xfId="13253" xr:uid="{00000000-0005-0000-0000-0000EF030000}"/>
    <cellStyle name="20% - Accent1 2 5 3 3 3" xfId="32692" xr:uid="{00000000-0005-0000-0000-0000F0030000}"/>
    <cellStyle name="20% - Accent1 2 5 3 4" xfId="28271" xr:uid="{00000000-0005-0000-0000-0000F1030000}"/>
    <cellStyle name="20% - Accent1 2 5 3 4 2" xfId="32675" xr:uid="{00000000-0005-0000-0000-0000F2030000}"/>
    <cellStyle name="20% - Accent1 2 5 3 5" xfId="28269" xr:uid="{00000000-0005-0000-0000-0000F3030000}"/>
    <cellStyle name="20% - Accent1 2 5 4" xfId="26790" xr:uid="{00000000-0005-0000-0000-0000F4030000}"/>
    <cellStyle name="20% - Accent1 2 5 4 2" xfId="31325" xr:uid="{00000000-0005-0000-0000-0000F5030000}"/>
    <cellStyle name="20% - Accent1 2 5 4 2 2" xfId="31319" xr:uid="{00000000-0005-0000-0000-0000F6030000}"/>
    <cellStyle name="20% - Accent1 2 5 4 2 2 2" xfId="29185" xr:uid="{00000000-0005-0000-0000-0000F7030000}"/>
    <cellStyle name="20% - Accent1 2 5 4 2 3" xfId="30440" xr:uid="{00000000-0005-0000-0000-0000F8030000}"/>
    <cellStyle name="20% - Accent1 2 5 4 3" xfId="31289" xr:uid="{00000000-0005-0000-0000-0000F9030000}"/>
    <cellStyle name="20% - Accent1 2 5 4 3 2" xfId="27280" xr:uid="{00000000-0005-0000-0000-0000FA030000}"/>
    <cellStyle name="20% - Accent1 2 5 4 4" xfId="29458" xr:uid="{00000000-0005-0000-0000-0000FB030000}"/>
    <cellStyle name="20% - Accent1 2 5 5" xfId="13488" xr:uid="{00000000-0005-0000-0000-0000FC030000}"/>
    <cellStyle name="20% - Accent1 2 5 5 2" xfId="31232" xr:uid="{00000000-0005-0000-0000-0000FD030000}"/>
    <cellStyle name="20% - Accent1 2 5 5 2 2" xfId="31229" xr:uid="{00000000-0005-0000-0000-0000FE030000}"/>
    <cellStyle name="20% - Accent1 2 5 5 3" xfId="12495" xr:uid="{00000000-0005-0000-0000-0000FF030000}"/>
    <cellStyle name="20% - Accent1 2 5 6" xfId="28411" xr:uid="{00000000-0005-0000-0000-000000040000}"/>
    <cellStyle name="20% - Accent1 2 5 6 2" xfId="31203" xr:uid="{00000000-0005-0000-0000-000001040000}"/>
    <cellStyle name="20% - Accent1 2 5 7" xfId="23009" xr:uid="{00000000-0005-0000-0000-000002040000}"/>
    <cellStyle name="20% - Accent1 2 5 8" xfId="34942" xr:uid="{00000000-0005-0000-0000-000003040000}"/>
    <cellStyle name="20% - Accent1 2 6" xfId="17183" xr:uid="{00000000-0005-0000-0000-000004040000}"/>
    <cellStyle name="20% - Accent1 2 6 2" xfId="14255" xr:uid="{00000000-0005-0000-0000-000005040000}"/>
    <cellStyle name="20% - Accent1 2 6 2 2" xfId="27989" xr:uid="{00000000-0005-0000-0000-000006040000}"/>
    <cellStyle name="20% - Accent1 2 6 2 2 2" xfId="24736" xr:uid="{00000000-0005-0000-0000-000007040000}"/>
    <cellStyle name="20% - Accent1 2 6 2 2 2 2" xfId="28331" xr:uid="{00000000-0005-0000-0000-000008040000}"/>
    <cellStyle name="20% - Accent1 2 6 2 2 2 2 2" xfId="20238" xr:uid="{00000000-0005-0000-0000-000009040000}"/>
    <cellStyle name="20% - Accent1 2 6 2 2 2 3" xfId="27414" xr:uid="{00000000-0005-0000-0000-00000A040000}"/>
    <cellStyle name="20% - Accent1 2 6 2 2 3" xfId="24733" xr:uid="{00000000-0005-0000-0000-00000B040000}"/>
    <cellStyle name="20% - Accent1 2 6 2 2 3 2" xfId="26511" xr:uid="{00000000-0005-0000-0000-00000C040000}"/>
    <cellStyle name="20% - Accent1 2 6 2 2 4" xfId="24212" xr:uid="{00000000-0005-0000-0000-00000D040000}"/>
    <cellStyle name="20% - Accent1 2 6 2 3" xfId="33835" xr:uid="{00000000-0005-0000-0000-00000E040000}"/>
    <cellStyle name="20% - Accent1 2 6 2 3 2" xfId="24727" xr:uid="{00000000-0005-0000-0000-00000F040000}"/>
    <cellStyle name="20% - Accent1 2 6 2 3 2 2" xfId="6139" xr:uid="{00000000-0005-0000-0000-000010040000}"/>
    <cellStyle name="20% - Accent1 2 6 2 3 3" xfId="32933" xr:uid="{00000000-0005-0000-0000-000011040000}"/>
    <cellStyle name="20% - Accent1 2 6 2 4" xfId="32929" xr:uid="{00000000-0005-0000-0000-000012040000}"/>
    <cellStyle name="20% - Accent1 2 6 2 4 2" xfId="24723" xr:uid="{00000000-0005-0000-0000-000013040000}"/>
    <cellStyle name="20% - Accent1 2 6 2 5" xfId="32400" xr:uid="{00000000-0005-0000-0000-000014040000}"/>
    <cellStyle name="20% - Accent1 2 6 3" xfId="27988" xr:uid="{00000000-0005-0000-0000-000015040000}"/>
    <cellStyle name="20% - Accent1 2 6 3 2" xfId="19405" xr:uid="{00000000-0005-0000-0000-000016040000}"/>
    <cellStyle name="20% - Accent1 2 6 3 2 2" xfId="30168" xr:uid="{00000000-0005-0000-0000-000017040000}"/>
    <cellStyle name="20% - Accent1 2 6 3 2 2 2" xfId="31190" xr:uid="{00000000-0005-0000-0000-000018040000}"/>
    <cellStyle name="20% - Accent1 2 6 3 2 3" xfId="32580" xr:uid="{00000000-0005-0000-0000-000019040000}"/>
    <cellStyle name="20% - Accent1 2 6 3 3" xfId="32892" xr:uid="{00000000-0005-0000-0000-00001A040000}"/>
    <cellStyle name="20% - Accent1 2 6 3 3 2" xfId="30606" xr:uid="{00000000-0005-0000-0000-00001B040000}"/>
    <cellStyle name="20% - Accent1 2 6 3 4" xfId="28263" xr:uid="{00000000-0005-0000-0000-00001C040000}"/>
    <cellStyle name="20% - Accent1 2 6 4" xfId="29542" xr:uid="{00000000-0005-0000-0000-00001D040000}"/>
    <cellStyle name="20% - Accent1 2 6 4 2" xfId="31176" xr:uid="{00000000-0005-0000-0000-00001E040000}"/>
    <cellStyle name="20% - Accent1 2 6 4 2 2" xfId="32861" xr:uid="{00000000-0005-0000-0000-00001F040000}"/>
    <cellStyle name="20% - Accent1 2 6 4 3" xfId="31169" xr:uid="{00000000-0005-0000-0000-000020040000}"/>
    <cellStyle name="20% - Accent1 2 6 5" xfId="13480" xr:uid="{00000000-0005-0000-0000-000021040000}"/>
    <cellStyle name="20% - Accent1 2 6 5 2" xfId="31165" xr:uid="{00000000-0005-0000-0000-000022040000}"/>
    <cellStyle name="20% - Accent1 2 6 6" xfId="27652" xr:uid="{00000000-0005-0000-0000-000023040000}"/>
    <cellStyle name="20% - Accent1 2 6 7" xfId="35147" xr:uid="{00000000-0005-0000-0000-000024040000}"/>
    <cellStyle name="20% - Accent1 2 7" xfId="28414" xr:uid="{00000000-0005-0000-0000-000025040000}"/>
    <cellStyle name="20% - Accent1 2 7 2" xfId="28785" xr:uid="{00000000-0005-0000-0000-000026040000}"/>
    <cellStyle name="20% - Accent1 2 7 2 2" xfId="33858" xr:uid="{00000000-0005-0000-0000-000027040000}"/>
    <cellStyle name="20% - Accent1 2 7 2 2 2" xfId="24687" xr:uid="{00000000-0005-0000-0000-000028040000}"/>
    <cellStyle name="20% - Accent1 2 7 2 2 2 2" xfId="19982" xr:uid="{00000000-0005-0000-0000-000029040000}"/>
    <cellStyle name="20% - Accent1 2 7 2 2 3" xfId="24684" xr:uid="{00000000-0005-0000-0000-00002A040000}"/>
    <cellStyle name="20% - Accent1 2 7 2 3" xfId="34057" xr:uid="{00000000-0005-0000-0000-00002B040000}"/>
    <cellStyle name="20% - Accent1 2 7 2 3 2" xfId="33663" xr:uid="{00000000-0005-0000-0000-00002C040000}"/>
    <cellStyle name="20% - Accent1 2 7 2 4" xfId="32293" xr:uid="{00000000-0005-0000-0000-00002D040000}"/>
    <cellStyle name="20% - Accent1 2 7 3" xfId="32006" xr:uid="{00000000-0005-0000-0000-00002E040000}"/>
    <cellStyle name="20% - Accent1 2 7 3 2" xfId="33747" xr:uid="{00000000-0005-0000-0000-00002F040000}"/>
    <cellStyle name="20% - Accent1 2 7 3 2 2" xfId="15481" xr:uid="{00000000-0005-0000-0000-000030040000}"/>
    <cellStyle name="20% - Accent1 2 7 3 3" xfId="33809" xr:uid="{00000000-0005-0000-0000-000031040000}"/>
    <cellStyle name="20% - Accent1 2 7 4" xfId="25181" xr:uid="{00000000-0005-0000-0000-000032040000}"/>
    <cellStyle name="20% - Accent1 2 7 4 2" xfId="30968" xr:uid="{00000000-0005-0000-0000-000033040000}"/>
    <cellStyle name="20% - Accent1 2 7 5" xfId="19725" xr:uid="{00000000-0005-0000-0000-000034040000}"/>
    <cellStyle name="20% - Accent1 2 7 6" xfId="35376" xr:uid="{00000000-0005-0000-0000-000035040000}"/>
    <cellStyle name="20% - Accent1 2 8" xfId="32587" xr:uid="{00000000-0005-0000-0000-000036040000}"/>
    <cellStyle name="20% - Accent1 2 8 2" xfId="30222" xr:uid="{00000000-0005-0000-0000-000037040000}"/>
    <cellStyle name="20% - Accent1 2 8 2 2" xfId="33679" xr:uid="{00000000-0005-0000-0000-000038040000}"/>
    <cellStyle name="20% - Accent1 2 8 2 2 2" xfId="24653" xr:uid="{00000000-0005-0000-0000-000039040000}"/>
    <cellStyle name="20% - Accent1 2 8 2 3" xfId="33673" xr:uid="{00000000-0005-0000-0000-00003A040000}"/>
    <cellStyle name="20% - Accent1 2 8 3" xfId="20276" xr:uid="{00000000-0005-0000-0000-00003B040000}"/>
    <cellStyle name="20% - Accent1 2 8 3 2" xfId="27649" xr:uid="{00000000-0005-0000-0000-00003C040000}"/>
    <cellStyle name="20% - Accent1 2 8 4" xfId="32841" xr:uid="{00000000-0005-0000-0000-00003D040000}"/>
    <cellStyle name="20% - Accent1 2 8 5" xfId="36248" xr:uid="{00000000-0005-0000-0000-00003E040000}"/>
    <cellStyle name="20% - Accent1 2 9" xfId="33375" xr:uid="{00000000-0005-0000-0000-00003F040000}"/>
    <cellStyle name="20% - Accent1 2 9 2" xfId="32837" xr:uid="{00000000-0005-0000-0000-000040040000}"/>
    <cellStyle name="20% - Accent1 2 9 2 2" xfId="25904" xr:uid="{00000000-0005-0000-0000-000041040000}"/>
    <cellStyle name="20% - Accent1 2 9 3" xfId="32829" xr:uid="{00000000-0005-0000-0000-000042040000}"/>
    <cellStyle name="20% - Accent1 2 9 4" xfId="36534" xr:uid="{00000000-0005-0000-0000-000043040000}"/>
    <cellStyle name="20% - Accent1 20" xfId="35698" xr:uid="{00000000-0005-0000-0000-000044040000}"/>
    <cellStyle name="20% - Accent1 20 2" xfId="36867" xr:uid="{00000000-0005-0000-0000-000045040000}"/>
    <cellStyle name="20% - Accent1 20 3" xfId="37758" xr:uid="{00000000-0005-0000-0000-000046040000}"/>
    <cellStyle name="20% - Accent1 21" xfId="35717" xr:uid="{00000000-0005-0000-0000-000047040000}"/>
    <cellStyle name="20% - Accent1 21 2" xfId="36887" xr:uid="{00000000-0005-0000-0000-000048040000}"/>
    <cellStyle name="20% - Accent1 21 3" xfId="37778" xr:uid="{00000000-0005-0000-0000-000049040000}"/>
    <cellStyle name="20% - Accent1 22" xfId="35736" xr:uid="{00000000-0005-0000-0000-00004A040000}"/>
    <cellStyle name="20% - Accent1 22 2" xfId="36907" xr:uid="{00000000-0005-0000-0000-00004B040000}"/>
    <cellStyle name="20% - Accent1 22 3" xfId="37798" xr:uid="{00000000-0005-0000-0000-00004C040000}"/>
    <cellStyle name="20% - Accent1 23" xfId="35756" xr:uid="{00000000-0005-0000-0000-00004D040000}"/>
    <cellStyle name="20% - Accent1 23 2" xfId="36926" xr:uid="{00000000-0005-0000-0000-00004E040000}"/>
    <cellStyle name="20% - Accent1 23 3" xfId="37818" xr:uid="{00000000-0005-0000-0000-00004F040000}"/>
    <cellStyle name="20% - Accent1 24" xfId="35776" xr:uid="{00000000-0005-0000-0000-000050040000}"/>
    <cellStyle name="20% - Accent1 24 2" xfId="36945" xr:uid="{00000000-0005-0000-0000-000051040000}"/>
    <cellStyle name="20% - Accent1 24 3" xfId="37838" xr:uid="{00000000-0005-0000-0000-000052040000}"/>
    <cellStyle name="20% - Accent1 25" xfId="35795" xr:uid="{00000000-0005-0000-0000-000053040000}"/>
    <cellStyle name="20% - Accent1 25 2" xfId="36965" xr:uid="{00000000-0005-0000-0000-000054040000}"/>
    <cellStyle name="20% - Accent1 25 3" xfId="37858" xr:uid="{00000000-0005-0000-0000-000055040000}"/>
    <cellStyle name="20% - Accent1 26" xfId="35814" xr:uid="{00000000-0005-0000-0000-000056040000}"/>
    <cellStyle name="20% - Accent1 26 2" xfId="36985" xr:uid="{00000000-0005-0000-0000-000057040000}"/>
    <cellStyle name="20% - Accent1 26 3" xfId="37878" xr:uid="{00000000-0005-0000-0000-000058040000}"/>
    <cellStyle name="20% - Accent1 27" xfId="35833" xr:uid="{00000000-0005-0000-0000-000059040000}"/>
    <cellStyle name="20% - Accent1 27 2" xfId="37005" xr:uid="{00000000-0005-0000-0000-00005A040000}"/>
    <cellStyle name="20% - Accent1 27 3" xfId="37898" xr:uid="{00000000-0005-0000-0000-00005B040000}"/>
    <cellStyle name="20% - Accent1 28" xfId="35852" xr:uid="{00000000-0005-0000-0000-00005C040000}"/>
    <cellStyle name="20% - Accent1 28 2" xfId="37025" xr:uid="{00000000-0005-0000-0000-00005D040000}"/>
    <cellStyle name="20% - Accent1 28 3" xfId="37918" xr:uid="{00000000-0005-0000-0000-00005E040000}"/>
    <cellStyle name="20% - Accent1 29" xfId="35871" xr:uid="{00000000-0005-0000-0000-00005F040000}"/>
    <cellStyle name="20% - Accent1 29 2" xfId="37043" xr:uid="{00000000-0005-0000-0000-000060040000}"/>
    <cellStyle name="20% - Accent1 29 3" xfId="37937" xr:uid="{00000000-0005-0000-0000-000061040000}"/>
    <cellStyle name="20% - Accent1 3" xfId="98" xr:uid="{00000000-0005-0000-0000-000062040000}"/>
    <cellStyle name="20% - Accent1 3 10" xfId="29834" xr:uid="{00000000-0005-0000-0000-000063040000}"/>
    <cellStyle name="20% - Accent1 3 10 2" xfId="37438" xr:uid="{00000000-0005-0000-0000-000064040000}"/>
    <cellStyle name="20% - Accent1 3 11" xfId="34452" xr:uid="{00000000-0005-0000-0000-000065040000}"/>
    <cellStyle name="20% - Accent1 3 12" xfId="26678" xr:uid="{00000000-0005-0000-0000-000066040000}"/>
    <cellStyle name="20% - Accent1 3 2" xfId="159" xr:uid="{00000000-0005-0000-0000-000067040000}"/>
    <cellStyle name="20% - Accent1 3 2 10" xfId="34507" xr:uid="{00000000-0005-0000-0000-000068040000}"/>
    <cellStyle name="20% - Accent1 3 2 11" xfId="27050" xr:uid="{00000000-0005-0000-0000-000069040000}"/>
    <cellStyle name="20% - Accent1 3 2 2" xfId="32205" xr:uid="{00000000-0005-0000-0000-00006A040000}"/>
    <cellStyle name="20% - Accent1 3 2 2 2" xfId="30822" xr:uid="{00000000-0005-0000-0000-00006B040000}"/>
    <cellStyle name="20% - Accent1 3 2 2 2 2" xfId="33339" xr:uid="{00000000-0005-0000-0000-00006C040000}"/>
    <cellStyle name="20% - Accent1 3 2 2 2 2 2" xfId="33513" xr:uid="{00000000-0005-0000-0000-00006D040000}"/>
    <cellStyle name="20% - Accent1 3 2 2 2 2 2 2" xfId="14830" xr:uid="{00000000-0005-0000-0000-00006E040000}"/>
    <cellStyle name="20% - Accent1 3 2 2 2 2 2 2 2" xfId="25312" xr:uid="{00000000-0005-0000-0000-00006F040000}"/>
    <cellStyle name="20% - Accent1 3 2 2 2 2 2 2 2 2" xfId="20153" xr:uid="{00000000-0005-0000-0000-000070040000}"/>
    <cellStyle name="20% - Accent1 3 2 2 2 2 2 2 2 2 2" xfId="28253" xr:uid="{00000000-0005-0000-0000-000071040000}"/>
    <cellStyle name="20% - Accent1 3 2 2 2 2 2 2 2 3" xfId="25938" xr:uid="{00000000-0005-0000-0000-000072040000}"/>
    <cellStyle name="20% - Accent1 3 2 2 2 2 2 2 3" xfId="12290" xr:uid="{00000000-0005-0000-0000-000073040000}"/>
    <cellStyle name="20% - Accent1 3 2 2 2 2 2 2 3 2" xfId="26818" xr:uid="{00000000-0005-0000-0000-000074040000}"/>
    <cellStyle name="20% - Accent1 3 2 2 2 2 2 2 4" xfId="32802" xr:uid="{00000000-0005-0000-0000-000075040000}"/>
    <cellStyle name="20% - Accent1 3 2 2 2 2 2 3" xfId="14825" xr:uid="{00000000-0005-0000-0000-000076040000}"/>
    <cellStyle name="20% - Accent1 3 2 2 2 2 2 3 2" xfId="32779" xr:uid="{00000000-0005-0000-0000-000077040000}"/>
    <cellStyle name="20% - Accent1 3 2 2 2 2 2 3 2 2" xfId="18069" xr:uid="{00000000-0005-0000-0000-000078040000}"/>
    <cellStyle name="20% - Accent1 3 2 2 2 2 2 3 3" xfId="32768" xr:uid="{00000000-0005-0000-0000-000079040000}"/>
    <cellStyle name="20% - Accent1 3 2 2 2 2 2 4" xfId="19890" xr:uid="{00000000-0005-0000-0000-00007A040000}"/>
    <cellStyle name="20% - Accent1 3 2 2 2 2 2 4 2" xfId="24059" xr:uid="{00000000-0005-0000-0000-00007B040000}"/>
    <cellStyle name="20% - Accent1 3 2 2 2 2 2 5" xfId="19873" xr:uid="{00000000-0005-0000-0000-00007C040000}"/>
    <cellStyle name="20% - Accent1 3 2 2 2 2 3" xfId="28543" xr:uid="{00000000-0005-0000-0000-00007D040000}"/>
    <cellStyle name="20% - Accent1 3 2 2 2 2 3 2" xfId="18534" xr:uid="{00000000-0005-0000-0000-00007E040000}"/>
    <cellStyle name="20% - Accent1 3 2 2 2 2 3 2 2" xfId="33125" xr:uid="{00000000-0005-0000-0000-00007F040000}"/>
    <cellStyle name="20% - Accent1 3 2 2 2 2 3 2 2 2" xfId="25588" xr:uid="{00000000-0005-0000-0000-000080040000}"/>
    <cellStyle name="20% - Accent1 3 2 2 2 2 3 2 3" xfId="25494" xr:uid="{00000000-0005-0000-0000-000081040000}"/>
    <cellStyle name="20% - Accent1 3 2 2 2 2 3 3" xfId="19851" xr:uid="{00000000-0005-0000-0000-000082040000}"/>
    <cellStyle name="20% - Accent1 3 2 2 2 2 3 3 2" xfId="32751" xr:uid="{00000000-0005-0000-0000-000083040000}"/>
    <cellStyle name="20% - Accent1 3 2 2 2 2 3 4" xfId="19838" xr:uid="{00000000-0005-0000-0000-000084040000}"/>
    <cellStyle name="20% - Accent1 3 2 2 2 2 4" xfId="26772" xr:uid="{00000000-0005-0000-0000-000085040000}"/>
    <cellStyle name="20% - Accent1 3 2 2 2 2 4 2" xfId="19829" xr:uid="{00000000-0005-0000-0000-000086040000}"/>
    <cellStyle name="20% - Accent1 3 2 2 2 2 4 2 2" xfId="29892" xr:uid="{00000000-0005-0000-0000-000087040000}"/>
    <cellStyle name="20% - Accent1 3 2 2 2 2 4 3" xfId="19816" xr:uid="{00000000-0005-0000-0000-000088040000}"/>
    <cellStyle name="20% - Accent1 3 2 2 2 2 5" xfId="29877" xr:uid="{00000000-0005-0000-0000-000089040000}"/>
    <cellStyle name="20% - Accent1 3 2 2 2 2 5 2" xfId="5325" xr:uid="{00000000-0005-0000-0000-00008A040000}"/>
    <cellStyle name="20% - Accent1 3 2 2 2 2 6" xfId="22562" xr:uid="{00000000-0005-0000-0000-00008B040000}"/>
    <cellStyle name="20% - Accent1 3 2 2 2 3" xfId="28059" xr:uid="{00000000-0005-0000-0000-00008C040000}"/>
    <cellStyle name="20% - Accent1 3 2 2 2 3 2" xfId="33325" xr:uid="{00000000-0005-0000-0000-00008D040000}"/>
    <cellStyle name="20% - Accent1 3 2 2 2 3 2 2" xfId="10716" xr:uid="{00000000-0005-0000-0000-00008E040000}"/>
    <cellStyle name="20% - Accent1 3 2 2 2 3 2 2 2" xfId="34236" xr:uid="{00000000-0005-0000-0000-00008F040000}"/>
    <cellStyle name="20% - Accent1 3 2 2 2 3 2 2 2 2" xfId="31638" xr:uid="{00000000-0005-0000-0000-000090040000}"/>
    <cellStyle name="20% - Accent1 3 2 2 2 3 2 2 3" xfId="34375" xr:uid="{00000000-0005-0000-0000-000091040000}"/>
    <cellStyle name="20% - Accent1 3 2 2 2 3 2 3" xfId="19779" xr:uid="{00000000-0005-0000-0000-000092040000}"/>
    <cellStyle name="20% - Accent1 3 2 2 2 3 2 3 2" xfId="29220" xr:uid="{00000000-0005-0000-0000-000093040000}"/>
    <cellStyle name="20% - Accent1 3 2 2 2 3 2 4" xfId="21946" xr:uid="{00000000-0005-0000-0000-000094040000}"/>
    <cellStyle name="20% - Accent1 3 2 2 2 3 3" xfId="33196" xr:uid="{00000000-0005-0000-0000-000095040000}"/>
    <cellStyle name="20% - Accent1 3 2 2 2 3 3 2" xfId="31877" xr:uid="{00000000-0005-0000-0000-000096040000}"/>
    <cellStyle name="20% - Accent1 3 2 2 2 3 3 2 2" xfId="24476" xr:uid="{00000000-0005-0000-0000-000097040000}"/>
    <cellStyle name="20% - Accent1 3 2 2 2 3 3 3" xfId="32732" xr:uid="{00000000-0005-0000-0000-000098040000}"/>
    <cellStyle name="20% - Accent1 3 2 2 2 3 4" xfId="29840" xr:uid="{00000000-0005-0000-0000-000099040000}"/>
    <cellStyle name="20% - Accent1 3 2 2 2 3 4 2" xfId="29838" xr:uid="{00000000-0005-0000-0000-00009A040000}"/>
    <cellStyle name="20% - Accent1 3 2 2 2 3 5" xfId="22581" xr:uid="{00000000-0005-0000-0000-00009B040000}"/>
    <cellStyle name="20% - Accent1 3 2 2 2 4" xfId="33323" xr:uid="{00000000-0005-0000-0000-00009C040000}"/>
    <cellStyle name="20% - Accent1 3 2 2 2 4 2" xfId="33195" xr:uid="{00000000-0005-0000-0000-00009D040000}"/>
    <cellStyle name="20% - Accent1 3 2 2 2 4 2 2" xfId="32044" xr:uid="{00000000-0005-0000-0000-00009E040000}"/>
    <cellStyle name="20% - Accent1 3 2 2 2 4 2 2 2" xfId="33447" xr:uid="{00000000-0005-0000-0000-00009F040000}"/>
    <cellStyle name="20% - Accent1 3 2 2 2 4 2 3" xfId="19744" xr:uid="{00000000-0005-0000-0000-0000A0040000}"/>
    <cellStyle name="20% - Accent1 3 2 2 2 4 3" xfId="33062" xr:uid="{00000000-0005-0000-0000-0000A1040000}"/>
    <cellStyle name="20% - Accent1 3 2 2 2 4 3 2" xfId="30905" xr:uid="{00000000-0005-0000-0000-0000A2040000}"/>
    <cellStyle name="20% - Accent1 3 2 2 2 4 4" xfId="26756" xr:uid="{00000000-0005-0000-0000-0000A3040000}"/>
    <cellStyle name="20% - Accent1 3 2 2 2 5" xfId="32720" xr:uid="{00000000-0005-0000-0000-0000A4040000}"/>
    <cellStyle name="20% - Accent1 3 2 2 2 5 2" xfId="29939" xr:uid="{00000000-0005-0000-0000-0000A5040000}"/>
    <cellStyle name="20% - Accent1 3 2 2 2 5 2 2" xfId="19713" xr:uid="{00000000-0005-0000-0000-0000A6040000}"/>
    <cellStyle name="20% - Accent1 3 2 2 2 5 3" xfId="33736" xr:uid="{00000000-0005-0000-0000-0000A7040000}"/>
    <cellStyle name="20% - Accent1 3 2 2 2 6" xfId="20573" xr:uid="{00000000-0005-0000-0000-0000A8040000}"/>
    <cellStyle name="20% - Accent1 3 2 2 2 6 2" xfId="22658" xr:uid="{00000000-0005-0000-0000-0000A9040000}"/>
    <cellStyle name="20% - Accent1 3 2 2 2 7" xfId="20572" xr:uid="{00000000-0005-0000-0000-0000AA040000}"/>
    <cellStyle name="20% - Accent1 3 2 2 3" xfId="25704" xr:uid="{00000000-0005-0000-0000-0000AB040000}"/>
    <cellStyle name="20% - Accent1 3 2 2 3 2" xfId="27861" xr:uid="{00000000-0005-0000-0000-0000AC040000}"/>
    <cellStyle name="20% - Accent1 3 2 2 3 2 2" xfId="33298" xr:uid="{00000000-0005-0000-0000-0000AD040000}"/>
    <cellStyle name="20% - Accent1 3 2 2 3 2 2 2" xfId="14323" xr:uid="{00000000-0005-0000-0000-0000AE040000}"/>
    <cellStyle name="20% - Accent1 3 2 2 3 2 2 2 2" xfId="22592" xr:uid="{00000000-0005-0000-0000-0000AF040000}"/>
    <cellStyle name="20% - Accent1 3 2 2 3 2 2 2 2 2" xfId="32338" xr:uid="{00000000-0005-0000-0000-0000B0040000}"/>
    <cellStyle name="20% - Accent1 3 2 2 3 2 2 2 3" xfId="32708" xr:uid="{00000000-0005-0000-0000-0000B1040000}"/>
    <cellStyle name="20% - Accent1 3 2 2 3 2 2 3" xfId="30790" xr:uid="{00000000-0005-0000-0000-0000B2040000}"/>
    <cellStyle name="20% - Accent1 3 2 2 3 2 2 3 2" xfId="32702" xr:uid="{00000000-0005-0000-0000-0000B3040000}"/>
    <cellStyle name="20% - Accent1 3 2 2 3 2 2 4" xfId="20614" xr:uid="{00000000-0005-0000-0000-0000B4040000}"/>
    <cellStyle name="20% - Accent1 3 2 2 3 2 3" xfId="32701" xr:uid="{00000000-0005-0000-0000-0000B5040000}"/>
    <cellStyle name="20% - Accent1 3 2 2 3 2 3 2" xfId="19608" xr:uid="{00000000-0005-0000-0000-0000B6040000}"/>
    <cellStyle name="20% - Accent1 3 2 2 3 2 3 2 2" xfId="26890" xr:uid="{00000000-0005-0000-0000-0000B7040000}"/>
    <cellStyle name="20% - Accent1 3 2 2 3 2 3 3" xfId="32686" xr:uid="{00000000-0005-0000-0000-0000B8040000}"/>
    <cellStyle name="20% - Accent1 3 2 2 3 2 4" xfId="26681" xr:uid="{00000000-0005-0000-0000-0000B9040000}"/>
    <cellStyle name="20% - Accent1 3 2 2 3 2 4 2" xfId="19600" xr:uid="{00000000-0005-0000-0000-0000BA040000}"/>
    <cellStyle name="20% - Accent1 3 2 2 3 2 5" xfId="22489" xr:uid="{00000000-0005-0000-0000-0000BB040000}"/>
    <cellStyle name="20% - Accent1 3 2 2 3 3" xfId="33292" xr:uid="{00000000-0005-0000-0000-0000BC040000}"/>
    <cellStyle name="20% - Accent1 3 2 2 3 3 2" xfId="32682" xr:uid="{00000000-0005-0000-0000-0000BD040000}"/>
    <cellStyle name="20% - Accent1 3 2 2 3 3 2 2" xfId="19588" xr:uid="{00000000-0005-0000-0000-0000BE040000}"/>
    <cellStyle name="20% - Accent1 3 2 2 3 3 2 2 2" xfId="34379" xr:uid="{00000000-0005-0000-0000-0000BF040000}"/>
    <cellStyle name="20% - Accent1 3 2 2 3 3 2 3" xfId="31550" xr:uid="{00000000-0005-0000-0000-0000C0040000}"/>
    <cellStyle name="20% - Accent1 3 2 2 3 3 3" xfId="28538" xr:uid="{00000000-0005-0000-0000-0000C1040000}"/>
    <cellStyle name="20% - Accent1 3 2 2 3 3 3 2" xfId="32651" xr:uid="{00000000-0005-0000-0000-0000C2040000}"/>
    <cellStyle name="20% - Accent1 3 2 2 3 3 4" xfId="26672" xr:uid="{00000000-0005-0000-0000-0000C3040000}"/>
    <cellStyle name="20% - Accent1 3 2 2 3 4" xfId="10250" xr:uid="{00000000-0005-0000-0000-0000C4040000}"/>
    <cellStyle name="20% - Accent1 3 2 2 3 4 2" xfId="8458" xr:uid="{00000000-0005-0000-0000-0000C5040000}"/>
    <cellStyle name="20% - Accent1 3 2 2 3 4 2 2" xfId="19572" xr:uid="{00000000-0005-0000-0000-0000C6040000}"/>
    <cellStyle name="20% - Accent1 3 2 2 3 4 3" xfId="8455" xr:uid="{00000000-0005-0000-0000-0000C7040000}"/>
    <cellStyle name="20% - Accent1 3 2 2 3 5" xfId="8453" xr:uid="{00000000-0005-0000-0000-0000C8040000}"/>
    <cellStyle name="20% - Accent1 3 2 2 3 5 2" xfId="31419" xr:uid="{00000000-0005-0000-0000-0000C9040000}"/>
    <cellStyle name="20% - Accent1 3 2 2 3 6" xfId="8451" xr:uid="{00000000-0005-0000-0000-0000CA040000}"/>
    <cellStyle name="20% - Accent1 3 2 2 4" xfId="33290" xr:uid="{00000000-0005-0000-0000-0000CB040000}"/>
    <cellStyle name="20% - Accent1 3 2 2 4 2" xfId="27656" xr:uid="{00000000-0005-0000-0000-0000CC040000}"/>
    <cellStyle name="20% - Accent1 3 2 2 4 2 2" xfId="32630" xr:uid="{00000000-0005-0000-0000-0000CD040000}"/>
    <cellStyle name="20% - Accent1 3 2 2 4 2 2 2" xfId="19518" xr:uid="{00000000-0005-0000-0000-0000CE040000}"/>
    <cellStyle name="20% - Accent1 3 2 2 4 2 2 2 2" xfId="5574" xr:uid="{00000000-0005-0000-0000-0000CF040000}"/>
    <cellStyle name="20% - Accent1 3 2 2 4 2 2 3" xfId="31360" xr:uid="{00000000-0005-0000-0000-0000D0040000}"/>
    <cellStyle name="20% - Accent1 3 2 2 4 2 3" xfId="32627" xr:uid="{00000000-0005-0000-0000-0000D1040000}"/>
    <cellStyle name="20% - Accent1 3 2 2 4 2 3 2" xfId="19512" xr:uid="{00000000-0005-0000-0000-0000D2040000}"/>
    <cellStyle name="20% - Accent1 3 2 2 4 2 4" xfId="25840" xr:uid="{00000000-0005-0000-0000-0000D3040000}"/>
    <cellStyle name="20% - Accent1 3 2 2 4 3" xfId="21103" xr:uid="{00000000-0005-0000-0000-0000D4040000}"/>
    <cellStyle name="20% - Accent1 3 2 2 4 3 2" xfId="27655" xr:uid="{00000000-0005-0000-0000-0000D5040000}"/>
    <cellStyle name="20% - Accent1 3 2 2 4 3 2 2" xfId="19503" xr:uid="{00000000-0005-0000-0000-0000D6040000}"/>
    <cellStyle name="20% - Accent1 3 2 2 4 3 3" xfId="32614" xr:uid="{00000000-0005-0000-0000-0000D7040000}"/>
    <cellStyle name="20% - Accent1 3 2 2 4 4" xfId="8448" xr:uid="{00000000-0005-0000-0000-0000D8040000}"/>
    <cellStyle name="20% - Accent1 3 2 2 4 4 2" xfId="32613" xr:uid="{00000000-0005-0000-0000-0000D9040000}"/>
    <cellStyle name="20% - Accent1 3 2 2 4 5" xfId="18867" xr:uid="{00000000-0005-0000-0000-0000DA040000}"/>
    <cellStyle name="20% - Accent1 3 2 2 5" xfId="33289" xr:uid="{00000000-0005-0000-0000-0000DB040000}"/>
    <cellStyle name="20% - Accent1 3 2 2 5 2" xfId="28581" xr:uid="{00000000-0005-0000-0000-0000DC040000}"/>
    <cellStyle name="20% - Accent1 3 2 2 5 2 2" xfId="32951" xr:uid="{00000000-0005-0000-0000-0000DD040000}"/>
    <cellStyle name="20% - Accent1 3 2 2 5 2 2 2" xfId="18416" xr:uid="{00000000-0005-0000-0000-0000DE040000}"/>
    <cellStyle name="20% - Accent1 3 2 2 5 2 3" xfId="32600" xr:uid="{00000000-0005-0000-0000-0000DF040000}"/>
    <cellStyle name="20% - Accent1 3 2 2 5 3" xfId="32337" xr:uid="{00000000-0005-0000-0000-0000E0040000}"/>
    <cellStyle name="20% - Accent1 3 2 2 5 3 2" xfId="32595" xr:uid="{00000000-0005-0000-0000-0000E1040000}"/>
    <cellStyle name="20% - Accent1 3 2 2 5 4" xfId="28407" xr:uid="{00000000-0005-0000-0000-0000E2040000}"/>
    <cellStyle name="20% - Accent1 3 2 2 6" xfId="32056" xr:uid="{00000000-0005-0000-0000-0000E3040000}"/>
    <cellStyle name="20% - Accent1 3 2 2 6 2" xfId="20149" xr:uid="{00000000-0005-0000-0000-0000E4040000}"/>
    <cellStyle name="20% - Accent1 3 2 2 6 2 2" xfId="31672" xr:uid="{00000000-0005-0000-0000-0000E5040000}"/>
    <cellStyle name="20% - Accent1 3 2 2 6 3" xfId="31811" xr:uid="{00000000-0005-0000-0000-0000E6040000}"/>
    <cellStyle name="20% - Accent1 3 2 2 7" xfId="17831" xr:uid="{00000000-0005-0000-0000-0000E7040000}"/>
    <cellStyle name="20% - Accent1 3 2 2 7 2" xfId="34217" xr:uid="{00000000-0005-0000-0000-0000E8040000}"/>
    <cellStyle name="20% - Accent1 3 2 2 8" xfId="25892" xr:uid="{00000000-0005-0000-0000-0000E9040000}"/>
    <cellStyle name="20% - Accent1 3 2 3" xfId="32561" xr:uid="{00000000-0005-0000-0000-0000EA040000}"/>
    <cellStyle name="20% - Accent1 3 2 3 2" xfId="25667" xr:uid="{00000000-0005-0000-0000-0000EB040000}"/>
    <cellStyle name="20% - Accent1 3 2 3 2 2" xfId="33223" xr:uid="{00000000-0005-0000-0000-0000EC040000}"/>
    <cellStyle name="20% - Accent1 3 2 3 2 2 2" xfId="30169" xr:uid="{00000000-0005-0000-0000-0000ED040000}"/>
    <cellStyle name="20% - Accent1 3 2 3 2 2 2 2" xfId="29848" xr:uid="{00000000-0005-0000-0000-0000EE040000}"/>
    <cellStyle name="20% - Accent1 3 2 3 2 2 2 2 2" xfId="26675" xr:uid="{00000000-0005-0000-0000-0000EF040000}"/>
    <cellStyle name="20% - Accent1 3 2 3 2 2 2 2 2 2" xfId="30429" xr:uid="{00000000-0005-0000-0000-0000F0040000}"/>
    <cellStyle name="20% - Accent1 3 2 3 2 2 2 2 3" xfId="18389" xr:uid="{00000000-0005-0000-0000-0000F1040000}"/>
    <cellStyle name="20% - Accent1 3 2 3 2 2 2 3" xfId="15733" xr:uid="{00000000-0005-0000-0000-0000F2040000}"/>
    <cellStyle name="20% - Accent1 3 2 3 2 2 2 3 2" xfId="23056" xr:uid="{00000000-0005-0000-0000-0000F3040000}"/>
    <cellStyle name="20% - Accent1 3 2 3 2 2 2 4" xfId="10002" xr:uid="{00000000-0005-0000-0000-0000F4040000}"/>
    <cellStyle name="20% - Accent1 3 2 3 2 2 3" xfId="32560" xr:uid="{00000000-0005-0000-0000-0000F5040000}"/>
    <cellStyle name="20% - Accent1 3 2 3 2 2 3 2" xfId="19356" xr:uid="{00000000-0005-0000-0000-0000F6040000}"/>
    <cellStyle name="20% - Accent1 3 2 3 2 2 3 2 2" xfId="33422" xr:uid="{00000000-0005-0000-0000-0000F7040000}"/>
    <cellStyle name="20% - Accent1 3 2 3 2 2 3 3" xfId="19352" xr:uid="{00000000-0005-0000-0000-0000F8040000}"/>
    <cellStyle name="20% - Accent1 3 2 3 2 2 4" xfId="29721" xr:uid="{00000000-0005-0000-0000-0000F9040000}"/>
    <cellStyle name="20% - Accent1 3 2 3 2 2 4 2" xfId="19340" xr:uid="{00000000-0005-0000-0000-0000FA040000}"/>
    <cellStyle name="20% - Accent1 3 2 3 2 2 5" xfId="22379" xr:uid="{00000000-0005-0000-0000-0000FB040000}"/>
    <cellStyle name="20% - Accent1 3 2 3 2 3" xfId="29556" xr:uid="{00000000-0005-0000-0000-0000FC040000}"/>
    <cellStyle name="20% - Accent1 3 2 3 2 3 2" xfId="29545" xr:uid="{00000000-0005-0000-0000-0000FD040000}"/>
    <cellStyle name="20% - Accent1 3 2 3 2 3 2 2" xfId="12760" xr:uid="{00000000-0005-0000-0000-0000FE040000}"/>
    <cellStyle name="20% - Accent1 3 2 3 2 3 2 2 2" xfId="29661" xr:uid="{00000000-0005-0000-0000-0000FF040000}"/>
    <cellStyle name="20% - Accent1 3 2 3 2 3 2 3" xfId="19328" xr:uid="{00000000-0005-0000-0000-000000050000}"/>
    <cellStyle name="20% - Accent1 3 2 3 2 3 3" xfId="29533" xr:uid="{00000000-0005-0000-0000-000001050000}"/>
    <cellStyle name="20% - Accent1 3 2 3 2 3 3 2" xfId="29528" xr:uid="{00000000-0005-0000-0000-000002050000}"/>
    <cellStyle name="20% - Accent1 3 2 3 2 3 4" xfId="29566" xr:uid="{00000000-0005-0000-0000-000003050000}"/>
    <cellStyle name="20% - Accent1 3 2 3 2 4" xfId="31479" xr:uid="{00000000-0005-0000-0000-000004050000}"/>
    <cellStyle name="20% - Accent1 3 2 3 2 4 2" xfId="32452" xr:uid="{00000000-0005-0000-0000-000005050000}"/>
    <cellStyle name="20% - Accent1 3 2 3 2 4 2 2" xfId="19323" xr:uid="{00000000-0005-0000-0000-000006050000}"/>
    <cellStyle name="20% - Accent1 3 2 3 2 4 3" xfId="32900" xr:uid="{00000000-0005-0000-0000-000007050000}"/>
    <cellStyle name="20% - Accent1 3 2 3 2 5" xfId="31472" xr:uid="{00000000-0005-0000-0000-000008050000}"/>
    <cellStyle name="20% - Accent1 3 2 3 2 5 2" xfId="32539" xr:uid="{00000000-0005-0000-0000-000009050000}"/>
    <cellStyle name="20% - Accent1 3 2 3 2 6" xfId="29344" xr:uid="{00000000-0005-0000-0000-00000A050000}"/>
    <cellStyle name="20% - Accent1 3 2 3 3" xfId="33856" xr:uid="{00000000-0005-0000-0000-00000B050000}"/>
    <cellStyle name="20% - Accent1 3 2 3 3 2" xfId="33213" xr:uid="{00000000-0005-0000-0000-00000C050000}"/>
    <cellStyle name="20% - Accent1 3 2 3 3 2 2" xfId="32176" xr:uid="{00000000-0005-0000-0000-00000D050000}"/>
    <cellStyle name="20% - Accent1 3 2 3 3 2 2 2" xfId="12710" xr:uid="{00000000-0005-0000-0000-00000E050000}"/>
    <cellStyle name="20% - Accent1 3 2 3 3 2 2 2 2" xfId="18052" xr:uid="{00000000-0005-0000-0000-00000F050000}"/>
    <cellStyle name="20% - Accent1 3 2 3 3 2 2 3" xfId="28140" xr:uid="{00000000-0005-0000-0000-000010050000}"/>
    <cellStyle name="20% - Accent1 3 2 3 3 2 3" xfId="32525" xr:uid="{00000000-0005-0000-0000-000011050000}"/>
    <cellStyle name="20% - Accent1 3 2 3 3 2 3 2" xfId="19280" xr:uid="{00000000-0005-0000-0000-000012050000}"/>
    <cellStyle name="20% - Accent1 3 2 3 3 2 4" xfId="29677" xr:uid="{00000000-0005-0000-0000-000013050000}"/>
    <cellStyle name="20% - Accent1 3 2 3 3 3" xfId="30987" xr:uid="{00000000-0005-0000-0000-000014050000}"/>
    <cellStyle name="20% - Accent1 3 2 3 3 3 2" xfId="29526" xr:uid="{00000000-0005-0000-0000-000015050000}"/>
    <cellStyle name="20% - Accent1 3 2 3 3 3 2 2" xfId="19276" xr:uid="{00000000-0005-0000-0000-000016050000}"/>
    <cellStyle name="20% - Accent1 3 2 3 3 3 3" xfId="29522" xr:uid="{00000000-0005-0000-0000-000017050000}"/>
    <cellStyle name="20% - Accent1 3 2 3 3 4" xfId="8444" xr:uid="{00000000-0005-0000-0000-000018050000}"/>
    <cellStyle name="20% - Accent1 3 2 3 3 4 2" xfId="8442" xr:uid="{00000000-0005-0000-0000-000019050000}"/>
    <cellStyle name="20% - Accent1 3 2 3 3 5" xfId="8440" xr:uid="{00000000-0005-0000-0000-00001A050000}"/>
    <cellStyle name="20% - Accent1 3 2 3 4" xfId="25351" xr:uid="{00000000-0005-0000-0000-00001B050000}"/>
    <cellStyle name="20% - Accent1 3 2 3 4 2" xfId="20897" xr:uid="{00000000-0005-0000-0000-00001C050000}"/>
    <cellStyle name="20% - Accent1 3 2 3 4 2 2" xfId="31614" xr:uid="{00000000-0005-0000-0000-00001D050000}"/>
    <cellStyle name="20% - Accent1 3 2 3 4 2 2 2" xfId="19232" xr:uid="{00000000-0005-0000-0000-00001E050000}"/>
    <cellStyle name="20% - Accent1 3 2 3 4 2 3" xfId="32507" xr:uid="{00000000-0005-0000-0000-00001F050000}"/>
    <cellStyle name="20% - Accent1 3 2 3 4 3" xfId="30954" xr:uid="{00000000-0005-0000-0000-000020050000}"/>
    <cellStyle name="20% - Accent1 3 2 3 4 3 2" xfId="29507" xr:uid="{00000000-0005-0000-0000-000021050000}"/>
    <cellStyle name="20% - Accent1 3 2 3 4 4" xfId="8436" xr:uid="{00000000-0005-0000-0000-000022050000}"/>
    <cellStyle name="20% - Accent1 3 2 3 5" xfId="25346" xr:uid="{00000000-0005-0000-0000-000023050000}"/>
    <cellStyle name="20% - Accent1 3 2 3 5 2" xfId="32499" xr:uid="{00000000-0005-0000-0000-000024050000}"/>
    <cellStyle name="20% - Accent1 3 2 3 5 2 2" xfId="31371" xr:uid="{00000000-0005-0000-0000-000025050000}"/>
    <cellStyle name="20% - Accent1 3 2 3 5 3" xfId="29486" xr:uid="{00000000-0005-0000-0000-000026050000}"/>
    <cellStyle name="20% - Accent1 3 2 3 6" xfId="33657" xr:uid="{00000000-0005-0000-0000-000027050000}"/>
    <cellStyle name="20% - Accent1 3 2 3 6 2" xfId="32497" xr:uid="{00000000-0005-0000-0000-000028050000}"/>
    <cellStyle name="20% - Accent1 3 2 3 7" xfId="31057" xr:uid="{00000000-0005-0000-0000-000029050000}"/>
    <cellStyle name="20% - Accent1 3 2 4" xfId="30945" xr:uid="{00000000-0005-0000-0000-00002A050000}"/>
    <cellStyle name="20% - Accent1 3 2 4 2" xfId="33059" xr:uid="{00000000-0005-0000-0000-00002B050000}"/>
    <cellStyle name="20% - Accent1 3 2 4 2 2" xfId="30545" xr:uid="{00000000-0005-0000-0000-00002C050000}"/>
    <cellStyle name="20% - Accent1 3 2 4 2 2 2" xfId="29208" xr:uid="{00000000-0005-0000-0000-00002D050000}"/>
    <cellStyle name="20% - Accent1 3 2 4 2 2 2 2" xfId="5547" xr:uid="{00000000-0005-0000-0000-00002E050000}"/>
    <cellStyle name="20% - Accent1 3 2 4 2 2 2 2 2" xfId="21746" xr:uid="{00000000-0005-0000-0000-00002F050000}"/>
    <cellStyle name="20% - Accent1 3 2 4 2 2 2 3" xfId="20655" xr:uid="{00000000-0005-0000-0000-000030050000}"/>
    <cellStyle name="20% - Accent1 3 2 4 2 2 3" xfId="29194" xr:uid="{00000000-0005-0000-0000-000031050000}"/>
    <cellStyle name="20% - Accent1 3 2 4 2 2 3 2" xfId="16610" xr:uid="{00000000-0005-0000-0000-000032050000}"/>
    <cellStyle name="20% - Accent1 3 2 4 2 2 4" xfId="29167" xr:uid="{00000000-0005-0000-0000-000033050000}"/>
    <cellStyle name="20% - Accent1 3 2 4 2 3" xfId="29163" xr:uid="{00000000-0005-0000-0000-000034050000}"/>
    <cellStyle name="20% - Accent1 3 2 4 2 3 2" xfId="29262" xr:uid="{00000000-0005-0000-0000-000035050000}"/>
    <cellStyle name="20% - Accent1 3 2 4 2 3 2 2" xfId="10333" xr:uid="{00000000-0005-0000-0000-000036050000}"/>
    <cellStyle name="20% - Accent1 3 2 4 2 3 3" xfId="29250" xr:uid="{00000000-0005-0000-0000-000037050000}"/>
    <cellStyle name="20% - Accent1 3 2 4 2 4" xfId="26963" xr:uid="{00000000-0005-0000-0000-000038050000}"/>
    <cellStyle name="20% - Accent1 3 2 4 2 4 2" xfId="29248" xr:uid="{00000000-0005-0000-0000-000039050000}"/>
    <cellStyle name="20% - Accent1 3 2 4 2 5" xfId="29455" xr:uid="{00000000-0005-0000-0000-00003A050000}"/>
    <cellStyle name="20% - Accent1 3 2 4 3" xfId="33849" xr:uid="{00000000-0005-0000-0000-00003B050000}"/>
    <cellStyle name="20% - Accent1 3 2 4 3 2" xfId="11507" xr:uid="{00000000-0005-0000-0000-00003C050000}"/>
    <cellStyle name="20% - Accent1 3 2 4 3 2 2" xfId="13550" xr:uid="{00000000-0005-0000-0000-00003D050000}"/>
    <cellStyle name="20% - Accent1 3 2 4 3 2 2 2" xfId="9595" xr:uid="{00000000-0005-0000-0000-00003E050000}"/>
    <cellStyle name="20% - Accent1 3 2 4 3 2 3" xfId="11465" xr:uid="{00000000-0005-0000-0000-00003F050000}"/>
    <cellStyle name="20% - Accent1 3 2 4 3 3" xfId="29301" xr:uid="{00000000-0005-0000-0000-000040050000}"/>
    <cellStyle name="20% - Accent1 3 2 4 3 3 2" xfId="11413" xr:uid="{00000000-0005-0000-0000-000041050000}"/>
    <cellStyle name="20% - Accent1 3 2 4 3 4" xfId="8430" xr:uid="{00000000-0005-0000-0000-000042050000}"/>
    <cellStyle name="20% - Accent1 3 2 4 4" xfId="25335" xr:uid="{00000000-0005-0000-0000-000043050000}"/>
    <cellStyle name="20% - Accent1 3 2 4 4 2" xfId="11263" xr:uid="{00000000-0005-0000-0000-000044050000}"/>
    <cellStyle name="20% - Accent1 3 2 4 4 2 2" xfId="11261" xr:uid="{00000000-0005-0000-0000-000045050000}"/>
    <cellStyle name="20% - Accent1 3 2 4 4 3" xfId="11199" xr:uid="{00000000-0005-0000-0000-000046050000}"/>
    <cellStyle name="20% - Accent1 3 2 4 5" xfId="33930" xr:uid="{00000000-0005-0000-0000-000047050000}"/>
    <cellStyle name="20% - Accent1 3 2 4 5 2" xfId="11108" xr:uid="{00000000-0005-0000-0000-000048050000}"/>
    <cellStyle name="20% - Accent1 3 2 4 6" xfId="32468" xr:uid="{00000000-0005-0000-0000-000049050000}"/>
    <cellStyle name="20% - Accent1 3 2 5" xfId="32457" xr:uid="{00000000-0005-0000-0000-00004A050000}"/>
    <cellStyle name="20% - Accent1 3 2 5 2" xfId="33043" xr:uid="{00000000-0005-0000-0000-00004B050000}"/>
    <cellStyle name="20% - Accent1 3 2 5 2 2" xfId="21780" xr:uid="{00000000-0005-0000-0000-00004C050000}"/>
    <cellStyle name="20% - Accent1 3 2 5 2 2 2" xfId="34040" xr:uid="{00000000-0005-0000-0000-00004D050000}"/>
    <cellStyle name="20% - Accent1 3 2 5 2 2 2 2" xfId="20719" xr:uid="{00000000-0005-0000-0000-00004E050000}"/>
    <cellStyle name="20% - Accent1 3 2 5 2 2 3" xfId="33445" xr:uid="{00000000-0005-0000-0000-00004F050000}"/>
    <cellStyle name="20% - Accent1 3 2 5 2 3" xfId="30874" xr:uid="{00000000-0005-0000-0000-000050050000}"/>
    <cellStyle name="20% - Accent1 3 2 5 2 3 2" xfId="23479" xr:uid="{00000000-0005-0000-0000-000051050000}"/>
    <cellStyle name="20% - Accent1 3 2 5 2 4" xfId="21852" xr:uid="{00000000-0005-0000-0000-000052050000}"/>
    <cellStyle name="20% - Accent1 3 2 5 3" xfId="33645" xr:uid="{00000000-0005-0000-0000-000053050000}"/>
    <cellStyle name="20% - Accent1 3 2 5 3 2" xfId="24467" xr:uid="{00000000-0005-0000-0000-000054050000}"/>
    <cellStyle name="20% - Accent1 3 2 5 3 2 2" xfId="24550" xr:uid="{00000000-0005-0000-0000-000055050000}"/>
    <cellStyle name="20% - Accent1 3 2 5 3 3" xfId="10825" xr:uid="{00000000-0005-0000-0000-000056050000}"/>
    <cellStyle name="20% - Accent1 3 2 5 4" xfId="22023" xr:uid="{00000000-0005-0000-0000-000057050000}"/>
    <cellStyle name="20% - Accent1 3 2 5 4 2" xfId="10744" xr:uid="{00000000-0005-0000-0000-000058050000}"/>
    <cellStyle name="20% - Accent1 3 2 5 5" xfId="27585" xr:uid="{00000000-0005-0000-0000-000059050000}"/>
    <cellStyle name="20% - Accent1 3 2 6" xfId="29345" xr:uid="{00000000-0005-0000-0000-00005A050000}"/>
    <cellStyle name="20% - Accent1 3 2 6 2" xfId="33830" xr:uid="{00000000-0005-0000-0000-00005B050000}"/>
    <cellStyle name="20% - Accent1 3 2 6 2 2" xfId="31546" xr:uid="{00000000-0005-0000-0000-00005C050000}"/>
    <cellStyle name="20% - Accent1 3 2 6 2 2 2" xfId="18579" xr:uid="{00000000-0005-0000-0000-00005D050000}"/>
    <cellStyle name="20% - Accent1 3 2 6 2 3" xfId="29387" xr:uid="{00000000-0005-0000-0000-00005E050000}"/>
    <cellStyle name="20% - Accent1 3 2 6 3" xfId="33745" xr:uid="{00000000-0005-0000-0000-00005F050000}"/>
    <cellStyle name="20% - Accent1 3 2 6 3 2" xfId="10552" xr:uid="{00000000-0005-0000-0000-000060050000}"/>
    <cellStyle name="20% - Accent1 3 2 6 4" xfId="28309" xr:uid="{00000000-0005-0000-0000-000061050000}"/>
    <cellStyle name="20% - Accent1 3 2 7" xfId="31106" xr:uid="{00000000-0005-0000-0000-000062050000}"/>
    <cellStyle name="20% - Accent1 3 2 7 2" xfId="22275" xr:uid="{00000000-0005-0000-0000-000063050000}"/>
    <cellStyle name="20% - Accent1 3 2 7 2 2" xfId="31307" xr:uid="{00000000-0005-0000-0000-000064050000}"/>
    <cellStyle name="20% - Accent1 3 2 7 3" xfId="22271" xr:uid="{00000000-0005-0000-0000-000065050000}"/>
    <cellStyle name="20% - Accent1 3 2 8" xfId="33713" xr:uid="{00000000-0005-0000-0000-000066050000}"/>
    <cellStyle name="20% - Accent1 3 2 8 2" xfId="22257" xr:uid="{00000000-0005-0000-0000-000067050000}"/>
    <cellStyle name="20% - Accent1 3 2 9" xfId="15394" xr:uid="{00000000-0005-0000-0000-000068050000}"/>
    <cellStyle name="20% - Accent1 3 3" xfId="220" xr:uid="{00000000-0005-0000-0000-000069050000}"/>
    <cellStyle name="20% - Accent1 3 3 10" xfId="33164" xr:uid="{00000000-0005-0000-0000-00006A050000}"/>
    <cellStyle name="20% - Accent1 3 3 2" xfId="28197" xr:uid="{00000000-0005-0000-0000-00006B050000}"/>
    <cellStyle name="20% - Accent1 3 3 2 2" xfId="25560" xr:uid="{00000000-0005-0000-0000-00006C050000}"/>
    <cellStyle name="20% - Accent1 3 3 2 2 2" xfId="33740" xr:uid="{00000000-0005-0000-0000-00006D050000}"/>
    <cellStyle name="20% - Accent1 3 3 2 2 2 2" xfId="33102" xr:uid="{00000000-0005-0000-0000-00006E050000}"/>
    <cellStyle name="20% - Accent1 3 3 2 2 2 2 2" xfId="30439" xr:uid="{00000000-0005-0000-0000-00006F050000}"/>
    <cellStyle name="20% - Accent1 3 3 2 2 2 2 2 2" xfId="31002" xr:uid="{00000000-0005-0000-0000-000070050000}"/>
    <cellStyle name="20% - Accent1 3 3 2 2 2 2 2 2 2" xfId="24942" xr:uid="{00000000-0005-0000-0000-000071050000}"/>
    <cellStyle name="20% - Accent1 3 3 2 2 2 2 2 3" xfId="32426" xr:uid="{00000000-0005-0000-0000-000072050000}"/>
    <cellStyle name="20% - Accent1 3 3 2 2 2 2 3" xfId="30434" xr:uid="{00000000-0005-0000-0000-000073050000}"/>
    <cellStyle name="20% - Accent1 3 3 2 2 2 2 3 2" xfId="32419" xr:uid="{00000000-0005-0000-0000-000074050000}"/>
    <cellStyle name="20% - Accent1 3 3 2 2 2 2 4" xfId="17880" xr:uid="{00000000-0005-0000-0000-000075050000}"/>
    <cellStyle name="20% - Accent1 3 3 2 2 2 3" xfId="34035" xr:uid="{00000000-0005-0000-0000-000076050000}"/>
    <cellStyle name="20% - Accent1 3 3 2 2 2 3 2" xfId="18907" xr:uid="{00000000-0005-0000-0000-000077050000}"/>
    <cellStyle name="20% - Accent1 3 3 2 2 2 3 2 2" xfId="32418" xr:uid="{00000000-0005-0000-0000-000078050000}"/>
    <cellStyle name="20% - Accent1 3 3 2 2 2 3 3" xfId="17943" xr:uid="{00000000-0005-0000-0000-000079050000}"/>
    <cellStyle name="20% - Accent1 3 3 2 2 2 4" xfId="29546" xr:uid="{00000000-0005-0000-0000-00007A050000}"/>
    <cellStyle name="20% - Accent1 3 3 2 2 2 4 2" xfId="18896" xr:uid="{00000000-0005-0000-0000-00007B050000}"/>
    <cellStyle name="20% - Accent1 3 3 2 2 2 5" xfId="26995" xr:uid="{00000000-0005-0000-0000-00007C050000}"/>
    <cellStyle name="20% - Accent1 3 3 2 2 3" xfId="33084" xr:uid="{00000000-0005-0000-0000-00007D050000}"/>
    <cellStyle name="20% - Accent1 3 3 2 2 3 2" xfId="32413" xr:uid="{00000000-0005-0000-0000-00007E050000}"/>
    <cellStyle name="20% - Accent1 3 3 2 2 3 2 2" xfId="18890" xr:uid="{00000000-0005-0000-0000-00007F050000}"/>
    <cellStyle name="20% - Accent1 3 3 2 2 3 2 2 2" xfId="32410" xr:uid="{00000000-0005-0000-0000-000080050000}"/>
    <cellStyle name="20% - Accent1 3 3 2 2 3 2 3" xfId="27228" xr:uid="{00000000-0005-0000-0000-000081050000}"/>
    <cellStyle name="20% - Accent1 3 3 2 2 3 3" xfId="32405" xr:uid="{00000000-0005-0000-0000-000082050000}"/>
    <cellStyle name="20% - Accent1 3 3 2 2 3 3 2" xfId="29666" xr:uid="{00000000-0005-0000-0000-000083050000}"/>
    <cellStyle name="20% - Accent1 3 3 2 2 3 4" xfId="32451" xr:uid="{00000000-0005-0000-0000-000084050000}"/>
    <cellStyle name="20% - Accent1 3 3 2 2 4" xfId="26786" xr:uid="{00000000-0005-0000-0000-000085050000}"/>
    <cellStyle name="20% - Accent1 3 3 2 2 4 2" xfId="34189" xr:uid="{00000000-0005-0000-0000-000086050000}"/>
    <cellStyle name="20% - Accent1 3 3 2 2 4 2 2" xfId="16868" xr:uid="{00000000-0005-0000-0000-000087050000}"/>
    <cellStyle name="20% - Accent1 3 3 2 2 4 3" xfId="18530" xr:uid="{00000000-0005-0000-0000-000088050000}"/>
    <cellStyle name="20% - Accent1 3 3 2 2 5" xfId="26316" xr:uid="{00000000-0005-0000-0000-000089050000}"/>
    <cellStyle name="20% - Accent1 3 3 2 2 5 2" xfId="32393" xr:uid="{00000000-0005-0000-0000-00008A050000}"/>
    <cellStyle name="20% - Accent1 3 3 2 2 6" xfId="20390" xr:uid="{00000000-0005-0000-0000-00008B050000}"/>
    <cellStyle name="20% - Accent1 3 3 2 3" xfId="29218" xr:uid="{00000000-0005-0000-0000-00008C050000}"/>
    <cellStyle name="20% - Accent1 3 3 2 3 2" xfId="33066" xr:uid="{00000000-0005-0000-0000-00008D050000}"/>
    <cellStyle name="20% - Accent1 3 3 2 3 2 2" xfId="33711" xr:uid="{00000000-0005-0000-0000-00008E050000}"/>
    <cellStyle name="20% - Accent1 3 3 2 3 2 2 2" xfId="18804" xr:uid="{00000000-0005-0000-0000-00008F050000}"/>
    <cellStyle name="20% - Accent1 3 3 2 3 2 2 2 2" xfId="33962" xr:uid="{00000000-0005-0000-0000-000090050000}"/>
    <cellStyle name="20% - Accent1 3 3 2 3 2 2 3" xfId="26288" xr:uid="{00000000-0005-0000-0000-000091050000}"/>
    <cellStyle name="20% - Accent1 3 3 2 3 2 3" xfId="31841" xr:uid="{00000000-0005-0000-0000-000092050000}"/>
    <cellStyle name="20% - Accent1 3 3 2 3 2 3 2" xfId="18793" xr:uid="{00000000-0005-0000-0000-000093050000}"/>
    <cellStyle name="20% - Accent1 3 3 2 3 2 4" xfId="28013" xr:uid="{00000000-0005-0000-0000-000094050000}"/>
    <cellStyle name="20% - Accent1 3 3 2 3 3" xfId="32376" xr:uid="{00000000-0005-0000-0000-000095050000}"/>
    <cellStyle name="20% - Accent1 3 3 2 3 3 2" xfId="32374" xr:uid="{00000000-0005-0000-0000-000096050000}"/>
    <cellStyle name="20% - Accent1 3 3 2 3 3 2 2" xfId="18783" xr:uid="{00000000-0005-0000-0000-000097050000}"/>
    <cellStyle name="20% - Accent1 3 3 2 3 3 3" xfId="22050" xr:uid="{00000000-0005-0000-0000-000098050000}"/>
    <cellStyle name="20% - Accent1 3 3 2 3 4" xfId="8190" xr:uid="{00000000-0005-0000-0000-000099050000}"/>
    <cellStyle name="20% - Accent1 3 3 2 3 4 2" xfId="8187" xr:uid="{00000000-0005-0000-0000-00009A050000}"/>
    <cellStyle name="20% - Accent1 3 3 2 3 5" xfId="8185" xr:uid="{00000000-0005-0000-0000-00009B050000}"/>
    <cellStyle name="20% - Accent1 3 3 2 4" xfId="33991" xr:uid="{00000000-0005-0000-0000-00009C050000}"/>
    <cellStyle name="20% - Accent1 3 3 2 4 2" xfId="27571" xr:uid="{00000000-0005-0000-0000-00009D050000}"/>
    <cellStyle name="20% - Accent1 3 3 2 4 2 2" xfId="30049" xr:uid="{00000000-0005-0000-0000-00009E050000}"/>
    <cellStyle name="20% - Accent1 3 3 2 4 2 2 2" xfId="18762" xr:uid="{00000000-0005-0000-0000-00009F050000}"/>
    <cellStyle name="20% - Accent1 3 3 2 4 2 3" xfId="34032" xr:uid="{00000000-0005-0000-0000-0000A0050000}"/>
    <cellStyle name="20% - Accent1 3 3 2 4 3" xfId="32326" xr:uid="{00000000-0005-0000-0000-0000A1050000}"/>
    <cellStyle name="20% - Accent1 3 3 2 4 3 2" xfId="34285" xr:uid="{00000000-0005-0000-0000-0000A2050000}"/>
    <cellStyle name="20% - Accent1 3 3 2 4 4" xfId="8181" xr:uid="{00000000-0005-0000-0000-0000A3050000}"/>
    <cellStyle name="20% - Accent1 3 3 2 5" xfId="32363" xr:uid="{00000000-0005-0000-0000-0000A4050000}"/>
    <cellStyle name="20% - Accent1 3 3 2 5 2" xfId="32313" xr:uid="{00000000-0005-0000-0000-0000A5050000}"/>
    <cellStyle name="20% - Accent1 3 3 2 5 2 2" xfId="33923" xr:uid="{00000000-0005-0000-0000-0000A6050000}"/>
    <cellStyle name="20% - Accent1 3 3 2 5 3" xfId="24914" xr:uid="{00000000-0005-0000-0000-0000A7050000}"/>
    <cellStyle name="20% - Accent1 3 3 2 6" xfId="32352" xr:uid="{00000000-0005-0000-0000-0000A8050000}"/>
    <cellStyle name="20% - Accent1 3 3 2 6 2" xfId="24899" xr:uid="{00000000-0005-0000-0000-0000A9050000}"/>
    <cellStyle name="20% - Accent1 3 3 2 7" xfId="31049" xr:uid="{00000000-0005-0000-0000-0000AA050000}"/>
    <cellStyle name="20% - Accent1 3 3 3" xfId="33805" xr:uid="{00000000-0005-0000-0000-0000AB050000}"/>
    <cellStyle name="20% - Accent1 3 3 3 2" xfId="29575" xr:uid="{00000000-0005-0000-0000-0000AC050000}"/>
    <cellStyle name="20% - Accent1 3 3 3 2 2" xfId="33002" xr:uid="{00000000-0005-0000-0000-0000AD050000}"/>
    <cellStyle name="20% - Accent1 3 3 3 2 2 2" xfId="32952" xr:uid="{00000000-0005-0000-0000-0000AE050000}"/>
    <cellStyle name="20% - Accent1 3 3 3 2 2 2 2" xfId="18682" xr:uid="{00000000-0005-0000-0000-0000AF050000}"/>
    <cellStyle name="20% - Accent1 3 3 3 2 2 2 2 2" xfId="11140" xr:uid="{00000000-0005-0000-0000-0000B0050000}"/>
    <cellStyle name="20% - Accent1 3 3 3 2 2 2 3" xfId="30123" xr:uid="{00000000-0005-0000-0000-0000B1050000}"/>
    <cellStyle name="20% - Accent1 3 3 3 2 2 3" xfId="34028" xr:uid="{00000000-0005-0000-0000-0000B2050000}"/>
    <cellStyle name="20% - Accent1 3 3 3 2 2 3 2" xfId="18674" xr:uid="{00000000-0005-0000-0000-0000B3050000}"/>
    <cellStyle name="20% - Accent1 3 3 3 2 2 4" xfId="29266" xr:uid="{00000000-0005-0000-0000-0000B4050000}"/>
    <cellStyle name="20% - Accent1 3 3 3 2 3" xfId="29379" xr:uid="{00000000-0005-0000-0000-0000B5050000}"/>
    <cellStyle name="20% - Accent1 3 3 3 2 3 2" xfId="29366" xr:uid="{00000000-0005-0000-0000-0000B6050000}"/>
    <cellStyle name="20% - Accent1 3 3 3 2 3 2 2" xfId="18667" xr:uid="{00000000-0005-0000-0000-0000B7050000}"/>
    <cellStyle name="20% - Accent1 3 3 3 2 3 3" xfId="29359" xr:uid="{00000000-0005-0000-0000-0000B8050000}"/>
    <cellStyle name="20% - Accent1 3 3 3 2 4" xfId="31260" xr:uid="{00000000-0005-0000-0000-0000B9050000}"/>
    <cellStyle name="20% - Accent1 3 3 3 2 4 2" xfId="33916" xr:uid="{00000000-0005-0000-0000-0000BA050000}"/>
    <cellStyle name="20% - Accent1 3 3 3 2 5" xfId="29350" xr:uid="{00000000-0005-0000-0000-0000BB050000}"/>
    <cellStyle name="20% - Accent1 3 3 3 3" xfId="32997" xr:uid="{00000000-0005-0000-0000-0000BC050000}"/>
    <cellStyle name="20% - Accent1 3 3 3 3 2" xfId="32333" xr:uid="{00000000-0005-0000-0000-0000BD050000}"/>
    <cellStyle name="20% - Accent1 3 3 3 3 2 2" xfId="30449" xr:uid="{00000000-0005-0000-0000-0000BE050000}"/>
    <cellStyle name="20% - Accent1 3 3 3 3 2 2 2" xfId="18631" xr:uid="{00000000-0005-0000-0000-0000BF050000}"/>
    <cellStyle name="20% - Accent1 3 3 3 3 2 3" xfId="30432" xr:uid="{00000000-0005-0000-0000-0000C0050000}"/>
    <cellStyle name="20% - Accent1 3 3 3 3 3" xfId="30947" xr:uid="{00000000-0005-0000-0000-0000C1050000}"/>
    <cellStyle name="20% - Accent1 3 3 3 3 3 2" xfId="30890" xr:uid="{00000000-0005-0000-0000-0000C2050000}"/>
    <cellStyle name="20% - Accent1 3 3 3 3 4" xfId="8173" xr:uid="{00000000-0005-0000-0000-0000C3050000}"/>
    <cellStyle name="20% - Accent1 3 3 3 4" xfId="25320" xr:uid="{00000000-0005-0000-0000-0000C4050000}"/>
    <cellStyle name="20% - Accent1 3 3 3 4 2" xfId="32283" xr:uid="{00000000-0005-0000-0000-0000C5050000}"/>
    <cellStyle name="20% - Accent1 3 3 3 4 2 2" xfId="29927" xr:uid="{00000000-0005-0000-0000-0000C6050000}"/>
    <cellStyle name="20% - Accent1 3 3 3 4 3" xfId="29325" xr:uid="{00000000-0005-0000-0000-0000C7050000}"/>
    <cellStyle name="20% - Accent1 3 3 3 5" xfId="29037" xr:uid="{00000000-0005-0000-0000-0000C8050000}"/>
    <cellStyle name="20% - Accent1 3 3 3 5 2" xfId="32325" xr:uid="{00000000-0005-0000-0000-0000C9050000}"/>
    <cellStyle name="20% - Accent1 3 3 3 6" xfId="32308" xr:uid="{00000000-0005-0000-0000-0000CA050000}"/>
    <cellStyle name="20% - Accent1 3 3 4" xfId="33279" xr:uid="{00000000-0005-0000-0000-0000CB050000}"/>
    <cellStyle name="20% - Accent1 3 3 4 2" xfId="24630" xr:uid="{00000000-0005-0000-0000-0000CC050000}"/>
    <cellStyle name="20% - Accent1 3 3 4 2 2" xfId="32303" xr:uid="{00000000-0005-0000-0000-0000CD050000}"/>
    <cellStyle name="20% - Accent1 3 3 4 2 2 2" xfId="32562" xr:uid="{00000000-0005-0000-0000-0000CE050000}"/>
    <cellStyle name="20% - Accent1 3 3 4 2 2 2 2" xfId="8488" xr:uid="{00000000-0005-0000-0000-0000CF050000}"/>
    <cellStyle name="20% - Accent1 3 3 4 2 2 3" xfId="32299" xr:uid="{00000000-0005-0000-0000-0000D0050000}"/>
    <cellStyle name="20% - Accent1 3 3 4 2 3" xfId="29304" xr:uid="{00000000-0005-0000-0000-0000D1050000}"/>
    <cellStyle name="20% - Accent1 3 3 4 2 3 2" xfId="29291" xr:uid="{00000000-0005-0000-0000-0000D2050000}"/>
    <cellStyle name="20% - Accent1 3 3 4 2 4" xfId="29284" xr:uid="{00000000-0005-0000-0000-0000D3050000}"/>
    <cellStyle name="20% - Accent1 3 3 4 3" xfId="33901" xr:uid="{00000000-0005-0000-0000-0000D4050000}"/>
    <cellStyle name="20% - Accent1 3 3 4 3 2" xfId="10183" xr:uid="{00000000-0005-0000-0000-0000D5050000}"/>
    <cellStyle name="20% - Accent1 3 3 4 3 2 2" xfId="10181" xr:uid="{00000000-0005-0000-0000-0000D6050000}"/>
    <cellStyle name="20% - Accent1 3 3 4 3 3" xfId="29275" xr:uid="{00000000-0005-0000-0000-0000D7050000}"/>
    <cellStyle name="20% - Accent1 3 3 4 4" xfId="33892" xr:uid="{00000000-0005-0000-0000-0000D8050000}"/>
    <cellStyle name="20% - Accent1 3 3 4 4 2" xfId="10040" xr:uid="{00000000-0005-0000-0000-0000D9050000}"/>
    <cellStyle name="20% - Accent1 3 3 4 5" xfId="33206" xr:uid="{00000000-0005-0000-0000-0000DA050000}"/>
    <cellStyle name="20% - Accent1 3 3 5" xfId="13474" xr:uid="{00000000-0005-0000-0000-0000DB050000}"/>
    <cellStyle name="20% - Accent1 3 3 5 2" xfId="33783" xr:uid="{00000000-0005-0000-0000-0000DC050000}"/>
    <cellStyle name="20% - Accent1 3 3 5 2 2" xfId="32282" xr:uid="{00000000-0005-0000-0000-0000DD050000}"/>
    <cellStyle name="20% - Accent1 3 3 5 2 2 2" xfId="32571" xr:uid="{00000000-0005-0000-0000-0000DE050000}"/>
    <cellStyle name="20% - Accent1 3 3 5 2 3" xfId="29255" xr:uid="{00000000-0005-0000-0000-0000DF050000}"/>
    <cellStyle name="20% - Accent1 3 3 5 3" xfId="33190" xr:uid="{00000000-0005-0000-0000-0000E0050000}"/>
    <cellStyle name="20% - Accent1 3 3 5 3 2" xfId="9872" xr:uid="{00000000-0005-0000-0000-0000E1050000}"/>
    <cellStyle name="20% - Accent1 3 3 5 4" xfId="27524" xr:uid="{00000000-0005-0000-0000-0000E2050000}"/>
    <cellStyle name="20% - Accent1 3 3 6" xfId="29997" xr:uid="{00000000-0005-0000-0000-0000E3050000}"/>
    <cellStyle name="20% - Accent1 3 3 6 2" xfId="32275" xr:uid="{00000000-0005-0000-0000-0000E4050000}"/>
    <cellStyle name="20% - Accent1 3 3 6 2 2" xfId="32268" xr:uid="{00000000-0005-0000-0000-0000E5050000}"/>
    <cellStyle name="20% - Accent1 3 3 6 3" xfId="33670" xr:uid="{00000000-0005-0000-0000-0000E6050000}"/>
    <cellStyle name="20% - Accent1 3 3 7" xfId="23387" xr:uid="{00000000-0005-0000-0000-0000E7050000}"/>
    <cellStyle name="20% - Accent1 3 3 7 2" xfId="22228" xr:uid="{00000000-0005-0000-0000-0000E8050000}"/>
    <cellStyle name="20% - Accent1 3 3 8" xfId="22751" xr:uid="{00000000-0005-0000-0000-0000E9050000}"/>
    <cellStyle name="20% - Accent1 3 3 9" xfId="34549" xr:uid="{00000000-0005-0000-0000-0000EA050000}"/>
    <cellStyle name="20% - Accent1 3 4" xfId="23060" xr:uid="{00000000-0005-0000-0000-0000EB050000}"/>
    <cellStyle name="20% - Accent1 3 4 2" xfId="33137" xr:uid="{00000000-0005-0000-0000-0000EC050000}"/>
    <cellStyle name="20% - Accent1 3 4 2 2" xfId="31087" xr:uid="{00000000-0005-0000-0000-0000ED050000}"/>
    <cellStyle name="20% - Accent1 3 4 2 2 2" xfId="29995" xr:uid="{00000000-0005-0000-0000-0000EE050000}"/>
    <cellStyle name="20% - Accent1 3 4 2 2 2 2" xfId="30574" xr:uid="{00000000-0005-0000-0000-0000EF050000}"/>
    <cellStyle name="20% - Accent1 3 4 2 2 2 2 2" xfId="18428" xr:uid="{00000000-0005-0000-0000-0000F0050000}"/>
    <cellStyle name="20% - Accent1 3 4 2 2 2 2 2 2" xfId="33558" xr:uid="{00000000-0005-0000-0000-0000F1050000}"/>
    <cellStyle name="20% - Accent1 3 4 2 2 2 2 3" xfId="27154" xr:uid="{00000000-0005-0000-0000-0000F2050000}"/>
    <cellStyle name="20% - Accent1 3 4 2 2 2 3" xfId="32259" xr:uid="{00000000-0005-0000-0000-0000F3050000}"/>
    <cellStyle name="20% - Accent1 3 4 2 2 2 3 2" xfId="18710" xr:uid="{00000000-0005-0000-0000-0000F4050000}"/>
    <cellStyle name="20% - Accent1 3 4 2 2 2 4" xfId="29369" xr:uid="{00000000-0005-0000-0000-0000F5050000}"/>
    <cellStyle name="20% - Accent1 3 4 2 2 3" xfId="29982" xr:uid="{00000000-0005-0000-0000-0000F6050000}"/>
    <cellStyle name="20% - Accent1 3 4 2 2 3 2" xfId="32251" xr:uid="{00000000-0005-0000-0000-0000F7050000}"/>
    <cellStyle name="20% - Accent1 3 4 2 2 3 2 2" xfId="18408" xr:uid="{00000000-0005-0000-0000-0000F8050000}"/>
    <cellStyle name="20% - Accent1 3 4 2 2 3 3" xfId="32241" xr:uid="{00000000-0005-0000-0000-0000F9050000}"/>
    <cellStyle name="20% - Accent1 3 4 2 2 4" xfId="34120" xr:uid="{00000000-0005-0000-0000-0000FA050000}"/>
    <cellStyle name="20% - Accent1 3 4 2 2 4 2" xfId="34147" xr:uid="{00000000-0005-0000-0000-0000FB050000}"/>
    <cellStyle name="20% - Accent1 3 4 2 2 5" xfId="33766" xr:uid="{00000000-0005-0000-0000-0000FC050000}"/>
    <cellStyle name="20% - Accent1 3 4 2 3" xfId="32902" xr:uid="{00000000-0005-0000-0000-0000FD050000}"/>
    <cellStyle name="20% - Accent1 3 4 2 3 2" xfId="29952" xr:uid="{00000000-0005-0000-0000-0000FE050000}"/>
    <cellStyle name="20% - Accent1 3 4 2 3 2 2" xfId="34369" xr:uid="{00000000-0005-0000-0000-0000FF050000}"/>
    <cellStyle name="20% - Accent1 3 4 2 3 2 2 2" xfId="26925" xr:uid="{00000000-0005-0000-0000-000000060000}"/>
    <cellStyle name="20% - Accent1 3 4 2 3 2 3" xfId="34224" xr:uid="{00000000-0005-0000-0000-000001060000}"/>
    <cellStyle name="20% - Accent1 3 4 2 3 3" xfId="17249" xr:uid="{00000000-0005-0000-0000-000002060000}"/>
    <cellStyle name="20% - Accent1 3 4 2 3 3 2" xfId="32219" xr:uid="{00000000-0005-0000-0000-000003060000}"/>
    <cellStyle name="20% - Accent1 3 4 2 3 4" xfId="8073" xr:uid="{00000000-0005-0000-0000-000004060000}"/>
    <cellStyle name="20% - Accent1 3 4 2 4" xfId="30554" xr:uid="{00000000-0005-0000-0000-000005060000}"/>
    <cellStyle name="20% - Accent1 3 4 2 4 2" xfId="32213" xr:uid="{00000000-0005-0000-0000-000006060000}"/>
    <cellStyle name="20% - Accent1 3 4 2 4 2 2" xfId="28179" xr:uid="{00000000-0005-0000-0000-000007060000}"/>
    <cellStyle name="20% - Accent1 3 4 2 4 3" xfId="18280" xr:uid="{00000000-0005-0000-0000-000008060000}"/>
    <cellStyle name="20% - Accent1 3 4 2 5" xfId="28823" xr:uid="{00000000-0005-0000-0000-000009060000}"/>
    <cellStyle name="20% - Accent1 3 4 2 5 2" xfId="26158" xr:uid="{00000000-0005-0000-0000-00000A060000}"/>
    <cellStyle name="20% - Accent1 3 4 2 6" xfId="32191" xr:uid="{00000000-0005-0000-0000-00000B060000}"/>
    <cellStyle name="20% - Accent1 3 4 3" xfId="32179" xr:uid="{00000000-0005-0000-0000-00000C060000}"/>
    <cellStyle name="20% - Accent1 3 4 3 2" xfId="32865" xr:uid="{00000000-0005-0000-0000-00000D060000}"/>
    <cellStyle name="20% - Accent1 3 4 3 2 2" xfId="32175" xr:uid="{00000000-0005-0000-0000-00000E060000}"/>
    <cellStyle name="20% - Accent1 3 4 3 2 2 2" xfId="32164" xr:uid="{00000000-0005-0000-0000-00000F060000}"/>
    <cellStyle name="20% - Accent1 3 4 3 2 2 2 2" xfId="18369" xr:uid="{00000000-0005-0000-0000-000010060000}"/>
    <cellStyle name="20% - Accent1 3 4 3 2 2 3" xfId="34346" xr:uid="{00000000-0005-0000-0000-000011060000}"/>
    <cellStyle name="20% - Accent1 3 4 3 2 3" xfId="25917" xr:uid="{00000000-0005-0000-0000-000012060000}"/>
    <cellStyle name="20% - Accent1 3 4 3 2 3 2" xfId="34161" xr:uid="{00000000-0005-0000-0000-000013060000}"/>
    <cellStyle name="20% - Accent1 3 4 3 2 4" xfId="25909" xr:uid="{00000000-0005-0000-0000-000014060000}"/>
    <cellStyle name="20% - Accent1 3 4 3 3" xfId="34180" xr:uid="{00000000-0005-0000-0000-000015060000}"/>
    <cellStyle name="20% - Accent1 3 4 3 3 2" xfId="25898" xr:uid="{00000000-0005-0000-0000-000016060000}"/>
    <cellStyle name="20% - Accent1 3 4 3 3 2 2" xfId="32057" xr:uid="{00000000-0005-0000-0000-000017060000}"/>
    <cellStyle name="20% - Accent1 3 4 3 3 3" xfId="25886" xr:uid="{00000000-0005-0000-0000-000018060000}"/>
    <cellStyle name="20% - Accent1 3 4 3 4" xfId="28811" xr:uid="{00000000-0005-0000-0000-000019060000}"/>
    <cellStyle name="20% - Accent1 3 4 3 4 2" xfId="31860" xr:uid="{00000000-0005-0000-0000-00001A060000}"/>
    <cellStyle name="20% - Accent1 3 4 3 5" xfId="33050" xr:uid="{00000000-0005-0000-0000-00001B060000}"/>
    <cellStyle name="20% - Accent1 3 4 4" xfId="32679" xr:uid="{00000000-0005-0000-0000-00001C060000}"/>
    <cellStyle name="20% - Accent1 3 4 4 2" xfId="34109" xr:uid="{00000000-0005-0000-0000-00001D060000}"/>
    <cellStyle name="20% - Accent1 3 4 4 2 2" xfId="18918" xr:uid="{00000000-0005-0000-0000-00001E060000}"/>
    <cellStyle name="20% - Accent1 3 4 4 2 2 2" xfId="32145" xr:uid="{00000000-0005-0000-0000-00001F060000}"/>
    <cellStyle name="20% - Accent1 3 4 4 2 3" xfId="17984" xr:uid="{00000000-0005-0000-0000-000020060000}"/>
    <cellStyle name="20% - Accent1 3 4 4 3" xfId="33863" xr:uid="{00000000-0005-0000-0000-000021060000}"/>
    <cellStyle name="20% - Accent1 3 4 4 3 2" xfId="13547" xr:uid="{00000000-0005-0000-0000-000022060000}"/>
    <cellStyle name="20% - Accent1 3 4 4 4" xfId="33857" xr:uid="{00000000-0005-0000-0000-000023060000}"/>
    <cellStyle name="20% - Accent1 3 4 5" xfId="13466" xr:uid="{00000000-0005-0000-0000-000024060000}"/>
    <cellStyle name="20% - Accent1 3 4 5 2" xfId="32140" xr:uid="{00000000-0005-0000-0000-000025060000}"/>
    <cellStyle name="20% - Accent1 3 4 5 2 2" xfId="17964" xr:uid="{00000000-0005-0000-0000-000026060000}"/>
    <cellStyle name="20% - Accent1 3 4 5 3" xfId="12486" xr:uid="{00000000-0005-0000-0000-000027060000}"/>
    <cellStyle name="20% - Accent1 3 4 6" xfId="25926" xr:uid="{00000000-0005-0000-0000-000028060000}"/>
    <cellStyle name="20% - Accent1 3 4 6 2" xfId="33666" xr:uid="{00000000-0005-0000-0000-000029060000}"/>
    <cellStyle name="20% - Accent1 3 4 7" xfId="22995" xr:uid="{00000000-0005-0000-0000-00002A060000}"/>
    <cellStyle name="20% - Accent1 3 4 8" xfId="34771" xr:uid="{00000000-0005-0000-0000-00002B060000}"/>
    <cellStyle name="20% - Accent1 3 5" xfId="24832" xr:uid="{00000000-0005-0000-0000-00002C060000}"/>
    <cellStyle name="20% - Accent1 3 5 2" xfId="24912" xr:uid="{00000000-0005-0000-0000-00002D060000}"/>
    <cellStyle name="20% - Accent1 3 5 2 2" xfId="27969" xr:uid="{00000000-0005-0000-0000-00002E060000}"/>
    <cellStyle name="20% - Accent1 3 5 2 2 2" xfId="22491" xr:uid="{00000000-0005-0000-0000-00002F060000}"/>
    <cellStyle name="20% - Accent1 3 5 2 2 2 2" xfId="22252" xr:uid="{00000000-0005-0000-0000-000030060000}"/>
    <cellStyle name="20% - Accent1 3 5 2 2 2 2 2" xfId="18263" xr:uid="{00000000-0005-0000-0000-000031060000}"/>
    <cellStyle name="20% - Accent1 3 5 2 2 2 3" xfId="30826" xr:uid="{00000000-0005-0000-0000-000032060000}"/>
    <cellStyle name="20% - Accent1 3 5 2 2 3" xfId="28772" xr:uid="{00000000-0005-0000-0000-000033060000}"/>
    <cellStyle name="20% - Accent1 3 5 2 2 3 2" xfId="20185" xr:uid="{00000000-0005-0000-0000-000034060000}"/>
    <cellStyle name="20% - Accent1 3 5 2 2 4" xfId="33956" xr:uid="{00000000-0005-0000-0000-000035060000}"/>
    <cellStyle name="20% - Accent1 3 5 2 3" xfId="32106" xr:uid="{00000000-0005-0000-0000-000036060000}"/>
    <cellStyle name="20% - Accent1 3 5 2 3 2" xfId="32415" xr:uid="{00000000-0005-0000-0000-000037060000}"/>
    <cellStyle name="20% - Accent1 3 5 2 3 2 2" xfId="32104" xr:uid="{00000000-0005-0000-0000-000038060000}"/>
    <cellStyle name="20% - Accent1 3 5 2 3 3" xfId="32093" xr:uid="{00000000-0005-0000-0000-000039060000}"/>
    <cellStyle name="20% - Accent1 3 5 2 4" xfId="28807" xr:uid="{00000000-0005-0000-0000-00003A060000}"/>
    <cellStyle name="20% - Accent1 3 5 2 4 2" xfId="29904" xr:uid="{00000000-0005-0000-0000-00003B060000}"/>
    <cellStyle name="20% - Accent1 3 5 2 5" xfId="32082" xr:uid="{00000000-0005-0000-0000-00003C060000}"/>
    <cellStyle name="20% - Accent1 3 5 3" xfId="27965" xr:uid="{00000000-0005-0000-0000-00003D060000}"/>
    <cellStyle name="20% - Accent1 3 5 3 2" xfId="32815" xr:uid="{00000000-0005-0000-0000-00003E060000}"/>
    <cellStyle name="20% - Accent1 3 5 3 2 2" xfId="28322" xr:uid="{00000000-0005-0000-0000-00003F060000}"/>
    <cellStyle name="20% - Accent1 3 5 3 2 2 2" xfId="24883" xr:uid="{00000000-0005-0000-0000-000040060000}"/>
    <cellStyle name="20% - Accent1 3 5 3 2 3" xfId="28314" xr:uid="{00000000-0005-0000-0000-000041060000}"/>
    <cellStyle name="20% - Accent1 3 5 3 3" xfId="34353" xr:uid="{00000000-0005-0000-0000-000042060000}"/>
    <cellStyle name="20% - Accent1 3 5 3 3 2" xfId="28297" xr:uid="{00000000-0005-0000-0000-000043060000}"/>
    <cellStyle name="20% - Accent1 3 5 3 4" xfId="26814" xr:uid="{00000000-0005-0000-0000-000044060000}"/>
    <cellStyle name="20% - Accent1 3 5 4" xfId="26697" xr:uid="{00000000-0005-0000-0000-000045060000}"/>
    <cellStyle name="20% - Accent1 3 5 4 2" xfId="32024" xr:uid="{00000000-0005-0000-0000-000046060000}"/>
    <cellStyle name="20% - Accent1 3 5 4 2 2" xfId="17941" xr:uid="{00000000-0005-0000-0000-000047060000}"/>
    <cellStyle name="20% - Accent1 3 5 4 3" xfId="33728" xr:uid="{00000000-0005-0000-0000-000048060000}"/>
    <cellStyle name="20% - Accent1 3 5 5" xfId="13459" xr:uid="{00000000-0005-0000-0000-000049060000}"/>
    <cellStyle name="20% - Accent1 3 5 5 2" xfId="32013" xr:uid="{00000000-0005-0000-0000-00004A060000}"/>
    <cellStyle name="20% - Accent1 3 5 6" xfId="26419" xr:uid="{00000000-0005-0000-0000-00004B060000}"/>
    <cellStyle name="20% - Accent1 3 5 7" xfId="34961" xr:uid="{00000000-0005-0000-0000-00004C060000}"/>
    <cellStyle name="20% - Accent1 3 6" xfId="29501" xr:uid="{00000000-0005-0000-0000-00004D060000}"/>
    <cellStyle name="20% - Accent1 3 6 2" xfId="27956" xr:uid="{00000000-0005-0000-0000-00004E060000}"/>
    <cellStyle name="20% - Accent1 3 6 2 2" xfId="18698" xr:uid="{00000000-0005-0000-0000-00004F060000}"/>
    <cellStyle name="20% - Accent1 3 6 2 2 2" xfId="24634" xr:uid="{00000000-0005-0000-0000-000050060000}"/>
    <cellStyle name="20% - Accent1 3 6 2 2 2 2" xfId="30101" xr:uid="{00000000-0005-0000-0000-000051060000}"/>
    <cellStyle name="20% - Accent1 3 6 2 2 3" xfId="32067" xr:uid="{00000000-0005-0000-0000-000052060000}"/>
    <cellStyle name="20% - Accent1 3 6 2 3" xfId="32063" xr:uid="{00000000-0005-0000-0000-000053060000}"/>
    <cellStyle name="20% - Accent1 3 6 2 3 2" xfId="24632" xr:uid="{00000000-0005-0000-0000-000054060000}"/>
    <cellStyle name="20% - Accent1 3 6 2 4" xfId="32050" xr:uid="{00000000-0005-0000-0000-000055060000}"/>
    <cellStyle name="20% - Accent1 3 6 3" xfId="32003" xr:uid="{00000000-0005-0000-0000-000056060000}"/>
    <cellStyle name="20% - Accent1 3 6 3 2" xfId="32046" xr:uid="{00000000-0005-0000-0000-000057060000}"/>
    <cellStyle name="20% - Accent1 3 6 3 2 2" xfId="26554" xr:uid="{00000000-0005-0000-0000-000058060000}"/>
    <cellStyle name="20% - Accent1 3 6 3 3" xfId="34232" xr:uid="{00000000-0005-0000-0000-000059060000}"/>
    <cellStyle name="20% - Accent1 3 6 4" xfId="29525" xr:uid="{00000000-0005-0000-0000-00005A060000}"/>
    <cellStyle name="20% - Accent1 3 6 4 2" xfId="32009" xr:uid="{00000000-0005-0000-0000-00005B060000}"/>
    <cellStyle name="20% - Accent1 3 6 5" xfId="29521" xr:uid="{00000000-0005-0000-0000-00005C060000}"/>
    <cellStyle name="20% - Accent1 3 6 6" xfId="35166" xr:uid="{00000000-0005-0000-0000-00005D060000}"/>
    <cellStyle name="20% - Accent1 3 7" xfId="32364" xr:uid="{00000000-0005-0000-0000-00005E060000}"/>
    <cellStyle name="20% - Accent1 3 7 2" xfId="31678" xr:uid="{00000000-0005-0000-0000-00005F060000}"/>
    <cellStyle name="20% - Accent1 3 7 2 2" xfId="31666" xr:uid="{00000000-0005-0000-0000-000060060000}"/>
    <cellStyle name="20% - Accent1 3 7 2 2 2" xfId="24614" xr:uid="{00000000-0005-0000-0000-000061060000}"/>
    <cellStyle name="20% - Accent1 3 7 2 3" xfId="33614" xr:uid="{00000000-0005-0000-0000-000062060000}"/>
    <cellStyle name="20% - Accent1 3 7 3" xfId="31660" xr:uid="{00000000-0005-0000-0000-000063060000}"/>
    <cellStyle name="20% - Accent1 3 7 3 2" xfId="33715" xr:uid="{00000000-0005-0000-0000-000064060000}"/>
    <cellStyle name="20% - Accent1 3 7 4" xfId="32434" xr:uid="{00000000-0005-0000-0000-000065060000}"/>
    <cellStyle name="20% - Accent1 3 7 5" xfId="35395" xr:uid="{00000000-0005-0000-0000-000066060000}"/>
    <cellStyle name="20% - Accent1 3 8" xfId="24961" xr:uid="{00000000-0005-0000-0000-000067060000}"/>
    <cellStyle name="20% - Accent1 3 8 2" xfId="31631" xr:uid="{00000000-0005-0000-0000-000068060000}"/>
    <cellStyle name="20% - Accent1 3 8 2 2" xfId="33526" xr:uid="{00000000-0005-0000-0000-000069060000}"/>
    <cellStyle name="20% - Accent1 3 8 3" xfId="29938" xr:uid="{00000000-0005-0000-0000-00006A060000}"/>
    <cellStyle name="20% - Accent1 3 8 4" xfId="36267" xr:uid="{00000000-0005-0000-0000-00006B060000}"/>
    <cellStyle name="20% - Accent1 3 9" xfId="8390" xr:uid="{00000000-0005-0000-0000-00006C060000}"/>
    <cellStyle name="20% - Accent1 3 9 2" xfId="32547" xr:uid="{00000000-0005-0000-0000-00006D060000}"/>
    <cellStyle name="20% - Accent1 3 9 3" xfId="36553" xr:uid="{00000000-0005-0000-0000-00006E060000}"/>
    <cellStyle name="20% - Accent1 30" xfId="35892" xr:uid="{00000000-0005-0000-0000-00006F060000}"/>
    <cellStyle name="20% - Accent1 30 2" xfId="37064" xr:uid="{00000000-0005-0000-0000-000070060000}"/>
    <cellStyle name="20% - Accent1 30 3" xfId="37959" xr:uid="{00000000-0005-0000-0000-000071060000}"/>
    <cellStyle name="20% - Accent1 31" xfId="35912" xr:uid="{00000000-0005-0000-0000-000072060000}"/>
    <cellStyle name="20% - Accent1 31 2" xfId="37083" xr:uid="{00000000-0005-0000-0000-000073060000}"/>
    <cellStyle name="20% - Accent1 31 3" xfId="37979" xr:uid="{00000000-0005-0000-0000-000074060000}"/>
    <cellStyle name="20% - Accent1 32" xfId="35932" xr:uid="{00000000-0005-0000-0000-000075060000}"/>
    <cellStyle name="20% - Accent1 32 2" xfId="37102" xr:uid="{00000000-0005-0000-0000-000076060000}"/>
    <cellStyle name="20% - Accent1 32 3" xfId="37999" xr:uid="{00000000-0005-0000-0000-000077060000}"/>
    <cellStyle name="20% - Accent1 33" xfId="35952" xr:uid="{00000000-0005-0000-0000-000078060000}"/>
    <cellStyle name="20% - Accent1 33 2" xfId="37121" xr:uid="{00000000-0005-0000-0000-000079060000}"/>
    <cellStyle name="20% - Accent1 33 3" xfId="38019" xr:uid="{00000000-0005-0000-0000-00007A060000}"/>
    <cellStyle name="20% - Accent1 34" xfId="35972" xr:uid="{00000000-0005-0000-0000-00007B060000}"/>
    <cellStyle name="20% - Accent1 34 2" xfId="37141" xr:uid="{00000000-0005-0000-0000-00007C060000}"/>
    <cellStyle name="20% - Accent1 34 3" xfId="38039" xr:uid="{00000000-0005-0000-0000-00007D060000}"/>
    <cellStyle name="20% - Accent1 35" xfId="35992" xr:uid="{00000000-0005-0000-0000-00007E060000}"/>
    <cellStyle name="20% - Accent1 35 2" xfId="37161" xr:uid="{00000000-0005-0000-0000-00007F060000}"/>
    <cellStyle name="20% - Accent1 35 3" xfId="38059" xr:uid="{00000000-0005-0000-0000-000080060000}"/>
    <cellStyle name="20% - Accent1 36" xfId="36012" xr:uid="{00000000-0005-0000-0000-000081060000}"/>
    <cellStyle name="20% - Accent1 36 2" xfId="37181" xr:uid="{00000000-0005-0000-0000-000082060000}"/>
    <cellStyle name="20% - Accent1 36 3" xfId="38079" xr:uid="{00000000-0005-0000-0000-000083060000}"/>
    <cellStyle name="20% - Accent1 37" xfId="36032" xr:uid="{00000000-0005-0000-0000-000084060000}"/>
    <cellStyle name="20% - Accent1 37 2" xfId="37201" xr:uid="{00000000-0005-0000-0000-000085060000}"/>
    <cellStyle name="20% - Accent1 37 3" xfId="38099" xr:uid="{00000000-0005-0000-0000-000086060000}"/>
    <cellStyle name="20% - Accent1 38" xfId="36052" xr:uid="{00000000-0005-0000-0000-000087060000}"/>
    <cellStyle name="20% - Accent1 38 2" xfId="37221" xr:uid="{00000000-0005-0000-0000-000088060000}"/>
    <cellStyle name="20% - Accent1 38 3" xfId="38119" xr:uid="{00000000-0005-0000-0000-000089060000}"/>
    <cellStyle name="20% - Accent1 39" xfId="36072" xr:uid="{00000000-0005-0000-0000-00008A060000}"/>
    <cellStyle name="20% - Accent1 39 2" xfId="37241" xr:uid="{00000000-0005-0000-0000-00008B060000}"/>
    <cellStyle name="20% - Accent1 39 3" xfId="38139" xr:uid="{00000000-0005-0000-0000-00008C060000}"/>
    <cellStyle name="20% - Accent1 4" xfId="117" xr:uid="{00000000-0005-0000-0000-00008D060000}"/>
    <cellStyle name="20% - Accent1 4 10" xfId="34471" xr:uid="{00000000-0005-0000-0000-00008E060000}"/>
    <cellStyle name="20% - Accent1 4 11" xfId="5973" xr:uid="{00000000-0005-0000-0000-00008F060000}"/>
    <cellStyle name="20% - Accent1 4 2" xfId="240" xr:uid="{00000000-0005-0000-0000-000090060000}"/>
    <cellStyle name="20% - Accent1 4 2 10" xfId="19754" xr:uid="{00000000-0005-0000-0000-000091060000}"/>
    <cellStyle name="20% - Accent1 4 2 2" xfId="27637" xr:uid="{00000000-0005-0000-0000-000092060000}"/>
    <cellStyle name="20% - Accent1 4 2 2 2" xfId="25369" xr:uid="{00000000-0005-0000-0000-000093060000}"/>
    <cellStyle name="20% - Accent1 4 2 2 2 2" xfId="13641" xr:uid="{00000000-0005-0000-0000-000094060000}"/>
    <cellStyle name="20% - Accent1 4 2 2 2 2 2" xfId="13891" xr:uid="{00000000-0005-0000-0000-000095060000}"/>
    <cellStyle name="20% - Accent1 4 2 2 2 2 2 2" xfId="25034" xr:uid="{00000000-0005-0000-0000-000096060000}"/>
    <cellStyle name="20% - Accent1 4 2 2 2 2 2 2 2" xfId="25953" xr:uid="{00000000-0005-0000-0000-000097060000}"/>
    <cellStyle name="20% - Accent1 4 2 2 2 2 2 2 2 2" xfId="29569" xr:uid="{00000000-0005-0000-0000-000098060000}"/>
    <cellStyle name="20% - Accent1 4 2 2 2 2 2 2 3" xfId="22482" xr:uid="{00000000-0005-0000-0000-000099060000}"/>
    <cellStyle name="20% - Accent1 4 2 2 2 2 2 3" xfId="7404" xr:uid="{00000000-0005-0000-0000-00009A060000}"/>
    <cellStyle name="20% - Accent1 4 2 2 2 2 2 3 2" xfId="32015" xr:uid="{00000000-0005-0000-0000-00009B060000}"/>
    <cellStyle name="20% - Accent1 4 2 2 2 2 2 4" xfId="9929" xr:uid="{00000000-0005-0000-0000-00009C060000}"/>
    <cellStyle name="20% - Accent1 4 2 2 2 2 3" xfId="24014" xr:uid="{00000000-0005-0000-0000-00009D060000}"/>
    <cellStyle name="20% - Accent1 4 2 2 2 2 3 2" xfId="24964" xr:uid="{00000000-0005-0000-0000-00009E060000}"/>
    <cellStyle name="20% - Accent1 4 2 2 2 2 3 2 2" xfId="32010" xr:uid="{00000000-0005-0000-0000-00009F060000}"/>
    <cellStyle name="20% - Accent1 4 2 2 2 2 3 3" xfId="7397" xr:uid="{00000000-0005-0000-0000-0000A0060000}"/>
    <cellStyle name="20% - Accent1 4 2 2 2 2 4" xfId="7855" xr:uid="{00000000-0005-0000-0000-0000A1060000}"/>
    <cellStyle name="20% - Accent1 4 2 2 2 2 4 2" xfId="26356" xr:uid="{00000000-0005-0000-0000-0000A2060000}"/>
    <cellStyle name="20% - Accent1 4 2 2 2 2 5" xfId="28635" xr:uid="{00000000-0005-0000-0000-0000A3060000}"/>
    <cellStyle name="20% - Accent1 4 2 2 2 3" xfId="5489" xr:uid="{00000000-0005-0000-0000-0000A4060000}"/>
    <cellStyle name="20% - Accent1 4 2 2 2 3 2" xfId="23653" xr:uid="{00000000-0005-0000-0000-0000A5060000}"/>
    <cellStyle name="20% - Accent1 4 2 2 2 3 2 2" xfId="24953" xr:uid="{00000000-0005-0000-0000-0000A6060000}"/>
    <cellStyle name="20% - Accent1 4 2 2 2 3 2 2 2" xfId="33641" xr:uid="{00000000-0005-0000-0000-0000A7060000}"/>
    <cellStyle name="20% - Accent1 4 2 2 2 3 2 3" xfId="7387" xr:uid="{00000000-0005-0000-0000-0000A8060000}"/>
    <cellStyle name="20% - Accent1 4 2 2 2 3 3" xfId="32579" xr:uid="{00000000-0005-0000-0000-0000A9060000}"/>
    <cellStyle name="20% - Accent1 4 2 2 2 3 3 2" xfId="31784" xr:uid="{00000000-0005-0000-0000-0000AA060000}"/>
    <cellStyle name="20% - Accent1 4 2 2 2 3 4" xfId="7848" xr:uid="{00000000-0005-0000-0000-0000AB060000}"/>
    <cellStyle name="20% - Accent1 4 2 2 2 4" xfId="32569" xr:uid="{00000000-0005-0000-0000-0000AC060000}"/>
    <cellStyle name="20% - Accent1 4 2 2 2 4 2" xfId="34214" xr:uid="{00000000-0005-0000-0000-0000AD060000}"/>
    <cellStyle name="20% - Accent1 4 2 2 2 4 2 2" xfId="24814" xr:uid="{00000000-0005-0000-0000-0000AE060000}"/>
    <cellStyle name="20% - Accent1 4 2 2 2 4 3" xfId="33504" xr:uid="{00000000-0005-0000-0000-0000AF060000}"/>
    <cellStyle name="20% - Accent1 4 2 2 2 5" xfId="32564" xr:uid="{00000000-0005-0000-0000-0000B0060000}"/>
    <cellStyle name="20% - Accent1 4 2 2 2 5 2" xfId="33692" xr:uid="{00000000-0005-0000-0000-0000B1060000}"/>
    <cellStyle name="20% - Accent1 4 2 2 2 6" xfId="25127" xr:uid="{00000000-0005-0000-0000-0000B2060000}"/>
    <cellStyle name="20% - Accent1 4 2 2 3" xfId="31998" xr:uid="{00000000-0005-0000-0000-0000B3060000}"/>
    <cellStyle name="20% - Accent1 4 2 2 3 2" xfId="10794" xr:uid="{00000000-0005-0000-0000-0000B4060000}"/>
    <cellStyle name="20% - Accent1 4 2 2 3 2 2" xfId="31774" xr:uid="{00000000-0005-0000-0000-0000B5060000}"/>
    <cellStyle name="20% - Accent1 4 2 2 3 2 2 2" xfId="29460" xr:uid="{00000000-0005-0000-0000-0000B6060000}"/>
    <cellStyle name="20% - Accent1 4 2 2 3 2 2 2 2" xfId="19564" xr:uid="{00000000-0005-0000-0000-0000B7060000}"/>
    <cellStyle name="20% - Accent1 4 2 2 3 2 2 3" xfId="7243" xr:uid="{00000000-0005-0000-0000-0000B8060000}"/>
    <cellStyle name="20% - Accent1 4 2 2 3 2 3" xfId="33563" xr:uid="{00000000-0005-0000-0000-0000B9060000}"/>
    <cellStyle name="20% - Accent1 4 2 2 3 2 3 2" xfId="29306" xr:uid="{00000000-0005-0000-0000-0000BA060000}"/>
    <cellStyle name="20% - Accent1 4 2 2 3 2 4" xfId="7843" xr:uid="{00000000-0005-0000-0000-0000BB060000}"/>
    <cellStyle name="20% - Accent1 4 2 2 3 3" xfId="34080" xr:uid="{00000000-0005-0000-0000-0000BC060000}"/>
    <cellStyle name="20% - Accent1 4 2 2 3 3 2" xfId="32493" xr:uid="{00000000-0005-0000-0000-0000BD060000}"/>
    <cellStyle name="20% - Accent1 4 2 2 3 3 2 2" xfId="25397" xr:uid="{00000000-0005-0000-0000-0000BE060000}"/>
    <cellStyle name="20% - Accent1 4 2 2 3 3 3" xfId="31988" xr:uid="{00000000-0005-0000-0000-0000BF060000}"/>
    <cellStyle name="20% - Accent1 4 2 2 3 4" xfId="33115" xr:uid="{00000000-0005-0000-0000-0000C0060000}"/>
    <cellStyle name="20% - Accent1 4 2 2 3 4 2" xfId="7723" xr:uid="{00000000-0005-0000-0000-0000C1060000}"/>
    <cellStyle name="20% - Accent1 4 2 2 3 5" xfId="28339" xr:uid="{00000000-0005-0000-0000-0000C2060000}"/>
    <cellStyle name="20% - Accent1 4 2 2 4" xfId="31985" xr:uid="{00000000-0005-0000-0000-0000C3060000}"/>
    <cellStyle name="20% - Accent1 4 2 2 4 2" xfId="21882" xr:uid="{00000000-0005-0000-0000-0000C4060000}"/>
    <cellStyle name="20% - Accent1 4 2 2 4 2 2" xfId="31425" xr:uid="{00000000-0005-0000-0000-0000C5060000}"/>
    <cellStyle name="20% - Accent1 4 2 2 4 2 2 2" xfId="31975" xr:uid="{00000000-0005-0000-0000-0000C6060000}"/>
    <cellStyle name="20% - Accent1 4 2 2 4 2 3" xfId="30689" xr:uid="{00000000-0005-0000-0000-0000C7060000}"/>
    <cellStyle name="20% - Accent1 4 2 2 4 3" xfId="32462" xr:uid="{00000000-0005-0000-0000-0000C8060000}"/>
    <cellStyle name="20% - Accent1 4 2 2 4 3 2" xfId="31968" xr:uid="{00000000-0005-0000-0000-0000C9060000}"/>
    <cellStyle name="20% - Accent1 4 2 2 4 4" xfId="7720" xr:uid="{00000000-0005-0000-0000-0000CA060000}"/>
    <cellStyle name="20% - Accent1 4 2 2 5" xfId="31965" xr:uid="{00000000-0005-0000-0000-0000CB060000}"/>
    <cellStyle name="20% - Accent1 4 2 2 5 2" xfId="32443" xr:uid="{00000000-0005-0000-0000-0000CC060000}"/>
    <cellStyle name="20% - Accent1 4 2 2 5 2 2" xfId="15220" xr:uid="{00000000-0005-0000-0000-0000CD060000}"/>
    <cellStyle name="20% - Accent1 4 2 2 5 3" xfId="31957" xr:uid="{00000000-0005-0000-0000-0000CE060000}"/>
    <cellStyle name="20% - Accent1 4 2 2 6" xfId="31941" xr:uid="{00000000-0005-0000-0000-0000CF060000}"/>
    <cellStyle name="20% - Accent1 4 2 2 6 2" xfId="31930" xr:uid="{00000000-0005-0000-0000-0000D0060000}"/>
    <cellStyle name="20% - Accent1 4 2 2 7" xfId="31042" xr:uid="{00000000-0005-0000-0000-0000D1060000}"/>
    <cellStyle name="20% - Accent1 4 2 3" xfId="13032" xr:uid="{00000000-0005-0000-0000-0000D2060000}"/>
    <cellStyle name="20% - Accent1 4 2 3 2" xfId="31913" xr:uid="{00000000-0005-0000-0000-0000D3060000}"/>
    <cellStyle name="20% - Accent1 4 2 3 2 2" xfId="5487" xr:uid="{00000000-0005-0000-0000-0000D4060000}"/>
    <cellStyle name="20% - Accent1 4 2 3 2 2 2" xfId="31749" xr:uid="{00000000-0005-0000-0000-0000D5060000}"/>
    <cellStyle name="20% - Accent1 4 2 3 2 2 2 2" xfId="24851" xr:uid="{00000000-0005-0000-0000-0000D6060000}"/>
    <cellStyle name="20% - Accent1 4 2 3 2 2 2 2 2" xfId="29669" xr:uid="{00000000-0005-0000-0000-0000D7060000}"/>
    <cellStyle name="20% - Accent1 4 2 3 2 2 2 3" xfId="29200" xr:uid="{00000000-0005-0000-0000-0000D8060000}"/>
    <cellStyle name="20% - Accent1 4 2 3 2 2 3" xfId="32353" xr:uid="{00000000-0005-0000-0000-0000D9060000}"/>
    <cellStyle name="20% - Accent1 4 2 3 2 2 3 2" xfId="32669" xr:uid="{00000000-0005-0000-0000-0000DA060000}"/>
    <cellStyle name="20% - Accent1 4 2 3 2 2 4" xfId="13134" xr:uid="{00000000-0005-0000-0000-0000DB060000}"/>
    <cellStyle name="20% - Accent1 4 2 3 2 3" xfId="30329" xr:uid="{00000000-0005-0000-0000-0000DC060000}"/>
    <cellStyle name="20% - Accent1 4 2 3 2 3 2" xfId="28498" xr:uid="{00000000-0005-0000-0000-0000DD060000}"/>
    <cellStyle name="20% - Accent1 4 2 3 2 3 2 2" xfId="29783" xr:uid="{00000000-0005-0000-0000-0000DE060000}"/>
    <cellStyle name="20% - Accent1 4 2 3 2 3 3" xfId="28493" xr:uid="{00000000-0005-0000-0000-0000DF060000}"/>
    <cellStyle name="20% - Accent1 4 2 3 2 4" xfId="30327" xr:uid="{00000000-0005-0000-0000-0000E0060000}"/>
    <cellStyle name="20% - Accent1 4 2 3 2 4 2" xfId="28484" xr:uid="{00000000-0005-0000-0000-0000E1060000}"/>
    <cellStyle name="20% - Accent1 4 2 3 2 5" xfId="29515" xr:uid="{00000000-0005-0000-0000-0000E2060000}"/>
    <cellStyle name="20% - Accent1 4 2 3 3" xfId="31903" xr:uid="{00000000-0005-0000-0000-0000E3060000}"/>
    <cellStyle name="20% - Accent1 4 2 3 3 2" xfId="27532" xr:uid="{00000000-0005-0000-0000-0000E4060000}"/>
    <cellStyle name="20% - Accent1 4 2 3 3 2 2" xfId="32311" xr:uid="{00000000-0005-0000-0000-0000E5060000}"/>
    <cellStyle name="20% - Accent1 4 2 3 3 2 2 2" xfId="32876" xr:uid="{00000000-0005-0000-0000-0000E6060000}"/>
    <cellStyle name="20% - Accent1 4 2 3 3 2 3" xfId="31899" xr:uid="{00000000-0005-0000-0000-0000E7060000}"/>
    <cellStyle name="20% - Accent1 4 2 3 3 3" xfId="30323" xr:uid="{00000000-0005-0000-0000-0000E8060000}"/>
    <cellStyle name="20% - Accent1 4 2 3 3 3 2" xfId="28473" xr:uid="{00000000-0005-0000-0000-0000E9060000}"/>
    <cellStyle name="20% - Accent1 4 2 3 3 4" xfId="29496" xr:uid="{00000000-0005-0000-0000-0000EA060000}"/>
    <cellStyle name="20% - Accent1 4 2 3 4" xfId="25309" xr:uid="{00000000-0005-0000-0000-0000EB060000}"/>
    <cellStyle name="20% - Accent1 4 2 3 4 2" xfId="25180" xr:uid="{00000000-0005-0000-0000-0000EC060000}"/>
    <cellStyle name="20% - Accent1 4 2 3 4 2 2" xfId="31895" xr:uid="{00000000-0005-0000-0000-0000ED060000}"/>
    <cellStyle name="20% - Accent1 4 2 3 4 3" xfId="29477" xr:uid="{00000000-0005-0000-0000-0000EE060000}"/>
    <cellStyle name="20% - Accent1 4 2 3 5" xfId="31894" xr:uid="{00000000-0005-0000-0000-0000EF060000}"/>
    <cellStyle name="20% - Accent1 4 2 3 5 2" xfId="29796" xr:uid="{00000000-0005-0000-0000-0000F0060000}"/>
    <cellStyle name="20% - Accent1 4 2 3 6" xfId="26125" xr:uid="{00000000-0005-0000-0000-0000F1060000}"/>
    <cellStyle name="20% - Accent1 4 2 4" xfId="32994" xr:uid="{00000000-0005-0000-0000-0000F2060000}"/>
    <cellStyle name="20% - Accent1 4 2 4 2" xfId="23939" xr:uid="{00000000-0005-0000-0000-0000F3060000}"/>
    <cellStyle name="20% - Accent1 4 2 4 2 2" xfId="32204" xr:uid="{00000000-0005-0000-0000-0000F4060000}"/>
    <cellStyle name="20% - Accent1 4 2 4 2 2 2" xfId="30448" xr:uid="{00000000-0005-0000-0000-0000F5060000}"/>
    <cellStyle name="20% - Accent1 4 2 4 2 2 2 2" xfId="21042" xr:uid="{00000000-0005-0000-0000-0000F6060000}"/>
    <cellStyle name="20% - Accent1 4 2 4 2 2 3" xfId="30427" xr:uid="{00000000-0005-0000-0000-0000F7060000}"/>
    <cellStyle name="20% - Accent1 4 2 4 2 3" xfId="30194" xr:uid="{00000000-0005-0000-0000-0000F8060000}"/>
    <cellStyle name="20% - Accent1 4 2 4 2 3 2" xfId="21425" xr:uid="{00000000-0005-0000-0000-0000F9060000}"/>
    <cellStyle name="20% - Accent1 4 2 4 2 4" xfId="26413" xr:uid="{00000000-0005-0000-0000-0000FA060000}"/>
    <cellStyle name="20% - Accent1 4 2 4 3" xfId="23935" xr:uid="{00000000-0005-0000-0000-0000FB060000}"/>
    <cellStyle name="20% - Accent1 4 2 4 3 2" xfId="8852" xr:uid="{00000000-0005-0000-0000-0000FC060000}"/>
    <cellStyle name="20% - Accent1 4 2 4 3 2 2" xfId="10559" xr:uid="{00000000-0005-0000-0000-0000FD060000}"/>
    <cellStyle name="20% - Accent1 4 2 4 3 3" xfId="8780" xr:uid="{00000000-0005-0000-0000-0000FE060000}"/>
    <cellStyle name="20% - Accent1 4 2 4 4" xfId="31854" xr:uid="{00000000-0005-0000-0000-0000FF060000}"/>
    <cellStyle name="20% - Accent1 4 2 4 4 2" xfId="8637" xr:uid="{00000000-0005-0000-0000-000000070000}"/>
    <cellStyle name="20% - Accent1 4 2 4 5" xfId="34406" xr:uid="{00000000-0005-0000-0000-000001070000}"/>
    <cellStyle name="20% - Accent1 4 2 5" xfId="32984" xr:uid="{00000000-0005-0000-0000-000002070000}"/>
    <cellStyle name="20% - Accent1 4 2 5 2" xfId="28121" xr:uid="{00000000-0005-0000-0000-000003070000}"/>
    <cellStyle name="20% - Accent1 4 2 5 2 2" xfId="31974" xr:uid="{00000000-0005-0000-0000-000004070000}"/>
    <cellStyle name="20% - Accent1 4 2 5 2 2 2" xfId="22192" xr:uid="{00000000-0005-0000-0000-000005070000}"/>
    <cellStyle name="20% - Accent1 4 2 5 2 3" xfId="30185" xr:uid="{00000000-0005-0000-0000-000006070000}"/>
    <cellStyle name="20% - Accent1 4 2 5 3" xfId="25615" xr:uid="{00000000-0005-0000-0000-000007070000}"/>
    <cellStyle name="20% - Accent1 4 2 5 3 2" xfId="8361" xr:uid="{00000000-0005-0000-0000-000008070000}"/>
    <cellStyle name="20% - Accent1 4 2 5 4" xfId="27427" xr:uid="{00000000-0005-0000-0000-000009070000}"/>
    <cellStyle name="20% - Accent1 4 2 6" xfId="23933" xr:uid="{00000000-0005-0000-0000-00000A070000}"/>
    <cellStyle name="20% - Accent1 4 2 6 2" xfId="33440" xr:uid="{00000000-0005-0000-0000-00000B070000}"/>
    <cellStyle name="20% - Accent1 4 2 6 2 2" xfId="31807" xr:uid="{00000000-0005-0000-0000-00000C070000}"/>
    <cellStyle name="20% - Accent1 4 2 6 3" xfId="33423" xr:uid="{00000000-0005-0000-0000-00000D070000}"/>
    <cellStyle name="20% - Accent1 4 2 7" xfId="33408" xr:uid="{00000000-0005-0000-0000-00000E070000}"/>
    <cellStyle name="20% - Accent1 4 2 7 2" xfId="20166" xr:uid="{00000000-0005-0000-0000-00000F070000}"/>
    <cellStyle name="20% - Accent1 4 2 8" xfId="31805" xr:uid="{00000000-0005-0000-0000-000010070000}"/>
    <cellStyle name="20% - Accent1 4 2 9" xfId="34563" xr:uid="{00000000-0005-0000-0000-000011070000}"/>
    <cellStyle name="20% - Accent1 4 3" xfId="19747" xr:uid="{00000000-0005-0000-0000-000012070000}"/>
    <cellStyle name="20% - Accent1 4 3 2" xfId="31795" xr:uid="{00000000-0005-0000-0000-000013070000}"/>
    <cellStyle name="20% - Accent1 4 3 2 2" xfId="31067" xr:uid="{00000000-0005-0000-0000-000014070000}"/>
    <cellStyle name="20% - Accent1 4 3 2 2 2" xfId="5465" xr:uid="{00000000-0005-0000-0000-000015070000}"/>
    <cellStyle name="20% - Accent1 4 3 2 2 2 2" xfId="27230" xr:uid="{00000000-0005-0000-0000-000016070000}"/>
    <cellStyle name="20% - Accent1 4 3 2 2 2 2 2" xfId="25524" xr:uid="{00000000-0005-0000-0000-000017070000}"/>
    <cellStyle name="20% - Accent1 4 3 2 2 2 2 2 2" xfId="20069" xr:uid="{00000000-0005-0000-0000-000018070000}"/>
    <cellStyle name="20% - Accent1 4 3 2 2 2 2 3" xfId="25521" xr:uid="{00000000-0005-0000-0000-000019070000}"/>
    <cellStyle name="20% - Accent1 4 3 2 2 2 3" xfId="31952" xr:uid="{00000000-0005-0000-0000-00001A070000}"/>
    <cellStyle name="20% - Accent1 4 3 2 2 2 3 2" xfId="25515" xr:uid="{00000000-0005-0000-0000-00001B070000}"/>
    <cellStyle name="20% - Accent1 4 3 2 2 2 4" xfId="28503" xr:uid="{00000000-0005-0000-0000-00001C070000}"/>
    <cellStyle name="20% - Accent1 4 3 2 2 3" xfId="31936" xr:uid="{00000000-0005-0000-0000-00001D070000}"/>
    <cellStyle name="20% - Accent1 4 3 2 2 3 2" xfId="31924" xr:uid="{00000000-0005-0000-0000-00001E070000}"/>
    <cellStyle name="20% - Accent1 4 3 2 2 3 2 2" xfId="26744" xr:uid="{00000000-0005-0000-0000-00001F070000}"/>
    <cellStyle name="20% - Accent1 4 3 2 2 3 3" xfId="31773" xr:uid="{00000000-0005-0000-0000-000020070000}"/>
    <cellStyle name="20% - Accent1 4 3 2 2 4" xfId="34303" xr:uid="{00000000-0005-0000-0000-000021070000}"/>
    <cellStyle name="20% - Accent1 4 3 2 2 4 2" xfId="31765" xr:uid="{00000000-0005-0000-0000-000022070000}"/>
    <cellStyle name="20% - Accent1 4 3 2 2 5" xfId="22859" xr:uid="{00000000-0005-0000-0000-000023070000}"/>
    <cellStyle name="20% - Accent1 4 3 2 3" xfId="22162" xr:uid="{00000000-0005-0000-0000-000024070000}"/>
    <cellStyle name="20% - Accent1 4 3 2 3 2" xfId="31892" xr:uid="{00000000-0005-0000-0000-000025070000}"/>
    <cellStyle name="20% - Accent1 4 3 2 3 2 2" xfId="31888" xr:uid="{00000000-0005-0000-0000-000026070000}"/>
    <cellStyle name="20% - Accent1 4 3 2 3 2 2 2" xfId="25225" xr:uid="{00000000-0005-0000-0000-000027070000}"/>
    <cellStyle name="20% - Accent1 4 3 2 3 2 3" xfId="31748" xr:uid="{00000000-0005-0000-0000-000028070000}"/>
    <cellStyle name="20% - Accent1 4 3 2 3 3" xfId="31880" xr:uid="{00000000-0005-0000-0000-000029070000}"/>
    <cellStyle name="20% - Accent1 4 3 2 3 3 2" xfId="31742" xr:uid="{00000000-0005-0000-0000-00002A070000}"/>
    <cellStyle name="20% - Accent1 4 3 2 3 4" xfId="22363" xr:uid="{00000000-0005-0000-0000-00002B070000}"/>
    <cellStyle name="20% - Accent1 4 3 2 4" xfId="31734" xr:uid="{00000000-0005-0000-0000-00002C070000}"/>
    <cellStyle name="20% - Accent1 4 3 2 4 2" xfId="19712" xr:uid="{00000000-0005-0000-0000-00002D070000}"/>
    <cellStyle name="20% - Accent1 4 3 2 4 2 2" xfId="32771" xr:uid="{00000000-0005-0000-0000-00002E070000}"/>
    <cellStyle name="20% - Accent1 4 3 2 4 3" xfId="31733" xr:uid="{00000000-0005-0000-0000-00002F070000}"/>
    <cellStyle name="20% - Accent1 4 3 2 5" xfId="31728" xr:uid="{00000000-0005-0000-0000-000030070000}"/>
    <cellStyle name="20% - Accent1 4 3 2 5 2" xfId="33889" xr:uid="{00000000-0005-0000-0000-000031070000}"/>
    <cellStyle name="20% - Accent1 4 3 2 6" xfId="31724" xr:uid="{00000000-0005-0000-0000-000032070000}"/>
    <cellStyle name="20% - Accent1 4 3 3" xfId="31718" xr:uid="{00000000-0005-0000-0000-000033070000}"/>
    <cellStyle name="20% - Accent1 4 3 3 2" xfId="31053" xr:uid="{00000000-0005-0000-0000-000034070000}"/>
    <cellStyle name="20% - Accent1 4 3 3 2 2" xfId="31726" xr:uid="{00000000-0005-0000-0000-000035070000}"/>
    <cellStyle name="20% - Accent1 4 3 3 2 2 2" xfId="33884" xr:uid="{00000000-0005-0000-0000-000036070000}"/>
    <cellStyle name="20% - Accent1 4 3 3 2 2 2 2" xfId="26443" xr:uid="{00000000-0005-0000-0000-000037070000}"/>
    <cellStyle name="20% - Accent1 4 3 3 2 2 3" xfId="32928" xr:uid="{00000000-0005-0000-0000-000038070000}"/>
    <cellStyle name="20% - Accent1 4 3 3 2 3" xfId="30148" xr:uid="{00000000-0005-0000-0000-000039070000}"/>
    <cellStyle name="20% - Accent1 4 3 3 2 3 2" xfId="32891" xr:uid="{00000000-0005-0000-0000-00003A070000}"/>
    <cellStyle name="20% - Accent1 4 3 3 2 4" xfId="29332" xr:uid="{00000000-0005-0000-0000-00003B070000}"/>
    <cellStyle name="20% - Accent1 4 3 3 3" xfId="32897" xr:uid="{00000000-0005-0000-0000-00003C070000}"/>
    <cellStyle name="20% - Accent1 4 3 3 3 2" xfId="31710" xr:uid="{00000000-0005-0000-0000-00003D070000}"/>
    <cellStyle name="20% - Accent1 4 3 3 3 2 2" xfId="32501" xr:uid="{00000000-0005-0000-0000-00003E070000}"/>
    <cellStyle name="20% - Accent1 4 3 3 3 3" xfId="29317" xr:uid="{00000000-0005-0000-0000-00003F070000}"/>
    <cellStyle name="20% - Accent1 4 3 3 4" xfId="31708" xr:uid="{00000000-0005-0000-0000-000040070000}"/>
    <cellStyle name="20% - Accent1 4 3 3 4 2" xfId="34207" xr:uid="{00000000-0005-0000-0000-000041070000}"/>
    <cellStyle name="20% - Accent1 4 3 3 5" xfId="28827" xr:uid="{00000000-0005-0000-0000-000042070000}"/>
    <cellStyle name="20% - Accent1 4 3 4" xfId="32967" xr:uid="{00000000-0005-0000-0000-000043070000}"/>
    <cellStyle name="20% - Accent1 4 3 4 2" xfId="23929" xr:uid="{00000000-0005-0000-0000-000044070000}"/>
    <cellStyle name="20% - Accent1 4 3 4 2 2" xfId="32386" xr:uid="{00000000-0005-0000-0000-000045070000}"/>
    <cellStyle name="20% - Accent1 4 3 4 2 2 2" xfId="32062" xr:uid="{00000000-0005-0000-0000-000046070000}"/>
    <cellStyle name="20% - Accent1 4 3 4 2 3" xfId="29271" xr:uid="{00000000-0005-0000-0000-000047070000}"/>
    <cellStyle name="20% - Accent1 4 3 4 3" xfId="25605" xr:uid="{00000000-0005-0000-0000-000048070000}"/>
    <cellStyle name="20% - Accent1 4 3 4 3 2" xfId="7832" xr:uid="{00000000-0005-0000-0000-000049070000}"/>
    <cellStyle name="20% - Accent1 4 3 4 4" xfId="34244" xr:uid="{00000000-0005-0000-0000-00004A070000}"/>
    <cellStyle name="20% - Accent1 4 3 5" xfId="13451" xr:uid="{00000000-0005-0000-0000-00004B070000}"/>
    <cellStyle name="20% - Accent1 4 3 5 2" xfId="34187" xr:uid="{00000000-0005-0000-0000-00004C070000}"/>
    <cellStyle name="20% - Accent1 4 3 5 2 2" xfId="33769" xr:uid="{00000000-0005-0000-0000-00004D070000}"/>
    <cellStyle name="20% - Accent1 4 3 5 3" xfId="33374" xr:uid="{00000000-0005-0000-0000-00004E070000}"/>
    <cellStyle name="20% - Accent1 4 3 6" xfId="32168" xr:uid="{00000000-0005-0000-0000-00004F070000}"/>
    <cellStyle name="20% - Accent1 4 3 6 2" xfId="33590" xr:uid="{00000000-0005-0000-0000-000050070000}"/>
    <cellStyle name="20% - Accent1 4 3 7" xfId="22984" xr:uid="{00000000-0005-0000-0000-000051070000}"/>
    <cellStyle name="20% - Accent1 4 3 8" xfId="34784" xr:uid="{00000000-0005-0000-0000-000052070000}"/>
    <cellStyle name="20% - Accent1 4 4" xfId="31707" xr:uid="{00000000-0005-0000-0000-000053070000}"/>
    <cellStyle name="20% - Accent1 4 4 2" xfId="31706" xr:uid="{00000000-0005-0000-0000-000054070000}"/>
    <cellStyle name="20% - Accent1 4 4 2 2" xfId="31047" xr:uid="{00000000-0005-0000-0000-000055070000}"/>
    <cellStyle name="20% - Accent1 4 4 2 2 2" xfId="31704" xr:uid="{00000000-0005-0000-0000-000056070000}"/>
    <cellStyle name="20% - Accent1 4 4 2 2 2 2" xfId="24435" xr:uid="{00000000-0005-0000-0000-000057070000}"/>
    <cellStyle name="20% - Accent1 4 4 2 2 2 2 2" xfId="19855" xr:uid="{00000000-0005-0000-0000-000058070000}"/>
    <cellStyle name="20% - Accent1 4 4 2 2 2 3" xfId="31682" xr:uid="{00000000-0005-0000-0000-000059070000}"/>
    <cellStyle name="20% - Accent1 4 4 2 2 3" xfId="31679" xr:uid="{00000000-0005-0000-0000-00005A070000}"/>
    <cellStyle name="20% - Accent1 4 4 2 2 3 2" xfId="31667" xr:uid="{00000000-0005-0000-0000-00005B070000}"/>
    <cellStyle name="20% - Accent1 4 4 2 2 4" xfId="31661" xr:uid="{00000000-0005-0000-0000-00005C070000}"/>
    <cellStyle name="20% - Accent1 4 4 2 3" xfId="31654" xr:uid="{00000000-0005-0000-0000-00005D070000}"/>
    <cellStyle name="20% - Accent1 4 4 2 3 2" xfId="31646" xr:uid="{00000000-0005-0000-0000-00005E070000}"/>
    <cellStyle name="20% - Accent1 4 4 2 3 2 2" xfId="24980" xr:uid="{00000000-0005-0000-0000-00005F070000}"/>
    <cellStyle name="20% - Accent1 4 4 2 3 3" xfId="31632" xr:uid="{00000000-0005-0000-0000-000060070000}"/>
    <cellStyle name="20% - Accent1 4 4 2 4" xfId="28784" xr:uid="{00000000-0005-0000-0000-000061070000}"/>
    <cellStyle name="20% - Accent1 4 4 2 4 2" xfId="31626" xr:uid="{00000000-0005-0000-0000-000062070000}"/>
    <cellStyle name="20% - Accent1 4 4 2 5" xfId="32382" xr:uid="{00000000-0005-0000-0000-000063070000}"/>
    <cellStyle name="20% - Accent1 4 4 3" xfId="26466" xr:uid="{00000000-0005-0000-0000-000064070000}"/>
    <cellStyle name="20% - Accent1 4 4 3 2" xfId="33014" xr:uid="{00000000-0005-0000-0000-000065070000}"/>
    <cellStyle name="20% - Accent1 4 4 3 2 2" xfId="25595" xr:uid="{00000000-0005-0000-0000-000066070000}"/>
    <cellStyle name="20% - Accent1 4 4 3 2 2 2" xfId="31607" xr:uid="{00000000-0005-0000-0000-000067070000}"/>
    <cellStyle name="20% - Accent1 4 4 3 2 3" xfId="25489" xr:uid="{00000000-0005-0000-0000-000068070000}"/>
    <cellStyle name="20% - Accent1 4 4 3 3" xfId="31598" xr:uid="{00000000-0005-0000-0000-000069070000}"/>
    <cellStyle name="20% - Accent1 4 4 3 3 2" xfId="27612" xr:uid="{00000000-0005-0000-0000-00006A070000}"/>
    <cellStyle name="20% - Accent1 4 4 3 4" xfId="31594" xr:uid="{00000000-0005-0000-0000-00006B070000}"/>
    <cellStyle name="20% - Accent1 4 4 4" xfId="23923" xr:uid="{00000000-0005-0000-0000-00006C070000}"/>
    <cellStyle name="20% - Accent1 4 4 4 2" xfId="34092" xr:uid="{00000000-0005-0000-0000-00006D070000}"/>
    <cellStyle name="20% - Accent1 4 4 4 2 2" xfId="17899" xr:uid="{00000000-0005-0000-0000-00006E070000}"/>
    <cellStyle name="20% - Accent1 4 4 4 3" xfId="34177" xr:uid="{00000000-0005-0000-0000-00006F070000}"/>
    <cellStyle name="20% - Accent1 4 4 5" xfId="13444" xr:uid="{00000000-0005-0000-0000-000070070000}"/>
    <cellStyle name="20% - Accent1 4 4 5 2" xfId="33515" xr:uid="{00000000-0005-0000-0000-000071070000}"/>
    <cellStyle name="20% - Accent1 4 4 6" xfId="30206" xr:uid="{00000000-0005-0000-0000-000072070000}"/>
    <cellStyle name="20% - Accent1 4 4 7" xfId="34980" xr:uid="{00000000-0005-0000-0000-000073070000}"/>
    <cellStyle name="20% - Accent1 4 5" xfId="29488" xr:uid="{00000000-0005-0000-0000-000074070000}"/>
    <cellStyle name="20% - Accent1 4 5 2" xfId="29537" xr:uid="{00000000-0005-0000-0000-000075070000}"/>
    <cellStyle name="20% - Accent1 4 5 2 2" xfId="31588" xr:uid="{00000000-0005-0000-0000-000076070000}"/>
    <cellStyle name="20% - Accent1 4 5 2 2 2" xfId="31585" xr:uid="{00000000-0005-0000-0000-000077070000}"/>
    <cellStyle name="20% - Accent1 4 5 2 2 2 2" xfId="21631" xr:uid="{00000000-0005-0000-0000-000078070000}"/>
    <cellStyle name="20% - Accent1 4 5 2 2 3" xfId="17959" xr:uid="{00000000-0005-0000-0000-000079070000}"/>
    <cellStyle name="20% - Accent1 4 5 2 3" xfId="31571" xr:uid="{00000000-0005-0000-0000-00007A070000}"/>
    <cellStyle name="20% - Accent1 4 5 2 3 2" xfId="30835" xr:uid="{00000000-0005-0000-0000-00007B070000}"/>
    <cellStyle name="20% - Accent1 4 5 2 4" xfId="31570" xr:uid="{00000000-0005-0000-0000-00007C070000}"/>
    <cellStyle name="20% - Accent1 4 5 3" xfId="31562" xr:uid="{00000000-0005-0000-0000-00007D070000}"/>
    <cellStyle name="20% - Accent1 4 5 3 2" xfId="31554" xr:uid="{00000000-0005-0000-0000-00007E070000}"/>
    <cellStyle name="20% - Accent1 4 5 3 2 2" xfId="28289" xr:uid="{00000000-0005-0000-0000-00007F070000}"/>
    <cellStyle name="20% - Accent1 4 5 3 3" xfId="31552" xr:uid="{00000000-0005-0000-0000-000080070000}"/>
    <cellStyle name="20% - Accent1 4 5 4" xfId="33906" xr:uid="{00000000-0005-0000-0000-000081070000}"/>
    <cellStyle name="20% - Accent1 4 5 4 2" xfId="32473" xr:uid="{00000000-0005-0000-0000-000082070000}"/>
    <cellStyle name="20% - Accent1 4 5 5" xfId="33312" xr:uid="{00000000-0005-0000-0000-000083070000}"/>
    <cellStyle name="20% - Accent1 4 5 6" xfId="35185" xr:uid="{00000000-0005-0000-0000-000084070000}"/>
    <cellStyle name="20% - Accent1 4 6" xfId="32355" xr:uid="{00000000-0005-0000-0000-000085070000}"/>
    <cellStyle name="20% - Accent1 4 6 2" xfId="31548" xr:uid="{00000000-0005-0000-0000-000086070000}"/>
    <cellStyle name="20% - Accent1 4 6 2 2" xfId="31544" xr:uid="{00000000-0005-0000-0000-000087070000}"/>
    <cellStyle name="20% - Accent1 4 6 2 2 2" xfId="24586" xr:uid="{00000000-0005-0000-0000-000088070000}"/>
    <cellStyle name="20% - Accent1 4 6 2 3" xfId="32955" xr:uid="{00000000-0005-0000-0000-000089070000}"/>
    <cellStyle name="20% - Accent1 4 6 3" xfId="31543" xr:uid="{00000000-0005-0000-0000-00008A070000}"/>
    <cellStyle name="20% - Accent1 4 6 3 2" xfId="31538" xr:uid="{00000000-0005-0000-0000-00008B070000}"/>
    <cellStyle name="20% - Accent1 4 6 4" xfId="28708" xr:uid="{00000000-0005-0000-0000-00008C070000}"/>
    <cellStyle name="20% - Accent1 4 6 5" xfId="35414" xr:uid="{00000000-0005-0000-0000-00008D070000}"/>
    <cellStyle name="20% - Accent1 4 7" xfId="24949" xr:uid="{00000000-0005-0000-0000-00008E070000}"/>
    <cellStyle name="20% - Accent1 4 7 2" xfId="25488" xr:uid="{00000000-0005-0000-0000-00008F070000}"/>
    <cellStyle name="20% - Accent1 4 7 2 2" xfId="21491" xr:uid="{00000000-0005-0000-0000-000090070000}"/>
    <cellStyle name="20% - Accent1 4 7 3" xfId="31536" xr:uid="{00000000-0005-0000-0000-000091070000}"/>
    <cellStyle name="20% - Accent1 4 7 4" xfId="36286" xr:uid="{00000000-0005-0000-0000-000092070000}"/>
    <cellStyle name="20% - Accent1 4 8" xfId="8379" xr:uid="{00000000-0005-0000-0000-000093070000}"/>
    <cellStyle name="20% - Accent1 4 8 2" xfId="31535" xr:uid="{00000000-0005-0000-0000-000094070000}"/>
    <cellStyle name="20% - Accent1 4 8 3" xfId="36572" xr:uid="{00000000-0005-0000-0000-000095070000}"/>
    <cellStyle name="20% - Accent1 4 9" xfId="17780" xr:uid="{00000000-0005-0000-0000-000096070000}"/>
    <cellStyle name="20% - Accent1 4 9 2" xfId="37457" xr:uid="{00000000-0005-0000-0000-000097070000}"/>
    <cellStyle name="20% - Accent1 40" xfId="36092" xr:uid="{00000000-0005-0000-0000-000098070000}"/>
    <cellStyle name="20% - Accent1 40 2" xfId="37261" xr:uid="{00000000-0005-0000-0000-000099070000}"/>
    <cellStyle name="20% - Accent1 40 3" xfId="38159" xr:uid="{00000000-0005-0000-0000-00009A070000}"/>
    <cellStyle name="20% - Accent1 41" xfId="36112" xr:uid="{00000000-0005-0000-0000-00009B070000}"/>
    <cellStyle name="20% - Accent1 41 2" xfId="37281" xr:uid="{00000000-0005-0000-0000-00009C070000}"/>
    <cellStyle name="20% - Accent1 41 3" xfId="38179" xr:uid="{00000000-0005-0000-0000-00009D070000}"/>
    <cellStyle name="20% - Accent1 42" xfId="36132" xr:uid="{00000000-0005-0000-0000-00009E070000}"/>
    <cellStyle name="20% - Accent1 42 2" xfId="37301" xr:uid="{00000000-0005-0000-0000-00009F070000}"/>
    <cellStyle name="20% - Accent1 42 3" xfId="38199" xr:uid="{00000000-0005-0000-0000-0000A0070000}"/>
    <cellStyle name="20% - Accent1 43" xfId="36152" xr:uid="{00000000-0005-0000-0000-0000A1070000}"/>
    <cellStyle name="20% - Accent1 43 2" xfId="37321" xr:uid="{00000000-0005-0000-0000-0000A2070000}"/>
    <cellStyle name="20% - Accent1 43 3" xfId="38219" xr:uid="{00000000-0005-0000-0000-0000A3070000}"/>
    <cellStyle name="20% - Accent1 44" xfId="36172" xr:uid="{00000000-0005-0000-0000-0000A4070000}"/>
    <cellStyle name="20% - Accent1 44 2" xfId="37341" xr:uid="{00000000-0005-0000-0000-0000A5070000}"/>
    <cellStyle name="20% - Accent1 44 3" xfId="38239" xr:uid="{00000000-0005-0000-0000-0000A6070000}"/>
    <cellStyle name="20% - Accent1 45" xfId="36192" xr:uid="{00000000-0005-0000-0000-0000A7070000}"/>
    <cellStyle name="20% - Accent1 45 2" xfId="37361" xr:uid="{00000000-0005-0000-0000-0000A8070000}"/>
    <cellStyle name="20% - Accent1 45 3" xfId="38259" xr:uid="{00000000-0005-0000-0000-0000A9070000}"/>
    <cellStyle name="20% - Accent1 46" xfId="36212" xr:uid="{00000000-0005-0000-0000-0000AA070000}"/>
    <cellStyle name="20% - Accent1 46 2" xfId="37379" xr:uid="{00000000-0005-0000-0000-0000AB070000}"/>
    <cellStyle name="20% - Accent1 46 3" xfId="38279" xr:uid="{00000000-0005-0000-0000-0000AC070000}"/>
    <cellStyle name="20% - Accent1 47" xfId="36513" xr:uid="{00000000-0005-0000-0000-0000AD070000}"/>
    <cellStyle name="20% - Accent1 48" xfId="37398" xr:uid="{00000000-0005-0000-0000-0000AE070000}"/>
    <cellStyle name="20% - Accent1 5" xfId="260" xr:uid="{00000000-0005-0000-0000-0000AF070000}"/>
    <cellStyle name="20% - Accent1 5 10" xfId="5971" xr:uid="{00000000-0005-0000-0000-0000B0070000}"/>
    <cellStyle name="20% - Accent1 5 2" xfId="19737" xr:uid="{00000000-0005-0000-0000-0000B1070000}"/>
    <cellStyle name="20% - Accent1 5 2 2" xfId="33106" xr:uid="{00000000-0005-0000-0000-0000B2070000}"/>
    <cellStyle name="20% - Accent1 5 2 2 2" xfId="21437" xr:uid="{00000000-0005-0000-0000-0000B3070000}"/>
    <cellStyle name="20% - Accent1 5 2 2 2 2" xfId="5403" xr:uid="{00000000-0005-0000-0000-0000B4070000}"/>
    <cellStyle name="20% - Accent1 5 2 2 2 2 2" xfId="28413" xr:uid="{00000000-0005-0000-0000-0000B5070000}"/>
    <cellStyle name="20% - Accent1 5 2 2 2 2 2 2" xfId="31529" xr:uid="{00000000-0005-0000-0000-0000B6070000}"/>
    <cellStyle name="20% - Accent1 5 2 2 2 2 2 2 2" xfId="23384" xr:uid="{00000000-0005-0000-0000-0000B7070000}"/>
    <cellStyle name="20% - Accent1 5 2 2 2 2 2 3" xfId="17645" xr:uid="{00000000-0005-0000-0000-0000B8070000}"/>
    <cellStyle name="20% - Accent1 5 2 2 2 2 3" xfId="23008" xr:uid="{00000000-0005-0000-0000-0000B9070000}"/>
    <cellStyle name="20% - Accent1 5 2 2 2 2 3 2" xfId="33867" xr:uid="{00000000-0005-0000-0000-0000BA070000}"/>
    <cellStyle name="20% - Accent1 5 2 2 2 2 4" xfId="9566" xr:uid="{00000000-0005-0000-0000-0000BB070000}"/>
    <cellStyle name="20% - Accent1 5 2 2 2 3" xfId="32039" xr:uid="{00000000-0005-0000-0000-0000BC070000}"/>
    <cellStyle name="20% - Accent1 5 2 2 2 3 2" xfId="27651" xr:uid="{00000000-0005-0000-0000-0000BD070000}"/>
    <cellStyle name="20% - Accent1 5 2 2 2 3 2 2" xfId="31525" xr:uid="{00000000-0005-0000-0000-0000BE070000}"/>
    <cellStyle name="20% - Accent1 5 2 2 2 3 3" xfId="33612" xr:uid="{00000000-0005-0000-0000-0000BF070000}"/>
    <cellStyle name="20% - Accent1 5 2 2 2 4" xfId="32437" xr:uid="{00000000-0005-0000-0000-0000C0070000}"/>
    <cellStyle name="20% - Accent1 5 2 2 2 4 2" xfId="11254" xr:uid="{00000000-0005-0000-0000-0000C1070000}"/>
    <cellStyle name="20% - Accent1 5 2 2 2 5" xfId="32432" xr:uid="{00000000-0005-0000-0000-0000C2070000}"/>
    <cellStyle name="20% - Accent1 5 2 2 3" xfId="21430" xr:uid="{00000000-0005-0000-0000-0000C3070000}"/>
    <cellStyle name="20% - Accent1 5 2 2 3 2" xfId="31517" xr:uid="{00000000-0005-0000-0000-0000C4070000}"/>
    <cellStyle name="20% - Accent1 5 2 2 3 2 2" xfId="26418" xr:uid="{00000000-0005-0000-0000-0000C5070000}"/>
    <cellStyle name="20% - Accent1 5 2 2 3 2 2 2" xfId="16544" xr:uid="{00000000-0005-0000-0000-0000C6070000}"/>
    <cellStyle name="20% - Accent1 5 2 2 3 2 3" xfId="33571" xr:uid="{00000000-0005-0000-0000-0000C7070000}"/>
    <cellStyle name="20% - Accent1 5 2 2 3 3" xfId="20954" xr:uid="{00000000-0005-0000-0000-0000C8070000}"/>
    <cellStyle name="20% - Accent1 5 2 2 3 3 2" xfId="33523" xr:uid="{00000000-0005-0000-0000-0000C9070000}"/>
    <cellStyle name="20% - Accent1 5 2 2 3 4" xfId="7503" xr:uid="{00000000-0005-0000-0000-0000CA070000}"/>
    <cellStyle name="20% - Accent1 5 2 2 4" xfId="31512" xr:uid="{00000000-0005-0000-0000-0000CB070000}"/>
    <cellStyle name="20% - Accent1 5 2 2 4 2" xfId="31507" xr:uid="{00000000-0005-0000-0000-0000CC070000}"/>
    <cellStyle name="20% - Accent1 5 2 2 4 2 2" xfId="33501" xr:uid="{00000000-0005-0000-0000-0000CD070000}"/>
    <cellStyle name="20% - Accent1 5 2 2 4 3" xfId="32546" xr:uid="{00000000-0005-0000-0000-0000CE070000}"/>
    <cellStyle name="20% - Accent1 5 2 2 5" xfId="31698" xr:uid="{00000000-0005-0000-0000-0000CF070000}"/>
    <cellStyle name="20% - Accent1 5 2 2 5 2" xfId="31691" xr:uid="{00000000-0005-0000-0000-0000D0070000}"/>
    <cellStyle name="20% - Accent1 5 2 2 6" xfId="13056" xr:uid="{00000000-0005-0000-0000-0000D1070000}"/>
    <cellStyle name="20% - Accent1 5 2 3" xfId="23291" xr:uid="{00000000-0005-0000-0000-0000D2070000}"/>
    <cellStyle name="20% - Accent1 5 2 3 2" xfId="30309" xr:uid="{00000000-0005-0000-0000-0000D3070000}"/>
    <cellStyle name="20% - Accent1 5 2 3 2 2" xfId="31489" xr:uid="{00000000-0005-0000-0000-0000D4070000}"/>
    <cellStyle name="20% - Accent1 5 2 3 2 2 2" xfId="33187" xr:uid="{00000000-0005-0000-0000-0000D5070000}"/>
    <cellStyle name="20% - Accent1 5 2 3 2 2 2 2" xfId="33903" xr:uid="{00000000-0005-0000-0000-0000D6070000}"/>
    <cellStyle name="20% - Accent1 5 2 3 2 2 3" xfId="29382" xr:uid="{00000000-0005-0000-0000-0000D7070000}"/>
    <cellStyle name="20% - Accent1 5 2 3 2 3" xfId="29825" xr:uid="{00000000-0005-0000-0000-0000D8070000}"/>
    <cellStyle name="20% - Accent1 5 2 3 2 3 2" xfId="27605" xr:uid="{00000000-0005-0000-0000-0000D9070000}"/>
    <cellStyle name="20% - Accent1 5 2 3 2 4" xfId="29821" xr:uid="{00000000-0005-0000-0000-0000DA070000}"/>
    <cellStyle name="20% - Accent1 5 2 3 3" xfId="25571" xr:uid="{00000000-0005-0000-0000-0000DB070000}"/>
    <cellStyle name="20% - Accent1 5 2 3 3 2" xfId="30776" xr:uid="{00000000-0005-0000-0000-0000DC070000}"/>
    <cellStyle name="20% - Accent1 5 2 3 3 2 2" xfId="28459" xr:uid="{00000000-0005-0000-0000-0000DD070000}"/>
    <cellStyle name="20% - Accent1 5 2 3 3 3" xfId="29811" xr:uid="{00000000-0005-0000-0000-0000DE070000}"/>
    <cellStyle name="20% - Accent1 5 2 3 4" xfId="25568" xr:uid="{00000000-0005-0000-0000-0000DF070000}"/>
    <cellStyle name="20% - Accent1 5 2 3 4 2" xfId="29675" xr:uid="{00000000-0005-0000-0000-0000E0070000}"/>
    <cellStyle name="20% - Accent1 5 2 3 5" xfId="31641" xr:uid="{00000000-0005-0000-0000-0000E1070000}"/>
    <cellStyle name="20% - Accent1 5 2 4" xfId="32954" xr:uid="{00000000-0005-0000-0000-0000E2070000}"/>
    <cellStyle name="20% - Accent1 5 2 4 2" xfId="23875" xr:uid="{00000000-0005-0000-0000-0000E3070000}"/>
    <cellStyle name="20% - Accent1 5 2 4 2 2" xfId="33652" xr:uid="{00000000-0005-0000-0000-0000E4070000}"/>
    <cellStyle name="20% - Accent1 5 2 4 2 2 2" xfId="26499" xr:uid="{00000000-0005-0000-0000-0000E5070000}"/>
    <cellStyle name="20% - Accent1 5 2 4 2 3" xfId="30076" xr:uid="{00000000-0005-0000-0000-0000E6070000}"/>
    <cellStyle name="20% - Accent1 5 2 4 3" xfId="22453" xr:uid="{00000000-0005-0000-0000-0000E7070000}"/>
    <cellStyle name="20% - Accent1 5 2 4 3 2" xfId="25141" xr:uid="{00000000-0005-0000-0000-0000E8070000}"/>
    <cellStyle name="20% - Accent1 5 2 4 4" xfId="29227" xr:uid="{00000000-0005-0000-0000-0000E9070000}"/>
    <cellStyle name="20% - Accent1 5 2 5" xfId="23873" xr:uid="{00000000-0005-0000-0000-0000EA070000}"/>
    <cellStyle name="20% - Accent1 5 2 5 2" xfId="31464" xr:uid="{00000000-0005-0000-0000-0000EB070000}"/>
    <cellStyle name="20% - Accent1 5 2 5 2 2" xfId="22075" xr:uid="{00000000-0005-0000-0000-0000EC070000}"/>
    <cellStyle name="20% - Accent1 5 2 5 3" xfId="31458" xr:uid="{00000000-0005-0000-0000-0000ED070000}"/>
    <cellStyle name="20% - Accent1 5 2 6" xfId="31450" xr:uid="{00000000-0005-0000-0000-0000EE070000}"/>
    <cellStyle name="20% - Accent1 5 2 6 2" xfId="33269" xr:uid="{00000000-0005-0000-0000-0000EF070000}"/>
    <cellStyle name="20% - Accent1 5 2 7" xfId="31443" xr:uid="{00000000-0005-0000-0000-0000F0070000}"/>
    <cellStyle name="20% - Accent1 5 2 8" xfId="34797" xr:uid="{00000000-0005-0000-0000-0000F1070000}"/>
    <cellStyle name="20% - Accent1 5 3" xfId="32340" xr:uid="{00000000-0005-0000-0000-0000F2070000}"/>
    <cellStyle name="20% - Accent1 5 3 2" xfId="27044" xr:uid="{00000000-0005-0000-0000-0000F3070000}"/>
    <cellStyle name="20% - Accent1 5 3 2 2" xfId="21413" xr:uid="{00000000-0005-0000-0000-0000F4070000}"/>
    <cellStyle name="20% - Accent1 5 3 2 2 2" xfId="16105" xr:uid="{00000000-0005-0000-0000-0000F5070000}"/>
    <cellStyle name="20% - Accent1 5 3 2 2 2 2" xfId="32745" xr:uid="{00000000-0005-0000-0000-0000F6070000}"/>
    <cellStyle name="20% - Accent1 5 3 2 2 2 2 2" xfId="17744" xr:uid="{00000000-0005-0000-0000-0000F7070000}"/>
    <cellStyle name="20% - Accent1 5 3 2 2 2 3" xfId="32395" xr:uid="{00000000-0005-0000-0000-0000F8070000}"/>
    <cellStyle name="20% - Accent1 5 3 2 2 3" xfId="31430" xr:uid="{00000000-0005-0000-0000-0000F9070000}"/>
    <cellStyle name="20% - Accent1 5 3 2 2 3 2" xfId="32369" xr:uid="{00000000-0005-0000-0000-0000FA070000}"/>
    <cellStyle name="20% - Accent1 5 3 2 2 4" xfId="31429" xr:uid="{00000000-0005-0000-0000-0000FB070000}"/>
    <cellStyle name="20% - Accent1 5 3 2 3" xfId="12721" xr:uid="{00000000-0005-0000-0000-0000FC070000}"/>
    <cellStyle name="20% - Accent1 5 3 2 3 2" xfId="25875" xr:uid="{00000000-0005-0000-0000-0000FD070000}"/>
    <cellStyle name="20% - Accent1 5 3 2 3 2 2" xfId="32341" xr:uid="{00000000-0005-0000-0000-0000FE070000}"/>
    <cellStyle name="20% - Accent1 5 3 2 3 3" xfId="31416" xr:uid="{00000000-0005-0000-0000-0000FF070000}"/>
    <cellStyle name="20% - Accent1 5 3 2 4" xfId="31415" xr:uid="{00000000-0005-0000-0000-000000080000}"/>
    <cellStyle name="20% - Accent1 5 3 2 4 2" xfId="31409" xr:uid="{00000000-0005-0000-0000-000001080000}"/>
    <cellStyle name="20% - Accent1 5 3 2 5" xfId="31611" xr:uid="{00000000-0005-0000-0000-000002080000}"/>
    <cellStyle name="20% - Accent1 5 3 3" xfId="31399" xr:uid="{00000000-0005-0000-0000-000003080000}"/>
    <cellStyle name="20% - Accent1 5 3 3 2" xfId="15668" xr:uid="{00000000-0005-0000-0000-000004080000}"/>
    <cellStyle name="20% - Accent1 5 3 3 2 2" xfId="31397" xr:uid="{00000000-0005-0000-0000-000005080000}"/>
    <cellStyle name="20% - Accent1 5 3 3 2 2 2" xfId="34115" xr:uid="{00000000-0005-0000-0000-000006080000}"/>
    <cellStyle name="20% - Accent1 5 3 3 2 3" xfId="29680" xr:uid="{00000000-0005-0000-0000-000007080000}"/>
    <cellStyle name="20% - Accent1 5 3 3 3" xfId="29476" xr:uid="{00000000-0005-0000-0000-000008080000}"/>
    <cellStyle name="20% - Accent1 5 3 3 3 2" xfId="31396" xr:uid="{00000000-0005-0000-0000-000009080000}"/>
    <cellStyle name="20% - Accent1 5 3 3 4" xfId="31392" xr:uid="{00000000-0005-0000-0000-00000A080000}"/>
    <cellStyle name="20% - Accent1 5 3 4" xfId="23869" xr:uid="{00000000-0005-0000-0000-00000B080000}"/>
    <cellStyle name="20% - Accent1 5 3 4 2" xfId="33821" xr:uid="{00000000-0005-0000-0000-00000C080000}"/>
    <cellStyle name="20% - Accent1 5 3 4 2 2" xfId="33757" xr:uid="{00000000-0005-0000-0000-00000D080000}"/>
    <cellStyle name="20% - Accent1 5 3 4 3" xfId="31400" xr:uid="{00000000-0005-0000-0000-00000E080000}"/>
    <cellStyle name="20% - Accent1 5 3 5" xfId="23243" xr:uid="{00000000-0005-0000-0000-00000F080000}"/>
    <cellStyle name="20% - Accent1 5 3 5 2" xfId="33257" xr:uid="{00000000-0005-0000-0000-000010080000}"/>
    <cellStyle name="20% - Accent1 5 3 6" xfId="33381" xr:uid="{00000000-0005-0000-0000-000011080000}"/>
    <cellStyle name="20% - Accent1 5 3 7" xfId="34999" xr:uid="{00000000-0005-0000-0000-000012080000}"/>
    <cellStyle name="20% - Accent1 5 4" xfId="31390" xr:uid="{00000000-0005-0000-0000-000013080000}"/>
    <cellStyle name="20% - Accent1 5 4 2" xfId="31386" xr:uid="{00000000-0005-0000-0000-000014080000}"/>
    <cellStyle name="20% - Accent1 5 4 2 2" xfId="12267" xr:uid="{00000000-0005-0000-0000-000015080000}"/>
    <cellStyle name="20% - Accent1 5 4 2 2 2" xfId="31377" xr:uid="{00000000-0005-0000-0000-000016080000}"/>
    <cellStyle name="20% - Accent1 5 4 2 2 2 2" xfId="34299" xr:uid="{00000000-0005-0000-0000-000017080000}"/>
    <cellStyle name="20% - Accent1 5 4 2 2 3" xfId="31376" xr:uid="{00000000-0005-0000-0000-000018080000}"/>
    <cellStyle name="20% - Accent1 5 4 2 3" xfId="31142" xr:uid="{00000000-0005-0000-0000-000019080000}"/>
    <cellStyle name="20% - Accent1 5 4 2 3 2" xfId="32825" xr:uid="{00000000-0005-0000-0000-00001A080000}"/>
    <cellStyle name="20% - Accent1 5 4 2 4" xfId="27096" xr:uid="{00000000-0005-0000-0000-00001B080000}"/>
    <cellStyle name="20% - Accent1 5 4 3" xfId="31372" xr:uid="{00000000-0005-0000-0000-00001C080000}"/>
    <cellStyle name="20% - Accent1 5 4 3 2" xfId="31363" xr:uid="{00000000-0005-0000-0000-00001D080000}"/>
    <cellStyle name="20% - Accent1 5 4 3 2 2" xfId="25209" xr:uid="{00000000-0005-0000-0000-00001E080000}"/>
    <cellStyle name="20% - Accent1 5 4 3 3" xfId="30787" xr:uid="{00000000-0005-0000-0000-00001F080000}"/>
    <cellStyle name="20% - Accent1 5 4 4" xfId="33965" xr:uid="{00000000-0005-0000-0000-000020080000}"/>
    <cellStyle name="20% - Accent1 5 4 4 2" xfId="27051" xr:uid="{00000000-0005-0000-0000-000021080000}"/>
    <cellStyle name="20% - Accent1 5 4 5" xfId="33226" xr:uid="{00000000-0005-0000-0000-000022080000}"/>
    <cellStyle name="20% - Accent1 5 4 6" xfId="35205" xr:uid="{00000000-0005-0000-0000-000023080000}"/>
    <cellStyle name="20% - Accent1 5 5" xfId="26954" xr:uid="{00000000-0005-0000-0000-000024080000}"/>
    <cellStyle name="20% - Accent1 5 5 2" xfId="31352" xr:uid="{00000000-0005-0000-0000-000025080000}"/>
    <cellStyle name="20% - Accent1 5 5 2 2" xfId="27040" xr:uid="{00000000-0005-0000-0000-000026080000}"/>
    <cellStyle name="20% - Accent1 5 5 2 2 2" xfId="19942" xr:uid="{00000000-0005-0000-0000-000027080000}"/>
    <cellStyle name="20% - Accent1 5 5 2 3" xfId="31351" xr:uid="{00000000-0005-0000-0000-000028080000}"/>
    <cellStyle name="20% - Accent1 5 5 3" xfId="29889" xr:uid="{00000000-0005-0000-0000-000029080000}"/>
    <cellStyle name="20% - Accent1 5 5 3 2" xfId="27036" xr:uid="{00000000-0005-0000-0000-00002A080000}"/>
    <cellStyle name="20% - Accent1 5 5 4" xfId="29888" xr:uid="{00000000-0005-0000-0000-00002B080000}"/>
    <cellStyle name="20% - Accent1 5 5 5" xfId="35434" xr:uid="{00000000-0005-0000-0000-00002C080000}"/>
    <cellStyle name="20% - Accent1 5 6" xfId="33179" xr:uid="{00000000-0005-0000-0000-00002D080000}"/>
    <cellStyle name="20% - Accent1 5 6 2" xfId="33703" xr:uid="{00000000-0005-0000-0000-00002E080000}"/>
    <cellStyle name="20% - Accent1 5 6 2 2" xfId="27026" xr:uid="{00000000-0005-0000-0000-00002F080000}"/>
    <cellStyle name="20% - Accent1 5 6 3" xfId="29880" xr:uid="{00000000-0005-0000-0000-000030080000}"/>
    <cellStyle name="20% - Accent1 5 6 4" xfId="36306" xr:uid="{00000000-0005-0000-0000-000031080000}"/>
    <cellStyle name="20% - Accent1 5 7" xfId="22496" xr:uid="{00000000-0005-0000-0000-000032080000}"/>
    <cellStyle name="20% - Accent1 5 7 2" xfId="31475" xr:uid="{00000000-0005-0000-0000-000033080000}"/>
    <cellStyle name="20% - Accent1 5 7 3" xfId="36592" xr:uid="{00000000-0005-0000-0000-000034080000}"/>
    <cellStyle name="20% - Accent1 5 8" xfId="33860" xr:uid="{00000000-0005-0000-0000-000035080000}"/>
    <cellStyle name="20% - Accent1 5 8 2" xfId="37477" xr:uid="{00000000-0005-0000-0000-000036080000}"/>
    <cellStyle name="20% - Accent1 5 9" xfId="34577" xr:uid="{00000000-0005-0000-0000-000037080000}"/>
    <cellStyle name="20% - Accent1 6" xfId="280" xr:uid="{00000000-0005-0000-0000-000038080000}"/>
    <cellStyle name="20% - Accent1 6 2" xfId="29835" xr:uid="{00000000-0005-0000-0000-000039080000}"/>
    <cellStyle name="20% - Accent1 6 2 2" xfId="31327" xr:uid="{00000000-0005-0000-0000-00003A080000}"/>
    <cellStyle name="20% - Accent1 6 2 2 2" xfId="18017" xr:uid="{00000000-0005-0000-0000-00003B080000}"/>
    <cellStyle name="20% - Accent1 6 2 2 2 2" xfId="26608" xr:uid="{00000000-0005-0000-0000-00003C080000}"/>
    <cellStyle name="20% - Accent1 6 2 2 2 2 2" xfId="5353" xr:uid="{00000000-0005-0000-0000-00003D080000}"/>
    <cellStyle name="20% - Accent1 6 2 2 2 2 2 2" xfId="29763" xr:uid="{00000000-0005-0000-0000-00003E080000}"/>
    <cellStyle name="20% - Accent1 6 2 2 2 2 3" xfId="18187" xr:uid="{00000000-0005-0000-0000-00003F080000}"/>
    <cellStyle name="20% - Accent1 6 2 2 2 3" xfId="31304" xr:uid="{00000000-0005-0000-0000-000040080000}"/>
    <cellStyle name="20% - Accent1 6 2 2 2 3 2" xfId="33748" xr:uid="{00000000-0005-0000-0000-000041080000}"/>
    <cellStyle name="20% - Accent1 6 2 2 2 4" xfId="31301" xr:uid="{00000000-0005-0000-0000-000042080000}"/>
    <cellStyle name="20% - Accent1 6 2 2 3" xfId="23393" xr:uid="{00000000-0005-0000-0000-000043080000}"/>
    <cellStyle name="20% - Accent1 6 2 2 3 2" xfId="25546" xr:uid="{00000000-0005-0000-0000-000044080000}"/>
    <cellStyle name="20% - Accent1 6 2 2 3 2 2" xfId="31300" xr:uid="{00000000-0005-0000-0000-000045080000}"/>
    <cellStyle name="20% - Accent1 6 2 2 3 3" xfId="31294" xr:uid="{00000000-0005-0000-0000-000046080000}"/>
    <cellStyle name="20% - Accent1 6 2 2 4" xfId="32551" xr:uid="{00000000-0005-0000-0000-000047080000}"/>
    <cellStyle name="20% - Accent1 6 2 2 4 2" xfId="31293" xr:uid="{00000000-0005-0000-0000-000048080000}"/>
    <cellStyle name="20% - Accent1 6 2 2 5" xfId="31580" xr:uid="{00000000-0005-0000-0000-000049080000}"/>
    <cellStyle name="20% - Accent1 6 2 3" xfId="31291" xr:uid="{00000000-0005-0000-0000-00004A080000}"/>
    <cellStyle name="20% - Accent1 6 2 3 2" xfId="25778" xr:uid="{00000000-0005-0000-0000-00004B080000}"/>
    <cellStyle name="20% - Accent1 6 2 3 2 2" xfId="27124" xr:uid="{00000000-0005-0000-0000-00004C080000}"/>
    <cellStyle name="20% - Accent1 6 2 3 2 2 2" xfId="28367" xr:uid="{00000000-0005-0000-0000-00004D080000}"/>
    <cellStyle name="20% - Accent1 6 2 3 2 3" xfId="27121" xr:uid="{00000000-0005-0000-0000-00004E080000}"/>
    <cellStyle name="20% - Accent1 6 2 3 3" xfId="25534" xr:uid="{00000000-0005-0000-0000-00004F080000}"/>
    <cellStyle name="20% - Accent1 6 2 3 3 2" xfId="7685" xr:uid="{00000000-0005-0000-0000-000050080000}"/>
    <cellStyle name="20% - Accent1 6 2 3 4" xfId="31273" xr:uid="{00000000-0005-0000-0000-000051080000}"/>
    <cellStyle name="20% - Accent1 6 2 4" xfId="23844" xr:uid="{00000000-0005-0000-0000-000052080000}"/>
    <cellStyle name="20% - Accent1 6 2 4 2" xfId="31268" xr:uid="{00000000-0005-0000-0000-000053080000}"/>
    <cellStyle name="20% - Accent1 6 2 4 2 2" xfId="26077" xr:uid="{00000000-0005-0000-0000-000054080000}"/>
    <cellStyle name="20% - Accent1 6 2 4 3" xfId="31255" xr:uid="{00000000-0005-0000-0000-000055080000}"/>
    <cellStyle name="20% - Accent1 6 2 5" xfId="31252" xr:uid="{00000000-0005-0000-0000-000056080000}"/>
    <cellStyle name="20% - Accent1 6 2 5 2" xfId="31243" xr:uid="{00000000-0005-0000-0000-000057080000}"/>
    <cellStyle name="20% - Accent1 6 2 6" xfId="17575" xr:uid="{00000000-0005-0000-0000-000058080000}"/>
    <cellStyle name="20% - Accent1 6 2 7" xfId="34816" xr:uid="{00000000-0005-0000-0000-000059080000}"/>
    <cellStyle name="20% - Accent1 6 3" xfId="31234" xr:uid="{00000000-0005-0000-0000-00005A080000}"/>
    <cellStyle name="20% - Accent1 6 3 2" xfId="30254" xr:uid="{00000000-0005-0000-0000-00005B080000}"/>
    <cellStyle name="20% - Accent1 6 3 2 2" xfId="11983" xr:uid="{00000000-0005-0000-0000-00005C080000}"/>
    <cellStyle name="20% - Accent1 6 3 2 2 2" xfId="10276" xr:uid="{00000000-0005-0000-0000-00005D080000}"/>
    <cellStyle name="20% - Accent1 6 3 2 2 2 2" xfId="31221" xr:uid="{00000000-0005-0000-0000-00005E080000}"/>
    <cellStyle name="20% - Accent1 6 3 2 2 3" xfId="25374" xr:uid="{00000000-0005-0000-0000-00005F080000}"/>
    <cellStyle name="20% - Accent1 6 3 2 3" xfId="10274" xr:uid="{00000000-0005-0000-0000-000060080000}"/>
    <cellStyle name="20% - Accent1 6 3 2 3 2" xfId="31218" xr:uid="{00000000-0005-0000-0000-000061080000}"/>
    <cellStyle name="20% - Accent1 6 3 2 4" xfId="29028" xr:uid="{00000000-0005-0000-0000-000062080000}"/>
    <cellStyle name="20% - Accent1 6 3 3" xfId="31215" xr:uid="{00000000-0005-0000-0000-000063080000}"/>
    <cellStyle name="20% - Accent1 6 3 3 2" xfId="15630" xr:uid="{00000000-0005-0000-0000-000064080000}"/>
    <cellStyle name="20% - Accent1 6 3 3 2 2" xfId="24361" xr:uid="{00000000-0005-0000-0000-000065080000}"/>
    <cellStyle name="20% - Accent1 6 3 3 3" xfId="29021" xr:uid="{00000000-0005-0000-0000-000066080000}"/>
    <cellStyle name="20% - Accent1 6 3 4" xfId="34085" xr:uid="{00000000-0005-0000-0000-000067080000}"/>
    <cellStyle name="20% - Accent1 6 3 4 2" xfId="33490" xr:uid="{00000000-0005-0000-0000-000068080000}"/>
    <cellStyle name="20% - Accent1 6 3 5" xfId="31498" xr:uid="{00000000-0005-0000-0000-000069080000}"/>
    <cellStyle name="20% - Accent1 6 3 6" xfId="35018" xr:uid="{00000000-0005-0000-0000-00006A080000}"/>
    <cellStyle name="20% - Accent1 6 4" xfId="28954" xr:uid="{00000000-0005-0000-0000-00006B080000}"/>
    <cellStyle name="20% - Accent1 6 4 2" xfId="31207" xr:uid="{00000000-0005-0000-0000-00006C080000}"/>
    <cellStyle name="20% - Accent1 6 4 2 2" xfId="9525" xr:uid="{00000000-0005-0000-0000-00006D080000}"/>
    <cellStyle name="20% - Accent1 6 4 2 2 2" xfId="31202" xr:uid="{00000000-0005-0000-0000-00006E080000}"/>
    <cellStyle name="20% - Accent1 6 4 2 3" xfId="29011" xr:uid="{00000000-0005-0000-0000-00006F080000}"/>
    <cellStyle name="20% - Accent1 6 4 3" xfId="30391" xr:uid="{00000000-0005-0000-0000-000070080000}"/>
    <cellStyle name="20% - Accent1 6 4 3 2" xfId="27003" xr:uid="{00000000-0005-0000-0000-000071080000}"/>
    <cellStyle name="20% - Accent1 6 4 4" xfId="33284" xr:uid="{00000000-0005-0000-0000-000072080000}"/>
    <cellStyle name="20% - Accent1 6 4 5" xfId="35224" xr:uid="{00000000-0005-0000-0000-000073080000}"/>
    <cellStyle name="20% - Accent1 6 5" xfId="33017" xr:uid="{00000000-0005-0000-0000-000074080000}"/>
    <cellStyle name="20% - Accent1 6 5 2" xfId="30389" xr:uid="{00000000-0005-0000-0000-000075080000}"/>
    <cellStyle name="20% - Accent1 6 5 2 2" xfId="26991" xr:uid="{00000000-0005-0000-0000-000076080000}"/>
    <cellStyle name="20% - Accent1 6 5 3" xfId="29870" xr:uid="{00000000-0005-0000-0000-000077080000}"/>
    <cellStyle name="20% - Accent1 6 5 4" xfId="35453" xr:uid="{00000000-0005-0000-0000-000078080000}"/>
    <cellStyle name="20% - Accent1 6 6" xfId="8367" xr:uid="{00000000-0005-0000-0000-000079080000}"/>
    <cellStyle name="20% - Accent1 6 6 2" xfId="31181" xr:uid="{00000000-0005-0000-0000-00007A080000}"/>
    <cellStyle name="20% - Accent1 6 6 3" xfId="36325" xr:uid="{00000000-0005-0000-0000-00007B080000}"/>
    <cellStyle name="20% - Accent1 6 7" xfId="33690" xr:uid="{00000000-0005-0000-0000-00007C080000}"/>
    <cellStyle name="20% - Accent1 6 7 2" xfId="36611" xr:uid="{00000000-0005-0000-0000-00007D080000}"/>
    <cellStyle name="20% - Accent1 6 8" xfId="34591" xr:uid="{00000000-0005-0000-0000-00007E080000}"/>
    <cellStyle name="20% - Accent1 6 9" xfId="13856" xr:uid="{00000000-0005-0000-0000-00007F080000}"/>
    <cellStyle name="20% - Accent1 7" xfId="300" xr:uid="{00000000-0005-0000-0000-000080080000}"/>
    <cellStyle name="20% - Accent1 7 2" xfId="29544" xr:uid="{00000000-0005-0000-0000-000081080000}"/>
    <cellStyle name="20% - Accent1 7 2 2" xfId="31180" xr:uid="{00000000-0005-0000-0000-000082080000}"/>
    <cellStyle name="20% - Accent1 7 2 2 2" xfId="26832" xr:uid="{00000000-0005-0000-0000-000083080000}"/>
    <cellStyle name="20% - Accent1 7 2 2 2 2" xfId="33310" xr:uid="{00000000-0005-0000-0000-000084080000}"/>
    <cellStyle name="20% - Accent1 7 2 2 2 2 2" xfId="33302" xr:uid="{00000000-0005-0000-0000-000085080000}"/>
    <cellStyle name="20% - Accent1 7 2 2 2 3" xfId="33293" xr:uid="{00000000-0005-0000-0000-000086080000}"/>
    <cellStyle name="20% - Accent1 7 2 2 3" xfId="32795" xr:uid="{00000000-0005-0000-0000-000087080000}"/>
    <cellStyle name="20% - Accent1 7 2 2 3 2" xfId="31695" xr:uid="{00000000-0005-0000-0000-000088080000}"/>
    <cellStyle name="20% - Accent1 7 2 2 4" xfId="33013" xr:uid="{00000000-0005-0000-0000-000089080000}"/>
    <cellStyle name="20% - Accent1 7 2 3" xfId="31175" xr:uid="{00000000-0005-0000-0000-00008A080000}"/>
    <cellStyle name="20% - Accent1 7 2 3 2" xfId="33119" xr:uid="{00000000-0005-0000-0000-00008B080000}"/>
    <cellStyle name="20% - Accent1 7 2 3 2 2" xfId="30686" xr:uid="{00000000-0005-0000-0000-00008C080000}"/>
    <cellStyle name="20% - Accent1 7 2 3 3" xfId="33209" xr:uid="{00000000-0005-0000-0000-00008D080000}"/>
    <cellStyle name="20% - Accent1 7 2 4" xfId="27915" xr:uid="{00000000-0005-0000-0000-00008E080000}"/>
    <cellStyle name="20% - Accent1 7 2 4 2" xfId="27910" xr:uid="{00000000-0005-0000-0000-00008F080000}"/>
    <cellStyle name="20% - Accent1 7 2 5" xfId="25036" xr:uid="{00000000-0005-0000-0000-000090080000}"/>
    <cellStyle name="20% - Accent1 7 2 6" xfId="34835" xr:uid="{00000000-0005-0000-0000-000091080000}"/>
    <cellStyle name="20% - Accent1 7 3" xfId="29531" xr:uid="{00000000-0005-0000-0000-000092080000}"/>
    <cellStyle name="20% - Accent1 7 3 2" xfId="28726" xr:uid="{00000000-0005-0000-0000-000093080000}"/>
    <cellStyle name="20% - Accent1 7 3 2 2" xfId="8406" xr:uid="{00000000-0005-0000-0000-000094080000}"/>
    <cellStyle name="20% - Accent1 7 3 2 2 2" xfId="7925" xr:uid="{00000000-0005-0000-0000-000095080000}"/>
    <cellStyle name="20% - Accent1 7 3 2 3" xfId="7922" xr:uid="{00000000-0005-0000-0000-000096080000}"/>
    <cellStyle name="20% - Accent1 7 3 3" xfId="31164" xr:uid="{00000000-0005-0000-0000-000097080000}"/>
    <cellStyle name="20% - Accent1 7 3 3 2" xfId="15602" xr:uid="{00000000-0005-0000-0000-000098080000}"/>
    <cellStyle name="20% - Accent1 7 3 4" xfId="27903" xr:uid="{00000000-0005-0000-0000-000099080000}"/>
    <cellStyle name="20% - Accent1 7 3 5" xfId="35037" xr:uid="{00000000-0005-0000-0000-00009A080000}"/>
    <cellStyle name="20% - Accent1 7 4" xfId="29563" xr:uid="{00000000-0005-0000-0000-00009B080000}"/>
    <cellStyle name="20% - Accent1 7 4 2" xfId="30386" xr:uid="{00000000-0005-0000-0000-00009C080000}"/>
    <cellStyle name="20% - Accent1 7 4 2 2" xfId="7593" xr:uid="{00000000-0005-0000-0000-00009D080000}"/>
    <cellStyle name="20% - Accent1 7 4 3" xfId="31161" xr:uid="{00000000-0005-0000-0000-00009E080000}"/>
    <cellStyle name="20% - Accent1 7 4 4" xfId="35244" xr:uid="{00000000-0005-0000-0000-00009F080000}"/>
    <cellStyle name="20% - Accent1 7 5" xfId="8364" xr:uid="{00000000-0005-0000-0000-0000A0080000}"/>
    <cellStyle name="20% - Accent1 7 5 2" xfId="20380" xr:uid="{00000000-0005-0000-0000-0000A1080000}"/>
    <cellStyle name="20% - Accent1 7 5 3" xfId="35473" xr:uid="{00000000-0005-0000-0000-0000A2080000}"/>
    <cellStyle name="20% - Accent1 7 6" xfId="33687" xr:uid="{00000000-0005-0000-0000-0000A3080000}"/>
    <cellStyle name="20% - Accent1 7 6 2" xfId="36345" xr:uid="{00000000-0005-0000-0000-0000A4080000}"/>
    <cellStyle name="20% - Accent1 7 7" xfId="34605" xr:uid="{00000000-0005-0000-0000-0000A5080000}"/>
    <cellStyle name="20% - Accent1 7 8" xfId="29552" xr:uid="{00000000-0005-0000-0000-0000A6080000}"/>
    <cellStyle name="20% - Accent1 7 8 2" xfId="37503" xr:uid="{00000000-0005-0000-0000-0000A7080000}"/>
    <cellStyle name="20% - Accent1 8" xfId="320" xr:uid="{00000000-0005-0000-0000-0000A8080000}"/>
    <cellStyle name="20% - Accent1 8 2" xfId="23689" xr:uid="{00000000-0005-0000-0000-0000A9080000}"/>
    <cellStyle name="20% - Accent1 8 2 2" xfId="19886" xr:uid="{00000000-0005-0000-0000-0000AA080000}"/>
    <cellStyle name="20% - Accent1 8 2 2 2" xfId="32198" xr:uid="{00000000-0005-0000-0000-0000AB080000}"/>
    <cellStyle name="20% - Accent1 8 2 2 2 2" xfId="32192" xr:uid="{00000000-0005-0000-0000-0000AC080000}"/>
    <cellStyle name="20% - Accent1 8 2 2 3" xfId="32185" xr:uid="{00000000-0005-0000-0000-0000AD080000}"/>
    <cellStyle name="20% - Accent1 8 2 3" xfId="26858" xr:uid="{00000000-0005-0000-0000-0000AE080000}"/>
    <cellStyle name="20% - Accent1 8 2 3 2" xfId="33046" xr:uid="{00000000-0005-0000-0000-0000AF080000}"/>
    <cellStyle name="20% - Accent1 8 2 4" xfId="30134" xr:uid="{00000000-0005-0000-0000-0000B0080000}"/>
    <cellStyle name="20% - Accent1 8 2 5" xfId="34854" xr:uid="{00000000-0005-0000-0000-0000B1080000}"/>
    <cellStyle name="20% - Accent1 8 3" xfId="32973" xr:uid="{00000000-0005-0000-0000-0000B2080000}"/>
    <cellStyle name="20% - Accent1 8 3 2" xfId="17662" xr:uid="{00000000-0005-0000-0000-0000B3080000}"/>
    <cellStyle name="20% - Accent1 8 3 2 2" xfId="6351" xr:uid="{00000000-0005-0000-0000-0000B4080000}"/>
    <cellStyle name="20% - Accent1 8 3 3" xfId="27521" xr:uid="{00000000-0005-0000-0000-0000B5080000}"/>
    <cellStyle name="20% - Accent1 8 3 4" xfId="35056" xr:uid="{00000000-0005-0000-0000-0000B6080000}"/>
    <cellStyle name="20% - Accent1 8 4" xfId="31819" xr:uid="{00000000-0005-0000-0000-0000B7080000}"/>
    <cellStyle name="20% - Accent1 8 4 2" xfId="34033" xr:uid="{00000000-0005-0000-0000-0000B8080000}"/>
    <cellStyle name="20% - Accent1 8 4 3" xfId="35263" xr:uid="{00000000-0005-0000-0000-0000B9080000}"/>
    <cellStyle name="20% - Accent1 8 5" xfId="33452" xr:uid="{00000000-0005-0000-0000-0000BA080000}"/>
    <cellStyle name="20% - Accent1 8 5 2" xfId="35492" xr:uid="{00000000-0005-0000-0000-0000BB080000}"/>
    <cellStyle name="20% - Accent1 8 6" xfId="34619" xr:uid="{00000000-0005-0000-0000-0000BC080000}"/>
    <cellStyle name="20% - Accent1 8 7" xfId="31482" xr:uid="{00000000-0005-0000-0000-0000BD080000}"/>
    <cellStyle name="20% - Accent1 8 7 2" xfId="36637" xr:uid="{00000000-0005-0000-0000-0000BE080000}"/>
    <cellStyle name="20% - Accent1 8 8" xfId="37522" xr:uid="{00000000-0005-0000-0000-0000BF080000}"/>
    <cellStyle name="20% - Accent1 9" xfId="340" xr:uid="{00000000-0005-0000-0000-0000C0080000}"/>
    <cellStyle name="20% - Accent1 9 2" xfId="32840" xr:uid="{00000000-0005-0000-0000-0000C1080000}"/>
    <cellStyle name="20% - Accent1 9 2 2" xfId="25786" xr:uid="{00000000-0005-0000-0000-0000C2080000}"/>
    <cellStyle name="20% - Accent1 9 2 2 2" xfId="32379" xr:uid="{00000000-0005-0000-0000-0000C3080000}"/>
    <cellStyle name="20% - Accent1 9 2 3" xfId="25868" xr:uid="{00000000-0005-0000-0000-0000C4080000}"/>
    <cellStyle name="20% - Accent1 9 2 4" xfId="34874" xr:uid="{00000000-0005-0000-0000-0000C5080000}"/>
    <cellStyle name="20% - Accent1 9 3" xfId="34363" xr:uid="{00000000-0005-0000-0000-0000C6080000}"/>
    <cellStyle name="20% - Accent1 9 3 2" xfId="34185" xr:uid="{00000000-0005-0000-0000-0000C7080000}"/>
    <cellStyle name="20% - Accent1 9 3 3" xfId="35075" xr:uid="{00000000-0005-0000-0000-0000C8080000}"/>
    <cellStyle name="20% - Accent1 9 4" xfId="33978" xr:uid="{00000000-0005-0000-0000-0000C9080000}"/>
    <cellStyle name="20% - Accent1 9 4 2" xfId="35283" xr:uid="{00000000-0005-0000-0000-0000CA080000}"/>
    <cellStyle name="20% - Accent1 9 5" xfId="34633" xr:uid="{00000000-0005-0000-0000-0000CB080000}"/>
    <cellStyle name="20% - Accent1 9 6" xfId="31311" xr:uid="{00000000-0005-0000-0000-0000CC080000}"/>
    <cellStyle name="20% - Accent1 9 6 2" xfId="36371" xr:uid="{00000000-0005-0000-0000-0000CD080000}"/>
    <cellStyle name="20% - Accent1 9 7" xfId="36657" xr:uid="{00000000-0005-0000-0000-0000CE080000}"/>
    <cellStyle name="20% - Accent1 9 8" xfId="37542" xr:uid="{00000000-0005-0000-0000-0000CF080000}"/>
    <cellStyle name="20% - Accent2" xfId="27" builtinId="34" customBuiltin="1"/>
    <cellStyle name="20% - Accent2 10" xfId="181" xr:uid="{00000000-0005-0000-0000-0000D1080000}"/>
    <cellStyle name="20% - Accent2 10 2" xfId="28606" xr:uid="{00000000-0005-0000-0000-0000D2080000}"/>
    <cellStyle name="20% - Accent2 10 2 2" xfId="25196" xr:uid="{00000000-0005-0000-0000-0000D3080000}"/>
    <cellStyle name="20% - Accent2 10 2 3" xfId="34895" xr:uid="{00000000-0005-0000-0000-0000D4080000}"/>
    <cellStyle name="20% - Accent2 10 3" xfId="25192" xr:uid="{00000000-0005-0000-0000-0000D5080000}"/>
    <cellStyle name="20% - Accent2 10 3 2" xfId="35097" xr:uid="{00000000-0005-0000-0000-0000D6080000}"/>
    <cellStyle name="20% - Accent2 10 4" xfId="34522" xr:uid="{00000000-0005-0000-0000-0000D7080000}"/>
    <cellStyle name="20% - Accent2 10 5" xfId="27391" xr:uid="{00000000-0005-0000-0000-0000D8080000}"/>
    <cellStyle name="20% - Accent2 10 5 2" xfId="35520" xr:uid="{00000000-0005-0000-0000-0000D9080000}"/>
    <cellStyle name="20% - Accent2 10 6" xfId="36393" xr:uid="{00000000-0005-0000-0000-0000DA080000}"/>
    <cellStyle name="20% - Accent2 10 7" xfId="36679" xr:uid="{00000000-0005-0000-0000-0000DB080000}"/>
    <cellStyle name="20% - Accent2 10 8" xfId="37564" xr:uid="{00000000-0005-0000-0000-0000DC080000}"/>
    <cellStyle name="20% - Accent2 11" xfId="26646" xr:uid="{00000000-0005-0000-0000-0000DD080000}"/>
    <cellStyle name="20% - Accent2 11 2" xfId="26637" xr:uid="{00000000-0005-0000-0000-0000DE080000}"/>
    <cellStyle name="20% - Accent2 11 2 2" xfId="35116" xr:uid="{00000000-0005-0000-0000-0000DF080000}"/>
    <cellStyle name="20% - Accent2 11 3" xfId="34692" xr:uid="{00000000-0005-0000-0000-0000E0080000}"/>
    <cellStyle name="20% - Accent2 11 4" xfId="35540" xr:uid="{00000000-0005-0000-0000-0000E1080000}"/>
    <cellStyle name="20% - Accent2 11 5" xfId="36413" xr:uid="{00000000-0005-0000-0000-0000E2080000}"/>
    <cellStyle name="20% - Accent2 11 6" xfId="36699" xr:uid="{00000000-0005-0000-0000-0000E3080000}"/>
    <cellStyle name="20% - Accent2 11 7" xfId="37584" xr:uid="{00000000-0005-0000-0000-0000E4080000}"/>
    <cellStyle name="20% - Accent2 12" xfId="30674" xr:uid="{00000000-0005-0000-0000-0000E5080000}"/>
    <cellStyle name="20% - Accent2 12 2" xfId="34706" xr:uid="{00000000-0005-0000-0000-0000E6080000}"/>
    <cellStyle name="20% - Accent2 12 3" xfId="35319" xr:uid="{00000000-0005-0000-0000-0000E7080000}"/>
    <cellStyle name="20% - Accent2 12 4" xfId="35559" xr:uid="{00000000-0005-0000-0000-0000E8080000}"/>
    <cellStyle name="20% - Accent2 12 5" xfId="36432" xr:uid="{00000000-0005-0000-0000-0000E9080000}"/>
    <cellStyle name="20% - Accent2 12 6" xfId="36718" xr:uid="{00000000-0005-0000-0000-0000EA080000}"/>
    <cellStyle name="20% - Accent2 12 7" xfId="37603" xr:uid="{00000000-0005-0000-0000-0000EB080000}"/>
    <cellStyle name="20% - Accent2 13" xfId="31155" xr:uid="{00000000-0005-0000-0000-0000EC080000}"/>
    <cellStyle name="20% - Accent2 13 2" xfId="34734" xr:uid="{00000000-0005-0000-0000-0000ED080000}"/>
    <cellStyle name="20% - Accent2 13 3" xfId="35578" xr:uid="{00000000-0005-0000-0000-0000EE080000}"/>
    <cellStyle name="20% - Accent2 13 4" xfId="36453" xr:uid="{00000000-0005-0000-0000-0000EF080000}"/>
    <cellStyle name="20% - Accent2 13 5" xfId="36739" xr:uid="{00000000-0005-0000-0000-0000F0080000}"/>
    <cellStyle name="20% - Accent2 13 6" xfId="37624" xr:uid="{00000000-0005-0000-0000-0000F1080000}"/>
    <cellStyle name="20% - Accent2 14" xfId="31153" xr:uid="{00000000-0005-0000-0000-0000F2080000}"/>
    <cellStyle name="20% - Accent2 14 2" xfId="34924" xr:uid="{00000000-0005-0000-0000-0000F3080000}"/>
    <cellStyle name="20% - Accent2 14 3" xfId="36755" xr:uid="{00000000-0005-0000-0000-0000F4080000}"/>
    <cellStyle name="20% - Accent2 14 4" xfId="37640" xr:uid="{00000000-0005-0000-0000-0000F5080000}"/>
    <cellStyle name="20% - Accent2 15" xfId="34648" xr:uid="{00000000-0005-0000-0000-0000F6080000}"/>
    <cellStyle name="20% - Accent2 15 2" xfId="36478" xr:uid="{00000000-0005-0000-0000-0000F7080000}"/>
    <cellStyle name="20% - Accent2 15 3" xfId="36776" xr:uid="{00000000-0005-0000-0000-0000F8080000}"/>
    <cellStyle name="20% - Accent2 15 4" xfId="37664" xr:uid="{00000000-0005-0000-0000-0000F9080000}"/>
    <cellStyle name="20% - Accent2 16" xfId="35358" xr:uid="{00000000-0005-0000-0000-0000FA080000}"/>
    <cellStyle name="20% - Accent2 16 2" xfId="36496" xr:uid="{00000000-0005-0000-0000-0000FB080000}"/>
    <cellStyle name="20% - Accent2 16 3" xfId="36794" xr:uid="{00000000-0005-0000-0000-0000FC080000}"/>
    <cellStyle name="20% - Accent2 16 4" xfId="37683" xr:uid="{00000000-0005-0000-0000-0000FD080000}"/>
    <cellStyle name="20% - Accent2 17" xfId="35645" xr:uid="{00000000-0005-0000-0000-0000FE080000}"/>
    <cellStyle name="20% - Accent2 17 2" xfId="36813" xr:uid="{00000000-0005-0000-0000-0000FF080000}"/>
    <cellStyle name="20% - Accent2 17 3" xfId="37703" xr:uid="{00000000-0005-0000-0000-000000090000}"/>
    <cellStyle name="20% - Accent2 18" xfId="35663" xr:uid="{00000000-0005-0000-0000-000001090000}"/>
    <cellStyle name="20% - Accent2 18 2" xfId="36832" xr:uid="{00000000-0005-0000-0000-000002090000}"/>
    <cellStyle name="20% - Accent2 18 3" xfId="37722" xr:uid="{00000000-0005-0000-0000-000003090000}"/>
    <cellStyle name="20% - Accent2 19" xfId="35682" xr:uid="{00000000-0005-0000-0000-000004090000}"/>
    <cellStyle name="20% - Accent2 19 2" xfId="36851" xr:uid="{00000000-0005-0000-0000-000005090000}"/>
    <cellStyle name="20% - Accent2 19 3" xfId="37741" xr:uid="{00000000-0005-0000-0000-000006090000}"/>
    <cellStyle name="20% - Accent2 2" xfId="81" xr:uid="{00000000-0005-0000-0000-000007090000}"/>
    <cellStyle name="20% - Accent2 2 10" xfId="6019" xr:uid="{00000000-0005-0000-0000-000008090000}"/>
    <cellStyle name="20% - Accent2 2 10 2" xfId="32578" xr:uid="{00000000-0005-0000-0000-000009090000}"/>
    <cellStyle name="20% - Accent2 2 10 3" xfId="37422" xr:uid="{00000000-0005-0000-0000-00000A090000}"/>
    <cellStyle name="20% - Accent2 2 11" xfId="6017" xr:uid="{00000000-0005-0000-0000-00000B090000}"/>
    <cellStyle name="20% - Accent2 2 12" xfId="34440" xr:uid="{00000000-0005-0000-0000-00000C090000}"/>
    <cellStyle name="20% - Accent2 2 13" xfId="14855" xr:uid="{00000000-0005-0000-0000-00000D090000}"/>
    <cellStyle name="20% - Accent2 2 2" xfId="142" xr:uid="{00000000-0005-0000-0000-00000E090000}"/>
    <cellStyle name="20% - Accent2 2 2 10" xfId="34055" xr:uid="{00000000-0005-0000-0000-00000F090000}"/>
    <cellStyle name="20% - Accent2 2 2 11" xfId="34495" xr:uid="{00000000-0005-0000-0000-000010090000}"/>
    <cellStyle name="20% - Accent2 2 2 12" xfId="27035" xr:uid="{00000000-0005-0000-0000-000011090000}"/>
    <cellStyle name="20% - Accent2 2 2 2" xfId="33852" xr:uid="{00000000-0005-0000-0000-000012090000}"/>
    <cellStyle name="20% - Accent2 2 2 2 2" xfId="31148" xr:uid="{00000000-0005-0000-0000-000013090000}"/>
    <cellStyle name="20% - Accent2 2 2 2 2 2" xfId="27220" xr:uid="{00000000-0005-0000-0000-000014090000}"/>
    <cellStyle name="20% - Accent2 2 2 2 2 2 2" xfId="31129" xr:uid="{00000000-0005-0000-0000-000015090000}"/>
    <cellStyle name="20% - Accent2 2 2 2 2 2 2 2" xfId="9146" xr:uid="{00000000-0005-0000-0000-000016090000}"/>
    <cellStyle name="20% - Accent2 2 2 2 2 2 2 2 2" xfId="26964" xr:uid="{00000000-0005-0000-0000-000017090000}"/>
    <cellStyle name="20% - Accent2 2 2 2 2 2 2 2 2 2" xfId="19861" xr:uid="{00000000-0005-0000-0000-000018090000}"/>
    <cellStyle name="20% - Accent2 2 2 2 2 2 2 2 2 2 2" xfId="25894" xr:uid="{00000000-0005-0000-0000-000019090000}"/>
    <cellStyle name="20% - Accent2 2 2 2 2 2 2 2 2 2 2 2" xfId="32310" xr:uid="{00000000-0005-0000-0000-00001A090000}"/>
    <cellStyle name="20% - Accent2 2 2 2 2 2 2 2 2 2 3" xfId="30981" xr:uid="{00000000-0005-0000-0000-00001B090000}"/>
    <cellStyle name="20% - Accent2 2 2 2 2 2 2 2 2 3" xfId="19856" xr:uid="{00000000-0005-0000-0000-00001C090000}"/>
    <cellStyle name="20% - Accent2 2 2 2 2 2 2 2 2 3 2" xfId="29885" xr:uid="{00000000-0005-0000-0000-00001D090000}"/>
    <cellStyle name="20% - Accent2 2 2 2 2 2 2 2 2 4" xfId="28978" xr:uid="{00000000-0005-0000-0000-00001E090000}"/>
    <cellStyle name="20% - Accent2 2 2 2 2 2 2 2 3" xfId="30115" xr:uid="{00000000-0005-0000-0000-00001F090000}"/>
    <cellStyle name="20% - Accent2 2 2 2 2 2 2 2 3 2" xfId="19845" xr:uid="{00000000-0005-0000-0000-000020090000}"/>
    <cellStyle name="20% - Accent2 2 2 2 2 2 2 2 3 2 2" xfId="31117" xr:uid="{00000000-0005-0000-0000-000021090000}"/>
    <cellStyle name="20% - Accent2 2 2 2 2 2 2 2 3 3" xfId="28970" xr:uid="{00000000-0005-0000-0000-000022090000}"/>
    <cellStyle name="20% - Accent2 2 2 2 2 2 2 2 4" xfId="30111" xr:uid="{00000000-0005-0000-0000-000023090000}"/>
    <cellStyle name="20% - Accent2 2 2 2 2 2 2 2 4 2" xfId="31110" xr:uid="{00000000-0005-0000-0000-000024090000}"/>
    <cellStyle name="20% - Accent2 2 2 2 2 2 2 2 5" xfId="6233" xr:uid="{00000000-0005-0000-0000-000025090000}"/>
    <cellStyle name="20% - Accent2 2 2 2 2 2 2 3" xfId="13496" xr:uid="{00000000-0005-0000-0000-000026090000}"/>
    <cellStyle name="20% - Accent2 2 2 2 2 2 2 3 2" xfId="33640" xr:uid="{00000000-0005-0000-0000-000027090000}"/>
    <cellStyle name="20% - Accent2 2 2 2 2 2 2 3 2 2" xfId="19822" xr:uid="{00000000-0005-0000-0000-000028090000}"/>
    <cellStyle name="20% - Accent2 2 2 2 2 2 2 3 2 2 2" xfId="27065" xr:uid="{00000000-0005-0000-0000-000029090000}"/>
    <cellStyle name="20% - Accent2 2 2 2 2 2 2 3 2 3" xfId="28896" xr:uid="{00000000-0005-0000-0000-00002A090000}"/>
    <cellStyle name="20% - Accent2 2 2 2 2 2 2 3 3" xfId="32639" xr:uid="{00000000-0005-0000-0000-00002B090000}"/>
    <cellStyle name="20% - Accent2 2 2 2 2 2 2 3 3 2" xfId="31086" xr:uid="{00000000-0005-0000-0000-00002C090000}"/>
    <cellStyle name="20% - Accent2 2 2 2 2 2 2 3 4" xfId="27962" xr:uid="{00000000-0005-0000-0000-00002D090000}"/>
    <cellStyle name="20% - Accent2 2 2 2 2 2 2 4" xfId="13483" xr:uid="{00000000-0005-0000-0000-00002E090000}"/>
    <cellStyle name="20% - Accent2 2 2 2 2 2 2 4 2" xfId="33838" xr:uid="{00000000-0005-0000-0000-00002F090000}"/>
    <cellStyle name="20% - Accent2 2 2 2 2 2 2 4 2 2" xfId="31079" xr:uid="{00000000-0005-0000-0000-000030090000}"/>
    <cellStyle name="20% - Accent2 2 2 2 2 2 2 4 3" xfId="27949" xr:uid="{00000000-0005-0000-0000-000031090000}"/>
    <cellStyle name="20% - Accent2 2 2 2 2 2 2 5" xfId="13477" xr:uid="{00000000-0005-0000-0000-000032090000}"/>
    <cellStyle name="20% - Accent2 2 2 2 2 2 2 5 2" xfId="9464" xr:uid="{00000000-0005-0000-0000-000033090000}"/>
    <cellStyle name="20% - Accent2 2 2 2 2 2 2 6" xfId="24852" xr:uid="{00000000-0005-0000-0000-000034090000}"/>
    <cellStyle name="20% - Accent2 2 2 2 2 2 3" xfId="31534" xr:uid="{00000000-0005-0000-0000-000035090000}"/>
    <cellStyle name="20% - Accent2 2 2 2 2 2 3 2" xfId="13468" xr:uid="{00000000-0005-0000-0000-000036090000}"/>
    <cellStyle name="20% - Accent2 2 2 2 2 2 3 2 2" xfId="23005" xr:uid="{00000000-0005-0000-0000-000037090000}"/>
    <cellStyle name="20% - Accent2 2 2 2 2 2 3 2 2 2" xfId="27192" xr:uid="{00000000-0005-0000-0000-000038090000}"/>
    <cellStyle name="20% - Accent2 2 2 2 2 2 3 2 2 2 2" xfId="26204" xr:uid="{00000000-0005-0000-0000-000039090000}"/>
    <cellStyle name="20% - Accent2 2 2 2 2 2 3 2 2 3" xfId="28688" xr:uid="{00000000-0005-0000-0000-00003A090000}"/>
    <cellStyle name="20% - Accent2 2 2 2 2 2 3 2 3" xfId="31134" xr:uid="{00000000-0005-0000-0000-00003B090000}"/>
    <cellStyle name="20% - Accent2 2 2 2 2 2 3 2 3 2" xfId="21480" xr:uid="{00000000-0005-0000-0000-00003C090000}"/>
    <cellStyle name="20% - Accent2 2 2 2 2 2 3 2 4" xfId="27867" xr:uid="{00000000-0005-0000-0000-00003D090000}"/>
    <cellStyle name="20% - Accent2 2 2 2 2 2 3 3" xfId="13462" xr:uid="{00000000-0005-0000-0000-00003E090000}"/>
    <cellStyle name="20% - Accent2 2 2 2 2 2 3 3 2" xfId="33794" xr:uid="{00000000-0005-0000-0000-00003F090000}"/>
    <cellStyle name="20% - Accent2 2 2 2 2 2 3 3 2 2" xfId="31050" xr:uid="{00000000-0005-0000-0000-000040090000}"/>
    <cellStyle name="20% - Accent2 2 2 2 2 2 3 3 3" xfId="30850" xr:uid="{00000000-0005-0000-0000-000041090000}"/>
    <cellStyle name="20% - Accent2 2 2 2 2 2 3 4" xfId="13455" xr:uid="{00000000-0005-0000-0000-000042090000}"/>
    <cellStyle name="20% - Accent2 2 2 2 2 2 3 4 2" xfId="12184" xr:uid="{00000000-0005-0000-0000-000043090000}"/>
    <cellStyle name="20% - Accent2 2 2 2 2 2 3 5" xfId="13074" xr:uid="{00000000-0005-0000-0000-000044090000}"/>
    <cellStyle name="20% - Accent2 2 2 2 2 2 4" xfId="31519" xr:uid="{00000000-0005-0000-0000-000045090000}"/>
    <cellStyle name="20% - Accent2 2 2 2 2 2 4 2" xfId="13446" xr:uid="{00000000-0005-0000-0000-000046090000}"/>
    <cellStyle name="20% - Accent2 2 2 2 2 2 4 2 2" xfId="16943" xr:uid="{00000000-0005-0000-0000-000047090000}"/>
    <cellStyle name="20% - Accent2 2 2 2 2 2 4 2 2 2" xfId="16497" xr:uid="{00000000-0005-0000-0000-000048090000}"/>
    <cellStyle name="20% - Accent2 2 2 2 2 2 4 2 3" xfId="16939" xr:uid="{00000000-0005-0000-0000-000049090000}"/>
    <cellStyle name="20% - Accent2 2 2 2 2 2 4 3" xfId="14192" xr:uid="{00000000-0005-0000-0000-00004A090000}"/>
    <cellStyle name="20% - Accent2 2 2 2 2 2 4 3 2" xfId="16935" xr:uid="{00000000-0005-0000-0000-00004B090000}"/>
    <cellStyle name="20% - Accent2 2 2 2 2 2 4 4" xfId="27985" xr:uid="{00000000-0005-0000-0000-00004C090000}"/>
    <cellStyle name="20% - Accent2 2 2 2 2 2 5" xfId="5594" xr:uid="{00000000-0005-0000-0000-00004D090000}"/>
    <cellStyle name="20% - Accent2 2 2 2 2 2 5 2" xfId="13438" xr:uid="{00000000-0005-0000-0000-00004E090000}"/>
    <cellStyle name="20% - Accent2 2 2 2 2 2 5 2 2" xfId="16901" xr:uid="{00000000-0005-0000-0000-00004F090000}"/>
    <cellStyle name="20% - Accent2 2 2 2 2 2 5 3" xfId="33439" xr:uid="{00000000-0005-0000-0000-000050090000}"/>
    <cellStyle name="20% - Accent2 2 2 2 2 2 6" xfId="31697" xr:uid="{00000000-0005-0000-0000-000051090000}"/>
    <cellStyle name="20% - Accent2 2 2 2 2 2 6 2" xfId="31948" xr:uid="{00000000-0005-0000-0000-000052090000}"/>
    <cellStyle name="20% - Accent2 2 2 2 2 2 7" xfId="30015" xr:uid="{00000000-0005-0000-0000-000053090000}"/>
    <cellStyle name="20% - Accent2 2 2 2 2 3" xfId="27813" xr:uid="{00000000-0005-0000-0000-000054090000}"/>
    <cellStyle name="20% - Accent2 2 2 2 2 3 2" xfId="31031" xr:uid="{00000000-0005-0000-0000-000055090000}"/>
    <cellStyle name="20% - Accent2 2 2 2 2 3 2 2" xfId="13427" xr:uid="{00000000-0005-0000-0000-000056090000}"/>
    <cellStyle name="20% - Accent2 2 2 2 2 3 2 2 2" xfId="33497" xr:uid="{00000000-0005-0000-0000-000057090000}"/>
    <cellStyle name="20% - Accent2 2 2 2 2 3 2 2 2 2" xfId="19605" xr:uid="{00000000-0005-0000-0000-000058090000}"/>
    <cellStyle name="20% - Accent2 2 2 2 2 3 2 2 2 2 2" xfId="25723" xr:uid="{00000000-0005-0000-0000-000059090000}"/>
    <cellStyle name="20% - Accent2 2 2 2 2 3 2 2 2 3" xfId="27752" xr:uid="{00000000-0005-0000-0000-00005A090000}"/>
    <cellStyle name="20% - Accent2 2 2 2 2 3 2 2 3" xfId="18906" xr:uid="{00000000-0005-0000-0000-00005B090000}"/>
    <cellStyle name="20% - Accent2 2 2 2 2 3 2 2 3 2" xfId="29400" xr:uid="{00000000-0005-0000-0000-00005C090000}"/>
    <cellStyle name="20% - Accent2 2 2 2 2 3 2 2 4" xfId="17944" xr:uid="{00000000-0005-0000-0000-00005D090000}"/>
    <cellStyle name="20% - Accent2 2 2 2 2 3 2 3" xfId="25474" xr:uid="{00000000-0005-0000-0000-00005E090000}"/>
    <cellStyle name="20% - Accent2 2 2 2 2 3 2 3 2" xfId="33483" xr:uid="{00000000-0005-0000-0000-00005F090000}"/>
    <cellStyle name="20% - Accent2 2 2 2 2 3 2 3 2 2" xfId="27697" xr:uid="{00000000-0005-0000-0000-000060090000}"/>
    <cellStyle name="20% - Accent2 2 2 2 2 3 2 3 3" xfId="18895" xr:uid="{00000000-0005-0000-0000-000061090000}"/>
    <cellStyle name="20% - Accent2 2 2 2 2 3 2 4" xfId="29103" xr:uid="{00000000-0005-0000-0000-000062090000}"/>
    <cellStyle name="20% - Accent2 2 2 2 2 3 2 4 2" xfId="33476" xr:uid="{00000000-0005-0000-0000-000063090000}"/>
    <cellStyle name="20% - Accent2 2 2 2 2 3 2 5" xfId="29097" xr:uid="{00000000-0005-0000-0000-000064090000}"/>
    <cellStyle name="20% - Accent2 2 2 2 2 3 3" xfId="31495" xr:uid="{00000000-0005-0000-0000-000065090000}"/>
    <cellStyle name="20% - Accent2 2 2 2 2 3 3 2" xfId="13411" xr:uid="{00000000-0005-0000-0000-000066090000}"/>
    <cellStyle name="20% - Accent2 2 2 2 2 3 3 2 2" xfId="33461" xr:uid="{00000000-0005-0000-0000-000067090000}"/>
    <cellStyle name="20% - Accent2 2 2 2 2 3 3 2 2 2" xfId="30693" xr:uid="{00000000-0005-0000-0000-000068090000}"/>
    <cellStyle name="20% - Accent2 2 2 2 2 3 3 2 3" xfId="29665" xr:uid="{00000000-0005-0000-0000-000069090000}"/>
    <cellStyle name="20% - Accent2 2 2 2 2 3 3 3" xfId="13405" xr:uid="{00000000-0005-0000-0000-00006A090000}"/>
    <cellStyle name="20% - Accent2 2 2 2 2 3 3 3 2" xfId="34212" xr:uid="{00000000-0005-0000-0000-00006B090000}"/>
    <cellStyle name="20% - Accent2 2 2 2 2 3 3 4" xfId="29089" xr:uid="{00000000-0005-0000-0000-00006C090000}"/>
    <cellStyle name="20% - Accent2 2 2 2 2 3 4" xfId="33466" xr:uid="{00000000-0005-0000-0000-00006D090000}"/>
    <cellStyle name="20% - Accent2 2 2 2 2 3 4 2" xfId="31020" xr:uid="{00000000-0005-0000-0000-00006E090000}"/>
    <cellStyle name="20% - Accent2 2 2 2 2 3 4 2 2" xfId="24088" xr:uid="{00000000-0005-0000-0000-00006F090000}"/>
    <cellStyle name="20% - Accent2 2 2 2 2 3 4 3" xfId="30925" xr:uid="{00000000-0005-0000-0000-000070090000}"/>
    <cellStyle name="20% - Accent2 2 2 2 2 3 5" xfId="31486" xr:uid="{00000000-0005-0000-0000-000071090000}"/>
    <cellStyle name="20% - Accent2 2 2 2 2 3 5 2" xfId="32479" xr:uid="{00000000-0005-0000-0000-000072090000}"/>
    <cellStyle name="20% - Accent2 2 2 2 2 3 6" xfId="30958" xr:uid="{00000000-0005-0000-0000-000073090000}"/>
    <cellStyle name="20% - Accent2 2 2 2 2 4" xfId="31016" xr:uid="{00000000-0005-0000-0000-000074090000}"/>
    <cellStyle name="20% - Accent2 2 2 2 2 4 2" xfId="29555" xr:uid="{00000000-0005-0000-0000-000075090000}"/>
    <cellStyle name="20% - Accent2 2 2 2 2 4 2 2" xfId="13386" xr:uid="{00000000-0005-0000-0000-000076090000}"/>
    <cellStyle name="20% - Accent2 2 2 2 2 4 2 2 2" xfId="30983" xr:uid="{00000000-0005-0000-0000-000077090000}"/>
    <cellStyle name="20% - Accent2 2 2 2 2 4 2 2 2 2" xfId="29398" xr:uid="{00000000-0005-0000-0000-000078090000}"/>
    <cellStyle name="20% - Accent2 2 2 2 2 4 2 2 3" xfId="18792" xr:uid="{00000000-0005-0000-0000-000079090000}"/>
    <cellStyle name="20% - Accent2 2 2 2 2 4 2 3" xfId="13384" xr:uid="{00000000-0005-0000-0000-00007A090000}"/>
    <cellStyle name="20% - Accent2 2 2 2 2 4 2 3 2" xfId="34311" xr:uid="{00000000-0005-0000-0000-00007B090000}"/>
    <cellStyle name="20% - Accent2 2 2 2 2 4 2 4" xfId="24294" xr:uid="{00000000-0005-0000-0000-00007C090000}"/>
    <cellStyle name="20% - Accent2 2 2 2 2 4 3" xfId="27282" xr:uid="{00000000-0005-0000-0000-00007D090000}"/>
    <cellStyle name="20% - Accent2 2 2 2 2 4 3 2" xfId="13375" xr:uid="{00000000-0005-0000-0000-00007E090000}"/>
    <cellStyle name="20% - Accent2 2 2 2 2 4 3 2 2" xfId="30995" xr:uid="{00000000-0005-0000-0000-00007F090000}"/>
    <cellStyle name="20% - Accent2 2 2 2 2 4 3 3" xfId="30994" xr:uid="{00000000-0005-0000-0000-000080090000}"/>
    <cellStyle name="20% - Accent2 2 2 2 2 4 4" xfId="11931" xr:uid="{00000000-0005-0000-0000-000081090000}"/>
    <cellStyle name="20% - Accent2 2 2 2 2 4 4 2" xfId="28243" xr:uid="{00000000-0005-0000-0000-000082090000}"/>
    <cellStyle name="20% - Accent2 2 2 2 2 4 5" xfId="11927" xr:uid="{00000000-0005-0000-0000-000083090000}"/>
    <cellStyle name="20% - Accent2 2 2 2 2 5" xfId="14922" xr:uid="{00000000-0005-0000-0000-000084090000}"/>
    <cellStyle name="20% - Accent2 2 2 2 2 5 2" xfId="12956" xr:uid="{00000000-0005-0000-0000-000085090000}"/>
    <cellStyle name="20% - Accent2 2 2 2 2 5 2 2" xfId="19361" xr:uid="{00000000-0005-0000-0000-000086090000}"/>
    <cellStyle name="20% - Accent2 2 2 2 2 5 2 2 2" xfId="15960" xr:uid="{00000000-0005-0000-0000-000087090000}"/>
    <cellStyle name="20% - Accent2 2 2 2 2 5 2 3" xfId="25575" xr:uid="{00000000-0005-0000-0000-000088090000}"/>
    <cellStyle name="20% - Accent2 2 2 2 2 5 3" xfId="11924" xr:uid="{00000000-0005-0000-0000-000089090000}"/>
    <cellStyle name="20% - Accent2 2 2 2 2 5 3 2" xfId="25862" xr:uid="{00000000-0005-0000-0000-00008A090000}"/>
    <cellStyle name="20% - Accent2 2 2 2 2 5 4" xfId="11918" xr:uid="{00000000-0005-0000-0000-00008B090000}"/>
    <cellStyle name="20% - Accent2 2 2 2 2 6" xfId="25223" xr:uid="{00000000-0005-0000-0000-00008C090000}"/>
    <cellStyle name="20% - Accent2 2 2 2 2 6 2" xfId="6376" xr:uid="{00000000-0005-0000-0000-00008D090000}"/>
    <cellStyle name="20% - Accent2 2 2 2 2 6 2 2" xfId="25849" xr:uid="{00000000-0005-0000-0000-00008E090000}"/>
    <cellStyle name="20% - Accent2 2 2 2 2 6 3" xfId="11911" xr:uid="{00000000-0005-0000-0000-00008F090000}"/>
    <cellStyle name="20% - Accent2 2 2 2 2 7" xfId="19910" xr:uid="{00000000-0005-0000-0000-000090090000}"/>
    <cellStyle name="20% - Accent2 2 2 2 2 7 2" xfId="29127" xr:uid="{00000000-0005-0000-0000-000091090000}"/>
    <cellStyle name="20% - Accent2 2 2 2 2 8" xfId="19904" xr:uid="{00000000-0005-0000-0000-000092090000}"/>
    <cellStyle name="20% - Accent2 2 2 2 3" xfId="33943" xr:uid="{00000000-0005-0000-0000-000093090000}"/>
    <cellStyle name="20% - Accent2 2 2 2 3 2" xfId="19978" xr:uid="{00000000-0005-0000-0000-000094090000}"/>
    <cellStyle name="20% - Accent2 2 2 2 3 2 2" xfId="30975" xr:uid="{00000000-0005-0000-0000-000095090000}"/>
    <cellStyle name="20% - Accent2 2 2 2 3 2 2 2" xfId="30967" xr:uid="{00000000-0005-0000-0000-000096090000}"/>
    <cellStyle name="20% - Accent2 2 2 2 3 2 2 2 2" xfId="31391" xr:uid="{00000000-0005-0000-0000-000097090000}"/>
    <cellStyle name="20% - Accent2 2 2 2 3 2 2 2 2 2" xfId="17409" xr:uid="{00000000-0005-0000-0000-000098090000}"/>
    <cellStyle name="20% - Accent2 2 2 2 3 2 2 2 2 2 2" xfId="25673" xr:uid="{00000000-0005-0000-0000-000099090000}"/>
    <cellStyle name="20% - Accent2 2 2 2 3 2 2 2 2 3" xfId="17386" xr:uid="{00000000-0005-0000-0000-00009A090000}"/>
    <cellStyle name="20% - Accent2 2 2 2 3 2 2 2 3" xfId="29658" xr:uid="{00000000-0005-0000-0000-00009B090000}"/>
    <cellStyle name="20% - Accent2 2 2 2 3 2 2 2 3 2" xfId="24286" xr:uid="{00000000-0005-0000-0000-00009C090000}"/>
    <cellStyle name="20% - Accent2 2 2 2 3 2 2 2 4" xfId="34208" xr:uid="{00000000-0005-0000-0000-00009D090000}"/>
    <cellStyle name="20% - Accent2 2 2 2 3 2 2 3" xfId="25883" xr:uid="{00000000-0005-0000-0000-00009E090000}"/>
    <cellStyle name="20% - Accent2 2 2 2 3 2 2 3 2" xfId="27149" xr:uid="{00000000-0005-0000-0000-00009F090000}"/>
    <cellStyle name="20% - Accent2 2 2 2 3 2 2 3 2 2" xfId="17283" xr:uid="{00000000-0005-0000-0000-0000A0090000}"/>
    <cellStyle name="20% - Accent2 2 2 2 3 2 2 3 3" xfId="33255" xr:uid="{00000000-0005-0000-0000-0000A1090000}"/>
    <cellStyle name="20% - Accent2 2 2 2 3 2 2 4" xfId="29408" xr:uid="{00000000-0005-0000-0000-0000A2090000}"/>
    <cellStyle name="20% - Accent2 2 2 2 3 2 2 4 2" xfId="25757" xr:uid="{00000000-0005-0000-0000-0000A3090000}"/>
    <cellStyle name="20% - Accent2 2 2 2 3 2 2 5" xfId="23248" xr:uid="{00000000-0005-0000-0000-0000A4090000}"/>
    <cellStyle name="20% - Accent2 2 2 2 3 2 3" xfId="31433" xr:uid="{00000000-0005-0000-0000-0000A5090000}"/>
    <cellStyle name="20% - Accent2 2 2 2 3 2 3 2" xfId="30962" xr:uid="{00000000-0005-0000-0000-0000A6090000}"/>
    <cellStyle name="20% - Accent2 2 2 2 3 2 3 2 2" xfId="31696" xr:uid="{00000000-0005-0000-0000-0000A7090000}"/>
    <cellStyle name="20% - Accent2 2 2 2 3 2 3 2 2 2" xfId="17158" xr:uid="{00000000-0005-0000-0000-0000A8090000}"/>
    <cellStyle name="20% - Accent2 2 2 2 3 2 3 2 3" xfId="30016" xr:uid="{00000000-0005-0000-0000-0000A9090000}"/>
    <cellStyle name="20% - Accent2 2 2 2 3 2 3 3" xfId="23747" xr:uid="{00000000-0005-0000-0000-0000AA090000}"/>
    <cellStyle name="20% - Accent2 2 2 2 3 2 3 3 2" xfId="30959" xr:uid="{00000000-0005-0000-0000-0000AB090000}"/>
    <cellStyle name="20% - Accent2 2 2 2 3 2 3 4" xfId="23742" xr:uid="{00000000-0005-0000-0000-0000AC090000}"/>
    <cellStyle name="20% - Accent2 2 2 2 3 2 4" xfId="31421" xr:uid="{00000000-0005-0000-0000-0000AD090000}"/>
    <cellStyle name="20% - Accent2 2 2 2 3 2 4 2" xfId="27719" xr:uid="{00000000-0005-0000-0000-0000AE090000}"/>
    <cellStyle name="20% - Accent2 2 2 2 3 2 4 2 2" xfId="16265" xr:uid="{00000000-0005-0000-0000-0000AF090000}"/>
    <cellStyle name="20% - Accent2 2 2 2 3 2 4 3" xfId="23732" xr:uid="{00000000-0005-0000-0000-0000B0090000}"/>
    <cellStyle name="20% - Accent2 2 2 2 3 2 5" xfId="31414" xr:uid="{00000000-0005-0000-0000-0000B1090000}"/>
    <cellStyle name="20% - Accent2 2 2 2 3 2 5 2" xfId="32048" xr:uid="{00000000-0005-0000-0000-0000B2090000}"/>
    <cellStyle name="20% - Accent2 2 2 2 3 2 6" xfId="16263" xr:uid="{00000000-0005-0000-0000-0000B3090000}"/>
    <cellStyle name="20% - Accent2 2 2 2 3 3" xfId="32165" xr:uid="{00000000-0005-0000-0000-0000B4090000}"/>
    <cellStyle name="20% - Accent2 2 2 2 3 3 2" xfId="32161" xr:uid="{00000000-0005-0000-0000-0000B5090000}"/>
    <cellStyle name="20% - Accent2 2 2 2 3 3 2 2" xfId="31982" xr:uid="{00000000-0005-0000-0000-0000B6090000}"/>
    <cellStyle name="20% - Accent2 2 2 2 3 3 2 2 2" xfId="32914" xr:uid="{00000000-0005-0000-0000-0000B7090000}"/>
    <cellStyle name="20% - Accent2 2 2 2 3 3 2 2 2 2" xfId="23678" xr:uid="{00000000-0005-0000-0000-0000B8090000}"/>
    <cellStyle name="20% - Accent2 2 2 2 3 3 2 2 3" xfId="18673" xr:uid="{00000000-0005-0000-0000-0000B9090000}"/>
    <cellStyle name="20% - Accent2 2 2 2 3 3 2 3" xfId="23720" xr:uid="{00000000-0005-0000-0000-0000BA090000}"/>
    <cellStyle name="20% - Accent2 2 2 2 3 3 2 3 2" xfId="34350" xr:uid="{00000000-0005-0000-0000-0000BB090000}"/>
    <cellStyle name="20% - Accent2 2 2 2 3 3 2 4" xfId="20560" xr:uid="{00000000-0005-0000-0000-0000BC090000}"/>
    <cellStyle name="20% - Accent2 2 2 2 3 3 3" xfId="26664" xr:uid="{00000000-0005-0000-0000-0000BD090000}"/>
    <cellStyle name="20% - Accent2 2 2 2 3 3 3 2" xfId="29969" xr:uid="{00000000-0005-0000-0000-0000BE090000}"/>
    <cellStyle name="20% - Accent2 2 2 2 3 3 3 2 2" xfId="30950" xr:uid="{00000000-0005-0000-0000-0000BF090000}"/>
    <cellStyle name="20% - Accent2 2 2 2 3 3 3 3" xfId="23718" xr:uid="{00000000-0005-0000-0000-0000C0090000}"/>
    <cellStyle name="20% - Accent2 2 2 2 3 3 4" xfId="26660" xr:uid="{00000000-0005-0000-0000-0000C1090000}"/>
    <cellStyle name="20% - Accent2 2 2 2 3 3 4 2" xfId="30946" xr:uid="{00000000-0005-0000-0000-0000C2090000}"/>
    <cellStyle name="20% - Accent2 2 2 2 3 3 5" xfId="28557" xr:uid="{00000000-0005-0000-0000-0000C3090000}"/>
    <cellStyle name="20% - Accent2 2 2 2 3 4" xfId="20893" xr:uid="{00000000-0005-0000-0000-0000C4090000}"/>
    <cellStyle name="20% - Accent2 2 2 2 3 4 2" xfId="29456" xr:uid="{00000000-0005-0000-0000-0000C5090000}"/>
    <cellStyle name="20% - Accent2 2 2 2 3 4 2 2" xfId="24029" xr:uid="{00000000-0005-0000-0000-0000C6090000}"/>
    <cellStyle name="20% - Accent2 2 2 2 3 4 2 2 2" xfId="32862" xr:uid="{00000000-0005-0000-0000-0000C7090000}"/>
    <cellStyle name="20% - Accent2 2 2 2 3 4 2 3" xfId="23705" xr:uid="{00000000-0005-0000-0000-0000C8090000}"/>
    <cellStyle name="20% - Accent2 2 2 2 3 4 3" xfId="11907" xr:uid="{00000000-0005-0000-0000-0000C9090000}"/>
    <cellStyle name="20% - Accent2 2 2 2 3 4 3 2" xfId="32800" xr:uid="{00000000-0005-0000-0000-0000CA090000}"/>
    <cellStyle name="20% - Accent2 2 2 2 3 4 4" xfId="11900" xr:uid="{00000000-0005-0000-0000-0000CB090000}"/>
    <cellStyle name="20% - Accent2 2 2 2 3 5" xfId="28598" xr:uid="{00000000-0005-0000-0000-0000CC090000}"/>
    <cellStyle name="20% - Accent2 2 2 2 3 5 2" xfId="6374" xr:uid="{00000000-0005-0000-0000-0000CD090000}"/>
    <cellStyle name="20% - Accent2 2 2 2 3 5 2 2" xfId="23920" xr:uid="{00000000-0005-0000-0000-0000CE090000}"/>
    <cellStyle name="20% - Accent2 2 2 2 3 5 3" xfId="11891" xr:uid="{00000000-0005-0000-0000-0000CF090000}"/>
    <cellStyle name="20% - Accent2 2 2 2 3 6" xfId="19900" xr:uid="{00000000-0005-0000-0000-0000D0090000}"/>
    <cellStyle name="20% - Accent2 2 2 2 3 6 2" xfId="6372" xr:uid="{00000000-0005-0000-0000-0000D1090000}"/>
    <cellStyle name="20% - Accent2 2 2 2 3 7" xfId="19894" xr:uid="{00000000-0005-0000-0000-0000D2090000}"/>
    <cellStyle name="20% - Accent2 2 2 2 4" xfId="33632" xr:uid="{00000000-0005-0000-0000-0000D3090000}"/>
    <cellStyle name="20% - Accent2 2 2 2 4 2" xfId="30942" xr:uid="{00000000-0005-0000-0000-0000D4090000}"/>
    <cellStyle name="20% - Accent2 2 2 2 4 2 2" xfId="32634" xr:uid="{00000000-0005-0000-0000-0000D5090000}"/>
    <cellStyle name="20% - Accent2 2 2 2 4 2 2 2" xfId="30938" xr:uid="{00000000-0005-0000-0000-0000D6090000}"/>
    <cellStyle name="20% - Accent2 2 2 2 4 2 2 2 2" xfId="31878" xr:uid="{00000000-0005-0000-0000-0000D7090000}"/>
    <cellStyle name="20% - Accent2 2 2 2 4 2 2 2 2 2" xfId="15170" xr:uid="{00000000-0005-0000-0000-0000D8090000}"/>
    <cellStyle name="20% - Accent2 2 2 2 4 2 2 2 3" xfId="8577" xr:uid="{00000000-0005-0000-0000-0000D9090000}"/>
    <cellStyle name="20% - Accent2 2 2 2 4 2 2 3" xfId="22943" xr:uid="{00000000-0005-0000-0000-0000DA090000}"/>
    <cellStyle name="20% - Accent2 2 2 2 4 2 2 3 2" xfId="30936" xr:uid="{00000000-0005-0000-0000-0000DB090000}"/>
    <cellStyle name="20% - Accent2 2 2 2 4 2 2 4" xfId="21986" xr:uid="{00000000-0005-0000-0000-0000DC090000}"/>
    <cellStyle name="20% - Accent2 2 2 2 4 2 3" xfId="25619" xr:uid="{00000000-0005-0000-0000-0000DD090000}"/>
    <cellStyle name="20% - Accent2 2 2 2 4 2 3 2" xfId="30921" xr:uid="{00000000-0005-0000-0000-0000DE090000}"/>
    <cellStyle name="20% - Accent2 2 2 2 4 2 3 2 2" xfId="30911" xr:uid="{00000000-0005-0000-0000-0000DF090000}"/>
    <cellStyle name="20% - Accent2 2 2 2 4 2 3 3" xfId="21961" xr:uid="{00000000-0005-0000-0000-0000E0090000}"/>
    <cellStyle name="20% - Accent2 2 2 2 4 2 4" xfId="30153" xr:uid="{00000000-0005-0000-0000-0000E1090000}"/>
    <cellStyle name="20% - Accent2 2 2 2 4 2 4 2" xfId="30900" xr:uid="{00000000-0005-0000-0000-0000E2090000}"/>
    <cellStyle name="20% - Accent2 2 2 2 4 2 5" xfId="31375" xr:uid="{00000000-0005-0000-0000-0000E3090000}"/>
    <cellStyle name="20% - Accent2 2 2 2 4 3" xfId="32811" xr:uid="{00000000-0005-0000-0000-0000E4090000}"/>
    <cellStyle name="20% - Accent2 2 2 2 4 3 2" xfId="25275" xr:uid="{00000000-0005-0000-0000-0000E5090000}"/>
    <cellStyle name="20% - Accent2 2 2 2 4 3 2 2" xfId="22375" xr:uid="{00000000-0005-0000-0000-0000E6090000}"/>
    <cellStyle name="20% - Accent2 2 2 2 4 3 2 2 2" xfId="34182" xr:uid="{00000000-0005-0000-0000-0000E7090000}"/>
    <cellStyle name="20% - Accent2 2 2 2 4 3 2 3" xfId="21782" xr:uid="{00000000-0005-0000-0000-0000E8090000}"/>
    <cellStyle name="20% - Accent2 2 2 2 4 3 3" xfId="26641" xr:uid="{00000000-0005-0000-0000-0000E9090000}"/>
    <cellStyle name="20% - Accent2 2 2 2 4 3 3 2" xfId="27841" xr:uid="{00000000-0005-0000-0000-0000EA090000}"/>
    <cellStyle name="20% - Accent2 2 2 2 4 3 4" xfId="31357" xr:uid="{00000000-0005-0000-0000-0000EB090000}"/>
    <cellStyle name="20% - Accent2 2 2 2 4 4" xfId="29405" xr:uid="{00000000-0005-0000-0000-0000EC090000}"/>
    <cellStyle name="20% - Accent2 2 2 2 4 4 2" xfId="30881" xr:uid="{00000000-0005-0000-0000-0000ED090000}"/>
    <cellStyle name="20% - Accent2 2 2 2 4 4 2 2" xfId="29918" xr:uid="{00000000-0005-0000-0000-0000EE090000}"/>
    <cellStyle name="20% - Accent2 2 2 2 4 4 3" xfId="11881" xr:uid="{00000000-0005-0000-0000-0000EF090000}"/>
    <cellStyle name="20% - Accent2 2 2 2 4 5" xfId="19881" xr:uid="{00000000-0005-0000-0000-0000F0090000}"/>
    <cellStyle name="20% - Accent2 2 2 2 4 5 2" xfId="6370" xr:uid="{00000000-0005-0000-0000-0000F1090000}"/>
    <cellStyle name="20% - Accent2 2 2 2 4 6" xfId="19876" xr:uid="{00000000-0005-0000-0000-0000F2090000}"/>
    <cellStyle name="20% - Accent2 2 2 2 5" xfId="34134" xr:uid="{00000000-0005-0000-0000-0000F3090000}"/>
    <cellStyle name="20% - Accent2 2 2 2 5 2" xfId="30867" xr:uid="{00000000-0005-0000-0000-0000F4090000}"/>
    <cellStyle name="20% - Accent2 2 2 2 5 2 2" xfId="30865" xr:uid="{00000000-0005-0000-0000-0000F5090000}"/>
    <cellStyle name="20% - Accent2 2 2 2 5 2 2 2" xfId="6367" xr:uid="{00000000-0005-0000-0000-0000F6090000}"/>
    <cellStyle name="20% - Accent2 2 2 2 5 2 2 2 2" xfId="30853" xr:uid="{00000000-0005-0000-0000-0000F7090000}"/>
    <cellStyle name="20% - Accent2 2 2 2 5 2 2 3" xfId="5541" xr:uid="{00000000-0005-0000-0000-0000F8090000}"/>
    <cellStyle name="20% - Accent2 2 2 2 5 2 3" xfId="30121" xr:uid="{00000000-0005-0000-0000-0000F9090000}"/>
    <cellStyle name="20% - Accent2 2 2 2 5 2 3 2" xfId="5521" xr:uid="{00000000-0005-0000-0000-0000FA090000}"/>
    <cellStyle name="20% - Accent2 2 2 2 5 2 4" xfId="31349" xr:uid="{00000000-0005-0000-0000-0000FB090000}"/>
    <cellStyle name="20% - Accent2 2 2 2 5 3" xfId="32809" xr:uid="{00000000-0005-0000-0000-0000FC090000}"/>
    <cellStyle name="20% - Accent2 2 2 2 5 3 2" xfId="30845" xr:uid="{00000000-0005-0000-0000-0000FD090000}"/>
    <cellStyle name="20% - Accent2 2 2 2 5 3 2 2" xfId="20075" xr:uid="{00000000-0005-0000-0000-0000FE090000}"/>
    <cellStyle name="20% - Accent2 2 2 2 5 3 3" xfId="31337" xr:uid="{00000000-0005-0000-0000-0000FF090000}"/>
    <cellStyle name="20% - Accent2 2 2 2 5 4" xfId="29395" xr:uid="{00000000-0005-0000-0000-0000000A0000}"/>
    <cellStyle name="20% - Accent2 2 2 2 5 4 2" xfId="29386" xr:uid="{00000000-0005-0000-0000-0000010A0000}"/>
    <cellStyle name="20% - Accent2 2 2 2 5 5" xfId="19869" xr:uid="{00000000-0005-0000-0000-0000020A0000}"/>
    <cellStyle name="20% - Accent2 2 2 2 6" xfId="30836" xr:uid="{00000000-0005-0000-0000-0000030A0000}"/>
    <cellStyle name="20% - Accent2 2 2 2 6 2" xfId="30832" xr:uid="{00000000-0005-0000-0000-0000040A0000}"/>
    <cellStyle name="20% - Accent2 2 2 2 6 2 2" xfId="30830" xr:uid="{00000000-0005-0000-0000-0000050A0000}"/>
    <cellStyle name="20% - Accent2 2 2 2 6 2 2 2" xfId="17569" xr:uid="{00000000-0005-0000-0000-0000060A0000}"/>
    <cellStyle name="20% - Accent2 2 2 2 6 2 3" xfId="27002" xr:uid="{00000000-0005-0000-0000-0000070A0000}"/>
    <cellStyle name="20% - Accent2 2 2 2 6 3" xfId="31857" xr:uid="{00000000-0005-0000-0000-0000080A0000}"/>
    <cellStyle name="20% - Accent2 2 2 2 6 3 2" xfId="30821" xr:uid="{00000000-0005-0000-0000-0000090A0000}"/>
    <cellStyle name="20% - Accent2 2 2 2 6 4" xfId="30354" xr:uid="{00000000-0005-0000-0000-00000A0A0000}"/>
    <cellStyle name="20% - Accent2 2 2 2 7" xfId="30814" xr:uid="{00000000-0005-0000-0000-00000B0A0000}"/>
    <cellStyle name="20% - Accent2 2 2 2 7 2" xfId="13184" xr:uid="{00000000-0005-0000-0000-00000C0A0000}"/>
    <cellStyle name="20% - Accent2 2 2 2 7 2 2" xfId="33219" xr:uid="{00000000-0005-0000-0000-00000D0A0000}"/>
    <cellStyle name="20% - Accent2 2 2 2 7 3" xfId="33732" xr:uid="{00000000-0005-0000-0000-00000E0A0000}"/>
    <cellStyle name="20% - Accent2 2 2 2 8" xfId="27209" xr:uid="{00000000-0005-0000-0000-00000F0A0000}"/>
    <cellStyle name="20% - Accent2 2 2 2 8 2" xfId="30804" xr:uid="{00000000-0005-0000-0000-0000100A0000}"/>
    <cellStyle name="20% - Accent2 2 2 2 9" xfId="30802" xr:uid="{00000000-0005-0000-0000-0000110A0000}"/>
    <cellStyle name="20% - Accent2 2 2 3" xfId="29561" xr:uid="{00000000-0005-0000-0000-0000120A0000}"/>
    <cellStyle name="20% - Accent2 2 2 3 2" xfId="30797" xr:uid="{00000000-0005-0000-0000-0000130A0000}"/>
    <cellStyle name="20% - Accent2 2 2 3 2 2" xfId="30770" xr:uid="{00000000-0005-0000-0000-0000140A0000}"/>
    <cellStyle name="20% - Accent2 2 2 3 2 2 2" xfId="30769" xr:uid="{00000000-0005-0000-0000-0000150A0000}"/>
    <cellStyle name="20% - Accent2 2 2 3 2 2 2 2" xfId="27692" xr:uid="{00000000-0005-0000-0000-0000160A0000}"/>
    <cellStyle name="20% - Accent2 2 2 3 2 2 2 2 2" xfId="30767" xr:uid="{00000000-0005-0000-0000-0000170A0000}"/>
    <cellStyle name="20% - Accent2 2 2 3 2 2 2 2 2 2" xfId="18904" xr:uid="{00000000-0005-0000-0000-0000180A0000}"/>
    <cellStyle name="20% - Accent2 2 2 3 2 2 2 2 2 2 2" xfId="21966" xr:uid="{00000000-0005-0000-0000-0000190A0000}"/>
    <cellStyle name="20% - Accent2 2 2 3 2 2 2 2 2 3" xfId="30342" xr:uid="{00000000-0005-0000-0000-00001A0A0000}"/>
    <cellStyle name="20% - Accent2 2 2 3 2 2 2 2 3" xfId="31275" xr:uid="{00000000-0005-0000-0000-00001B0A0000}"/>
    <cellStyle name="20% - Accent2 2 2 3 2 2 2 2 3 2" xfId="30761" xr:uid="{00000000-0005-0000-0000-00001C0A0000}"/>
    <cellStyle name="20% - Accent2 2 2 3 2 2 2 2 4" xfId="31994" xr:uid="{00000000-0005-0000-0000-00001D0A0000}"/>
    <cellStyle name="20% - Accent2 2 2 3 2 2 2 3" xfId="13034" xr:uid="{00000000-0005-0000-0000-00001E0A0000}"/>
    <cellStyle name="20% - Accent2 2 2 3 2 2 2 3 2" xfId="30756" xr:uid="{00000000-0005-0000-0000-00001F0A0000}"/>
    <cellStyle name="20% - Accent2 2 2 3 2 2 2 3 2 2" xfId="30807" xr:uid="{00000000-0005-0000-0000-0000200A0000}"/>
    <cellStyle name="20% - Accent2 2 2 3 2 2 2 3 3" xfId="32632" xr:uid="{00000000-0005-0000-0000-0000210A0000}"/>
    <cellStyle name="20% - Accent2 2 2 3 2 2 2 4" xfId="13028" xr:uid="{00000000-0005-0000-0000-0000220A0000}"/>
    <cellStyle name="20% - Accent2 2 2 3 2 2 2 4 2" xfId="25787" xr:uid="{00000000-0005-0000-0000-0000230A0000}"/>
    <cellStyle name="20% - Accent2 2 2 3 2 2 2 5" xfId="33977" xr:uid="{00000000-0005-0000-0000-0000240A0000}"/>
    <cellStyle name="20% - Accent2 2 2 3 2 2 3" xfId="31313" xr:uid="{00000000-0005-0000-0000-0000250A0000}"/>
    <cellStyle name="20% - Accent2 2 2 3 2 2 3 2" xfId="13024" xr:uid="{00000000-0005-0000-0000-0000260A0000}"/>
    <cellStyle name="20% - Accent2 2 2 3 2 2 3 2 2" xfId="18928" xr:uid="{00000000-0005-0000-0000-0000270A0000}"/>
    <cellStyle name="20% - Accent2 2 2 3 2 2 3 2 2 2" xfId="30732" xr:uid="{00000000-0005-0000-0000-0000280A0000}"/>
    <cellStyle name="20% - Accent2 2 2 3 2 2 3 2 3" xfId="18920" xr:uid="{00000000-0005-0000-0000-0000290A0000}"/>
    <cellStyle name="20% - Accent2 2 2 3 2 2 3 3" xfId="13021" xr:uid="{00000000-0005-0000-0000-00002A0A0000}"/>
    <cellStyle name="20% - Accent2 2 2 3 2 2 3 3 2" xfId="18912" xr:uid="{00000000-0005-0000-0000-00002B0A0000}"/>
    <cellStyle name="20% - Accent2 2 2 3 2 2 3 4" xfId="32915" xr:uid="{00000000-0005-0000-0000-00002C0A0000}"/>
    <cellStyle name="20% - Accent2 2 2 3 2 2 4" xfId="32554" xr:uid="{00000000-0005-0000-0000-00002D0A0000}"/>
    <cellStyle name="20% - Accent2 2 2 3 2 2 4 2" xfId="13014" xr:uid="{00000000-0005-0000-0000-00002E0A0000}"/>
    <cellStyle name="20% - Accent2 2 2 3 2 2 4 2 2" xfId="14800" xr:uid="{00000000-0005-0000-0000-00002F0A0000}"/>
    <cellStyle name="20% - Accent2 2 2 3 2 2 4 3" xfId="25101" xr:uid="{00000000-0005-0000-0000-0000300A0000}"/>
    <cellStyle name="20% - Accent2 2 2 3 2 2 5" xfId="32428" xr:uid="{00000000-0005-0000-0000-0000310A0000}"/>
    <cellStyle name="20% - Accent2 2 2 3 2 2 5 2" xfId="25092" xr:uid="{00000000-0005-0000-0000-0000320A0000}"/>
    <cellStyle name="20% - Accent2 2 2 3 2 2 6" xfId="30949" xr:uid="{00000000-0005-0000-0000-0000330A0000}"/>
    <cellStyle name="20% - Accent2 2 2 3 2 3" xfId="34098" xr:uid="{00000000-0005-0000-0000-0000340A0000}"/>
    <cellStyle name="20% - Accent2 2 2 3 2 3 2" xfId="30718" xr:uid="{00000000-0005-0000-0000-0000350A0000}"/>
    <cellStyle name="20% - Accent2 2 2 3 2 3 2 2" xfId="13007" xr:uid="{00000000-0005-0000-0000-0000360A0000}"/>
    <cellStyle name="20% - Accent2 2 2 3 2 3 2 2 2" xfId="31008" xr:uid="{00000000-0005-0000-0000-0000370A0000}"/>
    <cellStyle name="20% - Accent2 2 2 3 2 3 2 2 2 2" xfId="29046" xr:uid="{00000000-0005-0000-0000-0000380A0000}"/>
    <cellStyle name="20% - Accent2 2 2 3 2 3 2 2 3" xfId="18709" xr:uid="{00000000-0005-0000-0000-0000390A0000}"/>
    <cellStyle name="20% - Accent2 2 2 3 2 3 2 3" xfId="13004" xr:uid="{00000000-0005-0000-0000-00003A0A0000}"/>
    <cellStyle name="20% - Accent2 2 2 3 2 3 2 3 2" xfId="33989" xr:uid="{00000000-0005-0000-0000-00003B0A0000}"/>
    <cellStyle name="20% - Accent2 2 2 3 2 3 2 4" xfId="28740" xr:uid="{00000000-0005-0000-0000-00003C0A0000}"/>
    <cellStyle name="20% - Accent2 2 2 3 2 3 3" xfId="25031" xr:uid="{00000000-0005-0000-0000-00003D0A0000}"/>
    <cellStyle name="20% - Accent2 2 2 3 2 3 3 2" xfId="13000" xr:uid="{00000000-0005-0000-0000-00003E0A0000}"/>
    <cellStyle name="20% - Accent2 2 2 3 2 3 3 2 2" xfId="18882" xr:uid="{00000000-0005-0000-0000-00003F0A0000}"/>
    <cellStyle name="20% - Accent2 2 2 3 2 3 3 3" xfId="31265" xr:uid="{00000000-0005-0000-0000-0000400A0000}"/>
    <cellStyle name="20% - Accent2 2 2 3 2 3 4" xfId="32412" xr:uid="{00000000-0005-0000-0000-0000410A0000}"/>
    <cellStyle name="20% - Accent2 2 2 3 2 3 4 2" xfId="31274" xr:uid="{00000000-0005-0000-0000-0000420A0000}"/>
    <cellStyle name="20% - Accent2 2 2 3 2 3 5" xfId="31270" xr:uid="{00000000-0005-0000-0000-0000430A0000}"/>
    <cellStyle name="20% - Accent2 2 2 3 2 4" xfId="30707" xr:uid="{00000000-0005-0000-0000-0000440A0000}"/>
    <cellStyle name="20% - Accent2 2 2 3 2 4 2" xfId="21711" xr:uid="{00000000-0005-0000-0000-0000450A0000}"/>
    <cellStyle name="20% - Accent2 2 2 3 2 4 2 2" xfId="12994" xr:uid="{00000000-0005-0000-0000-0000460A0000}"/>
    <cellStyle name="20% - Accent2 2 2 3 2 4 2 2 2" xfId="32590" xr:uid="{00000000-0005-0000-0000-0000470A0000}"/>
    <cellStyle name="20% - Accent2 2 2 3 2 4 2 3" xfId="23219" xr:uid="{00000000-0005-0000-0000-0000480A0000}"/>
    <cellStyle name="20% - Accent2 2 2 3 2 4 3" xfId="11856" xr:uid="{00000000-0005-0000-0000-0000490A0000}"/>
    <cellStyle name="20% - Accent2 2 2 3 2 4 3 2" xfId="31198" xr:uid="{00000000-0005-0000-0000-00004A0A0000}"/>
    <cellStyle name="20% - Accent2 2 2 3 2 4 4" xfId="11852" xr:uid="{00000000-0005-0000-0000-00004B0A0000}"/>
    <cellStyle name="20% - Accent2 2 2 3 2 5" xfId="15561" xr:uid="{00000000-0005-0000-0000-00004C0A0000}"/>
    <cellStyle name="20% - Accent2 2 2 3 2 5 2" xfId="6359" xr:uid="{00000000-0005-0000-0000-00004D0A0000}"/>
    <cellStyle name="20% - Accent2 2 2 3 2 5 2 2" xfId="23147" xr:uid="{00000000-0005-0000-0000-00004E0A0000}"/>
    <cellStyle name="20% - Accent2 2 2 3 2 5 3" xfId="15363" xr:uid="{00000000-0005-0000-0000-00004F0A0000}"/>
    <cellStyle name="20% - Accent2 2 2 3 2 6" xfId="15555" xr:uid="{00000000-0005-0000-0000-0000500A0000}"/>
    <cellStyle name="20% - Accent2 2 2 3 2 6 2" xfId="6356" xr:uid="{00000000-0005-0000-0000-0000510A0000}"/>
    <cellStyle name="20% - Accent2 2 2 3 2 7" xfId="19853" xr:uid="{00000000-0005-0000-0000-0000520A0000}"/>
    <cellStyle name="20% - Accent2 2 2 3 3" xfId="30702" xr:uid="{00000000-0005-0000-0000-0000530A0000}"/>
    <cellStyle name="20% - Accent2 2 2 3 3 2" xfId="30698" xr:uid="{00000000-0005-0000-0000-0000540A0000}"/>
    <cellStyle name="20% - Accent2 2 2 3 3 2 2" xfId="30697" xr:uid="{00000000-0005-0000-0000-0000550A0000}"/>
    <cellStyle name="20% - Accent2 2 2 3 3 2 2 2" xfId="16592" xr:uid="{00000000-0005-0000-0000-0000560A0000}"/>
    <cellStyle name="20% - Accent2 2 2 3 3 2 2 2 2" xfId="30687" xr:uid="{00000000-0005-0000-0000-0000570A0000}"/>
    <cellStyle name="20% - Accent2 2 2 3 3 2 2 2 2 2" xfId="21504" xr:uid="{00000000-0005-0000-0000-0000580A0000}"/>
    <cellStyle name="20% - Accent2 2 2 3 3 2 2 2 3" xfId="27563" xr:uid="{00000000-0005-0000-0000-0000590A0000}"/>
    <cellStyle name="20% - Accent2 2 2 3 3 2 2 3" xfId="16199" xr:uid="{00000000-0005-0000-0000-00005A0A0000}"/>
    <cellStyle name="20% - Accent2 2 2 3 3 2 2 3 2" xfId="31610" xr:uid="{00000000-0005-0000-0000-00005B0A0000}"/>
    <cellStyle name="20% - Accent2 2 2 3 3 2 2 4" xfId="17448" xr:uid="{00000000-0005-0000-0000-00005C0A0000}"/>
    <cellStyle name="20% - Accent2 2 2 3 3 2 3" xfId="31227" xr:uid="{00000000-0005-0000-0000-00005D0A0000}"/>
    <cellStyle name="20% - Accent2 2 2 3 3 2 3 2" xfId="29336" xr:uid="{00000000-0005-0000-0000-00005E0A0000}"/>
    <cellStyle name="20% - Accent2 2 2 3 3 2 3 2 2" xfId="18799" xr:uid="{00000000-0005-0000-0000-00005F0A0000}"/>
    <cellStyle name="20% - Accent2 2 2 3 3 2 3 3" xfId="16180" xr:uid="{00000000-0005-0000-0000-0000600A0000}"/>
    <cellStyle name="20% - Accent2 2 2 3 3 2 4" xfId="32542" xr:uid="{00000000-0005-0000-0000-0000610A0000}"/>
    <cellStyle name="20% - Accent2 2 2 3 3 2 4 2" xfId="25078" xr:uid="{00000000-0005-0000-0000-0000620A0000}"/>
    <cellStyle name="20% - Accent2 2 2 3 3 2 5" xfId="31217" xr:uid="{00000000-0005-0000-0000-0000630A0000}"/>
    <cellStyle name="20% - Accent2 2 2 3 3 3" xfId="32146" xr:uid="{00000000-0005-0000-0000-0000640A0000}"/>
    <cellStyle name="20% - Accent2 2 2 3 3 3 2" xfId="32144" xr:uid="{00000000-0005-0000-0000-0000650A0000}"/>
    <cellStyle name="20% - Accent2 2 2 3 3 3 2 2" xfId="29282" xr:uid="{00000000-0005-0000-0000-0000660A0000}"/>
    <cellStyle name="20% - Accent2 2 2 3 3 3 2 2 2" xfId="31121" xr:uid="{00000000-0005-0000-0000-0000670A0000}"/>
    <cellStyle name="20% - Accent2 2 2 3 3 3 2 3" xfId="16159" xr:uid="{00000000-0005-0000-0000-0000680A0000}"/>
    <cellStyle name="20% - Accent2 2 2 3 3 3 3" xfId="26620" xr:uid="{00000000-0005-0000-0000-0000690A0000}"/>
    <cellStyle name="20% - Accent2 2 2 3 3 3 3 2" xfId="30672" xr:uid="{00000000-0005-0000-0000-00006A0A0000}"/>
    <cellStyle name="20% - Accent2 2 2 3 3 3 4" xfId="31211" xr:uid="{00000000-0005-0000-0000-00006B0A0000}"/>
    <cellStyle name="20% - Accent2 2 2 3 3 4" xfId="30213" xr:uid="{00000000-0005-0000-0000-00006C0A0000}"/>
    <cellStyle name="20% - Accent2 2 2 3 3 4 2" xfId="29299" xr:uid="{00000000-0005-0000-0000-00006D0A0000}"/>
    <cellStyle name="20% - Accent2 2 2 3 3 4 2 2" xfId="23079" xr:uid="{00000000-0005-0000-0000-00006E0A0000}"/>
    <cellStyle name="20% - Accent2 2 2 3 3 4 3" xfId="11845" xr:uid="{00000000-0005-0000-0000-00006F0A0000}"/>
    <cellStyle name="20% - Accent2 2 2 3 3 5" xfId="15551" xr:uid="{00000000-0005-0000-0000-0000700A0000}"/>
    <cellStyle name="20% - Accent2 2 2 3 3 5 2" xfId="6353" xr:uid="{00000000-0005-0000-0000-0000710A0000}"/>
    <cellStyle name="20% - Accent2 2 2 3 3 6" xfId="19842" xr:uid="{00000000-0005-0000-0000-0000720A0000}"/>
    <cellStyle name="20% - Accent2 2 2 3 4" xfId="25281" xr:uid="{00000000-0005-0000-0000-0000730A0000}"/>
    <cellStyle name="20% - Accent2 2 2 3 4 2" xfId="30661" xr:uid="{00000000-0005-0000-0000-0000740A0000}"/>
    <cellStyle name="20% - Accent2 2 2 3 4 2 2" xfId="31947" xr:uid="{00000000-0005-0000-0000-0000750A0000}"/>
    <cellStyle name="20% - Accent2 2 2 3 4 2 2 2" xfId="31780" xr:uid="{00000000-0005-0000-0000-0000760A0000}"/>
    <cellStyle name="20% - Accent2 2 2 3 4 2 2 2 2" xfId="30658" xr:uid="{00000000-0005-0000-0000-0000770A0000}"/>
    <cellStyle name="20% - Accent2 2 2 3 4 2 2 3" xfId="16115" xr:uid="{00000000-0005-0000-0000-0000780A0000}"/>
    <cellStyle name="20% - Accent2 2 2 3 4 2 3" xfId="19053" xr:uid="{00000000-0005-0000-0000-0000790A0000}"/>
    <cellStyle name="20% - Accent2 2 2 3 4 2 3 2" xfId="30657" xr:uid="{00000000-0005-0000-0000-00007A0A0000}"/>
    <cellStyle name="20% - Accent2 2 2 3 4 2 4" xfId="19050" xr:uid="{00000000-0005-0000-0000-00007B0A0000}"/>
    <cellStyle name="20% - Accent2 2 2 3 4 3" xfId="32142" xr:uid="{00000000-0005-0000-0000-00007C0A0000}"/>
    <cellStyle name="20% - Accent2 2 2 3 4 3 2" xfId="31767" xr:uid="{00000000-0005-0000-0000-00007D0A0000}"/>
    <cellStyle name="20% - Accent2 2 2 3 4 3 2 2" xfId="30401" xr:uid="{00000000-0005-0000-0000-00007E0A0000}"/>
    <cellStyle name="20% - Accent2 2 2 3 4 3 3" xfId="31184" xr:uid="{00000000-0005-0000-0000-00007F0A0000}"/>
    <cellStyle name="20% - Accent2 2 2 3 4 4" xfId="30180" xr:uid="{00000000-0005-0000-0000-0000800A0000}"/>
    <cellStyle name="20% - Accent2 2 2 3 4 4 2" xfId="29253" xr:uid="{00000000-0005-0000-0000-0000810A0000}"/>
    <cellStyle name="20% - Accent2 2 2 3 4 5" xfId="19831" xr:uid="{00000000-0005-0000-0000-0000820A0000}"/>
    <cellStyle name="20% - Accent2 2 2 3 5" xfId="25276" xr:uid="{00000000-0005-0000-0000-0000830A0000}"/>
    <cellStyle name="20% - Accent2 2 2 3 5 2" xfId="30653" xr:uid="{00000000-0005-0000-0000-0000840A0000}"/>
    <cellStyle name="20% - Accent2 2 2 3 5 2 2" xfId="27895" xr:uid="{00000000-0005-0000-0000-0000850A0000}"/>
    <cellStyle name="20% - Accent2 2 2 3 5 2 2 2" xfId="31124" xr:uid="{00000000-0005-0000-0000-0000860A0000}"/>
    <cellStyle name="20% - Accent2 2 2 3 5 2 3" xfId="30923" xr:uid="{00000000-0005-0000-0000-0000870A0000}"/>
    <cellStyle name="20% - Accent2 2 2 3 5 3" xfId="30651" xr:uid="{00000000-0005-0000-0000-0000880A0000}"/>
    <cellStyle name="20% - Accent2 2 2 3 5 3 2" xfId="27694" xr:uid="{00000000-0005-0000-0000-0000890A0000}"/>
    <cellStyle name="20% - Accent2 2 2 3 5 4" xfId="30639" xr:uid="{00000000-0005-0000-0000-00008A0A0000}"/>
    <cellStyle name="20% - Accent2 2 2 3 6" xfId="30634" xr:uid="{00000000-0005-0000-0000-00008B0A0000}"/>
    <cellStyle name="20% - Accent2 2 2 3 6 2" xfId="30633" xr:uid="{00000000-0005-0000-0000-00008C0A0000}"/>
    <cellStyle name="20% - Accent2 2 2 3 6 2 2" xfId="27797" xr:uid="{00000000-0005-0000-0000-00008D0A0000}"/>
    <cellStyle name="20% - Accent2 2 2 3 6 3" xfId="30626" xr:uid="{00000000-0005-0000-0000-00008E0A0000}"/>
    <cellStyle name="20% - Accent2 2 2 3 7" xfId="30621" xr:uid="{00000000-0005-0000-0000-00008F0A0000}"/>
    <cellStyle name="20% - Accent2 2 2 3 7 2" xfId="30618" xr:uid="{00000000-0005-0000-0000-0000900A0000}"/>
    <cellStyle name="20% - Accent2 2 2 3 8" xfId="27850" xr:uid="{00000000-0005-0000-0000-0000910A0000}"/>
    <cellStyle name="20% - Accent2 2 2 4" xfId="5603" xr:uid="{00000000-0005-0000-0000-0000920A0000}"/>
    <cellStyle name="20% - Accent2 2 2 4 2" xfId="32943" xr:uid="{00000000-0005-0000-0000-0000930A0000}"/>
    <cellStyle name="20% - Accent2 2 2 4 2 2" xfId="30613" xr:uid="{00000000-0005-0000-0000-0000940A0000}"/>
    <cellStyle name="20% - Accent2 2 2 4 2 2 2" xfId="34102" xr:uid="{00000000-0005-0000-0000-0000950A0000}"/>
    <cellStyle name="20% - Accent2 2 2 4 2 2 2 2" xfId="14741" xr:uid="{00000000-0005-0000-0000-0000960A0000}"/>
    <cellStyle name="20% - Accent2 2 2 4 2 2 2 2 2" xfId="30608" xr:uid="{00000000-0005-0000-0000-0000970A0000}"/>
    <cellStyle name="20% - Accent2 2 2 4 2 2 2 2 2 2" xfId="28828" xr:uid="{00000000-0005-0000-0000-0000980A0000}"/>
    <cellStyle name="20% - Accent2 2 2 4 2 2 2 2 3" xfId="27293" xr:uid="{00000000-0005-0000-0000-0000990A0000}"/>
    <cellStyle name="20% - Accent2 2 2 4 2 2 2 3" xfId="12863" xr:uid="{00000000-0005-0000-0000-00009A0A0000}"/>
    <cellStyle name="20% - Accent2 2 2 4 2 2 2 3 2" xfId="30600" xr:uid="{00000000-0005-0000-0000-00009B0A0000}"/>
    <cellStyle name="20% - Accent2 2 2 4 2 2 2 4" xfId="34231" xr:uid="{00000000-0005-0000-0000-00009C0A0000}"/>
    <cellStyle name="20% - Accent2 2 2 4 2 2 3" xfId="33320" xr:uid="{00000000-0005-0000-0000-00009D0A0000}"/>
    <cellStyle name="20% - Accent2 2 2 4 2 2 3 2" xfId="12860" xr:uid="{00000000-0005-0000-0000-00009E0A0000}"/>
    <cellStyle name="20% - Accent2 2 2 4 2 2 3 2 2" xfId="19046" xr:uid="{00000000-0005-0000-0000-00009F0A0000}"/>
    <cellStyle name="20% - Accent2 2 2 4 2 2 3 3" xfId="30783" xr:uid="{00000000-0005-0000-0000-0000A00A0000}"/>
    <cellStyle name="20% - Accent2 2 2 4 2 2 4" xfId="32787" xr:uid="{00000000-0005-0000-0000-0000A10A0000}"/>
    <cellStyle name="20% - Accent2 2 2 4 2 2 4 2" xfId="15412" xr:uid="{00000000-0005-0000-0000-0000A20A0000}"/>
    <cellStyle name="20% - Accent2 2 2 4 2 2 5" xfId="12450" xr:uid="{00000000-0005-0000-0000-0000A30A0000}"/>
    <cellStyle name="20% - Accent2 2 2 4 2 3" xfId="26107" xr:uid="{00000000-0005-0000-0000-0000A40A0000}"/>
    <cellStyle name="20% - Accent2 2 2 4 2 3 2" xfId="33230" xr:uid="{00000000-0005-0000-0000-0000A50A0000}"/>
    <cellStyle name="20% - Accent2 2 2 4 2 3 2 2" xfId="12855" xr:uid="{00000000-0005-0000-0000-0000A60A0000}"/>
    <cellStyle name="20% - Accent2 2 2 4 2 3 2 2 2" xfId="21825" xr:uid="{00000000-0005-0000-0000-0000A70A0000}"/>
    <cellStyle name="20% - Accent2 2 2 4 2 3 2 3" xfId="7110" xr:uid="{00000000-0005-0000-0000-0000A80A0000}"/>
    <cellStyle name="20% - Accent2 2 2 4 2 3 3" xfId="32629" xr:uid="{00000000-0005-0000-0000-0000A90A0000}"/>
    <cellStyle name="20% - Accent2 2 2 4 2 3 3 2" xfId="7104" xr:uid="{00000000-0005-0000-0000-0000AA0A0000}"/>
    <cellStyle name="20% - Accent2 2 2 4 2 3 4" xfId="32626" xr:uid="{00000000-0005-0000-0000-0000AB0A0000}"/>
    <cellStyle name="20% - Accent2 2 2 4 2 4" xfId="26195" xr:uid="{00000000-0005-0000-0000-0000AC0A0000}"/>
    <cellStyle name="20% - Accent2 2 2 4 2 4 2" xfId="32646" xr:uid="{00000000-0005-0000-0000-0000AD0A0000}"/>
    <cellStyle name="20% - Accent2 2 2 4 2 4 2 2" xfId="22767" xr:uid="{00000000-0005-0000-0000-0000AE0A0000}"/>
    <cellStyle name="20% - Accent2 2 2 4 2 4 3" xfId="11821" xr:uid="{00000000-0005-0000-0000-0000AF0A0000}"/>
    <cellStyle name="20% - Accent2 2 2 4 2 5" xfId="15541" xr:uid="{00000000-0005-0000-0000-0000B00A0000}"/>
    <cellStyle name="20% - Accent2 2 2 4 2 5 2" xfId="6347" xr:uid="{00000000-0005-0000-0000-0000B10A0000}"/>
    <cellStyle name="20% - Accent2 2 2 4 2 6" xfId="19820" xr:uid="{00000000-0005-0000-0000-0000B20A0000}"/>
    <cellStyle name="20% - Accent2 2 2 4 3" xfId="27437" xr:uid="{00000000-0005-0000-0000-0000B30A0000}"/>
    <cellStyle name="20% - Accent2 2 2 4 3 2" xfId="30562" xr:uid="{00000000-0005-0000-0000-0000B40A0000}"/>
    <cellStyle name="20% - Accent2 2 2 4 3 2 2" xfId="33123" xr:uid="{00000000-0005-0000-0000-0000B50A0000}"/>
    <cellStyle name="20% - Accent2 2 2 4 3 2 2 2" xfId="18435" xr:uid="{00000000-0005-0000-0000-0000B60A0000}"/>
    <cellStyle name="20% - Accent2 2 2 4 3 2 2 2 2" xfId="30557" xr:uid="{00000000-0005-0000-0000-0000B70A0000}"/>
    <cellStyle name="20% - Accent2 2 2 4 3 2 2 3" xfId="16046" xr:uid="{00000000-0005-0000-0000-0000B80A0000}"/>
    <cellStyle name="20% - Accent2 2 2 4 3 2 3" xfId="33070" xr:uid="{00000000-0005-0000-0000-0000B90A0000}"/>
    <cellStyle name="20% - Accent2 2 2 4 3 2 3 2" xfId="30544" xr:uid="{00000000-0005-0000-0000-0000BA0A0000}"/>
    <cellStyle name="20% - Accent2 2 2 4 3 2 4" xfId="28439" xr:uid="{00000000-0005-0000-0000-0000BB0A0000}"/>
    <cellStyle name="20% - Accent2 2 2 4 3 3" xfId="26807" xr:uid="{00000000-0005-0000-0000-0000BC0A0000}"/>
    <cellStyle name="20% - Accent2 2 2 4 3 3 2" xfId="33009" xr:uid="{00000000-0005-0000-0000-0000BD0A0000}"/>
    <cellStyle name="20% - Accent2 2 2 4 3 3 2 2" xfId="28566" xr:uid="{00000000-0005-0000-0000-0000BE0A0000}"/>
    <cellStyle name="20% - Accent2 2 2 4 3 3 3" xfId="32949" xr:uid="{00000000-0005-0000-0000-0000BF0A0000}"/>
    <cellStyle name="20% - Accent2 2 2 4 3 4" xfId="30753" xr:uid="{00000000-0005-0000-0000-0000C00A0000}"/>
    <cellStyle name="20% - Accent2 2 2 4 3 4 2" xfId="32609" xr:uid="{00000000-0005-0000-0000-0000C10A0000}"/>
    <cellStyle name="20% - Accent2 2 2 4 3 5" xfId="19808" xr:uid="{00000000-0005-0000-0000-0000C20A0000}"/>
    <cellStyle name="20% - Accent2 2 2 4 4" xfId="25270" xr:uid="{00000000-0005-0000-0000-0000C30A0000}"/>
    <cellStyle name="20% - Accent2 2 2 4 4 2" xfId="23304" xr:uid="{00000000-0005-0000-0000-0000C40A0000}"/>
    <cellStyle name="20% - Accent2 2 2 4 4 2 2" xfId="32924" xr:uid="{00000000-0005-0000-0000-0000C50A0000}"/>
    <cellStyle name="20% - Accent2 2 2 4 4 2 2 2" xfId="30525" xr:uid="{00000000-0005-0000-0000-0000C60A0000}"/>
    <cellStyle name="20% - Accent2 2 2 4 4 2 3" xfId="32903" xr:uid="{00000000-0005-0000-0000-0000C70A0000}"/>
    <cellStyle name="20% - Accent2 2 2 4 4 3" xfId="30519" xr:uid="{00000000-0005-0000-0000-0000C80A0000}"/>
    <cellStyle name="20% - Accent2 2 2 4 4 3 2" xfId="32868" xr:uid="{00000000-0005-0000-0000-0000C90A0000}"/>
    <cellStyle name="20% - Accent2 2 2 4 4 4" xfId="30742" xr:uid="{00000000-0005-0000-0000-0000CA0A0000}"/>
    <cellStyle name="20% - Accent2 2 2 4 5" xfId="30518" xr:uid="{00000000-0005-0000-0000-0000CB0A0000}"/>
    <cellStyle name="20% - Accent2 2 2 4 5 2" xfId="30512" xr:uid="{00000000-0005-0000-0000-0000CC0A0000}"/>
    <cellStyle name="20% - Accent2 2 2 4 5 2 2" xfId="30124" xr:uid="{00000000-0005-0000-0000-0000CD0A0000}"/>
    <cellStyle name="20% - Accent2 2 2 4 5 3" xfId="30508" xr:uid="{00000000-0005-0000-0000-0000CE0A0000}"/>
    <cellStyle name="20% - Accent2 2 2 4 6" xfId="30499" xr:uid="{00000000-0005-0000-0000-0000CF0A0000}"/>
    <cellStyle name="20% - Accent2 2 2 4 6 2" xfId="30496" xr:uid="{00000000-0005-0000-0000-0000D00A0000}"/>
    <cellStyle name="20% - Accent2 2 2 4 7" xfId="30493" xr:uid="{00000000-0005-0000-0000-0000D10A0000}"/>
    <cellStyle name="20% - Accent2 2 2 5" xfId="32939" xr:uid="{00000000-0005-0000-0000-0000D20A0000}"/>
    <cellStyle name="20% - Accent2 2 2 5 2" xfId="32934" xr:uid="{00000000-0005-0000-0000-0000D30A0000}"/>
    <cellStyle name="20% - Accent2 2 2 5 2 2" xfId="33130" xr:uid="{00000000-0005-0000-0000-0000D40A0000}"/>
    <cellStyle name="20% - Accent2 2 2 5 2 2 2" xfId="32215" xr:uid="{00000000-0005-0000-0000-0000D50A0000}"/>
    <cellStyle name="20% - Accent2 2 2 5 2 2 2 2" xfId="12805" xr:uid="{00000000-0005-0000-0000-0000D60A0000}"/>
    <cellStyle name="20% - Accent2 2 2 5 2 2 2 2 2" xfId="27730" xr:uid="{00000000-0005-0000-0000-0000D70A0000}"/>
    <cellStyle name="20% - Accent2 2 2 5 2 2 2 3" xfId="33878" xr:uid="{00000000-0005-0000-0000-0000D80A0000}"/>
    <cellStyle name="20% - Accent2 2 2 5 2 2 3" xfId="30330" xr:uid="{00000000-0005-0000-0000-0000D90A0000}"/>
    <cellStyle name="20% - Accent2 2 2 5 2 2 3 2" xfId="33394" xr:uid="{00000000-0005-0000-0000-0000DA0A0000}"/>
    <cellStyle name="20% - Accent2 2 2 5 2 2 4" xfId="32180" xr:uid="{00000000-0005-0000-0000-0000DB0A0000}"/>
    <cellStyle name="20% - Accent2 2 2 5 2 3" xfId="30485" xr:uid="{00000000-0005-0000-0000-0000DC0A0000}"/>
    <cellStyle name="20% - Accent2 2 2 5 2 3 2" xfId="34068" xr:uid="{00000000-0005-0000-0000-0000DD0A0000}"/>
    <cellStyle name="20% - Accent2 2 2 5 2 3 2 2" xfId="11618" xr:uid="{00000000-0005-0000-0000-0000DE0A0000}"/>
    <cellStyle name="20% - Accent2 2 2 5 2 3 3" xfId="32508" xr:uid="{00000000-0005-0000-0000-0000DF0A0000}"/>
    <cellStyle name="20% - Accent2 2 2 5 2 4" xfId="30738" xr:uid="{00000000-0005-0000-0000-0000E00A0000}"/>
    <cellStyle name="20% - Accent2 2 2 5 2 4 2" xfId="21132" xr:uid="{00000000-0005-0000-0000-0000E10A0000}"/>
    <cellStyle name="20% - Accent2 2 2 5 2 5" xfId="19804" xr:uid="{00000000-0005-0000-0000-0000E20A0000}"/>
    <cellStyle name="20% - Accent2 2 2 5 3" xfId="30484" xr:uid="{00000000-0005-0000-0000-0000E30A0000}"/>
    <cellStyle name="20% - Accent2 2 2 5 3 2" xfId="30480" xr:uid="{00000000-0005-0000-0000-0000E40A0000}"/>
    <cellStyle name="20% - Accent2 2 2 5 3 2 2" xfId="32087" xr:uid="{00000000-0005-0000-0000-0000E50A0000}"/>
    <cellStyle name="20% - Accent2 2 2 5 3 2 2 2" xfId="30476" xr:uid="{00000000-0005-0000-0000-0000E60A0000}"/>
    <cellStyle name="20% - Accent2 2 2 5 3 2 3" xfId="32081" xr:uid="{00000000-0005-0000-0000-0000E70A0000}"/>
    <cellStyle name="20% - Accent2 2 2 5 3 3" xfId="30472" xr:uid="{00000000-0005-0000-0000-0000E80A0000}"/>
    <cellStyle name="20% - Accent2 2 2 5 3 3 2" xfId="23237" xr:uid="{00000000-0005-0000-0000-0000E90A0000}"/>
    <cellStyle name="20% - Accent2 2 2 5 3 4" xfId="30728" xr:uid="{00000000-0005-0000-0000-0000EA0A0000}"/>
    <cellStyle name="20% - Accent2 2 2 5 4" xfId="23687" xr:uid="{00000000-0005-0000-0000-0000EB0A0000}"/>
    <cellStyle name="20% - Accent2 2 2 5 4 2" xfId="22703" xr:uid="{00000000-0005-0000-0000-0000EC0A0000}"/>
    <cellStyle name="20% - Accent2 2 2 5 4 2 2" xfId="27374" xr:uid="{00000000-0005-0000-0000-0000ED0A0000}"/>
    <cellStyle name="20% - Accent2 2 2 5 4 3" xfId="30468" xr:uid="{00000000-0005-0000-0000-0000EE0A0000}"/>
    <cellStyle name="20% - Accent2 2 2 5 5" xfId="23668" xr:uid="{00000000-0005-0000-0000-0000EF0A0000}"/>
    <cellStyle name="20% - Accent2 2 2 5 5 2" xfId="30463" xr:uid="{00000000-0005-0000-0000-0000F00A0000}"/>
    <cellStyle name="20% - Accent2 2 2 5 6" xfId="23658" xr:uid="{00000000-0005-0000-0000-0000F10A0000}"/>
    <cellStyle name="20% - Accent2 2 2 6" xfId="32659" xr:uid="{00000000-0005-0000-0000-0000F20A0000}"/>
    <cellStyle name="20% - Accent2 2 2 6 2" xfId="30452" xr:uid="{00000000-0005-0000-0000-0000F30A0000}"/>
    <cellStyle name="20% - Accent2 2 2 6 2 2" xfId="30451" xr:uid="{00000000-0005-0000-0000-0000F40A0000}"/>
    <cellStyle name="20% - Accent2 2 2 6 2 2 2" xfId="31090" xr:uid="{00000000-0005-0000-0000-0000F50A0000}"/>
    <cellStyle name="20% - Accent2 2 2 6 2 2 2 2" xfId="20837" xr:uid="{00000000-0005-0000-0000-0000F60A0000}"/>
    <cellStyle name="20% - Accent2 2 2 6 2 2 3" xfId="32377" xr:uid="{00000000-0005-0000-0000-0000F70A0000}"/>
    <cellStyle name="20% - Accent2 2 2 6 2 3" xfId="34002" xr:uid="{00000000-0005-0000-0000-0000F80A0000}"/>
    <cellStyle name="20% - Accent2 2 2 6 2 3 2" xfId="31591" xr:uid="{00000000-0005-0000-0000-0000F90A0000}"/>
    <cellStyle name="20% - Accent2 2 2 6 2 4" xfId="31686" xr:uid="{00000000-0005-0000-0000-0000FA0A0000}"/>
    <cellStyle name="20% - Accent2 2 2 6 3" xfId="30034" xr:uid="{00000000-0005-0000-0000-0000FB0A0000}"/>
    <cellStyle name="20% - Accent2 2 2 6 3 2" xfId="15055" xr:uid="{00000000-0005-0000-0000-0000FC0A0000}"/>
    <cellStyle name="20% - Accent2 2 2 6 3 2 2" xfId="31565" xr:uid="{00000000-0005-0000-0000-0000FD0A0000}"/>
    <cellStyle name="20% - Accent2 2 2 6 3 3" xfId="23134" xr:uid="{00000000-0005-0000-0000-0000FE0A0000}"/>
    <cellStyle name="20% - Accent2 2 2 6 4" xfId="23647" xr:uid="{00000000-0005-0000-0000-0000FF0A0000}"/>
    <cellStyle name="20% - Accent2 2 2 6 4 2" xfId="21769" xr:uid="{00000000-0005-0000-0000-0000000B0000}"/>
    <cellStyle name="20% - Accent2 2 2 6 5" xfId="23285" xr:uid="{00000000-0005-0000-0000-0000010B0000}"/>
    <cellStyle name="20% - Accent2 2 2 7" xfId="30424" xr:uid="{00000000-0005-0000-0000-0000020B0000}"/>
    <cellStyle name="20% - Accent2 2 2 7 2" xfId="30422" xr:uid="{00000000-0005-0000-0000-0000030B0000}"/>
    <cellStyle name="20% - Accent2 2 2 7 2 2" xfId="30421" xr:uid="{00000000-0005-0000-0000-0000040B0000}"/>
    <cellStyle name="20% - Accent2 2 2 7 2 2 2" xfId="27798" xr:uid="{00000000-0005-0000-0000-0000050B0000}"/>
    <cellStyle name="20% - Accent2 2 2 7 2 3" xfId="30418" xr:uid="{00000000-0005-0000-0000-0000060B0000}"/>
    <cellStyle name="20% - Accent2 2 2 7 3" xfId="28994" xr:uid="{00000000-0005-0000-0000-0000070B0000}"/>
    <cellStyle name="20% - Accent2 2 2 7 3 2" xfId="16304" xr:uid="{00000000-0005-0000-0000-0000080B0000}"/>
    <cellStyle name="20% - Accent2 2 2 7 4" xfId="16302" xr:uid="{00000000-0005-0000-0000-0000090B0000}"/>
    <cellStyle name="20% - Accent2 2 2 8" xfId="30417" xr:uid="{00000000-0005-0000-0000-00000A0B0000}"/>
    <cellStyle name="20% - Accent2 2 2 8 2" xfId="33429" xr:uid="{00000000-0005-0000-0000-00000B0B0000}"/>
    <cellStyle name="20% - Accent2 2 2 8 2 2" xfId="25590" xr:uid="{00000000-0005-0000-0000-00000C0B0000}"/>
    <cellStyle name="20% - Accent2 2 2 8 3" xfId="16296" xr:uid="{00000000-0005-0000-0000-00000D0B0000}"/>
    <cellStyle name="20% - Accent2 2 2 9" xfId="30414" xr:uid="{00000000-0005-0000-0000-00000E0B0000}"/>
    <cellStyle name="20% - Accent2 2 2 9 2" xfId="27539" xr:uid="{00000000-0005-0000-0000-00000F0B0000}"/>
    <cellStyle name="20% - Accent2 2 3" xfId="203" xr:uid="{00000000-0005-0000-0000-0000100B0000}"/>
    <cellStyle name="20% - Accent2 2 3 10" xfId="34537" xr:uid="{00000000-0005-0000-0000-0000110B0000}"/>
    <cellStyle name="20% - Accent2 2 3 11" xfId="33237" xr:uid="{00000000-0005-0000-0000-0000120B0000}"/>
    <cellStyle name="20% - Accent2 2 3 2" xfId="32843" xr:uid="{00000000-0005-0000-0000-0000130B0000}"/>
    <cellStyle name="20% - Accent2 2 3 2 2" xfId="33173" xr:uid="{00000000-0005-0000-0000-0000140B0000}"/>
    <cellStyle name="20% - Accent2 2 3 2 2 2" xfId="30413" xr:uid="{00000000-0005-0000-0000-0000150B0000}"/>
    <cellStyle name="20% - Accent2 2 3 2 2 2 2" xfId="30398" xr:uid="{00000000-0005-0000-0000-0000160B0000}"/>
    <cellStyle name="20% - Accent2 2 3 2 2 2 2 2" xfId="7217" xr:uid="{00000000-0005-0000-0000-0000170B0000}"/>
    <cellStyle name="20% - Accent2 2 3 2 2 2 2 2 2" xfId="14584" xr:uid="{00000000-0005-0000-0000-0000180B0000}"/>
    <cellStyle name="20% - Accent2 2 3 2 2 2 2 2 2 2" xfId="7560" xr:uid="{00000000-0005-0000-0000-0000190B0000}"/>
    <cellStyle name="20% - Accent2 2 3 2 2 2 2 2 2 2 2" xfId="21853" xr:uid="{00000000-0005-0000-0000-00001A0B0000}"/>
    <cellStyle name="20% - Accent2 2 3 2 2 2 2 2 2 3" xfId="7555" xr:uid="{00000000-0005-0000-0000-00001B0B0000}"/>
    <cellStyle name="20% - Accent2 2 3 2 2 2 2 2 3" xfId="27041" xr:uid="{00000000-0005-0000-0000-00001C0B0000}"/>
    <cellStyle name="20% - Accent2 2 3 2 2 2 2 2 3 2" xfId="7551" xr:uid="{00000000-0005-0000-0000-00001D0B0000}"/>
    <cellStyle name="20% - Accent2 2 3 2 2 2 2 2 4" xfId="31350" xr:uid="{00000000-0005-0000-0000-00001E0B0000}"/>
    <cellStyle name="20% - Accent2 2 3 2 2 2 2 3" xfId="12616" xr:uid="{00000000-0005-0000-0000-00001F0B0000}"/>
    <cellStyle name="20% - Accent2 2 3 2 2 2 2 3 2" xfId="29747" xr:uid="{00000000-0005-0000-0000-0000200B0000}"/>
    <cellStyle name="20% - Accent2 2 3 2 2 2 2 3 2 2" xfId="30388" xr:uid="{00000000-0005-0000-0000-0000210B0000}"/>
    <cellStyle name="20% - Accent2 2 3 2 2 2 2 3 3" xfId="27037" xr:uid="{00000000-0005-0000-0000-0000220B0000}"/>
    <cellStyle name="20% - Accent2 2 3 2 2 2 2 4" xfId="12608" xr:uid="{00000000-0005-0000-0000-0000230B0000}"/>
    <cellStyle name="20% - Accent2 2 3 2 2 2 2 4 2" xfId="28931" xr:uid="{00000000-0005-0000-0000-0000240B0000}"/>
    <cellStyle name="20% - Accent2 2 3 2 2 2 2 5" xfId="28927" xr:uid="{00000000-0005-0000-0000-0000250B0000}"/>
    <cellStyle name="20% - Accent2 2 3 2 2 2 3" xfId="30379" xr:uid="{00000000-0005-0000-0000-0000260B0000}"/>
    <cellStyle name="20% - Accent2 2 3 2 2 2 3 2" xfId="12594" xr:uid="{00000000-0005-0000-0000-0000270B0000}"/>
    <cellStyle name="20% - Accent2 2 3 2 2 2 3 2 2" xfId="30548" xr:uid="{00000000-0005-0000-0000-0000280B0000}"/>
    <cellStyle name="20% - Accent2 2 3 2 2 2 3 2 2 2" xfId="7528" xr:uid="{00000000-0005-0000-0000-0000290B0000}"/>
    <cellStyle name="20% - Accent2 2 3 2 2 2 3 2 3" xfId="27025" xr:uid="{00000000-0005-0000-0000-00002A0B0000}"/>
    <cellStyle name="20% - Accent2 2 3 2 2 2 3 3" xfId="12590" xr:uid="{00000000-0005-0000-0000-00002B0B0000}"/>
    <cellStyle name="20% - Accent2 2 3 2 2 2 3 3 2" xfId="33450" xr:uid="{00000000-0005-0000-0000-00002C0B0000}"/>
    <cellStyle name="20% - Accent2 2 3 2 2 2 3 4" xfId="18197" xr:uid="{00000000-0005-0000-0000-00002D0B0000}"/>
    <cellStyle name="20% - Accent2 2 3 2 2 2 4" xfId="30377" xr:uid="{00000000-0005-0000-0000-00002E0B0000}"/>
    <cellStyle name="20% - Accent2 2 3 2 2 2 4 2" xfId="12582" xr:uid="{00000000-0005-0000-0000-00002F0B0000}"/>
    <cellStyle name="20% - Accent2 2 3 2 2 2 4 2 2" xfId="30460" xr:uid="{00000000-0005-0000-0000-0000300B0000}"/>
    <cellStyle name="20% - Accent2 2 3 2 2 2 4 3" xfId="25253" xr:uid="{00000000-0005-0000-0000-0000310B0000}"/>
    <cellStyle name="20% - Accent2 2 3 2 2 2 5" xfId="30502" xr:uid="{00000000-0005-0000-0000-0000320B0000}"/>
    <cellStyle name="20% - Accent2 2 3 2 2 2 5 2" xfId="15564" xr:uid="{00000000-0005-0000-0000-0000330B0000}"/>
    <cellStyle name="20% - Accent2 2 3 2 2 2 6" xfId="30910" xr:uid="{00000000-0005-0000-0000-0000340B0000}"/>
    <cellStyle name="20% - Accent2 2 3 2 2 3" xfId="30375" xr:uid="{00000000-0005-0000-0000-0000350B0000}"/>
    <cellStyle name="20% - Accent2 2 3 2 2 3 2" xfId="30362" xr:uid="{00000000-0005-0000-0000-0000360B0000}"/>
    <cellStyle name="20% - Accent2 2 3 2 2 3 2 2" xfId="30359" xr:uid="{00000000-0005-0000-0000-0000370B0000}"/>
    <cellStyle name="20% - Accent2 2 3 2 2 3 2 2 2" xfId="29493" xr:uid="{00000000-0005-0000-0000-0000380B0000}"/>
    <cellStyle name="20% - Accent2 2 3 2 2 3 2 2 2 2" xfId="30357" xr:uid="{00000000-0005-0000-0000-0000390B0000}"/>
    <cellStyle name="20% - Accent2 2 3 2 2 3 2 2 3" xfId="25514" xr:uid="{00000000-0005-0000-0000-00003A0B0000}"/>
    <cellStyle name="20% - Accent2 2 3 2 2 3 2 3" xfId="12570" xr:uid="{00000000-0005-0000-0000-00003B0B0000}"/>
    <cellStyle name="20% - Accent2 2 3 2 2 3 2 3 2" xfId="33848" xr:uid="{00000000-0005-0000-0000-00003C0B0000}"/>
    <cellStyle name="20% - Accent2 2 3 2 2 3 2 4" xfId="28352" xr:uid="{00000000-0005-0000-0000-00003D0B0000}"/>
    <cellStyle name="20% - Accent2 2 3 2 2 3 3" xfId="30334" xr:uid="{00000000-0005-0000-0000-00003E0B0000}"/>
    <cellStyle name="20% - Accent2 2 3 2 2 3 3 2" xfId="16043" xr:uid="{00000000-0005-0000-0000-00003F0B0000}"/>
    <cellStyle name="20% - Accent2 2 3 2 2 3 3 2 2" xfId="31760" xr:uid="{00000000-0005-0000-0000-0000400B0000}"/>
    <cellStyle name="20% - Accent2 2 3 2 2 3 3 3" xfId="18170" xr:uid="{00000000-0005-0000-0000-0000410B0000}"/>
    <cellStyle name="20% - Accent2 2 3 2 2 3 4" xfId="30332" xr:uid="{00000000-0005-0000-0000-0000420B0000}"/>
    <cellStyle name="20% - Accent2 2 3 2 2 3 4 2" xfId="25207" xr:uid="{00000000-0005-0000-0000-0000430B0000}"/>
    <cellStyle name="20% - Accent2 2 3 2 2 3 5" xfId="32577" xr:uid="{00000000-0005-0000-0000-0000440B0000}"/>
    <cellStyle name="20% - Accent2 2 3 2 2 4" xfId="31310" xr:uid="{00000000-0005-0000-0000-0000450B0000}"/>
    <cellStyle name="20% - Accent2 2 3 2 2 4 2" xfId="28306" xr:uid="{00000000-0005-0000-0000-0000460B0000}"/>
    <cellStyle name="20% - Accent2 2 3 2 2 4 2 2" xfId="13500" xr:uid="{00000000-0005-0000-0000-0000470B0000}"/>
    <cellStyle name="20% - Accent2 2 3 2 2 4 2 2 2" xfId="31572" xr:uid="{00000000-0005-0000-0000-0000480B0000}"/>
    <cellStyle name="20% - Accent2 2 3 2 2 4 2 3" xfId="21515" xr:uid="{00000000-0005-0000-0000-0000490B0000}"/>
    <cellStyle name="20% - Accent2 2 3 2 2 4 3" xfId="11771" xr:uid="{00000000-0005-0000-0000-00004A0B0000}"/>
    <cellStyle name="20% - Accent2 2 3 2 2 4 3 2" xfId="18157" xr:uid="{00000000-0005-0000-0000-00004B0B0000}"/>
    <cellStyle name="20% - Accent2 2 3 2 2 4 4" xfId="11762" xr:uid="{00000000-0005-0000-0000-00004C0B0000}"/>
    <cellStyle name="20% - Accent2 2 3 2 2 5" xfId="25137" xr:uid="{00000000-0005-0000-0000-00004D0B0000}"/>
    <cellStyle name="20% - Accent2 2 3 2 2 5 2" xfId="6093" xr:uid="{00000000-0005-0000-0000-00004E0B0000}"/>
    <cellStyle name="20% - Accent2 2 3 2 2 5 2 2" xfId="30482" xr:uid="{00000000-0005-0000-0000-00004F0B0000}"/>
    <cellStyle name="20% - Accent2 2 3 2 2 5 3" xfId="13493" xr:uid="{00000000-0005-0000-0000-0000500B0000}"/>
    <cellStyle name="20% - Accent2 2 3 2 2 6" xfId="19791" xr:uid="{00000000-0005-0000-0000-0000510B0000}"/>
    <cellStyle name="20% - Accent2 2 3 2 2 6 2" xfId="15788" xr:uid="{00000000-0005-0000-0000-0000520B0000}"/>
    <cellStyle name="20% - Accent2 2 3 2 2 7" xfId="19784" xr:uid="{00000000-0005-0000-0000-0000530B0000}"/>
    <cellStyle name="20% - Accent2 2 3 2 3" xfId="27456" xr:uid="{00000000-0005-0000-0000-0000540B0000}"/>
    <cellStyle name="20% - Accent2 2 3 2 3 2" xfId="32722" xr:uid="{00000000-0005-0000-0000-0000550B0000}"/>
    <cellStyle name="20% - Accent2 2 3 2 3 2 2" xfId="29581" xr:uid="{00000000-0005-0000-0000-0000560B0000}"/>
    <cellStyle name="20% - Accent2 2 3 2 3 2 2 2" xfId="12506" xr:uid="{00000000-0005-0000-0000-0000570B0000}"/>
    <cellStyle name="20% - Accent2 2 3 2 3 2 2 2 2" xfId="30926" xr:uid="{00000000-0005-0000-0000-0000580B0000}"/>
    <cellStyle name="20% - Accent2 2 3 2 3 2 2 2 2 2" xfId="7346" xr:uid="{00000000-0005-0000-0000-0000590B0000}"/>
    <cellStyle name="20% - Accent2 2 3 2 3 2 2 2 3" xfId="29818" xr:uid="{00000000-0005-0000-0000-00005A0B0000}"/>
    <cellStyle name="20% - Accent2 2 3 2 3 2 2 3" xfId="12502" xr:uid="{00000000-0005-0000-0000-00005B0B0000}"/>
    <cellStyle name="20% - Accent2 2 3 2 3 2 2 3 2" xfId="30305" xr:uid="{00000000-0005-0000-0000-00005C0B0000}"/>
    <cellStyle name="20% - Accent2 2 3 2 3 2 2 4" xfId="28908" xr:uid="{00000000-0005-0000-0000-00005D0B0000}"/>
    <cellStyle name="20% - Accent2 2 3 2 3 2 3" xfId="28879" xr:uid="{00000000-0005-0000-0000-00005E0B0000}"/>
    <cellStyle name="20% - Accent2 2 3 2 3 2 3 2" xfId="12493" xr:uid="{00000000-0005-0000-0000-00005F0B0000}"/>
    <cellStyle name="20% - Accent2 2 3 2 3 2 3 2 2" xfId="27587" xr:uid="{00000000-0005-0000-0000-0000600B0000}"/>
    <cellStyle name="20% - Accent2 2 3 2 3 2 3 3" xfId="30973" xr:uid="{00000000-0005-0000-0000-0000610B0000}"/>
    <cellStyle name="20% - Accent2 2 3 2 3 2 4" xfId="28877" xr:uid="{00000000-0005-0000-0000-0000620B0000}"/>
    <cellStyle name="20% - Accent2 2 3 2 3 2 4 2" xfId="28209" xr:uid="{00000000-0005-0000-0000-0000630B0000}"/>
    <cellStyle name="20% - Accent2 2 3 2 3 2 5" xfId="30297" xr:uid="{00000000-0005-0000-0000-0000640B0000}"/>
    <cellStyle name="20% - Accent2 2 3 2 3 3" xfId="34372" xr:uid="{00000000-0005-0000-0000-0000650B0000}"/>
    <cellStyle name="20% - Accent2 2 3 2 3 3 2" xfId="32078" xr:uid="{00000000-0005-0000-0000-0000660B0000}"/>
    <cellStyle name="20% - Accent2 2 3 2 3 3 2 2" xfId="12484" xr:uid="{00000000-0005-0000-0000-0000670B0000}"/>
    <cellStyle name="20% - Accent2 2 3 2 3 3 2 2 2" xfId="32456" xr:uid="{00000000-0005-0000-0000-0000680B0000}"/>
    <cellStyle name="20% - Accent2 2 3 2 3 3 2 3" xfId="28914" xr:uid="{00000000-0005-0000-0000-0000690B0000}"/>
    <cellStyle name="20% - Accent2 2 3 2 3 3 3" xfId="26520" xr:uid="{00000000-0005-0000-0000-00006A0B0000}"/>
    <cellStyle name="20% - Accent2 2 3 2 3 3 3 2" xfId="22411" xr:uid="{00000000-0005-0000-0000-00006B0B0000}"/>
    <cellStyle name="20% - Accent2 2 3 2 3 3 4" xfId="30294" xr:uid="{00000000-0005-0000-0000-00006C0B0000}"/>
    <cellStyle name="20% - Accent2 2 3 2 3 4" xfId="28817" xr:uid="{00000000-0005-0000-0000-00006D0B0000}"/>
    <cellStyle name="20% - Accent2 2 3 2 3 4 2" xfId="30313" xr:uid="{00000000-0005-0000-0000-00006E0B0000}"/>
    <cellStyle name="20% - Accent2 2 3 2 3 4 2 2" xfId="21301" xr:uid="{00000000-0005-0000-0000-00006F0B0000}"/>
    <cellStyle name="20% - Accent2 2 3 2 3 4 3" xfId="11750" xr:uid="{00000000-0005-0000-0000-0000700B0000}"/>
    <cellStyle name="20% - Accent2 2 3 2 3 5" xfId="17489" xr:uid="{00000000-0005-0000-0000-0000710B0000}"/>
    <cellStyle name="20% - Accent2 2 3 2 3 5 2" xfId="27113" xr:uid="{00000000-0005-0000-0000-0000720B0000}"/>
    <cellStyle name="20% - Accent2 2 3 2 3 6" xfId="17483" xr:uid="{00000000-0005-0000-0000-0000730B0000}"/>
    <cellStyle name="20% - Accent2 2 3 2 4" xfId="26388" xr:uid="{00000000-0005-0000-0000-0000740B0000}"/>
    <cellStyle name="20% - Accent2 2 3 2 4 2" xfId="30292" xr:uid="{00000000-0005-0000-0000-0000750B0000}"/>
    <cellStyle name="20% - Accent2 2 3 2 4 2 2" xfId="30454" xr:uid="{00000000-0005-0000-0000-0000760B0000}"/>
    <cellStyle name="20% - Accent2 2 3 2 4 2 2 2" xfId="12460" xr:uid="{00000000-0005-0000-0000-0000770B0000}"/>
    <cellStyle name="20% - Accent2 2 3 2 4 2 2 2 2" xfId="31995" xr:uid="{00000000-0005-0000-0000-0000780B0000}"/>
    <cellStyle name="20% - Accent2 2 3 2 4 2 2 3" xfId="22320" xr:uid="{00000000-0005-0000-0000-0000790B0000}"/>
    <cellStyle name="20% - Accent2 2 3 2 4 2 3" xfId="28863" xr:uid="{00000000-0005-0000-0000-00007A0B0000}"/>
    <cellStyle name="20% - Accent2 2 3 2 4 2 3 2" xfId="30288" xr:uid="{00000000-0005-0000-0000-00007B0B0000}"/>
    <cellStyle name="20% - Accent2 2 3 2 4 2 4" xfId="30282" xr:uid="{00000000-0005-0000-0000-00007C0B0000}"/>
    <cellStyle name="20% - Accent2 2 3 2 4 3" xfId="32076" xr:uid="{00000000-0005-0000-0000-00007D0B0000}"/>
    <cellStyle name="20% - Accent2 2 3 2 4 3 2" xfId="30279" xr:uid="{00000000-0005-0000-0000-00007E0B0000}"/>
    <cellStyle name="20% - Accent2 2 3 2 4 3 2 2" xfId="29445" xr:uid="{00000000-0005-0000-0000-00007F0B0000}"/>
    <cellStyle name="20% - Accent2 2 3 2 4 3 3" xfId="30276" xr:uid="{00000000-0005-0000-0000-0000800B0000}"/>
    <cellStyle name="20% - Accent2 2 3 2 4 4" xfId="30273" xr:uid="{00000000-0005-0000-0000-0000810B0000}"/>
    <cellStyle name="20% - Accent2 2 3 2 4 4 2" xfId="30269" xr:uid="{00000000-0005-0000-0000-0000820B0000}"/>
    <cellStyle name="20% - Accent2 2 3 2 4 5" xfId="17469" xr:uid="{00000000-0005-0000-0000-0000830B0000}"/>
    <cellStyle name="20% - Accent2 2 3 2 5" xfId="34359" xr:uid="{00000000-0005-0000-0000-0000840B0000}"/>
    <cellStyle name="20% - Accent2 2 3 2 5 2" xfId="30264" xr:uid="{00000000-0005-0000-0000-0000850B0000}"/>
    <cellStyle name="20% - Accent2 2 3 2 5 2 2" xfId="30262" xr:uid="{00000000-0005-0000-0000-0000860B0000}"/>
    <cellStyle name="20% - Accent2 2 3 2 5 2 2 2" xfId="20497" xr:uid="{00000000-0005-0000-0000-0000870B0000}"/>
    <cellStyle name="20% - Accent2 2 3 2 5 2 3" xfId="30258" xr:uid="{00000000-0005-0000-0000-0000880B0000}"/>
    <cellStyle name="20% - Accent2 2 3 2 5 3" xfId="30252" xr:uid="{00000000-0005-0000-0000-0000890B0000}"/>
    <cellStyle name="20% - Accent2 2 3 2 5 3 2" xfId="30247" xr:uid="{00000000-0005-0000-0000-00008A0B0000}"/>
    <cellStyle name="20% - Accent2 2 3 2 5 4" xfId="33156" xr:uid="{00000000-0005-0000-0000-00008B0B0000}"/>
    <cellStyle name="20% - Accent2 2 3 2 6" xfId="32483" xr:uid="{00000000-0005-0000-0000-00008C0B0000}"/>
    <cellStyle name="20% - Accent2 2 3 2 6 2" xfId="30244" xr:uid="{00000000-0005-0000-0000-00008D0B0000}"/>
    <cellStyle name="20% - Accent2 2 3 2 6 2 2" xfId="17644" xr:uid="{00000000-0005-0000-0000-00008E0B0000}"/>
    <cellStyle name="20% - Accent2 2 3 2 6 3" xfId="29147" xr:uid="{00000000-0005-0000-0000-00008F0B0000}"/>
    <cellStyle name="20% - Accent2 2 3 2 7" xfId="30235" xr:uid="{00000000-0005-0000-0000-0000900B0000}"/>
    <cellStyle name="20% - Accent2 2 3 2 7 2" xfId="30228" xr:uid="{00000000-0005-0000-0000-0000910B0000}"/>
    <cellStyle name="20% - Accent2 2 3 2 8" xfId="30225" xr:uid="{00000000-0005-0000-0000-0000920B0000}"/>
    <cellStyle name="20% - Accent2 2 3 3" xfId="31816" xr:uid="{00000000-0005-0000-0000-0000930B0000}"/>
    <cellStyle name="20% - Accent2 2 3 3 2" xfId="33913" xr:uid="{00000000-0005-0000-0000-0000940B0000}"/>
    <cellStyle name="20% - Accent2 2 3 3 2 2" xfId="30219" xr:uid="{00000000-0005-0000-0000-0000950B0000}"/>
    <cellStyle name="20% - Accent2 2 3 3 2 2 2" xfId="32328" xr:uid="{00000000-0005-0000-0000-0000960B0000}"/>
    <cellStyle name="20% - Accent2 2 3 3 2 2 2 2" xfId="28266" xr:uid="{00000000-0005-0000-0000-0000970B0000}"/>
    <cellStyle name="20% - Accent2 2 3 3 2 2 2 2 2" xfId="30217" xr:uid="{00000000-0005-0000-0000-0000980B0000}"/>
    <cellStyle name="20% - Accent2 2 3 3 2 2 2 2 2 2" xfId="29698" xr:uid="{00000000-0005-0000-0000-0000990B0000}"/>
    <cellStyle name="20% - Accent2 2 3 3 2 2 2 2 3" xfId="30211" xr:uid="{00000000-0005-0000-0000-00009A0B0000}"/>
    <cellStyle name="20% - Accent2 2 3 3 2 2 2 3" xfId="30197" xr:uid="{00000000-0005-0000-0000-00009B0B0000}"/>
    <cellStyle name="20% - Accent2 2 3 3 2 2 2 3 2" xfId="30182" xr:uid="{00000000-0005-0000-0000-00009C0B0000}"/>
    <cellStyle name="20% - Accent2 2 3 3 2 2 2 4" xfId="29423" xr:uid="{00000000-0005-0000-0000-00009D0B0000}"/>
    <cellStyle name="20% - Accent2 2 3 3 2 2 3" xfId="28041" xr:uid="{00000000-0005-0000-0000-00009E0B0000}"/>
    <cellStyle name="20% - Accent2 2 3 3 2 2 3 2" xfId="28777" xr:uid="{00000000-0005-0000-0000-00009F0B0000}"/>
    <cellStyle name="20% - Accent2 2 3 3 2 2 3 2 2" xfId="18422" xr:uid="{00000000-0005-0000-0000-0000A00B0000}"/>
    <cellStyle name="20% - Accent2 2 3 3 2 2 3 3" xfId="30174" xr:uid="{00000000-0005-0000-0000-0000A10B0000}"/>
    <cellStyle name="20% - Accent2 2 3 3 2 2 4" xfId="11570" xr:uid="{00000000-0005-0000-0000-0000A20B0000}"/>
    <cellStyle name="20% - Accent2 2 3 3 2 2 4 2" xfId="30171" xr:uid="{00000000-0005-0000-0000-0000A30B0000}"/>
    <cellStyle name="20% - Accent2 2 3 3 2 2 5" xfId="30166" xr:uid="{00000000-0005-0000-0000-0000A40B0000}"/>
    <cellStyle name="20% - Accent2 2 3 3 2 3" xfId="28526" xr:uid="{00000000-0005-0000-0000-0000A50B0000}"/>
    <cellStyle name="20% - Accent2 2 3 3 2 3 2" xfId="11562" xr:uid="{00000000-0005-0000-0000-0000A60B0000}"/>
    <cellStyle name="20% - Accent2 2 3 3 2 3 2 2" xfId="30156" xr:uid="{00000000-0005-0000-0000-0000A70B0000}"/>
    <cellStyle name="20% - Accent2 2 3 3 2 3 2 2 2" xfId="19844" xr:uid="{00000000-0005-0000-0000-0000A80B0000}"/>
    <cellStyle name="20% - Accent2 2 3 3 2 3 2 3" xfId="27342" xr:uid="{00000000-0005-0000-0000-0000A90B0000}"/>
    <cellStyle name="20% - Accent2 2 3 3 2 3 3" xfId="11559" xr:uid="{00000000-0005-0000-0000-0000AA0B0000}"/>
    <cellStyle name="20% - Accent2 2 3 3 2 3 3 2" xfId="31062" xr:uid="{00000000-0005-0000-0000-0000AB0B0000}"/>
    <cellStyle name="20% - Accent2 2 3 3 2 3 4" xfId="30150" xr:uid="{00000000-0005-0000-0000-0000AC0B0000}"/>
    <cellStyle name="20% - Accent2 2 3 3 2 4" xfId="28517" xr:uid="{00000000-0005-0000-0000-0000AD0B0000}"/>
    <cellStyle name="20% - Accent2 2 3 3 2 4 2" xfId="11552" xr:uid="{00000000-0005-0000-0000-0000AE0B0000}"/>
    <cellStyle name="20% - Accent2 2 3 3 2 4 2 2" xfId="20759" xr:uid="{00000000-0005-0000-0000-0000AF0B0000}"/>
    <cellStyle name="20% - Accent2 2 3 3 2 4 3" xfId="11731" xr:uid="{00000000-0005-0000-0000-0000B00B0000}"/>
    <cellStyle name="20% - Accent2 2 3 3 2 5" xfId="15521" xr:uid="{00000000-0005-0000-0000-0000B10B0000}"/>
    <cellStyle name="20% - Accent2 2 3 3 2 5 2" xfId="6083" xr:uid="{00000000-0005-0000-0000-0000B20B0000}"/>
    <cellStyle name="20% - Accent2 2 3 3 2 6" xfId="27189" xr:uid="{00000000-0005-0000-0000-0000B30B0000}"/>
    <cellStyle name="20% - Accent2 2 3 3 3" xfId="34329" xr:uid="{00000000-0005-0000-0000-0000B40B0000}"/>
    <cellStyle name="20% - Accent2 2 3 3 3 2" xfId="30145" xr:uid="{00000000-0005-0000-0000-0000B50B0000}"/>
    <cellStyle name="20% - Accent2 2 3 3 3 2 2" xfId="11538" xr:uid="{00000000-0005-0000-0000-0000B60B0000}"/>
    <cellStyle name="20% - Accent2 2 3 3 3 2 2 2" xfId="16794" xr:uid="{00000000-0005-0000-0000-0000B70B0000}"/>
    <cellStyle name="20% - Accent2 2 3 3 3 2 2 2 2" xfId="28573" xr:uid="{00000000-0005-0000-0000-0000B80B0000}"/>
    <cellStyle name="20% - Accent2 2 3 3 3 2 2 3" xfId="15879" xr:uid="{00000000-0005-0000-0000-0000B90B0000}"/>
    <cellStyle name="20% - Accent2 2 3 3 3 2 3" xfId="11535" xr:uid="{00000000-0005-0000-0000-0000BA0B0000}"/>
    <cellStyle name="20% - Accent2 2 3 3 3 2 3 2" xfId="30133" xr:uid="{00000000-0005-0000-0000-0000BB0B0000}"/>
    <cellStyle name="20% - Accent2 2 3 3 3 2 4" xfId="30128" xr:uid="{00000000-0005-0000-0000-0000BC0B0000}"/>
    <cellStyle name="20% - Accent2 2 3 3 3 3" xfId="28510" xr:uid="{00000000-0005-0000-0000-0000BD0B0000}"/>
    <cellStyle name="20% - Accent2 2 3 3 3 3 2" xfId="11530" xr:uid="{00000000-0005-0000-0000-0000BE0B0000}"/>
    <cellStyle name="20% - Accent2 2 3 3 3 3 2 2" xfId="30514" xr:uid="{00000000-0005-0000-0000-0000BF0B0000}"/>
    <cellStyle name="20% - Accent2 2 3 3 3 3 3" xfId="30113" xr:uid="{00000000-0005-0000-0000-0000C00B0000}"/>
    <cellStyle name="20% - Accent2 2 3 3 3 4" xfId="27105" xr:uid="{00000000-0005-0000-0000-0000C10B0000}"/>
    <cellStyle name="20% - Accent2 2 3 3 3 4 2" xfId="33661" xr:uid="{00000000-0005-0000-0000-0000C20B0000}"/>
    <cellStyle name="20% - Accent2 2 3 3 3 5" xfId="19771" xr:uid="{00000000-0005-0000-0000-0000C30B0000}"/>
    <cellStyle name="20% - Accent2 2 3 3 4" xfId="25257" xr:uid="{00000000-0005-0000-0000-0000C40B0000}"/>
    <cellStyle name="20% - Accent2 2 3 3 4 2" xfId="30610" xr:uid="{00000000-0005-0000-0000-0000C50B0000}"/>
    <cellStyle name="20% - Accent2 2 3 3 4 2 2" xfId="11519" xr:uid="{00000000-0005-0000-0000-0000C60B0000}"/>
    <cellStyle name="20% - Accent2 2 3 3 4 2 2 2" xfId="30108" xr:uid="{00000000-0005-0000-0000-0000C70B0000}"/>
    <cellStyle name="20% - Accent2 2 3 3 4 2 3" xfId="30105" xr:uid="{00000000-0005-0000-0000-0000C80B0000}"/>
    <cellStyle name="20% - Accent2 2 3 3 4 3" xfId="27103" xr:uid="{00000000-0005-0000-0000-0000C90B0000}"/>
    <cellStyle name="20% - Accent2 2 3 3 4 3 2" xfId="31137" xr:uid="{00000000-0005-0000-0000-0000CA0B0000}"/>
    <cellStyle name="20% - Accent2 2 3 3 4 4" xfId="25541" xr:uid="{00000000-0005-0000-0000-0000CB0B0000}"/>
    <cellStyle name="20% - Accent2 2 3 3 5" xfId="30103" xr:uid="{00000000-0005-0000-0000-0000CC0B0000}"/>
    <cellStyle name="20% - Accent2 2 3 3 5 2" xfId="30596" xr:uid="{00000000-0005-0000-0000-0000CD0B0000}"/>
    <cellStyle name="20% - Accent2 2 3 3 5 2 2" xfId="8684" xr:uid="{00000000-0005-0000-0000-0000CE0B0000}"/>
    <cellStyle name="20% - Accent2 2 3 3 5 3" xfId="30775" xr:uid="{00000000-0005-0000-0000-0000CF0B0000}"/>
    <cellStyle name="20% - Accent2 2 3 3 6" xfId="30093" xr:uid="{00000000-0005-0000-0000-0000D00B0000}"/>
    <cellStyle name="20% - Accent2 2 3 3 6 2" xfId="30589" xr:uid="{00000000-0005-0000-0000-0000D10B0000}"/>
    <cellStyle name="20% - Accent2 2 3 3 7" xfId="30087" xr:uid="{00000000-0005-0000-0000-0000D20B0000}"/>
    <cellStyle name="20% - Accent2 2 3 4" xfId="21723" xr:uid="{00000000-0005-0000-0000-0000D30B0000}"/>
    <cellStyle name="20% - Accent2 2 3 4 2" xfId="27131" xr:uid="{00000000-0005-0000-0000-0000D40B0000}"/>
    <cellStyle name="20% - Accent2 2 3 4 2 2" xfId="30081" xr:uid="{00000000-0005-0000-0000-0000D50B0000}"/>
    <cellStyle name="20% - Accent2 2 3 4 2 2 2" xfId="11456" xr:uid="{00000000-0005-0000-0000-0000D60B0000}"/>
    <cellStyle name="20% - Accent2 2 3 4 2 2 2 2" xfId="16147" xr:uid="{00000000-0005-0000-0000-0000D70B0000}"/>
    <cellStyle name="20% - Accent2 2 3 4 2 2 2 2 2" xfId="27896" xr:uid="{00000000-0005-0000-0000-0000D80B0000}"/>
    <cellStyle name="20% - Accent2 2 3 4 2 2 2 3" xfId="30079" xr:uid="{00000000-0005-0000-0000-0000D90B0000}"/>
    <cellStyle name="20% - Accent2 2 3 4 2 2 3" xfId="11453" xr:uid="{00000000-0005-0000-0000-0000DA0B0000}"/>
    <cellStyle name="20% - Accent2 2 3 4 2 2 3 2" xfId="30069" xr:uid="{00000000-0005-0000-0000-0000DB0B0000}"/>
    <cellStyle name="20% - Accent2 2 3 4 2 2 4" xfId="22400" xr:uid="{00000000-0005-0000-0000-0000DC0B0000}"/>
    <cellStyle name="20% - Accent2 2 3 4 2 3" xfId="30056" xr:uid="{00000000-0005-0000-0000-0000DD0B0000}"/>
    <cellStyle name="20% - Accent2 2 3 4 2 3 2" xfId="11444" xr:uid="{00000000-0005-0000-0000-0000DE0B0000}"/>
    <cellStyle name="20% - Accent2 2 3 4 2 3 2 2" xfId="10071" xr:uid="{00000000-0005-0000-0000-0000DF0B0000}"/>
    <cellStyle name="20% - Accent2 2 3 4 2 3 3" xfId="30051" xr:uid="{00000000-0005-0000-0000-0000E00B0000}"/>
    <cellStyle name="20% - Accent2 2 3 4 2 4" xfId="27083" xr:uid="{00000000-0005-0000-0000-0000E10B0000}"/>
    <cellStyle name="20% - Accent2 2 3 4 2 4 2" xfId="32786" xr:uid="{00000000-0005-0000-0000-0000E20B0000}"/>
    <cellStyle name="20% - Accent2 2 3 4 2 5" xfId="19763" xr:uid="{00000000-0005-0000-0000-0000E30B0000}"/>
    <cellStyle name="20% - Accent2 2 3 4 3" xfId="34381" xr:uid="{00000000-0005-0000-0000-0000E40B0000}"/>
    <cellStyle name="20% - Accent2 2 3 4 3 2" xfId="27017" xr:uid="{00000000-0005-0000-0000-0000E50B0000}"/>
    <cellStyle name="20% - Accent2 2 3 4 3 2 2" xfId="11429" xr:uid="{00000000-0005-0000-0000-0000E60B0000}"/>
    <cellStyle name="20% - Accent2 2 3 4 3 2 2 2" xfId="17966" xr:uid="{00000000-0005-0000-0000-0000E70B0000}"/>
    <cellStyle name="20% - Accent2 2 3 4 3 2 3" xfId="30028" xr:uid="{00000000-0005-0000-0000-0000E80B0000}"/>
    <cellStyle name="20% - Accent2 2 3 4 3 3" xfId="27081" xr:uid="{00000000-0005-0000-0000-0000E90B0000}"/>
    <cellStyle name="20% - Accent2 2 3 4 3 3 2" xfId="33487" xr:uid="{00000000-0005-0000-0000-0000EA0B0000}"/>
    <cellStyle name="20% - Accent2 2 3 4 3 4" xfId="33988" xr:uid="{00000000-0005-0000-0000-0000EB0B0000}"/>
    <cellStyle name="20% - Accent2 2 3 4 4" xfId="30012" xr:uid="{00000000-0005-0000-0000-0000EC0B0000}"/>
    <cellStyle name="20% - Accent2 2 3 4 4 2" xfId="30586" xr:uid="{00000000-0005-0000-0000-0000ED0B0000}"/>
    <cellStyle name="20% - Accent2 2 3 4 4 2 2" xfId="30009" xr:uid="{00000000-0005-0000-0000-0000EE0B0000}"/>
    <cellStyle name="20% - Accent2 2 3 4 4 3" xfId="34278" xr:uid="{00000000-0005-0000-0000-0000EF0B0000}"/>
    <cellStyle name="20% - Accent2 2 3 4 5" xfId="30001" xr:uid="{00000000-0005-0000-0000-0000F00B0000}"/>
    <cellStyle name="20% - Accent2 2 3 4 5 2" xfId="19392" xr:uid="{00000000-0005-0000-0000-0000F10B0000}"/>
    <cellStyle name="20% - Accent2 2 3 4 6" xfId="29988" xr:uid="{00000000-0005-0000-0000-0000F20B0000}"/>
    <cellStyle name="20% - Accent2 2 3 5" xfId="20112" xr:uid="{00000000-0005-0000-0000-0000F30B0000}"/>
    <cellStyle name="20% - Accent2 2 3 5 2" xfId="34397" xr:uid="{00000000-0005-0000-0000-0000F40B0000}"/>
    <cellStyle name="20% - Accent2 2 3 5 2 2" xfId="29979" xr:uid="{00000000-0005-0000-0000-0000F50B0000}"/>
    <cellStyle name="20% - Accent2 2 3 5 2 2 2" xfId="11379" xr:uid="{00000000-0005-0000-0000-0000F60B0000}"/>
    <cellStyle name="20% - Accent2 2 3 5 2 2 2 2" xfId="29977" xr:uid="{00000000-0005-0000-0000-0000F70B0000}"/>
    <cellStyle name="20% - Accent2 2 3 5 2 2 3" xfId="33651" xr:uid="{00000000-0005-0000-0000-0000F80B0000}"/>
    <cellStyle name="20% - Accent2 2 3 5 2 3" xfId="27071" xr:uid="{00000000-0005-0000-0000-0000F90B0000}"/>
    <cellStyle name="20% - Accent2 2 3 5 2 3 2" xfId="29976" xr:uid="{00000000-0005-0000-0000-0000FA0B0000}"/>
    <cellStyle name="20% - Accent2 2 3 5 2 4" xfId="30715" xr:uid="{00000000-0005-0000-0000-0000FB0B0000}"/>
    <cellStyle name="20% - Accent2 2 3 5 3" xfId="32531" xr:uid="{00000000-0005-0000-0000-0000FC0B0000}"/>
    <cellStyle name="20% - Accent2 2 3 5 3 2" xfId="29964" xr:uid="{00000000-0005-0000-0000-0000FD0B0000}"/>
    <cellStyle name="20% - Accent2 2 3 5 3 2 2" xfId="29960" xr:uid="{00000000-0005-0000-0000-0000FE0B0000}"/>
    <cellStyle name="20% - Accent2 2 3 5 3 3" xfId="29958" xr:uid="{00000000-0005-0000-0000-0000FF0B0000}"/>
    <cellStyle name="20% - Accent2 2 3 5 4" xfId="23631" xr:uid="{00000000-0005-0000-0000-0000000C0000}"/>
    <cellStyle name="20% - Accent2 2 3 5 4 2" xfId="30564" xr:uid="{00000000-0005-0000-0000-0000010C0000}"/>
    <cellStyle name="20% - Accent2 2 3 5 5" xfId="23625" xr:uid="{00000000-0005-0000-0000-0000020C0000}"/>
    <cellStyle name="20% - Accent2 2 3 6" xfId="28889" xr:uid="{00000000-0005-0000-0000-0000030C0000}"/>
    <cellStyle name="20% - Accent2 2 3 6 2" xfId="29946" xr:uid="{00000000-0005-0000-0000-0000040C0000}"/>
    <cellStyle name="20% - Accent2 2 3 6 2 2" xfId="29944" xr:uid="{00000000-0005-0000-0000-0000050C0000}"/>
    <cellStyle name="20% - Accent2 2 3 6 2 2 2" xfId="29470" xr:uid="{00000000-0005-0000-0000-0000060C0000}"/>
    <cellStyle name="20% - Accent2 2 3 6 2 3" xfId="29932" xr:uid="{00000000-0005-0000-0000-0000070C0000}"/>
    <cellStyle name="20% - Accent2 2 3 6 3" xfId="29930" xr:uid="{00000000-0005-0000-0000-0000080C0000}"/>
    <cellStyle name="20% - Accent2 2 3 6 3 2" xfId="23022" xr:uid="{00000000-0005-0000-0000-0000090C0000}"/>
    <cellStyle name="20% - Accent2 2 3 6 4" xfId="23273" xr:uid="{00000000-0005-0000-0000-00000A0C0000}"/>
    <cellStyle name="20% - Accent2 2 3 7" xfId="25652" xr:uid="{00000000-0005-0000-0000-00000B0C0000}"/>
    <cellStyle name="20% - Accent2 2 3 7 2" xfId="25646" xr:uid="{00000000-0005-0000-0000-00000C0C0000}"/>
    <cellStyle name="20% - Accent2 2 3 7 2 2" xfId="19956" xr:uid="{00000000-0005-0000-0000-00000D0C0000}"/>
    <cellStyle name="20% - Accent2 2 3 7 3" xfId="16287" xr:uid="{00000000-0005-0000-0000-00000E0C0000}"/>
    <cellStyle name="20% - Accent2 2 3 8" xfId="25642" xr:uid="{00000000-0005-0000-0000-00000F0C0000}"/>
    <cellStyle name="20% - Accent2 2 3 8 2" xfId="34373" xr:uid="{00000000-0005-0000-0000-0000100C0000}"/>
    <cellStyle name="20% - Accent2 2 3 9" xfId="25966" xr:uid="{00000000-0005-0000-0000-0000110C0000}"/>
    <cellStyle name="20% - Accent2 2 4" xfId="23045" xr:uid="{00000000-0005-0000-0000-0000120C0000}"/>
    <cellStyle name="20% - Accent2 2 4 2" xfId="29902" xr:uid="{00000000-0005-0000-0000-0000130C0000}"/>
    <cellStyle name="20% - Accent2 2 4 2 2" xfId="32424" xr:uid="{00000000-0005-0000-0000-0000140C0000}"/>
    <cellStyle name="20% - Accent2 2 4 2 2 2" xfId="29898" xr:uid="{00000000-0005-0000-0000-0000150C0000}"/>
    <cellStyle name="20% - Accent2 2 4 2 2 2 2" xfId="26774" xr:uid="{00000000-0005-0000-0000-0000160C0000}"/>
    <cellStyle name="20% - Accent2 2 4 2 2 2 2 2" xfId="5914" xr:uid="{00000000-0005-0000-0000-0000170C0000}"/>
    <cellStyle name="20% - Accent2 2 4 2 2 2 2 2 2" xfId="29893" xr:uid="{00000000-0005-0000-0000-0000180C0000}"/>
    <cellStyle name="20% - Accent2 2 4 2 2 2 2 2 2 2" xfId="17708" xr:uid="{00000000-0005-0000-0000-0000190C0000}"/>
    <cellStyle name="20% - Accent2 2 4 2 2 2 2 2 3" xfId="26012" xr:uid="{00000000-0005-0000-0000-00001A0C0000}"/>
    <cellStyle name="20% - Accent2 2 4 2 2 2 2 3" xfId="19818" xr:uid="{00000000-0005-0000-0000-00001B0C0000}"/>
    <cellStyle name="20% - Accent2 2 4 2 2 2 2 3 2" xfId="28294" xr:uid="{00000000-0005-0000-0000-00001C0C0000}"/>
    <cellStyle name="20% - Accent2 2 4 2 2 2 2 4" xfId="21914" xr:uid="{00000000-0005-0000-0000-00001D0C0000}"/>
    <cellStyle name="20% - Accent2 2 4 2 2 2 3" xfId="29879" xr:uid="{00000000-0005-0000-0000-00001E0C0000}"/>
    <cellStyle name="20% - Accent2 2 4 2 2 2 3 2" xfId="22310" xr:uid="{00000000-0005-0000-0000-00001F0C0000}"/>
    <cellStyle name="20% - Accent2 2 4 2 2 2 3 2 2" xfId="29871" xr:uid="{00000000-0005-0000-0000-0000200C0000}"/>
    <cellStyle name="20% - Accent2 2 4 2 2 2 3 3" xfId="19802" xr:uid="{00000000-0005-0000-0000-0000210C0000}"/>
    <cellStyle name="20% - Accent2 2 4 2 2 2 4" xfId="29246" xr:uid="{00000000-0005-0000-0000-0000220C0000}"/>
    <cellStyle name="20% - Accent2 2 4 2 2 2 4 2" xfId="19799" xr:uid="{00000000-0005-0000-0000-0000230C0000}"/>
    <cellStyle name="20% - Accent2 2 4 2 2 2 5" xfId="29850" xr:uid="{00000000-0005-0000-0000-0000240C0000}"/>
    <cellStyle name="20% - Accent2 2 4 2 2 3" xfId="29845" xr:uid="{00000000-0005-0000-0000-0000250C0000}"/>
    <cellStyle name="20% - Accent2 2 4 2 2 3 2" xfId="29842" xr:uid="{00000000-0005-0000-0000-0000260C0000}"/>
    <cellStyle name="20% - Accent2 2 4 2 2 3 2 2" xfId="26895" xr:uid="{00000000-0005-0000-0000-0000270C0000}"/>
    <cellStyle name="20% - Accent2 2 4 2 2 3 2 2 2" xfId="29836" xr:uid="{00000000-0005-0000-0000-0000280C0000}"/>
    <cellStyle name="20% - Accent2 2 4 2 2 3 2 3" xfId="19760" xr:uid="{00000000-0005-0000-0000-0000290C0000}"/>
    <cellStyle name="20% - Accent2 2 4 2 2 3 3" xfId="19766" xr:uid="{00000000-0005-0000-0000-00002A0C0000}"/>
    <cellStyle name="20% - Accent2 2 4 2 2 3 3 2" xfId="19758" xr:uid="{00000000-0005-0000-0000-00002B0C0000}"/>
    <cellStyle name="20% - Accent2 2 4 2 2 3 4" xfId="29830" xr:uid="{00000000-0005-0000-0000-00002C0C0000}"/>
    <cellStyle name="20% - Accent2 2 4 2 2 4" xfId="31282" xr:uid="{00000000-0005-0000-0000-00002D0C0000}"/>
    <cellStyle name="20% - Accent2 2 4 2 2 4 2" xfId="26759" xr:uid="{00000000-0005-0000-0000-00002E0C0000}"/>
    <cellStyle name="20% - Accent2 2 4 2 2 4 2 2" xfId="19407" xr:uid="{00000000-0005-0000-0000-00002F0C0000}"/>
    <cellStyle name="20% - Accent2 2 4 2 2 4 3" xfId="20262" xr:uid="{00000000-0005-0000-0000-0000300C0000}"/>
    <cellStyle name="20% - Accent2 2 4 2 2 5" xfId="19755" xr:uid="{00000000-0005-0000-0000-0000310C0000}"/>
    <cellStyle name="20% - Accent2 2 4 2 2 5 2" xfId="27638" xr:uid="{00000000-0005-0000-0000-0000320C0000}"/>
    <cellStyle name="20% - Accent2 2 4 2 2 6" xfId="19748" xr:uid="{00000000-0005-0000-0000-0000330C0000}"/>
    <cellStyle name="20% - Accent2 2 4 2 3" xfId="32137" xr:uid="{00000000-0005-0000-0000-0000340C0000}"/>
    <cellStyle name="20% - Accent2 2 4 2 3 2" xfId="29800" xr:uid="{00000000-0005-0000-0000-0000350C0000}"/>
    <cellStyle name="20% - Accent2 2 4 2 3 2 2" xfId="26683" xr:uid="{00000000-0005-0000-0000-0000360C0000}"/>
    <cellStyle name="20% - Accent2 2 4 2 3 2 2 2" xfId="19599" xr:uid="{00000000-0005-0000-0000-0000370C0000}"/>
    <cellStyle name="20% - Accent2 2 4 2 3 2 2 2 2" xfId="24835" xr:uid="{00000000-0005-0000-0000-0000380C0000}"/>
    <cellStyle name="20% - Accent2 2 4 2 3 2 2 3" xfId="27176" xr:uid="{00000000-0005-0000-0000-0000390C0000}"/>
    <cellStyle name="20% - Accent2 2 4 2 3 2 3" xfId="22516" xr:uid="{00000000-0005-0000-0000-00003A0C0000}"/>
    <cellStyle name="20% - Accent2 2 4 2 3 2 3 2" xfId="19592" xr:uid="{00000000-0005-0000-0000-00003B0C0000}"/>
    <cellStyle name="20% - Accent2 2 4 2 3 2 4" xfId="29792" xr:uid="{00000000-0005-0000-0000-00003C0C0000}"/>
    <cellStyle name="20% - Accent2 2 4 2 3 3" xfId="17217" xr:uid="{00000000-0005-0000-0000-00003D0C0000}"/>
    <cellStyle name="20% - Accent2 2 4 2 3 3 2" xfId="26674" xr:uid="{00000000-0005-0000-0000-00003E0C0000}"/>
    <cellStyle name="20% - Accent2 2 4 2 3 3 2 2" xfId="19577" xr:uid="{00000000-0005-0000-0000-00003F0C0000}"/>
    <cellStyle name="20% - Accent2 2 4 2 3 3 3" xfId="29786" xr:uid="{00000000-0005-0000-0000-0000400C0000}"/>
    <cellStyle name="20% - Accent2 2 4 2 3 4" xfId="29784" xr:uid="{00000000-0005-0000-0000-0000410C0000}"/>
    <cellStyle name="20% - Accent2 2 4 2 3 4 2" xfId="31981" xr:uid="{00000000-0005-0000-0000-0000420C0000}"/>
    <cellStyle name="20% - Accent2 2 4 2 3 5" xfId="19738" xr:uid="{00000000-0005-0000-0000-0000430C0000}"/>
    <cellStyle name="20% - Accent2 2 4 2 4" xfId="20595" xr:uid="{00000000-0005-0000-0000-0000440C0000}"/>
    <cellStyle name="20% - Accent2 2 4 2 4 2" xfId="29779" xr:uid="{00000000-0005-0000-0000-0000450C0000}"/>
    <cellStyle name="20% - Accent2 2 4 2 4 2 2" xfId="25842" xr:uid="{00000000-0005-0000-0000-0000460C0000}"/>
    <cellStyle name="20% - Accent2 2 4 2 4 2 2 2" xfId="19509" xr:uid="{00000000-0005-0000-0000-0000470C0000}"/>
    <cellStyle name="20% - Accent2 2 4 2 4 2 3" xfId="29777" xr:uid="{00000000-0005-0000-0000-0000480C0000}"/>
    <cellStyle name="20% - Accent2 2 4 2 4 3" xfId="29775" xr:uid="{00000000-0005-0000-0000-0000490C0000}"/>
    <cellStyle name="20% - Accent2 2 4 2 4 3 2" xfId="29769" xr:uid="{00000000-0005-0000-0000-00004A0C0000}"/>
    <cellStyle name="20% - Accent2 2 4 2 4 4" xfId="29766" xr:uid="{00000000-0005-0000-0000-00004B0C0000}"/>
    <cellStyle name="20% - Accent2 2 4 2 5" xfId="30073" xr:uid="{00000000-0005-0000-0000-00004C0C0000}"/>
    <cellStyle name="20% - Accent2 2 4 2 5 2" xfId="29761" xr:uid="{00000000-0005-0000-0000-00004D0C0000}"/>
    <cellStyle name="20% - Accent2 2 4 2 5 2 2" xfId="29755" xr:uid="{00000000-0005-0000-0000-00004E0C0000}"/>
    <cellStyle name="20% - Accent2 2 4 2 5 3" xfId="29752" xr:uid="{00000000-0005-0000-0000-00004F0C0000}"/>
    <cellStyle name="20% - Accent2 2 4 2 6" xfId="30064" xr:uid="{00000000-0005-0000-0000-0000500C0000}"/>
    <cellStyle name="20% - Accent2 2 4 2 6 2" xfId="29746" xr:uid="{00000000-0005-0000-0000-0000510C0000}"/>
    <cellStyle name="20% - Accent2 2 4 2 7" xfId="29743" xr:uid="{00000000-0005-0000-0000-0000520C0000}"/>
    <cellStyle name="20% - Accent2 2 4 3" xfId="28926" xr:uid="{00000000-0005-0000-0000-0000530C0000}"/>
    <cellStyle name="20% - Accent2 2 4 3 2" xfId="33828" xr:uid="{00000000-0005-0000-0000-0000540C0000}"/>
    <cellStyle name="20% - Accent2 2 4 3 2 2" xfId="29738" xr:uid="{00000000-0005-0000-0000-0000550C0000}"/>
    <cellStyle name="20% - Accent2 2 4 3 2 2 2" xfId="29725" xr:uid="{00000000-0005-0000-0000-0000560C0000}"/>
    <cellStyle name="20% - Accent2 2 4 3 2 2 2 2" xfId="19339" xr:uid="{00000000-0005-0000-0000-0000570C0000}"/>
    <cellStyle name="20% - Accent2 2 4 3 2 2 2 2 2" xfId="29718" xr:uid="{00000000-0005-0000-0000-0000580C0000}"/>
    <cellStyle name="20% - Accent2 2 4 3 2 2 2 3" xfId="19335" xr:uid="{00000000-0005-0000-0000-0000590C0000}"/>
    <cellStyle name="20% - Accent2 2 4 3 2 2 3" xfId="11296" xr:uid="{00000000-0005-0000-0000-00005A0C0000}"/>
    <cellStyle name="20% - Accent2 2 4 3 2 2 3 2" xfId="20181" xr:uid="{00000000-0005-0000-0000-00005B0C0000}"/>
    <cellStyle name="20% - Accent2 2 4 3 2 2 4" xfId="5581" xr:uid="{00000000-0005-0000-0000-00005C0C0000}"/>
    <cellStyle name="20% - Accent2 2 4 3 2 3" xfId="29705" xr:uid="{00000000-0005-0000-0000-00005D0C0000}"/>
    <cellStyle name="20% - Accent2 2 4 3 2 3 2" xfId="11291" xr:uid="{00000000-0005-0000-0000-00005E0C0000}"/>
    <cellStyle name="20% - Accent2 2 4 3 2 3 2 2" xfId="27580" xr:uid="{00000000-0005-0000-0000-00005F0C0000}"/>
    <cellStyle name="20% - Accent2 2 4 3 2 3 3" xfId="20336" xr:uid="{00000000-0005-0000-0000-0000600C0000}"/>
    <cellStyle name="20% - Accent2 2 4 3 2 4" xfId="27023" xr:uid="{00000000-0005-0000-0000-0000610C0000}"/>
    <cellStyle name="20% - Accent2 2 4 3 2 4 2" xfId="20326" xr:uid="{00000000-0005-0000-0000-0000620C0000}"/>
    <cellStyle name="20% - Accent2 2 4 3 2 5" xfId="19730" xr:uid="{00000000-0005-0000-0000-0000630C0000}"/>
    <cellStyle name="20% - Accent2 2 4 3 3" xfId="20591" xr:uid="{00000000-0005-0000-0000-0000640C0000}"/>
    <cellStyle name="20% - Accent2 2 4 3 3 2" xfId="29679" xr:uid="{00000000-0005-0000-0000-0000650C0000}"/>
    <cellStyle name="20% - Accent2 2 4 3 3 2 2" xfId="11277" xr:uid="{00000000-0005-0000-0000-0000660C0000}"/>
    <cellStyle name="20% - Accent2 2 4 3 3 2 2 2" xfId="19277" xr:uid="{00000000-0005-0000-0000-0000670C0000}"/>
    <cellStyle name="20% - Accent2 2 4 3 3 2 3" xfId="29674" xr:uid="{00000000-0005-0000-0000-0000680C0000}"/>
    <cellStyle name="20% - Accent2 2 4 3 3 3" xfId="27013" xr:uid="{00000000-0005-0000-0000-0000690C0000}"/>
    <cellStyle name="20% - Accent2 2 4 3 3 3 2" xfId="28804" xr:uid="{00000000-0005-0000-0000-00006A0C0000}"/>
    <cellStyle name="20% - Accent2 2 4 3 3 4" xfId="29505" xr:uid="{00000000-0005-0000-0000-00006B0C0000}"/>
    <cellStyle name="20% - Accent2 2 4 3 4" xfId="30053" xr:uid="{00000000-0005-0000-0000-00006C0C0000}"/>
    <cellStyle name="20% - Accent2 2 4 3 4 2" xfId="28436" xr:uid="{00000000-0005-0000-0000-00006D0C0000}"/>
    <cellStyle name="20% - Accent2 2 4 3 4 2 2" xfId="29657" xr:uid="{00000000-0005-0000-0000-00006E0C0000}"/>
    <cellStyle name="20% - Accent2 2 4 3 4 3" xfId="30551" xr:uid="{00000000-0005-0000-0000-00006F0C0000}"/>
    <cellStyle name="20% - Accent2 2 4 3 5" xfId="30048" xr:uid="{00000000-0005-0000-0000-0000700C0000}"/>
    <cellStyle name="20% - Accent2 2 4 3 5 2" xfId="30538" xr:uid="{00000000-0005-0000-0000-0000710C0000}"/>
    <cellStyle name="20% - Accent2 2 4 3 6" xfId="29652" xr:uid="{00000000-0005-0000-0000-0000720C0000}"/>
    <cellStyle name="20% - Accent2 2 4 4" xfId="21366" xr:uid="{00000000-0005-0000-0000-0000730C0000}"/>
    <cellStyle name="20% - Accent2 2 4 4 2" xfId="32519" xr:uid="{00000000-0005-0000-0000-0000740C0000}"/>
    <cellStyle name="20% - Accent2 2 4 4 2 2" xfId="29644" xr:uid="{00000000-0005-0000-0000-0000750C0000}"/>
    <cellStyle name="20% - Accent2 2 4 4 2 2 2" xfId="11232" xr:uid="{00000000-0005-0000-0000-0000760C0000}"/>
    <cellStyle name="20% - Accent2 2 4 4 2 2 2 2" xfId="20303" xr:uid="{00000000-0005-0000-0000-0000770C0000}"/>
    <cellStyle name="20% - Accent2 2 4 4 2 2 3" xfId="29640" xr:uid="{00000000-0005-0000-0000-0000780C0000}"/>
    <cellStyle name="20% - Accent2 2 4 4 2 3" xfId="29634" xr:uid="{00000000-0005-0000-0000-0000790C0000}"/>
    <cellStyle name="20% - Accent2 2 4 4 2 3 2" xfId="29631" xr:uid="{00000000-0005-0000-0000-00007A0C0000}"/>
    <cellStyle name="20% - Accent2 2 4 4 2 4" xfId="29882" xr:uid="{00000000-0005-0000-0000-00007B0C0000}"/>
    <cellStyle name="20% - Accent2 2 4 4 3" xfId="33336" xr:uid="{00000000-0005-0000-0000-00007C0C0000}"/>
    <cellStyle name="20% - Accent2 2 4 4 3 2" xfId="29622" xr:uid="{00000000-0005-0000-0000-00007D0C0000}"/>
    <cellStyle name="20% - Accent2 2 4 4 3 2 2" xfId="24890" xr:uid="{00000000-0005-0000-0000-00007E0C0000}"/>
    <cellStyle name="20% - Accent2 2 4 4 3 3" xfId="29617" xr:uid="{00000000-0005-0000-0000-00007F0C0000}"/>
    <cellStyle name="20% - Accent2 2 4 4 4" xfId="32783" xr:uid="{00000000-0005-0000-0000-0000800C0000}"/>
    <cellStyle name="20% - Accent2 2 4 4 4 2" xfId="30533" xr:uid="{00000000-0005-0000-0000-0000810C0000}"/>
    <cellStyle name="20% - Accent2 2 4 4 5" xfId="32173" xr:uid="{00000000-0005-0000-0000-0000820C0000}"/>
    <cellStyle name="20% - Accent2 2 4 5" xfId="13425" xr:uid="{00000000-0005-0000-0000-0000830C0000}"/>
    <cellStyle name="20% - Accent2 2 4 5 2" xfId="29609" xr:uid="{00000000-0005-0000-0000-0000840C0000}"/>
    <cellStyle name="20% - Accent2 2 4 5 2 2" xfId="25739" xr:uid="{00000000-0005-0000-0000-0000850C0000}"/>
    <cellStyle name="20% - Accent2 2 4 5 2 2 2" xfId="24354" xr:uid="{00000000-0005-0000-0000-0000860C0000}"/>
    <cellStyle name="20% - Accent2 2 4 5 2 3" xfId="29601" xr:uid="{00000000-0005-0000-0000-0000870C0000}"/>
    <cellStyle name="20% - Accent2 2 4 5 3" xfId="13040" xr:uid="{00000000-0005-0000-0000-0000880C0000}"/>
    <cellStyle name="20% - Accent2 2 4 5 3 2" xfId="29599" xr:uid="{00000000-0005-0000-0000-0000890C0000}"/>
    <cellStyle name="20% - Accent2 2 4 5 4" xfId="32759" xr:uid="{00000000-0005-0000-0000-00008A0C0000}"/>
    <cellStyle name="20% - Accent2 2 4 6" xfId="28857" xr:uid="{00000000-0005-0000-0000-00008B0C0000}"/>
    <cellStyle name="20% - Accent2 2 4 6 2" xfId="29591" xr:uid="{00000000-0005-0000-0000-00008C0C0000}"/>
    <cellStyle name="20% - Accent2 2 4 6 2 2" xfId="29589" xr:uid="{00000000-0005-0000-0000-00008D0C0000}"/>
    <cellStyle name="20% - Accent2 2 4 6 3" xfId="23261" xr:uid="{00000000-0005-0000-0000-00008E0C0000}"/>
    <cellStyle name="20% - Accent2 2 4 7" xfId="25627" xr:uid="{00000000-0005-0000-0000-00008F0C0000}"/>
    <cellStyle name="20% - Accent2 2 4 7 2" xfId="29584" xr:uid="{00000000-0005-0000-0000-0000900C0000}"/>
    <cellStyle name="20% - Accent2 2 4 8" xfId="11014" xr:uid="{00000000-0005-0000-0000-0000910C0000}"/>
    <cellStyle name="20% - Accent2 2 4 9" xfId="34755" xr:uid="{00000000-0005-0000-0000-0000920C0000}"/>
    <cellStyle name="20% - Accent2 2 5" xfId="17174" xr:uid="{00000000-0005-0000-0000-0000930C0000}"/>
    <cellStyle name="20% - Accent2 2 5 2" xfId="13913" xr:uid="{00000000-0005-0000-0000-0000940C0000}"/>
    <cellStyle name="20% - Accent2 2 5 2 2" xfId="25212" xr:uid="{00000000-0005-0000-0000-0000950C0000}"/>
    <cellStyle name="20% - Accent2 2 5 2 2 2" xfId="29558" xr:uid="{00000000-0005-0000-0000-0000960C0000}"/>
    <cellStyle name="20% - Accent2 2 5 2 2 2 2" xfId="29548" xr:uid="{00000000-0005-0000-0000-0000970C0000}"/>
    <cellStyle name="20% - Accent2 2 5 2 2 2 2 2" xfId="18894" xr:uid="{00000000-0005-0000-0000-0000980C0000}"/>
    <cellStyle name="20% - Accent2 2 5 2 2 2 2 2 2" xfId="29736" xr:uid="{00000000-0005-0000-0000-0000990C0000}"/>
    <cellStyle name="20% - Accent2 2 5 2 2 2 2 3" xfId="26143" xr:uid="{00000000-0005-0000-0000-00009A0C0000}"/>
    <cellStyle name="20% - Accent2 2 5 2 2 2 3" xfId="29536" xr:uid="{00000000-0005-0000-0000-00009B0C0000}"/>
    <cellStyle name="20% - Accent2 2 5 2 2 2 3 2" xfId="20578" xr:uid="{00000000-0005-0000-0000-00009C0C0000}"/>
    <cellStyle name="20% - Accent2 2 5 2 2 2 4" xfId="29571" xr:uid="{00000000-0005-0000-0000-00009D0C0000}"/>
    <cellStyle name="20% - Accent2 2 5 2 2 3" xfId="31481" xr:uid="{00000000-0005-0000-0000-00009E0C0000}"/>
    <cellStyle name="20% - Accent2 2 5 2 2 3 2" xfId="18474" xr:uid="{00000000-0005-0000-0000-00009F0C0000}"/>
    <cellStyle name="20% - Accent2 2 5 2 2 3 2 2" xfId="18875" xr:uid="{00000000-0005-0000-0000-0000A00C0000}"/>
    <cellStyle name="20% - Accent2 2 5 2 2 3 3" xfId="24534" xr:uid="{00000000-0005-0000-0000-0000A10C0000}"/>
    <cellStyle name="20% - Accent2 2 5 2 2 4" xfId="31474" xr:uid="{00000000-0005-0000-0000-0000A20C0000}"/>
    <cellStyle name="20% - Accent2 2 5 2 2 4 2" xfId="18468" xr:uid="{00000000-0005-0000-0000-0000A30C0000}"/>
    <cellStyle name="20% - Accent2 2 5 2 2 5" xfId="19709" xr:uid="{00000000-0005-0000-0000-0000A40C0000}"/>
    <cellStyle name="20% - Accent2 2 5 2 3" xfId="8396" xr:uid="{00000000-0005-0000-0000-0000A50C0000}"/>
    <cellStyle name="20% - Accent2 2 5 2 3 2" xfId="30989" xr:uid="{00000000-0005-0000-0000-0000A60C0000}"/>
    <cellStyle name="20% - Accent2 2 5 2 3 2 2" xfId="28015" xr:uid="{00000000-0005-0000-0000-0000A70C0000}"/>
    <cellStyle name="20% - Accent2 2 5 2 3 2 2 2" xfId="18787" xr:uid="{00000000-0005-0000-0000-0000A80C0000}"/>
    <cellStyle name="20% - Accent2 2 5 2 3 2 3" xfId="28006" xr:uid="{00000000-0005-0000-0000-0000A90C0000}"/>
    <cellStyle name="20% - Accent2 2 5 2 3 3" xfId="31462" xr:uid="{00000000-0005-0000-0000-0000AA0C0000}"/>
    <cellStyle name="20% - Accent2 2 5 2 3 3 2" xfId="18458" xr:uid="{00000000-0005-0000-0000-0000AB0C0000}"/>
    <cellStyle name="20% - Accent2 2 5 2 3 4" xfId="28416" xr:uid="{00000000-0005-0000-0000-0000AC0C0000}"/>
    <cellStyle name="20% - Accent2 2 5 2 4" xfId="30041" xr:uid="{00000000-0005-0000-0000-0000AD0C0000}"/>
    <cellStyle name="20% - Accent2 2 5 2 4 2" xfId="30956" xr:uid="{00000000-0005-0000-0000-0000AE0C0000}"/>
    <cellStyle name="20% - Accent2 2 5 2 4 2 2" xfId="27975" xr:uid="{00000000-0005-0000-0000-0000AF0C0000}"/>
    <cellStyle name="20% - Accent2 2 5 2 4 3" xfId="29503" xr:uid="{00000000-0005-0000-0000-0000B00C0000}"/>
    <cellStyle name="20% - Accent2 2 5 2 5" xfId="30025" xr:uid="{00000000-0005-0000-0000-0000B10C0000}"/>
    <cellStyle name="20% - Accent2 2 5 2 5 2" xfId="22799" xr:uid="{00000000-0005-0000-0000-0000B20C0000}"/>
    <cellStyle name="20% - Accent2 2 5 2 6" xfId="29475" xr:uid="{00000000-0005-0000-0000-0000B30C0000}"/>
    <cellStyle name="20% - Accent2 2 5 3" xfId="27874" xr:uid="{00000000-0005-0000-0000-0000B40C0000}"/>
    <cellStyle name="20% - Accent2 2 5 3 2" xfId="8393" xr:uid="{00000000-0005-0000-0000-0000B50C0000}"/>
    <cellStyle name="20% - Accent2 2 5 3 2 2" xfId="29162" xr:uid="{00000000-0005-0000-0000-0000B60C0000}"/>
    <cellStyle name="20% - Accent2 2 5 3 2 2 2" xfId="11282" xr:uid="{00000000-0005-0000-0000-0000B70C0000}"/>
    <cellStyle name="20% - Accent2 2 5 3 2 2 2 2" xfId="18668" xr:uid="{00000000-0005-0000-0000-0000B80C0000}"/>
    <cellStyle name="20% - Accent2 2 5 3 2 2 3" xfId="11272" xr:uid="{00000000-0005-0000-0000-0000B90C0000}"/>
    <cellStyle name="20% - Accent2 2 5 3 2 3" xfId="26962" xr:uid="{00000000-0005-0000-0000-0000BA0C0000}"/>
    <cellStyle name="20% - Accent2 2 5 3 2 3 2" xfId="13235" xr:uid="{00000000-0005-0000-0000-0000BB0C0000}"/>
    <cellStyle name="20% - Accent2 2 5 3 2 4" xfId="26046" xr:uid="{00000000-0005-0000-0000-0000BC0C0000}"/>
    <cellStyle name="20% - Accent2 2 5 3 3" xfId="29448" xr:uid="{00000000-0005-0000-0000-0000BD0C0000}"/>
    <cellStyle name="20% - Accent2 2 5 3 3 2" xfId="29579" xr:uid="{00000000-0005-0000-0000-0000BE0C0000}"/>
    <cellStyle name="20% - Accent2 2 5 3 3 2 2" xfId="27879" xr:uid="{00000000-0005-0000-0000-0000BF0C0000}"/>
    <cellStyle name="20% - Accent2 2 5 3 3 3" xfId="29428" xr:uid="{00000000-0005-0000-0000-0000C00C0000}"/>
    <cellStyle name="20% - Accent2 2 5 3 4" xfId="28026" xr:uid="{00000000-0005-0000-0000-0000C10C0000}"/>
    <cellStyle name="20% - Accent2 2 5 3 4 2" xfId="30173" xr:uid="{00000000-0005-0000-0000-0000C20C0000}"/>
    <cellStyle name="20% - Accent2 2 5 3 5" xfId="29419" xr:uid="{00000000-0005-0000-0000-0000C30C0000}"/>
    <cellStyle name="20% - Accent2 2 5 4" xfId="26548" xr:uid="{00000000-0005-0000-0000-0000C40C0000}"/>
    <cellStyle name="20% - Accent2 2 5 4 2" xfId="29409" xr:uid="{00000000-0005-0000-0000-0000C50C0000}"/>
    <cellStyle name="20% - Accent2 2 5 4 2 2" xfId="30876" xr:uid="{00000000-0005-0000-0000-0000C60C0000}"/>
    <cellStyle name="20% - Accent2 2 5 4 2 2 2" xfId="10756" xr:uid="{00000000-0005-0000-0000-0000C70C0000}"/>
    <cellStyle name="20% - Accent2 2 5 4 2 3" xfId="27163" xr:uid="{00000000-0005-0000-0000-0000C80C0000}"/>
    <cellStyle name="20% - Accent2 2 5 4 3" xfId="23247" xr:uid="{00000000-0005-0000-0000-0000C90C0000}"/>
    <cellStyle name="20% - Accent2 2 5 4 3 2" xfId="30190" xr:uid="{00000000-0005-0000-0000-0000CA0C0000}"/>
    <cellStyle name="20% - Accent2 2 5 4 4" xfId="23239" xr:uid="{00000000-0005-0000-0000-0000CB0C0000}"/>
    <cellStyle name="20% - Accent2 2 5 5" xfId="13422" xr:uid="{00000000-0005-0000-0000-0000CC0C0000}"/>
    <cellStyle name="20% - Accent2 2 5 5 2" xfId="23741" xr:uid="{00000000-0005-0000-0000-0000CD0C0000}"/>
    <cellStyle name="20% - Accent2 2 5 5 2 2" xfId="29389" xr:uid="{00000000-0005-0000-0000-0000CE0C0000}"/>
    <cellStyle name="20% - Accent2 2 5 5 3" xfId="23231" xr:uid="{00000000-0005-0000-0000-0000CF0C0000}"/>
    <cellStyle name="20% - Accent2 2 5 6" xfId="33188" xr:uid="{00000000-0005-0000-0000-0000D00C0000}"/>
    <cellStyle name="20% - Accent2 2 5 6 2" xfId="30345" xr:uid="{00000000-0005-0000-0000-0000D10C0000}"/>
    <cellStyle name="20% - Accent2 2 5 7" xfId="29383" xr:uid="{00000000-0005-0000-0000-0000D20C0000}"/>
    <cellStyle name="20% - Accent2 2 5 8" xfId="34945" xr:uid="{00000000-0005-0000-0000-0000D30C0000}"/>
    <cellStyle name="20% - Accent2 2 6" xfId="29426" xr:uid="{00000000-0005-0000-0000-0000D40C0000}"/>
    <cellStyle name="20% - Accent2 2 6 2" xfId="18926" xr:uid="{00000000-0005-0000-0000-0000D50C0000}"/>
    <cellStyle name="20% - Accent2 2 6 2 2" xfId="30706" xr:uid="{00000000-0005-0000-0000-0000D60C0000}"/>
    <cellStyle name="20% - Accent2 2 6 2 2 2" xfId="24538" xr:uid="{00000000-0005-0000-0000-0000D70C0000}"/>
    <cellStyle name="20% - Accent2 2 6 2 2 2 2" xfId="29372" xr:uid="{00000000-0005-0000-0000-0000D80C0000}"/>
    <cellStyle name="20% - Accent2 2 6 2 2 2 2 2" xfId="18705" xr:uid="{00000000-0005-0000-0000-0000D90C0000}"/>
    <cellStyle name="20% - Accent2 2 6 2 2 2 3" xfId="29363" xr:uid="{00000000-0005-0000-0000-0000DA0C0000}"/>
    <cellStyle name="20% - Accent2 2 6 2 2 3" xfId="31264" xr:uid="{00000000-0005-0000-0000-0000DB0C0000}"/>
    <cellStyle name="20% - Accent2 2 6 2 2 3 2" xfId="19425" xr:uid="{00000000-0005-0000-0000-0000DC0C0000}"/>
    <cellStyle name="20% - Accent2 2 6 2 2 4" xfId="29353" xr:uid="{00000000-0005-0000-0000-0000DD0C0000}"/>
    <cellStyle name="20% - Accent2 2 6 2 3" xfId="31605" xr:uid="{00000000-0005-0000-0000-0000DE0C0000}"/>
    <cellStyle name="20% - Accent2 2 6 2 3 2" xfId="24525" xr:uid="{00000000-0005-0000-0000-0000DF0C0000}"/>
    <cellStyle name="20% - Accent2 2 6 2 3 2 2" xfId="30893" xr:uid="{00000000-0005-0000-0000-0000E00C0000}"/>
    <cellStyle name="20% - Accent2 2 6 2 3 3" xfId="29342" xr:uid="{00000000-0005-0000-0000-0000E10C0000}"/>
    <cellStyle name="20% - Accent2 2 6 2 4" xfId="30007" xr:uid="{00000000-0005-0000-0000-0000E20C0000}"/>
    <cellStyle name="20% - Accent2 2 6 2 4 2" xfId="29328" xr:uid="{00000000-0005-0000-0000-0000E30C0000}"/>
    <cellStyle name="20% - Accent2 2 6 2 5" xfId="29314" xr:uid="{00000000-0005-0000-0000-0000E40C0000}"/>
    <cellStyle name="20% - Accent2 2 6 3" xfId="18917" xr:uid="{00000000-0005-0000-0000-0000E50C0000}"/>
    <cellStyle name="20% - Accent2 2 6 3 2" xfId="30216" xr:uid="{00000000-0005-0000-0000-0000E60C0000}"/>
    <cellStyle name="20% - Accent2 2 6 3 2 2" xfId="24518" xr:uid="{00000000-0005-0000-0000-0000E70C0000}"/>
    <cellStyle name="20% - Accent2 2 6 3 2 2 2" xfId="10049" xr:uid="{00000000-0005-0000-0000-0000E80C0000}"/>
    <cellStyle name="20% - Accent2 2 6 3 2 3" xfId="29288" xr:uid="{00000000-0005-0000-0000-0000E90C0000}"/>
    <cellStyle name="20% - Accent2 2 6 3 3" xfId="30205" xr:uid="{00000000-0005-0000-0000-0000EA0C0000}"/>
    <cellStyle name="20% - Accent2 2 6 3 3 2" xfId="29278" xr:uid="{00000000-0005-0000-0000-0000EB0C0000}"/>
    <cellStyle name="20% - Accent2 2 6 3 4" xfId="30409" xr:uid="{00000000-0005-0000-0000-0000EC0C0000}"/>
    <cellStyle name="20% - Accent2 2 6 4" xfId="17983" xr:uid="{00000000-0005-0000-0000-0000ED0C0000}"/>
    <cellStyle name="20% - Accent2 2 6 4 2" xfId="20558" xr:uid="{00000000-0005-0000-0000-0000EE0C0000}"/>
    <cellStyle name="20% - Accent2 2 6 4 2 2" xfId="29258" xr:uid="{00000000-0005-0000-0000-0000EF0C0000}"/>
    <cellStyle name="20% - Accent2 2 6 4 3" xfId="23215" xr:uid="{00000000-0005-0000-0000-0000F00C0000}"/>
    <cellStyle name="20% - Accent2 2 6 5" xfId="28962" xr:uid="{00000000-0005-0000-0000-0000F10C0000}"/>
    <cellStyle name="20% - Accent2 2 6 5 2" xfId="30637" xr:uid="{00000000-0005-0000-0000-0000F20C0000}"/>
    <cellStyle name="20% - Accent2 2 6 6" xfId="27606" xr:uid="{00000000-0005-0000-0000-0000F30C0000}"/>
    <cellStyle name="20% - Accent2 2 6 7" xfId="35150" xr:uid="{00000000-0005-0000-0000-0000F40C0000}"/>
    <cellStyle name="20% - Accent2 2 7" xfId="28101" xr:uid="{00000000-0005-0000-0000-0000F50C0000}"/>
    <cellStyle name="20% - Accent2 2 7 2" xfId="18911" xr:uid="{00000000-0005-0000-0000-0000F60C0000}"/>
    <cellStyle name="20% - Accent2 2 7 2 2" xfId="26275" xr:uid="{00000000-0005-0000-0000-0000F70C0000}"/>
    <cellStyle name="20% - Accent2 2 7 2 2 2" xfId="24492" xr:uid="{00000000-0005-0000-0000-0000F80C0000}"/>
    <cellStyle name="20% - Accent2 2 7 2 2 2 2" xfId="18958" xr:uid="{00000000-0005-0000-0000-0000F90C0000}"/>
    <cellStyle name="20% - Accent2 2 7 2 2 3" xfId="32621" xr:uid="{00000000-0005-0000-0000-0000FA0C0000}"/>
    <cellStyle name="20% - Accent2 2 7 2 3" xfId="32643" xr:uid="{00000000-0005-0000-0000-0000FB0C0000}"/>
    <cellStyle name="20% - Accent2 2 7 2 3 2" xfId="24849" xr:uid="{00000000-0005-0000-0000-0000FC0C0000}"/>
    <cellStyle name="20% - Accent2 2 7 2 4" xfId="32158" xr:uid="{00000000-0005-0000-0000-0000FD0C0000}"/>
    <cellStyle name="20% - Accent2 2 7 3" xfId="17979" xr:uid="{00000000-0005-0000-0000-0000FE0C0000}"/>
    <cellStyle name="20% - Accent2 2 7 3 2" xfId="30748" xr:uid="{00000000-0005-0000-0000-0000FF0C0000}"/>
    <cellStyle name="20% - Accent2 2 7 3 2 2" xfId="15369" xr:uid="{00000000-0005-0000-0000-0000000D0000}"/>
    <cellStyle name="20% - Accent2 2 7 3 3" xfId="32607" xr:uid="{00000000-0005-0000-0000-0000010D0000}"/>
    <cellStyle name="20% - Accent2 2 7 4" xfId="28942" xr:uid="{00000000-0005-0000-0000-0000020D0000}"/>
    <cellStyle name="20% - Accent2 2 7 4 2" xfId="17842" xr:uid="{00000000-0005-0000-0000-0000030D0000}"/>
    <cellStyle name="20% - Accent2 2 7 5" xfId="11104" xr:uid="{00000000-0005-0000-0000-0000040D0000}"/>
    <cellStyle name="20% - Accent2 2 7 6" xfId="35379" xr:uid="{00000000-0005-0000-0000-0000050D0000}"/>
    <cellStyle name="20% - Accent2 2 8" xfId="25638" xr:uid="{00000000-0005-0000-0000-0000060D0000}"/>
    <cellStyle name="20% - Accent2 2 8 2" xfId="17975" xr:uid="{00000000-0005-0000-0000-0000070D0000}"/>
    <cellStyle name="20% - Accent2 2 8 2 2" xfId="30736" xr:uid="{00000000-0005-0000-0000-0000080D0000}"/>
    <cellStyle name="20% - Accent2 2 8 2 2 2" xfId="32514" xr:uid="{00000000-0005-0000-0000-0000090D0000}"/>
    <cellStyle name="20% - Accent2 2 8 2 3" xfId="31128" xr:uid="{00000000-0005-0000-0000-00000A0D0000}"/>
    <cellStyle name="20% - Accent2 2 8 3" xfId="29868" xr:uid="{00000000-0005-0000-0000-00000B0D0000}"/>
    <cellStyle name="20% - Accent2 2 8 3 2" xfId="30724" xr:uid="{00000000-0005-0000-0000-00000C0D0000}"/>
    <cellStyle name="20% - Accent2 2 8 4" xfId="29242" xr:uid="{00000000-0005-0000-0000-00000D0D0000}"/>
    <cellStyle name="20% - Accent2 2 8 5" xfId="36251" xr:uid="{00000000-0005-0000-0000-00000E0D0000}"/>
    <cellStyle name="20% - Accent2 2 9" xfId="29231" xr:uid="{00000000-0005-0000-0000-00000F0D0000}"/>
    <cellStyle name="20% - Accent2 2 9 2" xfId="22864" xr:uid="{00000000-0005-0000-0000-0000100D0000}"/>
    <cellStyle name="20% - Accent2 2 9 2 2" xfId="25185" xr:uid="{00000000-0005-0000-0000-0000110D0000}"/>
    <cellStyle name="20% - Accent2 2 9 3" xfId="21719" xr:uid="{00000000-0005-0000-0000-0000120D0000}"/>
    <cellStyle name="20% - Accent2 2 9 4" xfId="36537" xr:uid="{00000000-0005-0000-0000-0000130D0000}"/>
    <cellStyle name="20% - Accent2 20" xfId="35701" xr:uid="{00000000-0005-0000-0000-0000140D0000}"/>
    <cellStyle name="20% - Accent2 20 2" xfId="36870" xr:uid="{00000000-0005-0000-0000-0000150D0000}"/>
    <cellStyle name="20% - Accent2 20 3" xfId="37761" xr:uid="{00000000-0005-0000-0000-0000160D0000}"/>
    <cellStyle name="20% - Accent2 21" xfId="35720" xr:uid="{00000000-0005-0000-0000-0000170D0000}"/>
    <cellStyle name="20% - Accent2 21 2" xfId="36890" xr:uid="{00000000-0005-0000-0000-0000180D0000}"/>
    <cellStyle name="20% - Accent2 21 3" xfId="37781" xr:uid="{00000000-0005-0000-0000-0000190D0000}"/>
    <cellStyle name="20% - Accent2 22" xfId="35739" xr:uid="{00000000-0005-0000-0000-00001A0D0000}"/>
    <cellStyle name="20% - Accent2 22 2" xfId="36910" xr:uid="{00000000-0005-0000-0000-00001B0D0000}"/>
    <cellStyle name="20% - Accent2 22 3" xfId="37801" xr:uid="{00000000-0005-0000-0000-00001C0D0000}"/>
    <cellStyle name="20% - Accent2 23" xfId="35759" xr:uid="{00000000-0005-0000-0000-00001D0D0000}"/>
    <cellStyle name="20% - Accent2 23 2" xfId="36929" xr:uid="{00000000-0005-0000-0000-00001E0D0000}"/>
    <cellStyle name="20% - Accent2 23 3" xfId="37821" xr:uid="{00000000-0005-0000-0000-00001F0D0000}"/>
    <cellStyle name="20% - Accent2 24" xfId="35779" xr:uid="{00000000-0005-0000-0000-0000200D0000}"/>
    <cellStyle name="20% - Accent2 24 2" xfId="36948" xr:uid="{00000000-0005-0000-0000-0000210D0000}"/>
    <cellStyle name="20% - Accent2 24 3" xfId="37841" xr:uid="{00000000-0005-0000-0000-0000220D0000}"/>
    <cellStyle name="20% - Accent2 25" xfId="35798" xr:uid="{00000000-0005-0000-0000-0000230D0000}"/>
    <cellStyle name="20% - Accent2 25 2" xfId="36968" xr:uid="{00000000-0005-0000-0000-0000240D0000}"/>
    <cellStyle name="20% - Accent2 25 3" xfId="37861" xr:uid="{00000000-0005-0000-0000-0000250D0000}"/>
    <cellStyle name="20% - Accent2 26" xfId="35817" xr:uid="{00000000-0005-0000-0000-0000260D0000}"/>
    <cellStyle name="20% - Accent2 26 2" xfId="36988" xr:uid="{00000000-0005-0000-0000-0000270D0000}"/>
    <cellStyle name="20% - Accent2 26 3" xfId="37881" xr:uid="{00000000-0005-0000-0000-0000280D0000}"/>
    <cellStyle name="20% - Accent2 27" xfId="35836" xr:uid="{00000000-0005-0000-0000-0000290D0000}"/>
    <cellStyle name="20% - Accent2 27 2" xfId="37008" xr:uid="{00000000-0005-0000-0000-00002A0D0000}"/>
    <cellStyle name="20% - Accent2 27 3" xfId="37901" xr:uid="{00000000-0005-0000-0000-00002B0D0000}"/>
    <cellStyle name="20% - Accent2 28" xfId="35855" xr:uid="{00000000-0005-0000-0000-00002C0D0000}"/>
    <cellStyle name="20% - Accent2 28 2" xfId="37028" xr:uid="{00000000-0005-0000-0000-00002D0D0000}"/>
    <cellStyle name="20% - Accent2 28 3" xfId="37921" xr:uid="{00000000-0005-0000-0000-00002E0D0000}"/>
    <cellStyle name="20% - Accent2 29" xfId="35872" xr:uid="{00000000-0005-0000-0000-00002F0D0000}"/>
    <cellStyle name="20% - Accent2 29 2" xfId="37044" xr:uid="{00000000-0005-0000-0000-0000300D0000}"/>
    <cellStyle name="20% - Accent2 29 3" xfId="37938" xr:uid="{00000000-0005-0000-0000-0000310D0000}"/>
    <cellStyle name="20% - Accent2 3" xfId="101" xr:uid="{00000000-0005-0000-0000-0000320D0000}"/>
    <cellStyle name="20% - Accent2 3 10" xfId="27226" xr:uid="{00000000-0005-0000-0000-0000330D0000}"/>
    <cellStyle name="20% - Accent2 3 10 2" xfId="37441" xr:uid="{00000000-0005-0000-0000-0000340D0000}"/>
    <cellStyle name="20% - Accent2 3 11" xfId="34455" xr:uid="{00000000-0005-0000-0000-0000350D0000}"/>
    <cellStyle name="20% - Accent2 3 12" xfId="29211" xr:uid="{00000000-0005-0000-0000-0000360D0000}"/>
    <cellStyle name="20% - Accent2 3 2" xfId="162" xr:uid="{00000000-0005-0000-0000-0000370D0000}"/>
    <cellStyle name="20% - Accent2 3 2 10" xfId="34509" xr:uid="{00000000-0005-0000-0000-0000380D0000}"/>
    <cellStyle name="20% - Accent2 3 2 11" xfId="28532" xr:uid="{00000000-0005-0000-0000-0000390D0000}"/>
    <cellStyle name="20% - Accent2 3 2 2" xfId="33058" xr:uid="{00000000-0005-0000-0000-00003A0D0000}"/>
    <cellStyle name="20% - Accent2 3 2 2 2" xfId="30547" xr:uid="{00000000-0005-0000-0000-00003B0D0000}"/>
    <cellStyle name="20% - Accent2 3 2 2 2 2" xfId="22158" xr:uid="{00000000-0005-0000-0000-00003C0D0000}"/>
    <cellStyle name="20% - Accent2 3 2 2 2 2 2" xfId="29207" xr:uid="{00000000-0005-0000-0000-00003D0D0000}"/>
    <cellStyle name="20% - Accent2 3 2 2 2 2 2 2" xfId="11491" xr:uid="{00000000-0005-0000-0000-00003E0D0000}"/>
    <cellStyle name="20% - Accent2 3 2 2 2 2 2 2 2" xfId="23716" xr:uid="{00000000-0005-0000-0000-00003F0D0000}"/>
    <cellStyle name="20% - Accent2 3 2 2 2 2 2 2 2 2" xfId="28865" xr:uid="{00000000-0005-0000-0000-0000400D0000}"/>
    <cellStyle name="20% - Accent2 3 2 2 2 2 2 2 2 2 2" xfId="29401" xr:uid="{00000000-0005-0000-0000-0000410D0000}"/>
    <cellStyle name="20% - Accent2 3 2 2 2 2 2 2 2 3" xfId="21159" xr:uid="{00000000-0005-0000-0000-0000420D0000}"/>
    <cellStyle name="20% - Accent2 3 2 2 2 2 2 2 3" xfId="17393" xr:uid="{00000000-0005-0000-0000-0000430D0000}"/>
    <cellStyle name="20% - Accent2 3 2 2 2 2 2 2 3 2" xfId="29895" xr:uid="{00000000-0005-0000-0000-0000440D0000}"/>
    <cellStyle name="20% - Accent2 3 2 2 2 2 2 2 4" xfId="29239" xr:uid="{00000000-0005-0000-0000-0000450D0000}"/>
    <cellStyle name="20% - Accent2 3 2 2 2 2 2 3" xfId="11483" xr:uid="{00000000-0005-0000-0000-0000460D0000}"/>
    <cellStyle name="20% - Accent2 3 2 2 2 2 2 3 2" xfId="29229" xr:uid="{00000000-0005-0000-0000-0000470D0000}"/>
    <cellStyle name="20% - Accent2 3 2 2 2 2 2 3 2 2" xfId="28664" xr:uid="{00000000-0005-0000-0000-0000480D0000}"/>
    <cellStyle name="20% - Accent2 3 2 2 2 2 2 3 3" xfId="29226" xr:uid="{00000000-0005-0000-0000-0000490D0000}"/>
    <cellStyle name="20% - Accent2 3 2 2 2 2 2 4" xfId="11477" xr:uid="{00000000-0005-0000-0000-00004A0D0000}"/>
    <cellStyle name="20% - Accent2 3 2 2 2 2 2 4 2" xfId="30038" xr:uid="{00000000-0005-0000-0000-00004B0D0000}"/>
    <cellStyle name="20% - Accent2 3 2 2 2 2 2 5" xfId="11470" xr:uid="{00000000-0005-0000-0000-00004C0D0000}"/>
    <cellStyle name="20% - Accent2 3 2 2 2 2 3" xfId="29228" xr:uid="{00000000-0005-0000-0000-00004D0D0000}"/>
    <cellStyle name="20% - Accent2 3 2 2 2 2 3 2" xfId="11450" xr:uid="{00000000-0005-0000-0000-00004E0D0000}"/>
    <cellStyle name="20% - Accent2 3 2 2 2 2 3 2 2" xfId="30982" xr:uid="{00000000-0005-0000-0000-00004F0D0000}"/>
    <cellStyle name="20% - Accent2 3 2 2 2 2 3 2 2 2" xfId="30036" xr:uid="{00000000-0005-0000-0000-0000500D0000}"/>
    <cellStyle name="20% - Accent2 3 2 2 2 2 3 2 3" xfId="33940" xr:uid="{00000000-0005-0000-0000-0000510D0000}"/>
    <cellStyle name="20% - Accent2 3 2 2 2 2 3 3" xfId="11441" xr:uid="{00000000-0005-0000-0000-0000520D0000}"/>
    <cellStyle name="20% - Accent2 3 2 2 2 2 3 3 2" xfId="29198" xr:uid="{00000000-0005-0000-0000-0000530D0000}"/>
    <cellStyle name="20% - Accent2 3 2 2 2 2 3 4" xfId="11435" xr:uid="{00000000-0005-0000-0000-0000540D0000}"/>
    <cellStyle name="20% - Accent2 3 2 2 2 2 4" xfId="26902" xr:uid="{00000000-0005-0000-0000-0000550D0000}"/>
    <cellStyle name="20% - Accent2 3 2 2 2 2 4 2" xfId="22566" xr:uid="{00000000-0005-0000-0000-0000560D0000}"/>
    <cellStyle name="20% - Accent2 3 2 2 2 2 4 2 2" xfId="26897" xr:uid="{00000000-0005-0000-0000-0000570D0000}"/>
    <cellStyle name="20% - Accent2 3 2 2 2 2 4 3" xfId="6971" xr:uid="{00000000-0005-0000-0000-0000580D0000}"/>
    <cellStyle name="20% - Accent2 3 2 2 2 2 5" xfId="27541" xr:uid="{00000000-0005-0000-0000-0000590D0000}"/>
    <cellStyle name="20% - Accent2 3 2 2 2 2 5 2" xfId="11421" xr:uid="{00000000-0005-0000-0000-00005A0D0000}"/>
    <cellStyle name="20% - Accent2 3 2 2 2 2 6" xfId="18800" xr:uid="{00000000-0005-0000-0000-00005B0D0000}"/>
    <cellStyle name="20% - Accent2 3 2 2 2 3" xfId="22150" xr:uid="{00000000-0005-0000-0000-00005C0D0000}"/>
    <cellStyle name="20% - Accent2 3 2 2 2 3 2" xfId="31454" xr:uid="{00000000-0005-0000-0000-00005D0D0000}"/>
    <cellStyle name="20% - Accent2 3 2 2 2 3 2 2" xfId="7508" xr:uid="{00000000-0005-0000-0000-00005E0D0000}"/>
    <cellStyle name="20% - Accent2 3 2 2 2 3 2 2 2" xfId="10158" xr:uid="{00000000-0005-0000-0000-00005F0D0000}"/>
    <cellStyle name="20% - Accent2 3 2 2 2 3 2 2 2 2" xfId="23138" xr:uid="{00000000-0005-0000-0000-0000600D0000}"/>
    <cellStyle name="20% - Accent2 3 2 2 2 3 2 2 3" xfId="10152" xr:uid="{00000000-0005-0000-0000-0000610D0000}"/>
    <cellStyle name="20% - Accent2 3 2 2 2 3 2 3" xfId="11399" xr:uid="{00000000-0005-0000-0000-0000620D0000}"/>
    <cellStyle name="20% - Accent2 3 2 2 2 3 2 3 2" xfId="10146" xr:uid="{00000000-0005-0000-0000-0000630D0000}"/>
    <cellStyle name="20% - Accent2 3 2 2 2 3 2 4" xfId="11393" xr:uid="{00000000-0005-0000-0000-0000640D0000}"/>
    <cellStyle name="20% - Accent2 3 2 2 2 3 3" xfId="30033" xr:uid="{00000000-0005-0000-0000-0000650D0000}"/>
    <cellStyle name="20% - Accent2 3 2 2 2 3 3 2" xfId="17363" xr:uid="{00000000-0005-0000-0000-0000660D0000}"/>
    <cellStyle name="20% - Accent2 3 2 2 2 3 3 2 2" xfId="15145" xr:uid="{00000000-0005-0000-0000-0000670D0000}"/>
    <cellStyle name="20% - Accent2 3 2 2 2 3 3 3" xfId="17350" xr:uid="{00000000-0005-0000-0000-0000680D0000}"/>
    <cellStyle name="20% - Accent2 3 2 2 2 3 4" xfId="26871" xr:uid="{00000000-0005-0000-0000-0000690D0000}"/>
    <cellStyle name="20% - Accent2 3 2 2 2 3 4 2" xfId="26866" xr:uid="{00000000-0005-0000-0000-00006A0D0000}"/>
    <cellStyle name="20% - Accent2 3 2 2 2 3 5" xfId="21181" xr:uid="{00000000-0005-0000-0000-00006B0D0000}"/>
    <cellStyle name="20% - Accent2 3 2 2 2 4" xfId="29181" xr:uid="{00000000-0005-0000-0000-00006C0D0000}"/>
    <cellStyle name="20% - Accent2 3 2 2 2 4 2" xfId="29439" xr:uid="{00000000-0005-0000-0000-00006D0D0000}"/>
    <cellStyle name="20% - Accent2 3 2 2 2 4 2 2" xfId="12513" xr:uid="{00000000-0005-0000-0000-00006E0D0000}"/>
    <cellStyle name="20% - Accent2 3 2 2 2 4 2 2 2" xfId="10023" xr:uid="{00000000-0005-0000-0000-00006F0D0000}"/>
    <cellStyle name="20% - Accent2 3 2 2 2 4 2 3" xfId="11359" xr:uid="{00000000-0005-0000-0000-0000700D0000}"/>
    <cellStyle name="20% - Accent2 3 2 2 2 4 3" xfId="24554" xr:uid="{00000000-0005-0000-0000-0000710D0000}"/>
    <cellStyle name="20% - Accent2 3 2 2 2 4 3 2" xfId="17254" xr:uid="{00000000-0005-0000-0000-0000720D0000}"/>
    <cellStyle name="20% - Accent2 3 2 2 2 4 4" xfId="9329" xr:uid="{00000000-0005-0000-0000-0000730D0000}"/>
    <cellStyle name="20% - Accent2 3 2 2 2 5" xfId="28802" xr:uid="{00000000-0005-0000-0000-0000740D0000}"/>
    <cellStyle name="20% - Accent2 3 2 2 2 5 2" xfId="28324" xr:uid="{00000000-0005-0000-0000-0000750D0000}"/>
    <cellStyle name="20% - Accent2 3 2 2 2 5 2 2" xfId="11331" xr:uid="{00000000-0005-0000-0000-0000760D0000}"/>
    <cellStyle name="20% - Accent2 3 2 2 2 5 3" xfId="10879" xr:uid="{00000000-0005-0000-0000-0000770D0000}"/>
    <cellStyle name="20% - Accent2 3 2 2 2 6" xfId="28794" xr:uid="{00000000-0005-0000-0000-0000780D0000}"/>
    <cellStyle name="20% - Accent2 3 2 2 2 6 2" xfId="28298" xr:uid="{00000000-0005-0000-0000-0000790D0000}"/>
    <cellStyle name="20% - Accent2 3 2 2 2 7" xfId="28790" xr:uid="{00000000-0005-0000-0000-00007A0D0000}"/>
    <cellStyle name="20% - Accent2 3 2 2 3" xfId="29164" xr:uid="{00000000-0005-0000-0000-00007B0D0000}"/>
    <cellStyle name="20% - Accent2 3 2 2 3 2" xfId="22146" xr:uid="{00000000-0005-0000-0000-00007C0D0000}"/>
    <cellStyle name="20% - Accent2 3 2 2 3 2 2" xfId="31401" xr:uid="{00000000-0005-0000-0000-00007D0D0000}"/>
    <cellStyle name="20% - Accent2 3 2 2 3 2 2 2" xfId="11255" xr:uid="{00000000-0005-0000-0000-00007E0D0000}"/>
    <cellStyle name="20% - Accent2 3 2 2 3 2 2 2 2" xfId="31162" xr:uid="{00000000-0005-0000-0000-00007F0D0000}"/>
    <cellStyle name="20% - Accent2 3 2 2 3 2 2 2 2 2" xfId="29974" xr:uid="{00000000-0005-0000-0000-0000800D0000}"/>
    <cellStyle name="20% - Accent2 3 2 2 3 2 2 2 3" xfId="31193" xr:uid="{00000000-0005-0000-0000-0000810D0000}"/>
    <cellStyle name="20% - Accent2 3 2 2 3 2 2 3" xfId="29159" xr:uid="{00000000-0005-0000-0000-0000820D0000}"/>
    <cellStyle name="20% - Accent2 3 2 2 3 2 2 3 2" xfId="29155" xr:uid="{00000000-0005-0000-0000-0000830D0000}"/>
    <cellStyle name="20% - Accent2 3 2 2 3 2 2 4" xfId="11249" xr:uid="{00000000-0005-0000-0000-0000840D0000}"/>
    <cellStyle name="20% - Accent2 3 2 2 3 2 3" xfId="29149" xr:uid="{00000000-0005-0000-0000-0000850D0000}"/>
    <cellStyle name="20% - Accent2 3 2 2 3 2 3 2" xfId="11228" xr:uid="{00000000-0005-0000-0000-0000860D0000}"/>
    <cellStyle name="20% - Accent2 3 2 2 3 2 3 2 2" xfId="29148" xr:uid="{00000000-0005-0000-0000-0000870D0000}"/>
    <cellStyle name="20% - Accent2 3 2 2 3 2 3 3" xfId="11218" xr:uid="{00000000-0005-0000-0000-0000880D0000}"/>
    <cellStyle name="20% - Accent2 3 2 2 3 2 4" xfId="28773" xr:uid="{00000000-0005-0000-0000-0000890D0000}"/>
    <cellStyle name="20% - Accent2 3 2 2 3 2 4 2" xfId="26805" xr:uid="{00000000-0005-0000-0000-00008A0D0000}"/>
    <cellStyle name="20% - Accent2 3 2 2 3 2 5" xfId="18790" xr:uid="{00000000-0005-0000-0000-00008B0D0000}"/>
    <cellStyle name="20% - Accent2 3 2 2 3 3" xfId="22143" xr:uid="{00000000-0005-0000-0000-00008C0D0000}"/>
    <cellStyle name="20% - Accent2 3 2 2 3 3 2" xfId="33243" xr:uid="{00000000-0005-0000-0000-00008D0D0000}"/>
    <cellStyle name="20% - Accent2 3 2 2 3 3 2 2" xfId="11184" xr:uid="{00000000-0005-0000-0000-00008E0D0000}"/>
    <cellStyle name="20% - Accent2 3 2 2 3 3 2 2 2" xfId="9846" xr:uid="{00000000-0005-0000-0000-00008F0D0000}"/>
    <cellStyle name="20% - Accent2 3 2 2 3 3 2 3" xfId="18982" xr:uid="{00000000-0005-0000-0000-0000900D0000}"/>
    <cellStyle name="20% - Accent2 3 2 2 3 3 3" xfId="25866" xr:uid="{00000000-0005-0000-0000-0000910D0000}"/>
    <cellStyle name="20% - Accent2 3 2 2 3 3 3 2" xfId="17123" xr:uid="{00000000-0005-0000-0000-0000920D0000}"/>
    <cellStyle name="20% - Accent2 3 2 2 3 3 4" xfId="28753" xr:uid="{00000000-0005-0000-0000-0000930D0000}"/>
    <cellStyle name="20% - Accent2 3 2 2 3 4" xfId="19375" xr:uid="{00000000-0005-0000-0000-0000940D0000}"/>
    <cellStyle name="20% - Accent2 3 2 2 3 4 2" xfId="6712" xr:uid="{00000000-0005-0000-0000-0000950D0000}"/>
    <cellStyle name="20% - Accent2 3 2 2 3 4 2 2" xfId="11157" xr:uid="{00000000-0005-0000-0000-0000960D0000}"/>
    <cellStyle name="20% - Accent2 3 2 2 3 4 3" xfId="9298" xr:uid="{00000000-0005-0000-0000-0000970D0000}"/>
    <cellStyle name="20% - Accent2 3 2 2 3 5" xfId="6709" xr:uid="{00000000-0005-0000-0000-0000980D0000}"/>
    <cellStyle name="20% - Accent2 3 2 2 3 5 2" xfId="28279" xr:uid="{00000000-0005-0000-0000-0000990D0000}"/>
    <cellStyle name="20% - Accent2 3 2 2 3 6" xfId="6707" xr:uid="{00000000-0005-0000-0000-00009A0D0000}"/>
    <cellStyle name="20% - Accent2 3 2 2 4" xfId="33741" xr:uid="{00000000-0005-0000-0000-00009B0D0000}"/>
    <cellStyle name="20% - Accent2 3 2 2 4 2" xfId="19913" xr:uid="{00000000-0005-0000-0000-00009C0D0000}"/>
    <cellStyle name="20% - Accent2 3 2 2 4 2 2" xfId="29129" xr:uid="{00000000-0005-0000-0000-00009D0D0000}"/>
    <cellStyle name="20% - Accent2 3 2 2 4 2 2 2" xfId="11091" xr:uid="{00000000-0005-0000-0000-00009E0D0000}"/>
    <cellStyle name="20% - Accent2 3 2 2 4 2 2 2 2" xfId="29123" xr:uid="{00000000-0005-0000-0000-00009F0D0000}"/>
    <cellStyle name="20% - Accent2 3 2 2 4 2 2 3" xfId="27448" xr:uid="{00000000-0005-0000-0000-0000A00D0000}"/>
    <cellStyle name="20% - Accent2 3 2 2 4 2 3" xfId="24315" xr:uid="{00000000-0005-0000-0000-0000A10D0000}"/>
    <cellStyle name="20% - Accent2 3 2 2 4 2 3 2" xfId="11076" xr:uid="{00000000-0005-0000-0000-0000A20D0000}"/>
    <cellStyle name="20% - Accent2 3 2 2 4 2 4" xfId="21957" xr:uid="{00000000-0005-0000-0000-0000A30D0000}"/>
    <cellStyle name="20% - Accent2 3 2 2 4 3" xfId="19906" xr:uid="{00000000-0005-0000-0000-0000A40D0000}"/>
    <cellStyle name="20% - Accent2 3 2 2 4 3 2" xfId="29119" xr:uid="{00000000-0005-0000-0000-0000A50D0000}"/>
    <cellStyle name="20% - Accent2 3 2 2 4 3 2 2" xfId="11052" xr:uid="{00000000-0005-0000-0000-0000A60D0000}"/>
    <cellStyle name="20% - Accent2 3 2 2 4 3 3" xfId="31778" xr:uid="{00000000-0005-0000-0000-0000A70D0000}"/>
    <cellStyle name="20% - Accent2 3 2 2 4 4" xfId="6705" xr:uid="{00000000-0005-0000-0000-0000A80D0000}"/>
    <cellStyle name="20% - Accent2 3 2 2 4 4 2" xfId="12980" xr:uid="{00000000-0005-0000-0000-0000A90D0000}"/>
    <cellStyle name="20% - Accent2 3 2 2 4 5" xfId="6703" xr:uid="{00000000-0005-0000-0000-0000AA0D0000}"/>
    <cellStyle name="20% - Accent2 3 2 2 5" xfId="33089" xr:uid="{00000000-0005-0000-0000-0000AB0D0000}"/>
    <cellStyle name="20% - Accent2 3 2 2 5 2" xfId="19897" xr:uid="{00000000-0005-0000-0000-0000AC0D0000}"/>
    <cellStyle name="20% - Accent2 3 2 2 5 2 2" xfId="29105" xr:uid="{00000000-0005-0000-0000-0000AD0D0000}"/>
    <cellStyle name="20% - Accent2 3 2 2 5 2 2 2" xfId="11000" xr:uid="{00000000-0005-0000-0000-0000AE0D0000}"/>
    <cellStyle name="20% - Accent2 3 2 2 5 2 3" xfId="29099" xr:uid="{00000000-0005-0000-0000-0000AF0D0000}"/>
    <cellStyle name="20% - Accent2 3 2 2 5 3" xfId="29095" xr:uid="{00000000-0005-0000-0000-0000B00D0000}"/>
    <cellStyle name="20% - Accent2 3 2 2 5 3 2" xfId="29092" xr:uid="{00000000-0005-0000-0000-0000B10D0000}"/>
    <cellStyle name="20% - Accent2 3 2 2 5 4" xfId="6700" xr:uid="{00000000-0005-0000-0000-0000B20D0000}"/>
    <cellStyle name="20% - Accent2 3 2 2 6" xfId="33077" xr:uid="{00000000-0005-0000-0000-0000B30D0000}"/>
    <cellStyle name="20% - Accent2 3 2 2 6 2" xfId="29080" xr:uid="{00000000-0005-0000-0000-0000B40D0000}"/>
    <cellStyle name="20% - Accent2 3 2 2 6 2 2" xfId="29073" xr:uid="{00000000-0005-0000-0000-0000B50D0000}"/>
    <cellStyle name="20% - Accent2 3 2 2 6 3" xfId="29070" xr:uid="{00000000-0005-0000-0000-0000B60D0000}"/>
    <cellStyle name="20% - Accent2 3 2 2 7" xfId="31027" xr:uid="{00000000-0005-0000-0000-0000B70D0000}"/>
    <cellStyle name="20% - Accent2 3 2 2 7 2" xfId="29057" xr:uid="{00000000-0005-0000-0000-0000B80D0000}"/>
    <cellStyle name="20% - Accent2 3 2 2 8" xfId="29050" xr:uid="{00000000-0005-0000-0000-0000B90D0000}"/>
    <cellStyle name="20% - Accent2 3 2 3" xfId="27776" xr:uid="{00000000-0005-0000-0000-0000BA0D0000}"/>
    <cellStyle name="20% - Accent2 3 2 3 2" xfId="32486" xr:uid="{00000000-0005-0000-0000-0000BB0D0000}"/>
    <cellStyle name="20% - Accent2 3 2 3 2 2" xfId="22122" xr:uid="{00000000-0005-0000-0000-0000BC0D0000}"/>
    <cellStyle name="20% - Accent2 3 2 3 2 2 2" xfId="31253" xr:uid="{00000000-0005-0000-0000-0000BD0D0000}"/>
    <cellStyle name="20% - Accent2 3 2 3 2 2 2 2" xfId="10870" xr:uid="{00000000-0005-0000-0000-0000BE0D0000}"/>
    <cellStyle name="20% - Accent2 3 2 3 2 2 2 2 2" xfId="31257" xr:uid="{00000000-0005-0000-0000-0000BF0D0000}"/>
    <cellStyle name="20% - Accent2 3 2 3 2 2 2 2 2 2" xfId="29045" xr:uid="{00000000-0005-0000-0000-0000C00D0000}"/>
    <cellStyle name="20% - Accent2 3 2 3 2 2 2 2 3" xfId="27405" xr:uid="{00000000-0005-0000-0000-0000C10D0000}"/>
    <cellStyle name="20% - Accent2 3 2 3 2 2 2 3" xfId="10865" xr:uid="{00000000-0005-0000-0000-0000C20D0000}"/>
    <cellStyle name="20% - Accent2 3 2 3 2 2 2 3 2" xfId="29934" xr:uid="{00000000-0005-0000-0000-0000C30D0000}"/>
    <cellStyle name="20% - Accent2 3 2 3 2 2 2 4" xfId="10860" xr:uid="{00000000-0005-0000-0000-0000C40D0000}"/>
    <cellStyle name="20% - Accent2 3 2 3 2 2 3" xfId="29031" xr:uid="{00000000-0005-0000-0000-0000C50D0000}"/>
    <cellStyle name="20% - Accent2 3 2 3 2 2 3 2" xfId="10848" xr:uid="{00000000-0005-0000-0000-0000C60D0000}"/>
    <cellStyle name="20% - Accent2 3 2 3 2 2 3 2 2" xfId="33344" xr:uid="{00000000-0005-0000-0000-0000C70D0000}"/>
    <cellStyle name="20% - Accent2 3 2 3 2 2 3 3" xfId="10842" xr:uid="{00000000-0005-0000-0000-0000C80D0000}"/>
    <cellStyle name="20% - Accent2 3 2 3 2 2 4" xfId="26751" xr:uid="{00000000-0005-0000-0000-0000C90D0000}"/>
    <cellStyle name="20% - Accent2 3 2 3 2 2 4 2" xfId="10835" xr:uid="{00000000-0005-0000-0000-0000CA0D0000}"/>
    <cellStyle name="20% - Accent2 3 2 3 2 2 5" xfId="22210" xr:uid="{00000000-0005-0000-0000-0000CB0D0000}"/>
    <cellStyle name="20% - Accent2 3 2 3 2 3" xfId="22119" xr:uid="{00000000-0005-0000-0000-0000CC0D0000}"/>
    <cellStyle name="20% - Accent2 3 2 3 2 3 2" xfId="26575" xr:uid="{00000000-0005-0000-0000-0000CD0D0000}"/>
    <cellStyle name="20% - Accent2 3 2 3 2 3 2 2" xfId="10816" xr:uid="{00000000-0005-0000-0000-0000CE0D0000}"/>
    <cellStyle name="20% - Accent2 3 2 3 2 3 2 2 2" xfId="9485" xr:uid="{00000000-0005-0000-0000-0000CF0D0000}"/>
    <cellStyle name="20% - Accent2 3 2 3 2 3 2 3" xfId="10811" xr:uid="{00000000-0005-0000-0000-0000D00D0000}"/>
    <cellStyle name="20% - Accent2 3 2 3 2 3 3" xfId="26572" xr:uid="{00000000-0005-0000-0000-0000D10D0000}"/>
    <cellStyle name="20% - Accent2 3 2 3 2 3 3 2" xfId="16499" xr:uid="{00000000-0005-0000-0000-0000D20D0000}"/>
    <cellStyle name="20% - Accent2 3 2 3 2 3 4" xfId="26741" xr:uid="{00000000-0005-0000-0000-0000D30D0000}"/>
    <cellStyle name="20% - Accent2 3 2 3 2 4" xfId="29004" xr:uid="{00000000-0005-0000-0000-0000D40D0000}"/>
    <cellStyle name="20% - Accent2 3 2 3 2 4 2" xfId="26568" xr:uid="{00000000-0005-0000-0000-0000D50D0000}"/>
    <cellStyle name="20% - Accent2 3 2 3 2 4 2 2" xfId="10796" xr:uid="{00000000-0005-0000-0000-0000D60D0000}"/>
    <cellStyle name="20% - Accent2 3 2 3 2 4 3" xfId="9268" xr:uid="{00000000-0005-0000-0000-0000D70D0000}"/>
    <cellStyle name="20% - Accent2 3 2 3 2 5" xfId="23397" xr:uid="{00000000-0005-0000-0000-0000D80D0000}"/>
    <cellStyle name="20% - Accent2 3 2 3 2 5 2" xfId="23565" xr:uid="{00000000-0005-0000-0000-0000D90D0000}"/>
    <cellStyle name="20% - Accent2 3 2 3 2 6" xfId="28698" xr:uid="{00000000-0005-0000-0000-0000DA0D0000}"/>
    <cellStyle name="20% - Accent2 3 2 3 3" xfId="32478" xr:uid="{00000000-0005-0000-0000-0000DB0D0000}"/>
    <cellStyle name="20% - Accent2 3 2 3 3 2" xfId="22118" xr:uid="{00000000-0005-0000-0000-0000DC0D0000}"/>
    <cellStyle name="20% - Accent2 3 2 3 3 2 2" xfId="28999" xr:uid="{00000000-0005-0000-0000-0000DD0D0000}"/>
    <cellStyle name="20% - Accent2 3 2 3 3 2 2 2" xfId="10734" xr:uid="{00000000-0005-0000-0000-0000DE0D0000}"/>
    <cellStyle name="20% - Accent2 3 2 3 3 2 2 2 2" xfId="28998" xr:uid="{00000000-0005-0000-0000-0000DF0D0000}"/>
    <cellStyle name="20% - Accent2 3 2 3 3 2 2 3" xfId="14235" xr:uid="{00000000-0005-0000-0000-0000E00D0000}"/>
    <cellStyle name="20% - Accent2 3 2 3 3 2 3" xfId="26903" xr:uid="{00000000-0005-0000-0000-0000E10D0000}"/>
    <cellStyle name="20% - Accent2 3 2 3 3 2 3 2" xfId="10719" xr:uid="{00000000-0005-0000-0000-0000E20D0000}"/>
    <cellStyle name="20% - Accent2 3 2 3 3 2 4" xfId="28594" xr:uid="{00000000-0005-0000-0000-0000E30D0000}"/>
    <cellStyle name="20% - Accent2 3 2 3 3 3" xfId="28990" xr:uid="{00000000-0005-0000-0000-0000E40D0000}"/>
    <cellStyle name="20% - Accent2 3 2 3 3 3 2" xfId="28217" xr:uid="{00000000-0005-0000-0000-0000E50D0000}"/>
    <cellStyle name="20% - Accent2 3 2 3 3 3 2 2" xfId="10699" xr:uid="{00000000-0005-0000-0000-0000E60D0000}"/>
    <cellStyle name="20% - Accent2 3 2 3 3 3 3" xfId="26552" xr:uid="{00000000-0005-0000-0000-0000E70D0000}"/>
    <cellStyle name="20% - Accent2 3 2 3 3 4" xfId="15529" xr:uid="{00000000-0005-0000-0000-0000E80D0000}"/>
    <cellStyle name="20% - Accent2 3 2 3 3 4 2" xfId="6698" xr:uid="{00000000-0005-0000-0000-0000E90D0000}"/>
    <cellStyle name="20% - Accent2 3 2 3 3 5" xfId="15526" xr:uid="{00000000-0005-0000-0000-0000EA0D0000}"/>
    <cellStyle name="20% - Accent2 3 2 3 4" xfId="25241" xr:uid="{00000000-0005-0000-0000-0000EB0D0000}"/>
    <cellStyle name="20% - Accent2 3 2 3 4 2" xfId="19857" xr:uid="{00000000-0005-0000-0000-0000EC0D0000}"/>
    <cellStyle name="20% - Accent2 3 2 3 4 2 2" xfId="28986" xr:uid="{00000000-0005-0000-0000-0000ED0D0000}"/>
    <cellStyle name="20% - Accent2 3 2 3 4 2 2 2" xfId="10649" xr:uid="{00000000-0005-0000-0000-0000EE0D0000}"/>
    <cellStyle name="20% - Accent2 3 2 3 4 2 3" xfId="28980" xr:uid="{00000000-0005-0000-0000-0000EF0D0000}"/>
    <cellStyle name="20% - Accent2 3 2 3 4 3" xfId="28979" xr:uid="{00000000-0005-0000-0000-0000F00D0000}"/>
    <cellStyle name="20% - Accent2 3 2 3 4 3 2" xfId="31478" xr:uid="{00000000-0005-0000-0000-0000F10D0000}"/>
    <cellStyle name="20% - Accent2 3 2 3 4 4" xfId="15518" xr:uid="{00000000-0005-0000-0000-0000F20D0000}"/>
    <cellStyle name="20% - Accent2 3 2 3 5" xfId="28974" xr:uid="{00000000-0005-0000-0000-0000F30D0000}"/>
    <cellStyle name="20% - Accent2 3 2 3 5 2" xfId="28971" xr:uid="{00000000-0005-0000-0000-0000F40D0000}"/>
    <cellStyle name="20% - Accent2 3 2 3 5 2 2" xfId="28969" xr:uid="{00000000-0005-0000-0000-0000F50D0000}"/>
    <cellStyle name="20% - Accent2 3 2 3 5 3" xfId="28966" xr:uid="{00000000-0005-0000-0000-0000F60D0000}"/>
    <cellStyle name="20% - Accent2 3 2 3 6" xfId="28959" xr:uid="{00000000-0005-0000-0000-0000F70D0000}"/>
    <cellStyle name="20% - Accent2 3 2 3 6 2" xfId="28948" xr:uid="{00000000-0005-0000-0000-0000F80D0000}"/>
    <cellStyle name="20% - Accent2 3 2 3 7" xfId="28938" xr:uid="{00000000-0005-0000-0000-0000F90D0000}"/>
    <cellStyle name="20% - Accent2 3 2 4" xfId="5586" xr:uid="{00000000-0005-0000-0000-0000FA0D0000}"/>
    <cellStyle name="20% - Accent2 3 2 4 2" xfId="32476" xr:uid="{00000000-0005-0000-0000-0000FB0D0000}"/>
    <cellStyle name="20% - Accent2 3 2 4 2 2" xfId="23728" xr:uid="{00000000-0005-0000-0000-0000FC0D0000}"/>
    <cellStyle name="20% - Accent2 3 2 4 2 2 2" xfId="28934" xr:uid="{00000000-0005-0000-0000-0000FD0D0000}"/>
    <cellStyle name="20% - Accent2 3 2 4 2 2 2 2" xfId="12606" xr:uid="{00000000-0005-0000-0000-0000FE0D0000}"/>
    <cellStyle name="20% - Accent2 3 2 4 2 2 2 2 2" xfId="28933" xr:uid="{00000000-0005-0000-0000-0000FF0D0000}"/>
    <cellStyle name="20% - Accent2 3 2 4 2 2 2 3" xfId="10543" xr:uid="{00000000-0005-0000-0000-0000000E0000}"/>
    <cellStyle name="20% - Accent2 3 2 4 2 2 3" xfId="28922" xr:uid="{00000000-0005-0000-0000-0000010E0000}"/>
    <cellStyle name="20% - Accent2 3 2 4 2 2 3 2" xfId="10530" xr:uid="{00000000-0005-0000-0000-0000020E0000}"/>
    <cellStyle name="20% - Accent2 3 2 4 2 2 4" xfId="26666" xr:uid="{00000000-0005-0000-0000-0000030E0000}"/>
    <cellStyle name="20% - Accent2 3 2 4 2 3" xfId="28920" xr:uid="{00000000-0005-0000-0000-0000040E0000}"/>
    <cellStyle name="20% - Accent2 3 2 4 2 3 2" xfId="26543" xr:uid="{00000000-0005-0000-0000-0000050E0000}"/>
    <cellStyle name="20% - Accent2 3 2 4 2 3 2 2" xfId="6685" xr:uid="{00000000-0005-0000-0000-0000060E0000}"/>
    <cellStyle name="20% - Accent2 3 2 4 2 3 3" xfId="26537" xr:uid="{00000000-0005-0000-0000-0000070E0000}"/>
    <cellStyle name="20% - Accent2 3 2 4 2 4" xfId="28912" xr:uid="{00000000-0005-0000-0000-0000080E0000}"/>
    <cellStyle name="20% - Accent2 3 2 4 2 4 2" xfId="26535" xr:uid="{00000000-0005-0000-0000-0000090E0000}"/>
    <cellStyle name="20% - Accent2 3 2 4 2 5" xfId="26531" xr:uid="{00000000-0005-0000-0000-00000A0E0000}"/>
    <cellStyle name="20% - Accent2 3 2 4 3" xfId="32475" xr:uid="{00000000-0005-0000-0000-00000B0E0000}"/>
    <cellStyle name="20% - Accent2 3 2 4 3 2" xfId="24966" xr:uid="{00000000-0005-0000-0000-00000C0E0000}"/>
    <cellStyle name="20% - Accent2 3 2 4 3 2 2" xfId="28909" xr:uid="{00000000-0005-0000-0000-00000D0E0000}"/>
    <cellStyle name="20% - Accent2 3 2 4 3 2 2 2" xfId="10461" xr:uid="{00000000-0005-0000-0000-00000E0E0000}"/>
    <cellStyle name="20% - Accent2 3 2 4 3 2 3" xfId="28900" xr:uid="{00000000-0005-0000-0000-00000F0E0000}"/>
    <cellStyle name="20% - Accent2 3 2 4 3 3" xfId="28898" xr:uid="{00000000-0005-0000-0000-0000100E0000}"/>
    <cellStyle name="20% - Accent2 3 2 4 3 3 2" xfId="26529" xr:uid="{00000000-0005-0000-0000-0000110E0000}"/>
    <cellStyle name="20% - Accent2 3 2 4 3 4" xfId="15514" xr:uid="{00000000-0005-0000-0000-0000120E0000}"/>
    <cellStyle name="20% - Accent2 3 2 4 4" xfId="24635" xr:uid="{00000000-0005-0000-0000-0000130E0000}"/>
    <cellStyle name="20% - Accent2 3 2 4 4 2" xfId="28897" xr:uid="{00000000-0005-0000-0000-0000140E0000}"/>
    <cellStyle name="20% - Accent2 3 2 4 4 2 2" xfId="13579" xr:uid="{00000000-0005-0000-0000-0000150E0000}"/>
    <cellStyle name="20% - Accent2 3 2 4 4 3" xfId="26527" xr:uid="{00000000-0005-0000-0000-0000160E0000}"/>
    <cellStyle name="20% - Accent2 3 2 4 5" xfId="28893" xr:uid="{00000000-0005-0000-0000-0000170E0000}"/>
    <cellStyle name="20% - Accent2 3 2 4 5 2" xfId="34089" xr:uid="{00000000-0005-0000-0000-0000180E0000}"/>
    <cellStyle name="20% - Accent2 3 2 4 6" xfId="28887" xr:uid="{00000000-0005-0000-0000-0000190E0000}"/>
    <cellStyle name="20% - Accent2 3 2 5" xfId="33927" xr:uid="{00000000-0005-0000-0000-00001A0E0000}"/>
    <cellStyle name="20% - Accent2 3 2 5 2" xfId="32469" xr:uid="{00000000-0005-0000-0000-00001B0E0000}"/>
    <cellStyle name="20% - Accent2 3 2 5 2 2" xfId="28882" xr:uid="{00000000-0005-0000-0000-00001C0E0000}"/>
    <cellStyle name="20% - Accent2 3 2 5 2 2 2" xfId="19930" xr:uid="{00000000-0005-0000-0000-00001D0E0000}"/>
    <cellStyle name="20% - Accent2 3 2 5 2 2 2 2" xfId="29422" xr:uid="{00000000-0005-0000-0000-00001E0E0000}"/>
    <cellStyle name="20% - Accent2 3 2 5 2 2 3" xfId="19926" xr:uid="{00000000-0005-0000-0000-00001F0E0000}"/>
    <cellStyle name="20% - Accent2 3 2 5 2 3" xfId="29109" xr:uid="{00000000-0005-0000-0000-0000200E0000}"/>
    <cellStyle name="20% - Accent2 3 2 5 2 3 2" xfId="19923" xr:uid="{00000000-0005-0000-0000-0000210E0000}"/>
    <cellStyle name="20% - Accent2 3 2 5 2 4" xfId="7482" xr:uid="{00000000-0005-0000-0000-0000220E0000}"/>
    <cellStyle name="20% - Accent2 3 2 5 3" xfId="28868" xr:uid="{00000000-0005-0000-0000-0000230E0000}"/>
    <cellStyle name="20% - Accent2 3 2 5 3 2" xfId="28864" xr:uid="{00000000-0005-0000-0000-0000240E0000}"/>
    <cellStyle name="20% - Accent2 3 2 5 3 2 2" xfId="25767" xr:uid="{00000000-0005-0000-0000-0000250E0000}"/>
    <cellStyle name="20% - Accent2 3 2 5 3 3" xfId="26517" xr:uid="{00000000-0005-0000-0000-0000260E0000}"/>
    <cellStyle name="20% - Accent2 3 2 5 4" xfId="23568" xr:uid="{00000000-0005-0000-0000-0000270E0000}"/>
    <cellStyle name="20% - Accent2 3 2 5 4 2" xfId="28050" xr:uid="{00000000-0005-0000-0000-0000280E0000}"/>
    <cellStyle name="20% - Accent2 3 2 5 5" xfId="23560" xr:uid="{00000000-0005-0000-0000-0000290E0000}"/>
    <cellStyle name="20% - Accent2 3 2 6" xfId="32463" xr:uid="{00000000-0005-0000-0000-00002A0E0000}"/>
    <cellStyle name="20% - Accent2 3 2 6 2" xfId="28854" xr:uid="{00000000-0005-0000-0000-00002B0E0000}"/>
    <cellStyle name="20% - Accent2 3 2 6 2 2" xfId="29612" xr:uid="{00000000-0005-0000-0000-00002C0E0000}"/>
    <cellStyle name="20% - Accent2 3 2 6 2 2 2" xfId="19866" xr:uid="{00000000-0005-0000-0000-00002D0E0000}"/>
    <cellStyle name="20% - Accent2 3 2 6 2 3" xfId="26506" xr:uid="{00000000-0005-0000-0000-00002E0E0000}"/>
    <cellStyle name="20% - Accent2 3 2 6 3" xfId="30066" xr:uid="{00000000-0005-0000-0000-00002F0E0000}"/>
    <cellStyle name="20% - Accent2 3 2 6 3 2" xfId="22734" xr:uid="{00000000-0005-0000-0000-0000300E0000}"/>
    <cellStyle name="20% - Accent2 3 2 6 4" xfId="7698" xr:uid="{00000000-0005-0000-0000-0000310E0000}"/>
    <cellStyle name="20% - Accent2 3 2 7" xfId="28849" xr:uid="{00000000-0005-0000-0000-0000320E0000}"/>
    <cellStyle name="20% - Accent2 3 2 7 2" xfId="28848" xr:uid="{00000000-0005-0000-0000-0000330E0000}"/>
    <cellStyle name="20% - Accent2 3 2 7 2 2" xfId="28847" xr:uid="{00000000-0005-0000-0000-0000340E0000}"/>
    <cellStyle name="20% - Accent2 3 2 7 3" xfId="16241" xr:uid="{00000000-0005-0000-0000-0000350E0000}"/>
    <cellStyle name="20% - Accent2 3 2 8" xfId="28838" xr:uid="{00000000-0005-0000-0000-0000360E0000}"/>
    <cellStyle name="20% - Accent2 3 2 8 2" xfId="32880" xr:uid="{00000000-0005-0000-0000-0000370E0000}"/>
    <cellStyle name="20% - Accent2 3 2 9" xfId="28837" xr:uid="{00000000-0005-0000-0000-0000380E0000}"/>
    <cellStyle name="20% - Accent2 3 3" xfId="223" xr:uid="{00000000-0005-0000-0000-0000390E0000}"/>
    <cellStyle name="20% - Accent2 3 3 10" xfId="32450" xr:uid="{00000000-0005-0000-0000-00003A0E0000}"/>
    <cellStyle name="20% - Accent2 3 3 2" xfId="31567" xr:uid="{00000000-0005-0000-0000-00003B0E0000}"/>
    <cellStyle name="20% - Accent2 3 3 2 2" xfId="32184" xr:uid="{00000000-0005-0000-0000-00003C0E0000}"/>
    <cellStyle name="20% - Accent2 3 3 2 2 2" xfId="22100" xr:uid="{00000000-0005-0000-0000-00003D0E0000}"/>
    <cellStyle name="20% - Accent2 3 3 2 2 2 2" xfId="33454" xr:uid="{00000000-0005-0000-0000-00003E0E0000}"/>
    <cellStyle name="20% - Accent2 3 3 2 2 2 2 2" xfId="10171" xr:uid="{00000000-0005-0000-0000-00003F0E0000}"/>
    <cellStyle name="20% - Accent2 3 3 2 2 2 2 2 2" xfId="29166" xr:uid="{00000000-0005-0000-0000-0000400E0000}"/>
    <cellStyle name="20% - Accent2 3 3 2 2 2 2 2 2 2" xfId="24545" xr:uid="{00000000-0005-0000-0000-0000410E0000}"/>
    <cellStyle name="20% - Accent2 3 3 2 2 2 2 2 3" xfId="22527" xr:uid="{00000000-0005-0000-0000-0000420E0000}"/>
    <cellStyle name="20% - Accent2 3 3 2 2 2 2 3" xfId="28836" xr:uid="{00000000-0005-0000-0000-0000430E0000}"/>
    <cellStyle name="20% - Accent2 3 3 2 2 2 2 3 2" xfId="33706" xr:uid="{00000000-0005-0000-0000-0000440E0000}"/>
    <cellStyle name="20% - Accent2 3 3 2 2 2 2 4" xfId="25042" xr:uid="{00000000-0005-0000-0000-0000450E0000}"/>
    <cellStyle name="20% - Accent2 3 3 2 2 2 3" xfId="28830" xr:uid="{00000000-0005-0000-0000-0000460E0000}"/>
    <cellStyle name="20% - Accent2 3 3 2 2 2 3 2" xfId="10151" xr:uid="{00000000-0005-0000-0000-0000470E0000}"/>
    <cellStyle name="20% - Accent2 3 3 2 2 2 3 2 2" xfId="32431" xr:uid="{00000000-0005-0000-0000-0000480E0000}"/>
    <cellStyle name="20% - Accent2 3 3 2 2 2 3 3" xfId="28826" xr:uid="{00000000-0005-0000-0000-0000490E0000}"/>
    <cellStyle name="20% - Accent2 3 3 2 2 2 4" xfId="26576" xr:uid="{00000000-0005-0000-0000-00004A0E0000}"/>
    <cellStyle name="20% - Accent2 3 3 2 2 2 4 2" xfId="10141" xr:uid="{00000000-0005-0000-0000-00004B0E0000}"/>
    <cellStyle name="20% - Accent2 3 3 2 2 2 5" xfId="23866" xr:uid="{00000000-0005-0000-0000-00004C0E0000}"/>
    <cellStyle name="20% - Accent2 3 3 2 2 3" xfId="24284" xr:uid="{00000000-0005-0000-0000-00004D0E0000}"/>
    <cellStyle name="20% - Accent2 3 3 2 2 3 2" xfId="33465" xr:uid="{00000000-0005-0000-0000-00004E0E0000}"/>
    <cellStyle name="20% - Accent2 3 3 2 2 3 2 2" xfId="10121" xr:uid="{00000000-0005-0000-0000-00004F0E0000}"/>
    <cellStyle name="20% - Accent2 3 3 2 2 3 2 2 2" xfId="18005" xr:uid="{00000000-0005-0000-0000-0000500E0000}"/>
    <cellStyle name="20% - Accent2 3 3 2 2 3 2 3" xfId="28810" xr:uid="{00000000-0005-0000-0000-0000510E0000}"/>
    <cellStyle name="20% - Accent2 3 3 2 2 3 3" xfId="28808" xr:uid="{00000000-0005-0000-0000-0000520E0000}"/>
    <cellStyle name="20% - Accent2 3 3 2 2 3 3 2" xfId="15137" xr:uid="{00000000-0005-0000-0000-0000530E0000}"/>
    <cellStyle name="20% - Accent2 3 3 2 2 3 4" xfId="26569" xr:uid="{00000000-0005-0000-0000-0000540E0000}"/>
    <cellStyle name="20% - Accent2 3 3 2 2 4" xfId="22586" xr:uid="{00000000-0005-0000-0000-0000550E0000}"/>
    <cellStyle name="20% - Accent2 3 3 2 2 4 2" xfId="28797" xr:uid="{00000000-0005-0000-0000-0000560E0000}"/>
    <cellStyle name="20% - Accent2 3 3 2 2 4 2 2" xfId="10099" xr:uid="{00000000-0005-0000-0000-0000570E0000}"/>
    <cellStyle name="20% - Accent2 3 3 2 2 4 3" xfId="9177" xr:uid="{00000000-0005-0000-0000-0000580E0000}"/>
    <cellStyle name="20% - Accent2 3 3 2 2 5" xfId="28616" xr:uid="{00000000-0005-0000-0000-0000590E0000}"/>
    <cellStyle name="20% - Accent2 3 3 2 2 5 2" xfId="28293" xr:uid="{00000000-0005-0000-0000-00005A0E0000}"/>
    <cellStyle name="20% - Accent2 3 3 2 2 6" xfId="28603" xr:uid="{00000000-0005-0000-0000-00005B0E0000}"/>
    <cellStyle name="20% - Accent2 3 3 2 3" xfId="32848" xr:uid="{00000000-0005-0000-0000-00005C0E0000}"/>
    <cellStyle name="20% - Accent2 3 3 2 3 2" xfId="30488" xr:uid="{00000000-0005-0000-0000-00005D0E0000}"/>
    <cellStyle name="20% - Accent2 3 3 2 3 2 2" xfId="28788" xr:uid="{00000000-0005-0000-0000-00005E0E0000}"/>
    <cellStyle name="20% - Accent2 3 3 2 3 2 2 2" xfId="10031" xr:uid="{00000000-0005-0000-0000-00005F0E0000}"/>
    <cellStyle name="20% - Accent2 3 3 2 3 2 2 2 2" xfId="34203" xr:uid="{00000000-0005-0000-0000-0000600E0000}"/>
    <cellStyle name="20% - Accent2 3 3 2 3 2 2 3" xfId="31621" xr:uid="{00000000-0005-0000-0000-0000610E0000}"/>
    <cellStyle name="20% - Accent2 3 3 2 3 2 3" xfId="28267" xr:uid="{00000000-0005-0000-0000-0000620E0000}"/>
    <cellStyle name="20% - Accent2 3 3 2 3 2 3 2" xfId="10019" xr:uid="{00000000-0005-0000-0000-0000630E0000}"/>
    <cellStyle name="20% - Accent2 3 3 2 3 2 4" xfId="28218" xr:uid="{00000000-0005-0000-0000-0000640E0000}"/>
    <cellStyle name="20% - Accent2 3 3 2 3 3" xfId="28782" xr:uid="{00000000-0005-0000-0000-0000650E0000}"/>
    <cellStyle name="20% - Accent2 3 3 2 3 3 2" xfId="28781" xr:uid="{00000000-0005-0000-0000-0000660E0000}"/>
    <cellStyle name="20% - Accent2 3 3 2 3 3 2 2" xfId="9999" xr:uid="{00000000-0005-0000-0000-0000670E0000}"/>
    <cellStyle name="20% - Accent2 3 3 2 3 3 3" xfId="28778" xr:uid="{00000000-0005-0000-0000-0000680E0000}"/>
    <cellStyle name="20% - Accent2 3 3 2 3 4" xfId="21081" xr:uid="{00000000-0005-0000-0000-0000690E0000}"/>
    <cellStyle name="20% - Accent2 3 3 2 3 4 2" xfId="6517" xr:uid="{00000000-0005-0000-0000-00006A0E0000}"/>
    <cellStyle name="20% - Accent2 3 3 2 3 5" xfId="6514" xr:uid="{00000000-0005-0000-0000-00006B0E0000}"/>
    <cellStyle name="20% - Accent2 3 3 2 4" xfId="33007" xr:uid="{00000000-0005-0000-0000-00006C0E0000}"/>
    <cellStyle name="20% - Accent2 3 3 2 4 2" xfId="19787" xr:uid="{00000000-0005-0000-0000-00006D0E0000}"/>
    <cellStyle name="20% - Accent2 3 3 2 4 2 2" xfId="28765" xr:uid="{00000000-0005-0000-0000-00006E0E0000}"/>
    <cellStyle name="20% - Accent2 3 3 2 4 2 2 2" xfId="9958" xr:uid="{00000000-0005-0000-0000-00006F0E0000}"/>
    <cellStyle name="20% - Accent2 3 3 2 4 2 3" xfId="28762" xr:uid="{00000000-0005-0000-0000-0000700E0000}"/>
    <cellStyle name="20% - Accent2 3 3 2 4 3" xfId="28761" xr:uid="{00000000-0005-0000-0000-0000710E0000}"/>
    <cellStyle name="20% - Accent2 3 3 2 4 3 2" xfId="28757" xr:uid="{00000000-0005-0000-0000-0000720E0000}"/>
    <cellStyle name="20% - Accent2 3 3 2 4 4" xfId="6511" xr:uid="{00000000-0005-0000-0000-0000730E0000}"/>
    <cellStyle name="20% - Accent2 3 3 2 5" xfId="28750" xr:uid="{00000000-0005-0000-0000-0000740E0000}"/>
    <cellStyle name="20% - Accent2 3 3 2 5 2" xfId="28747" xr:uid="{00000000-0005-0000-0000-0000750E0000}"/>
    <cellStyle name="20% - Accent2 3 3 2 5 2 2" xfId="28742" xr:uid="{00000000-0005-0000-0000-0000760E0000}"/>
    <cellStyle name="20% - Accent2 3 3 2 5 3" xfId="28736" xr:uid="{00000000-0005-0000-0000-0000770E0000}"/>
    <cellStyle name="20% - Accent2 3 3 2 6" xfId="28733" xr:uid="{00000000-0005-0000-0000-0000780E0000}"/>
    <cellStyle name="20% - Accent2 3 3 2 6 2" xfId="28724" xr:uid="{00000000-0005-0000-0000-0000790E0000}"/>
    <cellStyle name="20% - Accent2 3 3 2 7" xfId="13683" xr:uid="{00000000-0005-0000-0000-00007A0E0000}"/>
    <cellStyle name="20% - Accent2 3 3 3" xfId="26297" xr:uid="{00000000-0005-0000-0000-00007B0E0000}"/>
    <cellStyle name="20% - Accent2 3 3 3 2" xfId="32846" xr:uid="{00000000-0005-0000-0000-00007C0E0000}"/>
    <cellStyle name="20% - Accent2 3 3 3 2 2" xfId="22081" xr:uid="{00000000-0005-0000-0000-00007D0E0000}"/>
    <cellStyle name="20% - Accent2 3 3 3 2 2 2" xfId="10908" xr:uid="{00000000-0005-0000-0000-00007E0E0000}"/>
    <cellStyle name="20% - Accent2 3 3 3 2 2 2 2" xfId="9861" xr:uid="{00000000-0005-0000-0000-00007F0E0000}"/>
    <cellStyle name="20% - Accent2 3 3 3 2 2 2 2 2" xfId="32662" xr:uid="{00000000-0005-0000-0000-0000800E0000}"/>
    <cellStyle name="20% - Accent2 3 3 3 2 2 2 3" xfId="31405" xr:uid="{00000000-0005-0000-0000-0000810E0000}"/>
    <cellStyle name="20% - Accent2 3 3 3 2 2 3" xfId="10905" xr:uid="{00000000-0005-0000-0000-0000820E0000}"/>
    <cellStyle name="20% - Accent2 3 3 3 2 2 3 2" xfId="9838" xr:uid="{00000000-0005-0000-0000-0000830E0000}"/>
    <cellStyle name="20% - Accent2 3 3 3 2 2 4" xfId="26544" xr:uid="{00000000-0005-0000-0000-0000840E0000}"/>
    <cellStyle name="20% - Accent2 3 3 3 2 3" xfId="26850" xr:uid="{00000000-0005-0000-0000-0000850E0000}"/>
    <cellStyle name="20% - Accent2 3 3 3 2 3 2" xfId="10900" xr:uid="{00000000-0005-0000-0000-0000860E0000}"/>
    <cellStyle name="20% - Accent2 3 3 3 2 3 2 2" xfId="9812" xr:uid="{00000000-0005-0000-0000-0000870E0000}"/>
    <cellStyle name="20% - Accent2 3 3 3 2 3 3" xfId="26490" xr:uid="{00000000-0005-0000-0000-0000880E0000}"/>
    <cellStyle name="20% - Accent2 3 3 3 2 4" xfId="26838" xr:uid="{00000000-0005-0000-0000-0000890E0000}"/>
    <cellStyle name="20% - Accent2 3 3 3 2 4 2" xfId="26485" xr:uid="{00000000-0005-0000-0000-00008A0E0000}"/>
    <cellStyle name="20% - Accent2 3 3 3 2 5" xfId="26475" xr:uid="{00000000-0005-0000-0000-00008B0E0000}"/>
    <cellStyle name="20% - Accent2 3 3 3 3" xfId="32839" xr:uid="{00000000-0005-0000-0000-00008C0E0000}"/>
    <cellStyle name="20% - Accent2 3 3 3 3 2" xfId="28696" xr:uid="{00000000-0005-0000-0000-00008D0E0000}"/>
    <cellStyle name="20% - Accent2 3 3 3 3 2 2" xfId="10892" xr:uid="{00000000-0005-0000-0000-00008E0E0000}"/>
    <cellStyle name="20% - Accent2 3 3 3 3 2 2 2" xfId="9755" xr:uid="{00000000-0005-0000-0000-00008F0E0000}"/>
    <cellStyle name="20% - Accent2 3 3 3 3 2 3" xfId="34025" xr:uid="{00000000-0005-0000-0000-0000900E0000}"/>
    <cellStyle name="20% - Accent2 3 3 3 3 3" xfId="26813" xr:uid="{00000000-0005-0000-0000-0000910E0000}"/>
    <cellStyle name="20% - Accent2 3 3 3 3 3 2" xfId="26472" xr:uid="{00000000-0005-0000-0000-0000920E0000}"/>
    <cellStyle name="20% - Accent2 3 3 3 3 4" xfId="26470" xr:uid="{00000000-0005-0000-0000-0000930E0000}"/>
    <cellStyle name="20% - Accent2 3 3 3 4" xfId="28693" xr:uid="{00000000-0005-0000-0000-0000940E0000}"/>
    <cellStyle name="20% - Accent2 3 3 3 4 2" xfId="28690" xr:uid="{00000000-0005-0000-0000-0000950E0000}"/>
    <cellStyle name="20% - Accent2 3 3 3 4 2 2" xfId="28687" xr:uid="{00000000-0005-0000-0000-0000960E0000}"/>
    <cellStyle name="20% - Accent2 3 3 3 4 3" xfId="26464" xr:uid="{00000000-0005-0000-0000-0000970E0000}"/>
    <cellStyle name="20% - Accent2 3 3 3 5" xfId="28686" xr:uid="{00000000-0005-0000-0000-0000980E0000}"/>
    <cellStyle name="20% - Accent2 3 3 3 5 2" xfId="28684" xr:uid="{00000000-0005-0000-0000-0000990E0000}"/>
    <cellStyle name="20% - Accent2 3 3 3 6" xfId="28682" xr:uid="{00000000-0005-0000-0000-00009A0E0000}"/>
    <cellStyle name="20% - Accent2 3 3 4" xfId="20870" xr:uid="{00000000-0005-0000-0000-00009B0E0000}"/>
    <cellStyle name="20% - Accent2 3 3 4 2" xfId="32827" xr:uid="{00000000-0005-0000-0000-00009C0E0000}"/>
    <cellStyle name="20% - Accent2 3 3 4 2 2" xfId="24969" xr:uid="{00000000-0005-0000-0000-00009D0E0000}"/>
    <cellStyle name="20% - Accent2 3 3 4 2 2 2" xfId="10851" xr:uid="{00000000-0005-0000-0000-00009E0E0000}"/>
    <cellStyle name="20% - Accent2 3 3 4 2 2 2 2" xfId="9659" xr:uid="{00000000-0005-0000-0000-00009F0E0000}"/>
    <cellStyle name="20% - Accent2 3 3 4 2 2 3" xfId="28680" xr:uid="{00000000-0005-0000-0000-0000A00E0000}"/>
    <cellStyle name="20% - Accent2 3 3 4 2 3" xfId="25003" xr:uid="{00000000-0005-0000-0000-0000A10E0000}"/>
    <cellStyle name="20% - Accent2 3 3 4 2 3 2" xfId="26461" xr:uid="{00000000-0005-0000-0000-0000A20E0000}"/>
    <cellStyle name="20% - Accent2 3 3 4 2 4" xfId="24986" xr:uid="{00000000-0005-0000-0000-0000A30E0000}"/>
    <cellStyle name="20% - Accent2 3 3 4 3" xfId="28679" xr:uid="{00000000-0005-0000-0000-0000A40E0000}"/>
    <cellStyle name="20% - Accent2 3 3 4 3 2" xfId="24959" xr:uid="{00000000-0005-0000-0000-0000A50E0000}"/>
    <cellStyle name="20% - Accent2 3 3 4 3 2 2" xfId="28677" xr:uid="{00000000-0005-0000-0000-0000A60E0000}"/>
    <cellStyle name="20% - Accent2 3 3 4 3 3" xfId="24943" xr:uid="{00000000-0005-0000-0000-0000A70E0000}"/>
    <cellStyle name="20% - Accent2 3 3 4 4" xfId="28676" xr:uid="{00000000-0005-0000-0000-0000A80E0000}"/>
    <cellStyle name="20% - Accent2 3 3 4 4 2" xfId="24924" xr:uid="{00000000-0005-0000-0000-0000A90E0000}"/>
    <cellStyle name="20% - Accent2 3 3 4 5" xfId="32124" xr:uid="{00000000-0005-0000-0000-0000AA0E0000}"/>
    <cellStyle name="20% - Accent2 3 3 5" xfId="13417" xr:uid="{00000000-0005-0000-0000-0000AB0E0000}"/>
    <cellStyle name="20% - Accent2 3 3 5 2" xfId="28674" xr:uid="{00000000-0005-0000-0000-0000AC0E0000}"/>
    <cellStyle name="20% - Accent2 3 3 5 2 2" xfId="22106" xr:uid="{00000000-0005-0000-0000-0000AD0E0000}"/>
    <cellStyle name="20% - Accent2 3 3 5 2 2 2" xfId="19797" xr:uid="{00000000-0005-0000-0000-0000AE0E0000}"/>
    <cellStyle name="20% - Accent2 3 3 5 2 3" xfId="24290" xr:uid="{00000000-0005-0000-0000-0000AF0E0000}"/>
    <cellStyle name="20% - Accent2 3 3 5 3" xfId="28669" xr:uid="{00000000-0005-0000-0000-0000B00E0000}"/>
    <cellStyle name="20% - Accent2 3 3 5 3 2" xfId="22095" xr:uid="{00000000-0005-0000-0000-0000B10E0000}"/>
    <cellStyle name="20% - Accent2 3 3 5 4" xfId="23547" xr:uid="{00000000-0005-0000-0000-0000B20E0000}"/>
    <cellStyle name="20% - Accent2 3 3 6" xfId="28659" xr:uid="{00000000-0005-0000-0000-0000B30E0000}"/>
    <cellStyle name="20% - Accent2 3 3 6 2" xfId="28656" xr:uid="{00000000-0005-0000-0000-0000B40E0000}"/>
    <cellStyle name="20% - Accent2 3 3 6 2 2" xfId="22090" xr:uid="{00000000-0005-0000-0000-0000B50E0000}"/>
    <cellStyle name="20% - Accent2 3 3 6 3" xfId="19021" xr:uid="{00000000-0005-0000-0000-0000B60E0000}"/>
    <cellStyle name="20% - Accent2 3 3 7" xfId="28650" xr:uid="{00000000-0005-0000-0000-0000B70E0000}"/>
    <cellStyle name="20% - Accent2 3 3 7 2" xfId="28647" xr:uid="{00000000-0005-0000-0000-0000B80E0000}"/>
    <cellStyle name="20% - Accent2 3 3 8" xfId="7689" xr:uid="{00000000-0005-0000-0000-0000B90E0000}"/>
    <cellStyle name="20% - Accent2 3 3 9" xfId="34551" xr:uid="{00000000-0005-0000-0000-0000BA0E0000}"/>
    <cellStyle name="20% - Accent2 3 4" xfId="18679" xr:uid="{00000000-0005-0000-0000-0000BB0E0000}"/>
    <cellStyle name="20% - Accent2 3 4 2" xfId="27356" xr:uid="{00000000-0005-0000-0000-0000BC0E0000}"/>
    <cellStyle name="20% - Accent2 3 4 2 2" xfId="32439" xr:uid="{00000000-0005-0000-0000-0000BD0E0000}"/>
    <cellStyle name="20% - Accent2 3 4 2 2 2" xfId="20155" xr:uid="{00000000-0005-0000-0000-0000BE0E0000}"/>
    <cellStyle name="20% - Accent2 3 4 2 2 2 2" xfId="11701" xr:uid="{00000000-0005-0000-0000-0000BF0E0000}"/>
    <cellStyle name="20% - Accent2 3 4 2 2 2 2 2" xfId="26354" xr:uid="{00000000-0005-0000-0000-0000C00E0000}"/>
    <cellStyle name="20% - Accent2 3 4 2 2 2 2 2 2" xfId="34342" xr:uid="{00000000-0005-0000-0000-0000C10E0000}"/>
    <cellStyle name="20% - Accent2 3 4 2 2 2 2 3" xfId="21185" xr:uid="{00000000-0005-0000-0000-0000C20E0000}"/>
    <cellStyle name="20% - Accent2 3 4 2 2 2 3" xfId="28636" xr:uid="{00000000-0005-0000-0000-0000C30E0000}"/>
    <cellStyle name="20% - Accent2 3 4 2 2 2 3 2" xfId="9482" xr:uid="{00000000-0005-0000-0000-0000C40E0000}"/>
    <cellStyle name="20% - Accent2 3 4 2 2 2 4" xfId="28631" xr:uid="{00000000-0005-0000-0000-0000C50E0000}"/>
    <cellStyle name="20% - Accent2 3 4 2 2 3" xfId="28628" xr:uid="{00000000-0005-0000-0000-0000C60E0000}"/>
    <cellStyle name="20% - Accent2 3 4 2 2 3 2" xfId="28627" xr:uid="{00000000-0005-0000-0000-0000C70E0000}"/>
    <cellStyle name="20% - Accent2 3 4 2 2 3 2 2" xfId="28843" xr:uid="{00000000-0005-0000-0000-0000C80E0000}"/>
    <cellStyle name="20% - Accent2 3 4 2 2 3 3" xfId="28620" xr:uid="{00000000-0005-0000-0000-0000C90E0000}"/>
    <cellStyle name="20% - Accent2 3 4 2 2 4" xfId="28619" xr:uid="{00000000-0005-0000-0000-0000CA0E0000}"/>
    <cellStyle name="20% - Accent2 3 4 2 2 4 2" xfId="28611" xr:uid="{00000000-0005-0000-0000-0000CB0E0000}"/>
    <cellStyle name="20% - Accent2 3 4 2 2 5" xfId="28609" xr:uid="{00000000-0005-0000-0000-0000CC0E0000}"/>
    <cellStyle name="20% - Accent2 3 4 2 3" xfId="20396" xr:uid="{00000000-0005-0000-0000-0000CD0E0000}"/>
    <cellStyle name="20% - Accent2 3 4 2 3 2" xfId="27630" xr:uid="{00000000-0005-0000-0000-0000CE0E0000}"/>
    <cellStyle name="20% - Accent2 3 4 2 3 2 2" xfId="9080" xr:uid="{00000000-0005-0000-0000-0000CF0E0000}"/>
    <cellStyle name="20% - Accent2 3 4 2 3 2 2 2" xfId="14898" xr:uid="{00000000-0005-0000-0000-0000D00E0000}"/>
    <cellStyle name="20% - Accent2 3 4 2 3 2 3" xfId="18323" xr:uid="{00000000-0005-0000-0000-0000D10E0000}"/>
    <cellStyle name="20% - Accent2 3 4 2 3 3" xfId="28597" xr:uid="{00000000-0005-0000-0000-0000D20E0000}"/>
    <cellStyle name="20% - Accent2 3 4 2 3 3 2" xfId="28596" xr:uid="{00000000-0005-0000-0000-0000D30E0000}"/>
    <cellStyle name="20% - Accent2 3 4 2 3 4" xfId="6430" xr:uid="{00000000-0005-0000-0000-0000D40E0000}"/>
    <cellStyle name="20% - Accent2 3 4 2 4" xfId="28593" xr:uid="{00000000-0005-0000-0000-0000D50E0000}"/>
    <cellStyle name="20% - Accent2 3 4 2 4 2" xfId="28587" xr:uid="{00000000-0005-0000-0000-0000D60E0000}"/>
    <cellStyle name="20% - Accent2 3 4 2 4 2 2" xfId="7163" xr:uid="{00000000-0005-0000-0000-0000D70E0000}"/>
    <cellStyle name="20% - Accent2 3 4 2 4 3" xfId="27886" xr:uid="{00000000-0005-0000-0000-0000D80E0000}"/>
    <cellStyle name="20% - Accent2 3 4 2 5" xfId="28583" xr:uid="{00000000-0005-0000-0000-0000D90E0000}"/>
    <cellStyle name="20% - Accent2 3 4 2 5 2" xfId="28580" xr:uid="{00000000-0005-0000-0000-0000DA0E0000}"/>
    <cellStyle name="20% - Accent2 3 4 2 6" xfId="28575" xr:uid="{00000000-0005-0000-0000-0000DB0E0000}"/>
    <cellStyle name="20% - Accent2 3 4 3" xfId="33176" xr:uid="{00000000-0005-0000-0000-0000DC0E0000}"/>
    <cellStyle name="20% - Accent2 3 4 3 2" xfId="34316" xr:uid="{00000000-0005-0000-0000-0000DD0E0000}"/>
    <cellStyle name="20% - Accent2 3 4 3 2 2" xfId="23077" xr:uid="{00000000-0005-0000-0000-0000DE0E0000}"/>
    <cellStyle name="20% - Accent2 3 4 3 2 2 2" xfId="18265" xr:uid="{00000000-0005-0000-0000-0000DF0E0000}"/>
    <cellStyle name="20% - Accent2 3 4 3 2 2 2 2" xfId="16879" xr:uid="{00000000-0005-0000-0000-0000E00E0000}"/>
    <cellStyle name="20% - Accent2 3 4 3 2 2 3" xfId="18252" xr:uid="{00000000-0005-0000-0000-0000E10E0000}"/>
    <cellStyle name="20% - Accent2 3 4 3 2 3" xfId="23068" xr:uid="{00000000-0005-0000-0000-0000E20E0000}"/>
    <cellStyle name="20% - Accent2 3 4 3 2 3 2" xfId="18241" xr:uid="{00000000-0005-0000-0000-0000E30E0000}"/>
    <cellStyle name="20% - Accent2 3 4 3 2 4" xfId="23062" xr:uid="{00000000-0005-0000-0000-0000E40E0000}"/>
    <cellStyle name="20% - Accent2 3 4 3 3" xfId="28561" xr:uid="{00000000-0005-0000-0000-0000E50E0000}"/>
    <cellStyle name="20% - Accent2 3 4 3 3 2" xfId="28556" xr:uid="{00000000-0005-0000-0000-0000E60E0000}"/>
    <cellStyle name="20% - Accent2 3 4 3 3 2 2" xfId="28555" xr:uid="{00000000-0005-0000-0000-0000E70E0000}"/>
    <cellStyle name="20% - Accent2 3 4 3 3 3" xfId="26440" xr:uid="{00000000-0005-0000-0000-0000E80E0000}"/>
    <cellStyle name="20% - Accent2 3 4 3 4" xfId="28552" xr:uid="{00000000-0005-0000-0000-0000E90E0000}"/>
    <cellStyle name="20% - Accent2 3 4 3 4 2" xfId="28544" xr:uid="{00000000-0005-0000-0000-0000EA0E0000}"/>
    <cellStyle name="20% - Accent2 3 4 3 5" xfId="28542" xr:uid="{00000000-0005-0000-0000-0000EB0E0000}"/>
    <cellStyle name="20% - Accent2 3 4 4" xfId="20688" xr:uid="{00000000-0005-0000-0000-0000EC0E0000}"/>
    <cellStyle name="20% - Accent2 3 4 4 2" xfId="21090" xr:uid="{00000000-0005-0000-0000-0000ED0E0000}"/>
    <cellStyle name="20% - Accent2 3 4 4 2 2" xfId="17846" xr:uid="{00000000-0005-0000-0000-0000EE0E0000}"/>
    <cellStyle name="20% - Accent2 3 4 4 2 2 2" xfId="24297" xr:uid="{00000000-0005-0000-0000-0000EF0E0000}"/>
    <cellStyle name="20% - Accent2 3 4 4 2 3" xfId="23020" xr:uid="{00000000-0005-0000-0000-0000F00E0000}"/>
    <cellStyle name="20% - Accent2 3 4 4 3" xfId="21078" xr:uid="{00000000-0005-0000-0000-0000F10E0000}"/>
    <cellStyle name="20% - Accent2 3 4 4 3 2" xfId="28530" xr:uid="{00000000-0005-0000-0000-0000F20E0000}"/>
    <cellStyle name="20% - Accent2 3 4 4 4" xfId="21066" xr:uid="{00000000-0005-0000-0000-0000F30E0000}"/>
    <cellStyle name="20% - Accent2 3 4 5" xfId="13409" xr:uid="{00000000-0005-0000-0000-0000F40E0000}"/>
    <cellStyle name="20% - Accent2 3 4 5 2" xfId="21037" xr:uid="{00000000-0005-0000-0000-0000F50E0000}"/>
    <cellStyle name="20% - Accent2 3 4 5 2 2" xfId="22068" xr:uid="{00000000-0005-0000-0000-0000F60E0000}"/>
    <cellStyle name="20% - Accent2 3 4 5 3" xfId="21028" xr:uid="{00000000-0005-0000-0000-0000F70E0000}"/>
    <cellStyle name="20% - Accent2 3 4 6" xfId="25981" xr:uid="{00000000-0005-0000-0000-0000F80E0000}"/>
    <cellStyle name="20% - Accent2 3 4 6 2" xfId="21009" xr:uid="{00000000-0005-0000-0000-0000F90E0000}"/>
    <cellStyle name="20% - Accent2 3 4 7" xfId="28507" xr:uid="{00000000-0005-0000-0000-0000FA0E0000}"/>
    <cellStyle name="20% - Accent2 3 4 8" xfId="34773" xr:uid="{00000000-0005-0000-0000-0000FB0E0000}"/>
    <cellStyle name="20% - Accent2 3 5" xfId="26587" xr:uid="{00000000-0005-0000-0000-0000FC0E0000}"/>
    <cellStyle name="20% - Accent2 3 5 2" xfId="23913" xr:uid="{00000000-0005-0000-0000-0000FD0E0000}"/>
    <cellStyle name="20% - Accent2 3 5 2 2" xfId="12107" xr:uid="{00000000-0005-0000-0000-0000FE0E0000}"/>
    <cellStyle name="20% - Accent2 3 5 2 2 2" xfId="14569" xr:uid="{00000000-0005-0000-0000-0000FF0E0000}"/>
    <cellStyle name="20% - Accent2 3 5 2 2 2 2" xfId="24731" xr:uid="{00000000-0005-0000-0000-0000000F0000}"/>
    <cellStyle name="20% - Accent2 3 5 2 2 2 2 2" xfId="9308" xr:uid="{00000000-0005-0000-0000-0000010F0000}"/>
    <cellStyle name="20% - Accent2 3 5 2 2 2 3" xfId="28497" xr:uid="{00000000-0005-0000-0000-0000020F0000}"/>
    <cellStyle name="20% - Accent2 3 5 2 2 3" xfId="18936" xr:uid="{00000000-0005-0000-0000-0000030F0000}"/>
    <cellStyle name="20% - Accent2 3 5 2 2 3 2" xfId="28490" xr:uid="{00000000-0005-0000-0000-0000040F0000}"/>
    <cellStyle name="20% - Accent2 3 5 2 2 4" xfId="29517" xr:uid="{00000000-0005-0000-0000-0000050F0000}"/>
    <cellStyle name="20% - Accent2 3 5 2 3" xfId="30039" xr:uid="{00000000-0005-0000-0000-0000060F0000}"/>
    <cellStyle name="20% - Accent2 3 5 2 3 2" xfId="30324" xr:uid="{00000000-0005-0000-0000-0000070F0000}"/>
    <cellStyle name="20% - Accent2 3 5 2 3 2 2" xfId="28479" xr:uid="{00000000-0005-0000-0000-0000080F0000}"/>
    <cellStyle name="20% - Accent2 3 5 2 3 3" xfId="29498" xr:uid="{00000000-0005-0000-0000-0000090F0000}"/>
    <cellStyle name="20% - Accent2 3 5 2 4" xfId="30019" xr:uid="{00000000-0005-0000-0000-00000A0F0000}"/>
    <cellStyle name="20% - Accent2 3 5 2 4 2" xfId="6059" xr:uid="{00000000-0005-0000-0000-00000B0F0000}"/>
    <cellStyle name="20% - Accent2 3 5 2 5" xfId="29466" xr:uid="{00000000-0005-0000-0000-00000C0F0000}"/>
    <cellStyle name="20% - Accent2 3 5 3" xfId="31991" xr:uid="{00000000-0005-0000-0000-00000D0F0000}"/>
    <cellStyle name="20% - Accent2 3 5 3 2" xfId="29441" xr:uid="{00000000-0005-0000-0000-00000E0F0000}"/>
    <cellStyle name="20% - Accent2 3 5 3 2 2" xfId="26918" xr:uid="{00000000-0005-0000-0000-00000F0F0000}"/>
    <cellStyle name="20% - Accent2 3 5 3 2 2 2" xfId="8654" xr:uid="{00000000-0005-0000-0000-0000100F0000}"/>
    <cellStyle name="20% - Accent2 3 5 3 2 3" xfId="26411" xr:uid="{00000000-0005-0000-0000-0000110F0000}"/>
    <cellStyle name="20% - Accent2 3 5 3 3" xfId="33637" xr:uid="{00000000-0005-0000-0000-0000120F0000}"/>
    <cellStyle name="20% - Accent2 3 5 3 3 2" xfId="25674" xr:uid="{00000000-0005-0000-0000-0000130F0000}"/>
    <cellStyle name="20% - Accent2 3 5 3 4" xfId="29414" xr:uid="{00000000-0005-0000-0000-0000140F0000}"/>
    <cellStyle name="20% - Accent2 3 5 4" xfId="28468" xr:uid="{00000000-0005-0000-0000-0000150F0000}"/>
    <cellStyle name="20% - Accent2 3 5 4 2" xfId="21985" xr:uid="{00000000-0005-0000-0000-0000160F0000}"/>
    <cellStyle name="20% - Accent2 3 5 4 2 2" xfId="25648" xr:uid="{00000000-0005-0000-0000-0000170F0000}"/>
    <cellStyle name="20% - Accent2 3 5 4 3" xfId="20766" xr:uid="{00000000-0005-0000-0000-0000180F0000}"/>
    <cellStyle name="20% - Accent2 3 5 5" xfId="28465" xr:uid="{00000000-0005-0000-0000-0000190F0000}"/>
    <cellStyle name="20% - Accent2 3 5 5 2" xfId="21954" xr:uid="{00000000-0005-0000-0000-00001A0F0000}"/>
    <cellStyle name="20% - Accent2 3 5 6" xfId="28460" xr:uid="{00000000-0005-0000-0000-00001B0F0000}"/>
    <cellStyle name="20% - Accent2 3 5 7" xfId="34964" xr:uid="{00000000-0005-0000-0000-00001C0F0000}"/>
    <cellStyle name="20% - Accent2 3 6" xfId="28342" xr:uid="{00000000-0005-0000-0000-00001D0F0000}"/>
    <cellStyle name="20% - Accent2 3 6 2" xfId="18902" xr:uid="{00000000-0005-0000-0000-00001E0F0000}"/>
    <cellStyle name="20% - Accent2 3 6 2 2" xfId="31299" xr:uid="{00000000-0005-0000-0000-00001F0F0000}"/>
    <cellStyle name="20% - Accent2 3 6 2 2 2" xfId="24463" xr:uid="{00000000-0005-0000-0000-0000200F0000}"/>
    <cellStyle name="20% - Accent2 3 6 2 2 2 2" xfId="32889" xr:uid="{00000000-0005-0000-0000-0000210F0000}"/>
    <cellStyle name="20% - Accent2 3 6 2 2 3" xfId="29335" xr:uid="{00000000-0005-0000-0000-0000220F0000}"/>
    <cellStyle name="20% - Accent2 3 6 2 3" xfId="30004" xr:uid="{00000000-0005-0000-0000-0000230F0000}"/>
    <cellStyle name="20% - Accent2 3 6 2 3 2" xfId="29319" xr:uid="{00000000-0005-0000-0000-0000240F0000}"/>
    <cellStyle name="20% - Accent2 3 6 2 4" xfId="29311" xr:uid="{00000000-0005-0000-0000-0000250F0000}"/>
    <cellStyle name="20% - Accent2 3 6 3" xfId="17963" xr:uid="{00000000-0005-0000-0000-0000260F0000}"/>
    <cellStyle name="20% - Accent2 3 6 3 2" xfId="30201" xr:uid="{00000000-0005-0000-0000-0000270F0000}"/>
    <cellStyle name="20% - Accent2 3 6 3 2 2" xfId="25552" xr:uid="{00000000-0005-0000-0000-0000280F0000}"/>
    <cellStyle name="20% - Accent2 3 6 3 3" xfId="30406" xr:uid="{00000000-0005-0000-0000-0000290F0000}"/>
    <cellStyle name="20% - Accent2 3 6 4" xfId="29433" xr:uid="{00000000-0005-0000-0000-00002A0F0000}"/>
    <cellStyle name="20% - Accent2 3 6 4 2" xfId="21774" xr:uid="{00000000-0005-0000-0000-00002B0F0000}"/>
    <cellStyle name="20% - Accent2 3 6 5" xfId="28455" xr:uid="{00000000-0005-0000-0000-00002C0F0000}"/>
    <cellStyle name="20% - Accent2 3 6 6" xfId="35169" xr:uid="{00000000-0005-0000-0000-00002D0F0000}"/>
    <cellStyle name="20% - Accent2 3 7" xfId="24932" xr:uid="{00000000-0005-0000-0000-00002E0F0000}"/>
    <cellStyle name="20% - Accent2 3 7 2" xfId="17960" xr:uid="{00000000-0005-0000-0000-00002F0F0000}"/>
    <cellStyle name="20% - Accent2 3 7 2 2" xfId="31006" xr:uid="{00000000-0005-0000-0000-0000300F0000}"/>
    <cellStyle name="20% - Accent2 3 7 2 2 2" xfId="31602" xr:uid="{00000000-0005-0000-0000-0000310F0000}"/>
    <cellStyle name="20% - Accent2 3 7 2 3" xfId="32160" xr:uid="{00000000-0005-0000-0000-0000320F0000}"/>
    <cellStyle name="20% - Accent2 3 7 3" xfId="31876" xr:uid="{00000000-0005-0000-0000-0000330F0000}"/>
    <cellStyle name="20% - Accent2 3 7 3 2" xfId="32603" xr:uid="{00000000-0005-0000-0000-0000340F0000}"/>
    <cellStyle name="20% - Accent2 3 7 4" xfId="33355" xr:uid="{00000000-0005-0000-0000-0000350F0000}"/>
    <cellStyle name="20% - Accent2 3 7 5" xfId="35398" xr:uid="{00000000-0005-0000-0000-0000360F0000}"/>
    <cellStyle name="20% - Accent2 3 8" xfId="8345" xr:uid="{00000000-0005-0000-0000-0000370F0000}"/>
    <cellStyle name="20% - Accent2 3 8 2" xfId="28446" xr:uid="{00000000-0005-0000-0000-0000380F0000}"/>
    <cellStyle name="20% - Accent2 3 8 2 2" xfId="30712" xr:uid="{00000000-0005-0000-0000-0000390F0000}"/>
    <cellStyle name="20% - Accent2 3 8 3" xfId="30935" xr:uid="{00000000-0005-0000-0000-00003A0F0000}"/>
    <cellStyle name="20% - Accent2 3 8 4" xfId="36270" xr:uid="{00000000-0005-0000-0000-00003B0F0000}"/>
    <cellStyle name="20% - Accent2 3 9" xfId="28443" xr:uid="{00000000-0005-0000-0000-00003C0F0000}"/>
    <cellStyle name="20% - Accent2 3 9 2" xfId="22847" xr:uid="{00000000-0005-0000-0000-00003D0F0000}"/>
    <cellStyle name="20% - Accent2 3 9 3" xfId="36556" xr:uid="{00000000-0005-0000-0000-00003E0F0000}"/>
    <cellStyle name="20% - Accent2 30" xfId="35895" xr:uid="{00000000-0005-0000-0000-00003F0F0000}"/>
    <cellStyle name="20% - Accent2 30 2" xfId="37067" xr:uid="{00000000-0005-0000-0000-0000400F0000}"/>
    <cellStyle name="20% - Accent2 30 3" xfId="37962" xr:uid="{00000000-0005-0000-0000-0000410F0000}"/>
    <cellStyle name="20% - Accent2 31" xfId="35915" xr:uid="{00000000-0005-0000-0000-0000420F0000}"/>
    <cellStyle name="20% - Accent2 31 2" xfId="37086" xr:uid="{00000000-0005-0000-0000-0000430F0000}"/>
    <cellStyle name="20% - Accent2 31 3" xfId="37982" xr:uid="{00000000-0005-0000-0000-0000440F0000}"/>
    <cellStyle name="20% - Accent2 32" xfId="35935" xr:uid="{00000000-0005-0000-0000-0000450F0000}"/>
    <cellStyle name="20% - Accent2 32 2" xfId="37105" xr:uid="{00000000-0005-0000-0000-0000460F0000}"/>
    <cellStyle name="20% - Accent2 32 3" xfId="38002" xr:uid="{00000000-0005-0000-0000-0000470F0000}"/>
    <cellStyle name="20% - Accent2 33" xfId="35955" xr:uid="{00000000-0005-0000-0000-0000480F0000}"/>
    <cellStyle name="20% - Accent2 33 2" xfId="37124" xr:uid="{00000000-0005-0000-0000-0000490F0000}"/>
    <cellStyle name="20% - Accent2 33 3" xfId="38022" xr:uid="{00000000-0005-0000-0000-00004A0F0000}"/>
    <cellStyle name="20% - Accent2 34" xfId="35975" xr:uid="{00000000-0005-0000-0000-00004B0F0000}"/>
    <cellStyle name="20% - Accent2 34 2" xfId="37144" xr:uid="{00000000-0005-0000-0000-00004C0F0000}"/>
    <cellStyle name="20% - Accent2 34 3" xfId="38042" xr:uid="{00000000-0005-0000-0000-00004D0F0000}"/>
    <cellStyle name="20% - Accent2 35" xfId="35995" xr:uid="{00000000-0005-0000-0000-00004E0F0000}"/>
    <cellStyle name="20% - Accent2 35 2" xfId="37164" xr:uid="{00000000-0005-0000-0000-00004F0F0000}"/>
    <cellStyle name="20% - Accent2 35 3" xfId="38062" xr:uid="{00000000-0005-0000-0000-0000500F0000}"/>
    <cellStyle name="20% - Accent2 36" xfId="36015" xr:uid="{00000000-0005-0000-0000-0000510F0000}"/>
    <cellStyle name="20% - Accent2 36 2" xfId="37184" xr:uid="{00000000-0005-0000-0000-0000520F0000}"/>
    <cellStyle name="20% - Accent2 36 3" xfId="38082" xr:uid="{00000000-0005-0000-0000-0000530F0000}"/>
    <cellStyle name="20% - Accent2 37" xfId="36035" xr:uid="{00000000-0005-0000-0000-0000540F0000}"/>
    <cellStyle name="20% - Accent2 37 2" xfId="37204" xr:uid="{00000000-0005-0000-0000-0000550F0000}"/>
    <cellStyle name="20% - Accent2 37 3" xfId="38102" xr:uid="{00000000-0005-0000-0000-0000560F0000}"/>
    <cellStyle name="20% - Accent2 38" xfId="36055" xr:uid="{00000000-0005-0000-0000-0000570F0000}"/>
    <cellStyle name="20% - Accent2 38 2" xfId="37224" xr:uid="{00000000-0005-0000-0000-0000580F0000}"/>
    <cellStyle name="20% - Accent2 38 3" xfId="38122" xr:uid="{00000000-0005-0000-0000-0000590F0000}"/>
    <cellStyle name="20% - Accent2 39" xfId="36075" xr:uid="{00000000-0005-0000-0000-00005A0F0000}"/>
    <cellStyle name="20% - Accent2 39 2" xfId="37244" xr:uid="{00000000-0005-0000-0000-00005B0F0000}"/>
    <cellStyle name="20% - Accent2 39 3" xfId="38142" xr:uid="{00000000-0005-0000-0000-00005C0F0000}"/>
    <cellStyle name="20% - Accent2 4" xfId="120" xr:uid="{00000000-0005-0000-0000-00005D0F0000}"/>
    <cellStyle name="20% - Accent2 4 10" xfId="34474" xr:uid="{00000000-0005-0000-0000-00005E0F0000}"/>
    <cellStyle name="20% - Accent2 4 11" xfId="5968" xr:uid="{00000000-0005-0000-0000-00005F0F0000}"/>
    <cellStyle name="20% - Accent2 4 2" xfId="243" xr:uid="{00000000-0005-0000-0000-0000600F0000}"/>
    <cellStyle name="20% - Accent2 4 2 10" xfId="19729" xr:uid="{00000000-0005-0000-0000-0000610F0000}"/>
    <cellStyle name="20% - Accent2 4 2 2" xfId="16418" xr:uid="{00000000-0005-0000-0000-0000620F0000}"/>
    <cellStyle name="20% - Accent2 4 2 2 2" xfId="32300" xr:uid="{00000000-0005-0000-0000-0000630F0000}"/>
    <cellStyle name="20% - Accent2 4 2 2 2 2" xfId="22031" xr:uid="{00000000-0005-0000-0000-0000640F0000}"/>
    <cellStyle name="20% - Accent2 4 2 2 2 2 2" xfId="24121" xr:uid="{00000000-0005-0000-0000-0000650F0000}"/>
    <cellStyle name="20% - Accent2 4 2 2 2 2 2 2" xfId="8837" xr:uid="{00000000-0005-0000-0000-0000660F0000}"/>
    <cellStyle name="20% - Accent2 4 2 2 2 2 2 2 2" xfId="22002" xr:uid="{00000000-0005-0000-0000-0000670F0000}"/>
    <cellStyle name="20% - Accent2 4 2 2 2 2 2 2 2 2" xfId="32344" xr:uid="{00000000-0005-0000-0000-0000680F0000}"/>
    <cellStyle name="20% - Accent2 4 2 2 2 2 2 2 3" xfId="15155" xr:uid="{00000000-0005-0000-0000-0000690F0000}"/>
    <cellStyle name="20% - Accent2 4 2 2 2 2 2 3" xfId="15558" xr:uid="{00000000-0005-0000-0000-00006A0F0000}"/>
    <cellStyle name="20% - Accent2 4 2 2 2 2 2 3 2" xfId="28434" xr:uid="{00000000-0005-0000-0000-00006B0F0000}"/>
    <cellStyle name="20% - Accent2 4 2 2 2 2 2 4" xfId="8825" xr:uid="{00000000-0005-0000-0000-00006C0F0000}"/>
    <cellStyle name="20% - Accent2 4 2 2 2 2 3" xfId="24581" xr:uid="{00000000-0005-0000-0000-00006D0F0000}"/>
    <cellStyle name="20% - Accent2 4 2 2 2 2 3 2" xfId="8808" xr:uid="{00000000-0005-0000-0000-00006E0F0000}"/>
    <cellStyle name="20% - Accent2 4 2 2 2 2 3 2 2" xfId="23453" xr:uid="{00000000-0005-0000-0000-00006F0F0000}"/>
    <cellStyle name="20% - Accent2 4 2 2 2 2 3 3" xfId="8803" xr:uid="{00000000-0005-0000-0000-0000700F0000}"/>
    <cellStyle name="20% - Accent2 4 2 2 2 2 4" xfId="21795" xr:uid="{00000000-0005-0000-0000-0000710F0000}"/>
    <cellStyle name="20% - Accent2 4 2 2 2 2 4 2" xfId="8791" xr:uid="{00000000-0005-0000-0000-0000720F0000}"/>
    <cellStyle name="20% - Accent2 4 2 2 2 2 5" xfId="18629" xr:uid="{00000000-0005-0000-0000-0000730F0000}"/>
    <cellStyle name="20% - Accent2 4 2 2 2 3" xfId="21649" xr:uid="{00000000-0005-0000-0000-0000740F0000}"/>
    <cellStyle name="20% - Accent2 4 2 2 2 3 2" xfId="24577" xr:uid="{00000000-0005-0000-0000-0000750F0000}"/>
    <cellStyle name="20% - Accent2 4 2 2 2 3 2 2" xfId="8762" xr:uid="{00000000-0005-0000-0000-0000760F0000}"/>
    <cellStyle name="20% - Accent2 4 2 2 2 3 2 2 2" xfId="21785" xr:uid="{00000000-0005-0000-0000-0000770F0000}"/>
    <cellStyle name="20% - Accent2 4 2 2 2 3 2 3" xfId="8752" xr:uid="{00000000-0005-0000-0000-0000780F0000}"/>
    <cellStyle name="20% - Accent2 4 2 2 2 3 3" xfId="21789" xr:uid="{00000000-0005-0000-0000-0000790F0000}"/>
    <cellStyle name="20% - Accent2 4 2 2 2 3 3 2" xfId="8738" xr:uid="{00000000-0005-0000-0000-00007A0F0000}"/>
    <cellStyle name="20% - Accent2 4 2 2 2 3 4" xfId="28406" xr:uid="{00000000-0005-0000-0000-00007B0F0000}"/>
    <cellStyle name="20% - Accent2 4 2 2 2 4" xfId="28403" xr:uid="{00000000-0005-0000-0000-00007C0F0000}"/>
    <cellStyle name="20% - Accent2 4 2 2 2 4 2" xfId="28402" xr:uid="{00000000-0005-0000-0000-00007D0F0000}"/>
    <cellStyle name="20% - Accent2 4 2 2 2 4 2 2" xfId="27379" xr:uid="{00000000-0005-0000-0000-00007E0F0000}"/>
    <cellStyle name="20% - Accent2 4 2 2 2 4 3" xfId="21728" xr:uid="{00000000-0005-0000-0000-00007F0F0000}"/>
    <cellStyle name="20% - Accent2 4 2 2 2 5" xfId="28401" xr:uid="{00000000-0005-0000-0000-0000800F0000}"/>
    <cellStyle name="20% - Accent2 4 2 2 2 5 2" xfId="26922" xr:uid="{00000000-0005-0000-0000-0000810F0000}"/>
    <cellStyle name="20% - Accent2 4 2 2 2 6" xfId="28399" xr:uid="{00000000-0005-0000-0000-0000820F0000}"/>
    <cellStyle name="20% - Accent2 4 2 2 3" xfId="32294" xr:uid="{00000000-0005-0000-0000-0000830F0000}"/>
    <cellStyle name="20% - Accent2 4 2 2 3 2" xfId="22026" xr:uid="{00000000-0005-0000-0000-0000840F0000}"/>
    <cellStyle name="20% - Accent2 4 2 2 3 2 2" xfId="24572" xr:uid="{00000000-0005-0000-0000-0000850F0000}"/>
    <cellStyle name="20% - Accent2 4 2 2 3 2 2 2" xfId="8626" xr:uid="{00000000-0005-0000-0000-0000860F0000}"/>
    <cellStyle name="20% - Accent2 4 2 2 3 2 2 2 2" xfId="21460" xr:uid="{00000000-0005-0000-0000-0000870F0000}"/>
    <cellStyle name="20% - Accent2 4 2 2 3 2 2 3" xfId="8620" xr:uid="{00000000-0005-0000-0000-0000880F0000}"/>
    <cellStyle name="20% - Accent2 4 2 2 3 2 3" xfId="23115" xr:uid="{00000000-0005-0000-0000-0000890F0000}"/>
    <cellStyle name="20% - Accent2 4 2 2 3 2 3 2" xfId="8606" xr:uid="{00000000-0005-0000-0000-00008A0F0000}"/>
    <cellStyle name="20% - Accent2 4 2 2 3 2 4" xfId="26034" xr:uid="{00000000-0005-0000-0000-00008B0F0000}"/>
    <cellStyle name="20% - Accent2 4 2 2 3 3" xfId="28385" xr:uid="{00000000-0005-0000-0000-00008C0F0000}"/>
    <cellStyle name="20% - Accent2 4 2 2 3 3 2" xfId="28384" xr:uid="{00000000-0005-0000-0000-00008D0F0000}"/>
    <cellStyle name="20% - Accent2 4 2 2 3 3 2 2" xfId="8586" xr:uid="{00000000-0005-0000-0000-00008E0F0000}"/>
    <cellStyle name="20% - Accent2 4 2 2 3 3 3" xfId="28382" xr:uid="{00000000-0005-0000-0000-00008F0F0000}"/>
    <cellStyle name="20% - Accent2 4 2 2 3 4" xfId="6211" xr:uid="{00000000-0005-0000-0000-0000900F0000}"/>
    <cellStyle name="20% - Accent2 4 2 2 3 4 2" xfId="28377" xr:uid="{00000000-0005-0000-0000-0000910F0000}"/>
    <cellStyle name="20% - Accent2 4 2 2 3 5" xfId="25895" xr:uid="{00000000-0005-0000-0000-0000920F0000}"/>
    <cellStyle name="20% - Accent2 4 2 2 4" xfId="29524" xr:uid="{00000000-0005-0000-0000-0000930F0000}"/>
    <cellStyle name="20% - Accent2 4 2 2 4 2" xfId="16913" xr:uid="{00000000-0005-0000-0000-0000940F0000}"/>
    <cellStyle name="20% - Accent2 4 2 2 4 2 2" xfId="16908" xr:uid="{00000000-0005-0000-0000-0000950F0000}"/>
    <cellStyle name="20% - Accent2 4 2 2 4 2 2 2" xfId="8507" xr:uid="{00000000-0005-0000-0000-0000960F0000}"/>
    <cellStyle name="20% - Accent2 4 2 2 4 2 3" xfId="20089" xr:uid="{00000000-0005-0000-0000-0000970F0000}"/>
    <cellStyle name="20% - Accent2 4 2 2 4 3" xfId="16906" xr:uid="{00000000-0005-0000-0000-0000980F0000}"/>
    <cellStyle name="20% - Accent2 4 2 2 4 3 2" xfId="20062" xr:uid="{00000000-0005-0000-0000-0000990F0000}"/>
    <cellStyle name="20% - Accent2 4 2 2 4 4" xfId="27804" xr:uid="{00000000-0005-0000-0000-00009A0F0000}"/>
    <cellStyle name="20% - Accent2 4 2 2 5" xfId="28358" xr:uid="{00000000-0005-0000-0000-00009B0F0000}"/>
    <cellStyle name="20% - Accent2 4 2 2 5 2" xfId="16897" xr:uid="{00000000-0005-0000-0000-00009C0F0000}"/>
    <cellStyle name="20% - Accent2 4 2 2 5 2 2" xfId="28355" xr:uid="{00000000-0005-0000-0000-00009D0F0000}"/>
    <cellStyle name="20% - Accent2 4 2 2 5 3" xfId="27789" xr:uid="{00000000-0005-0000-0000-00009E0F0000}"/>
    <cellStyle name="20% - Accent2 4 2 2 6" xfId="27781" xr:uid="{00000000-0005-0000-0000-00009F0F0000}"/>
    <cellStyle name="20% - Accent2 4 2 2 6 2" xfId="27769" xr:uid="{00000000-0005-0000-0000-0000A00F0000}"/>
    <cellStyle name="20% - Accent2 4 2 2 7" xfId="28350" xr:uid="{00000000-0005-0000-0000-0000A10F0000}"/>
    <cellStyle name="20% - Accent2 4 2 3" xfId="28202" xr:uid="{00000000-0005-0000-0000-0000A20F0000}"/>
    <cellStyle name="20% - Accent2 4 2 3 2" xfId="32292" xr:uid="{00000000-0005-0000-0000-0000A30F0000}"/>
    <cellStyle name="20% - Accent2 4 2 3 2 2" xfId="22024" xr:uid="{00000000-0005-0000-0000-0000A40F0000}"/>
    <cellStyle name="20% - Accent2 4 2 3 2 2 2" xfId="10745" xr:uid="{00000000-0005-0000-0000-0000A50F0000}"/>
    <cellStyle name="20% - Accent2 4 2 3 2 2 2 2" xfId="28344" xr:uid="{00000000-0005-0000-0000-0000A60F0000}"/>
    <cellStyle name="20% - Accent2 4 2 3 2 2 2 2 2" xfId="20455" xr:uid="{00000000-0005-0000-0000-0000A70F0000}"/>
    <cellStyle name="20% - Accent2 4 2 3 2 2 2 3" xfId="24931" xr:uid="{00000000-0005-0000-0000-0000A80F0000}"/>
    <cellStyle name="20% - Accent2 4 2 3 2 2 3" xfId="10705" xr:uid="{00000000-0005-0000-0000-0000A90F0000}"/>
    <cellStyle name="20% - Accent2 4 2 3 2 2 3 2" xfId="24918" xr:uid="{00000000-0005-0000-0000-0000AA0F0000}"/>
    <cellStyle name="20% - Accent2 4 2 3 2 2 4" xfId="13313" xr:uid="{00000000-0005-0000-0000-0000AB0F0000}"/>
    <cellStyle name="20% - Accent2 4 2 3 2 3" xfId="27586" xr:uid="{00000000-0005-0000-0000-0000AC0F0000}"/>
    <cellStyle name="20% - Accent2 4 2 3 2 3 2" xfId="10661" xr:uid="{00000000-0005-0000-0000-0000AD0F0000}"/>
    <cellStyle name="20% - Accent2 4 2 3 2 3 2 2" xfId="25754" xr:uid="{00000000-0005-0000-0000-0000AE0F0000}"/>
    <cellStyle name="20% - Accent2 4 2 3 2 3 3" xfId="10629" xr:uid="{00000000-0005-0000-0000-0000AF0F0000}"/>
    <cellStyle name="20% - Accent2 4 2 3 2 4" xfId="27581" xr:uid="{00000000-0005-0000-0000-0000B00F0000}"/>
    <cellStyle name="20% - Accent2 4 2 3 2 4 2" xfId="10599" xr:uid="{00000000-0005-0000-0000-0000B10F0000}"/>
    <cellStyle name="20% - Accent2 4 2 3 2 5" xfId="25836" xr:uid="{00000000-0005-0000-0000-0000B20F0000}"/>
    <cellStyle name="20% - Accent2 4 2 3 3" xfId="32288" xr:uid="{00000000-0005-0000-0000-0000B30F0000}"/>
    <cellStyle name="20% - Accent2 4 2 3 3 2" xfId="28310" xr:uid="{00000000-0005-0000-0000-0000B40F0000}"/>
    <cellStyle name="20% - Accent2 4 2 3 3 2 2" xfId="10468" xr:uid="{00000000-0005-0000-0000-0000B50F0000}"/>
    <cellStyle name="20% - Accent2 4 2 3 3 2 2 2" xfId="22125" xr:uid="{00000000-0005-0000-0000-0000B60F0000}"/>
    <cellStyle name="20% - Accent2 4 2 3 3 2 3" xfId="10444" xr:uid="{00000000-0005-0000-0000-0000B70F0000}"/>
    <cellStyle name="20% - Accent2 4 2 3 3 3" xfId="28302" xr:uid="{00000000-0005-0000-0000-0000B80F0000}"/>
    <cellStyle name="20% - Accent2 4 2 3 3 3 2" xfId="25830" xr:uid="{00000000-0005-0000-0000-0000B90F0000}"/>
    <cellStyle name="20% - Accent2 4 2 3 3 4" xfId="17824" xr:uid="{00000000-0005-0000-0000-0000BA0F0000}"/>
    <cellStyle name="20% - Accent2 4 2 3 4" xfId="28286" xr:uid="{00000000-0005-0000-0000-0000BB0F0000}"/>
    <cellStyle name="20% - Accent2 4 2 3 4 2" xfId="16889" xr:uid="{00000000-0005-0000-0000-0000BC0F0000}"/>
    <cellStyle name="20% - Accent2 4 2 3 4 2 2" xfId="12030" xr:uid="{00000000-0005-0000-0000-0000BD0F0000}"/>
    <cellStyle name="20% - Accent2 4 2 3 4 3" xfId="26293" xr:uid="{00000000-0005-0000-0000-0000BE0F0000}"/>
    <cellStyle name="20% - Accent2 4 2 3 5" xfId="27739" xr:uid="{00000000-0005-0000-0000-0000BF0F0000}"/>
    <cellStyle name="20% - Accent2 4 2 3 5 2" xfId="33055" xr:uid="{00000000-0005-0000-0000-0000C00F0000}"/>
    <cellStyle name="20% - Accent2 4 2 3 6" xfId="27733" xr:uid="{00000000-0005-0000-0000-0000C10F0000}"/>
    <cellStyle name="20% - Accent2 4 2 4" xfId="21197" xr:uid="{00000000-0005-0000-0000-0000C20F0000}"/>
    <cellStyle name="20% - Accent2 4 2 4 2" xfId="26228" xr:uid="{00000000-0005-0000-0000-0000C30F0000}"/>
    <cellStyle name="20% - Accent2 4 2 4 2 2" xfId="27525" xr:uid="{00000000-0005-0000-0000-0000C40F0000}"/>
    <cellStyle name="20% - Accent2 4 2 4 2 2 2" xfId="14227" xr:uid="{00000000-0005-0000-0000-0000C50F0000}"/>
    <cellStyle name="20% - Accent2 4 2 4 2 2 2 2" xfId="25045" xr:uid="{00000000-0005-0000-0000-0000C60F0000}"/>
    <cellStyle name="20% - Accent2 4 2 4 2 2 3" xfId="9741" xr:uid="{00000000-0005-0000-0000-0000C70F0000}"/>
    <cellStyle name="20% - Accent2 4 2 4 2 3" xfId="27516" xr:uid="{00000000-0005-0000-0000-0000C80F0000}"/>
    <cellStyle name="20% - Accent2 4 2 4 2 3 2" xfId="9704" xr:uid="{00000000-0005-0000-0000-0000C90F0000}"/>
    <cellStyle name="20% - Accent2 4 2 4 2 4" xfId="25824" xr:uid="{00000000-0005-0000-0000-0000CA0F0000}"/>
    <cellStyle name="20% - Accent2 4 2 4 3" xfId="25297" xr:uid="{00000000-0005-0000-0000-0000CB0F0000}"/>
    <cellStyle name="20% - Accent2 4 2 4 3 2" xfId="28274" xr:uid="{00000000-0005-0000-0000-0000CC0F0000}"/>
    <cellStyle name="20% - Accent2 4 2 4 3 2 2" xfId="9626" xr:uid="{00000000-0005-0000-0000-0000CD0F0000}"/>
    <cellStyle name="20% - Accent2 4 2 4 3 3" xfId="25818" xr:uid="{00000000-0005-0000-0000-0000CE0F0000}"/>
    <cellStyle name="20% - Accent2 4 2 4 4" xfId="27725" xr:uid="{00000000-0005-0000-0000-0000CF0F0000}"/>
    <cellStyle name="20% - Accent2 4 2 4 4 2" xfId="10391" xr:uid="{00000000-0005-0000-0000-0000D00F0000}"/>
    <cellStyle name="20% - Accent2 4 2 4 5" xfId="27705" xr:uid="{00000000-0005-0000-0000-0000D10F0000}"/>
    <cellStyle name="20% - Accent2 4 2 5" xfId="26224" xr:uid="{00000000-0005-0000-0000-0000D20F0000}"/>
    <cellStyle name="20% - Accent2 4 2 5 2" xfId="32761" xr:uid="{00000000-0005-0000-0000-0000D30F0000}"/>
    <cellStyle name="20% - Accent2 4 2 5 2 2" xfId="27477" xr:uid="{00000000-0005-0000-0000-0000D40F0000}"/>
    <cellStyle name="20% - Accent2 4 2 5 2 2 2" xfId="11196" xr:uid="{00000000-0005-0000-0000-0000D50F0000}"/>
    <cellStyle name="20% - Accent2 4 2 5 2 3" xfId="25811" xr:uid="{00000000-0005-0000-0000-0000D60F0000}"/>
    <cellStyle name="20% - Accent2 4 2 5 3" xfId="33776" xr:uid="{00000000-0005-0000-0000-0000D70F0000}"/>
    <cellStyle name="20% - Accent2 4 2 5 3 2" xfId="27891" xr:uid="{00000000-0005-0000-0000-0000D80F0000}"/>
    <cellStyle name="20% - Accent2 4 2 5 4" xfId="23517" xr:uid="{00000000-0005-0000-0000-0000D90F0000}"/>
    <cellStyle name="20% - Accent2 4 2 6" xfId="33166" xr:uid="{00000000-0005-0000-0000-0000DA0F0000}"/>
    <cellStyle name="20% - Accent2 4 2 6 2" xfId="33159" xr:uid="{00000000-0005-0000-0000-0000DB0F0000}"/>
    <cellStyle name="20% - Accent2 4 2 6 2 2" xfId="28262" xr:uid="{00000000-0005-0000-0000-0000DC0F0000}"/>
    <cellStyle name="20% - Accent2 4 2 6 3" xfId="22998" xr:uid="{00000000-0005-0000-0000-0000DD0F0000}"/>
    <cellStyle name="20% - Accent2 4 2 7" xfId="33147" xr:uid="{00000000-0005-0000-0000-0000DE0F0000}"/>
    <cellStyle name="20% - Accent2 4 2 7 2" xfId="33142" xr:uid="{00000000-0005-0000-0000-0000DF0F0000}"/>
    <cellStyle name="20% - Accent2 4 2 8" xfId="33134" xr:uid="{00000000-0005-0000-0000-0000E00F0000}"/>
    <cellStyle name="20% - Accent2 4 2 9" xfId="34565" xr:uid="{00000000-0005-0000-0000-0000E10F0000}"/>
    <cellStyle name="20% - Accent2 4 3" xfId="32693" xr:uid="{00000000-0005-0000-0000-0000E20F0000}"/>
    <cellStyle name="20% - Accent2 4 3 2" xfId="26285" xr:uid="{00000000-0005-0000-0000-0000E30F0000}"/>
    <cellStyle name="20% - Accent2 4 3 2 2" xfId="32280" xr:uid="{00000000-0005-0000-0000-0000E40F0000}"/>
    <cellStyle name="20% - Accent2 4 3 2 2 2" xfId="22009" xr:uid="{00000000-0005-0000-0000-0000E50F0000}"/>
    <cellStyle name="20% - Accent2 4 3 2 2 2 2" xfId="24442" xr:uid="{00000000-0005-0000-0000-0000E60F0000}"/>
    <cellStyle name="20% - Accent2 4 3 2 2 2 2 2" xfId="18012" xr:uid="{00000000-0005-0000-0000-0000E70F0000}"/>
    <cellStyle name="20% - Accent2 4 3 2 2 2 2 2 2" xfId="19836" xr:uid="{00000000-0005-0000-0000-0000E80F0000}"/>
    <cellStyle name="20% - Accent2 4 3 2 2 2 2 3" xfId="19174" xr:uid="{00000000-0005-0000-0000-0000E90F0000}"/>
    <cellStyle name="20% - Accent2 4 3 2 2 2 3" xfId="26372" xr:uid="{00000000-0005-0000-0000-0000EA0F0000}"/>
    <cellStyle name="20% - Accent2 4 3 2 2 2 3 2" xfId="25774" xr:uid="{00000000-0005-0000-0000-0000EB0F0000}"/>
    <cellStyle name="20% - Accent2 4 3 2 2 2 4" xfId="25847" xr:uid="{00000000-0005-0000-0000-0000EC0F0000}"/>
    <cellStyle name="20% - Accent2 4 3 2 2 3" xfId="31522" xr:uid="{00000000-0005-0000-0000-0000ED0F0000}"/>
    <cellStyle name="20% - Accent2 4 3 2 2 3 2" xfId="28236" xr:uid="{00000000-0005-0000-0000-0000EE0F0000}"/>
    <cellStyle name="20% - Accent2 4 3 2 2 3 2 2" xfId="26504" xr:uid="{00000000-0005-0000-0000-0000EF0F0000}"/>
    <cellStyle name="20% - Accent2 4 3 2 2 3 3" xfId="34133" xr:uid="{00000000-0005-0000-0000-0000F00F0000}"/>
    <cellStyle name="20% - Accent2 4 3 2 2 4" xfId="28234" xr:uid="{00000000-0005-0000-0000-0000F10F0000}"/>
    <cellStyle name="20% - Accent2 4 3 2 2 4 2" xfId="32835" xr:uid="{00000000-0005-0000-0000-0000F20F0000}"/>
    <cellStyle name="20% - Accent2 4 3 2 2 5" xfId="26597" xr:uid="{00000000-0005-0000-0000-0000F30F0000}"/>
    <cellStyle name="20% - Accent2 4 3 2 3" xfId="32529" xr:uid="{00000000-0005-0000-0000-0000F40F0000}"/>
    <cellStyle name="20% - Accent2 4 3 2 3 2" xfId="28229" xr:uid="{00000000-0005-0000-0000-0000F50F0000}"/>
    <cellStyle name="20% - Accent2 4 3 2 3 2 2" xfId="33235" xr:uid="{00000000-0005-0000-0000-0000F60F0000}"/>
    <cellStyle name="20% - Accent2 4 3 2 3 2 2 2" xfId="26829" xr:uid="{00000000-0005-0000-0000-0000F70F0000}"/>
    <cellStyle name="20% - Accent2 4 3 2 3 2 3" xfId="34127" xr:uid="{00000000-0005-0000-0000-0000F80F0000}"/>
    <cellStyle name="20% - Accent2 4 3 2 3 3" xfId="28227" xr:uid="{00000000-0005-0000-0000-0000F90F0000}"/>
    <cellStyle name="20% - Accent2 4 3 2 3 3 2" xfId="28224" xr:uid="{00000000-0005-0000-0000-0000FA0F0000}"/>
    <cellStyle name="20% - Accent2 4 3 2 3 4" xfId="28222" xr:uid="{00000000-0005-0000-0000-0000FB0F0000}"/>
    <cellStyle name="20% - Accent2 4 3 2 4" xfId="28216" xr:uid="{00000000-0005-0000-0000-0000FC0F0000}"/>
    <cellStyle name="20% - Accent2 4 3 2 4 2" xfId="16856" xr:uid="{00000000-0005-0000-0000-0000FD0F0000}"/>
    <cellStyle name="20% - Accent2 4 3 2 4 2 2" xfId="19928" xr:uid="{00000000-0005-0000-0000-0000FE0F0000}"/>
    <cellStyle name="20% - Accent2 4 3 2 4 3" xfId="27321" xr:uid="{00000000-0005-0000-0000-0000FF0F0000}"/>
    <cellStyle name="20% - Accent2 4 3 2 5" xfId="28213" xr:uid="{00000000-0005-0000-0000-000000100000}"/>
    <cellStyle name="20% - Accent2 4 3 2 5 2" xfId="27317" xr:uid="{00000000-0005-0000-0000-000001100000}"/>
    <cellStyle name="20% - Accent2 4 3 2 6" xfId="28208" xr:uid="{00000000-0005-0000-0000-000002100000}"/>
    <cellStyle name="20% - Accent2 4 3 3" xfId="26282" xr:uid="{00000000-0005-0000-0000-000003100000}"/>
    <cellStyle name="20% - Accent2 4 3 3 2" xfId="32277" xr:uid="{00000000-0005-0000-0000-000004100000}"/>
    <cellStyle name="20% - Accent2 4 3 3 2 2" xfId="27428" xr:uid="{00000000-0005-0000-0000-000005100000}"/>
    <cellStyle name="20% - Accent2 4 3 3 2 2 2" xfId="8280" xr:uid="{00000000-0005-0000-0000-000006100000}"/>
    <cellStyle name="20% - Accent2 4 3 3 2 2 2 2" xfId="28200" xr:uid="{00000000-0005-0000-0000-000007100000}"/>
    <cellStyle name="20% - Accent2 4 3 3 2 2 3" xfId="8262" xr:uid="{00000000-0005-0000-0000-000008100000}"/>
    <cellStyle name="20% - Accent2 4 3 3 2 3" xfId="26564" xr:uid="{00000000-0005-0000-0000-000009100000}"/>
    <cellStyle name="20% - Accent2 4 3 3 2 3 2" xfId="8223" xr:uid="{00000000-0005-0000-0000-00000A100000}"/>
    <cellStyle name="20% - Accent2 4 3 3 2 4" xfId="25804" xr:uid="{00000000-0005-0000-0000-00000B100000}"/>
    <cellStyle name="20% - Accent2 4 3 3 3" xfId="28194" xr:uid="{00000000-0005-0000-0000-00000C100000}"/>
    <cellStyle name="20% - Accent2 4 3 3 3 2" xfId="28192" xr:uid="{00000000-0005-0000-0000-00000D100000}"/>
    <cellStyle name="20% - Accent2 4 3 3 3 2 2" xfId="8115" xr:uid="{00000000-0005-0000-0000-00000E100000}"/>
    <cellStyle name="20% - Accent2 4 3 3 3 3" xfId="25798" xr:uid="{00000000-0005-0000-0000-00000F100000}"/>
    <cellStyle name="20% - Accent2 4 3 3 4" xfId="27305" xr:uid="{00000000-0005-0000-0000-000010100000}"/>
    <cellStyle name="20% - Accent2 4 3 3 4 2" xfId="27302" xr:uid="{00000000-0005-0000-0000-000011100000}"/>
    <cellStyle name="20% - Accent2 4 3 3 5" xfId="27299" xr:uid="{00000000-0005-0000-0000-000012100000}"/>
    <cellStyle name="20% - Accent2 4 3 4" xfId="20471" xr:uid="{00000000-0005-0000-0000-000013100000}"/>
    <cellStyle name="20% - Accent2 4 3 4 2" xfId="32737" xr:uid="{00000000-0005-0000-0000-000014100000}"/>
    <cellStyle name="20% - Accent2 4 3 4 2 2" xfId="32688" xr:uid="{00000000-0005-0000-0000-000015100000}"/>
    <cellStyle name="20% - Accent2 4 3 4 2 2 2" xfId="7675" xr:uid="{00000000-0005-0000-0000-000016100000}"/>
    <cellStyle name="20% - Accent2 4 3 4 2 3" xfId="29729" xr:uid="{00000000-0005-0000-0000-000017100000}"/>
    <cellStyle name="20% - Accent2 4 3 4 3" xfId="32115" xr:uid="{00000000-0005-0000-0000-000018100000}"/>
    <cellStyle name="20% - Accent2 4 3 4 3 2" xfId="32778" xr:uid="{00000000-0005-0000-0000-000019100000}"/>
    <cellStyle name="20% - Accent2 4 3 4 4" xfId="27288" xr:uid="{00000000-0005-0000-0000-00001A100000}"/>
    <cellStyle name="20% - Accent2 4 3 5" xfId="13401" xr:uid="{00000000-0005-0000-0000-00001B100000}"/>
    <cellStyle name="20% - Accent2 4 3 5 2" xfId="32728" xr:uid="{00000000-0005-0000-0000-00001C100000}"/>
    <cellStyle name="20% - Accent2 4 3 5 2 2" xfId="22012" xr:uid="{00000000-0005-0000-0000-00001D100000}"/>
    <cellStyle name="20% - Accent2 4 3 5 3" xfId="33631" xr:uid="{00000000-0005-0000-0000-00001E100000}"/>
    <cellStyle name="20% - Accent2 4 3 6" xfId="33314" xr:uid="{00000000-0005-0000-0000-00001F100000}"/>
    <cellStyle name="20% - Accent2 4 3 6 2" xfId="33129" xr:uid="{00000000-0005-0000-0000-000020100000}"/>
    <cellStyle name="20% - Accent2 4 3 7" xfId="33127" xr:uid="{00000000-0005-0000-0000-000021100000}"/>
    <cellStyle name="20% - Accent2 4 3 8" xfId="34786" xr:uid="{00000000-0005-0000-0000-000022100000}"/>
    <cellStyle name="20% - Accent2 4 4" xfId="33246" xr:uid="{00000000-0005-0000-0000-000023100000}"/>
    <cellStyle name="20% - Accent2 4 4 2" xfId="32272" xr:uid="{00000000-0005-0000-0000-000024100000}"/>
    <cellStyle name="20% - Accent2 4 4 2 2" xfId="32264" xr:uid="{00000000-0005-0000-0000-000025100000}"/>
    <cellStyle name="20% - Accent2 4 4 2 2 2" xfId="28186" xr:uid="{00000000-0005-0000-0000-000026100000}"/>
    <cellStyle name="20% - Accent2 4 4 2 2 2 2" xfId="28184" xr:uid="{00000000-0005-0000-0000-000027100000}"/>
    <cellStyle name="20% - Accent2 4 4 2 2 2 2 2" xfId="7556" xr:uid="{00000000-0005-0000-0000-000028100000}"/>
    <cellStyle name="20% - Accent2 4 4 2 2 2 3" xfId="33875" xr:uid="{00000000-0005-0000-0000-000029100000}"/>
    <cellStyle name="20% - Accent2 4 4 2 2 3" xfId="28181" xr:uid="{00000000-0005-0000-0000-00002A100000}"/>
    <cellStyle name="20% - Accent2 4 4 2 2 3 2" xfId="28176" xr:uid="{00000000-0005-0000-0000-00002B100000}"/>
    <cellStyle name="20% - Accent2 4 4 2 2 4" xfId="5342" xr:uid="{00000000-0005-0000-0000-00002C100000}"/>
    <cellStyle name="20% - Accent2 4 4 2 3" xfId="28173" xr:uid="{00000000-0005-0000-0000-00002D100000}"/>
    <cellStyle name="20% - Accent2 4 4 2 3 2" xfId="28170" xr:uid="{00000000-0005-0000-0000-00002E100000}"/>
    <cellStyle name="20% - Accent2 4 4 2 3 2 2" xfId="28168" xr:uid="{00000000-0005-0000-0000-00002F100000}"/>
    <cellStyle name="20% - Accent2 4 4 2 3 3" xfId="28165" xr:uid="{00000000-0005-0000-0000-000030100000}"/>
    <cellStyle name="20% - Accent2 4 4 2 4" xfId="28163" xr:uid="{00000000-0005-0000-0000-000031100000}"/>
    <cellStyle name="20% - Accent2 4 4 2 4 2" xfId="34169" xr:uid="{00000000-0005-0000-0000-000032100000}"/>
    <cellStyle name="20% - Accent2 4 4 2 5" xfId="28156" xr:uid="{00000000-0005-0000-0000-000033100000}"/>
    <cellStyle name="20% - Accent2 4 4 3" xfId="33702" xr:uid="{00000000-0005-0000-0000-000034100000}"/>
    <cellStyle name="20% - Accent2 4 4 3 2" xfId="28152" xr:uid="{00000000-0005-0000-0000-000035100000}"/>
    <cellStyle name="20% - Accent2 4 4 3 2 2" xfId="22687" xr:uid="{00000000-0005-0000-0000-000036100000}"/>
    <cellStyle name="20% - Accent2 4 4 3 2 2 2" xfId="6590" xr:uid="{00000000-0005-0000-0000-000037100000}"/>
    <cellStyle name="20% - Accent2 4 4 3 2 3" xfId="22683" xr:uid="{00000000-0005-0000-0000-000038100000}"/>
    <cellStyle name="20% - Accent2 4 4 3 3" xfId="28149" xr:uid="{00000000-0005-0000-0000-000039100000}"/>
    <cellStyle name="20% - Accent2 4 4 3 3 2" xfId="28137" xr:uid="{00000000-0005-0000-0000-00003A100000}"/>
    <cellStyle name="20% - Accent2 4 4 3 4" xfId="28135" xr:uid="{00000000-0005-0000-0000-00003B100000}"/>
    <cellStyle name="20% - Accent2 4 4 4" xfId="22663" xr:uid="{00000000-0005-0000-0000-00003C100000}"/>
    <cellStyle name="20% - Accent2 4 4 4 2" xfId="21017" xr:uid="{00000000-0005-0000-0000-00003D100000}"/>
    <cellStyle name="20% - Accent2 4 4 4 2 2" xfId="22670" xr:uid="{00000000-0005-0000-0000-00003E100000}"/>
    <cellStyle name="20% - Accent2 4 4 4 3" xfId="19114" xr:uid="{00000000-0005-0000-0000-00003F100000}"/>
    <cellStyle name="20% - Accent2 4 4 5" xfId="33327" xr:uid="{00000000-0005-0000-0000-000040100000}"/>
    <cellStyle name="20% - Accent2 4 4 5 2" xfId="21006" xr:uid="{00000000-0005-0000-0000-000041100000}"/>
    <cellStyle name="20% - Accent2 4 4 6" xfId="33094" xr:uid="{00000000-0005-0000-0000-000042100000}"/>
    <cellStyle name="20% - Accent2 4 4 7" xfId="34983" xr:uid="{00000000-0005-0000-0000-000043100000}"/>
    <cellStyle name="20% - Accent2 4 5" xfId="32315" xr:uid="{00000000-0005-0000-0000-000044100000}"/>
    <cellStyle name="20% - Accent2 4 5 2" xfId="34070" xr:uid="{00000000-0005-0000-0000-000045100000}"/>
    <cellStyle name="20% - Accent2 4 5 2 2" xfId="31279" xr:uid="{00000000-0005-0000-0000-000046100000}"/>
    <cellStyle name="20% - Accent2 4 5 2 2 2" xfId="29828" xr:uid="{00000000-0005-0000-0000-000047100000}"/>
    <cellStyle name="20% - Accent2 4 5 2 2 2 2" xfId="28119" xr:uid="{00000000-0005-0000-0000-000048100000}"/>
    <cellStyle name="20% - Accent2 4 5 2 2 3" xfId="29824" xr:uid="{00000000-0005-0000-0000-000049100000}"/>
    <cellStyle name="20% - Accent2 4 5 2 3" xfId="29817" xr:uid="{00000000-0005-0000-0000-00004A100000}"/>
    <cellStyle name="20% - Accent2 4 5 2 3 2" xfId="29813" xr:uid="{00000000-0005-0000-0000-00004B100000}"/>
    <cellStyle name="20% - Accent2 4 5 2 4" xfId="29803" xr:uid="{00000000-0005-0000-0000-00004C100000}"/>
    <cellStyle name="20% - Accent2 4 5 3" xfId="28117" xr:uid="{00000000-0005-0000-0000-00004D100000}"/>
    <cellStyle name="20% - Accent2 4 5 3 2" xfId="29781" xr:uid="{00000000-0005-0000-0000-00004E100000}"/>
    <cellStyle name="20% - Accent2 4 5 3 2 2" xfId="25338" xr:uid="{00000000-0005-0000-0000-00004F100000}"/>
    <cellStyle name="20% - Accent2 4 5 3 3" xfId="34101" xr:uid="{00000000-0005-0000-0000-000050100000}"/>
    <cellStyle name="20% - Accent2 4 5 4" xfId="28113" xr:uid="{00000000-0005-0000-0000-000051100000}"/>
    <cellStyle name="20% - Accent2 4 5 4 2" xfId="5536" xr:uid="{00000000-0005-0000-0000-000052100000}"/>
    <cellStyle name="20% - Accent2 4 5 5" xfId="21814" xr:uid="{00000000-0005-0000-0000-000053100000}"/>
    <cellStyle name="20% - Accent2 4 5 6" xfId="35188" xr:uid="{00000000-0005-0000-0000-000054100000}"/>
    <cellStyle name="20% - Accent2 4 6" xfId="24917" xr:uid="{00000000-0005-0000-0000-000055100000}"/>
    <cellStyle name="20% - Accent2 4 6 2" xfId="17954" xr:uid="{00000000-0005-0000-0000-000056100000}"/>
    <cellStyle name="20% - Accent2 4 6 2 2" xfId="29688" xr:uid="{00000000-0005-0000-0000-000057100000}"/>
    <cellStyle name="20% - Accent2 4 6 2 2 2" xfId="24783" xr:uid="{00000000-0005-0000-0000-000058100000}"/>
    <cellStyle name="20% - Accent2 4 6 2 3" xfId="29594" xr:uid="{00000000-0005-0000-0000-000059100000}"/>
    <cellStyle name="20% - Accent2 4 6 3" xfId="28111" xr:uid="{00000000-0005-0000-0000-00005A100000}"/>
    <cellStyle name="20% - Accent2 4 6 3 2" xfId="32538" xr:uid="{00000000-0005-0000-0000-00005B100000}"/>
    <cellStyle name="20% - Accent2 4 6 4" xfId="28108" xr:uid="{00000000-0005-0000-0000-00005C100000}"/>
    <cellStyle name="20% - Accent2 4 6 5" xfId="35417" xr:uid="{00000000-0005-0000-0000-00005D100000}"/>
    <cellStyle name="20% - Accent2 4 7" xfId="8337" xr:uid="{00000000-0005-0000-0000-00005E100000}"/>
    <cellStyle name="20% - Accent2 4 7 2" xfId="28099" xr:uid="{00000000-0005-0000-0000-00005F100000}"/>
    <cellStyle name="20% - Accent2 4 7 2 2" xfId="21261" xr:uid="{00000000-0005-0000-0000-000060100000}"/>
    <cellStyle name="20% - Accent2 4 7 3" xfId="30904" xr:uid="{00000000-0005-0000-0000-000061100000}"/>
    <cellStyle name="20% - Accent2 4 7 4" xfId="36289" xr:uid="{00000000-0005-0000-0000-000062100000}"/>
    <cellStyle name="20% - Accent2 4 8" xfId="17220" xr:uid="{00000000-0005-0000-0000-000063100000}"/>
    <cellStyle name="20% - Accent2 4 8 2" xfId="28095" xr:uid="{00000000-0005-0000-0000-000064100000}"/>
    <cellStyle name="20% - Accent2 4 8 3" xfId="36575" xr:uid="{00000000-0005-0000-0000-000065100000}"/>
    <cellStyle name="20% - Accent2 4 9" xfId="17213" xr:uid="{00000000-0005-0000-0000-000066100000}"/>
    <cellStyle name="20% - Accent2 4 9 2" xfId="37460" xr:uid="{00000000-0005-0000-0000-000067100000}"/>
    <cellStyle name="20% - Accent2 40" xfId="36095" xr:uid="{00000000-0005-0000-0000-000068100000}"/>
    <cellStyle name="20% - Accent2 40 2" xfId="37264" xr:uid="{00000000-0005-0000-0000-000069100000}"/>
    <cellStyle name="20% - Accent2 40 3" xfId="38162" xr:uid="{00000000-0005-0000-0000-00006A100000}"/>
    <cellStyle name="20% - Accent2 41" xfId="36115" xr:uid="{00000000-0005-0000-0000-00006B100000}"/>
    <cellStyle name="20% - Accent2 41 2" xfId="37284" xr:uid="{00000000-0005-0000-0000-00006C100000}"/>
    <cellStyle name="20% - Accent2 41 3" xfId="38182" xr:uid="{00000000-0005-0000-0000-00006D100000}"/>
    <cellStyle name="20% - Accent2 42" xfId="36135" xr:uid="{00000000-0005-0000-0000-00006E100000}"/>
    <cellStyle name="20% - Accent2 42 2" xfId="37304" xr:uid="{00000000-0005-0000-0000-00006F100000}"/>
    <cellStyle name="20% - Accent2 42 3" xfId="38202" xr:uid="{00000000-0005-0000-0000-000070100000}"/>
    <cellStyle name="20% - Accent2 43" xfId="36155" xr:uid="{00000000-0005-0000-0000-000071100000}"/>
    <cellStyle name="20% - Accent2 43 2" xfId="37324" xr:uid="{00000000-0005-0000-0000-000072100000}"/>
    <cellStyle name="20% - Accent2 43 3" xfId="38222" xr:uid="{00000000-0005-0000-0000-000073100000}"/>
    <cellStyle name="20% - Accent2 44" xfId="36175" xr:uid="{00000000-0005-0000-0000-000074100000}"/>
    <cellStyle name="20% - Accent2 44 2" xfId="37344" xr:uid="{00000000-0005-0000-0000-000075100000}"/>
    <cellStyle name="20% - Accent2 44 3" xfId="38242" xr:uid="{00000000-0005-0000-0000-000076100000}"/>
    <cellStyle name="20% - Accent2 45" xfId="36195" xr:uid="{00000000-0005-0000-0000-000077100000}"/>
    <cellStyle name="20% - Accent2 45 2" xfId="37364" xr:uid="{00000000-0005-0000-0000-000078100000}"/>
    <cellStyle name="20% - Accent2 45 3" xfId="38262" xr:uid="{00000000-0005-0000-0000-000079100000}"/>
    <cellStyle name="20% - Accent2 46" xfId="36215" xr:uid="{00000000-0005-0000-0000-00007A100000}"/>
    <cellStyle name="20% - Accent2 46 2" xfId="37382" xr:uid="{00000000-0005-0000-0000-00007B100000}"/>
    <cellStyle name="20% - Accent2 46 3" xfId="38282" xr:uid="{00000000-0005-0000-0000-00007C100000}"/>
    <cellStyle name="20% - Accent2 47" xfId="36516" xr:uid="{00000000-0005-0000-0000-00007D100000}"/>
    <cellStyle name="20% - Accent2 48" xfId="37401" xr:uid="{00000000-0005-0000-0000-00007E100000}"/>
    <cellStyle name="20% - Accent2 5" xfId="263" xr:uid="{00000000-0005-0000-0000-00007F100000}"/>
    <cellStyle name="20% - Accent2 5 10" xfId="5966" xr:uid="{00000000-0005-0000-0000-000080100000}"/>
    <cellStyle name="20% - Accent2 5 2" xfId="32677" xr:uid="{00000000-0005-0000-0000-000081100000}"/>
    <cellStyle name="20% - Accent2 5 2 2" xfId="29193" xr:uid="{00000000-0005-0000-0000-000082100000}"/>
    <cellStyle name="20% - Accent2 5 2 2 2" xfId="21224" xr:uid="{00000000-0005-0000-0000-000083100000}"/>
    <cellStyle name="20% - Accent2 5 2 2 2 2" xfId="21979" xr:uid="{00000000-0005-0000-0000-000084100000}"/>
    <cellStyle name="20% - Accent2 5 2 2 2 2 2" xfId="24108" xr:uid="{00000000-0005-0000-0000-000085100000}"/>
    <cellStyle name="20% - Accent2 5 2 2 2 2 2 2" xfId="7001" xr:uid="{00000000-0005-0000-0000-000086100000}"/>
    <cellStyle name="20% - Accent2 5 2 2 2 2 2 2 2" xfId="13456" xr:uid="{00000000-0005-0000-0000-000087100000}"/>
    <cellStyle name="20% - Accent2 5 2 2 2 2 2 3" xfId="6995" xr:uid="{00000000-0005-0000-0000-000088100000}"/>
    <cellStyle name="20% - Accent2 5 2 2 2 2 3" xfId="25301" xr:uid="{00000000-0005-0000-0000-000089100000}"/>
    <cellStyle name="20% - Accent2 5 2 2 2 2 3 2" xfId="6983" xr:uid="{00000000-0005-0000-0000-00008A100000}"/>
    <cellStyle name="20% - Accent2 5 2 2 2 2 4" xfId="25495" xr:uid="{00000000-0005-0000-0000-00008B100000}"/>
    <cellStyle name="20% - Accent2 5 2 2 2 3" xfId="28319" xr:uid="{00000000-0005-0000-0000-00008C100000}"/>
    <cellStyle name="20% - Accent2 5 2 2 2 3 2" xfId="32855" xr:uid="{00000000-0005-0000-0000-00008D100000}"/>
    <cellStyle name="20% - Accent2 5 2 2 2 3 2 2" xfId="6952" xr:uid="{00000000-0005-0000-0000-00008E100000}"/>
    <cellStyle name="20% - Accent2 5 2 2 2 3 3" xfId="28089" xr:uid="{00000000-0005-0000-0000-00008F100000}"/>
    <cellStyle name="20% - Accent2 5 2 2 2 4" xfId="28318" xr:uid="{00000000-0005-0000-0000-000090100000}"/>
    <cellStyle name="20% - Accent2 5 2 2 2 4 2" xfId="8627" xr:uid="{00000000-0005-0000-0000-000091100000}"/>
    <cellStyle name="20% - Accent2 5 2 2 2 5" xfId="28087" xr:uid="{00000000-0005-0000-0000-000092100000}"/>
    <cellStyle name="20% - Accent2 5 2 2 3" xfId="32224" xr:uid="{00000000-0005-0000-0000-000093100000}"/>
    <cellStyle name="20% - Accent2 5 2 2 3 2" xfId="7713" xr:uid="{00000000-0005-0000-0000-000094100000}"/>
    <cellStyle name="20% - Accent2 5 2 2 3 2 2" xfId="5819" xr:uid="{00000000-0005-0000-0000-000095100000}"/>
    <cellStyle name="20% - Accent2 5 2 2 3 2 2 2" xfId="6845" xr:uid="{00000000-0005-0000-0000-000096100000}"/>
    <cellStyle name="20% - Accent2 5 2 2 3 2 3" xfId="5816" xr:uid="{00000000-0005-0000-0000-000097100000}"/>
    <cellStyle name="20% - Accent2 5 2 2 3 3" xfId="7708" xr:uid="{00000000-0005-0000-0000-000098100000}"/>
    <cellStyle name="20% - Accent2 5 2 2 3 3 2" xfId="5814" xr:uid="{00000000-0005-0000-0000-000099100000}"/>
    <cellStyle name="20% - Accent2 5 2 2 3 4" xfId="6032" xr:uid="{00000000-0005-0000-0000-00009A100000}"/>
    <cellStyle name="20% - Accent2 5 2 2 4" xfId="13217" xr:uid="{00000000-0005-0000-0000-00009B100000}"/>
    <cellStyle name="20% - Accent2 5 2 2 4 2" xfId="13211" xr:uid="{00000000-0005-0000-0000-00009C100000}"/>
    <cellStyle name="20% - Accent2 5 2 2 4 2 2" xfId="17533" xr:uid="{00000000-0005-0000-0000-00009D100000}"/>
    <cellStyle name="20% - Accent2 5 2 2 4 3" xfId="13195" xr:uid="{00000000-0005-0000-0000-00009E100000}"/>
    <cellStyle name="20% - Accent2 5 2 2 5" xfId="19581" xr:uid="{00000000-0005-0000-0000-00009F100000}"/>
    <cellStyle name="20% - Accent2 5 2 2 5 2" xfId="13182" xr:uid="{00000000-0005-0000-0000-0000A0100000}"/>
    <cellStyle name="20% - Accent2 5 2 2 6" xfId="12867" xr:uid="{00000000-0005-0000-0000-0000A1100000}"/>
    <cellStyle name="20% - Accent2 5 2 3" xfId="33862" xr:uid="{00000000-0005-0000-0000-0000A2100000}"/>
    <cellStyle name="20% - Accent2 5 2 3 2" xfId="32143" xr:uid="{00000000-0005-0000-0000-0000A3100000}"/>
    <cellStyle name="20% - Accent2 5 2 3 2 2" xfId="23567" xr:uid="{00000000-0005-0000-0000-0000A4100000}"/>
    <cellStyle name="20% - Accent2 5 2 3 2 2 2" xfId="28051" xr:uid="{00000000-0005-0000-0000-0000A5100000}"/>
    <cellStyle name="20% - Accent2 5 2 3 2 2 2 2" xfId="32245" xr:uid="{00000000-0005-0000-0000-0000A6100000}"/>
    <cellStyle name="20% - Accent2 5 2 3 2 2 3" xfId="28045" xr:uid="{00000000-0005-0000-0000-0000A7100000}"/>
    <cellStyle name="20% - Accent2 5 2 3 2 3" xfId="23559" xr:uid="{00000000-0005-0000-0000-0000A8100000}"/>
    <cellStyle name="20% - Accent2 5 2 3 2 3 2" xfId="28044" xr:uid="{00000000-0005-0000-0000-0000A9100000}"/>
    <cellStyle name="20% - Accent2 5 2 3 2 4" xfId="25448" xr:uid="{00000000-0005-0000-0000-0000AA100000}"/>
    <cellStyle name="20% - Accent2 5 2 3 3" xfId="5812" xr:uid="{00000000-0005-0000-0000-0000AB100000}"/>
    <cellStyle name="20% - Accent2 5 2 3 3 2" xfId="7699" xr:uid="{00000000-0005-0000-0000-0000AC100000}"/>
    <cellStyle name="20% - Accent2 5 2 3 3 2 2" xfId="14555" xr:uid="{00000000-0005-0000-0000-0000AD100000}"/>
    <cellStyle name="20% - Accent2 5 2 3 3 3" xfId="25442" xr:uid="{00000000-0005-0000-0000-0000AE100000}"/>
    <cellStyle name="20% - Accent2 5 2 3 4" xfId="13156" xr:uid="{00000000-0005-0000-0000-0000AF100000}"/>
    <cellStyle name="20% - Accent2 5 2 3 4 2" xfId="13154" xr:uid="{00000000-0005-0000-0000-0000B0100000}"/>
    <cellStyle name="20% - Accent2 5 2 3 5" xfId="13143" xr:uid="{00000000-0005-0000-0000-0000B1100000}"/>
    <cellStyle name="20% - Accent2 5 2 4" xfId="23980" xr:uid="{00000000-0005-0000-0000-0000B2100000}"/>
    <cellStyle name="20% - Accent2 5 2 4 2" xfId="32703" xr:uid="{00000000-0005-0000-0000-0000B3100000}"/>
    <cellStyle name="20% - Accent2 5 2 4 2 2" xfId="23546" xr:uid="{00000000-0005-0000-0000-0000B4100000}"/>
    <cellStyle name="20% - Accent2 5 2 4 2 2 2" xfId="28029" xr:uid="{00000000-0005-0000-0000-0000B5100000}"/>
    <cellStyle name="20% - Accent2 5 2 4 2 3" xfId="25438" xr:uid="{00000000-0005-0000-0000-0000B6100000}"/>
    <cellStyle name="20% - Accent2 5 2 4 3" xfId="5810" xr:uid="{00000000-0005-0000-0000-0000B7100000}"/>
    <cellStyle name="20% - Accent2 5 2 4 3 2" xfId="6422" xr:uid="{00000000-0005-0000-0000-0000B8100000}"/>
    <cellStyle name="20% - Accent2 5 2 4 4" xfId="13123" xr:uid="{00000000-0005-0000-0000-0000B9100000}"/>
    <cellStyle name="20% - Accent2 5 2 5" xfId="16780" xr:uid="{00000000-0005-0000-0000-0000BA100000}"/>
    <cellStyle name="20% - Accent2 5 2 5 2" xfId="32683" xr:uid="{00000000-0005-0000-0000-0000BB100000}"/>
    <cellStyle name="20% - Accent2 5 2 5 2 2" xfId="21021" xr:uid="{00000000-0005-0000-0000-0000BC100000}"/>
    <cellStyle name="20% - Accent2 5 2 5 3" xfId="17376" xr:uid="{00000000-0005-0000-0000-0000BD100000}"/>
    <cellStyle name="20% - Accent2 5 2 6" xfId="20056" xr:uid="{00000000-0005-0000-0000-0000BE100000}"/>
    <cellStyle name="20% - Accent2 5 2 6 2" xfId="33044" xr:uid="{00000000-0005-0000-0000-0000BF100000}"/>
    <cellStyle name="20% - Accent2 5 2 7" xfId="20048" xr:uid="{00000000-0005-0000-0000-0000C0100000}"/>
    <cellStyle name="20% - Accent2 5 2 8" xfId="34800" xr:uid="{00000000-0005-0000-0000-0000C1100000}"/>
    <cellStyle name="20% - Accent2 5 3" xfId="32653" xr:uid="{00000000-0005-0000-0000-0000C2100000}"/>
    <cellStyle name="20% - Accent2 5 3 2" xfId="26278" xr:uid="{00000000-0005-0000-0000-0000C3100000}"/>
    <cellStyle name="20% - Accent2 5 3 2 2" xfId="32133" xr:uid="{00000000-0005-0000-0000-0000C4100000}"/>
    <cellStyle name="20% - Accent2 5 3 2 2 2" xfId="28022" xr:uid="{00000000-0005-0000-0000-0000C5100000}"/>
    <cellStyle name="20% - Accent2 5 3 2 2 2 2" xfId="28020" xr:uid="{00000000-0005-0000-0000-0000C6100000}"/>
    <cellStyle name="20% - Accent2 5 3 2 2 2 2 2" xfId="7275" xr:uid="{00000000-0005-0000-0000-0000C7100000}"/>
    <cellStyle name="20% - Accent2 5 3 2 2 2 3" xfId="32331" xr:uid="{00000000-0005-0000-0000-0000C8100000}"/>
    <cellStyle name="20% - Accent2 5 3 2 2 3" xfId="28276" xr:uid="{00000000-0005-0000-0000-0000C9100000}"/>
    <cellStyle name="20% - Accent2 5 3 2 2 3 2" xfId="19515" xr:uid="{00000000-0005-0000-0000-0000CA100000}"/>
    <cellStyle name="20% - Accent2 5 3 2 2 4" xfId="33499" xr:uid="{00000000-0005-0000-0000-0000CB100000}"/>
    <cellStyle name="20% - Accent2 5 3 2 3" xfId="5807" xr:uid="{00000000-0005-0000-0000-0000CC100000}"/>
    <cellStyle name="20% - Accent2 5 3 2 3 2" xfId="23441" xr:uid="{00000000-0005-0000-0000-0000CD100000}"/>
    <cellStyle name="20% - Accent2 5 3 2 3 2 2" xfId="5804" xr:uid="{00000000-0005-0000-0000-0000CE100000}"/>
    <cellStyle name="20% - Accent2 5 3 2 3 3" xfId="5801" xr:uid="{00000000-0005-0000-0000-0000CF100000}"/>
    <cellStyle name="20% - Accent2 5 3 2 4" xfId="12938" xr:uid="{00000000-0005-0000-0000-0000D0100000}"/>
    <cellStyle name="20% - Accent2 5 3 2 4 2" xfId="32715" xr:uid="{00000000-0005-0000-0000-0000D1100000}"/>
    <cellStyle name="20% - Accent2 5 3 2 5" xfId="12927" xr:uid="{00000000-0005-0000-0000-0000D2100000}"/>
    <cellStyle name="20% - Accent2 5 3 3" xfId="30110" xr:uid="{00000000-0005-0000-0000-0000D3100000}"/>
    <cellStyle name="20% - Accent2 5 3 3 2" xfId="27998" xr:uid="{00000000-0005-0000-0000-0000D4100000}"/>
    <cellStyle name="20% - Accent2 5 3 3 2 2" xfId="23516" xr:uid="{00000000-0005-0000-0000-0000D5100000}"/>
    <cellStyle name="20% - Accent2 5 3 3 2 2 2" xfId="27996" xr:uid="{00000000-0005-0000-0000-0000D6100000}"/>
    <cellStyle name="20% - Accent2 5 3 3 2 3" xfId="27991" xr:uid="{00000000-0005-0000-0000-0000D7100000}"/>
    <cellStyle name="20% - Accent2 5 3 3 3" xfId="5798" xr:uid="{00000000-0005-0000-0000-0000D8100000}"/>
    <cellStyle name="20% - Accent2 5 3 3 3 2" xfId="5795" xr:uid="{00000000-0005-0000-0000-0000D9100000}"/>
    <cellStyle name="20% - Accent2 5 3 3 4" xfId="12914" xr:uid="{00000000-0005-0000-0000-0000DA100000}"/>
    <cellStyle name="20% - Accent2 5 3 4" xfId="20316" xr:uid="{00000000-0005-0000-0000-0000DB100000}"/>
    <cellStyle name="20% - Accent2 5 3 4 2" xfId="32664" xr:uid="{00000000-0005-0000-0000-0000DC100000}"/>
    <cellStyle name="20% - Accent2 5 3 4 2 2" xfId="33983" xr:uid="{00000000-0005-0000-0000-0000DD100000}"/>
    <cellStyle name="20% - Accent2 5 3 4 3" xfId="5791" xr:uid="{00000000-0005-0000-0000-0000DE100000}"/>
    <cellStyle name="20% - Accent2 5 3 5" xfId="16768" xr:uid="{00000000-0005-0000-0000-0000DF100000}"/>
    <cellStyle name="20% - Accent2 5 3 5 2" xfId="33935" xr:uid="{00000000-0005-0000-0000-0000E0100000}"/>
    <cellStyle name="20% - Accent2 5 3 6" xfId="28072" xr:uid="{00000000-0005-0000-0000-0000E1100000}"/>
    <cellStyle name="20% - Accent2 5 3 7" xfId="35002" xr:uid="{00000000-0005-0000-0000-0000E2100000}"/>
    <cellStyle name="20% - Accent2 5 4" xfId="32644" xr:uid="{00000000-0005-0000-0000-0000E3100000}"/>
    <cellStyle name="20% - Accent2 5 4 2" xfId="32638" xr:uid="{00000000-0005-0000-0000-0000E4100000}"/>
    <cellStyle name="20% - Accent2 5 4 2 2" xfId="27987" xr:uid="{00000000-0005-0000-0000-0000E5100000}"/>
    <cellStyle name="20% - Accent2 5 4 2 2 2" xfId="28424" xr:uid="{00000000-0005-0000-0000-0000E6100000}"/>
    <cellStyle name="20% - Accent2 5 4 2 2 2 2" xfId="27984" xr:uid="{00000000-0005-0000-0000-0000E7100000}"/>
    <cellStyle name="20% - Accent2 5 4 2 2 3" xfId="27981" xr:uid="{00000000-0005-0000-0000-0000E8100000}"/>
    <cellStyle name="20% - Accent2 5 4 2 3" xfId="27979" xr:uid="{00000000-0005-0000-0000-0000E9100000}"/>
    <cellStyle name="20% - Accent2 5 4 2 3 2" xfId="27972" xr:uid="{00000000-0005-0000-0000-0000EA100000}"/>
    <cellStyle name="20% - Accent2 5 4 2 4" xfId="27968" xr:uid="{00000000-0005-0000-0000-0000EB100000}"/>
    <cellStyle name="20% - Accent2 5 4 3" xfId="27964" xr:uid="{00000000-0005-0000-0000-0000EC100000}"/>
    <cellStyle name="20% - Accent2 5 4 3 2" xfId="27960" xr:uid="{00000000-0005-0000-0000-0000ED100000}"/>
    <cellStyle name="20% - Accent2 5 4 3 2 2" xfId="22535" xr:uid="{00000000-0005-0000-0000-0000EE100000}"/>
    <cellStyle name="20% - Accent2 5 4 3 3" xfId="25342" xr:uid="{00000000-0005-0000-0000-0000EF100000}"/>
    <cellStyle name="20% - Accent2 5 4 4" xfId="20280" xr:uid="{00000000-0005-0000-0000-0000F0100000}"/>
    <cellStyle name="20% - Accent2 5 4 4 2" xfId="20971" xr:uid="{00000000-0005-0000-0000-0000F1100000}"/>
    <cellStyle name="20% - Accent2 5 4 5" xfId="16763" xr:uid="{00000000-0005-0000-0000-0000F2100000}"/>
    <cellStyle name="20% - Accent2 5 4 6" xfId="35208" xr:uid="{00000000-0005-0000-0000-0000F3100000}"/>
    <cellStyle name="20% - Accent2 5 5" xfId="23683" xr:uid="{00000000-0005-0000-0000-0000F4100000}"/>
    <cellStyle name="20% - Accent2 5 5 2" xfId="27951" xr:uid="{00000000-0005-0000-0000-0000F5100000}"/>
    <cellStyle name="20% - Accent2 5 5 2 2" xfId="29820" xr:uid="{00000000-0005-0000-0000-0000F6100000}"/>
    <cellStyle name="20% - Accent2 5 5 2 2 2" xfId="29815" xr:uid="{00000000-0005-0000-0000-0000F7100000}"/>
    <cellStyle name="20% - Accent2 5 5 2 3" xfId="29540" xr:uid="{00000000-0005-0000-0000-0000F8100000}"/>
    <cellStyle name="20% - Accent2 5 5 3" xfId="22402" xr:uid="{00000000-0005-0000-0000-0000F9100000}"/>
    <cellStyle name="20% - Accent2 5 5 3 2" xfId="29513" xr:uid="{00000000-0005-0000-0000-0000FA100000}"/>
    <cellStyle name="20% - Accent2 5 5 4" xfId="31560" xr:uid="{00000000-0005-0000-0000-0000FB100000}"/>
    <cellStyle name="20% - Accent2 5 5 5" xfId="35437" xr:uid="{00000000-0005-0000-0000-0000FC100000}"/>
    <cellStyle name="20% - Accent2 5 6" xfId="8331" xr:uid="{00000000-0005-0000-0000-0000FD100000}"/>
    <cellStyle name="20% - Accent2 5 6 2" xfId="27942" xr:uid="{00000000-0005-0000-0000-0000FE100000}"/>
    <cellStyle name="20% - Accent2 5 6 2 2" xfId="29453" xr:uid="{00000000-0005-0000-0000-0000FF100000}"/>
    <cellStyle name="20% - Accent2 5 6 3" xfId="27938" xr:uid="{00000000-0005-0000-0000-000000110000}"/>
    <cellStyle name="20% - Accent2 5 6 4" xfId="36309" xr:uid="{00000000-0005-0000-0000-000001110000}"/>
    <cellStyle name="20% - Accent2 5 7" xfId="27935" xr:uid="{00000000-0005-0000-0000-000002110000}"/>
    <cellStyle name="20% - Accent2 5 7 2" xfId="33557" xr:uid="{00000000-0005-0000-0000-000003110000}"/>
    <cellStyle name="20% - Accent2 5 7 3" xfId="36595" xr:uid="{00000000-0005-0000-0000-000004110000}"/>
    <cellStyle name="20% - Accent2 5 8" xfId="17207" xr:uid="{00000000-0005-0000-0000-000005110000}"/>
    <cellStyle name="20% - Accent2 5 8 2" xfId="37480" xr:uid="{00000000-0005-0000-0000-000006110000}"/>
    <cellStyle name="20% - Accent2 5 9" xfId="34579" xr:uid="{00000000-0005-0000-0000-000007110000}"/>
    <cellStyle name="20% - Accent2 6" xfId="283" xr:uid="{00000000-0005-0000-0000-000008110000}"/>
    <cellStyle name="20% - Accent2 6 2" xfId="25226" xr:uid="{00000000-0005-0000-0000-000009110000}"/>
    <cellStyle name="20% - Accent2 6 2 2" xfId="32023" xr:uid="{00000000-0005-0000-0000-00000A110000}"/>
    <cellStyle name="20% - Accent2 6 2 2 2" xfId="7062" xr:uid="{00000000-0005-0000-0000-00000B110000}"/>
    <cellStyle name="20% - Accent2 6 2 2 2 2" xfId="23821" xr:uid="{00000000-0005-0000-0000-00000C110000}"/>
    <cellStyle name="20% - Accent2 6 2 2 2 2 2" xfId="27926" xr:uid="{00000000-0005-0000-0000-00000D110000}"/>
    <cellStyle name="20% - Accent2 6 2 2 2 2 2 2" xfId="27923" xr:uid="{00000000-0005-0000-0000-00000E110000}"/>
    <cellStyle name="20% - Accent2 6 2 2 2 2 3" xfId="18612" xr:uid="{00000000-0005-0000-0000-00000F110000}"/>
    <cellStyle name="20% - Accent2 6 2 2 2 3" xfId="28195" xr:uid="{00000000-0005-0000-0000-000010110000}"/>
    <cellStyle name="20% - Accent2 6 2 2 2 3 2" xfId="33433" xr:uid="{00000000-0005-0000-0000-000011110000}"/>
    <cellStyle name="20% - Accent2 6 2 2 2 4" xfId="27916" xr:uid="{00000000-0005-0000-0000-000012110000}"/>
    <cellStyle name="20% - Accent2 6 2 2 3" xfId="5782" xr:uid="{00000000-0005-0000-0000-000013110000}"/>
    <cellStyle name="20% - Accent2 6 2 2 3 2" xfId="7691" xr:uid="{00000000-0005-0000-0000-000014110000}"/>
    <cellStyle name="20% - Accent2 6 2 2 3 2 2" xfId="5779" xr:uid="{00000000-0005-0000-0000-000015110000}"/>
    <cellStyle name="20% - Accent2 6 2 2 3 3" xfId="5777" xr:uid="{00000000-0005-0000-0000-000016110000}"/>
    <cellStyle name="20% - Accent2 6 2 2 4" xfId="12476" xr:uid="{00000000-0005-0000-0000-000017110000}"/>
    <cellStyle name="20% - Accent2 6 2 2 4 2" xfId="12472" xr:uid="{00000000-0005-0000-0000-000018110000}"/>
    <cellStyle name="20% - Accent2 6 2 2 5" xfId="12463" xr:uid="{00000000-0005-0000-0000-000019110000}"/>
    <cellStyle name="20% - Accent2 6 2 3" xfId="33727" xr:uid="{00000000-0005-0000-0000-00001A110000}"/>
    <cellStyle name="20% - Accent2 6 2 3 2" xfId="23804" xr:uid="{00000000-0005-0000-0000-00001B110000}"/>
    <cellStyle name="20% - Accent2 6 2 3 2 2" xfId="26122" xr:uid="{00000000-0005-0000-0000-00001C110000}"/>
    <cellStyle name="20% - Accent2 6 2 3 2 2 2" xfId="26116" xr:uid="{00000000-0005-0000-0000-00001D110000}"/>
    <cellStyle name="20% - Accent2 6 2 3 2 3" xfId="23365" xr:uid="{00000000-0005-0000-0000-00001E110000}"/>
    <cellStyle name="20% - Accent2 6 2 3 3" xfId="5775" xr:uid="{00000000-0005-0000-0000-00001F110000}"/>
    <cellStyle name="20% - Accent2 6 2 3 3 2" xfId="5770" xr:uid="{00000000-0005-0000-0000-000020110000}"/>
    <cellStyle name="20% - Accent2 6 2 3 4" xfId="12453" xr:uid="{00000000-0005-0000-0000-000021110000}"/>
    <cellStyle name="20% - Accent2 6 2 4" xfId="23956" xr:uid="{00000000-0005-0000-0000-000022110000}"/>
    <cellStyle name="20% - Accent2 6 2 4 2" xfId="32544" xr:uid="{00000000-0005-0000-0000-000023110000}"/>
    <cellStyle name="20% - Accent2 6 2 4 2 2" xfId="25950" xr:uid="{00000000-0005-0000-0000-000024110000}"/>
    <cellStyle name="20% - Accent2 6 2 4 3" xfId="24003" xr:uid="{00000000-0005-0000-0000-000025110000}"/>
    <cellStyle name="20% - Accent2 6 2 5" xfId="16731" xr:uid="{00000000-0005-0000-0000-000026110000}"/>
    <cellStyle name="20% - Accent2 6 2 5 2" xfId="31312" xr:uid="{00000000-0005-0000-0000-000027110000}"/>
    <cellStyle name="20% - Accent2 6 2 6" xfId="27914" xr:uid="{00000000-0005-0000-0000-000028110000}"/>
    <cellStyle name="20% - Accent2 6 2 7" xfId="34819" xr:uid="{00000000-0005-0000-0000-000029110000}"/>
    <cellStyle name="20% - Accent2 6 3" xfId="19916" xr:uid="{00000000-0005-0000-0000-00002A110000}"/>
    <cellStyle name="20% - Accent2 6 3 2" xfId="31133" xr:uid="{00000000-0005-0000-0000-00002B110000}"/>
    <cellStyle name="20% - Accent2 6 3 2 2" xfId="23768" xr:uid="{00000000-0005-0000-0000-00002C110000}"/>
    <cellStyle name="20% - Accent2 6 3 2 2 2" xfId="27885" xr:uid="{00000000-0005-0000-0000-00002D110000}"/>
    <cellStyle name="20% - Accent2 6 3 2 2 2 2" xfId="15877" xr:uid="{00000000-0005-0000-0000-00002E110000}"/>
    <cellStyle name="20% - Accent2 6 3 2 2 3" xfId="27883" xr:uid="{00000000-0005-0000-0000-00002F110000}"/>
    <cellStyle name="20% - Accent2 6 3 2 3" xfId="5762" xr:uid="{00000000-0005-0000-0000-000030110000}"/>
    <cellStyle name="20% - Accent2 6 3 2 3 2" xfId="15765" xr:uid="{00000000-0005-0000-0000-000031110000}"/>
    <cellStyle name="20% - Accent2 6 3 2 4" xfId="12347" xr:uid="{00000000-0005-0000-0000-000032110000}"/>
    <cellStyle name="20% - Accent2 6 3 3" xfId="27869" xr:uid="{00000000-0005-0000-0000-000033110000}"/>
    <cellStyle name="20% - Accent2 6 3 3 2" xfId="27865" xr:uid="{00000000-0005-0000-0000-000034110000}"/>
    <cellStyle name="20% - Accent2 6 3 3 2 2" xfId="23497" xr:uid="{00000000-0005-0000-0000-000035110000}"/>
    <cellStyle name="20% - Accent2 6 3 3 3" xfId="5758" xr:uid="{00000000-0005-0000-0000-000036110000}"/>
    <cellStyle name="20% - Accent2 6 3 4" xfId="20223" xr:uid="{00000000-0005-0000-0000-000037110000}"/>
    <cellStyle name="20% - Accent2 6 3 4 2" xfId="27860" xr:uid="{00000000-0005-0000-0000-000038110000}"/>
    <cellStyle name="20% - Accent2 6 3 5" xfId="16725" xr:uid="{00000000-0005-0000-0000-000039110000}"/>
    <cellStyle name="20% - Accent2 6 3 6" xfId="35021" xr:uid="{00000000-0005-0000-0000-00003A110000}"/>
    <cellStyle name="20% - Accent2 6 4" xfId="19907" xr:uid="{00000000-0005-0000-0000-00003B110000}"/>
    <cellStyle name="20% - Accent2 6 4 2" xfId="33349" xr:uid="{00000000-0005-0000-0000-00003C110000}"/>
    <cellStyle name="20% - Accent2 6 4 2 2" xfId="27858" xr:uid="{00000000-0005-0000-0000-00003D110000}"/>
    <cellStyle name="20% - Accent2 6 4 2 2 2" xfId="32851" xr:uid="{00000000-0005-0000-0000-00003E110000}"/>
    <cellStyle name="20% - Accent2 6 4 2 3" xfId="27854" xr:uid="{00000000-0005-0000-0000-00003F110000}"/>
    <cellStyle name="20% - Accent2 6 4 3" xfId="27849" xr:uid="{00000000-0005-0000-0000-000040110000}"/>
    <cellStyle name="20% - Accent2 6 4 3 2" xfId="27847" xr:uid="{00000000-0005-0000-0000-000041110000}"/>
    <cellStyle name="20% - Accent2 6 4 4" xfId="31367" xr:uid="{00000000-0005-0000-0000-000042110000}"/>
    <cellStyle name="20% - Accent2 6 4 5" xfId="35227" xr:uid="{00000000-0005-0000-0000-000043110000}"/>
    <cellStyle name="20% - Accent2 6 5" xfId="8328" xr:uid="{00000000-0005-0000-0000-000044110000}"/>
    <cellStyle name="20% - Accent2 6 5 2" xfId="27838" xr:uid="{00000000-0005-0000-0000-000045110000}"/>
    <cellStyle name="20% - Accent2 6 5 2 2" xfId="29347" xr:uid="{00000000-0005-0000-0000-000046110000}"/>
    <cellStyle name="20% - Accent2 6 5 3" xfId="27833" xr:uid="{00000000-0005-0000-0000-000047110000}"/>
    <cellStyle name="20% - Accent2 6 5 4" xfId="35456" xr:uid="{00000000-0005-0000-0000-000048110000}"/>
    <cellStyle name="20% - Accent2 6 6" xfId="27830" xr:uid="{00000000-0005-0000-0000-000049110000}"/>
    <cellStyle name="20% - Accent2 6 6 2" xfId="27821" xr:uid="{00000000-0005-0000-0000-00004A110000}"/>
    <cellStyle name="20% - Accent2 6 6 3" xfId="36328" xr:uid="{00000000-0005-0000-0000-00004B110000}"/>
    <cellStyle name="20% - Accent2 6 7" xfId="27818" xr:uid="{00000000-0005-0000-0000-00004C110000}"/>
    <cellStyle name="20% - Accent2 6 7 2" xfId="36614" xr:uid="{00000000-0005-0000-0000-00004D110000}"/>
    <cellStyle name="20% - Accent2 6 8" xfId="34593" xr:uid="{00000000-0005-0000-0000-00004E110000}"/>
    <cellStyle name="20% - Accent2 6 9" xfId="27928" xr:uid="{00000000-0005-0000-0000-00004F110000}"/>
    <cellStyle name="20% - Accent2 7" xfId="303" xr:uid="{00000000-0005-0000-0000-000050110000}"/>
    <cellStyle name="20% - Accent2 7 2" xfId="19902" xr:uid="{00000000-0005-0000-0000-000051110000}"/>
    <cellStyle name="20% - Accent2 7 2 2" xfId="28373" xr:uid="{00000000-0005-0000-0000-000052110000}"/>
    <cellStyle name="20% - Accent2 7 2 2 2" xfId="22978" xr:uid="{00000000-0005-0000-0000-000053110000}"/>
    <cellStyle name="20% - Accent2 7 2 2 2 2" xfId="33904" xr:uid="{00000000-0005-0000-0000-000054110000}"/>
    <cellStyle name="20% - Accent2 7 2 2 2 2 2" xfId="27814" xr:uid="{00000000-0005-0000-0000-000055110000}"/>
    <cellStyle name="20% - Accent2 7 2 2 2 3" xfId="33869" xr:uid="{00000000-0005-0000-0000-000056110000}"/>
    <cellStyle name="20% - Accent2 7 2 2 3" xfId="28366" xr:uid="{00000000-0005-0000-0000-000057110000}"/>
    <cellStyle name="20% - Accent2 7 2 2 3 2" xfId="5750" xr:uid="{00000000-0005-0000-0000-000058110000}"/>
    <cellStyle name="20% - Accent2 7 2 2 4" xfId="12124" xr:uid="{00000000-0005-0000-0000-000059110000}"/>
    <cellStyle name="20% - Accent2 7 2 3" xfId="27811" xr:uid="{00000000-0005-0000-0000-00005A110000}"/>
    <cellStyle name="20% - Accent2 7 2 3 2" xfId="28359" xr:uid="{00000000-0005-0000-0000-00005B110000}"/>
    <cellStyle name="20% - Accent2 7 2 3 2 2" xfId="17784" xr:uid="{00000000-0005-0000-0000-00005C110000}"/>
    <cellStyle name="20% - Accent2 7 2 3 3" xfId="5748" xr:uid="{00000000-0005-0000-0000-00005D110000}"/>
    <cellStyle name="20% - Accent2 7 2 4" xfId="24334" xr:uid="{00000000-0005-0000-0000-00005E110000}"/>
    <cellStyle name="20% - Accent2 7 2 4 2" xfId="25018" xr:uid="{00000000-0005-0000-0000-00005F110000}"/>
    <cellStyle name="20% - Accent2 7 2 5" xfId="29403" xr:uid="{00000000-0005-0000-0000-000060110000}"/>
    <cellStyle name="20% - Accent2 7 2 6" xfId="34838" xr:uid="{00000000-0005-0000-0000-000061110000}"/>
    <cellStyle name="20% - Accent2 7 3" xfId="19898" xr:uid="{00000000-0005-0000-0000-000062110000}"/>
    <cellStyle name="20% - Accent2 7 3 2" xfId="27794" xr:uid="{00000000-0005-0000-0000-000063110000}"/>
    <cellStyle name="20% - Accent2 7 3 2 2" xfId="17868" xr:uid="{00000000-0005-0000-0000-000064110000}"/>
    <cellStyle name="20% - Accent2 7 3 2 2 2" xfId="34084" xr:uid="{00000000-0005-0000-0000-000065110000}"/>
    <cellStyle name="20% - Accent2 7 3 2 3" xfId="5745" xr:uid="{00000000-0005-0000-0000-000066110000}"/>
    <cellStyle name="20% - Accent2 7 3 3" xfId="27790" xr:uid="{00000000-0005-0000-0000-000067110000}"/>
    <cellStyle name="20% - Accent2 7 3 3 2" xfId="33060" xr:uid="{00000000-0005-0000-0000-000068110000}"/>
    <cellStyle name="20% - Accent2 7 3 4" xfId="20164" xr:uid="{00000000-0005-0000-0000-000069110000}"/>
    <cellStyle name="20% - Accent2 7 3 5" xfId="35040" xr:uid="{00000000-0005-0000-0000-00006A110000}"/>
    <cellStyle name="20% - Accent2 7 4" xfId="27782" xr:uid="{00000000-0005-0000-0000-00006B110000}"/>
    <cellStyle name="20% - Accent2 7 4 2" xfId="27770" xr:uid="{00000000-0005-0000-0000-00006C110000}"/>
    <cellStyle name="20% - Accent2 7 4 2 2" xfId="32660" xr:uid="{00000000-0005-0000-0000-00006D110000}"/>
    <cellStyle name="20% - Accent2 7 4 3" xfId="27758" xr:uid="{00000000-0005-0000-0000-00006E110000}"/>
    <cellStyle name="20% - Accent2 7 4 4" xfId="35247" xr:uid="{00000000-0005-0000-0000-00006F110000}"/>
    <cellStyle name="20% - Accent2 7 5" xfId="23655" xr:uid="{00000000-0005-0000-0000-000070110000}"/>
    <cellStyle name="20% - Accent2 7 5 2" xfId="20996" xr:uid="{00000000-0005-0000-0000-000071110000}"/>
    <cellStyle name="20% - Accent2 7 5 3" xfId="35476" xr:uid="{00000000-0005-0000-0000-000072110000}"/>
    <cellStyle name="20% - Accent2 7 6" xfId="28540" xr:uid="{00000000-0005-0000-0000-000073110000}"/>
    <cellStyle name="20% - Accent2 7 6 2" xfId="36348" xr:uid="{00000000-0005-0000-0000-000074110000}"/>
    <cellStyle name="20% - Accent2 7 7" xfId="34607" xr:uid="{00000000-0005-0000-0000-000075110000}"/>
    <cellStyle name="20% - Accent2 7 8" xfId="30986" xr:uid="{00000000-0005-0000-0000-000076110000}"/>
    <cellStyle name="20% - Accent2 7 8 2" xfId="37506" xr:uid="{00000000-0005-0000-0000-000077110000}"/>
    <cellStyle name="20% - Accent2 8" xfId="323" xr:uid="{00000000-0005-0000-0000-000078110000}"/>
    <cellStyle name="20% - Accent2 8 2" xfId="19879" xr:uid="{00000000-0005-0000-0000-000079110000}"/>
    <cellStyle name="20% - Accent2 8 2 2" xfId="26736" xr:uid="{00000000-0005-0000-0000-00007A110000}"/>
    <cellStyle name="20% - Accent2 8 2 2 2" xfId="28285" xr:uid="{00000000-0005-0000-0000-00007B110000}"/>
    <cellStyle name="20% - Accent2 8 2 2 2 2" xfId="34297" xr:uid="{00000000-0005-0000-0000-00007C110000}"/>
    <cellStyle name="20% - Accent2 8 2 2 3" xfId="23436" xr:uid="{00000000-0005-0000-0000-00007D110000}"/>
    <cellStyle name="20% - Accent2 8 2 3" xfId="26294" xr:uid="{00000000-0005-0000-0000-00007E110000}"/>
    <cellStyle name="20% - Accent2 8 2 3 2" xfId="27744" xr:uid="{00000000-0005-0000-0000-00007F110000}"/>
    <cellStyle name="20% - Accent2 8 2 4" xfId="27743" xr:uid="{00000000-0005-0000-0000-000080110000}"/>
    <cellStyle name="20% - Accent2 8 2 5" xfId="34857" xr:uid="{00000000-0005-0000-0000-000081110000}"/>
    <cellStyle name="20% - Accent2 8 3" xfId="27740" xr:uid="{00000000-0005-0000-0000-000082110000}"/>
    <cellStyle name="20% - Accent2 8 3 2" xfId="33057" xr:uid="{00000000-0005-0000-0000-000083110000}"/>
    <cellStyle name="20% - Accent2 8 3 2 2" xfId="31018" xr:uid="{00000000-0005-0000-0000-000084110000}"/>
    <cellStyle name="20% - Accent2 8 3 3" xfId="34194" xr:uid="{00000000-0005-0000-0000-000085110000}"/>
    <cellStyle name="20% - Accent2 8 3 4" xfId="35059" xr:uid="{00000000-0005-0000-0000-000086110000}"/>
    <cellStyle name="20% - Accent2 8 4" xfId="27734" xr:uid="{00000000-0005-0000-0000-000087110000}"/>
    <cellStyle name="20% - Accent2 8 4 2" xfId="33039" xr:uid="{00000000-0005-0000-0000-000088110000}"/>
    <cellStyle name="20% - Accent2 8 4 3" xfId="35266" xr:uid="{00000000-0005-0000-0000-000089110000}"/>
    <cellStyle name="20% - Accent2 8 5" xfId="27727" xr:uid="{00000000-0005-0000-0000-00008A110000}"/>
    <cellStyle name="20% - Accent2 8 5 2" xfId="35495" xr:uid="{00000000-0005-0000-0000-00008B110000}"/>
    <cellStyle name="20% - Accent2 8 6" xfId="34621" xr:uid="{00000000-0005-0000-0000-00008C110000}"/>
    <cellStyle name="20% - Accent2 8 7" xfId="31460" xr:uid="{00000000-0005-0000-0000-00008D110000}"/>
    <cellStyle name="20% - Accent2 8 7 2" xfId="36640" xr:uid="{00000000-0005-0000-0000-00008E110000}"/>
    <cellStyle name="20% - Accent2 8 8" xfId="37525" xr:uid="{00000000-0005-0000-0000-00008F110000}"/>
    <cellStyle name="20% - Accent2 9" xfId="343" xr:uid="{00000000-0005-0000-0000-000090110000}"/>
    <cellStyle name="20% - Accent2 9 2" xfId="27726" xr:uid="{00000000-0005-0000-0000-000091110000}"/>
    <cellStyle name="20% - Accent2 9 2 2" xfId="27722" xr:uid="{00000000-0005-0000-0000-000092110000}"/>
    <cellStyle name="20% - Accent2 9 2 2 2" xfId="27720" xr:uid="{00000000-0005-0000-0000-000093110000}"/>
    <cellStyle name="20% - Accent2 9 2 3" xfId="27712" xr:uid="{00000000-0005-0000-0000-000094110000}"/>
    <cellStyle name="20% - Accent2 9 2 4" xfId="34877" xr:uid="{00000000-0005-0000-0000-000095110000}"/>
    <cellStyle name="20% - Accent2 9 3" xfId="27526" xr:uid="{00000000-0005-0000-0000-000096110000}"/>
    <cellStyle name="20% - Accent2 9 3 2" xfId="34288" xr:uid="{00000000-0005-0000-0000-000097110000}"/>
    <cellStyle name="20% - Accent2 9 3 3" xfId="35078" xr:uid="{00000000-0005-0000-0000-000098110000}"/>
    <cellStyle name="20% - Accent2 9 4" xfId="18753" xr:uid="{00000000-0005-0000-0000-000099110000}"/>
    <cellStyle name="20% - Accent2 9 4 2" xfId="35286" xr:uid="{00000000-0005-0000-0000-00009A110000}"/>
    <cellStyle name="20% - Accent2 9 5" xfId="34635" xr:uid="{00000000-0005-0000-0000-00009B110000}"/>
    <cellStyle name="20% - Accent2 9 6" xfId="29511" xr:uid="{00000000-0005-0000-0000-00009C110000}"/>
    <cellStyle name="20% - Accent2 9 6 2" xfId="36374" xr:uid="{00000000-0005-0000-0000-00009D110000}"/>
    <cellStyle name="20% - Accent2 9 7" xfId="36660" xr:uid="{00000000-0005-0000-0000-00009E110000}"/>
    <cellStyle name="20% - Accent2 9 8" xfId="37545" xr:uid="{00000000-0005-0000-0000-00009F110000}"/>
    <cellStyle name="20% - Accent3" xfId="31" builtinId="38" customBuiltin="1"/>
    <cellStyle name="20% - Accent3 10" xfId="184" xr:uid="{00000000-0005-0000-0000-0000A1110000}"/>
    <cellStyle name="20% - Accent3 10 2" xfId="26183" xr:uid="{00000000-0005-0000-0000-0000A2110000}"/>
    <cellStyle name="20% - Accent3 10 2 2" xfId="26148" xr:uid="{00000000-0005-0000-0000-0000A3110000}"/>
    <cellStyle name="20% - Accent3 10 2 3" xfId="34898" xr:uid="{00000000-0005-0000-0000-0000A4110000}"/>
    <cellStyle name="20% - Accent3 10 3" xfId="26176" xr:uid="{00000000-0005-0000-0000-0000A5110000}"/>
    <cellStyle name="20% - Accent3 10 3 2" xfId="35100" xr:uid="{00000000-0005-0000-0000-0000A6110000}"/>
    <cellStyle name="20% - Accent3 10 4" xfId="34524" xr:uid="{00000000-0005-0000-0000-0000A7110000}"/>
    <cellStyle name="20% - Accent3 10 5" xfId="24246" xr:uid="{00000000-0005-0000-0000-0000A8110000}"/>
    <cellStyle name="20% - Accent3 10 5 2" xfId="35523" xr:uid="{00000000-0005-0000-0000-0000A9110000}"/>
    <cellStyle name="20% - Accent3 10 6" xfId="36396" xr:uid="{00000000-0005-0000-0000-0000AA110000}"/>
    <cellStyle name="20% - Accent3 10 7" xfId="36682" xr:uid="{00000000-0005-0000-0000-0000AB110000}"/>
    <cellStyle name="20% - Accent3 10 8" xfId="37567" xr:uid="{00000000-0005-0000-0000-0000AC110000}"/>
    <cellStyle name="20% - Accent3 11" xfId="24236" xr:uid="{00000000-0005-0000-0000-0000AD110000}"/>
    <cellStyle name="20% - Accent3 11 2" xfId="26165" xr:uid="{00000000-0005-0000-0000-0000AE110000}"/>
    <cellStyle name="20% - Accent3 11 2 2" xfId="35119" xr:uid="{00000000-0005-0000-0000-0000AF110000}"/>
    <cellStyle name="20% - Accent3 11 3" xfId="34694" xr:uid="{00000000-0005-0000-0000-0000B0110000}"/>
    <cellStyle name="20% - Accent3 11 4" xfId="35543" xr:uid="{00000000-0005-0000-0000-0000B1110000}"/>
    <cellStyle name="20% - Accent3 11 5" xfId="36416" xr:uid="{00000000-0005-0000-0000-0000B2110000}"/>
    <cellStyle name="20% - Accent3 11 6" xfId="36702" xr:uid="{00000000-0005-0000-0000-0000B3110000}"/>
    <cellStyle name="20% - Accent3 11 7" xfId="37587" xr:uid="{00000000-0005-0000-0000-0000B4110000}"/>
    <cellStyle name="20% - Accent3 12" xfId="26161" xr:uid="{00000000-0005-0000-0000-0000B5110000}"/>
    <cellStyle name="20% - Accent3 12 2" xfId="34709" xr:uid="{00000000-0005-0000-0000-0000B6110000}"/>
    <cellStyle name="20% - Accent3 12 3" xfId="35322" xr:uid="{00000000-0005-0000-0000-0000B7110000}"/>
    <cellStyle name="20% - Accent3 12 4" xfId="35562" xr:uid="{00000000-0005-0000-0000-0000B8110000}"/>
    <cellStyle name="20% - Accent3 12 5" xfId="36435" xr:uid="{00000000-0005-0000-0000-0000B9110000}"/>
    <cellStyle name="20% - Accent3 12 6" xfId="36721" xr:uid="{00000000-0005-0000-0000-0000BA110000}"/>
    <cellStyle name="20% - Accent3 12 7" xfId="37606" xr:uid="{00000000-0005-0000-0000-0000BB110000}"/>
    <cellStyle name="20% - Accent3 13" xfId="27485" xr:uid="{00000000-0005-0000-0000-0000BC110000}"/>
    <cellStyle name="20% - Accent3 13 2" xfId="34737" xr:uid="{00000000-0005-0000-0000-0000BD110000}"/>
    <cellStyle name="20% - Accent3 13 3" xfId="35581" xr:uid="{00000000-0005-0000-0000-0000BE110000}"/>
    <cellStyle name="20% - Accent3 13 4" xfId="36456" xr:uid="{00000000-0005-0000-0000-0000BF110000}"/>
    <cellStyle name="20% - Accent3 13 5" xfId="36742" xr:uid="{00000000-0005-0000-0000-0000C0110000}"/>
    <cellStyle name="20% - Accent3 13 6" xfId="37627" xr:uid="{00000000-0005-0000-0000-0000C1110000}"/>
    <cellStyle name="20% - Accent3 14" xfId="33676" xr:uid="{00000000-0005-0000-0000-0000C2110000}"/>
    <cellStyle name="20% - Accent3 14 2" xfId="34927" xr:uid="{00000000-0005-0000-0000-0000C3110000}"/>
    <cellStyle name="20% - Accent3 14 3" xfId="36756" xr:uid="{00000000-0005-0000-0000-0000C4110000}"/>
    <cellStyle name="20% - Accent3 14 4" xfId="37641" xr:uid="{00000000-0005-0000-0000-0000C5110000}"/>
    <cellStyle name="20% - Accent3 15" xfId="34649" xr:uid="{00000000-0005-0000-0000-0000C6110000}"/>
    <cellStyle name="20% - Accent3 15 2" xfId="36481" xr:uid="{00000000-0005-0000-0000-0000C7110000}"/>
    <cellStyle name="20% - Accent3 15 3" xfId="36779" xr:uid="{00000000-0005-0000-0000-0000C8110000}"/>
    <cellStyle name="20% - Accent3 15 4" xfId="37667" xr:uid="{00000000-0005-0000-0000-0000C9110000}"/>
    <cellStyle name="20% - Accent3 16" xfId="35361" xr:uid="{00000000-0005-0000-0000-0000CA110000}"/>
    <cellStyle name="20% - Accent3 16 2" xfId="36499" xr:uid="{00000000-0005-0000-0000-0000CB110000}"/>
    <cellStyle name="20% - Accent3 16 3" xfId="36797" xr:uid="{00000000-0005-0000-0000-0000CC110000}"/>
    <cellStyle name="20% - Accent3 16 4" xfId="37686" xr:uid="{00000000-0005-0000-0000-0000CD110000}"/>
    <cellStyle name="20% - Accent3 17" xfId="35648" xr:uid="{00000000-0005-0000-0000-0000CE110000}"/>
    <cellStyle name="20% - Accent3 17 2" xfId="36816" xr:uid="{00000000-0005-0000-0000-0000CF110000}"/>
    <cellStyle name="20% - Accent3 17 3" xfId="37706" xr:uid="{00000000-0005-0000-0000-0000D0110000}"/>
    <cellStyle name="20% - Accent3 18" xfId="35666" xr:uid="{00000000-0005-0000-0000-0000D1110000}"/>
    <cellStyle name="20% - Accent3 18 2" xfId="36835" xr:uid="{00000000-0005-0000-0000-0000D2110000}"/>
    <cellStyle name="20% - Accent3 18 3" xfId="37725" xr:uid="{00000000-0005-0000-0000-0000D3110000}"/>
    <cellStyle name="20% - Accent3 19" xfId="35685" xr:uid="{00000000-0005-0000-0000-0000D4110000}"/>
    <cellStyle name="20% - Accent3 19 2" xfId="36854" xr:uid="{00000000-0005-0000-0000-0000D5110000}"/>
    <cellStyle name="20% - Accent3 19 3" xfId="37744" xr:uid="{00000000-0005-0000-0000-0000D6110000}"/>
    <cellStyle name="20% - Accent3 2" xfId="84" xr:uid="{00000000-0005-0000-0000-0000D7110000}"/>
    <cellStyle name="20% - Accent3 2 10" xfId="27128" xr:uid="{00000000-0005-0000-0000-0000D8110000}"/>
    <cellStyle name="20% - Accent3 2 10 2" xfId="21599" xr:uid="{00000000-0005-0000-0000-0000D9110000}"/>
    <cellStyle name="20% - Accent3 2 10 3" xfId="37425" xr:uid="{00000000-0005-0000-0000-0000DA110000}"/>
    <cellStyle name="20% - Accent3 2 11" xfId="21645" xr:uid="{00000000-0005-0000-0000-0000DB110000}"/>
    <cellStyle name="20% - Accent3 2 12" xfId="34442" xr:uid="{00000000-0005-0000-0000-0000DC110000}"/>
    <cellStyle name="20% - Accent3 2 13" xfId="34003" xr:uid="{00000000-0005-0000-0000-0000DD110000}"/>
    <cellStyle name="20% - Accent3 2 2" xfId="145" xr:uid="{00000000-0005-0000-0000-0000DE110000}"/>
    <cellStyle name="20% - Accent3 2 2 10" xfId="29550" xr:uid="{00000000-0005-0000-0000-0000DF110000}"/>
    <cellStyle name="20% - Accent3 2 2 11" xfId="34497" xr:uid="{00000000-0005-0000-0000-0000E0110000}"/>
    <cellStyle name="20% - Accent3 2 2 12" xfId="33469" xr:uid="{00000000-0005-0000-0000-0000E1110000}"/>
    <cellStyle name="20% - Accent3 2 2 2" xfId="34318" xr:uid="{00000000-0005-0000-0000-0000E2110000}"/>
    <cellStyle name="20% - Accent3 2 2 2 2" xfId="33463" xr:uid="{00000000-0005-0000-0000-0000E3110000}"/>
    <cellStyle name="20% - Accent3 2 2 2 2 2" xfId="17572" xr:uid="{00000000-0005-0000-0000-0000E4110000}"/>
    <cellStyle name="20% - Accent3 2 2 2 2 2 2" xfId="32864" xr:uid="{00000000-0005-0000-0000-0000E5110000}"/>
    <cellStyle name="20% - Accent3 2 2 2 2 2 2 2" xfId="27687" xr:uid="{00000000-0005-0000-0000-0000E6110000}"/>
    <cellStyle name="20% - Accent3 2 2 2 2 2 2 2 2" xfId="27682" xr:uid="{00000000-0005-0000-0000-0000E7110000}"/>
    <cellStyle name="20% - Accent3 2 2 2 2 2 2 2 2 2" xfId="27680" xr:uid="{00000000-0005-0000-0000-0000E8110000}"/>
    <cellStyle name="20% - Accent3 2 2 2 2 2 2 2 2 2 2" xfId="27679" xr:uid="{00000000-0005-0000-0000-0000E9110000}"/>
    <cellStyle name="20% - Accent3 2 2 2 2 2 2 2 2 2 2 2" xfId="22085" xr:uid="{00000000-0005-0000-0000-0000EA110000}"/>
    <cellStyle name="20% - Accent3 2 2 2 2 2 2 2 2 2 3" xfId="27676" xr:uid="{00000000-0005-0000-0000-0000EB110000}"/>
    <cellStyle name="20% - Accent3 2 2 2 2 2 2 2 2 3" xfId="27675" xr:uid="{00000000-0005-0000-0000-0000EC110000}"/>
    <cellStyle name="20% - Accent3 2 2 2 2 2 2 2 2 3 2" xfId="33241" xr:uid="{00000000-0005-0000-0000-0000ED110000}"/>
    <cellStyle name="20% - Accent3 2 2 2 2 2 2 2 2 4" xfId="27673" xr:uid="{00000000-0005-0000-0000-0000EE110000}"/>
    <cellStyle name="20% - Accent3 2 2 2 2 2 2 2 3" xfId="27668" xr:uid="{00000000-0005-0000-0000-0000EF110000}"/>
    <cellStyle name="20% - Accent3 2 2 2 2 2 2 2 3 2" xfId="27660" xr:uid="{00000000-0005-0000-0000-0000F0110000}"/>
    <cellStyle name="20% - Accent3 2 2 2 2 2 2 2 3 2 2" xfId="27659" xr:uid="{00000000-0005-0000-0000-0000F1110000}"/>
    <cellStyle name="20% - Accent3 2 2 2 2 2 2 2 3 3" xfId="27658" xr:uid="{00000000-0005-0000-0000-0000F2110000}"/>
    <cellStyle name="20% - Accent3 2 2 2 2 2 2 2 4" xfId="27657" xr:uid="{00000000-0005-0000-0000-0000F3110000}"/>
    <cellStyle name="20% - Accent3 2 2 2 2 2 2 2 4 2" xfId="12659" xr:uid="{00000000-0005-0000-0000-0000F4110000}"/>
    <cellStyle name="20% - Accent3 2 2 2 2 2 2 2 5" xfId="21102" xr:uid="{00000000-0005-0000-0000-0000F5110000}"/>
    <cellStyle name="20% - Accent3 2 2 2 2 2 2 3" xfId="32849" xr:uid="{00000000-0005-0000-0000-0000F6110000}"/>
    <cellStyle name="20% - Accent3 2 2 2 2 2 2 3 2" xfId="27771" xr:uid="{00000000-0005-0000-0000-0000F7110000}"/>
    <cellStyle name="20% - Accent3 2 2 2 2 2 2 3 2 2" xfId="27653" xr:uid="{00000000-0005-0000-0000-0000F8110000}"/>
    <cellStyle name="20% - Accent3 2 2 2 2 2 2 3 2 2 2" xfId="27650" xr:uid="{00000000-0005-0000-0000-0000F9110000}"/>
    <cellStyle name="20% - Accent3 2 2 2 2 2 2 3 2 3" xfId="27645" xr:uid="{00000000-0005-0000-0000-0000FA110000}"/>
    <cellStyle name="20% - Accent3 2 2 2 2 2 2 3 3" xfId="28590" xr:uid="{00000000-0005-0000-0000-0000FB110000}"/>
    <cellStyle name="20% - Accent3 2 2 2 2 2 2 3 3 2" xfId="27642" xr:uid="{00000000-0005-0000-0000-0000FC110000}"/>
    <cellStyle name="20% - Accent3 2 2 2 2 2 2 3 4" xfId="28582" xr:uid="{00000000-0005-0000-0000-0000FD110000}"/>
    <cellStyle name="20% - Accent3 2 2 2 2 2 2 4" xfId="19690" xr:uid="{00000000-0005-0000-0000-0000FE110000}"/>
    <cellStyle name="20% - Accent3 2 2 2 2 2 2 4 2" xfId="19285" xr:uid="{00000000-0005-0000-0000-0000FF110000}"/>
    <cellStyle name="20% - Accent3 2 2 2 2 2 2 4 2 2" xfId="23835" xr:uid="{00000000-0005-0000-0000-000000120000}"/>
    <cellStyle name="20% - Accent3 2 2 2 2 2 2 4 3" xfId="28548" xr:uid="{00000000-0005-0000-0000-000001120000}"/>
    <cellStyle name="20% - Accent3 2 2 2 2 2 2 5" xfId="31889" xr:uid="{00000000-0005-0000-0000-000002120000}"/>
    <cellStyle name="20% - Accent3 2 2 2 2 2 2 5 2" xfId="15292" xr:uid="{00000000-0005-0000-0000-000003120000}"/>
    <cellStyle name="20% - Accent3 2 2 2 2 2 2 6" xfId="27634" xr:uid="{00000000-0005-0000-0000-000004120000}"/>
    <cellStyle name="20% - Accent3 2 2 2 2 2 3" xfId="25427" xr:uid="{00000000-0005-0000-0000-000005120000}"/>
    <cellStyle name="20% - Accent3 2 2 2 2 2 3 2" xfId="27629" xr:uid="{00000000-0005-0000-0000-000006120000}"/>
    <cellStyle name="20% - Accent3 2 2 2 2 2 3 2 2" xfId="18719" xr:uid="{00000000-0005-0000-0000-000007120000}"/>
    <cellStyle name="20% - Accent3 2 2 2 2 2 3 2 2 2" xfId="27628" xr:uid="{00000000-0005-0000-0000-000008120000}"/>
    <cellStyle name="20% - Accent3 2 2 2 2 2 3 2 2 2 2" xfId="27709" xr:uid="{00000000-0005-0000-0000-000009120000}"/>
    <cellStyle name="20% - Accent3 2 2 2 2 2 3 2 2 3" xfId="27625" xr:uid="{00000000-0005-0000-0000-00000A120000}"/>
    <cellStyle name="20% - Accent3 2 2 2 2 2 3 2 3" xfId="23537" xr:uid="{00000000-0005-0000-0000-00000B120000}"/>
    <cellStyle name="20% - Accent3 2 2 2 2 2 3 2 3 2" xfId="27617" xr:uid="{00000000-0005-0000-0000-00000C120000}"/>
    <cellStyle name="20% - Accent3 2 2 2 2 2 3 2 4" xfId="20899" xr:uid="{00000000-0005-0000-0000-00000D120000}"/>
    <cellStyle name="20% - Accent3 2 2 2 2 2 3 3" xfId="27609" xr:uid="{00000000-0005-0000-0000-00000E120000}"/>
    <cellStyle name="20% - Accent3 2 2 2 2 2 3 3 2" xfId="28903" xr:uid="{00000000-0005-0000-0000-00000F120000}"/>
    <cellStyle name="20% - Accent3 2 2 2 2 2 3 3 2 2" xfId="27608" xr:uid="{00000000-0005-0000-0000-000010120000}"/>
    <cellStyle name="20% - Accent3 2 2 2 2 2 3 3 3" xfId="20887" xr:uid="{00000000-0005-0000-0000-000011120000}"/>
    <cellStyle name="20% - Accent3 2 2 2 2 2 3 4" xfId="19542" xr:uid="{00000000-0005-0000-0000-000012120000}"/>
    <cellStyle name="20% - Accent3 2 2 2 2 2 3 4 2" xfId="19246" xr:uid="{00000000-0005-0000-0000-000013120000}"/>
    <cellStyle name="20% - Accent3 2 2 2 2 2 3 5" xfId="10903" xr:uid="{00000000-0005-0000-0000-000014120000}"/>
    <cellStyle name="20% - Accent3 2 2 2 2 2 4" xfId="31977" xr:uid="{00000000-0005-0000-0000-000015120000}"/>
    <cellStyle name="20% - Accent3 2 2 2 2 2 4 2" xfId="27598" xr:uid="{00000000-0005-0000-0000-000016120000}"/>
    <cellStyle name="20% - Accent3 2 2 2 2 2 4 2 2" xfId="23528" xr:uid="{00000000-0005-0000-0000-000017120000}"/>
    <cellStyle name="20% - Accent3 2 2 2 2 2 4 2 2 2" xfId="27597" xr:uid="{00000000-0005-0000-0000-000018120000}"/>
    <cellStyle name="20% - Accent3 2 2 2 2 2 4 2 3" xfId="20846" xr:uid="{00000000-0005-0000-0000-000019120000}"/>
    <cellStyle name="20% - Accent3 2 2 2 2 2 4 3" xfId="27593" xr:uid="{00000000-0005-0000-0000-00001A120000}"/>
    <cellStyle name="20% - Accent3 2 2 2 2 2 4 3 2" xfId="20836" xr:uid="{00000000-0005-0000-0000-00001B120000}"/>
    <cellStyle name="20% - Accent3 2 2 2 2 2 4 4" xfId="13580" xr:uid="{00000000-0005-0000-0000-00001C120000}"/>
    <cellStyle name="20% - Accent3 2 2 2 2 2 5" xfId="22022" xr:uid="{00000000-0005-0000-0000-00001D120000}"/>
    <cellStyle name="20% - Accent3 2 2 2 2 2 5 2" xfId="27591" xr:uid="{00000000-0005-0000-0000-00001E120000}"/>
    <cellStyle name="20% - Accent3 2 2 2 2 2 5 2 2" xfId="20810" xr:uid="{00000000-0005-0000-0000-00001F120000}"/>
    <cellStyle name="20% - Accent3 2 2 2 2 2 5 3" xfId="34356" xr:uid="{00000000-0005-0000-0000-000020120000}"/>
    <cellStyle name="20% - Accent3 2 2 2 2 2 6" xfId="27589" xr:uid="{00000000-0005-0000-0000-000021120000}"/>
    <cellStyle name="20% - Accent3 2 2 2 2 2 6 2" xfId="27584" xr:uid="{00000000-0005-0000-0000-000022120000}"/>
    <cellStyle name="20% - Accent3 2 2 2 2 2 7" xfId="27272" xr:uid="{00000000-0005-0000-0000-000023120000}"/>
    <cellStyle name="20% - Accent3 2 2 2 2 3" xfId="32676" xr:uid="{00000000-0005-0000-0000-000024120000}"/>
    <cellStyle name="20% - Accent3 2 2 2 2 3 2" xfId="32766" xr:uid="{00000000-0005-0000-0000-000025120000}"/>
    <cellStyle name="20% - Accent3 2 2 2 2 3 2 2" xfId="19716" xr:uid="{00000000-0005-0000-0000-000026120000}"/>
    <cellStyle name="20% - Accent3 2 2 2 2 3 2 2 2" xfId="27579" xr:uid="{00000000-0005-0000-0000-000027120000}"/>
    <cellStyle name="20% - Accent3 2 2 2 2 3 2 2 2 2" xfId="27577" xr:uid="{00000000-0005-0000-0000-000028120000}"/>
    <cellStyle name="20% - Accent3 2 2 2 2 3 2 2 2 2 2" xfId="28002" xr:uid="{00000000-0005-0000-0000-000029120000}"/>
    <cellStyle name="20% - Accent3 2 2 2 2 3 2 2 2 3" xfId="27576" xr:uid="{00000000-0005-0000-0000-00002A120000}"/>
    <cellStyle name="20% - Accent3 2 2 2 2 3 2 2 3" xfId="27078" xr:uid="{00000000-0005-0000-0000-00002B120000}"/>
    <cellStyle name="20% - Accent3 2 2 2 2 3 2 2 3 2" xfId="27574" xr:uid="{00000000-0005-0000-0000-00002C120000}"/>
    <cellStyle name="20% - Accent3 2 2 2 2 3 2 2 4" xfId="27572" xr:uid="{00000000-0005-0000-0000-00002D120000}"/>
    <cellStyle name="20% - Accent3 2 2 2 2 3 2 3" xfId="19705" xr:uid="{00000000-0005-0000-0000-00002E120000}"/>
    <cellStyle name="20% - Accent3 2 2 2 2 3 2 3 2" xfId="27688" xr:uid="{00000000-0005-0000-0000-00002F120000}"/>
    <cellStyle name="20% - Accent3 2 2 2 2 3 2 3 2 2" xfId="27569" xr:uid="{00000000-0005-0000-0000-000030120000}"/>
    <cellStyle name="20% - Accent3 2 2 2 2 3 2 3 3" xfId="28158" xr:uid="{00000000-0005-0000-0000-000031120000}"/>
    <cellStyle name="20% - Accent3 2 2 2 2 3 2 4" xfId="29063" xr:uid="{00000000-0005-0000-0000-000032120000}"/>
    <cellStyle name="20% - Accent3 2 2 2 2 3 2 4 2" xfId="28145" xr:uid="{00000000-0005-0000-0000-000033120000}"/>
    <cellStyle name="20% - Accent3 2 2 2 2 3 2 5" xfId="27567" xr:uid="{00000000-0005-0000-0000-000034120000}"/>
    <cellStyle name="20% - Accent3 2 2 2 2 3 3" xfId="30741" xr:uid="{00000000-0005-0000-0000-000035120000}"/>
    <cellStyle name="20% - Accent3 2 2 2 2 3 3 2" xfId="21574" xr:uid="{00000000-0005-0000-0000-000036120000}"/>
    <cellStyle name="20% - Accent3 2 2 2 2 3 3 2 2" xfId="26988" xr:uid="{00000000-0005-0000-0000-000037120000}"/>
    <cellStyle name="20% - Accent3 2 2 2 2 3 3 2 2 2" xfId="32069" xr:uid="{00000000-0005-0000-0000-000038120000}"/>
    <cellStyle name="20% - Accent3 2 2 2 2 3 3 2 3" xfId="27182" xr:uid="{00000000-0005-0000-0000-000039120000}"/>
    <cellStyle name="20% - Accent3 2 2 2 2 3 3 3" xfId="19698" xr:uid="{00000000-0005-0000-0000-00003A120000}"/>
    <cellStyle name="20% - Accent3 2 2 2 2 3 3 3 2" xfId="27148" xr:uid="{00000000-0005-0000-0000-00003B120000}"/>
    <cellStyle name="20% - Accent3 2 2 2 2 3 3 4" xfId="25166" xr:uid="{00000000-0005-0000-0000-00003C120000}"/>
    <cellStyle name="20% - Accent3 2 2 2 2 3 4" xfId="33779" xr:uid="{00000000-0005-0000-0000-00003D120000}"/>
    <cellStyle name="20% - Accent3 2 2 2 2 3 4 2" xfId="27566" xr:uid="{00000000-0005-0000-0000-00003E120000}"/>
    <cellStyle name="20% - Accent3 2 2 2 2 3 4 2 2" xfId="24075" xr:uid="{00000000-0005-0000-0000-00003F120000}"/>
    <cellStyle name="20% - Accent3 2 2 2 2 3 4 3" xfId="34204" xr:uid="{00000000-0005-0000-0000-000040120000}"/>
    <cellStyle name="20% - Accent3 2 2 2 2 3 5" xfId="28308" xr:uid="{00000000-0005-0000-0000-000041120000}"/>
    <cellStyle name="20% - Accent3 2 2 2 2 3 5 2" xfId="33602" xr:uid="{00000000-0005-0000-0000-000042120000}"/>
    <cellStyle name="20% - Accent3 2 2 2 2 3 6" xfId="28301" xr:uid="{00000000-0005-0000-0000-000043120000}"/>
    <cellStyle name="20% - Accent3 2 2 2 2 4" xfId="32652" xr:uid="{00000000-0005-0000-0000-000044120000}"/>
    <cellStyle name="20% - Accent3 2 2 2 2 4 2" xfId="23029" xr:uid="{00000000-0005-0000-0000-000045120000}"/>
    <cellStyle name="20% - Accent3 2 2 2 2 4 2 2" xfId="19556" xr:uid="{00000000-0005-0000-0000-000046120000}"/>
    <cellStyle name="20% - Accent3 2 2 2 2 4 2 2 2" xfId="26782" xr:uid="{00000000-0005-0000-0000-000047120000}"/>
    <cellStyle name="20% - Accent3 2 2 2 2 4 2 2 2 2" xfId="27562" xr:uid="{00000000-0005-0000-0000-000048120000}"/>
    <cellStyle name="20% - Accent3 2 2 2 2 4 2 2 3" xfId="27561" xr:uid="{00000000-0005-0000-0000-000049120000}"/>
    <cellStyle name="20% - Accent3 2 2 2 2 4 2 3" xfId="19551" xr:uid="{00000000-0005-0000-0000-00004A120000}"/>
    <cellStyle name="20% - Accent3 2 2 2 2 4 2 3 2" xfId="27973" xr:uid="{00000000-0005-0000-0000-00004B120000}"/>
    <cellStyle name="20% - Accent3 2 2 2 2 4 2 4" xfId="19121" xr:uid="{00000000-0005-0000-0000-00004C120000}"/>
    <cellStyle name="20% - Accent3 2 2 2 2 4 3" xfId="22488" xr:uid="{00000000-0005-0000-0000-00004D120000}"/>
    <cellStyle name="20% - Accent3 2 2 2 2 4 3 2" xfId="19546" xr:uid="{00000000-0005-0000-0000-00004E120000}"/>
    <cellStyle name="20% - Accent3 2 2 2 2 4 3 2 2" xfId="26118" xr:uid="{00000000-0005-0000-0000-00004F120000}"/>
    <cellStyle name="20% - Accent3 2 2 2 2 4 3 3" xfId="27560" xr:uid="{00000000-0005-0000-0000-000050120000}"/>
    <cellStyle name="20% - Accent3 2 2 2 2 4 4" xfId="19604" xr:uid="{00000000-0005-0000-0000-000051120000}"/>
    <cellStyle name="20% - Accent3 2 2 2 2 4 4 2" xfId="27558" xr:uid="{00000000-0005-0000-0000-000052120000}"/>
    <cellStyle name="20% - Accent3 2 2 2 2 4 5" xfId="27751" xr:uid="{00000000-0005-0000-0000-000053120000}"/>
    <cellStyle name="20% - Accent3 2 2 2 2 5" xfId="19500" xr:uid="{00000000-0005-0000-0000-000054120000}"/>
    <cellStyle name="20% - Accent3 2 2 2 2 5 2" xfId="10672" xr:uid="{00000000-0005-0000-0000-000055120000}"/>
    <cellStyle name="20% - Accent3 2 2 2 2 5 2 2" xfId="22900" xr:uid="{00000000-0005-0000-0000-000056120000}"/>
    <cellStyle name="20% - Accent3 2 2 2 2 5 2 2 2" xfId="27554" xr:uid="{00000000-0005-0000-0000-000057120000}"/>
    <cellStyle name="20% - Accent3 2 2 2 2 5 2 3" xfId="25378" xr:uid="{00000000-0005-0000-0000-000058120000}"/>
    <cellStyle name="20% - Accent3 2 2 2 2 5 3" xfId="10668" xr:uid="{00000000-0005-0000-0000-000059120000}"/>
    <cellStyle name="20% - Accent3 2 2 2 2 5 3 2" xfId="28430" xr:uid="{00000000-0005-0000-0000-00005A120000}"/>
    <cellStyle name="20% - Accent3 2 2 2 2 5 4" xfId="10663" xr:uid="{00000000-0005-0000-0000-00005B120000}"/>
    <cellStyle name="20% - Accent3 2 2 2 2 6" xfId="32128" xr:uid="{00000000-0005-0000-0000-00005C120000}"/>
    <cellStyle name="20% - Accent3 2 2 2 2 6 2" xfId="10641" xr:uid="{00000000-0005-0000-0000-00005D120000}"/>
    <cellStyle name="20% - Accent3 2 2 2 2 6 2 2" xfId="25326" xr:uid="{00000000-0005-0000-0000-00005E120000}"/>
    <cellStyle name="20% - Accent3 2 2 2 2 6 3" xfId="10633" xr:uid="{00000000-0005-0000-0000-00005F120000}"/>
    <cellStyle name="20% - Accent3 2 2 2 2 7" xfId="27943" xr:uid="{00000000-0005-0000-0000-000060120000}"/>
    <cellStyle name="20% - Accent3 2 2 2 2 7 2" xfId="10618" xr:uid="{00000000-0005-0000-0000-000061120000}"/>
    <cellStyle name="20% - Accent3 2 2 2 2 8" xfId="27932" xr:uid="{00000000-0005-0000-0000-000062120000}"/>
    <cellStyle name="20% - Accent3 2 2 2 3" xfId="34395" xr:uid="{00000000-0005-0000-0000-000063120000}"/>
    <cellStyle name="20% - Accent3 2 2 2 3 2" xfId="17566" xr:uid="{00000000-0005-0000-0000-000064120000}"/>
    <cellStyle name="20% - Accent3 2 2 2 3 2 2" xfId="32743" xr:uid="{00000000-0005-0000-0000-000065120000}"/>
    <cellStyle name="20% - Accent3 2 2 2 3 2 2 2" xfId="27553" xr:uid="{00000000-0005-0000-0000-000066120000}"/>
    <cellStyle name="20% - Accent3 2 2 2 3 2 2 2 2" xfId="20251" xr:uid="{00000000-0005-0000-0000-000067120000}"/>
    <cellStyle name="20% - Accent3 2 2 2 3 2 2 2 2 2" xfId="32558" xr:uid="{00000000-0005-0000-0000-000068120000}"/>
    <cellStyle name="20% - Accent3 2 2 2 3 2 2 2 2 2 2" xfId="19248" xr:uid="{00000000-0005-0000-0000-000069120000}"/>
    <cellStyle name="20% - Accent3 2 2 2 3 2 2 2 2 3" xfId="30974" xr:uid="{00000000-0005-0000-0000-00006A120000}"/>
    <cellStyle name="20% - Accent3 2 2 2 3 2 2 2 3" xfId="16432" xr:uid="{00000000-0005-0000-0000-00006B120000}"/>
    <cellStyle name="20% - Accent3 2 2 2 3 2 2 2 3 2" xfId="29480" xr:uid="{00000000-0005-0000-0000-00006C120000}"/>
    <cellStyle name="20% - Accent3 2 2 2 3 2 2 2 4" xfId="21883" xr:uid="{00000000-0005-0000-0000-00006D120000}"/>
    <cellStyle name="20% - Accent3 2 2 2 3 2 2 3" xfId="27551" xr:uid="{00000000-0005-0000-0000-00006E120000}"/>
    <cellStyle name="20% - Accent3 2 2 2 3 2 2 3 2" xfId="26313" xr:uid="{00000000-0005-0000-0000-00006F120000}"/>
    <cellStyle name="20% - Accent3 2 2 2 3 2 2 3 2 2" xfId="32543" xr:uid="{00000000-0005-0000-0000-000070120000}"/>
    <cellStyle name="20% - Accent3 2 2 2 3 2 2 3 3" xfId="20157" xr:uid="{00000000-0005-0000-0000-000071120000}"/>
    <cellStyle name="20% - Accent3 2 2 2 3 2 2 4" xfId="18844" xr:uid="{00000000-0005-0000-0000-000072120000}"/>
    <cellStyle name="20% - Accent3 2 2 2 3 2 2 4 2" xfId="18633" xr:uid="{00000000-0005-0000-0000-000073120000}"/>
    <cellStyle name="20% - Accent3 2 2 2 3 2 2 5" xfId="18615" xr:uid="{00000000-0005-0000-0000-000074120000}"/>
    <cellStyle name="20% - Accent3 2 2 2 3 2 3" xfId="32741" xr:uid="{00000000-0005-0000-0000-000075120000}"/>
    <cellStyle name="20% - Accent3 2 2 2 3 2 3 2" xfId="27531" xr:uid="{00000000-0005-0000-0000-000076120000}"/>
    <cellStyle name="20% - Accent3 2 2 2 3 2 3 2 2" xfId="18129" xr:uid="{00000000-0005-0000-0000-000077120000}"/>
    <cellStyle name="20% - Accent3 2 2 2 3 2 3 2 2 2" xfId="32797" xr:uid="{00000000-0005-0000-0000-000078120000}"/>
    <cellStyle name="20% - Accent3 2 2 2 3 2 3 2 3" xfId="18112" xr:uid="{00000000-0005-0000-0000-000079120000}"/>
    <cellStyle name="20% - Accent3 2 2 2 3 2 3 3" xfId="27530" xr:uid="{00000000-0005-0000-0000-00007A120000}"/>
    <cellStyle name="20% - Accent3 2 2 2 3 2 3 3 2" xfId="27471" xr:uid="{00000000-0005-0000-0000-00007B120000}"/>
    <cellStyle name="20% - Accent3 2 2 2 3 2 3 4" xfId="19488" xr:uid="{00000000-0005-0000-0000-00007C120000}"/>
    <cellStyle name="20% - Accent3 2 2 2 3 2 4" xfId="32118" xr:uid="{00000000-0005-0000-0000-00007D120000}"/>
    <cellStyle name="20% - Accent3 2 2 2 3 2 4 2" xfId="27529" xr:uid="{00000000-0005-0000-0000-00007E120000}"/>
    <cellStyle name="20% - Accent3 2 2 2 3 2 4 2 2" xfId="26206" xr:uid="{00000000-0005-0000-0000-00007F120000}"/>
    <cellStyle name="20% - Accent3 2 2 2 3 2 4 3" xfId="27528" xr:uid="{00000000-0005-0000-0000-000080120000}"/>
    <cellStyle name="20% - Accent3 2 2 2 3 2 5" xfId="24651" xr:uid="{00000000-0005-0000-0000-000081120000}"/>
    <cellStyle name="20% - Accent3 2 2 2 3 2 5 2" xfId="27518" xr:uid="{00000000-0005-0000-0000-000082120000}"/>
    <cellStyle name="20% - Accent3 2 2 2 3 2 6" xfId="24649" xr:uid="{00000000-0005-0000-0000-000083120000}"/>
    <cellStyle name="20% - Accent3 2 2 2 3 3" xfId="32005" xr:uid="{00000000-0005-0000-0000-000084120000}"/>
    <cellStyle name="20% - Accent3 2 2 2 3 3 2" xfId="32021" xr:uid="{00000000-0005-0000-0000-000085120000}"/>
    <cellStyle name="20% - Accent3 2 2 2 3 3 2 2" xfId="19318" xr:uid="{00000000-0005-0000-0000-000086120000}"/>
    <cellStyle name="20% - Accent3 2 2 2 3 3 2 2 2" xfId="26029" xr:uid="{00000000-0005-0000-0000-000087120000}"/>
    <cellStyle name="20% - Accent3 2 2 2 3 3 2 2 2 2" xfId="16361" xr:uid="{00000000-0005-0000-0000-000088120000}"/>
    <cellStyle name="20% - Accent3 2 2 2 3 3 2 2 3" xfId="27512" xr:uid="{00000000-0005-0000-0000-000089120000}"/>
    <cellStyle name="20% - Accent3 2 2 2 3 3 2 3" xfId="19312" xr:uid="{00000000-0005-0000-0000-00008A120000}"/>
    <cellStyle name="20% - Accent3 2 2 2 3 3 2 3 2" xfId="27511" xr:uid="{00000000-0005-0000-0000-00008B120000}"/>
    <cellStyle name="20% - Accent3 2 2 2 3 3 2 4" xfId="18647" xr:uid="{00000000-0005-0000-0000-00008C120000}"/>
    <cellStyle name="20% - Accent3 2 2 2 3 3 3" xfId="32730" xr:uid="{00000000-0005-0000-0000-00008D120000}"/>
    <cellStyle name="20% - Accent3 2 2 2 3 3 3 2" xfId="19307" xr:uid="{00000000-0005-0000-0000-00008E120000}"/>
    <cellStyle name="20% - Accent3 2 2 2 3 3 3 2 2" xfId="27508" xr:uid="{00000000-0005-0000-0000-00008F120000}"/>
    <cellStyle name="20% - Accent3 2 2 2 3 3 3 3" xfId="34304" xr:uid="{00000000-0005-0000-0000-000090120000}"/>
    <cellStyle name="20% - Accent3 2 2 2 3 3 4" xfId="27898" xr:uid="{00000000-0005-0000-0000-000091120000}"/>
    <cellStyle name="20% - Accent3 2 2 2 3 3 4 2" xfId="33300" xr:uid="{00000000-0005-0000-0000-000092120000}"/>
    <cellStyle name="20% - Accent3 2 2 2 3 3 5" xfId="24641" xr:uid="{00000000-0005-0000-0000-000093120000}"/>
    <cellStyle name="20% - Accent3 2 2 2 3 4" xfId="32989" xr:uid="{00000000-0005-0000-0000-000094120000}"/>
    <cellStyle name="20% - Accent3 2 2 2 3 4 2" xfId="22066" xr:uid="{00000000-0005-0000-0000-000095120000}"/>
    <cellStyle name="20% - Accent3 2 2 2 3 4 2 2" xfId="25922" xr:uid="{00000000-0005-0000-0000-000096120000}"/>
    <cellStyle name="20% - Accent3 2 2 2 3 4 2 2 2" xfId="27505" xr:uid="{00000000-0005-0000-0000-000097120000}"/>
    <cellStyle name="20% - Accent3 2 2 2 3 4 2 3" xfId="27504" xr:uid="{00000000-0005-0000-0000-000098120000}"/>
    <cellStyle name="20% - Accent3 2 2 2 3 4 3" xfId="19595" xr:uid="{00000000-0005-0000-0000-000099120000}"/>
    <cellStyle name="20% - Accent3 2 2 2 3 4 3 2" xfId="27501" xr:uid="{00000000-0005-0000-0000-00009A120000}"/>
    <cellStyle name="20% - Accent3 2 2 2 3 4 4" xfId="27698" xr:uid="{00000000-0005-0000-0000-00009B120000}"/>
    <cellStyle name="20% - Accent3 2 2 2 3 5" xfId="27681" xr:uid="{00000000-0005-0000-0000-00009C120000}"/>
    <cellStyle name="20% - Accent3 2 2 2 3 5 2" xfId="10604" xr:uid="{00000000-0005-0000-0000-00009D120000}"/>
    <cellStyle name="20% - Accent3 2 2 2 3 5 2 2" xfId="25265" xr:uid="{00000000-0005-0000-0000-00009E120000}"/>
    <cellStyle name="20% - Accent3 2 2 2 3 5 3" xfId="10601" xr:uid="{00000000-0005-0000-0000-00009F120000}"/>
    <cellStyle name="20% - Accent3 2 2 2 3 6" xfId="27667" xr:uid="{00000000-0005-0000-0000-0000A0120000}"/>
    <cellStyle name="20% - Accent3 2 2 2 3 6 2" xfId="10591" xr:uid="{00000000-0005-0000-0000-0000A1120000}"/>
    <cellStyle name="20% - Accent3 2 2 2 3 7" xfId="16503" xr:uid="{00000000-0005-0000-0000-0000A2120000}"/>
    <cellStyle name="20% - Accent3 2 2 2 4" xfId="22876" xr:uid="{00000000-0005-0000-0000-0000A3120000}"/>
    <cellStyle name="20% - Accent3 2 2 2 4 2" xfId="28529" xr:uid="{00000000-0005-0000-0000-0000A4120000}"/>
    <cellStyle name="20% - Accent3 2 2 2 4 2 2" xfId="32045" xr:uid="{00000000-0005-0000-0000-0000A5120000}"/>
    <cellStyle name="20% - Accent3 2 2 2 4 2 2 2" xfId="27498" xr:uid="{00000000-0005-0000-0000-0000A6120000}"/>
    <cellStyle name="20% - Accent3 2 2 2 4 2 2 2 2" xfId="25722" xr:uid="{00000000-0005-0000-0000-0000A7120000}"/>
    <cellStyle name="20% - Accent3 2 2 2 4 2 2 2 2 2" xfId="27494" xr:uid="{00000000-0005-0000-0000-0000A8120000}"/>
    <cellStyle name="20% - Accent3 2 2 2 4 2 2 2 3" xfId="26004" xr:uid="{00000000-0005-0000-0000-0000A9120000}"/>
    <cellStyle name="20% - Accent3 2 2 2 4 2 2 3" xfId="29074" xr:uid="{00000000-0005-0000-0000-0000AA120000}"/>
    <cellStyle name="20% - Accent3 2 2 2 4 2 2 3 2" xfId="27497" xr:uid="{00000000-0005-0000-0000-0000AB120000}"/>
    <cellStyle name="20% - Accent3 2 2 2 4 2 2 4" xfId="29064" xr:uid="{00000000-0005-0000-0000-0000AC120000}"/>
    <cellStyle name="20% - Accent3 2 2 2 4 2 3" xfId="30751" xr:uid="{00000000-0005-0000-0000-0000AD120000}"/>
    <cellStyle name="20% - Accent3 2 2 2 4 2 3 2" xfId="14397" xr:uid="{00000000-0005-0000-0000-0000AE120000}"/>
    <cellStyle name="20% - Accent3 2 2 2 4 2 3 2 2" xfId="27492" xr:uid="{00000000-0005-0000-0000-0000AF120000}"/>
    <cellStyle name="20% - Accent3 2 2 2 4 2 3 3" xfId="29051" xr:uid="{00000000-0005-0000-0000-0000B0120000}"/>
    <cellStyle name="20% - Accent3 2 2 2 4 2 4" xfId="27482" xr:uid="{00000000-0005-0000-0000-0000B1120000}"/>
    <cellStyle name="20% - Accent3 2 2 2 4 2 4 2" xfId="27479" xr:uid="{00000000-0005-0000-0000-0000B2120000}"/>
    <cellStyle name="20% - Accent3 2 2 2 4 2 5" xfId="24598" xr:uid="{00000000-0005-0000-0000-0000B3120000}"/>
    <cellStyle name="20% - Accent3 2 2 2 4 3" xfId="18798" xr:uid="{00000000-0005-0000-0000-0000B4120000}"/>
    <cellStyle name="20% - Accent3 2 2 2 4 3 2" xfId="32008" xr:uid="{00000000-0005-0000-0000-0000B5120000}"/>
    <cellStyle name="20% - Accent3 2 2 2 4 3 2 2" xfId="19128" xr:uid="{00000000-0005-0000-0000-0000B6120000}"/>
    <cellStyle name="20% - Accent3 2 2 2 4 3 2 2 2" xfId="27476" xr:uid="{00000000-0005-0000-0000-0000B7120000}"/>
    <cellStyle name="20% - Accent3 2 2 2 4 3 2 3" xfId="28939" xr:uid="{00000000-0005-0000-0000-0000B8120000}"/>
    <cellStyle name="20% - Accent3 2 2 2 4 3 3" xfId="27810" xr:uid="{00000000-0005-0000-0000-0000B9120000}"/>
    <cellStyle name="20% - Accent3 2 2 2 4 3 3 2" xfId="27474" xr:uid="{00000000-0005-0000-0000-0000BA120000}"/>
    <cellStyle name="20% - Accent3 2 2 2 4 3 4" xfId="27802" xr:uid="{00000000-0005-0000-0000-0000BB120000}"/>
    <cellStyle name="20% - Accent3 2 2 2 4 4" xfId="29520" xr:uid="{00000000-0005-0000-0000-0000BC120000}"/>
    <cellStyle name="20% - Accent3 2 2 2 4 4 2" xfId="22055" xr:uid="{00000000-0005-0000-0000-0000BD120000}"/>
    <cellStyle name="20% - Accent3 2 2 2 4 4 2 2" xfId="34387" xr:uid="{00000000-0005-0000-0000-0000BE120000}"/>
    <cellStyle name="20% - Accent3 2 2 2 4 4 3" xfId="27786" xr:uid="{00000000-0005-0000-0000-0000BF120000}"/>
    <cellStyle name="20% - Accent3 2 2 2 4 5" xfId="27773" xr:uid="{00000000-0005-0000-0000-0000C0120000}"/>
    <cellStyle name="20% - Accent3 2 2 2 4 5 2" xfId="10582" xr:uid="{00000000-0005-0000-0000-0000C1120000}"/>
    <cellStyle name="20% - Accent3 2 2 2 4 6" xfId="28589" xr:uid="{00000000-0005-0000-0000-0000C2120000}"/>
    <cellStyle name="20% - Accent3 2 2 2 5" xfId="27493" xr:uid="{00000000-0005-0000-0000-0000C3120000}"/>
    <cellStyle name="20% - Accent3 2 2 2 5 2" xfId="21180" xr:uid="{00000000-0005-0000-0000-0000C4120000}"/>
    <cellStyle name="20% - Accent3 2 2 2 5 2 2" xfId="29773" xr:uid="{00000000-0005-0000-0000-0000C5120000}"/>
    <cellStyle name="20% - Accent3 2 2 2 5 2 2 2" xfId="34257" xr:uid="{00000000-0005-0000-0000-0000C6120000}"/>
    <cellStyle name="20% - Accent3 2 2 2 5 2 2 2 2" xfId="27473" xr:uid="{00000000-0005-0000-0000-0000C7120000}"/>
    <cellStyle name="20% - Accent3 2 2 2 5 2 2 3" xfId="28713" xr:uid="{00000000-0005-0000-0000-0000C8120000}"/>
    <cellStyle name="20% - Accent3 2 2 2 5 2 3" xfId="27470" xr:uid="{00000000-0005-0000-0000-0000C9120000}"/>
    <cellStyle name="20% - Accent3 2 2 2 5 2 3 2" xfId="27468" xr:uid="{00000000-0005-0000-0000-0000CA120000}"/>
    <cellStyle name="20% - Accent3 2 2 2 5 2 4" xfId="27467" xr:uid="{00000000-0005-0000-0000-0000CB120000}"/>
    <cellStyle name="20% - Accent3 2 2 2 5 3" xfId="32433" xr:uid="{00000000-0005-0000-0000-0000CC120000}"/>
    <cellStyle name="20% - Accent3 2 2 2 5 3 2" xfId="27748" xr:uid="{00000000-0005-0000-0000-0000CD120000}"/>
    <cellStyle name="20% - Accent3 2 2 2 5 3 2 2" xfId="17751" xr:uid="{00000000-0005-0000-0000-0000CE120000}"/>
    <cellStyle name="20% - Accent3 2 2 2 5 3 3" xfId="27747" xr:uid="{00000000-0005-0000-0000-0000CF120000}"/>
    <cellStyle name="20% - Accent3 2 2 2 5 4" xfId="8554" xr:uid="{00000000-0005-0000-0000-0000D0120000}"/>
    <cellStyle name="20% - Accent3 2 2 2 5 4 2" xfId="33052" xr:uid="{00000000-0005-0000-0000-0000D1120000}"/>
    <cellStyle name="20% - Accent3 2 2 2 5 5" xfId="8548" xr:uid="{00000000-0005-0000-0000-0000D2120000}"/>
    <cellStyle name="20% - Accent3 2 2 2 6" xfId="30928" xr:uid="{00000000-0005-0000-0000-0000D3120000}"/>
    <cellStyle name="20% - Accent3 2 2 2 6 2" xfId="34313" xr:uid="{00000000-0005-0000-0000-0000D4120000}"/>
    <cellStyle name="20% - Accent3 2 2 2 6 2 2" xfId="27461" xr:uid="{00000000-0005-0000-0000-0000D5120000}"/>
    <cellStyle name="20% - Accent3 2 2 2 6 2 2 2" xfId="27459" xr:uid="{00000000-0005-0000-0000-0000D6120000}"/>
    <cellStyle name="20% - Accent3 2 2 2 6 2 3" xfId="17223" xr:uid="{00000000-0005-0000-0000-0000D7120000}"/>
    <cellStyle name="20% - Accent3 2 2 2 6 3" xfId="27724" xr:uid="{00000000-0005-0000-0000-0000D8120000}"/>
    <cellStyle name="20% - Accent3 2 2 2 6 3 2" xfId="17067" xr:uid="{00000000-0005-0000-0000-0000D9120000}"/>
    <cellStyle name="20% - Accent3 2 2 2 6 4" xfId="18695" xr:uid="{00000000-0005-0000-0000-0000DA120000}"/>
    <cellStyle name="20% - Accent3 2 2 2 7" xfId="31009" xr:uid="{00000000-0005-0000-0000-0000DB120000}"/>
    <cellStyle name="20% - Accent3 2 2 2 7 2" xfId="11110" xr:uid="{00000000-0005-0000-0000-0000DC120000}"/>
    <cellStyle name="20% - Accent3 2 2 2 7 2 2" xfId="16463" xr:uid="{00000000-0005-0000-0000-0000DD120000}"/>
    <cellStyle name="20% - Accent3 2 2 2 7 3" xfId="27446" xr:uid="{00000000-0005-0000-0000-0000DE120000}"/>
    <cellStyle name="20% - Accent3 2 2 2 8" xfId="27444" xr:uid="{00000000-0005-0000-0000-0000DF120000}"/>
    <cellStyle name="20% - Accent3 2 2 2 8 2" xfId="27443" xr:uid="{00000000-0005-0000-0000-0000E0120000}"/>
    <cellStyle name="20% - Accent3 2 2 2 9" xfId="33823" xr:uid="{00000000-0005-0000-0000-0000E1120000}"/>
    <cellStyle name="20% - Accent3 2 2 3" xfId="17654" xr:uid="{00000000-0005-0000-0000-0000E2120000}"/>
    <cellStyle name="20% - Accent3 2 2 3 2" xfId="33825" xr:uid="{00000000-0005-0000-0000-0000E3120000}"/>
    <cellStyle name="20% - Accent3 2 2 3 2 2" xfId="17547" xr:uid="{00000000-0005-0000-0000-0000E4120000}"/>
    <cellStyle name="20% - Accent3 2 2 3 2 2 2" xfId="24997" xr:uid="{00000000-0005-0000-0000-0000E5120000}"/>
    <cellStyle name="20% - Accent3 2 2 3 2 2 2 2" xfId="27439" xr:uid="{00000000-0005-0000-0000-0000E6120000}"/>
    <cellStyle name="20% - Accent3 2 2 3 2 2 2 2 2" xfId="25099" xr:uid="{00000000-0005-0000-0000-0000E7120000}"/>
    <cellStyle name="20% - Accent3 2 2 3 2 2 2 2 2 2" xfId="18285" xr:uid="{00000000-0005-0000-0000-0000E8120000}"/>
    <cellStyle name="20% - Accent3 2 2 3 2 2 2 2 2 2 2" xfId="27438" xr:uid="{00000000-0005-0000-0000-0000E9120000}"/>
    <cellStyle name="20% - Accent3 2 2 3 2 2 2 2 2 3" xfId="18137" xr:uid="{00000000-0005-0000-0000-0000EA120000}"/>
    <cellStyle name="20% - Accent3 2 2 3 2 2 2 2 3" xfId="29917" xr:uid="{00000000-0005-0000-0000-0000EB120000}"/>
    <cellStyle name="20% - Accent3 2 2 3 2 2 2 2 3 2" xfId="33103" xr:uid="{00000000-0005-0000-0000-0000EC120000}"/>
    <cellStyle name="20% - Accent3 2 2 3 2 2 2 2 4" xfId="19912" xr:uid="{00000000-0005-0000-0000-0000ED120000}"/>
    <cellStyle name="20% - Accent3 2 2 3 2 2 2 3" xfId="27436" xr:uid="{00000000-0005-0000-0000-0000EE120000}"/>
    <cellStyle name="20% - Accent3 2 2 3 2 2 2 3 2" xfId="29595" xr:uid="{00000000-0005-0000-0000-0000EF120000}"/>
    <cellStyle name="20% - Accent3 2 2 3 2 2 2 3 2 2" xfId="33720" xr:uid="{00000000-0005-0000-0000-0000F0120000}"/>
    <cellStyle name="20% - Accent3 2 2 3 2 2 2 3 3" xfId="24774" xr:uid="{00000000-0005-0000-0000-0000F1120000}"/>
    <cellStyle name="20% - Accent3 2 2 3 2 2 2 4" xfId="31119" xr:uid="{00000000-0005-0000-0000-0000F2120000}"/>
    <cellStyle name="20% - Accent3 2 2 3 2 2 2 4 2" xfId="33184" xr:uid="{00000000-0005-0000-0000-0000F3120000}"/>
    <cellStyle name="20% - Accent3 2 2 3 2 2 2 5" xfId="27435" xr:uid="{00000000-0005-0000-0000-0000F4120000}"/>
    <cellStyle name="20% - Accent3 2 2 3 2 2 3" xfId="31597" xr:uid="{00000000-0005-0000-0000-0000F5120000}"/>
    <cellStyle name="20% - Accent3 2 2 3 2 2 3 2" xfId="32540" xr:uid="{00000000-0005-0000-0000-0000F6120000}"/>
    <cellStyle name="20% - Accent3 2 2 3 2 2 3 2 2" xfId="21268" xr:uid="{00000000-0005-0000-0000-0000F7120000}"/>
    <cellStyle name="20% - Accent3 2 2 3 2 2 3 2 2 2" xfId="34030" xr:uid="{00000000-0005-0000-0000-0000F8120000}"/>
    <cellStyle name="20% - Accent3 2 2 3 2 2 3 2 3" xfId="24595" xr:uid="{00000000-0005-0000-0000-0000F9120000}"/>
    <cellStyle name="20% - Accent3 2 2 3 2 2 3 3" xfId="31216" xr:uid="{00000000-0005-0000-0000-0000FA120000}"/>
    <cellStyle name="20% - Accent3 2 2 3 2 2 3 3 2" xfId="24566" xr:uid="{00000000-0005-0000-0000-0000FB120000}"/>
    <cellStyle name="20% - Accent3 2 2 3 2 2 3 4" xfId="27433" xr:uid="{00000000-0005-0000-0000-0000FC120000}"/>
    <cellStyle name="20% - Accent3 2 2 3 2 2 4" xfId="31592" xr:uid="{00000000-0005-0000-0000-0000FD120000}"/>
    <cellStyle name="20% - Accent3 2 2 3 2 2 4 2" xfId="31208" xr:uid="{00000000-0005-0000-0000-0000FE120000}"/>
    <cellStyle name="20% - Accent3 2 2 3 2 2 4 2 2" xfId="28023" xr:uid="{00000000-0005-0000-0000-0000FF120000}"/>
    <cellStyle name="20% - Accent3 2 2 3 2 2 4 3" xfId="27429" xr:uid="{00000000-0005-0000-0000-000000130000}"/>
    <cellStyle name="20% - Accent3 2 2 3 2 2 5" xfId="26777" xr:uid="{00000000-0005-0000-0000-000001130000}"/>
    <cellStyle name="20% - Accent3 2 2 3 2 2 5 2" xfId="27425" xr:uid="{00000000-0005-0000-0000-000002130000}"/>
    <cellStyle name="20% - Accent3 2 2 3 2 2 6" xfId="26562" xr:uid="{00000000-0005-0000-0000-000003130000}"/>
    <cellStyle name="20% - Accent3 2 2 3 2 3" xfId="25005" xr:uid="{00000000-0005-0000-0000-000004130000}"/>
    <cellStyle name="20% - Accent3 2 2 3 2 3 2" xfId="33729" xr:uid="{00000000-0005-0000-0000-000005130000}"/>
    <cellStyle name="20% - Accent3 2 2 3 2 3 2 2" xfId="18857" xr:uid="{00000000-0005-0000-0000-000006130000}"/>
    <cellStyle name="20% - Accent3 2 2 3 2 3 2 2 2" xfId="22245" xr:uid="{00000000-0005-0000-0000-000007130000}"/>
    <cellStyle name="20% - Accent3 2 2 3 2 3 2 2 2 2" xfId="34323" xr:uid="{00000000-0005-0000-0000-000008130000}"/>
    <cellStyle name="20% - Accent3 2 2 3 2 3 2 2 3" xfId="24224" xr:uid="{00000000-0005-0000-0000-000009130000}"/>
    <cellStyle name="20% - Accent3 2 2 3 2 3 2 3" xfId="18853" xr:uid="{00000000-0005-0000-0000-00000A130000}"/>
    <cellStyle name="20% - Accent3 2 2 3 2 3 2 3 2" xfId="24185" xr:uid="{00000000-0005-0000-0000-00000B130000}"/>
    <cellStyle name="20% - Accent3 2 2 3 2 3 2 4" xfId="27412" xr:uid="{00000000-0005-0000-0000-00000C130000}"/>
    <cellStyle name="20% - Accent3 2 2 3 2 3 3" xfId="32684" xr:uid="{00000000-0005-0000-0000-00000D130000}"/>
    <cellStyle name="20% - Accent3 2 2 3 2 3 3 2" xfId="18850" xr:uid="{00000000-0005-0000-0000-00000E130000}"/>
    <cellStyle name="20% - Accent3 2 2 3 2 3 3 2 2" xfId="24113" xr:uid="{00000000-0005-0000-0000-00000F130000}"/>
    <cellStyle name="20% - Accent3 2 2 3 2 3 3 3" xfId="25201" xr:uid="{00000000-0005-0000-0000-000010130000}"/>
    <cellStyle name="20% - Accent3 2 2 3 2 3 4" xfId="27407" xr:uid="{00000000-0005-0000-0000-000011130000}"/>
    <cellStyle name="20% - Accent3 2 2 3 2 3 4 2" xfId="27406" xr:uid="{00000000-0005-0000-0000-000012130000}"/>
    <cellStyle name="20% - Accent3 2 2 3 2 3 5" xfId="28190" xr:uid="{00000000-0005-0000-0000-000013130000}"/>
    <cellStyle name="20% - Accent3 2 2 3 2 4" xfId="24988" xr:uid="{00000000-0005-0000-0000-000014130000}"/>
    <cellStyle name="20% - Accent3 2 2 3 2 4 2" xfId="25649" xr:uid="{00000000-0005-0000-0000-000015130000}"/>
    <cellStyle name="20% - Accent3 2 2 3 2 4 2 2" xfId="28404" xr:uid="{00000000-0005-0000-0000-000016130000}"/>
    <cellStyle name="20% - Accent3 2 2 3 2 4 2 2 2" xfId="23952" xr:uid="{00000000-0005-0000-0000-000017130000}"/>
    <cellStyle name="20% - Accent3 2 2 3 2 4 2 3" xfId="27401" xr:uid="{00000000-0005-0000-0000-000018130000}"/>
    <cellStyle name="20% - Accent3 2 2 3 2 4 3" xfId="19935" xr:uid="{00000000-0005-0000-0000-000019130000}"/>
    <cellStyle name="20% - Accent3 2 2 3 2 4 3 2" xfId="27398" xr:uid="{00000000-0005-0000-0000-00001A130000}"/>
    <cellStyle name="20% - Accent3 2 2 3 2 4 4" xfId="30694" xr:uid="{00000000-0005-0000-0000-00001B130000}"/>
    <cellStyle name="20% - Accent3 2 2 3 2 5" xfId="17190" xr:uid="{00000000-0005-0000-0000-00001C130000}"/>
    <cellStyle name="20% - Accent3 2 2 3 2 5 2" xfId="25623" xr:uid="{00000000-0005-0000-0000-00001D130000}"/>
    <cellStyle name="20% - Accent3 2 2 3 2 5 2 2" xfId="32904" xr:uid="{00000000-0005-0000-0000-00001E130000}"/>
    <cellStyle name="20% - Accent3 2 2 3 2 5 3" xfId="10422" xr:uid="{00000000-0005-0000-0000-00001F130000}"/>
    <cellStyle name="20% - Accent3 2 2 3 2 6" xfId="27452" xr:uid="{00000000-0005-0000-0000-000020130000}"/>
    <cellStyle name="20% - Accent3 2 2 3 2 6 2" xfId="10415" xr:uid="{00000000-0005-0000-0000-000021130000}"/>
    <cellStyle name="20% - Accent3 2 2 3 2 7" xfId="27389" xr:uid="{00000000-0005-0000-0000-000022130000}"/>
    <cellStyle name="20% - Accent3 2 2 3 3" xfId="21546" xr:uid="{00000000-0005-0000-0000-000023130000}"/>
    <cellStyle name="20% - Accent3 2 2 3 3 2" xfId="24960" xr:uid="{00000000-0005-0000-0000-000024130000}"/>
    <cellStyle name="20% - Accent3 2 2 3 3 2 2" xfId="31553" xr:uid="{00000000-0005-0000-0000-000025130000}"/>
    <cellStyle name="20% - Accent3 2 2 3 3 2 2 2" xfId="27381" xr:uid="{00000000-0005-0000-0000-000026130000}"/>
    <cellStyle name="20% - Accent3 2 2 3 3 2 2 2 2" xfId="27370" xr:uid="{00000000-0005-0000-0000-000027130000}"/>
    <cellStyle name="20% - Accent3 2 2 3 3 2 2 2 2 2" xfId="10730" xr:uid="{00000000-0005-0000-0000-000028130000}"/>
    <cellStyle name="20% - Accent3 2 2 3 3 2 2 2 3" xfId="16925" xr:uid="{00000000-0005-0000-0000-000029130000}"/>
    <cellStyle name="20% - Accent3 2 2 3 3 2 2 3" xfId="27365" xr:uid="{00000000-0005-0000-0000-00002A130000}"/>
    <cellStyle name="20% - Accent3 2 2 3 3 2 2 3 2" xfId="23502" xr:uid="{00000000-0005-0000-0000-00002B130000}"/>
    <cellStyle name="20% - Accent3 2 2 3 3 2 2 4" xfId="27363" xr:uid="{00000000-0005-0000-0000-00002C130000}"/>
    <cellStyle name="20% - Accent3 2 2 3 3 2 3" xfId="31551" xr:uid="{00000000-0005-0000-0000-00002D130000}"/>
    <cellStyle name="20% - Accent3 2 2 3 3 2 3 2" xfId="33993" xr:uid="{00000000-0005-0000-0000-00002E130000}"/>
    <cellStyle name="20% - Accent3 2 2 3 3 2 3 2 2" xfId="22274" xr:uid="{00000000-0005-0000-0000-00002F130000}"/>
    <cellStyle name="20% - Accent3 2 2 3 3 2 3 3" xfId="27360" xr:uid="{00000000-0005-0000-0000-000030130000}"/>
    <cellStyle name="20% - Accent3 2 2 3 3 2 4" xfId="27358" xr:uid="{00000000-0005-0000-0000-000031130000}"/>
    <cellStyle name="20% - Accent3 2 2 3 3 2 4 2" xfId="32597" xr:uid="{00000000-0005-0000-0000-000032130000}"/>
    <cellStyle name="20% - Accent3 2 2 3 3 2 5" xfId="26687" xr:uid="{00000000-0005-0000-0000-000033130000}"/>
    <cellStyle name="20% - Accent3 2 2 3 3 3" xfId="24945" xr:uid="{00000000-0005-0000-0000-000034130000}"/>
    <cellStyle name="20% - Accent3 2 2 3 3 3 2" xfId="32650" xr:uid="{00000000-0005-0000-0000-000035130000}"/>
    <cellStyle name="20% - Accent3 2 2 3 3 3 2 2" xfId="18652" xr:uid="{00000000-0005-0000-0000-000036130000}"/>
    <cellStyle name="20% - Accent3 2 2 3 3 3 2 2 2" xfId="27354" xr:uid="{00000000-0005-0000-0000-000037130000}"/>
    <cellStyle name="20% - Accent3 2 2 3 3 3 2 3" xfId="27352" xr:uid="{00000000-0005-0000-0000-000038130000}"/>
    <cellStyle name="20% - Accent3 2 2 3 3 3 3" xfId="27351" xr:uid="{00000000-0005-0000-0000-000039130000}"/>
    <cellStyle name="20% - Accent3 2 2 3 3 3 3 2" xfId="27346" xr:uid="{00000000-0005-0000-0000-00003A130000}"/>
    <cellStyle name="20% - Accent3 2 2 3 3 3 4" xfId="24810" xr:uid="{00000000-0005-0000-0000-00003B130000}"/>
    <cellStyle name="20% - Accent3 2 2 3 3 4" xfId="24937" xr:uid="{00000000-0005-0000-0000-00003C130000}"/>
    <cellStyle name="20% - Accent3 2 2 3 3 4 2" xfId="22046" xr:uid="{00000000-0005-0000-0000-00003D130000}"/>
    <cellStyle name="20% - Accent3 2 2 3 3 4 2 2" xfId="27341" xr:uid="{00000000-0005-0000-0000-00003E130000}"/>
    <cellStyle name="20% - Accent3 2 2 3 3 4 3" xfId="27339" xr:uid="{00000000-0005-0000-0000-00003F130000}"/>
    <cellStyle name="20% - Accent3 2 2 3 3 5" xfId="23541" xr:uid="{00000000-0005-0000-0000-000040130000}"/>
    <cellStyle name="20% - Accent3 2 2 3 3 5 2" xfId="10405" xr:uid="{00000000-0005-0000-0000-000041130000}"/>
    <cellStyle name="20% - Accent3 2 2 3 3 6" xfId="23536" xr:uid="{00000000-0005-0000-0000-000042130000}"/>
    <cellStyle name="20% - Accent3 2 2 3 4" xfId="30915" xr:uid="{00000000-0005-0000-0000-000043130000}"/>
    <cellStyle name="20% - Accent3 2 2 3 4 2" xfId="18789" xr:uid="{00000000-0005-0000-0000-000044130000}"/>
    <cellStyle name="20% - Accent3 2 2 3 4 2 2" xfId="31537" xr:uid="{00000000-0005-0000-0000-000045130000}"/>
    <cellStyle name="20% - Accent3 2 2 3 4 2 2 2" xfId="27333" xr:uid="{00000000-0005-0000-0000-000046130000}"/>
    <cellStyle name="20% - Accent3 2 2 3 4 2 2 2 2" xfId="22853" xr:uid="{00000000-0005-0000-0000-000047130000}"/>
    <cellStyle name="20% - Accent3 2 2 3 4 2 2 3" xfId="19540" xr:uid="{00000000-0005-0000-0000-000048130000}"/>
    <cellStyle name="20% - Accent3 2 2 3 4 2 3" xfId="27331" xr:uid="{00000000-0005-0000-0000-000049130000}"/>
    <cellStyle name="20% - Accent3 2 2 3 4 2 3 2" xfId="27328" xr:uid="{00000000-0005-0000-0000-00004A130000}"/>
    <cellStyle name="20% - Accent3 2 2 3 4 2 4" xfId="33434" xr:uid="{00000000-0005-0000-0000-00004B130000}"/>
    <cellStyle name="20% - Accent3 2 2 3 4 3" xfId="12815" xr:uid="{00000000-0005-0000-0000-00004C130000}"/>
    <cellStyle name="20% - Accent3 2 2 3 4 3 2" xfId="27327" xr:uid="{00000000-0005-0000-0000-00004D130000}"/>
    <cellStyle name="20% - Accent3 2 2 3 4 3 2 2" xfId="33144" xr:uid="{00000000-0005-0000-0000-00004E130000}"/>
    <cellStyle name="20% - Accent3 2 2 3 4 3 3" xfId="27323" xr:uid="{00000000-0005-0000-0000-00004F130000}"/>
    <cellStyle name="20% - Accent3 2 2 3 4 4" xfId="29032" xr:uid="{00000000-0005-0000-0000-000050130000}"/>
    <cellStyle name="20% - Accent3 2 2 3 4 4 2" xfId="26359" xr:uid="{00000000-0005-0000-0000-000051130000}"/>
    <cellStyle name="20% - Accent3 2 2 3 4 5" xfId="28905" xr:uid="{00000000-0005-0000-0000-000052130000}"/>
    <cellStyle name="20% - Accent3 2 2 3 5" xfId="30901" xr:uid="{00000000-0005-0000-0000-000053130000}"/>
    <cellStyle name="20% - Accent3 2 2 3 5 2" xfId="24886" xr:uid="{00000000-0005-0000-0000-000054130000}"/>
    <cellStyle name="20% - Accent3 2 2 3 5 2 2" xfId="27313" xr:uid="{00000000-0005-0000-0000-000055130000}"/>
    <cellStyle name="20% - Accent3 2 2 3 5 2 2 2" xfId="33524" xr:uid="{00000000-0005-0000-0000-000056130000}"/>
    <cellStyle name="20% - Accent3 2 2 3 5 2 3" xfId="27312" xr:uid="{00000000-0005-0000-0000-000057130000}"/>
    <cellStyle name="20% - Accent3 2 2 3 5 3" xfId="27311" xr:uid="{00000000-0005-0000-0000-000058130000}"/>
    <cellStyle name="20% - Accent3 2 2 3 5 3 2" xfId="27303" xr:uid="{00000000-0005-0000-0000-000059130000}"/>
    <cellStyle name="20% - Accent3 2 2 3 5 4" xfId="8536" xr:uid="{00000000-0005-0000-0000-00005A130000}"/>
    <cellStyle name="20% - Accent3 2 2 3 6" xfId="27297" xr:uid="{00000000-0005-0000-0000-00005B130000}"/>
    <cellStyle name="20% - Accent3 2 2 3 6 2" xfId="27295" xr:uid="{00000000-0005-0000-0000-00005C130000}"/>
    <cellStyle name="20% - Accent3 2 2 3 6 2 2" xfId="15068" xr:uid="{00000000-0005-0000-0000-00005D130000}"/>
    <cellStyle name="20% - Accent3 2 2 3 6 3" xfId="27292" xr:uid="{00000000-0005-0000-0000-00005E130000}"/>
    <cellStyle name="20% - Accent3 2 2 3 7" xfId="27286" xr:uid="{00000000-0005-0000-0000-00005F130000}"/>
    <cellStyle name="20% - Accent3 2 2 3 7 2" xfId="27284" xr:uid="{00000000-0005-0000-0000-000060130000}"/>
    <cellStyle name="20% - Accent3 2 2 3 8" xfId="25117" xr:uid="{00000000-0005-0000-0000-000061130000}"/>
    <cellStyle name="20% - Accent3 2 2 4" xfId="29043" xr:uid="{00000000-0005-0000-0000-000062130000}"/>
    <cellStyle name="20% - Accent3 2 2 4 2" xfId="29837" xr:uid="{00000000-0005-0000-0000-000063130000}"/>
    <cellStyle name="20% - Accent3 2 2 4 2 2" xfId="24879" xr:uid="{00000000-0005-0000-0000-000064130000}"/>
    <cellStyle name="20% - Accent3 2 2 4 2 2 2" xfId="30580" xr:uid="{00000000-0005-0000-0000-000065130000}"/>
    <cellStyle name="20% - Accent3 2 2 4 2 2 2 2" xfId="27279" xr:uid="{00000000-0005-0000-0000-000066130000}"/>
    <cellStyle name="20% - Accent3 2 2 4 2 2 2 2 2" xfId="28419" xr:uid="{00000000-0005-0000-0000-000067130000}"/>
    <cellStyle name="20% - Accent3 2 2 4 2 2 2 2 2 2" xfId="27345" xr:uid="{00000000-0005-0000-0000-000068130000}"/>
    <cellStyle name="20% - Accent3 2 2 4 2 2 2 2 3" xfId="21988" xr:uid="{00000000-0005-0000-0000-000069130000}"/>
    <cellStyle name="20% - Accent3 2 2 4 2 2 2 3" xfId="27278" xr:uid="{00000000-0005-0000-0000-00006A130000}"/>
    <cellStyle name="20% - Accent3 2 2 4 2 2 2 3 2" xfId="21963" xr:uid="{00000000-0005-0000-0000-00006B130000}"/>
    <cellStyle name="20% - Accent3 2 2 4 2 2 2 4" xfId="34213" xr:uid="{00000000-0005-0000-0000-00006C130000}"/>
    <cellStyle name="20% - Accent3 2 2 4 2 2 3" xfId="31361" xr:uid="{00000000-0005-0000-0000-00006D130000}"/>
    <cellStyle name="20% - Accent3 2 2 4 2 2 3 2" xfId="30125" xr:uid="{00000000-0005-0000-0000-00006E130000}"/>
    <cellStyle name="20% - Accent3 2 2 4 2 2 3 2 2" xfId="20036" xr:uid="{00000000-0005-0000-0000-00006F130000}"/>
    <cellStyle name="20% - Accent3 2 2 4 2 2 3 3" xfId="27277" xr:uid="{00000000-0005-0000-0000-000070130000}"/>
    <cellStyle name="20% - Accent3 2 2 4 2 2 4" xfId="27276" xr:uid="{00000000-0005-0000-0000-000071130000}"/>
    <cellStyle name="20% - Accent3 2 2 4 2 2 4 2" xfId="7735" xr:uid="{00000000-0005-0000-0000-000072130000}"/>
    <cellStyle name="20% - Accent3 2 2 4 2 2 5" xfId="22689" xr:uid="{00000000-0005-0000-0000-000073130000}"/>
    <cellStyle name="20% - Accent3 2 2 4 2 3" xfId="24869" xr:uid="{00000000-0005-0000-0000-000074130000}"/>
    <cellStyle name="20% - Accent3 2 2 4 2 3 2" xfId="22706" xr:uid="{00000000-0005-0000-0000-000075130000}"/>
    <cellStyle name="20% - Accent3 2 2 4 2 3 2 2" xfId="18391" xr:uid="{00000000-0005-0000-0000-000076130000}"/>
    <cellStyle name="20% - Accent3 2 2 4 2 3 2 2 2" xfId="21454" xr:uid="{00000000-0005-0000-0000-000077130000}"/>
    <cellStyle name="20% - Accent3 2 2 4 2 3 2 3" xfId="27275" xr:uid="{00000000-0005-0000-0000-000078130000}"/>
    <cellStyle name="20% - Accent3 2 2 4 2 3 3" xfId="22724" xr:uid="{00000000-0005-0000-0000-000079130000}"/>
    <cellStyle name="20% - Accent3 2 2 4 2 3 3 2" xfId="20473" xr:uid="{00000000-0005-0000-0000-00007A130000}"/>
    <cellStyle name="20% - Accent3 2 2 4 2 3 4" xfId="31563" xr:uid="{00000000-0005-0000-0000-00007B130000}"/>
    <cellStyle name="20% - Accent3 2 2 4 2 4" xfId="24862" xr:uid="{00000000-0005-0000-0000-00007C130000}"/>
    <cellStyle name="20% - Accent3 2 2 4 2 4 2" xfId="32096" xr:uid="{00000000-0005-0000-0000-00007D130000}"/>
    <cellStyle name="20% - Accent3 2 2 4 2 4 2 2" xfId="23982" xr:uid="{00000000-0005-0000-0000-00007E130000}"/>
    <cellStyle name="20% - Accent3 2 2 4 2 4 3" xfId="29115" xr:uid="{00000000-0005-0000-0000-00007F130000}"/>
    <cellStyle name="20% - Accent3 2 2 4 2 5" xfId="32089" xr:uid="{00000000-0005-0000-0000-000080130000}"/>
    <cellStyle name="20% - Accent3 2 2 4 2 5 2" xfId="10342" xr:uid="{00000000-0005-0000-0000-000081130000}"/>
    <cellStyle name="20% - Accent3 2 2 4 2 6" xfId="27269" xr:uid="{00000000-0005-0000-0000-000082130000}"/>
    <cellStyle name="20% - Accent3 2 2 4 3" xfId="31487" xr:uid="{00000000-0005-0000-0000-000083130000}"/>
    <cellStyle name="20% - Accent3 2 2 4 3 2" xfId="24842" xr:uid="{00000000-0005-0000-0000-000084130000}"/>
    <cellStyle name="20% - Accent3 2 2 4 3 2 2" xfId="17838" xr:uid="{00000000-0005-0000-0000-000085130000}"/>
    <cellStyle name="20% - Accent3 2 2 4 3 2 2 2" xfId="27267" xr:uid="{00000000-0005-0000-0000-000086130000}"/>
    <cellStyle name="20% - Accent3 2 2 4 3 2 2 2 2" xfId="20965" xr:uid="{00000000-0005-0000-0000-000087130000}"/>
    <cellStyle name="20% - Accent3 2 2 4 3 2 2 3" xfId="27264" xr:uid="{00000000-0005-0000-0000-000088130000}"/>
    <cellStyle name="20% - Accent3 2 2 4 3 2 3" xfId="15646" xr:uid="{00000000-0005-0000-0000-000089130000}"/>
    <cellStyle name="20% - Accent3 2 2 4 3 2 3 2" xfId="27259" xr:uid="{00000000-0005-0000-0000-00008A130000}"/>
    <cellStyle name="20% - Accent3 2 2 4 3 2 4" xfId="15641" xr:uid="{00000000-0005-0000-0000-00008B130000}"/>
    <cellStyle name="20% - Accent3 2 2 4 3 3" xfId="25411" xr:uid="{00000000-0005-0000-0000-00008C130000}"/>
    <cellStyle name="20% - Accent3 2 2 4 3 3 2" xfId="15616" xr:uid="{00000000-0005-0000-0000-00008D130000}"/>
    <cellStyle name="20% - Accent3 2 2 4 3 3 2 2" xfId="27255" xr:uid="{00000000-0005-0000-0000-00008E130000}"/>
    <cellStyle name="20% - Accent3 2 2 4 3 3 3" xfId="27089" xr:uid="{00000000-0005-0000-0000-00008F130000}"/>
    <cellStyle name="20% - Accent3 2 2 4 3 4" xfId="24837" xr:uid="{00000000-0005-0000-0000-000090130000}"/>
    <cellStyle name="20% - Accent3 2 2 4 3 4 2" xfId="15597" xr:uid="{00000000-0005-0000-0000-000091130000}"/>
    <cellStyle name="20% - Accent3 2 2 4 3 5" xfId="23530" xr:uid="{00000000-0005-0000-0000-000092130000}"/>
    <cellStyle name="20% - Accent3 2 2 4 4" xfId="30895" xr:uid="{00000000-0005-0000-0000-000093130000}"/>
    <cellStyle name="20% - Accent3 2 2 4 4 2" xfId="24825" xr:uid="{00000000-0005-0000-0000-000094130000}"/>
    <cellStyle name="20% - Accent3 2 2 4 4 2 2" xfId="13730" xr:uid="{00000000-0005-0000-0000-000095130000}"/>
    <cellStyle name="20% - Accent3 2 2 4 4 2 2 2" xfId="27251" xr:uid="{00000000-0005-0000-0000-000096130000}"/>
    <cellStyle name="20% - Accent3 2 2 4 4 2 3" xfId="13721" xr:uid="{00000000-0005-0000-0000-000097130000}"/>
    <cellStyle name="20% - Accent3 2 2 4 4 3" xfId="24106" xr:uid="{00000000-0005-0000-0000-000098130000}"/>
    <cellStyle name="20% - Accent3 2 2 4 4 3 2" xfId="13703" xr:uid="{00000000-0005-0000-0000-000099130000}"/>
    <cellStyle name="20% - Accent3 2 2 4 4 4" xfId="27237" xr:uid="{00000000-0005-0000-0000-00009A130000}"/>
    <cellStyle name="20% - Accent3 2 2 4 5" xfId="27235" xr:uid="{00000000-0005-0000-0000-00009B130000}"/>
    <cellStyle name="20% - Accent3 2 2 4 5 2" xfId="24819" xr:uid="{00000000-0005-0000-0000-00009C130000}"/>
    <cellStyle name="20% - Accent3 2 2 4 5 2 2" xfId="21700" xr:uid="{00000000-0005-0000-0000-00009D130000}"/>
    <cellStyle name="20% - Accent3 2 2 4 5 3" xfId="27234" xr:uid="{00000000-0005-0000-0000-00009E130000}"/>
    <cellStyle name="20% - Accent3 2 2 4 6" xfId="27232" xr:uid="{00000000-0005-0000-0000-00009F130000}"/>
    <cellStyle name="20% - Accent3 2 2 4 6 2" xfId="7093" xr:uid="{00000000-0005-0000-0000-0000A0130000}"/>
    <cellStyle name="20% - Accent3 2 2 4 7" xfId="27231" xr:uid="{00000000-0005-0000-0000-0000A1130000}"/>
    <cellStyle name="20% - Accent3 2 2 5" xfId="31545" xr:uid="{00000000-0005-0000-0000-0000A2130000}"/>
    <cellStyle name="20% - Accent3 2 2 5 2" xfId="29831" xr:uid="{00000000-0005-0000-0000-0000A3130000}"/>
    <cellStyle name="20% - Accent3 2 2 5 2 2" xfId="27442" xr:uid="{00000000-0005-0000-0000-0000A4130000}"/>
    <cellStyle name="20% - Accent3 2 2 5 2 2 2" xfId="28090" xr:uid="{00000000-0005-0000-0000-0000A5130000}"/>
    <cellStyle name="20% - Accent3 2 2 5 2 2 2 2" xfId="17545" xr:uid="{00000000-0005-0000-0000-0000A6130000}"/>
    <cellStyle name="20% - Accent3 2 2 5 2 2 2 2 2" xfId="22316" xr:uid="{00000000-0005-0000-0000-0000A7130000}"/>
    <cellStyle name="20% - Accent3 2 2 5 2 2 2 3" xfId="27222" xr:uid="{00000000-0005-0000-0000-0000A8130000}"/>
    <cellStyle name="20% - Accent3 2 2 5 2 2 3" xfId="27218" xr:uid="{00000000-0005-0000-0000-0000A9130000}"/>
    <cellStyle name="20% - Accent3 2 2 5 2 2 3 2" xfId="27213" xr:uid="{00000000-0005-0000-0000-0000AA130000}"/>
    <cellStyle name="20% - Accent3 2 2 5 2 2 4" xfId="27211" xr:uid="{00000000-0005-0000-0000-0000AB130000}"/>
    <cellStyle name="20% - Accent3 2 2 5 2 3" xfId="24802" xr:uid="{00000000-0005-0000-0000-0000AC130000}"/>
    <cellStyle name="20% - Accent3 2 2 5 2 3 2" xfId="12987" xr:uid="{00000000-0005-0000-0000-0000AD130000}"/>
    <cellStyle name="20% - Accent3 2 2 5 2 3 2 2" xfId="8958" xr:uid="{00000000-0005-0000-0000-0000AE130000}"/>
    <cellStyle name="20% - Accent3 2 2 5 2 3 3" xfId="28985" xr:uid="{00000000-0005-0000-0000-0000AF130000}"/>
    <cellStyle name="20% - Accent3 2 2 5 2 4" xfId="24797" xr:uid="{00000000-0005-0000-0000-0000B0130000}"/>
    <cellStyle name="20% - Accent3 2 2 5 2 4 2" xfId="15854" xr:uid="{00000000-0005-0000-0000-0000B1130000}"/>
    <cellStyle name="20% - Accent3 2 2 5 2 5" xfId="15850" xr:uid="{00000000-0005-0000-0000-0000B2130000}"/>
    <cellStyle name="20% - Accent3 2 2 5 3" xfId="27206" xr:uid="{00000000-0005-0000-0000-0000B3130000}"/>
    <cellStyle name="20% - Accent3 2 2 5 3 2" xfId="24789" xr:uid="{00000000-0005-0000-0000-0000B4130000}"/>
    <cellStyle name="20% - Accent3 2 2 5 3 2 2" xfId="27204" xr:uid="{00000000-0005-0000-0000-0000B5130000}"/>
    <cellStyle name="20% - Accent3 2 2 5 3 2 2 2" xfId="27202" xr:uid="{00000000-0005-0000-0000-0000B6130000}"/>
    <cellStyle name="20% - Accent3 2 2 5 3 2 3" xfId="25705" xr:uid="{00000000-0005-0000-0000-0000B7130000}"/>
    <cellStyle name="20% - Accent3 2 2 5 3 3" xfId="24786" xr:uid="{00000000-0005-0000-0000-0000B8130000}"/>
    <cellStyle name="20% - Accent3 2 2 5 3 3 2" xfId="22761" xr:uid="{00000000-0005-0000-0000-0000B9130000}"/>
    <cellStyle name="20% - Accent3 2 2 5 3 4" xfId="15844" xr:uid="{00000000-0005-0000-0000-0000BA130000}"/>
    <cellStyle name="20% - Accent3 2 2 5 4" xfId="23450" xr:uid="{00000000-0005-0000-0000-0000BB130000}"/>
    <cellStyle name="20% - Accent3 2 2 5 4 2" xfId="24779" xr:uid="{00000000-0005-0000-0000-0000BC130000}"/>
    <cellStyle name="20% - Accent3 2 2 5 4 2 2" xfId="25561" xr:uid="{00000000-0005-0000-0000-0000BD130000}"/>
    <cellStyle name="20% - Accent3 2 2 5 4 3" xfId="27185" xr:uid="{00000000-0005-0000-0000-0000BE130000}"/>
    <cellStyle name="20% - Accent3 2 2 5 5" xfId="23439" xr:uid="{00000000-0005-0000-0000-0000BF130000}"/>
    <cellStyle name="20% - Accent3 2 2 5 5 2" xfId="27181" xr:uid="{00000000-0005-0000-0000-0000C0130000}"/>
    <cellStyle name="20% - Accent3 2 2 5 6" xfId="23438" xr:uid="{00000000-0005-0000-0000-0000C1130000}"/>
    <cellStyle name="20% - Accent3 2 2 6" xfId="20991" xr:uid="{00000000-0005-0000-0000-0000C2130000}"/>
    <cellStyle name="20% - Accent3 2 2 6 2" xfId="13009" xr:uid="{00000000-0005-0000-0000-0000C3130000}"/>
    <cellStyle name="20% - Accent3 2 2 6 2 2" xfId="24770" xr:uid="{00000000-0005-0000-0000-0000C4130000}"/>
    <cellStyle name="20% - Accent3 2 2 6 2 2 2" xfId="27178" xr:uid="{00000000-0005-0000-0000-0000C5130000}"/>
    <cellStyle name="20% - Accent3 2 2 6 2 2 2 2" xfId="17319" xr:uid="{00000000-0005-0000-0000-0000C6130000}"/>
    <cellStyle name="20% - Accent3 2 2 6 2 2 3" xfId="27168" xr:uid="{00000000-0005-0000-0000-0000C7130000}"/>
    <cellStyle name="20% - Accent3 2 2 6 2 3" xfId="24767" xr:uid="{00000000-0005-0000-0000-0000C8130000}"/>
    <cellStyle name="20% - Accent3 2 2 6 2 3 2" xfId="25974" xr:uid="{00000000-0005-0000-0000-0000C9130000}"/>
    <cellStyle name="20% - Accent3 2 2 6 2 4" xfId="15810" xr:uid="{00000000-0005-0000-0000-0000CA130000}"/>
    <cellStyle name="20% - Accent3 2 2 6 3" xfId="32059" xr:uid="{00000000-0005-0000-0000-0000CB130000}"/>
    <cellStyle name="20% - Accent3 2 2 6 3 2" xfId="24761" xr:uid="{00000000-0005-0000-0000-0000CC130000}"/>
    <cellStyle name="20% - Accent3 2 2 6 3 2 2" xfId="25370" xr:uid="{00000000-0005-0000-0000-0000CD130000}"/>
    <cellStyle name="20% - Accent3 2 2 6 3 3" xfId="27159" xr:uid="{00000000-0005-0000-0000-0000CE130000}"/>
    <cellStyle name="20% - Accent3 2 2 6 4" xfId="7647" xr:uid="{00000000-0005-0000-0000-0000CF130000}"/>
    <cellStyle name="20% - Accent3 2 2 6 4 2" xfId="28568" xr:uid="{00000000-0005-0000-0000-0000D0130000}"/>
    <cellStyle name="20% - Accent3 2 2 6 5" xfId="23435" xr:uid="{00000000-0005-0000-0000-0000D1130000}"/>
    <cellStyle name="20% - Accent3 2 2 7" xfId="27146" xr:uid="{00000000-0005-0000-0000-0000D2130000}"/>
    <cellStyle name="20% - Accent3 2 2 7 2" xfId="26209" xr:uid="{00000000-0005-0000-0000-0000D3130000}"/>
    <cellStyle name="20% - Accent3 2 2 7 2 2" xfId="24755" xr:uid="{00000000-0005-0000-0000-0000D4130000}"/>
    <cellStyle name="20% - Accent3 2 2 7 2 2 2" xfId="24346" xr:uid="{00000000-0005-0000-0000-0000D5130000}"/>
    <cellStyle name="20% - Accent3 2 2 7 2 3" xfId="24227" xr:uid="{00000000-0005-0000-0000-0000D6130000}"/>
    <cellStyle name="20% - Accent3 2 2 7 3" xfId="15932" xr:uid="{00000000-0005-0000-0000-0000D7130000}"/>
    <cellStyle name="20% - Accent3 2 2 7 3 2" xfId="27139" xr:uid="{00000000-0005-0000-0000-0000D8130000}"/>
    <cellStyle name="20% - Accent3 2 2 7 4" xfId="23907" xr:uid="{00000000-0005-0000-0000-0000D9130000}"/>
    <cellStyle name="20% - Accent3 2 2 8" xfId="27125" xr:uid="{00000000-0005-0000-0000-0000DA130000}"/>
    <cellStyle name="20% - Accent3 2 2 8 2" xfId="28368" xr:uid="{00000000-0005-0000-0000-0000DB130000}"/>
    <cellStyle name="20% - Accent3 2 2 8 2 2" xfId="27123" xr:uid="{00000000-0005-0000-0000-0000DC130000}"/>
    <cellStyle name="20% - Accent3 2 2 8 3" xfId="27700" xr:uid="{00000000-0005-0000-0000-0000DD130000}"/>
    <cellStyle name="20% - Accent3 2 2 9" xfId="27122" xr:uid="{00000000-0005-0000-0000-0000DE130000}"/>
    <cellStyle name="20% - Accent3 2 2 9 2" xfId="26573" xr:uid="{00000000-0005-0000-0000-0000DF130000}"/>
    <cellStyle name="20% - Accent3 2 3" xfId="206" xr:uid="{00000000-0005-0000-0000-0000E0130000}"/>
    <cellStyle name="20% - Accent3 2 3 10" xfId="34539" xr:uid="{00000000-0005-0000-0000-0000E1130000}"/>
    <cellStyle name="20% - Accent3 2 3 11" xfId="22608" xr:uid="{00000000-0005-0000-0000-0000E2130000}"/>
    <cellStyle name="20% - Accent3 2 3 2" xfId="33539" xr:uid="{00000000-0005-0000-0000-0000E3130000}"/>
    <cellStyle name="20% - Accent3 2 3 2 2" xfId="33536" xr:uid="{00000000-0005-0000-0000-0000E4130000}"/>
    <cellStyle name="20% - Accent3 2 3 2 2 2" xfId="27911" xr:uid="{00000000-0005-0000-0000-0000E5130000}"/>
    <cellStyle name="20% - Accent3 2 3 2 2 2 2" xfId="29489" xr:uid="{00000000-0005-0000-0000-0000E6130000}"/>
    <cellStyle name="20% - Accent3 2 3 2 2 2 2 2" xfId="27119" xr:uid="{00000000-0005-0000-0000-0000E7130000}"/>
    <cellStyle name="20% - Accent3 2 3 2 2 2 2 2 2" xfId="12515" xr:uid="{00000000-0005-0000-0000-0000E8130000}"/>
    <cellStyle name="20% - Accent3 2 3 2 2 2 2 2 2 2" xfId="33503" xr:uid="{00000000-0005-0000-0000-0000E9130000}"/>
    <cellStyle name="20% - Accent3 2 3 2 2 2 2 2 2 2 2" xfId="30380" xr:uid="{00000000-0005-0000-0000-0000EA130000}"/>
    <cellStyle name="20% - Accent3 2 3 2 2 2 2 2 2 3" xfId="27110" xr:uid="{00000000-0005-0000-0000-0000EB130000}"/>
    <cellStyle name="20% - Accent3 2 3 2 2 2 2 2 3" xfId="33699" xr:uid="{00000000-0005-0000-0000-0000EC130000}"/>
    <cellStyle name="20% - Accent3 2 3 2 2 2 2 2 3 2" xfId="9942" xr:uid="{00000000-0005-0000-0000-0000ED130000}"/>
    <cellStyle name="20% - Accent3 2 3 2 2 2 2 2 4" xfId="33707" xr:uid="{00000000-0005-0000-0000-0000EE130000}"/>
    <cellStyle name="20% - Accent3 2 3 2 2 2 2 3" xfId="32968" xr:uid="{00000000-0005-0000-0000-0000EF130000}"/>
    <cellStyle name="20% - Accent3 2 3 2 2 2 2 3 2" xfId="21623" xr:uid="{00000000-0005-0000-0000-0000F0130000}"/>
    <cellStyle name="20% - Accent3 2 3 2 2 2 2 3 2 2" xfId="25567" xr:uid="{00000000-0005-0000-0000-0000F1130000}"/>
    <cellStyle name="20% - Accent3 2 3 2 2 2 2 3 3" xfId="21579" xr:uid="{00000000-0005-0000-0000-0000F2130000}"/>
    <cellStyle name="20% - Accent3 2 3 2 2 2 2 4" xfId="29801" xr:uid="{00000000-0005-0000-0000-0000F3130000}"/>
    <cellStyle name="20% - Accent3 2 3 2 2 2 2 4 2" xfId="22532" xr:uid="{00000000-0005-0000-0000-0000F4130000}"/>
    <cellStyle name="20% - Accent3 2 3 2 2 2 2 5" xfId="26213" xr:uid="{00000000-0005-0000-0000-0000F5130000}"/>
    <cellStyle name="20% - Accent3 2 3 2 2 2 3" xfId="21452" xr:uid="{00000000-0005-0000-0000-0000F6130000}"/>
    <cellStyle name="20% - Accent3 2 3 2 2 2 3 2" xfId="15286" xr:uid="{00000000-0005-0000-0000-0000F7130000}"/>
    <cellStyle name="20% - Accent3 2 3 2 2 2 3 2 2" xfId="22072" xr:uid="{00000000-0005-0000-0000-0000F8130000}"/>
    <cellStyle name="20% - Accent3 2 3 2 2 2 3 2 2 2" xfId="29066" xr:uid="{00000000-0005-0000-0000-0000F9130000}"/>
    <cellStyle name="20% - Accent3 2 3 2 2 2 3 2 3" xfId="33810" xr:uid="{00000000-0005-0000-0000-0000FA130000}"/>
    <cellStyle name="20% - Accent3 2 3 2 2 2 3 3" xfId="9592" xr:uid="{00000000-0005-0000-0000-0000FB130000}"/>
    <cellStyle name="20% - Accent3 2 3 2 2 2 3 3 2" xfId="20822" xr:uid="{00000000-0005-0000-0000-0000FC130000}"/>
    <cellStyle name="20% - Accent3 2 3 2 2 2 3 4" xfId="9583" xr:uid="{00000000-0005-0000-0000-0000FD130000}"/>
    <cellStyle name="20% - Accent3 2 3 2 2 2 4" xfId="28545" xr:uid="{00000000-0005-0000-0000-0000FE130000}"/>
    <cellStyle name="20% - Accent3 2 3 2 2 2 4 2" xfId="26980" xr:uid="{00000000-0005-0000-0000-0000FF130000}"/>
    <cellStyle name="20% - Accent3 2 3 2 2 2 4 2 2" xfId="29961" xr:uid="{00000000-0005-0000-0000-000000140000}"/>
    <cellStyle name="20% - Accent3 2 3 2 2 2 4 3" xfId="11966" xr:uid="{00000000-0005-0000-0000-000001140000}"/>
    <cellStyle name="20% - Accent3 2 3 2 2 2 5" xfId="28053" xr:uid="{00000000-0005-0000-0000-000002140000}"/>
    <cellStyle name="20% - Accent3 2 3 2 2 2 5 2" xfId="20929" xr:uid="{00000000-0005-0000-0000-000003140000}"/>
    <cellStyle name="20% - Accent3 2 3 2 2 2 6" xfId="27108" xr:uid="{00000000-0005-0000-0000-000004140000}"/>
    <cellStyle name="20% - Accent3 2 3 2 2 3" xfId="34332" xr:uid="{00000000-0005-0000-0000-000005140000}"/>
    <cellStyle name="20% - Accent3 2 3 2 2 3 2" xfId="22238" xr:uid="{00000000-0005-0000-0000-000006140000}"/>
    <cellStyle name="20% - Accent3 2 3 2 2 3 2 2" xfId="19416" xr:uid="{00000000-0005-0000-0000-000007140000}"/>
    <cellStyle name="20% - Accent3 2 3 2 2 3 2 2 2" xfId="32974" xr:uid="{00000000-0005-0000-0000-000008140000}"/>
    <cellStyle name="20% - Accent3 2 3 2 2 3 2 2 2 2" xfId="31158" xr:uid="{00000000-0005-0000-0000-000009140000}"/>
    <cellStyle name="20% - Accent3 2 3 2 2 3 2 2 3" xfId="22111" xr:uid="{00000000-0005-0000-0000-00000A140000}"/>
    <cellStyle name="20% - Accent3 2 3 2 2 3 2 3" xfId="15380" xr:uid="{00000000-0005-0000-0000-00000B140000}"/>
    <cellStyle name="20% - Accent3 2 3 2 2 3 2 3 2" xfId="19486" xr:uid="{00000000-0005-0000-0000-00000C140000}"/>
    <cellStyle name="20% - Accent3 2 3 2 2 3 2 4" xfId="15377" xr:uid="{00000000-0005-0000-0000-00000D140000}"/>
    <cellStyle name="20% - Accent3 2 3 2 2 3 3" xfId="22216" xr:uid="{00000000-0005-0000-0000-00000E140000}"/>
    <cellStyle name="20% - Accent3 2 3 2 2 3 3 2" xfId="19166" xr:uid="{00000000-0005-0000-0000-00000F140000}"/>
    <cellStyle name="20% - Accent3 2 3 2 2 3 3 2 2" xfId="31465" xr:uid="{00000000-0005-0000-0000-000010140000}"/>
    <cellStyle name="20% - Accent3 2 3 2 2 3 3 3" xfId="9546" xr:uid="{00000000-0005-0000-0000-000011140000}"/>
    <cellStyle name="20% - Accent3 2 3 2 2 3 4" xfId="28528" xr:uid="{00000000-0005-0000-0000-000012140000}"/>
    <cellStyle name="20% - Accent3 2 3 2 2 3 4 2" xfId="34261" xr:uid="{00000000-0005-0000-0000-000013140000}"/>
    <cellStyle name="20% - Accent3 2 3 2 2 3 5" xfId="28035" xr:uid="{00000000-0005-0000-0000-000014140000}"/>
    <cellStyle name="20% - Accent3 2 3 2 2 4" xfId="28842" xr:uid="{00000000-0005-0000-0000-000015140000}"/>
    <cellStyle name="20% - Accent3 2 3 2 2 4 2" xfId="20147" xr:uid="{00000000-0005-0000-0000-000016140000}"/>
    <cellStyle name="20% - Accent3 2 3 2 2 4 2 2" xfId="18730" xr:uid="{00000000-0005-0000-0000-000017140000}"/>
    <cellStyle name="20% - Accent3 2 3 2 2 4 2 2 2" xfId="33202" xr:uid="{00000000-0005-0000-0000-000018140000}"/>
    <cellStyle name="20% - Accent3 2 3 2 2 4 2 3" xfId="15354" xr:uid="{00000000-0005-0000-0000-000019140000}"/>
    <cellStyle name="20% - Accent3 2 3 2 2 4 3" xfId="20125" xr:uid="{00000000-0005-0000-0000-00001A140000}"/>
    <cellStyle name="20% - Accent3 2 3 2 2 4 3 2" xfId="27106" xr:uid="{00000000-0005-0000-0000-00001B140000}"/>
    <cellStyle name="20% - Accent3 2 3 2 2 4 4" xfId="29396" xr:uid="{00000000-0005-0000-0000-00001C140000}"/>
    <cellStyle name="20% - Accent3 2 3 2 2 5" xfId="28513" xr:uid="{00000000-0005-0000-0000-00001D140000}"/>
    <cellStyle name="20% - Accent3 2 3 2 2 5 2" xfId="9711" xr:uid="{00000000-0005-0000-0000-00001E140000}"/>
    <cellStyle name="20% - Accent3 2 3 2 2 5 2 2" xfId="28333" xr:uid="{00000000-0005-0000-0000-00001F140000}"/>
    <cellStyle name="20% - Accent3 2 3 2 2 5 3" xfId="17886" xr:uid="{00000000-0005-0000-0000-000020140000}"/>
    <cellStyle name="20% - Accent3 2 3 2 2 6" xfId="28504" xr:uid="{00000000-0005-0000-0000-000021140000}"/>
    <cellStyle name="20% - Accent3 2 3 2 2 6 2" xfId="12534" xr:uid="{00000000-0005-0000-0000-000022140000}"/>
    <cellStyle name="20% - Accent3 2 3 2 2 7" xfId="20344" xr:uid="{00000000-0005-0000-0000-000023140000}"/>
    <cellStyle name="20% - Accent3 2 3 2 3" xfId="27100" xr:uid="{00000000-0005-0000-0000-000024140000}"/>
    <cellStyle name="20% - Accent3 2 3 2 3 2" xfId="31989" xr:uid="{00000000-0005-0000-0000-000025140000}"/>
    <cellStyle name="20% - Accent3 2 3 2 3 2 2" xfId="29790" xr:uid="{00000000-0005-0000-0000-000026140000}"/>
    <cellStyle name="20% - Accent3 2 3 2 3 2 2 2" xfId="27098" xr:uid="{00000000-0005-0000-0000-000027140000}"/>
    <cellStyle name="20% - Accent3 2 3 2 3 2 2 2 2" xfId="33738" xr:uid="{00000000-0005-0000-0000-000028140000}"/>
    <cellStyle name="20% - Accent3 2 3 2 3 2 2 2 2 2" xfId="29019" xr:uid="{00000000-0005-0000-0000-000029140000}"/>
    <cellStyle name="20% - Accent3 2 3 2 3 2 2 2 3" xfId="33078" xr:uid="{00000000-0005-0000-0000-00002A140000}"/>
    <cellStyle name="20% - Accent3 2 3 2 3 2 2 3" xfId="34155" xr:uid="{00000000-0005-0000-0000-00002B140000}"/>
    <cellStyle name="20% - Accent3 2 3 2 3 2 2 3 2" xfId="33063" xr:uid="{00000000-0005-0000-0000-00002C140000}"/>
    <cellStyle name="20% - Accent3 2 3 2 3 2 2 4" xfId="26181" xr:uid="{00000000-0005-0000-0000-00002D140000}"/>
    <cellStyle name="20% - Accent3 2 3 2 3 2 3" xfId="26140" xr:uid="{00000000-0005-0000-0000-00002E140000}"/>
    <cellStyle name="20% - Accent3 2 3 2 3 2 3 2" xfId="27097" xr:uid="{00000000-0005-0000-0000-00002F140000}"/>
    <cellStyle name="20% - Accent3 2 3 2 3 2 3 2 2" xfId="32998" xr:uid="{00000000-0005-0000-0000-000030140000}"/>
    <cellStyle name="20% - Accent3 2 3 2 3 2 3 3" xfId="9366" xr:uid="{00000000-0005-0000-0000-000031140000}"/>
    <cellStyle name="20% - Accent3 2 3 2 3 2 4" xfId="9286" xr:uid="{00000000-0005-0000-0000-000032140000}"/>
    <cellStyle name="20% - Accent3 2 3 2 3 2 4 2" xfId="27094" xr:uid="{00000000-0005-0000-0000-000033140000}"/>
    <cellStyle name="20% - Accent3 2 3 2 3 2 5" xfId="6750" xr:uid="{00000000-0005-0000-0000-000034140000}"/>
    <cellStyle name="20% - Accent3 2 3 2 3 3" xfId="28466" xr:uid="{00000000-0005-0000-0000-000035140000}"/>
    <cellStyle name="20% - Accent3 2 3 2 3 3 2" xfId="29529" xr:uid="{00000000-0005-0000-0000-000036140000}"/>
    <cellStyle name="20% - Accent3 2 3 2 3 3 2 2" xfId="27091" xr:uid="{00000000-0005-0000-0000-000037140000}"/>
    <cellStyle name="20% - Accent3 2 3 2 3 3 2 2 2" xfId="29989" xr:uid="{00000000-0005-0000-0000-000038140000}"/>
    <cellStyle name="20% - Accent3 2 3 2 3 3 2 3" xfId="15301" xr:uid="{00000000-0005-0000-0000-000039140000}"/>
    <cellStyle name="20% - Accent3 2 3 2 3 3 3" xfId="26131" xr:uid="{00000000-0005-0000-0000-00003A140000}"/>
    <cellStyle name="20% - Accent3 2 3 2 3 3 3 2" xfId="27087" xr:uid="{00000000-0005-0000-0000-00003B140000}"/>
    <cellStyle name="20% - Accent3 2 3 2 3 3 4" xfId="6714" xr:uid="{00000000-0005-0000-0000-00003C140000}"/>
    <cellStyle name="20% - Accent3 2 3 2 3 4" xfId="28463" xr:uid="{00000000-0005-0000-0000-00003D140000}"/>
    <cellStyle name="20% - Accent3 2 3 2 3 4 2" xfId="21992" xr:uid="{00000000-0005-0000-0000-00003E140000}"/>
    <cellStyle name="20% - Accent3 2 3 2 3 4 2 2" xfId="10081" xr:uid="{00000000-0005-0000-0000-00003F140000}"/>
    <cellStyle name="20% - Accent3 2 3 2 3 4 3" xfId="27084" xr:uid="{00000000-0005-0000-0000-000040140000}"/>
    <cellStyle name="20% - Accent3 2 3 2 3 5" xfId="27578" xr:uid="{00000000-0005-0000-0000-000041140000}"/>
    <cellStyle name="20% - Accent3 2 3 2 3 5 2" xfId="9686" xr:uid="{00000000-0005-0000-0000-000042140000}"/>
    <cellStyle name="20% - Accent3 2 3 2 3 6" xfId="27079" xr:uid="{00000000-0005-0000-0000-000043140000}"/>
    <cellStyle name="20% - Accent3 2 3 2 4" xfId="30894" xr:uid="{00000000-0005-0000-0000-000044140000}"/>
    <cellStyle name="20% - Accent3 2 3 2 4 2" xfId="22021" xr:uid="{00000000-0005-0000-0000-000045140000}"/>
    <cellStyle name="20% - Accent3 2 3 2 4 2 2" xfId="5588" xr:uid="{00000000-0005-0000-0000-000046140000}"/>
    <cellStyle name="20% - Accent3 2 3 2 4 2 2 2" xfId="27074" xr:uid="{00000000-0005-0000-0000-000047140000}"/>
    <cellStyle name="20% - Accent3 2 3 2 4 2 2 2 2" xfId="27018" xr:uid="{00000000-0005-0000-0000-000048140000}"/>
    <cellStyle name="20% - Accent3 2 3 2 4 2 2 3" xfId="32028" xr:uid="{00000000-0005-0000-0000-000049140000}"/>
    <cellStyle name="20% - Accent3 2 3 2 4 2 3" xfId="6195" xr:uid="{00000000-0005-0000-0000-00004A140000}"/>
    <cellStyle name="20% - Accent3 2 3 2 4 2 3 2" xfId="27073" xr:uid="{00000000-0005-0000-0000-00004B140000}"/>
    <cellStyle name="20% - Accent3 2 3 2 4 2 4" xfId="6535" xr:uid="{00000000-0005-0000-0000-00004C140000}"/>
    <cellStyle name="20% - Accent3 2 3 2 4 3" xfId="27588" xr:uid="{00000000-0005-0000-0000-00004D140000}"/>
    <cellStyle name="20% - Accent3 2 3 2 4 3 2" xfId="25734" xr:uid="{00000000-0005-0000-0000-00004E140000}"/>
    <cellStyle name="20% - Accent3 2 3 2 4 3 2 2" xfId="27072" xr:uid="{00000000-0005-0000-0000-00004F140000}"/>
    <cellStyle name="20% - Accent3 2 3 2 4 3 3" xfId="18884" xr:uid="{00000000-0005-0000-0000-000050140000}"/>
    <cellStyle name="20% - Accent3 2 3 2 4 4" xfId="27273" xr:uid="{00000000-0005-0000-0000-000051140000}"/>
    <cellStyle name="20% - Accent3 2 3 2 4 4 2" xfId="23986" xr:uid="{00000000-0005-0000-0000-000052140000}"/>
    <cellStyle name="20% - Accent3 2 3 2 4 5" xfId="27690" xr:uid="{00000000-0005-0000-0000-000053140000}"/>
    <cellStyle name="20% - Accent3 2 3 2 5" xfId="30883" xr:uid="{00000000-0005-0000-0000-000054140000}"/>
    <cellStyle name="20% - Accent3 2 3 2 5 2" xfId="28307" xr:uid="{00000000-0005-0000-0000-000055140000}"/>
    <cellStyle name="20% - Accent3 2 3 2 5 2 2" xfId="33985" xr:uid="{00000000-0005-0000-0000-000056140000}"/>
    <cellStyle name="20% - Accent3 2 3 2 5 2 2 2" xfId="27415" xr:uid="{00000000-0005-0000-0000-000057140000}"/>
    <cellStyle name="20% - Accent3 2 3 2 5 2 3" xfId="27069" xr:uid="{00000000-0005-0000-0000-000058140000}"/>
    <cellStyle name="20% - Accent3 2 3 2 5 3" xfId="28300" xr:uid="{00000000-0005-0000-0000-000059140000}"/>
    <cellStyle name="20% - Accent3 2 3 2 5 3 2" xfId="27067" xr:uid="{00000000-0005-0000-0000-00005A140000}"/>
    <cellStyle name="20% - Accent3 2 3 2 5 4" xfId="8513" xr:uid="{00000000-0005-0000-0000-00005B140000}"/>
    <cellStyle name="20% - Accent3 2 3 2 6" xfId="27063" xr:uid="{00000000-0005-0000-0000-00005C140000}"/>
    <cellStyle name="20% - Accent3 2 3 2 6 2" xfId="27750" xr:uid="{00000000-0005-0000-0000-00005D140000}"/>
    <cellStyle name="20% - Accent3 2 3 2 6 2 2" xfId="27059" xr:uid="{00000000-0005-0000-0000-00005E140000}"/>
    <cellStyle name="20% - Accent3 2 3 2 6 3" xfId="27058" xr:uid="{00000000-0005-0000-0000-00005F140000}"/>
    <cellStyle name="20% - Accent3 2 3 2 7" xfId="34060" xr:uid="{00000000-0005-0000-0000-000060140000}"/>
    <cellStyle name="20% - Accent3 2 3 2 7 2" xfId="27056" xr:uid="{00000000-0005-0000-0000-000061140000}"/>
    <cellStyle name="20% - Accent3 2 3 2 8" xfId="27054" xr:uid="{00000000-0005-0000-0000-000062140000}"/>
    <cellStyle name="20% - Accent3 2 3 3" xfId="17651" xr:uid="{00000000-0005-0000-0000-000063140000}"/>
    <cellStyle name="20% - Accent3 2 3 3 2" xfId="27053" xr:uid="{00000000-0005-0000-0000-000064140000}"/>
    <cellStyle name="20% - Accent3 2 3 3 2 2" xfId="28541" xr:uid="{00000000-0005-0000-0000-000065140000}"/>
    <cellStyle name="20% - Accent3 2 3 3 2 2 2" xfId="25277" xr:uid="{00000000-0005-0000-0000-000066140000}"/>
    <cellStyle name="20% - Accent3 2 3 3 2 2 2 2" xfId="31383" xr:uid="{00000000-0005-0000-0000-000067140000}"/>
    <cellStyle name="20% - Accent3 2 3 3 2 2 2 2 2" xfId="30411" xr:uid="{00000000-0005-0000-0000-000068140000}"/>
    <cellStyle name="20% - Accent3 2 3 3 2 2 2 2 2 2" xfId="28956" xr:uid="{00000000-0005-0000-0000-000069140000}"/>
    <cellStyle name="20% - Accent3 2 3 3 2 2 2 2 3" xfId="30366" xr:uid="{00000000-0005-0000-0000-00006A140000}"/>
    <cellStyle name="20% - Accent3 2 3 3 2 2 2 3" xfId="31143" xr:uid="{00000000-0005-0000-0000-00006B140000}"/>
    <cellStyle name="20% - Accent3 2 3 3 2 2 2 3 2" xfId="25027" xr:uid="{00000000-0005-0000-0000-00006C140000}"/>
    <cellStyle name="20% - Accent3 2 3 3 2 2 2 4" xfId="27095" xr:uid="{00000000-0005-0000-0000-00006D140000}"/>
    <cellStyle name="20% - Accent3 2 3 3 2 2 3" xfId="25332" xr:uid="{00000000-0005-0000-0000-00006E140000}"/>
    <cellStyle name="20% - Accent3 2 3 3 2 2 3 2" xfId="31362" xr:uid="{00000000-0005-0000-0000-00006F140000}"/>
    <cellStyle name="20% - Accent3 2 3 3 2 2 3 2 2" xfId="22643" xr:uid="{00000000-0005-0000-0000-000070140000}"/>
    <cellStyle name="20% - Accent3 2 3 3 2 2 3 3" xfId="29178" xr:uid="{00000000-0005-0000-0000-000071140000}"/>
    <cellStyle name="20% - Accent3 2 3 3 2 2 4" xfId="28132" xr:uid="{00000000-0005-0000-0000-000072140000}"/>
    <cellStyle name="20% - Accent3 2 3 3 2 2 4 2" xfId="27052" xr:uid="{00000000-0005-0000-0000-000073140000}"/>
    <cellStyle name="20% - Accent3 2 3 3 2 2 5" xfId="27046" xr:uid="{00000000-0005-0000-0000-000074140000}"/>
    <cellStyle name="20% - Accent3 2 3 3 2 3" xfId="26433" xr:uid="{00000000-0005-0000-0000-000075140000}"/>
    <cellStyle name="20% - Accent3 2 3 3 2 3 2" xfId="22107" xr:uid="{00000000-0005-0000-0000-000076140000}"/>
    <cellStyle name="20% - Accent3 2 3 3 2 3 2 2" xfId="27043" xr:uid="{00000000-0005-0000-0000-000077140000}"/>
    <cellStyle name="20% - Accent3 2 3 3 2 3 2 2 2" xfId="29896" xr:uid="{00000000-0005-0000-0000-000078140000}"/>
    <cellStyle name="20% - Accent3 2 3 3 2 3 2 3" xfId="15039" xr:uid="{00000000-0005-0000-0000-000079140000}"/>
    <cellStyle name="20% - Accent3 2 3 3 2 3 3" xfId="28125" xr:uid="{00000000-0005-0000-0000-00007A140000}"/>
    <cellStyle name="20% - Accent3 2 3 3 2 3 3 2" xfId="27039" xr:uid="{00000000-0005-0000-0000-00007B140000}"/>
    <cellStyle name="20% - Accent3 2 3 3 2 3 4" xfId="27031" xr:uid="{00000000-0005-0000-0000-00007C140000}"/>
    <cellStyle name="20% - Accent3 2 3 3 2 4" xfId="24697" xr:uid="{00000000-0005-0000-0000-00007D140000}"/>
    <cellStyle name="20% - Accent3 2 3 3 2 4 2" xfId="25303" xr:uid="{00000000-0005-0000-0000-00007E140000}"/>
    <cellStyle name="20% - Accent3 2 3 3 2 4 2 2" xfId="27028" xr:uid="{00000000-0005-0000-0000-00007F140000}"/>
    <cellStyle name="20% - Accent3 2 3 3 2 4 3" xfId="27024" xr:uid="{00000000-0005-0000-0000-000080140000}"/>
    <cellStyle name="20% - Accent3 2 3 3 2 5" xfId="24690" xr:uid="{00000000-0005-0000-0000-000081140000}"/>
    <cellStyle name="20% - Accent3 2 3 3 2 5 2" xfId="9604" xr:uid="{00000000-0005-0000-0000-000082140000}"/>
    <cellStyle name="20% - Accent3 2 3 3 2 6" xfId="27009" xr:uid="{00000000-0005-0000-0000-000083140000}"/>
    <cellStyle name="20% - Accent3 2 3 3 3" xfId="27008" xr:uid="{00000000-0005-0000-0000-000084140000}"/>
    <cellStyle name="20% - Accent3 2 3 3 3 2" xfId="28114" xr:uid="{00000000-0005-0000-0000-000085140000}"/>
    <cellStyle name="20% - Accent3 2 3 3 3 2 2" xfId="10194" xr:uid="{00000000-0005-0000-0000-000086140000}"/>
    <cellStyle name="20% - Accent3 2 3 3 3 2 2 2" xfId="14658" xr:uid="{00000000-0005-0000-0000-000087140000}"/>
    <cellStyle name="20% - Accent3 2 3 3 3 2 2 2 2" xfId="34037" xr:uid="{00000000-0005-0000-0000-000088140000}"/>
    <cellStyle name="20% - Accent3 2 3 3 3 2 2 3" xfId="29010" xr:uid="{00000000-0005-0000-0000-000089140000}"/>
    <cellStyle name="20% - Accent3 2 3 3 3 2 3" xfId="26106" xr:uid="{00000000-0005-0000-0000-00008A140000}"/>
    <cellStyle name="20% - Accent3 2 3 3 3 2 3 2" xfId="27004" xr:uid="{00000000-0005-0000-0000-00008B140000}"/>
    <cellStyle name="20% - Accent3 2 3 3 3 2 4" xfId="13892" xr:uid="{00000000-0005-0000-0000-00008C140000}"/>
    <cellStyle name="20% - Accent3 2 3 3 3 3" xfId="24663" xr:uid="{00000000-0005-0000-0000-00008D140000}"/>
    <cellStyle name="20% - Accent3 2 3 3 3 3 2" xfId="29764" xr:uid="{00000000-0005-0000-0000-00008E140000}"/>
    <cellStyle name="20% - Accent3 2 3 3 3 3 2 2" xfId="26993" xr:uid="{00000000-0005-0000-0000-00008F140000}"/>
    <cellStyle name="20% - Accent3 2 3 3 3 3 3" xfId="33820" xr:uid="{00000000-0005-0000-0000-000090140000}"/>
    <cellStyle name="20% - Accent3 2 3 3 3 4" xfId="24658" xr:uid="{00000000-0005-0000-0000-000091140000}"/>
    <cellStyle name="20% - Accent3 2 3 3 3 4 2" xfId="29632" xr:uid="{00000000-0005-0000-0000-000092140000}"/>
    <cellStyle name="20% - Accent3 2 3 3 3 5" xfId="26990" xr:uid="{00000000-0005-0000-0000-000093140000}"/>
    <cellStyle name="20% - Accent3 2 3 3 4" xfId="33098" xr:uid="{00000000-0005-0000-0000-000094140000}"/>
    <cellStyle name="20% - Accent3 2 3 3 4 2" xfId="24652" xr:uid="{00000000-0005-0000-0000-000095140000}"/>
    <cellStyle name="20% - Accent3 2 3 3 4 2 2" xfId="27602" xr:uid="{00000000-0005-0000-0000-000096140000}"/>
    <cellStyle name="20% - Accent3 2 3 3 4 2 2 2" xfId="26987" xr:uid="{00000000-0005-0000-0000-000097140000}"/>
    <cellStyle name="20% - Accent3 2 3 3 4 2 3" xfId="26986" xr:uid="{00000000-0005-0000-0000-000098140000}"/>
    <cellStyle name="20% - Accent3 2 3 3 4 3" xfId="24650" xr:uid="{00000000-0005-0000-0000-000099140000}"/>
    <cellStyle name="20% - Accent3 2 3 3 4 3 2" xfId="30873" xr:uid="{00000000-0005-0000-0000-00009A140000}"/>
    <cellStyle name="20% - Accent3 2 3 3 4 4" xfId="26985" xr:uid="{00000000-0005-0000-0000-00009B140000}"/>
    <cellStyle name="20% - Accent3 2 3 3 5" xfId="15304" xr:uid="{00000000-0005-0000-0000-00009C140000}"/>
    <cellStyle name="20% - Accent3 2 3 3 5 2" xfId="24642" xr:uid="{00000000-0005-0000-0000-00009D140000}"/>
    <cellStyle name="20% - Accent3 2 3 3 5 2 2" xfId="26981" xr:uid="{00000000-0005-0000-0000-00009E140000}"/>
    <cellStyle name="20% - Accent3 2 3 3 5 3" xfId="26979" xr:uid="{00000000-0005-0000-0000-00009F140000}"/>
    <cellStyle name="20% - Accent3 2 3 3 6" xfId="26978" xr:uid="{00000000-0005-0000-0000-0000A0140000}"/>
    <cellStyle name="20% - Accent3 2 3 3 6 2" xfId="32291" xr:uid="{00000000-0005-0000-0000-0000A1140000}"/>
    <cellStyle name="20% - Accent3 2 3 3 7" xfId="26971" xr:uid="{00000000-0005-0000-0000-0000A2140000}"/>
    <cellStyle name="20% - Accent3 2 3 4" xfId="26969" xr:uid="{00000000-0005-0000-0000-0000A3140000}"/>
    <cellStyle name="20% - Accent3 2 3 4 2" xfId="29965" xr:uid="{00000000-0005-0000-0000-0000A4140000}"/>
    <cellStyle name="20% - Accent3 2 3 4 2 2" xfId="27961" xr:uid="{00000000-0005-0000-0000-0000A5140000}"/>
    <cellStyle name="20% - Accent3 2 3 4 2 2 2" xfId="10154" xr:uid="{00000000-0005-0000-0000-0000A6140000}"/>
    <cellStyle name="20% - Accent3 2 3 4 2 2 2 2" xfId="21758" xr:uid="{00000000-0005-0000-0000-0000A7140000}"/>
    <cellStyle name="20% - Accent3 2 3 4 2 2 2 2 2" xfId="34339" xr:uid="{00000000-0005-0000-0000-0000A8140000}"/>
    <cellStyle name="20% - Accent3 2 3 4 2 2 2 3" xfId="27976" xr:uid="{00000000-0005-0000-0000-0000A9140000}"/>
    <cellStyle name="20% - Accent3 2 3 4 2 2 3" xfId="25000" xr:uid="{00000000-0005-0000-0000-0000AA140000}"/>
    <cellStyle name="20% - Accent3 2 3 4 2 2 3 2" xfId="27958" xr:uid="{00000000-0005-0000-0000-0000AB140000}"/>
    <cellStyle name="20% - Accent3 2 3 4 2 2 4" xfId="24995" xr:uid="{00000000-0005-0000-0000-0000AC140000}"/>
    <cellStyle name="20% - Accent3 2 3 4 2 3" xfId="24624" xr:uid="{00000000-0005-0000-0000-0000AD140000}"/>
    <cellStyle name="20% - Accent3 2 3 4 2 3 2" xfId="27953" xr:uid="{00000000-0005-0000-0000-0000AE140000}"/>
    <cellStyle name="20% - Accent3 2 3 4 2 3 2 2" xfId="28448" xr:uid="{00000000-0005-0000-0000-0000AF140000}"/>
    <cellStyle name="20% - Accent3 2 3 4 2 3 3" xfId="24983" xr:uid="{00000000-0005-0000-0000-0000B0140000}"/>
    <cellStyle name="20% - Accent3 2 3 4 2 4" xfId="32051" xr:uid="{00000000-0005-0000-0000-0000B1140000}"/>
    <cellStyle name="20% - Accent3 2 3 4 2 4 2" xfId="25080" xr:uid="{00000000-0005-0000-0000-0000B2140000}"/>
    <cellStyle name="20% - Accent3 2 3 4 2 5" xfId="31064" xr:uid="{00000000-0005-0000-0000-0000B3140000}"/>
    <cellStyle name="20% - Accent3 2 3 4 3" xfId="11126" xr:uid="{00000000-0005-0000-0000-0000B4140000}"/>
    <cellStyle name="20% - Accent3 2 3 4 3 2" xfId="24611" xr:uid="{00000000-0005-0000-0000-0000B5140000}"/>
    <cellStyle name="20% - Accent3 2 3 4 3 2 2" xfId="29510" xr:uid="{00000000-0005-0000-0000-0000B6140000}"/>
    <cellStyle name="20% - Accent3 2 3 4 3 2 2 2" xfId="23664" xr:uid="{00000000-0005-0000-0000-0000B7140000}"/>
    <cellStyle name="20% - Accent3 2 3 4 3 2 3" xfId="26957" xr:uid="{00000000-0005-0000-0000-0000B8140000}"/>
    <cellStyle name="20% - Accent3 2 3 4 3 3" xfId="24602" xr:uid="{00000000-0005-0000-0000-0000B9140000}"/>
    <cellStyle name="20% - Accent3 2 3 4 3 3 2" xfId="30812" xr:uid="{00000000-0005-0000-0000-0000BA140000}"/>
    <cellStyle name="20% - Accent3 2 3 4 3 4" xfId="33653" xr:uid="{00000000-0005-0000-0000-0000BB140000}"/>
    <cellStyle name="20% - Accent3 2 3 4 4" xfId="26953" xr:uid="{00000000-0005-0000-0000-0000BC140000}"/>
    <cellStyle name="20% - Accent3 2 3 4 4 2" xfId="24599" xr:uid="{00000000-0005-0000-0000-0000BD140000}"/>
    <cellStyle name="20% - Accent3 2 3 4 4 2 2" xfId="26450" xr:uid="{00000000-0005-0000-0000-0000BE140000}"/>
    <cellStyle name="20% - Accent3 2 3 4 4 3" xfId="31540" xr:uid="{00000000-0005-0000-0000-0000BF140000}"/>
    <cellStyle name="20% - Accent3 2 3 4 5" xfId="31699" xr:uid="{00000000-0005-0000-0000-0000C0140000}"/>
    <cellStyle name="20% - Accent3 2 3 4 5 2" xfId="31692" xr:uid="{00000000-0005-0000-0000-0000C1140000}"/>
    <cellStyle name="20% - Accent3 2 3 4 6" xfId="31670" xr:uid="{00000000-0005-0000-0000-0000C2140000}"/>
    <cellStyle name="20% - Accent3 2 3 5" xfId="13391" xr:uid="{00000000-0005-0000-0000-0000C3140000}"/>
    <cellStyle name="20% - Accent3 2 3 5 2" xfId="26948" xr:uid="{00000000-0005-0000-0000-0000C4140000}"/>
    <cellStyle name="20% - Accent3 2 3 5 2 2" xfId="24579" xr:uid="{00000000-0005-0000-0000-0000C5140000}"/>
    <cellStyle name="20% - Accent3 2 3 5 2 2 2" xfId="20087" xr:uid="{00000000-0005-0000-0000-0000C6140000}"/>
    <cellStyle name="20% - Accent3 2 3 5 2 2 2 2" xfId="22419" xr:uid="{00000000-0005-0000-0000-0000C7140000}"/>
    <cellStyle name="20% - Accent3 2 3 5 2 2 3" xfId="20078" xr:uid="{00000000-0005-0000-0000-0000C8140000}"/>
    <cellStyle name="20% - Accent3 2 3 5 2 3" xfId="31365" xr:uid="{00000000-0005-0000-0000-0000C9140000}"/>
    <cellStyle name="20% - Accent3 2 3 5 2 3 2" xfId="20053" xr:uid="{00000000-0005-0000-0000-0000CA140000}"/>
    <cellStyle name="20% - Accent3 2 3 5 2 4" xfId="15721" xr:uid="{00000000-0005-0000-0000-0000CB140000}"/>
    <cellStyle name="20% - Accent3 2 3 5 3" xfId="26946" xr:uid="{00000000-0005-0000-0000-0000CC140000}"/>
    <cellStyle name="20% - Accent3 2 3 5 3 2" xfId="24569" xr:uid="{00000000-0005-0000-0000-0000CD140000}"/>
    <cellStyle name="20% - Accent3 2 3 5 3 2 2" xfId="26944" xr:uid="{00000000-0005-0000-0000-0000CE140000}"/>
    <cellStyle name="20% - Accent3 2 3 5 3 3" xfId="31339" xr:uid="{00000000-0005-0000-0000-0000CF140000}"/>
    <cellStyle name="20% - Accent3 2 3 5 4" xfId="23423" xr:uid="{00000000-0005-0000-0000-0000D0140000}"/>
    <cellStyle name="20% - Accent3 2 3 5 4 2" xfId="26940" xr:uid="{00000000-0005-0000-0000-0000D1140000}"/>
    <cellStyle name="20% - Accent3 2 3 5 5" xfId="23417" xr:uid="{00000000-0005-0000-0000-0000D2140000}"/>
    <cellStyle name="20% - Accent3 2 3 6" xfId="27422" xr:uid="{00000000-0005-0000-0000-0000D3140000}"/>
    <cellStyle name="20% - Accent3 2 3 6 2" xfId="26936" xr:uid="{00000000-0005-0000-0000-0000D4140000}"/>
    <cellStyle name="20% - Accent3 2 3 6 2 2" xfId="24561" xr:uid="{00000000-0005-0000-0000-0000D5140000}"/>
    <cellStyle name="20% - Accent3 2 3 6 2 2 2" xfId="20011" xr:uid="{00000000-0005-0000-0000-0000D6140000}"/>
    <cellStyle name="20% - Accent3 2 3 6 2 3" xfId="28819" xr:uid="{00000000-0005-0000-0000-0000D7140000}"/>
    <cellStyle name="20% - Accent3 2 3 6 3" xfId="25509" xr:uid="{00000000-0005-0000-0000-0000D8140000}"/>
    <cellStyle name="20% - Accent3 2 3 6 3 2" xfId="19563" xr:uid="{00000000-0005-0000-0000-0000D9140000}"/>
    <cellStyle name="20% - Accent3 2 3 6 4" xfId="23409" xr:uid="{00000000-0005-0000-0000-0000DA140000}"/>
    <cellStyle name="20% - Accent3 2 3 7" xfId="27418" xr:uid="{00000000-0005-0000-0000-0000DB140000}"/>
    <cellStyle name="20% - Accent3 2 3 7 2" xfId="26177" xr:uid="{00000000-0005-0000-0000-0000DC140000}"/>
    <cellStyle name="20% - Accent3 2 3 7 2 2" xfId="18939" xr:uid="{00000000-0005-0000-0000-0000DD140000}"/>
    <cellStyle name="20% - Accent3 2 3 7 3" xfId="26914" xr:uid="{00000000-0005-0000-0000-0000DE140000}"/>
    <cellStyle name="20% - Accent3 2 3 8" xfId="7686" xr:uid="{00000000-0005-0000-0000-0000DF140000}"/>
    <cellStyle name="20% - Accent3 2 3 8 2" xfId="26905" xr:uid="{00000000-0005-0000-0000-0000E0140000}"/>
    <cellStyle name="20% - Accent3 2 3 9" xfId="25852" xr:uid="{00000000-0005-0000-0000-0000E1140000}"/>
    <cellStyle name="20% - Accent3 2 4" xfId="22603" xr:uid="{00000000-0005-0000-0000-0000E2140000}"/>
    <cellStyle name="20% - Accent3 2 4 2" xfId="28906" xr:uid="{00000000-0005-0000-0000-0000E3140000}"/>
    <cellStyle name="20% - Accent3 2 4 2 2" xfId="7584" xr:uid="{00000000-0005-0000-0000-0000E4140000}"/>
    <cellStyle name="20% - Accent3 2 4 2 2 2" xfId="32791" xr:uid="{00000000-0005-0000-0000-0000E5140000}"/>
    <cellStyle name="20% - Accent3 2 4 2 2 2 2" xfId="23656" xr:uid="{00000000-0005-0000-0000-0000E6140000}"/>
    <cellStyle name="20% - Accent3 2 4 2 2 2 2 2" xfId="22564" xr:uid="{00000000-0005-0000-0000-0000E7140000}"/>
    <cellStyle name="20% - Accent3 2 4 2 2 2 2 2 2" xfId="26898" xr:uid="{00000000-0005-0000-0000-0000E8140000}"/>
    <cellStyle name="20% - Accent3 2 4 2 2 2 2 2 2 2" xfId="30068" xr:uid="{00000000-0005-0000-0000-0000E9140000}"/>
    <cellStyle name="20% - Accent3 2 4 2 2 2 2 2 3" xfId="26894" xr:uid="{00000000-0005-0000-0000-0000EA140000}"/>
    <cellStyle name="20% - Accent3 2 4 2 2 2 2 3" xfId="19379" xr:uid="{00000000-0005-0000-0000-0000EB140000}"/>
    <cellStyle name="20% - Accent3 2 4 2 2 2 2 3 2" xfId="26900" xr:uid="{00000000-0005-0000-0000-0000EC140000}"/>
    <cellStyle name="20% - Accent3 2 4 2 2 2 2 4" xfId="19373" xr:uid="{00000000-0005-0000-0000-0000ED140000}"/>
    <cellStyle name="20% - Accent3 2 4 2 2 2 3" xfId="27542" xr:uid="{00000000-0005-0000-0000-0000EE140000}"/>
    <cellStyle name="20% - Accent3 2 4 2 2 2 3 2" xfId="26885" xr:uid="{00000000-0005-0000-0000-0000EF140000}"/>
    <cellStyle name="20% - Accent3 2 4 2 2 2 3 2 2" xfId="22138" xr:uid="{00000000-0005-0000-0000-0000F0140000}"/>
    <cellStyle name="20% - Accent3 2 4 2 2 2 3 3" xfId="26884" xr:uid="{00000000-0005-0000-0000-0000F1140000}"/>
    <cellStyle name="20% - Accent3 2 4 2 2 2 4" xfId="26881" xr:uid="{00000000-0005-0000-0000-0000F2140000}"/>
    <cellStyle name="20% - Accent3 2 4 2 2 2 4 2" xfId="33790" xr:uid="{00000000-0005-0000-0000-0000F3140000}"/>
    <cellStyle name="20% - Accent3 2 4 2 2 2 5" xfId="26876" xr:uid="{00000000-0005-0000-0000-0000F4140000}"/>
    <cellStyle name="20% - Accent3 2 4 2 2 3" xfId="32836" xr:uid="{00000000-0005-0000-0000-0000F5140000}"/>
    <cellStyle name="20% - Accent3 2 4 2 2 3 2" xfId="26872" xr:uid="{00000000-0005-0000-0000-0000F6140000}"/>
    <cellStyle name="20% - Accent3 2 4 2 2 3 2 2" xfId="26867" xr:uid="{00000000-0005-0000-0000-0000F7140000}"/>
    <cellStyle name="20% - Accent3 2 4 2 2 3 2 2 2" xfId="26864" xr:uid="{00000000-0005-0000-0000-0000F8140000}"/>
    <cellStyle name="20% - Accent3 2 4 2 2 3 2 3" xfId="19341" xr:uid="{00000000-0005-0000-0000-0000F9140000}"/>
    <cellStyle name="20% - Accent3 2 4 2 2 3 3" xfId="26863" xr:uid="{00000000-0005-0000-0000-0000FA140000}"/>
    <cellStyle name="20% - Accent3 2 4 2 2 3 3 2" xfId="26861" xr:uid="{00000000-0005-0000-0000-0000FB140000}"/>
    <cellStyle name="20% - Accent3 2 4 2 2 3 4" xfId="26860" xr:uid="{00000000-0005-0000-0000-0000FC140000}"/>
    <cellStyle name="20% - Accent3 2 4 2 2 4" xfId="26857" xr:uid="{00000000-0005-0000-0000-0000FD140000}"/>
    <cellStyle name="20% - Accent3 2 4 2 2 4 2" xfId="22499" xr:uid="{00000000-0005-0000-0000-0000FE140000}"/>
    <cellStyle name="20% - Accent3 2 4 2 2 4 2 2" xfId="26840" xr:uid="{00000000-0005-0000-0000-0000FF140000}"/>
    <cellStyle name="20% - Accent3 2 4 2 2 4 3" xfId="26839" xr:uid="{00000000-0005-0000-0000-000000150000}"/>
    <cellStyle name="20% - Accent3 2 4 2 2 5" xfId="26823" xr:uid="{00000000-0005-0000-0000-000001150000}"/>
    <cellStyle name="20% - Accent3 2 4 2 2 5 2" xfId="9406" xr:uid="{00000000-0005-0000-0000-000002150000}"/>
    <cellStyle name="20% - Accent3 2 4 2 2 6" xfId="29000" xr:uid="{00000000-0005-0000-0000-000003150000}"/>
    <cellStyle name="20% - Accent3 2 4 2 3" xfId="24401" xr:uid="{00000000-0005-0000-0000-000004150000}"/>
    <cellStyle name="20% - Accent3 2 4 2 3 2" xfId="33397" xr:uid="{00000000-0005-0000-0000-000005150000}"/>
    <cellStyle name="20% - Accent3 2 4 2 3 2 2" xfId="28774" xr:uid="{00000000-0005-0000-0000-000006150000}"/>
    <cellStyle name="20% - Accent3 2 4 2 3 2 2 2" xfId="26806" xr:uid="{00000000-0005-0000-0000-000007150000}"/>
    <cellStyle name="20% - Accent3 2 4 2 3 2 2 2 2" xfId="32214" xr:uid="{00000000-0005-0000-0000-000008150000}"/>
    <cellStyle name="20% - Accent3 2 4 2 3 2 2 3" xfId="12417" xr:uid="{00000000-0005-0000-0000-000009150000}"/>
    <cellStyle name="20% - Accent3 2 4 2 3 2 3" xfId="25962" xr:uid="{00000000-0005-0000-0000-00000A150000}"/>
    <cellStyle name="20% - Accent3 2 4 2 3 2 3 2" xfId="26803" xr:uid="{00000000-0005-0000-0000-00000B150000}"/>
    <cellStyle name="20% - Accent3 2 4 2 3 2 4" xfId="5470" xr:uid="{00000000-0005-0000-0000-00000C150000}"/>
    <cellStyle name="20% - Accent3 2 4 2 3 3" xfId="26799" xr:uid="{00000000-0005-0000-0000-00000D150000}"/>
    <cellStyle name="20% - Accent3 2 4 2 3 3 2" xfId="28754" xr:uid="{00000000-0005-0000-0000-00000E150000}"/>
    <cellStyle name="20% - Accent3 2 4 2 3 3 2 2" xfId="26797" xr:uid="{00000000-0005-0000-0000-00000F150000}"/>
    <cellStyle name="20% - Accent3 2 4 2 3 3 3" xfId="26796" xr:uid="{00000000-0005-0000-0000-000010150000}"/>
    <cellStyle name="20% - Accent3 2 4 2 3 4" xfId="26794" xr:uid="{00000000-0005-0000-0000-000011150000}"/>
    <cellStyle name="20% - Accent3 2 4 2 3 4 2" xfId="25004" xr:uid="{00000000-0005-0000-0000-000012150000}"/>
    <cellStyle name="20% - Accent3 2 4 2 3 5" xfId="26783" xr:uid="{00000000-0005-0000-0000-000013150000}"/>
    <cellStyle name="20% - Accent3 2 4 2 4" xfId="30872" xr:uid="{00000000-0005-0000-0000-000014150000}"/>
    <cellStyle name="20% - Accent3 2 4 2 4 2" xfId="26778" xr:uid="{00000000-0005-0000-0000-000015150000}"/>
    <cellStyle name="20% - Accent3 2 4 2 4 2 2" xfId="33603" xr:uid="{00000000-0005-0000-0000-000016150000}"/>
    <cellStyle name="20% - Accent3 2 4 2 4 2 2 2" xfId="26771" xr:uid="{00000000-0005-0000-0000-000017150000}"/>
    <cellStyle name="20% - Accent3 2 4 2 4 2 3" xfId="34048" xr:uid="{00000000-0005-0000-0000-000018150000}"/>
    <cellStyle name="20% - Accent3 2 4 2 4 3" xfId="26561" xr:uid="{00000000-0005-0000-0000-000019150000}"/>
    <cellStyle name="20% - Accent3 2 4 2 4 3 2" xfId="33865" xr:uid="{00000000-0005-0000-0000-00001A150000}"/>
    <cellStyle name="20% - Accent3 2 4 2 4 4" xfId="28975" xr:uid="{00000000-0005-0000-0000-00001B150000}"/>
    <cellStyle name="20% - Accent3 2 4 2 5" xfId="26769" xr:uid="{00000000-0005-0000-0000-00001C150000}"/>
    <cellStyle name="20% - Accent3 2 4 2 5 2" xfId="28189" xr:uid="{00000000-0005-0000-0000-00001D150000}"/>
    <cellStyle name="20% - Accent3 2 4 2 5 2 2" xfId="32863" xr:uid="{00000000-0005-0000-0000-00001E150000}"/>
    <cellStyle name="20% - Accent3 2 4 2 5 3" xfId="30181" xr:uid="{00000000-0005-0000-0000-00001F150000}"/>
    <cellStyle name="20% - Accent3 2 4 2 6" xfId="26768" xr:uid="{00000000-0005-0000-0000-000020150000}"/>
    <cellStyle name="20% - Accent3 2 4 2 6 2" xfId="26764" xr:uid="{00000000-0005-0000-0000-000021150000}"/>
    <cellStyle name="20% - Accent3 2 4 2 7" xfId="26755" xr:uid="{00000000-0005-0000-0000-000022150000}"/>
    <cellStyle name="20% - Accent3 2 4 3" xfId="28917" xr:uid="{00000000-0005-0000-0000-000023150000}"/>
    <cellStyle name="20% - Accent3 2 4 3 2" xfId="26753" xr:uid="{00000000-0005-0000-0000-000024150000}"/>
    <cellStyle name="20% - Accent3 2 4 3 2 2" xfId="29523" xr:uid="{00000000-0005-0000-0000-000025150000}"/>
    <cellStyle name="20% - Accent3 2 4 3 2 2 2" xfId="10055" xr:uid="{00000000-0005-0000-0000-000026150000}"/>
    <cellStyle name="20% - Accent3 2 4 3 2 2 2 2" xfId="29022" xr:uid="{00000000-0005-0000-0000-000027150000}"/>
    <cellStyle name="20% - Accent3 2 4 3 2 2 2 2 2" xfId="26976" xr:uid="{00000000-0005-0000-0000-000028150000}"/>
    <cellStyle name="20% - Accent3 2 4 3 2 2 2 3" xfId="20999" xr:uid="{00000000-0005-0000-0000-000029150000}"/>
    <cellStyle name="20% - Accent3 2 4 3 2 2 3" xfId="26750" xr:uid="{00000000-0005-0000-0000-00002A150000}"/>
    <cellStyle name="20% - Accent3 2 4 3 2 2 3 2" xfId="32510" xr:uid="{00000000-0005-0000-0000-00002B150000}"/>
    <cellStyle name="20% - Accent3 2 4 3 2 2 4" xfId="20443" xr:uid="{00000000-0005-0000-0000-00002C150000}"/>
    <cellStyle name="20% - Accent3 2 4 3 2 3" xfId="24511" xr:uid="{00000000-0005-0000-0000-00002D150000}"/>
    <cellStyle name="20% - Accent3 2 4 3 2 3 2" xfId="14696" xr:uid="{00000000-0005-0000-0000-00002E150000}"/>
    <cellStyle name="20% - Accent3 2 4 3 2 3 2 2" xfId="30210" xr:uid="{00000000-0005-0000-0000-00002F150000}"/>
    <cellStyle name="20% - Accent3 2 4 3 2 3 3" xfId="20434" xr:uid="{00000000-0005-0000-0000-000030150000}"/>
    <cellStyle name="20% - Accent3 2 4 3 2 4" xfId="24502" xr:uid="{00000000-0005-0000-0000-000031150000}"/>
    <cellStyle name="20% - Accent3 2 4 3 2 4 2" xfId="18861" xr:uid="{00000000-0005-0000-0000-000032150000}"/>
    <cellStyle name="20% - Accent3 2 4 3 2 5" xfId="26728" xr:uid="{00000000-0005-0000-0000-000033150000}"/>
    <cellStyle name="20% - Accent3 2 4 3 3" xfId="26716" xr:uid="{00000000-0005-0000-0000-000034150000}"/>
    <cellStyle name="20% - Accent3 2 4 3 3 2" xfId="24485" xr:uid="{00000000-0005-0000-0000-000035150000}"/>
    <cellStyle name="20% - Accent3 2 4 3 3 2 2" xfId="20754" xr:uid="{00000000-0005-0000-0000-000036150000}"/>
    <cellStyle name="20% - Accent3 2 4 3 3 2 2 2" xfId="31590" xr:uid="{00000000-0005-0000-0000-000037150000}"/>
    <cellStyle name="20% - Accent3 2 4 3 3 2 3" xfId="20745" xr:uid="{00000000-0005-0000-0000-000038150000}"/>
    <cellStyle name="20% - Accent3 2 4 3 3 3" xfId="24473" xr:uid="{00000000-0005-0000-0000-000039150000}"/>
    <cellStyle name="20% - Accent3 2 4 3 3 3 2" xfId="27115" xr:uid="{00000000-0005-0000-0000-00003A150000}"/>
    <cellStyle name="20% - Accent3 2 4 3 3 4" xfId="26702" xr:uid="{00000000-0005-0000-0000-00003B150000}"/>
    <cellStyle name="20% - Accent3 2 4 3 4" xfId="26691" xr:uid="{00000000-0005-0000-0000-00003C150000}"/>
    <cellStyle name="20% - Accent3 2 4 3 4 2" xfId="26688" xr:uid="{00000000-0005-0000-0000-00003D150000}"/>
    <cellStyle name="20% - Accent3 2 4 3 4 2 2" xfId="20740" xr:uid="{00000000-0005-0000-0000-00003E150000}"/>
    <cellStyle name="20% - Accent3 2 4 3 4 3" xfId="34110" xr:uid="{00000000-0005-0000-0000-00003F150000}"/>
    <cellStyle name="20% - Accent3 2 4 3 5" xfId="26680" xr:uid="{00000000-0005-0000-0000-000040150000}"/>
    <cellStyle name="20% - Accent3 2 4 3 5 2" xfId="26679" xr:uid="{00000000-0005-0000-0000-000041150000}"/>
    <cellStyle name="20% - Accent3 2 4 3 6" xfId="26671" xr:uid="{00000000-0005-0000-0000-000042150000}"/>
    <cellStyle name="20% - Accent3 2 4 4" xfId="26669" xr:uid="{00000000-0005-0000-0000-000043150000}"/>
    <cellStyle name="20% - Accent3 2 4 4 2" xfId="28930" xr:uid="{00000000-0005-0000-0000-000044150000}"/>
    <cellStyle name="20% - Accent3 2 4 4 2 2" xfId="24458" xr:uid="{00000000-0005-0000-0000-000045150000}"/>
    <cellStyle name="20% - Accent3 2 4 4 2 2 2" xfId="18671" xr:uid="{00000000-0005-0000-0000-000046150000}"/>
    <cellStyle name="20% - Accent3 2 4 4 2 2 2 2" xfId="28711" xr:uid="{00000000-0005-0000-0000-000047150000}"/>
    <cellStyle name="20% - Accent3 2 4 4 2 2 3" xfId="24711" xr:uid="{00000000-0005-0000-0000-000048150000}"/>
    <cellStyle name="20% - Accent3 2 4 4 2 3" xfId="24454" xr:uid="{00000000-0005-0000-0000-000049150000}"/>
    <cellStyle name="20% - Accent3 2 4 4 2 3 2" xfId="18657" xr:uid="{00000000-0005-0000-0000-00004A150000}"/>
    <cellStyle name="20% - Accent3 2 4 4 2 4" xfId="28870" xr:uid="{00000000-0005-0000-0000-00004B150000}"/>
    <cellStyle name="20% - Accent3 2 4 4 3" xfId="26651" xr:uid="{00000000-0005-0000-0000-00004C150000}"/>
    <cellStyle name="20% - Accent3 2 4 4 3 2" xfId="26649" xr:uid="{00000000-0005-0000-0000-00004D150000}"/>
    <cellStyle name="20% - Accent3 2 4 4 3 2 2" xfId="20730" xr:uid="{00000000-0005-0000-0000-00004E150000}"/>
    <cellStyle name="20% - Accent3 2 4 4 3 3" xfId="30678" xr:uid="{00000000-0005-0000-0000-00004F150000}"/>
    <cellStyle name="20% - Accent3 2 4 4 4" xfId="26636" xr:uid="{00000000-0005-0000-0000-000050150000}"/>
    <cellStyle name="20% - Accent3 2 4 4 4 2" xfId="26630" xr:uid="{00000000-0005-0000-0000-000051150000}"/>
    <cellStyle name="20% - Accent3 2 4 4 5" xfId="31613" xr:uid="{00000000-0005-0000-0000-000052150000}"/>
    <cellStyle name="20% - Accent3 2 4 5" xfId="18032" xr:uid="{00000000-0005-0000-0000-000053150000}"/>
    <cellStyle name="20% - Accent3 2 4 5 2" xfId="18026" xr:uid="{00000000-0005-0000-0000-000054150000}"/>
    <cellStyle name="20% - Accent3 2 4 5 2 2" xfId="18020" xr:uid="{00000000-0005-0000-0000-000055150000}"/>
    <cellStyle name="20% - Accent3 2 4 5 2 2 2" xfId="18554" xr:uid="{00000000-0005-0000-0000-000056150000}"/>
    <cellStyle name="20% - Accent3 2 4 5 2 3" xfId="30667" xr:uid="{00000000-0005-0000-0000-000057150000}"/>
    <cellStyle name="20% - Accent3 2 4 5 3" xfId="18014" xr:uid="{00000000-0005-0000-0000-000058150000}"/>
    <cellStyle name="20% - Accent3 2 4 5 3 2" xfId="26609" xr:uid="{00000000-0005-0000-0000-000059150000}"/>
    <cellStyle name="20% - Accent3 2 4 5 4" xfId="23394" xr:uid="{00000000-0005-0000-0000-00005A150000}"/>
    <cellStyle name="20% - Accent3 2 4 6" xfId="18010" xr:uid="{00000000-0005-0000-0000-00005B150000}"/>
    <cellStyle name="20% - Accent3 2 4 6 2" xfId="18007" xr:uid="{00000000-0005-0000-0000-00005C150000}"/>
    <cellStyle name="20% - Accent3 2 4 6 2 2" xfId="26595" xr:uid="{00000000-0005-0000-0000-00005D150000}"/>
    <cellStyle name="20% - Accent3 2 4 6 3" xfId="25776" xr:uid="{00000000-0005-0000-0000-00005E150000}"/>
    <cellStyle name="20% - Accent3 2 4 7" xfId="26591" xr:uid="{00000000-0005-0000-0000-00005F150000}"/>
    <cellStyle name="20% - Accent3 2 4 7 2" xfId="26584" xr:uid="{00000000-0005-0000-0000-000060150000}"/>
    <cellStyle name="20% - Accent3 2 4 8" xfId="30139" xr:uid="{00000000-0005-0000-0000-000061150000}"/>
    <cellStyle name="20% - Accent3 2 4 9" xfId="34758" xr:uid="{00000000-0005-0000-0000-000062150000}"/>
    <cellStyle name="20% - Accent3 2 5" xfId="30188" xr:uid="{00000000-0005-0000-0000-000063150000}"/>
    <cellStyle name="20% - Accent3 2 5 2" xfId="26579" xr:uid="{00000000-0005-0000-0000-000064150000}"/>
    <cellStyle name="20% - Accent3 2 5 2 2" xfId="12044" xr:uid="{00000000-0005-0000-0000-000065150000}"/>
    <cellStyle name="20% - Accent3 2 5 2 2 2" xfId="22418" xr:uid="{00000000-0005-0000-0000-000066150000}"/>
    <cellStyle name="20% - Accent3 2 5 2 2 2 2" xfId="26577" xr:uid="{00000000-0005-0000-0000-000067150000}"/>
    <cellStyle name="20% - Accent3 2 5 2 2 2 2 2" xfId="28812" xr:uid="{00000000-0005-0000-0000-000068150000}"/>
    <cellStyle name="20% - Accent3 2 5 2 2 2 2 2 2" xfId="28845" xr:uid="{00000000-0005-0000-0000-000069150000}"/>
    <cellStyle name="20% - Accent3 2 5 2 2 2 2 3" xfId="29017" xr:uid="{00000000-0005-0000-0000-00006A150000}"/>
    <cellStyle name="20% - Accent3 2 5 2 2 2 3" xfId="26574" xr:uid="{00000000-0005-0000-0000-00006B150000}"/>
    <cellStyle name="20% - Accent3 2 5 2 2 2 3 2" xfId="29007" xr:uid="{00000000-0005-0000-0000-00006C150000}"/>
    <cellStyle name="20% - Accent3 2 5 2 2 2 4" xfId="14476" xr:uid="{00000000-0005-0000-0000-00006D150000}"/>
    <cellStyle name="20% - Accent3 2 5 2 2 3" xfId="29003" xr:uid="{00000000-0005-0000-0000-00006E150000}"/>
    <cellStyle name="20% - Accent3 2 5 2 2 3 2" xfId="26571" xr:uid="{00000000-0005-0000-0000-00006F150000}"/>
    <cellStyle name="20% - Accent3 2 5 2 2 3 2 2" xfId="31599" xr:uid="{00000000-0005-0000-0000-000070150000}"/>
    <cellStyle name="20% - Accent3 2 5 2 2 3 3" xfId="26567" xr:uid="{00000000-0005-0000-0000-000071150000}"/>
    <cellStyle name="20% - Accent3 2 5 2 2 4" xfId="28703" xr:uid="{00000000-0005-0000-0000-000072150000}"/>
    <cellStyle name="20% - Accent3 2 5 2 2 4 2" xfId="26565" xr:uid="{00000000-0005-0000-0000-000073150000}"/>
    <cellStyle name="20% - Accent3 2 5 2 2 5" xfId="28697" xr:uid="{00000000-0005-0000-0000-000074150000}"/>
    <cellStyle name="20% - Accent3 2 5 2 3" xfId="29170" xr:uid="{00000000-0005-0000-0000-000075150000}"/>
    <cellStyle name="20% - Accent3 2 5 2 3 2" xfId="28989" xr:uid="{00000000-0005-0000-0000-000076150000}"/>
    <cellStyle name="20% - Accent3 2 5 2 3 2 2" xfId="28219" xr:uid="{00000000-0005-0000-0000-000077150000}"/>
    <cellStyle name="20% - Accent3 2 5 2 3 2 2 2" xfId="28988" xr:uid="{00000000-0005-0000-0000-000078150000}"/>
    <cellStyle name="20% - Accent3 2 5 2 3 2 3" xfId="26553" xr:uid="{00000000-0005-0000-0000-000079150000}"/>
    <cellStyle name="20% - Accent3 2 5 2 3 3" xfId="28987" xr:uid="{00000000-0005-0000-0000-00007A150000}"/>
    <cellStyle name="20% - Accent3 2 5 2 3 3 2" xfId="26551" xr:uid="{00000000-0005-0000-0000-00007B150000}"/>
    <cellStyle name="20% - Accent3 2 5 2 3 4" xfId="26550" xr:uid="{00000000-0005-0000-0000-00007C150000}"/>
    <cellStyle name="20% - Accent3 2 5 2 4" xfId="29174" xr:uid="{00000000-0005-0000-0000-00007D150000}"/>
    <cellStyle name="20% - Accent3 2 5 2 4 2" xfId="22688" xr:uid="{00000000-0005-0000-0000-00007E150000}"/>
    <cellStyle name="20% - Accent3 2 5 2 4 2 2" xfId="31476" xr:uid="{00000000-0005-0000-0000-00007F150000}"/>
    <cellStyle name="20% - Accent3 2 5 2 4 3" xfId="28977" xr:uid="{00000000-0005-0000-0000-000080150000}"/>
    <cellStyle name="20% - Accent3 2 5 2 5" xfId="30980" xr:uid="{00000000-0005-0000-0000-000081150000}"/>
    <cellStyle name="20% - Accent3 2 5 2 5 2" xfId="28965" xr:uid="{00000000-0005-0000-0000-000082150000}"/>
    <cellStyle name="20% - Accent3 2 5 2 6" xfId="26546" xr:uid="{00000000-0005-0000-0000-000083150000}"/>
    <cellStyle name="20% - Accent3 2 5 3" xfId="31970" xr:uid="{00000000-0005-0000-0000-000084150000}"/>
    <cellStyle name="20% - Accent3 2 5 3 2" xfId="29140" xr:uid="{00000000-0005-0000-0000-000085150000}"/>
    <cellStyle name="20% - Accent3 2 5 3 2 2" xfId="15757" xr:uid="{00000000-0005-0000-0000-000086150000}"/>
    <cellStyle name="20% - Accent3 2 5 3 2 2 2" xfId="18410" xr:uid="{00000000-0005-0000-0000-000087150000}"/>
    <cellStyle name="20% - Accent3 2 5 3 2 2 2 2" xfId="28918" xr:uid="{00000000-0005-0000-0000-000088150000}"/>
    <cellStyle name="20% - Accent3 2 5 3 2 2 3" xfId="15753" xr:uid="{00000000-0005-0000-0000-000089150000}"/>
    <cellStyle name="20% - Accent3 2 5 3 2 3" xfId="15751" xr:uid="{00000000-0005-0000-0000-00008A150000}"/>
    <cellStyle name="20% - Accent3 2 5 3 2 3 2" xfId="18403" xr:uid="{00000000-0005-0000-0000-00008B150000}"/>
    <cellStyle name="20% - Accent3 2 5 3 2 4" xfId="26533" xr:uid="{00000000-0005-0000-0000-00008C150000}"/>
    <cellStyle name="20% - Accent3 2 5 3 3" xfId="29133" xr:uid="{00000000-0005-0000-0000-00008D150000}"/>
    <cellStyle name="20% - Accent3 2 5 3 3 2" xfId="15678" xr:uid="{00000000-0005-0000-0000-00008E150000}"/>
    <cellStyle name="20% - Accent3 2 5 3 3 2 2" xfId="15676" xr:uid="{00000000-0005-0000-0000-00008F150000}"/>
    <cellStyle name="20% - Accent3 2 5 3 3 3" xfId="15673" xr:uid="{00000000-0005-0000-0000-000090150000}"/>
    <cellStyle name="20% - Accent3 2 5 3 4" xfId="22116" xr:uid="{00000000-0005-0000-0000-000091150000}"/>
    <cellStyle name="20% - Accent3 2 5 3 4 2" xfId="15638" xr:uid="{00000000-0005-0000-0000-000092150000}"/>
    <cellStyle name="20% - Accent3 2 5 3 5" xfId="26523" xr:uid="{00000000-0005-0000-0000-000093150000}"/>
    <cellStyle name="20% - Accent3 2 5 4" xfId="26521" xr:uid="{00000000-0005-0000-0000-000094150000}"/>
    <cellStyle name="20% - Accent3 2 5 4 2" xfId="17447" xr:uid="{00000000-0005-0000-0000-000095150000}"/>
    <cellStyle name="20% - Accent3 2 5 4 2 2" xfId="20521" xr:uid="{00000000-0005-0000-0000-000096150000}"/>
    <cellStyle name="20% - Accent3 2 5 4 2 2 2" xfId="11221" xr:uid="{00000000-0005-0000-0000-000097150000}"/>
    <cellStyle name="20% - Accent3 2 5 4 2 3" xfId="19005" xr:uid="{00000000-0005-0000-0000-000098150000}"/>
    <cellStyle name="20% - Accent3 2 5 4 3" xfId="19523" xr:uid="{00000000-0005-0000-0000-000099150000}"/>
    <cellStyle name="20% - Accent3 2 5 4 3 2" xfId="19001" xr:uid="{00000000-0005-0000-0000-00009A150000}"/>
    <cellStyle name="20% - Accent3 2 5 4 4" xfId="16183" xr:uid="{00000000-0005-0000-0000-00009B150000}"/>
    <cellStyle name="20% - Accent3 2 5 5" xfId="26513" xr:uid="{00000000-0005-0000-0000-00009C150000}"/>
    <cellStyle name="20% - Accent3 2 5 5 2" xfId="29085" xr:uid="{00000000-0005-0000-0000-00009D150000}"/>
    <cellStyle name="20% - Accent3 2 5 5 2 2" xfId="18993" xr:uid="{00000000-0005-0000-0000-00009E150000}"/>
    <cellStyle name="20% - Accent3 2 5 5 3" xfId="16171" xr:uid="{00000000-0005-0000-0000-00009F150000}"/>
    <cellStyle name="20% - Accent3 2 5 6" xfId="26500" xr:uid="{00000000-0005-0000-0000-0000A0150000}"/>
    <cellStyle name="20% - Accent3 2 5 6 2" xfId="16163" xr:uid="{00000000-0005-0000-0000-0000A1150000}"/>
    <cellStyle name="20% - Accent3 2 5 7" xfId="32317" xr:uid="{00000000-0005-0000-0000-0000A2150000}"/>
    <cellStyle name="20% - Accent3 2 5 8" xfId="34948" xr:uid="{00000000-0005-0000-0000-0000A3150000}"/>
    <cellStyle name="20% - Accent3 2 6" xfId="26493" xr:uid="{00000000-0005-0000-0000-0000A4150000}"/>
    <cellStyle name="20% - Accent3 2 6 2" xfId="18880" xr:uid="{00000000-0005-0000-0000-0000A5150000}"/>
    <cellStyle name="20% - Accent3 2 6 2 2" xfId="26856" xr:uid="{00000000-0005-0000-0000-0000A6150000}"/>
    <cellStyle name="20% - Accent3 2 6 2 2 2" xfId="20216" xr:uid="{00000000-0005-0000-0000-0000A7150000}"/>
    <cellStyle name="20% - Accent3 2 6 2 2 2 2" xfId="28630" xr:uid="{00000000-0005-0000-0000-0000A8150000}"/>
    <cellStyle name="20% - Accent3 2 6 2 2 2 2 2" xfId="13521" xr:uid="{00000000-0005-0000-0000-0000A9150000}"/>
    <cellStyle name="20% - Accent3 2 6 2 2 2 3" xfId="26491" xr:uid="{00000000-0005-0000-0000-0000AA150000}"/>
    <cellStyle name="20% - Accent3 2 6 2 2 3" xfId="26834" xr:uid="{00000000-0005-0000-0000-0000AB150000}"/>
    <cellStyle name="20% - Accent3 2 6 2 2 3 2" xfId="26486" xr:uid="{00000000-0005-0000-0000-0000AC150000}"/>
    <cellStyle name="20% - Accent3 2 6 2 2 4" xfId="26480" xr:uid="{00000000-0005-0000-0000-0000AD150000}"/>
    <cellStyle name="20% - Accent3 2 6 2 3" xfId="26822" xr:uid="{00000000-0005-0000-0000-0000AE150000}"/>
    <cellStyle name="20% - Accent3 2 6 2 3 2" xfId="26812" xr:uid="{00000000-0005-0000-0000-0000AF150000}"/>
    <cellStyle name="20% - Accent3 2 6 2 3 2 2" xfId="26473" xr:uid="{00000000-0005-0000-0000-0000B0150000}"/>
    <cellStyle name="20% - Accent3 2 6 2 3 3" xfId="26471" xr:uid="{00000000-0005-0000-0000-0000B1150000}"/>
    <cellStyle name="20% - Accent3 2 6 2 4" xfId="29002" xr:uid="{00000000-0005-0000-0000-0000B2150000}"/>
    <cellStyle name="20% - Accent3 2 6 2 4 2" xfId="26465" xr:uid="{00000000-0005-0000-0000-0000B3150000}"/>
    <cellStyle name="20% - Accent3 2 6 2 5" xfId="26462" xr:uid="{00000000-0005-0000-0000-0000B4150000}"/>
    <cellStyle name="20% - Accent3 2 6 3" xfId="17940" xr:uid="{00000000-0005-0000-0000-0000B5150000}"/>
    <cellStyle name="20% - Accent3 2 6 3 2" xfId="26793" xr:uid="{00000000-0005-0000-0000-0000B6150000}"/>
    <cellStyle name="20% - Accent3 2 6 3 2 2" xfId="24397" xr:uid="{00000000-0005-0000-0000-0000B7150000}"/>
    <cellStyle name="20% - Accent3 2 6 3 2 2 2" xfId="18248" xr:uid="{00000000-0005-0000-0000-0000B8150000}"/>
    <cellStyle name="20% - Accent3 2 6 3 2 3" xfId="24987" xr:uid="{00000000-0005-0000-0000-0000B9150000}"/>
    <cellStyle name="20% - Accent3 2 6 3 3" xfId="26781" xr:uid="{00000000-0005-0000-0000-0000BA150000}"/>
    <cellStyle name="20% - Accent3 2 6 3 3 2" xfId="24944" xr:uid="{00000000-0005-0000-0000-0000BB150000}"/>
    <cellStyle name="20% - Accent3 2 6 3 4" xfId="28334" xr:uid="{00000000-0005-0000-0000-0000BC150000}"/>
    <cellStyle name="20% - Accent3 2 6 4" xfId="23660" xr:uid="{00000000-0005-0000-0000-0000BD150000}"/>
    <cellStyle name="20% - Accent3 2 6 4 2" xfId="19507" xr:uid="{00000000-0005-0000-0000-0000BE150000}"/>
    <cellStyle name="20% - Accent3 2 6 4 2 2" xfId="20554" xr:uid="{00000000-0005-0000-0000-0000BF150000}"/>
    <cellStyle name="20% - Accent3 2 6 4 3" xfId="16749" xr:uid="{00000000-0005-0000-0000-0000C0150000}"/>
    <cellStyle name="20% - Accent3 2 6 5" xfId="26458" xr:uid="{00000000-0005-0000-0000-0000C1150000}"/>
    <cellStyle name="20% - Accent3 2 6 5 2" xfId="16139" xr:uid="{00000000-0005-0000-0000-0000C2150000}"/>
    <cellStyle name="20% - Accent3 2 6 6" xfId="26451" xr:uid="{00000000-0005-0000-0000-0000C3150000}"/>
    <cellStyle name="20% - Accent3 2 6 7" xfId="35153" xr:uid="{00000000-0005-0000-0000-0000C4150000}"/>
    <cellStyle name="20% - Accent3 2 7" xfId="25762" xr:uid="{00000000-0005-0000-0000-0000C5150000}"/>
    <cellStyle name="20% - Accent3 2 7 2" xfId="17936" xr:uid="{00000000-0005-0000-0000-0000C6150000}"/>
    <cellStyle name="20% - Accent3 2 7 2 2" xfId="28911" xr:uid="{00000000-0005-0000-0000-0000C7150000}"/>
    <cellStyle name="20% - Accent3 2 7 2 2 2" xfId="18116" xr:uid="{00000000-0005-0000-0000-0000C8150000}"/>
    <cellStyle name="20% - Accent3 2 7 2 2 2 2" xfId="26446" xr:uid="{00000000-0005-0000-0000-0000C9150000}"/>
    <cellStyle name="20% - Accent3 2 7 2 2 3" xfId="28562" xr:uid="{00000000-0005-0000-0000-0000CA150000}"/>
    <cellStyle name="20% - Accent3 2 7 2 3" xfId="26724" xr:uid="{00000000-0005-0000-0000-0000CB150000}"/>
    <cellStyle name="20% - Accent3 2 7 2 3 2" xfId="17749" xr:uid="{00000000-0005-0000-0000-0000CC150000}"/>
    <cellStyle name="20% - Accent3 2 7 2 4" xfId="26439" xr:uid="{00000000-0005-0000-0000-0000CD150000}"/>
    <cellStyle name="20% - Accent3 2 7 3" xfId="26438" xr:uid="{00000000-0005-0000-0000-0000CE150000}"/>
    <cellStyle name="20% - Accent3 2 7 3 2" xfId="26700" xr:uid="{00000000-0005-0000-0000-0000CF150000}"/>
    <cellStyle name="20% - Accent3 2 7 3 2 2" xfId="26436" xr:uid="{00000000-0005-0000-0000-0000D0150000}"/>
    <cellStyle name="20% - Accent3 2 7 3 3" xfId="26432" xr:uid="{00000000-0005-0000-0000-0000D1150000}"/>
    <cellStyle name="20% - Accent3 2 7 4" xfId="26431" xr:uid="{00000000-0005-0000-0000-0000D2150000}"/>
    <cellStyle name="20% - Accent3 2 7 4 2" xfId="26428" xr:uid="{00000000-0005-0000-0000-0000D3150000}"/>
    <cellStyle name="20% - Accent3 2 7 5" xfId="11008" xr:uid="{00000000-0005-0000-0000-0000D4150000}"/>
    <cellStyle name="20% - Accent3 2 7 6" xfId="35382" xr:uid="{00000000-0005-0000-0000-0000D5150000}"/>
    <cellStyle name="20% - Accent3 2 8" xfId="29810" xr:uid="{00000000-0005-0000-0000-0000D6150000}"/>
    <cellStyle name="20% - Accent3 2 8 2" xfId="26417" xr:uid="{00000000-0005-0000-0000-0000D7150000}"/>
    <cellStyle name="20% - Accent3 2 8 2 2" xfId="28872" xr:uid="{00000000-0005-0000-0000-0000D8150000}"/>
    <cellStyle name="20% - Accent3 2 8 2 2 2" xfId="26415" xr:uid="{00000000-0005-0000-0000-0000D9150000}"/>
    <cellStyle name="20% - Accent3 2 8 2 3" xfId="30392" xr:uid="{00000000-0005-0000-0000-0000DA150000}"/>
    <cellStyle name="20% - Accent3 2 8 3" xfId="26408" xr:uid="{00000000-0005-0000-0000-0000DB150000}"/>
    <cellStyle name="20% - Accent3 2 8 3 2" xfId="26406" xr:uid="{00000000-0005-0000-0000-0000DC150000}"/>
    <cellStyle name="20% - Accent3 2 8 4" xfId="26405" xr:uid="{00000000-0005-0000-0000-0000DD150000}"/>
    <cellStyle name="20% - Accent3 2 8 5" xfId="36254" xr:uid="{00000000-0005-0000-0000-0000DE150000}"/>
    <cellStyle name="20% - Accent3 2 9" xfId="26404" xr:uid="{00000000-0005-0000-0000-0000DF150000}"/>
    <cellStyle name="20% - Accent3 2 9 2" xfId="22794" xr:uid="{00000000-0005-0000-0000-0000E0150000}"/>
    <cellStyle name="20% - Accent3 2 9 2 2" xfId="29586" xr:uid="{00000000-0005-0000-0000-0000E1150000}"/>
    <cellStyle name="20% - Accent3 2 9 3" xfId="6558" xr:uid="{00000000-0005-0000-0000-0000E2150000}"/>
    <cellStyle name="20% - Accent3 2 9 4" xfId="36540" xr:uid="{00000000-0005-0000-0000-0000E3150000}"/>
    <cellStyle name="20% - Accent3 20" xfId="35704" xr:uid="{00000000-0005-0000-0000-0000E4150000}"/>
    <cellStyle name="20% - Accent3 20 2" xfId="36873" xr:uid="{00000000-0005-0000-0000-0000E5150000}"/>
    <cellStyle name="20% - Accent3 20 3" xfId="37764" xr:uid="{00000000-0005-0000-0000-0000E6150000}"/>
    <cellStyle name="20% - Accent3 21" xfId="35723" xr:uid="{00000000-0005-0000-0000-0000E7150000}"/>
    <cellStyle name="20% - Accent3 21 2" xfId="36893" xr:uid="{00000000-0005-0000-0000-0000E8150000}"/>
    <cellStyle name="20% - Accent3 21 3" xfId="37784" xr:uid="{00000000-0005-0000-0000-0000E9150000}"/>
    <cellStyle name="20% - Accent3 22" xfId="35742" xr:uid="{00000000-0005-0000-0000-0000EA150000}"/>
    <cellStyle name="20% - Accent3 22 2" xfId="36913" xr:uid="{00000000-0005-0000-0000-0000EB150000}"/>
    <cellStyle name="20% - Accent3 22 3" xfId="37804" xr:uid="{00000000-0005-0000-0000-0000EC150000}"/>
    <cellStyle name="20% - Accent3 23" xfId="35762" xr:uid="{00000000-0005-0000-0000-0000ED150000}"/>
    <cellStyle name="20% - Accent3 23 2" xfId="36932" xr:uid="{00000000-0005-0000-0000-0000EE150000}"/>
    <cellStyle name="20% - Accent3 23 3" xfId="37824" xr:uid="{00000000-0005-0000-0000-0000EF150000}"/>
    <cellStyle name="20% - Accent3 24" xfId="35782" xr:uid="{00000000-0005-0000-0000-0000F0150000}"/>
    <cellStyle name="20% - Accent3 24 2" xfId="36951" xr:uid="{00000000-0005-0000-0000-0000F1150000}"/>
    <cellStyle name="20% - Accent3 24 3" xfId="37844" xr:uid="{00000000-0005-0000-0000-0000F2150000}"/>
    <cellStyle name="20% - Accent3 25" xfId="35801" xr:uid="{00000000-0005-0000-0000-0000F3150000}"/>
    <cellStyle name="20% - Accent3 25 2" xfId="36971" xr:uid="{00000000-0005-0000-0000-0000F4150000}"/>
    <cellStyle name="20% - Accent3 25 3" xfId="37864" xr:uid="{00000000-0005-0000-0000-0000F5150000}"/>
    <cellStyle name="20% - Accent3 26" xfId="35820" xr:uid="{00000000-0005-0000-0000-0000F6150000}"/>
    <cellStyle name="20% - Accent3 26 2" xfId="36991" xr:uid="{00000000-0005-0000-0000-0000F7150000}"/>
    <cellStyle name="20% - Accent3 26 3" xfId="37884" xr:uid="{00000000-0005-0000-0000-0000F8150000}"/>
    <cellStyle name="20% - Accent3 27" xfId="35839" xr:uid="{00000000-0005-0000-0000-0000F9150000}"/>
    <cellStyle name="20% - Accent3 27 2" xfId="37011" xr:uid="{00000000-0005-0000-0000-0000FA150000}"/>
    <cellStyle name="20% - Accent3 27 3" xfId="37904" xr:uid="{00000000-0005-0000-0000-0000FB150000}"/>
    <cellStyle name="20% - Accent3 28" xfId="35858" xr:uid="{00000000-0005-0000-0000-0000FC150000}"/>
    <cellStyle name="20% - Accent3 28 2" xfId="37031" xr:uid="{00000000-0005-0000-0000-0000FD150000}"/>
    <cellStyle name="20% - Accent3 28 3" xfId="37924" xr:uid="{00000000-0005-0000-0000-0000FE150000}"/>
    <cellStyle name="20% - Accent3 29" xfId="35873" xr:uid="{00000000-0005-0000-0000-0000FF150000}"/>
    <cellStyle name="20% - Accent3 29 2" xfId="37045" xr:uid="{00000000-0005-0000-0000-000000160000}"/>
    <cellStyle name="20% - Accent3 29 3" xfId="37939" xr:uid="{00000000-0005-0000-0000-000001160000}"/>
    <cellStyle name="20% - Accent3 3" xfId="104" xr:uid="{00000000-0005-0000-0000-000002160000}"/>
    <cellStyle name="20% - Accent3 3 10" xfId="28478" xr:uid="{00000000-0005-0000-0000-000003160000}"/>
    <cellStyle name="20% - Accent3 3 10 2" xfId="37444" xr:uid="{00000000-0005-0000-0000-000004160000}"/>
    <cellStyle name="20% - Accent3 3 11" xfId="34458" xr:uid="{00000000-0005-0000-0000-000005160000}"/>
    <cellStyle name="20% - Accent3 3 12" xfId="26842" xr:uid="{00000000-0005-0000-0000-000006160000}"/>
    <cellStyle name="20% - Accent3 3 2" xfId="165" xr:uid="{00000000-0005-0000-0000-000007160000}"/>
    <cellStyle name="20% - Accent3 3 2 10" xfId="34511" xr:uid="{00000000-0005-0000-0000-000008160000}"/>
    <cellStyle name="20% - Accent3 3 2 11" xfId="32991" xr:uid="{00000000-0005-0000-0000-000009160000}"/>
    <cellStyle name="20% - Accent3 3 2 2" xfId="32987" xr:uid="{00000000-0005-0000-0000-00000A160000}"/>
    <cellStyle name="20% - Accent3 3 2 2 2" xfId="32201" xr:uid="{00000000-0005-0000-0000-00000B160000}"/>
    <cellStyle name="20% - Accent3 3 2 2 2 2" xfId="17477" xr:uid="{00000000-0005-0000-0000-00000C160000}"/>
    <cellStyle name="20% - Accent3 3 2 2 2 2 2" xfId="17607" xr:uid="{00000000-0005-0000-0000-00000D160000}"/>
    <cellStyle name="20% - Accent3 3 2 2 2 2 2 2" xfId="26399" xr:uid="{00000000-0005-0000-0000-00000E160000}"/>
    <cellStyle name="20% - Accent3 3 2 2 2 2 2 2 2" xfId="29454" xr:uid="{00000000-0005-0000-0000-00000F160000}"/>
    <cellStyle name="20% - Accent3 3 2 2 2 2 2 2 2 2" xfId="26398" xr:uid="{00000000-0005-0000-0000-000010160000}"/>
    <cellStyle name="20% - Accent3 3 2 2 2 2 2 2 2 2 2" xfId="26394" xr:uid="{00000000-0005-0000-0000-000011160000}"/>
    <cellStyle name="20% - Accent3 3 2 2 2 2 2 2 2 3" xfId="26393" xr:uid="{00000000-0005-0000-0000-000012160000}"/>
    <cellStyle name="20% - Accent3 3 2 2 2 2 2 2 3" xfId="34367" xr:uid="{00000000-0005-0000-0000-000013160000}"/>
    <cellStyle name="20% - Accent3 3 2 2 2 2 2 2 3 2" xfId="26390" xr:uid="{00000000-0005-0000-0000-000014160000}"/>
    <cellStyle name="20% - Accent3 3 2 2 2 2 2 2 4" xfId="30572" xr:uid="{00000000-0005-0000-0000-000015160000}"/>
    <cellStyle name="20% - Accent3 3 2 2 2 2 2 3" xfId="33806" xr:uid="{00000000-0005-0000-0000-000016160000}"/>
    <cellStyle name="20% - Accent3 3 2 2 2 2 2 3 2" xfId="16686" xr:uid="{00000000-0005-0000-0000-000017160000}"/>
    <cellStyle name="20% - Accent3 3 2 2 2 2 2 3 2 2" xfId="5723" xr:uid="{00000000-0005-0000-0000-000018160000}"/>
    <cellStyle name="20% - Accent3 3 2 2 2 2 2 3 3" xfId="13349" xr:uid="{00000000-0005-0000-0000-000019160000}"/>
    <cellStyle name="20% - Accent3 3 2 2 2 2 2 4" xfId="30154" xr:uid="{00000000-0005-0000-0000-00001A160000}"/>
    <cellStyle name="20% - Accent3 3 2 2 2 2 2 4 2" xfId="13340" xr:uid="{00000000-0005-0000-0000-00001B160000}"/>
    <cellStyle name="20% - Accent3 3 2 2 2 2 2 5" xfId="26384" xr:uid="{00000000-0005-0000-0000-00001C160000}"/>
    <cellStyle name="20% - Accent3 3 2 2 2 2 3" xfId="18822" xr:uid="{00000000-0005-0000-0000-00001D160000}"/>
    <cellStyle name="20% - Accent3 3 2 2 2 2 3 2" xfId="34065" xr:uid="{00000000-0005-0000-0000-00001E160000}"/>
    <cellStyle name="20% - Accent3 3 2 2 2 2 3 2 2" xfId="7558" xr:uid="{00000000-0005-0000-0000-00001F160000}"/>
    <cellStyle name="20% - Accent3 3 2 2 2 2 3 2 2 2" xfId="26381" xr:uid="{00000000-0005-0000-0000-000020160000}"/>
    <cellStyle name="20% - Accent3 3 2 2 2 2 3 2 3" xfId="29697" xr:uid="{00000000-0005-0000-0000-000021160000}"/>
    <cellStyle name="20% - Accent3 3 2 2 2 2 3 3" xfId="33420" xr:uid="{00000000-0005-0000-0000-000022160000}"/>
    <cellStyle name="20% - Accent3 3 2 2 2 2 3 3 2" xfId="13319" xr:uid="{00000000-0005-0000-0000-000023160000}"/>
    <cellStyle name="20% - Accent3 3 2 2 2 2 3 4" xfId="34326" xr:uid="{00000000-0005-0000-0000-000024160000}"/>
    <cellStyle name="20% - Accent3 3 2 2 2 2 4" xfId="26379" xr:uid="{00000000-0005-0000-0000-000025160000}"/>
    <cellStyle name="20% - Accent3 3 2 2 2 2 4 2" xfId="24024" xr:uid="{00000000-0005-0000-0000-000026160000}"/>
    <cellStyle name="20% - Accent3 3 2 2 2 2 4 2 2" xfId="24023" xr:uid="{00000000-0005-0000-0000-000027160000}"/>
    <cellStyle name="20% - Accent3 3 2 2 2 2 4 3" xfId="26303" xr:uid="{00000000-0005-0000-0000-000028160000}"/>
    <cellStyle name="20% - Accent3 3 2 2 2 2 5" xfId="20772" xr:uid="{00000000-0005-0000-0000-000029160000}"/>
    <cellStyle name="20% - Accent3 3 2 2 2 2 5 2" xfId="22509" xr:uid="{00000000-0005-0000-0000-00002A160000}"/>
    <cellStyle name="20% - Accent3 3 2 2 2 2 6" xfId="24010" xr:uid="{00000000-0005-0000-0000-00002B160000}"/>
    <cellStyle name="20% - Accent3 3 2 2 2 3" xfId="30426" xr:uid="{00000000-0005-0000-0000-00002C160000}"/>
    <cellStyle name="20% - Accent3 3 2 2 2 3 2" xfId="17589" xr:uid="{00000000-0005-0000-0000-00002D160000}"/>
    <cellStyle name="20% - Accent3 3 2 2 2 3 2 2" xfId="32421" xr:uid="{00000000-0005-0000-0000-00002E160000}"/>
    <cellStyle name="20% - Accent3 3 2 2 2 3 2 2 2" xfId="33951" xr:uid="{00000000-0005-0000-0000-00002F160000}"/>
    <cellStyle name="20% - Accent3 3 2 2 2 3 2 2 2 2" xfId="28130" xr:uid="{00000000-0005-0000-0000-000030160000}"/>
    <cellStyle name="20% - Accent3 3 2 2 2 3 2 2 3" xfId="33136" xr:uid="{00000000-0005-0000-0000-000031160000}"/>
    <cellStyle name="20% - Accent3 3 2 2 2 3 2 3" xfId="26524" xr:uid="{00000000-0005-0000-0000-000032160000}"/>
    <cellStyle name="20% - Accent3 3 2 2 2 3 2 3 2" xfId="13281" xr:uid="{00000000-0005-0000-0000-000033160000}"/>
    <cellStyle name="20% - Accent3 3 2 2 2 3 2 4" xfId="26376" xr:uid="{00000000-0005-0000-0000-000034160000}"/>
    <cellStyle name="20% - Accent3 3 2 2 2 3 3" xfId="29708" xr:uid="{00000000-0005-0000-0000-000035160000}"/>
    <cellStyle name="20% - Accent3 3 2 2 2 3 3 2" xfId="33839" xr:uid="{00000000-0005-0000-0000-000036160000}"/>
    <cellStyle name="20% - Accent3 3 2 2 2 3 3 2 2" xfId="29628" xr:uid="{00000000-0005-0000-0000-000037160000}"/>
    <cellStyle name="20% - Accent3 3 2 2 2 3 3 3" xfId="26374" xr:uid="{00000000-0005-0000-0000-000038160000}"/>
    <cellStyle name="20% - Accent3 3 2 2 2 3 4" xfId="24001" xr:uid="{00000000-0005-0000-0000-000039160000}"/>
    <cellStyle name="20% - Accent3 3 2 2 2 3 4 2" xfId="23996" xr:uid="{00000000-0005-0000-0000-00003A160000}"/>
    <cellStyle name="20% - Accent3 3 2 2 2 3 5" xfId="26911" xr:uid="{00000000-0005-0000-0000-00003B160000}"/>
    <cellStyle name="20% - Accent3 3 2 2 2 4" xfId="6930" xr:uid="{00000000-0005-0000-0000-00003C160000}"/>
    <cellStyle name="20% - Accent3 3 2 2 2 4 2" xfId="23604" xr:uid="{00000000-0005-0000-0000-00003D160000}"/>
    <cellStyle name="20% - Accent3 3 2 2 2 4 2 2" xfId="26368" xr:uid="{00000000-0005-0000-0000-00003E160000}"/>
    <cellStyle name="20% - Accent3 3 2 2 2 4 2 2 2" xfId="33565" xr:uid="{00000000-0005-0000-0000-00003F160000}"/>
    <cellStyle name="20% - Accent3 3 2 2 2 4 2 3" xfId="26365" xr:uid="{00000000-0005-0000-0000-000040160000}"/>
    <cellStyle name="20% - Accent3 3 2 2 2 4 3" xfId="21153" xr:uid="{00000000-0005-0000-0000-000041160000}"/>
    <cellStyle name="20% - Accent3 3 2 2 2 4 3 2" xfId="26364" xr:uid="{00000000-0005-0000-0000-000042160000}"/>
    <cellStyle name="20% - Accent3 3 2 2 2 4 4" xfId="23984" xr:uid="{00000000-0005-0000-0000-000043160000}"/>
    <cellStyle name="20% - Accent3 3 2 2 2 5" xfId="20387" xr:uid="{00000000-0005-0000-0000-000044160000}"/>
    <cellStyle name="20% - Accent3 3 2 2 2 5 2" xfId="8234" xr:uid="{00000000-0005-0000-0000-000045160000}"/>
    <cellStyle name="20% - Accent3 3 2 2 2 5 2 2" xfId="28244" xr:uid="{00000000-0005-0000-0000-000046160000}"/>
    <cellStyle name="20% - Accent3 3 2 2 2 5 3" xfId="8226" xr:uid="{00000000-0005-0000-0000-000047160000}"/>
    <cellStyle name="20% - Accent3 3 2 2 2 6" xfId="18593" xr:uid="{00000000-0005-0000-0000-000048160000}"/>
    <cellStyle name="20% - Accent3 3 2 2 2 6 2" xfId="8216" xr:uid="{00000000-0005-0000-0000-000049160000}"/>
    <cellStyle name="20% - Accent3 3 2 2 2 7" xfId="20274" xr:uid="{00000000-0005-0000-0000-00004A160000}"/>
    <cellStyle name="20% - Accent3 3 2 2 3" xfId="32186" xr:uid="{00000000-0005-0000-0000-00004B160000}"/>
    <cellStyle name="20% - Accent3 3 2 2 3 2" xfId="21890" xr:uid="{00000000-0005-0000-0000-00004C160000}"/>
    <cellStyle name="20% - Accent3 3 2 2 3 2 2" xfId="17564" xr:uid="{00000000-0005-0000-0000-00004D160000}"/>
    <cellStyle name="20% - Accent3 3 2 2 3 2 2 2" xfId="31687" xr:uid="{00000000-0005-0000-0000-00004E160000}"/>
    <cellStyle name="20% - Accent3 3 2 2 3 2 2 2 2" xfId="33897" xr:uid="{00000000-0005-0000-0000-00004F160000}"/>
    <cellStyle name="20% - Accent3 3 2 2 3 2 2 2 2 2" xfId="26352" xr:uid="{00000000-0005-0000-0000-000050160000}"/>
    <cellStyle name="20% - Accent3 3 2 2 3 2 2 2 3" xfId="32208" xr:uid="{00000000-0005-0000-0000-000051160000}"/>
    <cellStyle name="20% - Accent3 3 2 2 3 2 2 3" xfId="26463" xr:uid="{00000000-0005-0000-0000-000052160000}"/>
    <cellStyle name="20% - Accent3 3 2 2 3 2 2 3 2" xfId="13208" xr:uid="{00000000-0005-0000-0000-000053160000}"/>
    <cellStyle name="20% - Accent3 3 2 2 3 2 2 4" xfId="26350" xr:uid="{00000000-0005-0000-0000-000054160000}"/>
    <cellStyle name="20% - Accent3 3 2 2 3 2 3" xfId="27229" xr:uid="{00000000-0005-0000-0000-000055160000}"/>
    <cellStyle name="20% - Accent3 3 2 2 3 2 3 2" xfId="26348" xr:uid="{00000000-0005-0000-0000-000056160000}"/>
    <cellStyle name="20% - Accent3 3 2 2 3 2 3 2 2" xfId="29247" xr:uid="{00000000-0005-0000-0000-000057160000}"/>
    <cellStyle name="20% - Accent3 3 2 2 3 2 3 3" xfId="26346" xr:uid="{00000000-0005-0000-0000-000058160000}"/>
    <cellStyle name="20% - Accent3 3 2 2 3 2 4" xfId="23974" xr:uid="{00000000-0005-0000-0000-000059160000}"/>
    <cellStyle name="20% - Accent3 3 2 2 3 2 4 2" xfId="26345" xr:uid="{00000000-0005-0000-0000-00005A160000}"/>
    <cellStyle name="20% - Accent3 3 2 2 3 2 5" xfId="23380" xr:uid="{00000000-0005-0000-0000-00005B160000}"/>
    <cellStyle name="20% - Accent3 3 2 2 3 3" xfId="30882" xr:uid="{00000000-0005-0000-0000-00005C160000}"/>
    <cellStyle name="20% - Accent3 3 2 2 3 3 2" xfId="27221" xr:uid="{00000000-0005-0000-0000-00005D160000}"/>
    <cellStyle name="20% - Accent3 3 2 2 3 3 2 2" xfId="26343" xr:uid="{00000000-0005-0000-0000-00005E160000}"/>
    <cellStyle name="20% - Accent3 3 2 2 3 3 2 2 2" xfId="32776" xr:uid="{00000000-0005-0000-0000-00005F160000}"/>
    <cellStyle name="20% - Accent3 3 2 2 3 3 2 3" xfId="26340" xr:uid="{00000000-0005-0000-0000-000060160000}"/>
    <cellStyle name="20% - Accent3 3 2 2 3 3 3" xfId="27212" xr:uid="{00000000-0005-0000-0000-000061160000}"/>
    <cellStyle name="20% - Accent3 3 2 2 3 3 3 2" xfId="26339" xr:uid="{00000000-0005-0000-0000-000062160000}"/>
    <cellStyle name="20% - Accent3 3 2 2 3 3 4" xfId="23962" xr:uid="{00000000-0005-0000-0000-000063160000}"/>
    <cellStyle name="20% - Accent3 3 2 2 3 4" xfId="6927" xr:uid="{00000000-0005-0000-0000-000064160000}"/>
    <cellStyle name="20% - Accent3 3 2 2 3 4 2" xfId="25857" xr:uid="{00000000-0005-0000-0000-000065160000}"/>
    <cellStyle name="20% - Accent3 3 2 2 3 4 2 2" xfId="26333" xr:uid="{00000000-0005-0000-0000-000066160000}"/>
    <cellStyle name="20% - Accent3 3 2 2 3 4 3" xfId="26332" xr:uid="{00000000-0005-0000-0000-000067160000}"/>
    <cellStyle name="20% - Accent3 3 2 2 3 5" xfId="20250" xr:uid="{00000000-0005-0000-0000-000068160000}"/>
    <cellStyle name="20% - Accent3 3 2 2 3 5 2" xfId="8203" xr:uid="{00000000-0005-0000-0000-000069160000}"/>
    <cellStyle name="20% - Accent3 3 2 2 3 6" xfId="20213" xr:uid="{00000000-0005-0000-0000-00006A160000}"/>
    <cellStyle name="20% - Accent3 3 2 2 4" xfId="30854" xr:uid="{00000000-0005-0000-0000-00006B160000}"/>
    <cellStyle name="20% - Accent3 3 2 2 4 2" xfId="23865" xr:uid="{00000000-0005-0000-0000-00006C160000}"/>
    <cellStyle name="20% - Accent3 3 2 2 4 2 2" xfId="25391" xr:uid="{00000000-0005-0000-0000-00006D160000}"/>
    <cellStyle name="20% - Accent3 3 2 2 4 2 2 2" xfId="26324" xr:uid="{00000000-0005-0000-0000-00006E160000}"/>
    <cellStyle name="20% - Accent3 3 2 2 4 2 2 2 2" xfId="33598" xr:uid="{00000000-0005-0000-0000-00006F160000}"/>
    <cellStyle name="20% - Accent3 3 2 2 4 2 2 3" xfId="26323" xr:uid="{00000000-0005-0000-0000-000070160000}"/>
    <cellStyle name="20% - Accent3 3 2 2 4 2 3" xfId="27207" xr:uid="{00000000-0005-0000-0000-000071160000}"/>
    <cellStyle name="20% - Accent3 3 2 2 4 2 3 2" xfId="12784" xr:uid="{00000000-0005-0000-0000-000072160000}"/>
    <cellStyle name="20% - Accent3 3 2 2 4 2 4" xfId="23940" xr:uid="{00000000-0005-0000-0000-000073160000}"/>
    <cellStyle name="20% - Accent3 3 2 2 4 3" xfId="33678" xr:uid="{00000000-0005-0000-0000-000074160000}"/>
    <cellStyle name="20% - Accent3 3 2 2 4 3 2" xfId="26320" xr:uid="{00000000-0005-0000-0000-000075160000}"/>
    <cellStyle name="20% - Accent3 3 2 2 4 3 2 2" xfId="26319" xr:uid="{00000000-0005-0000-0000-000076160000}"/>
    <cellStyle name="20% - Accent3 3 2 2 4 3 3" xfId="28981" xr:uid="{00000000-0005-0000-0000-000077160000}"/>
    <cellStyle name="20% - Accent3 3 2 2 4 4" xfId="6924" xr:uid="{00000000-0005-0000-0000-000078160000}"/>
    <cellStyle name="20% - Accent3 3 2 2 4 4 2" xfId="26317" xr:uid="{00000000-0005-0000-0000-000079160000}"/>
    <cellStyle name="20% - Accent3 3 2 2 4 5" xfId="26314" xr:uid="{00000000-0005-0000-0000-00007A160000}"/>
    <cellStyle name="20% - Accent3 3 2 2 5" xfId="34258" xr:uid="{00000000-0005-0000-0000-00007B160000}"/>
    <cellStyle name="20% - Accent3 3 2 2 5 2" xfId="26307" xr:uid="{00000000-0005-0000-0000-00007C160000}"/>
    <cellStyle name="20% - Accent3 3 2 2 5 2 2" xfId="24589" xr:uid="{00000000-0005-0000-0000-00007D160000}"/>
    <cellStyle name="20% - Accent3 3 2 2 5 2 2 2" xfId="26306" xr:uid="{00000000-0005-0000-0000-00007E160000}"/>
    <cellStyle name="20% - Accent3 3 2 2 5 2 3" xfId="24580" xr:uid="{00000000-0005-0000-0000-00007F160000}"/>
    <cellStyle name="20% - Accent3 3 2 2 5 3" xfId="26302" xr:uid="{00000000-0005-0000-0000-000080160000}"/>
    <cellStyle name="20% - Accent3 3 2 2 5 3 2" xfId="24576" xr:uid="{00000000-0005-0000-0000-000081160000}"/>
    <cellStyle name="20% - Accent3 3 2 2 5 4" xfId="22601" xr:uid="{00000000-0005-0000-0000-000082160000}"/>
    <cellStyle name="20% - Accent3 3 2 2 6" xfId="32034" xr:uid="{00000000-0005-0000-0000-000083160000}"/>
    <cellStyle name="20% - Accent3 3 2 2 6 2" xfId="32027" xr:uid="{00000000-0005-0000-0000-000084160000}"/>
    <cellStyle name="20% - Accent3 3 2 2 6 2 2" xfId="24571" xr:uid="{00000000-0005-0000-0000-000085160000}"/>
    <cellStyle name="20% - Accent3 3 2 2 6 3" xfId="31997" xr:uid="{00000000-0005-0000-0000-000086160000}"/>
    <cellStyle name="20% - Accent3 3 2 2 7" xfId="31916" xr:uid="{00000000-0005-0000-0000-000087160000}"/>
    <cellStyle name="20% - Accent3 3 2 2 7 2" xfId="31906" xr:uid="{00000000-0005-0000-0000-000088160000}"/>
    <cellStyle name="20% - Accent3 3 2 2 8" xfId="31205" xr:uid="{00000000-0005-0000-0000-000089160000}"/>
    <cellStyle name="20% - Accent3 3 2 3" xfId="28058" xr:uid="{00000000-0005-0000-0000-00008A160000}"/>
    <cellStyle name="20% - Accent3 3 2 3 2" xfId="33049" xr:uid="{00000000-0005-0000-0000-00008B160000}"/>
    <cellStyle name="20% - Accent3 3 2 3 2 2" xfId="21878" xr:uid="{00000000-0005-0000-0000-00008C160000}"/>
    <cellStyle name="20% - Accent3 3 2 3 2 2 2" xfId="17493" xr:uid="{00000000-0005-0000-0000-00008D160000}"/>
    <cellStyle name="20% - Accent3 3 2 3 2 2 2 2" xfId="31568" xr:uid="{00000000-0005-0000-0000-00008E160000}"/>
    <cellStyle name="20% - Accent3 3 2 3 2 2 2 2 2" xfId="26530" xr:uid="{00000000-0005-0000-0000-00008F160000}"/>
    <cellStyle name="20% - Accent3 3 2 3 2 2 2 2 2 2" xfId="26300" xr:uid="{00000000-0005-0000-0000-000090160000}"/>
    <cellStyle name="20% - Accent3 3 2 3 2 2 2 2 3" xfId="33554" xr:uid="{00000000-0005-0000-0000-000091160000}"/>
    <cellStyle name="20% - Accent3 3 2 3 2 2 2 3" xfId="26298" xr:uid="{00000000-0005-0000-0000-000092160000}"/>
    <cellStyle name="20% - Accent3 3 2 3 2 2 2 3 2" xfId="22610" xr:uid="{00000000-0005-0000-0000-000093160000}"/>
    <cellStyle name="20% - Accent3 3 2 3 2 2 2 4" xfId="20871" xr:uid="{00000000-0005-0000-0000-000094160000}"/>
    <cellStyle name="20% - Accent3 3 2 3 2 2 3" xfId="26289" xr:uid="{00000000-0005-0000-0000-000095160000}"/>
    <cellStyle name="20% - Accent3 3 2 3 2 2 3 2" xfId="27357" xr:uid="{00000000-0005-0000-0000-000096160000}"/>
    <cellStyle name="20% - Accent3 3 2 3 2 2 3 2 2" xfId="26444" xr:uid="{00000000-0005-0000-0000-000097160000}"/>
    <cellStyle name="20% - Accent3 3 2 3 2 2 3 3" xfId="33177" xr:uid="{00000000-0005-0000-0000-000098160000}"/>
    <cellStyle name="20% - Accent3 3 2 3 2 2 4" xfId="23917" xr:uid="{00000000-0005-0000-0000-000099160000}"/>
    <cellStyle name="20% - Accent3 3 2 3 2 2 4 2" xfId="23914" xr:uid="{00000000-0005-0000-0000-00009A160000}"/>
    <cellStyle name="20% - Accent3 3 2 3 2 2 5" xfId="23902" xr:uid="{00000000-0005-0000-0000-00009B160000}"/>
    <cellStyle name="20% - Accent3 3 2 3 2 3" xfId="29726" xr:uid="{00000000-0005-0000-0000-00009C160000}"/>
    <cellStyle name="20% - Accent3 3 2 3 2 3 2" xfId="29635" xr:uid="{00000000-0005-0000-0000-00009D160000}"/>
    <cellStyle name="20% - Accent3 3 2 3 2 3 2 2" xfId="26286" xr:uid="{00000000-0005-0000-0000-00009E160000}"/>
    <cellStyle name="20% - Accent3 3 2 3 2 3 2 2 2" xfId="19093" xr:uid="{00000000-0005-0000-0000-00009F160000}"/>
    <cellStyle name="20% - Accent3 3 2 3 2 3 2 3" xfId="26283" xr:uid="{00000000-0005-0000-0000-0000A0160000}"/>
    <cellStyle name="20% - Accent3 3 2 3 2 3 3" xfId="26280" xr:uid="{00000000-0005-0000-0000-0000A1160000}"/>
    <cellStyle name="20% - Accent3 3 2 3 2 3 3 2" xfId="32271" xr:uid="{00000000-0005-0000-0000-0000A2160000}"/>
    <cellStyle name="20% - Accent3 3 2 3 2 3 4" xfId="23896" xr:uid="{00000000-0005-0000-0000-0000A3160000}"/>
    <cellStyle name="20% - Accent3 3 2 3 2 4" xfId="6921" xr:uid="{00000000-0005-0000-0000-0000A4160000}"/>
    <cellStyle name="20% - Accent3 3 2 3 2 4 2" xfId="25813" xr:uid="{00000000-0005-0000-0000-0000A5160000}"/>
    <cellStyle name="20% - Accent3 3 2 3 2 4 2 2" xfId="26279" xr:uid="{00000000-0005-0000-0000-0000A6160000}"/>
    <cellStyle name="20% - Accent3 3 2 3 2 4 3" xfId="26276" xr:uid="{00000000-0005-0000-0000-0000A7160000}"/>
    <cellStyle name="20% - Accent3 3 2 3 2 5" xfId="24322" xr:uid="{00000000-0005-0000-0000-0000A8160000}"/>
    <cellStyle name="20% - Accent3 3 2 3 2 5 2" xfId="24487" xr:uid="{00000000-0005-0000-0000-0000A9160000}"/>
    <cellStyle name="20% - Accent3 3 2 3 2 6" xfId="18217" xr:uid="{00000000-0005-0000-0000-0000AA160000}"/>
    <cellStyle name="20% - Accent3 3 2 3 3" xfId="31855" xr:uid="{00000000-0005-0000-0000-0000AB160000}"/>
    <cellStyle name="20% - Accent3 3 2 3 3 2" xfId="30870" xr:uid="{00000000-0005-0000-0000-0000AC160000}"/>
    <cellStyle name="20% - Accent3 3 2 3 3 2 2" xfId="26262" xr:uid="{00000000-0005-0000-0000-0000AD160000}"/>
    <cellStyle name="20% - Accent3 3 2 3 3 2 2 2" xfId="26261" xr:uid="{00000000-0005-0000-0000-0000AE160000}"/>
    <cellStyle name="20% - Accent3 3 2 3 3 2 2 2 2" xfId="33808" xr:uid="{00000000-0005-0000-0000-0000AF160000}"/>
    <cellStyle name="20% - Accent3 3 2 3 3 2 2 3" xfId="26259" xr:uid="{00000000-0005-0000-0000-0000B0160000}"/>
    <cellStyle name="20% - Accent3 3 2 3 3 2 3" xfId="27198" xr:uid="{00000000-0005-0000-0000-0000B1160000}"/>
    <cellStyle name="20% - Accent3 3 2 3 3 2 3 2" xfId="27257" xr:uid="{00000000-0005-0000-0000-0000B2160000}"/>
    <cellStyle name="20% - Accent3 3 2 3 3 2 4" xfId="23884" xr:uid="{00000000-0005-0000-0000-0000B3160000}"/>
    <cellStyle name="20% - Accent3 3 2 3 3 3" xfId="23891" xr:uid="{00000000-0005-0000-0000-0000B4160000}"/>
    <cellStyle name="20% - Accent3 3 2 3 3 3 2" xfId="21118" xr:uid="{00000000-0005-0000-0000-0000B5160000}"/>
    <cellStyle name="20% - Accent3 3 2 3 3 3 2 2" xfId="26250" xr:uid="{00000000-0005-0000-0000-0000B6160000}"/>
    <cellStyle name="20% - Accent3 3 2 3 3 3 3" xfId="26248" xr:uid="{00000000-0005-0000-0000-0000B7160000}"/>
    <cellStyle name="20% - Accent3 3 2 3 3 4" xfId="6915" xr:uid="{00000000-0005-0000-0000-0000B8160000}"/>
    <cellStyle name="20% - Accent3 3 2 3 3 4 2" xfId="26247" xr:uid="{00000000-0005-0000-0000-0000B9160000}"/>
    <cellStyle name="20% - Accent3 3 2 3 3 5" xfId="18130" xr:uid="{00000000-0005-0000-0000-0000BA160000}"/>
    <cellStyle name="20% - Accent3 3 2 3 4" xfId="30846" xr:uid="{00000000-0005-0000-0000-0000BB160000}"/>
    <cellStyle name="20% - Accent3 3 2 3 4 2" xfId="9323" xr:uid="{00000000-0005-0000-0000-0000BC160000}"/>
    <cellStyle name="20% - Accent3 3 2 3 4 2 2" xfId="26242" xr:uid="{00000000-0005-0000-0000-0000BD160000}"/>
    <cellStyle name="20% - Accent3 3 2 3 4 2 2 2" xfId="26239" xr:uid="{00000000-0005-0000-0000-0000BE160000}"/>
    <cellStyle name="20% - Accent3 3 2 3 4 2 3" xfId="26235" xr:uid="{00000000-0005-0000-0000-0000BF160000}"/>
    <cellStyle name="20% - Accent3 3 2 3 4 3" xfId="7439" xr:uid="{00000000-0005-0000-0000-0000C0160000}"/>
    <cellStyle name="20% - Accent3 3 2 3 4 3 2" xfId="26230" xr:uid="{00000000-0005-0000-0000-0000C1160000}"/>
    <cellStyle name="20% - Accent3 3 2 3 4 4" xfId="26226" xr:uid="{00000000-0005-0000-0000-0000C2160000}"/>
    <cellStyle name="20% - Accent3 3 2 3 5" xfId="34255" xr:uid="{00000000-0005-0000-0000-0000C3160000}"/>
    <cellStyle name="20% - Accent3 3 2 3 5 2" xfId="5499" xr:uid="{00000000-0005-0000-0000-0000C4160000}"/>
    <cellStyle name="20% - Accent3 3 2 3 5 2 2" xfId="24562" xr:uid="{00000000-0005-0000-0000-0000C5160000}"/>
    <cellStyle name="20% - Accent3 3 2 3 5 3" xfId="26221" xr:uid="{00000000-0005-0000-0000-0000C6160000}"/>
    <cellStyle name="20% - Accent3 3 2 3 6" xfId="31794" xr:uid="{00000000-0005-0000-0000-0000C7160000}"/>
    <cellStyle name="20% - Accent3 3 2 3 6 2" xfId="31788" xr:uid="{00000000-0005-0000-0000-0000C8160000}"/>
    <cellStyle name="20% - Accent3 3 2 3 7" xfId="31713" xr:uid="{00000000-0005-0000-0000-0000C9160000}"/>
    <cellStyle name="20% - Accent3 3 2 4" xfId="31850" xr:uid="{00000000-0005-0000-0000-0000CA160000}"/>
    <cellStyle name="20% - Accent3 3 2 4 2" xfId="29789" xr:uid="{00000000-0005-0000-0000-0000CB160000}"/>
    <cellStyle name="20% - Accent3 3 2 4 2 2" xfId="32435" xr:uid="{00000000-0005-0000-0000-0000CC160000}"/>
    <cellStyle name="20% - Accent3 3 2 4 2 2 2" xfId="26215" xr:uid="{00000000-0005-0000-0000-0000CD160000}"/>
    <cellStyle name="20% - Accent3 3 2 4 2 2 2 2" xfId="11323" xr:uid="{00000000-0005-0000-0000-0000CE160000}"/>
    <cellStyle name="20% - Accent3 3 2 4 2 2 2 2 2" xfId="26192" xr:uid="{00000000-0005-0000-0000-0000CF160000}"/>
    <cellStyle name="20% - Accent3 3 2 4 2 2 2 3" xfId="26214" xr:uid="{00000000-0005-0000-0000-0000D0160000}"/>
    <cellStyle name="20% - Accent3 3 2 4 2 2 3" xfId="26210" xr:uid="{00000000-0005-0000-0000-0000D1160000}"/>
    <cellStyle name="20% - Accent3 3 2 4 2 2 3 2" xfId="26994" xr:uid="{00000000-0005-0000-0000-0000D2160000}"/>
    <cellStyle name="20% - Accent3 3 2 4 2 2 4" xfId="26208" xr:uid="{00000000-0005-0000-0000-0000D3160000}"/>
    <cellStyle name="20% - Accent3 3 2 4 2 3" xfId="24262" xr:uid="{00000000-0005-0000-0000-0000D4160000}"/>
    <cellStyle name="20% - Accent3 3 2 4 2 3 2" xfId="26203" xr:uid="{00000000-0005-0000-0000-0000D5160000}"/>
    <cellStyle name="20% - Accent3 3 2 4 2 3 2 2" xfId="11187" xr:uid="{00000000-0005-0000-0000-0000D6160000}"/>
    <cellStyle name="20% - Accent3 3 2 4 2 3 3" xfId="28371" xr:uid="{00000000-0005-0000-0000-0000D7160000}"/>
    <cellStyle name="20% - Accent3 3 2 4 2 4" xfId="6911" xr:uid="{00000000-0005-0000-0000-0000D8160000}"/>
    <cellStyle name="20% - Accent3 3 2 4 2 4 2" xfId="21468" xr:uid="{00000000-0005-0000-0000-0000D9160000}"/>
    <cellStyle name="20% - Accent3 3 2 4 2 5" xfId="26193" xr:uid="{00000000-0005-0000-0000-0000DA160000}"/>
    <cellStyle name="20% - Accent3 3 2 4 3" xfId="26185" xr:uid="{00000000-0005-0000-0000-0000DB160000}"/>
    <cellStyle name="20% - Accent3 3 2 4 3 2" xfId="9305" xr:uid="{00000000-0005-0000-0000-0000DC160000}"/>
    <cellStyle name="20% - Accent3 3 2 4 3 2 2" xfId="26184" xr:uid="{00000000-0005-0000-0000-0000DD160000}"/>
    <cellStyle name="20% - Accent3 3 2 4 3 2 2 2" xfId="26182" xr:uid="{00000000-0005-0000-0000-0000DE160000}"/>
    <cellStyle name="20% - Accent3 3 2 4 3 2 3" xfId="26178" xr:uid="{00000000-0005-0000-0000-0000DF160000}"/>
    <cellStyle name="20% - Accent3 3 2 4 3 3" xfId="7432" xr:uid="{00000000-0005-0000-0000-0000E0160000}"/>
    <cellStyle name="20% - Accent3 3 2 4 3 3 2" xfId="26168" xr:uid="{00000000-0005-0000-0000-0000E1160000}"/>
    <cellStyle name="20% - Accent3 3 2 4 3 4" xfId="26163" xr:uid="{00000000-0005-0000-0000-0000E2160000}"/>
    <cellStyle name="20% - Accent3 3 2 4 4" xfId="26153" xr:uid="{00000000-0005-0000-0000-0000E3160000}"/>
    <cellStyle name="20% - Accent3 3 2 4 4 2" xfId="6054" xr:uid="{00000000-0005-0000-0000-0000E4160000}"/>
    <cellStyle name="20% - Accent3 3 2 4 4 2 2" xfId="13324" xr:uid="{00000000-0005-0000-0000-0000E5160000}"/>
    <cellStyle name="20% - Accent3 3 2 4 4 3" xfId="26151" xr:uid="{00000000-0005-0000-0000-0000E6160000}"/>
    <cellStyle name="20% - Accent3 3 2 4 5" xfId="26149" xr:uid="{00000000-0005-0000-0000-0000E7160000}"/>
    <cellStyle name="20% - Accent3 3 2 4 5 2" xfId="26147" xr:uid="{00000000-0005-0000-0000-0000E8160000}"/>
    <cellStyle name="20% - Accent3 3 2 4 6" xfId="31705" xr:uid="{00000000-0005-0000-0000-0000E9160000}"/>
    <cellStyle name="20% - Accent3 3 2 5" xfId="34402" xr:uid="{00000000-0005-0000-0000-0000EA160000}"/>
    <cellStyle name="20% - Accent3 3 2 5 2" xfId="26144" xr:uid="{00000000-0005-0000-0000-0000EB160000}"/>
    <cellStyle name="20% - Accent3 3 2 5 2 2" xfId="24207" xr:uid="{00000000-0005-0000-0000-0000EC160000}"/>
    <cellStyle name="20% - Accent3 3 2 5 2 2 2" xfId="20297" xr:uid="{00000000-0005-0000-0000-0000ED160000}"/>
    <cellStyle name="20% - Accent3 3 2 5 2 2 2 2" xfId="15284" xr:uid="{00000000-0005-0000-0000-0000EE160000}"/>
    <cellStyle name="20% - Accent3 3 2 5 2 2 3" xfId="26090" xr:uid="{00000000-0005-0000-0000-0000EF160000}"/>
    <cellStyle name="20% - Accent3 3 2 5 2 3" xfId="24199" xr:uid="{00000000-0005-0000-0000-0000F0160000}"/>
    <cellStyle name="20% - Accent3 3 2 5 2 3 2" xfId="26138" xr:uid="{00000000-0005-0000-0000-0000F1160000}"/>
    <cellStyle name="20% - Accent3 3 2 5 2 4" xfId="23650" xr:uid="{00000000-0005-0000-0000-0000F2160000}"/>
    <cellStyle name="20% - Accent3 3 2 5 3" xfId="26129" xr:uid="{00000000-0005-0000-0000-0000F3160000}"/>
    <cellStyle name="20% - Accent3 3 2 5 3 2" xfId="12625" xr:uid="{00000000-0005-0000-0000-0000F4160000}"/>
    <cellStyle name="20% - Accent3 3 2 5 3 2 2" xfId="26128" xr:uid="{00000000-0005-0000-0000-0000F5160000}"/>
    <cellStyle name="20% - Accent3 3 2 5 3 3" xfId="30098" xr:uid="{00000000-0005-0000-0000-0000F6160000}"/>
    <cellStyle name="20% - Accent3 3 2 5 4" xfId="26123" xr:uid="{00000000-0005-0000-0000-0000F7160000}"/>
    <cellStyle name="20% - Accent3 3 2 5 4 2" xfId="26117" xr:uid="{00000000-0005-0000-0000-0000F8160000}"/>
    <cellStyle name="20% - Accent3 3 2 5 5" xfId="23366" xr:uid="{00000000-0005-0000-0000-0000F9160000}"/>
    <cellStyle name="20% - Accent3 3 2 6" xfId="26110" xr:uid="{00000000-0005-0000-0000-0000FA160000}"/>
    <cellStyle name="20% - Accent3 3 2 6 2" xfId="34360" xr:uid="{00000000-0005-0000-0000-0000FB160000}"/>
    <cellStyle name="20% - Accent3 3 2 6 2 2" xfId="24179" xr:uid="{00000000-0005-0000-0000-0000FC160000}"/>
    <cellStyle name="20% - Accent3 3 2 6 2 2 2" xfId="20206" xr:uid="{00000000-0005-0000-0000-0000FD160000}"/>
    <cellStyle name="20% - Accent3 3 2 6 2 3" xfId="30070" xr:uid="{00000000-0005-0000-0000-0000FE160000}"/>
    <cellStyle name="20% - Accent3 3 2 6 3" xfId="26105" xr:uid="{00000000-0005-0000-0000-0000FF160000}"/>
    <cellStyle name="20% - Accent3 3 2 6 3 2" xfId="26100" xr:uid="{00000000-0005-0000-0000-000000170000}"/>
    <cellStyle name="20% - Accent3 3 2 6 4" xfId="5771" xr:uid="{00000000-0005-0000-0000-000001170000}"/>
    <cellStyle name="20% - Accent3 3 2 7" xfId="26092" xr:uid="{00000000-0005-0000-0000-000002170000}"/>
    <cellStyle name="20% - Accent3 3 2 7 2" xfId="26091" xr:uid="{00000000-0005-0000-0000-000003170000}"/>
    <cellStyle name="20% - Accent3 3 2 7 2 2" xfId="26085" xr:uid="{00000000-0005-0000-0000-000004170000}"/>
    <cellStyle name="20% - Accent3 3 2 7 3" xfId="26083" xr:uid="{00000000-0005-0000-0000-000005170000}"/>
    <cellStyle name="20% - Accent3 3 2 8" xfId="26078" xr:uid="{00000000-0005-0000-0000-000006170000}"/>
    <cellStyle name="20% - Accent3 3 2 8 2" xfId="28921" xr:uid="{00000000-0005-0000-0000-000007170000}"/>
    <cellStyle name="20% - Accent3 3 2 9" xfId="26076" xr:uid="{00000000-0005-0000-0000-000008170000}"/>
    <cellStyle name="20% - Accent3 3 3" xfId="226" xr:uid="{00000000-0005-0000-0000-000009170000}"/>
    <cellStyle name="20% - Accent3 3 3 10" xfId="22600" xr:uid="{00000000-0005-0000-0000-00000A170000}"/>
    <cellStyle name="20% - Accent3 3 3 2" xfId="26260" xr:uid="{00000000-0005-0000-0000-00000B170000}"/>
    <cellStyle name="20% - Accent3 3 3 2 2" xfId="25052" xr:uid="{00000000-0005-0000-0000-00000C170000}"/>
    <cellStyle name="20% - Accent3 3 3 2 2 2" xfId="21857" xr:uid="{00000000-0005-0000-0000-00000D170000}"/>
    <cellStyle name="20% - Accent3 3 3 2 2 2 2" xfId="17372" xr:uid="{00000000-0005-0000-0000-00000E170000}"/>
    <cellStyle name="20% - Accent3 3 3 2 2 2 2 2" xfId="26075" xr:uid="{00000000-0005-0000-0000-00000F170000}"/>
    <cellStyle name="20% - Accent3 3 3 2 2 2 2 2 2" xfId="32535" xr:uid="{00000000-0005-0000-0000-000010170000}"/>
    <cellStyle name="20% - Accent3 3 3 2 2 2 2 2 2 2" xfId="28287" xr:uid="{00000000-0005-0000-0000-000011170000}"/>
    <cellStyle name="20% - Accent3 3 3 2 2 2 2 2 3" xfId="32527" xr:uid="{00000000-0005-0000-0000-000012170000}"/>
    <cellStyle name="20% - Accent3 3 3 2 2 2 2 3" xfId="26072" xr:uid="{00000000-0005-0000-0000-000013170000}"/>
    <cellStyle name="20% - Accent3 3 3 2 2 2 2 3 2" xfId="16537" xr:uid="{00000000-0005-0000-0000-000014170000}"/>
    <cellStyle name="20% - Accent3 3 3 2 2 2 2 4" xfId="26070" xr:uid="{00000000-0005-0000-0000-000015170000}"/>
    <cellStyle name="20% - Accent3 3 3 2 2 2 3" xfId="20581" xr:uid="{00000000-0005-0000-0000-000016170000}"/>
    <cellStyle name="20% - Accent3 3 3 2 2 2 3 2" xfId="27263" xr:uid="{00000000-0005-0000-0000-000017170000}"/>
    <cellStyle name="20% - Accent3 3 3 2 2 2 3 2 2" xfId="21302" xr:uid="{00000000-0005-0000-0000-000018170000}"/>
    <cellStyle name="20% - Accent3 3 3 2 2 2 3 3" xfId="26068" xr:uid="{00000000-0005-0000-0000-000019170000}"/>
    <cellStyle name="20% - Accent3 3 3 2 2 2 4" xfId="11603" xr:uid="{00000000-0005-0000-0000-00001A170000}"/>
    <cellStyle name="20% - Accent3 3 3 2 2 2 4 2" xfId="26066" xr:uid="{00000000-0005-0000-0000-00001B170000}"/>
    <cellStyle name="20% - Accent3 3 3 2 2 2 5" xfId="25356" xr:uid="{00000000-0005-0000-0000-00001C170000}"/>
    <cellStyle name="20% - Accent3 3 3 2 2 3" xfId="28850" xr:uid="{00000000-0005-0000-0000-00001D170000}"/>
    <cellStyle name="20% - Accent3 3 3 2 2 3 2" xfId="17354" xr:uid="{00000000-0005-0000-0000-00001E170000}"/>
    <cellStyle name="20% - Accent3 3 3 2 2 3 2 2" xfId="26063" xr:uid="{00000000-0005-0000-0000-00001F170000}"/>
    <cellStyle name="20% - Accent3 3 3 2 2 3 2 2 2" xfId="23837" xr:uid="{00000000-0005-0000-0000-000020170000}"/>
    <cellStyle name="20% - Accent3 3 3 2 2 3 2 3" xfId="26060" xr:uid="{00000000-0005-0000-0000-000021170000}"/>
    <cellStyle name="20% - Accent3 3 3 2 2 3 3" xfId="29249" xr:uid="{00000000-0005-0000-0000-000022170000}"/>
    <cellStyle name="20% - Accent3 3 3 2 2 3 3 2" xfId="26058" xr:uid="{00000000-0005-0000-0000-000023170000}"/>
    <cellStyle name="20% - Accent3 3 3 2 2 3 4" xfId="26055" xr:uid="{00000000-0005-0000-0000-000024170000}"/>
    <cellStyle name="20% - Accent3 3 3 2 2 4" xfId="6811" xr:uid="{00000000-0005-0000-0000-000025170000}"/>
    <cellStyle name="20% - Accent3 3 3 2 2 4 2" xfId="28128" xr:uid="{00000000-0005-0000-0000-000026170000}"/>
    <cellStyle name="20% - Accent3 3 3 2 2 4 2 2" xfId="26048" xr:uid="{00000000-0005-0000-0000-000027170000}"/>
    <cellStyle name="20% - Accent3 3 3 2 2 4 3" xfId="11632" xr:uid="{00000000-0005-0000-0000-000028170000}"/>
    <cellStyle name="20% - Accent3 3 3 2 2 5" xfId="26236" xr:uid="{00000000-0005-0000-0000-000029170000}"/>
    <cellStyle name="20% - Accent3 3 3 2 2 5 2" xfId="22698" xr:uid="{00000000-0005-0000-0000-00002A170000}"/>
    <cellStyle name="20% - Accent3 3 3 2 2 6" xfId="26044" xr:uid="{00000000-0005-0000-0000-00002B170000}"/>
    <cellStyle name="20% - Accent3 3 3 2 3" xfId="31839" xr:uid="{00000000-0005-0000-0000-00002C170000}"/>
    <cellStyle name="20% - Accent3 3 3 2 3 2" xfId="28840" xr:uid="{00000000-0005-0000-0000-00002D170000}"/>
    <cellStyle name="20% - Accent3 3 3 2 3 2 2" xfId="17322" xr:uid="{00000000-0005-0000-0000-00002E170000}"/>
    <cellStyle name="20% - Accent3 3 3 2 3 2 2 2" xfId="28068" xr:uid="{00000000-0005-0000-0000-00002F170000}"/>
    <cellStyle name="20% - Accent3 3 3 2 3 2 2 2 2" xfId="32484" xr:uid="{00000000-0005-0000-0000-000030170000}"/>
    <cellStyle name="20% - Accent3 3 3 2 3 2 2 3" xfId="26040" xr:uid="{00000000-0005-0000-0000-000031170000}"/>
    <cellStyle name="20% - Accent3 3 3 2 3 2 3" xfId="13601" xr:uid="{00000000-0005-0000-0000-000032170000}"/>
    <cellStyle name="20% - Accent3 3 3 2 3 2 3 2" xfId="26039" xr:uid="{00000000-0005-0000-0000-000033170000}"/>
    <cellStyle name="20% - Accent3 3 3 2 3 2 4" xfId="5412" xr:uid="{00000000-0005-0000-0000-000034170000}"/>
    <cellStyle name="20% - Accent3 3 3 2 3 3" xfId="26038" xr:uid="{00000000-0005-0000-0000-000035170000}"/>
    <cellStyle name="20% - Accent3 3 3 2 3 3 2" xfId="28451" xr:uid="{00000000-0005-0000-0000-000036170000}"/>
    <cellStyle name="20% - Accent3 3 3 2 3 3 2 2" xfId="26037" xr:uid="{00000000-0005-0000-0000-000037170000}"/>
    <cellStyle name="20% - Accent3 3 3 2 3 3 3" xfId="13593" xr:uid="{00000000-0005-0000-0000-000038170000}"/>
    <cellStyle name="20% - Accent3 3 3 2 3 4" xfId="6806" xr:uid="{00000000-0005-0000-0000-000039170000}"/>
    <cellStyle name="20% - Accent3 3 3 2 3 4 2" xfId="27066" xr:uid="{00000000-0005-0000-0000-00003A170000}"/>
    <cellStyle name="20% - Accent3 3 3 2 3 5" xfId="26030" xr:uid="{00000000-0005-0000-0000-00003B170000}"/>
    <cellStyle name="20% - Accent3 3 3 2 4" xfId="30838" xr:uid="{00000000-0005-0000-0000-00003C170000}"/>
    <cellStyle name="20% - Accent3 3 3 2 4 2" xfId="28052" xr:uid="{00000000-0005-0000-0000-00003D170000}"/>
    <cellStyle name="20% - Accent3 3 3 2 4 2 2" xfId="13677" xr:uid="{00000000-0005-0000-0000-00003E170000}"/>
    <cellStyle name="20% - Accent3 3 3 2 4 2 2 2" xfId="26026" xr:uid="{00000000-0005-0000-0000-00003F170000}"/>
    <cellStyle name="20% - Accent3 3 3 2 4 2 3" xfId="13558" xr:uid="{00000000-0005-0000-0000-000040170000}"/>
    <cellStyle name="20% - Accent3 3 3 2 4 3" xfId="27107" xr:uid="{00000000-0005-0000-0000-000041170000}"/>
    <cellStyle name="20% - Accent3 3 3 2 4 3 2" xfId="26983" xr:uid="{00000000-0005-0000-0000-000042170000}"/>
    <cellStyle name="20% - Accent3 3 3 2 4 4" xfId="26025" xr:uid="{00000000-0005-0000-0000-000043170000}"/>
    <cellStyle name="20% - Accent3 3 3 2 5" xfId="26016" xr:uid="{00000000-0005-0000-0000-000044170000}"/>
    <cellStyle name="20% - Accent3 3 3 2 5 2" xfId="28034" xr:uid="{00000000-0005-0000-0000-000045170000}"/>
    <cellStyle name="20% - Accent3 3 3 2 5 2 2" xfId="24440" xr:uid="{00000000-0005-0000-0000-000046170000}"/>
    <cellStyle name="20% - Accent3 3 3 2 5 3" xfId="26015" xr:uid="{00000000-0005-0000-0000-000047170000}"/>
    <cellStyle name="20% - Accent3 3 3 2 6" xfId="33105" xr:uid="{00000000-0005-0000-0000-000048170000}"/>
    <cellStyle name="20% - Accent3 3 3 2 6 2" xfId="31247" xr:uid="{00000000-0005-0000-0000-000049170000}"/>
    <cellStyle name="20% - Accent3 3 3 2 7" xfId="31504" xr:uid="{00000000-0005-0000-0000-00004A170000}"/>
    <cellStyle name="20% - Accent3 3 3 3" xfId="26258" xr:uid="{00000000-0005-0000-0000-00004B170000}"/>
    <cellStyle name="20% - Accent3 3 3 3 2" xfId="31832" xr:uid="{00000000-0005-0000-0000-00004C170000}"/>
    <cellStyle name="20% - Accent3 3 3 3 2 2" xfId="28652" xr:uid="{00000000-0005-0000-0000-00004D170000}"/>
    <cellStyle name="20% - Accent3 3 3 3 2 2 2" xfId="9891" xr:uid="{00000000-0005-0000-0000-00004E170000}"/>
    <cellStyle name="20% - Accent3 3 3 3 2 2 2 2" xfId="25493" xr:uid="{00000000-0005-0000-0000-00004F170000}"/>
    <cellStyle name="20% - Accent3 3 3 3 2 2 2 2 2" xfId="31939" xr:uid="{00000000-0005-0000-0000-000050170000}"/>
    <cellStyle name="20% - Accent3 3 3 3 2 2 2 3" xfId="31942" xr:uid="{00000000-0005-0000-0000-000051170000}"/>
    <cellStyle name="20% - Accent3 3 3 3 2 2 3" xfId="26496" xr:uid="{00000000-0005-0000-0000-000052170000}"/>
    <cellStyle name="20% - Accent3 3 3 3 2 2 3 2" xfId="26257" xr:uid="{00000000-0005-0000-0000-000053170000}"/>
    <cellStyle name="20% - Accent3 3 3 3 2 2 4" xfId="26198" xr:uid="{00000000-0005-0000-0000-000054170000}"/>
    <cellStyle name="20% - Accent3 3 3 3 2 3" xfId="24158" xr:uid="{00000000-0005-0000-0000-000055170000}"/>
    <cellStyle name="20% - Accent3 3 3 3 2 3 2" xfId="26452" xr:uid="{00000000-0005-0000-0000-000056170000}"/>
    <cellStyle name="20% - Accent3 3 3 3 2 3 2 2" xfId="26014" xr:uid="{00000000-0005-0000-0000-000057170000}"/>
    <cellStyle name="20% - Accent3 3 3 3 2 3 3" xfId="26448" xr:uid="{00000000-0005-0000-0000-000058170000}"/>
    <cellStyle name="20% - Accent3 3 3 3 2 4" xfId="6804" xr:uid="{00000000-0005-0000-0000-000059170000}"/>
    <cellStyle name="20% - Accent3 3 3 3 2 4 2" xfId="26422" xr:uid="{00000000-0005-0000-0000-00005A170000}"/>
    <cellStyle name="20% - Accent3 3 3 3 2 5" xfId="26010" xr:uid="{00000000-0005-0000-0000-00005B170000}"/>
    <cellStyle name="20% - Accent3 3 3 3 3" xfId="26009" xr:uid="{00000000-0005-0000-0000-00005C170000}"/>
    <cellStyle name="20% - Accent3 3 3 3 3 2" xfId="5614" xr:uid="{00000000-0005-0000-0000-00005D170000}"/>
    <cellStyle name="20% - Accent3 3 3 3 3 2 2" xfId="26791" xr:uid="{00000000-0005-0000-0000-00005E170000}"/>
    <cellStyle name="20% - Accent3 3 3 3 3 2 2 2" xfId="26006" xr:uid="{00000000-0005-0000-0000-00005F170000}"/>
    <cellStyle name="20% - Accent3 3 3 3 3 2 3" xfId="13489" xr:uid="{00000000-0005-0000-0000-000060170000}"/>
    <cellStyle name="20% - Accent3 3 3 3 3 3" xfId="5612" xr:uid="{00000000-0005-0000-0000-000061170000}"/>
    <cellStyle name="20% - Accent3 3 3 3 3 3 2" xfId="29541" xr:uid="{00000000-0005-0000-0000-000062170000}"/>
    <cellStyle name="20% - Accent3 3 3 3 3 4" xfId="20796" xr:uid="{00000000-0005-0000-0000-000063170000}"/>
    <cellStyle name="20% - Accent3 3 3 3 4" xfId="26001" xr:uid="{00000000-0005-0000-0000-000064170000}"/>
    <cellStyle name="20% - Accent3 3 3 3 4 2" xfId="6751" xr:uid="{00000000-0005-0000-0000-000065170000}"/>
    <cellStyle name="20% - Accent3 3 3 3 4 2 2" xfId="26698" xr:uid="{00000000-0005-0000-0000-000066170000}"/>
    <cellStyle name="20% - Accent3 3 3 3 4 3" xfId="26000" xr:uid="{00000000-0005-0000-0000-000067170000}"/>
    <cellStyle name="20% - Accent3 3 3 3 5" xfId="25993" xr:uid="{00000000-0005-0000-0000-000068170000}"/>
    <cellStyle name="20% - Accent3 3 3 3 5 2" xfId="25992" xr:uid="{00000000-0005-0000-0000-000069170000}"/>
    <cellStyle name="20% - Accent3 3 3 3 6" xfId="31435" xr:uid="{00000000-0005-0000-0000-00006A170000}"/>
    <cellStyle name="20% - Accent3 3 3 4" xfId="33442" xr:uid="{00000000-0005-0000-0000-00006B170000}"/>
    <cellStyle name="20% - Accent3 3 3 4 2" xfId="25991" xr:uid="{00000000-0005-0000-0000-00006C170000}"/>
    <cellStyle name="20% - Accent3 3 3 4 2 2" xfId="24127" xr:uid="{00000000-0005-0000-0000-00006D170000}"/>
    <cellStyle name="20% - Accent3 3 3 4 2 2 2" xfId="25990" xr:uid="{00000000-0005-0000-0000-00006E170000}"/>
    <cellStyle name="20% - Accent3 3 3 4 2 2 2 2" xfId="8786" xr:uid="{00000000-0005-0000-0000-00006F170000}"/>
    <cellStyle name="20% - Accent3 3 3 4 2 2 3" xfId="24335" xr:uid="{00000000-0005-0000-0000-000070170000}"/>
    <cellStyle name="20% - Accent3 3 3 4 2 3" xfId="24120" xr:uid="{00000000-0005-0000-0000-000071170000}"/>
    <cellStyle name="20% - Accent3 3 3 4 2 3 2" xfId="25989" xr:uid="{00000000-0005-0000-0000-000072170000}"/>
    <cellStyle name="20% - Accent3 3 3 4 2 4" xfId="30780" xr:uid="{00000000-0005-0000-0000-000073170000}"/>
    <cellStyle name="20% - Accent3 3 3 4 3" xfId="25979" xr:uid="{00000000-0005-0000-0000-000074170000}"/>
    <cellStyle name="20% - Accent3 3 3 4 3 2" xfId="6561" xr:uid="{00000000-0005-0000-0000-000075170000}"/>
    <cellStyle name="20% - Accent3 3 3 4 3 2 2" xfId="26549" xr:uid="{00000000-0005-0000-0000-000076170000}"/>
    <cellStyle name="20% - Accent3 3 3 4 3 3" xfId="28972" xr:uid="{00000000-0005-0000-0000-000077170000}"/>
    <cellStyle name="20% - Accent3 3 3 4 4" xfId="25972" xr:uid="{00000000-0005-0000-0000-000078170000}"/>
    <cellStyle name="20% - Accent3 3 3 4 4 2" xfId="32913" xr:uid="{00000000-0005-0000-0000-000079170000}"/>
    <cellStyle name="20% - Accent3 3 3 4 5" xfId="31581" xr:uid="{00000000-0005-0000-0000-00007A170000}"/>
    <cellStyle name="20% - Accent3 3 3 5" xfId="13380" xr:uid="{00000000-0005-0000-0000-00007B170000}"/>
    <cellStyle name="20% - Accent3 3 3 5 2" xfId="25971" xr:uid="{00000000-0005-0000-0000-00007C170000}"/>
    <cellStyle name="20% - Accent3 3 3 5 2 2" xfId="21862" xr:uid="{00000000-0005-0000-0000-00007D170000}"/>
    <cellStyle name="20% - Accent3 3 3 5 2 2 2" xfId="17512" xr:uid="{00000000-0005-0000-0000-00007E170000}"/>
    <cellStyle name="20% - Accent3 3 3 5 2 3" xfId="23187" xr:uid="{00000000-0005-0000-0000-00007F170000}"/>
    <cellStyle name="20% - Accent3 3 3 5 3" xfId="25959" xr:uid="{00000000-0005-0000-0000-000080170000}"/>
    <cellStyle name="20% - Accent3 3 3 5 3 2" xfId="21855" xr:uid="{00000000-0005-0000-0000-000081170000}"/>
    <cellStyle name="20% - Accent3 3 3 5 4" xfId="25951" xr:uid="{00000000-0005-0000-0000-000082170000}"/>
    <cellStyle name="20% - Accent3 3 3 6" xfId="27411" xr:uid="{00000000-0005-0000-0000-000083170000}"/>
    <cellStyle name="20% - Accent3 3 3 6 2" xfId="25946" xr:uid="{00000000-0005-0000-0000-000084170000}"/>
    <cellStyle name="20% - Accent3 3 3 6 2 2" xfId="21843" xr:uid="{00000000-0005-0000-0000-000085170000}"/>
    <cellStyle name="20% - Accent3 3 3 6 3" xfId="25940" xr:uid="{00000000-0005-0000-0000-000086170000}"/>
    <cellStyle name="20% - Accent3 3 3 7" xfId="25939" xr:uid="{00000000-0005-0000-0000-000087170000}"/>
    <cellStyle name="20% - Accent3 3 3 7 2" xfId="25934" xr:uid="{00000000-0005-0000-0000-000088170000}"/>
    <cellStyle name="20% - Accent3 3 3 8" xfId="25932" xr:uid="{00000000-0005-0000-0000-000089170000}"/>
    <cellStyle name="20% - Accent3 3 3 9" xfId="34553" xr:uid="{00000000-0005-0000-0000-00008A170000}"/>
    <cellStyle name="20% - Accent3 3 4" xfId="31821" xr:uid="{00000000-0005-0000-0000-00008B170000}"/>
    <cellStyle name="20% - Accent3 3 4 2" xfId="27256" xr:uid="{00000000-0005-0000-0000-00008C170000}"/>
    <cellStyle name="20% - Accent3 3 4 2 2" xfId="31806" xr:uid="{00000000-0005-0000-0000-00008D170000}"/>
    <cellStyle name="20% - Accent3 3 4 2 2 2" xfId="33798" xr:uid="{00000000-0005-0000-0000-00008E170000}"/>
    <cellStyle name="20% - Accent3 3 4 2 2 2 2" xfId="17126" xr:uid="{00000000-0005-0000-0000-00008F170000}"/>
    <cellStyle name="20% - Accent3 3 4 2 2 2 2 2" xfId="8438" xr:uid="{00000000-0005-0000-0000-000090170000}"/>
    <cellStyle name="20% - Accent3 3 4 2 2 2 2 2 2" xfId="32873" xr:uid="{00000000-0005-0000-0000-000091170000}"/>
    <cellStyle name="20% - Accent3 3 4 2 2 2 2 3" xfId="8434" xr:uid="{00000000-0005-0000-0000-000092170000}"/>
    <cellStyle name="20% - Accent3 3 4 2 2 2 3" xfId="18659" xr:uid="{00000000-0005-0000-0000-000093170000}"/>
    <cellStyle name="20% - Accent3 3 4 2 2 2 3 2" xfId="8428" xr:uid="{00000000-0005-0000-0000-000094170000}"/>
    <cellStyle name="20% - Accent3 3 4 2 2 2 4" xfId="14151" xr:uid="{00000000-0005-0000-0000-000095170000}"/>
    <cellStyle name="20% - Accent3 3 4 2 2 3" xfId="25919" xr:uid="{00000000-0005-0000-0000-000096170000}"/>
    <cellStyle name="20% - Accent3 3 4 2 2 3 2" xfId="13528" xr:uid="{00000000-0005-0000-0000-000097170000}"/>
    <cellStyle name="20% - Accent3 3 4 2 2 3 2 2" xfId="8171" xr:uid="{00000000-0005-0000-0000-000098170000}"/>
    <cellStyle name="20% - Accent3 3 4 2 2 3 3" xfId="33294" xr:uid="{00000000-0005-0000-0000-000099170000}"/>
    <cellStyle name="20% - Accent3 3 4 2 2 4" xfId="9462" xr:uid="{00000000-0005-0000-0000-00009A170000}"/>
    <cellStyle name="20% - Accent3 3 4 2 2 4 2" xfId="25908" xr:uid="{00000000-0005-0000-0000-00009B170000}"/>
    <cellStyle name="20% - Accent3 3 4 2 2 5" xfId="25905" xr:uid="{00000000-0005-0000-0000-00009C170000}"/>
    <cellStyle name="20% - Accent3 3 4 2 3" xfId="27546" xr:uid="{00000000-0005-0000-0000-00009D170000}"/>
    <cellStyle name="20% - Accent3 3 4 2 3 2" xfId="25899" xr:uid="{00000000-0005-0000-0000-00009E170000}"/>
    <cellStyle name="20% - Accent3 3 4 2 3 2 2" xfId="13518" xr:uid="{00000000-0005-0000-0000-00009F170000}"/>
    <cellStyle name="20% - Accent3 3 4 2 3 2 2 2" xfId="23551" xr:uid="{00000000-0005-0000-0000-0000A0170000}"/>
    <cellStyle name="20% - Accent3 3 4 2 3 2 3" xfId="13333" xr:uid="{00000000-0005-0000-0000-0000A1170000}"/>
    <cellStyle name="20% - Accent3 3 4 2 3 3" xfId="25887" xr:uid="{00000000-0005-0000-0000-0000A2170000}"/>
    <cellStyle name="20% - Accent3 3 4 2 3 3 2" xfId="26024" xr:uid="{00000000-0005-0000-0000-0000A3170000}"/>
    <cellStyle name="20% - Accent3 3 4 2 3 4" xfId="25884" xr:uid="{00000000-0005-0000-0000-0000A4170000}"/>
    <cellStyle name="20% - Accent3 3 4 2 4" xfId="27543" xr:uid="{00000000-0005-0000-0000-0000A5170000}"/>
    <cellStyle name="20% - Accent3 3 4 2 4 2" xfId="27045" xr:uid="{00000000-0005-0000-0000-0000A6170000}"/>
    <cellStyle name="20% - Accent3 3 4 2 4 2 2" xfId="33045" xr:uid="{00000000-0005-0000-0000-0000A7170000}"/>
    <cellStyle name="20% - Accent3 3 4 2 4 3" xfId="27544" xr:uid="{00000000-0005-0000-0000-0000A8170000}"/>
    <cellStyle name="20% - Accent3 3 4 2 5" xfId="25880" xr:uid="{00000000-0005-0000-0000-0000A9170000}"/>
    <cellStyle name="20% - Accent3 3 4 2 5 2" xfId="27522" xr:uid="{00000000-0005-0000-0000-0000AA170000}"/>
    <cellStyle name="20% - Accent3 3 4 2 6" xfId="31322" xr:uid="{00000000-0005-0000-0000-0000AB170000}"/>
    <cellStyle name="20% - Accent3 3 4 3" xfId="33416" xr:uid="{00000000-0005-0000-0000-0000AC170000}"/>
    <cellStyle name="20% - Accent3 3 4 3 2" xfId="26901" xr:uid="{00000000-0005-0000-0000-0000AD170000}"/>
    <cellStyle name="20% - Accent3 3 4 3 2 2" xfId="21296" xr:uid="{00000000-0005-0000-0000-0000AE170000}"/>
    <cellStyle name="20% - Accent3 3 4 3 2 2 2" xfId="10777" xr:uid="{00000000-0005-0000-0000-0000AF170000}"/>
    <cellStyle name="20% - Accent3 3 4 3 2 2 2 2" xfId="6696" xr:uid="{00000000-0005-0000-0000-0000B0170000}"/>
    <cellStyle name="20% - Accent3 3 4 3 2 2 3" xfId="10775" xr:uid="{00000000-0005-0000-0000-0000B1170000}"/>
    <cellStyle name="20% - Accent3 3 4 3 2 3" xfId="23491" xr:uid="{00000000-0005-0000-0000-0000B2170000}"/>
    <cellStyle name="20% - Accent3 3 4 3 2 3 2" xfId="10771" xr:uid="{00000000-0005-0000-0000-0000B3170000}"/>
    <cellStyle name="20% - Accent3 3 4 3 2 4" xfId="21286" xr:uid="{00000000-0005-0000-0000-0000B4170000}"/>
    <cellStyle name="20% - Accent3 3 4 3 3" xfId="27537" xr:uid="{00000000-0005-0000-0000-0000B5170000}"/>
    <cellStyle name="20% - Accent3 3 4 3 3 2" xfId="6222" xr:uid="{00000000-0005-0000-0000-0000B6170000}"/>
    <cellStyle name="20% - Accent3 3 4 3 3 2 2" xfId="10768" xr:uid="{00000000-0005-0000-0000-0000B7170000}"/>
    <cellStyle name="20% - Accent3 3 4 3 3 3" xfId="7864" xr:uid="{00000000-0005-0000-0000-0000B8170000}"/>
    <cellStyle name="20% - Accent3 3 4 3 4" xfId="26877" xr:uid="{00000000-0005-0000-0000-0000B9170000}"/>
    <cellStyle name="20% - Accent3 3 4 3 4 2" xfId="24015" xr:uid="{00000000-0005-0000-0000-0000BA170000}"/>
    <cellStyle name="20% - Accent3 3 4 3 5" xfId="26873" xr:uid="{00000000-0005-0000-0000-0000BB170000}"/>
    <cellStyle name="20% - Accent3 3 4 4" xfId="33411" xr:uid="{00000000-0005-0000-0000-0000BC170000}"/>
    <cellStyle name="20% - Accent3 3 4 4 2" xfId="26870" xr:uid="{00000000-0005-0000-0000-0000BD170000}"/>
    <cellStyle name="20% - Accent3 3 4 4 2 2" xfId="23606" xr:uid="{00000000-0005-0000-0000-0000BE170000}"/>
    <cellStyle name="20% - Accent3 3 4 4 2 2 2" xfId="10760" xr:uid="{00000000-0005-0000-0000-0000BF170000}"/>
    <cellStyle name="20% - Accent3 3 4 4 2 3" xfId="23192" xr:uid="{00000000-0005-0000-0000-0000C0170000}"/>
    <cellStyle name="20% - Accent3 3 4 4 3" xfId="20912" xr:uid="{00000000-0005-0000-0000-0000C1170000}"/>
    <cellStyle name="20% - Accent3 3 4 4 3 2" xfId="25865" xr:uid="{00000000-0005-0000-0000-0000C2170000}"/>
    <cellStyle name="20% - Accent3 3 4 4 4" xfId="21002" xr:uid="{00000000-0005-0000-0000-0000C3170000}"/>
    <cellStyle name="20% - Accent3 3 4 5" xfId="26853" xr:uid="{00000000-0005-0000-0000-0000C4170000}"/>
    <cellStyle name="20% - Accent3 3 4 5 2" xfId="26848" xr:uid="{00000000-0005-0000-0000-0000C5170000}"/>
    <cellStyle name="20% - Accent3 3 4 5 2 2" xfId="25859" xr:uid="{00000000-0005-0000-0000-0000C6170000}"/>
    <cellStyle name="20% - Accent3 3 4 5 3" xfId="20728" xr:uid="{00000000-0005-0000-0000-0000C7170000}"/>
    <cellStyle name="20% - Accent3 3 4 6" xfId="24413" xr:uid="{00000000-0005-0000-0000-0000C8170000}"/>
    <cellStyle name="20% - Accent3 3 4 6 2" xfId="20722" xr:uid="{00000000-0005-0000-0000-0000C9170000}"/>
    <cellStyle name="20% - Accent3 3 4 7" xfId="7987" xr:uid="{00000000-0005-0000-0000-0000CA170000}"/>
    <cellStyle name="20% - Accent3 3 4 8" xfId="34775" xr:uid="{00000000-0005-0000-0000-0000CB170000}"/>
    <cellStyle name="20% - Accent3 3 5" xfId="29040" xr:uid="{00000000-0005-0000-0000-0000CC170000}"/>
    <cellStyle name="20% - Accent3 3 5 2" xfId="27671" xr:uid="{00000000-0005-0000-0000-0000CD170000}"/>
    <cellStyle name="20% - Accent3 3 5 2 2" xfId="12212" xr:uid="{00000000-0005-0000-0000-0000CE170000}"/>
    <cellStyle name="20% - Accent3 3 5 2 2 2" xfId="28325" xr:uid="{00000000-0005-0000-0000-0000CF170000}"/>
    <cellStyle name="20% - Accent3 3 5 2 2 2 2" xfId="13297" xr:uid="{00000000-0005-0000-0000-0000D0170000}"/>
    <cellStyle name="20% - Accent3 3 5 2 2 2 2 2" xfId="25843" xr:uid="{00000000-0005-0000-0000-0000D1170000}"/>
    <cellStyle name="20% - Accent3 3 5 2 2 2 3" xfId="10357" xr:uid="{00000000-0005-0000-0000-0000D2170000}"/>
    <cellStyle name="20% - Accent3 3 5 2 2 3" xfId="28317" xr:uid="{00000000-0005-0000-0000-0000D3170000}"/>
    <cellStyle name="20% - Accent3 3 5 2 2 3 2" xfId="10345" xr:uid="{00000000-0005-0000-0000-0000D4170000}"/>
    <cellStyle name="20% - Accent3 3 5 2 2 4" xfId="25838" xr:uid="{00000000-0005-0000-0000-0000D5170000}"/>
    <cellStyle name="20% - Accent3 3 5 2 3" xfId="12208" xr:uid="{00000000-0005-0000-0000-0000D6170000}"/>
    <cellStyle name="20% - Accent3 3 5 2 3 2" xfId="28299" xr:uid="{00000000-0005-0000-0000-0000D7170000}"/>
    <cellStyle name="20% - Accent3 3 5 2 3 2 2" xfId="25834" xr:uid="{00000000-0005-0000-0000-0000D8170000}"/>
    <cellStyle name="20% - Accent3 3 5 2 3 3" xfId="25827" xr:uid="{00000000-0005-0000-0000-0000D9170000}"/>
    <cellStyle name="20% - Accent3 3 5 2 4" xfId="12205" xr:uid="{00000000-0005-0000-0000-0000DA170000}"/>
    <cellStyle name="20% - Accent3 3 5 2 4 2" xfId="26295" xr:uid="{00000000-0005-0000-0000-0000DB170000}"/>
    <cellStyle name="20% - Accent3 3 5 2 5" xfId="25825" xr:uid="{00000000-0005-0000-0000-0000DC170000}"/>
    <cellStyle name="20% - Accent3 3 5 3" xfId="33396" xr:uid="{00000000-0005-0000-0000-0000DD170000}"/>
    <cellStyle name="20% - Accent3 3 5 3 2" xfId="12203" xr:uid="{00000000-0005-0000-0000-0000DE170000}"/>
    <cellStyle name="20% - Accent3 3 5 3 2 2" xfId="22823" xr:uid="{00000000-0005-0000-0000-0000DF170000}"/>
    <cellStyle name="20% - Accent3 3 5 3 2 2 2" xfId="9568" xr:uid="{00000000-0005-0000-0000-0000E0170000}"/>
    <cellStyle name="20% - Accent3 3 5 3 2 3" xfId="22812" xr:uid="{00000000-0005-0000-0000-0000E1170000}"/>
    <cellStyle name="20% - Accent3 3 5 3 3" xfId="12201" xr:uid="{00000000-0005-0000-0000-0000E2170000}"/>
    <cellStyle name="20% - Accent3 3 5 3 3 2" xfId="25819" xr:uid="{00000000-0005-0000-0000-0000E3170000}"/>
    <cellStyle name="20% - Accent3 3 5 3 4" xfId="26802" xr:uid="{00000000-0005-0000-0000-0000E4170000}"/>
    <cellStyle name="20% - Accent3 3 5 4" xfId="26798" xr:uid="{00000000-0005-0000-0000-0000E5170000}"/>
    <cellStyle name="20% - Accent3 3 5 4 2" xfId="19473" xr:uid="{00000000-0005-0000-0000-0000E6170000}"/>
    <cellStyle name="20% - Accent3 3 5 4 2 2" xfId="25815" xr:uid="{00000000-0005-0000-0000-0000E7170000}"/>
    <cellStyle name="20% - Accent3 3 5 4 3" xfId="16100" xr:uid="{00000000-0005-0000-0000-0000E8170000}"/>
    <cellStyle name="20% - Accent3 3 5 5" xfId="26789" xr:uid="{00000000-0005-0000-0000-0000E9170000}"/>
    <cellStyle name="20% - Accent3 3 5 5 2" xfId="20715" xr:uid="{00000000-0005-0000-0000-0000EA170000}"/>
    <cellStyle name="20% - Accent3 3 5 6" xfId="7983" xr:uid="{00000000-0005-0000-0000-0000EB170000}"/>
    <cellStyle name="20% - Accent3 3 5 7" xfId="34967" xr:uid="{00000000-0005-0000-0000-0000EC170000}"/>
    <cellStyle name="20% - Accent3 3 6" xfId="25755" xr:uid="{00000000-0005-0000-0000-0000ED170000}"/>
    <cellStyle name="20% - Accent3 3 6 2" xfId="31452" xr:uid="{00000000-0005-0000-0000-0000EE170000}"/>
    <cellStyle name="20% - Accent3 3 6 2 2" xfId="12198" xr:uid="{00000000-0005-0000-0000-0000EF170000}"/>
    <cellStyle name="20% - Accent3 3 6 2 2 2" xfId="26560" xr:uid="{00000000-0005-0000-0000-0000F0170000}"/>
    <cellStyle name="20% - Accent3 3 6 2 2 2 2" xfId="8041" xr:uid="{00000000-0005-0000-0000-0000F1170000}"/>
    <cellStyle name="20% - Accent3 3 6 2 2 3" xfId="25807" xr:uid="{00000000-0005-0000-0000-0000F2170000}"/>
    <cellStyle name="20% - Accent3 3 6 2 3" xfId="12191" xr:uid="{00000000-0005-0000-0000-0000F3170000}"/>
    <cellStyle name="20% - Accent3 3 6 2 3 2" xfId="25800" xr:uid="{00000000-0005-0000-0000-0000F4170000}"/>
    <cellStyle name="20% - Accent3 3 6 2 4" xfId="25796" xr:uid="{00000000-0005-0000-0000-0000F5170000}"/>
    <cellStyle name="20% - Accent3 3 6 3" xfId="26776" xr:uid="{00000000-0005-0000-0000-0000F6170000}"/>
    <cellStyle name="20% - Accent3 3 6 3 2" xfId="12188" xr:uid="{00000000-0005-0000-0000-0000F7170000}"/>
    <cellStyle name="20% - Accent3 3 6 3 2 2" xfId="22731" xr:uid="{00000000-0005-0000-0000-0000F8170000}"/>
    <cellStyle name="20% - Accent3 3 6 3 3" xfId="34047" xr:uid="{00000000-0005-0000-0000-0000F9170000}"/>
    <cellStyle name="20% - Accent3 3 6 4" xfId="29874" xr:uid="{00000000-0005-0000-0000-0000FA170000}"/>
    <cellStyle name="20% - Accent3 3 6 4 2" xfId="18477" xr:uid="{00000000-0005-0000-0000-0000FB170000}"/>
    <cellStyle name="20% - Accent3 3 6 5" xfId="29858" xr:uid="{00000000-0005-0000-0000-0000FC170000}"/>
    <cellStyle name="20% - Accent3 3 6 6" xfId="35172" xr:uid="{00000000-0005-0000-0000-0000FD170000}"/>
    <cellStyle name="20% - Accent3 3 7" xfId="8320" xr:uid="{00000000-0005-0000-0000-0000FE170000}"/>
    <cellStyle name="20% - Accent3 3 7 2" xfId="25795" xr:uid="{00000000-0005-0000-0000-0000FF170000}"/>
    <cellStyle name="20% - Accent3 3 7 2 2" xfId="19863" xr:uid="{00000000-0005-0000-0000-000000180000}"/>
    <cellStyle name="20% - Accent3 3 7 2 2 2" xfId="25792" xr:uid="{00000000-0005-0000-0000-000001180000}"/>
    <cellStyle name="20% - Accent3 3 7 2 3" xfId="25788" xr:uid="{00000000-0005-0000-0000-000002180000}"/>
    <cellStyle name="20% - Accent3 3 7 3" xfId="24858" xr:uid="{00000000-0005-0000-0000-000003180000}"/>
    <cellStyle name="20% - Accent3 3 7 3 2" xfId="21106" xr:uid="{00000000-0005-0000-0000-000004180000}"/>
    <cellStyle name="20% - Accent3 3 7 4" xfId="24827" xr:uid="{00000000-0005-0000-0000-000005180000}"/>
    <cellStyle name="20% - Accent3 3 7 5" xfId="35401" xr:uid="{00000000-0005-0000-0000-000006180000}"/>
    <cellStyle name="20% - Accent3 3 8" xfId="23059" xr:uid="{00000000-0005-0000-0000-000007180000}"/>
    <cellStyle name="20% - Accent3 3 8 2" xfId="24817" xr:uid="{00000000-0005-0000-0000-000008180000}"/>
    <cellStyle name="20% - Accent3 3 8 2 2" xfId="25783" xr:uid="{00000000-0005-0000-0000-000009180000}"/>
    <cellStyle name="20% - Accent3 3 8 3" xfId="26761" xr:uid="{00000000-0005-0000-0000-00000A180000}"/>
    <cellStyle name="20% - Accent3 3 8 4" xfId="36273" xr:uid="{00000000-0005-0000-0000-00000B180000}"/>
    <cellStyle name="20% - Accent3 3 9" xfId="25780" xr:uid="{00000000-0005-0000-0000-00000C180000}"/>
    <cellStyle name="20% - Accent3 3 9 2" xfId="6689" xr:uid="{00000000-0005-0000-0000-00000D180000}"/>
    <cellStyle name="20% - Accent3 3 9 3" xfId="36559" xr:uid="{00000000-0005-0000-0000-00000E180000}"/>
    <cellStyle name="20% - Accent3 30" xfId="35898" xr:uid="{00000000-0005-0000-0000-00000F180000}"/>
    <cellStyle name="20% - Accent3 30 2" xfId="37070" xr:uid="{00000000-0005-0000-0000-000010180000}"/>
    <cellStyle name="20% - Accent3 30 3" xfId="37965" xr:uid="{00000000-0005-0000-0000-000011180000}"/>
    <cellStyle name="20% - Accent3 31" xfId="35918" xr:uid="{00000000-0005-0000-0000-000012180000}"/>
    <cellStyle name="20% - Accent3 31 2" xfId="37089" xr:uid="{00000000-0005-0000-0000-000013180000}"/>
    <cellStyle name="20% - Accent3 31 3" xfId="37985" xr:uid="{00000000-0005-0000-0000-000014180000}"/>
    <cellStyle name="20% - Accent3 32" xfId="35938" xr:uid="{00000000-0005-0000-0000-000015180000}"/>
    <cellStyle name="20% - Accent3 32 2" xfId="37108" xr:uid="{00000000-0005-0000-0000-000016180000}"/>
    <cellStyle name="20% - Accent3 32 3" xfId="38005" xr:uid="{00000000-0005-0000-0000-000017180000}"/>
    <cellStyle name="20% - Accent3 33" xfId="35958" xr:uid="{00000000-0005-0000-0000-000018180000}"/>
    <cellStyle name="20% - Accent3 33 2" xfId="37127" xr:uid="{00000000-0005-0000-0000-000019180000}"/>
    <cellStyle name="20% - Accent3 33 3" xfId="38025" xr:uid="{00000000-0005-0000-0000-00001A180000}"/>
    <cellStyle name="20% - Accent3 34" xfId="35978" xr:uid="{00000000-0005-0000-0000-00001B180000}"/>
    <cellStyle name="20% - Accent3 34 2" xfId="37147" xr:uid="{00000000-0005-0000-0000-00001C180000}"/>
    <cellStyle name="20% - Accent3 34 3" xfId="38045" xr:uid="{00000000-0005-0000-0000-00001D180000}"/>
    <cellStyle name="20% - Accent3 35" xfId="35998" xr:uid="{00000000-0005-0000-0000-00001E180000}"/>
    <cellStyle name="20% - Accent3 35 2" xfId="37167" xr:uid="{00000000-0005-0000-0000-00001F180000}"/>
    <cellStyle name="20% - Accent3 35 3" xfId="38065" xr:uid="{00000000-0005-0000-0000-000020180000}"/>
    <cellStyle name="20% - Accent3 36" xfId="36018" xr:uid="{00000000-0005-0000-0000-000021180000}"/>
    <cellStyle name="20% - Accent3 36 2" xfId="37187" xr:uid="{00000000-0005-0000-0000-000022180000}"/>
    <cellStyle name="20% - Accent3 36 3" xfId="38085" xr:uid="{00000000-0005-0000-0000-000023180000}"/>
    <cellStyle name="20% - Accent3 37" xfId="36038" xr:uid="{00000000-0005-0000-0000-000024180000}"/>
    <cellStyle name="20% - Accent3 37 2" xfId="37207" xr:uid="{00000000-0005-0000-0000-000025180000}"/>
    <cellStyle name="20% - Accent3 37 3" xfId="38105" xr:uid="{00000000-0005-0000-0000-000026180000}"/>
    <cellStyle name="20% - Accent3 38" xfId="36058" xr:uid="{00000000-0005-0000-0000-000027180000}"/>
    <cellStyle name="20% - Accent3 38 2" xfId="37227" xr:uid="{00000000-0005-0000-0000-000028180000}"/>
    <cellStyle name="20% - Accent3 38 3" xfId="38125" xr:uid="{00000000-0005-0000-0000-000029180000}"/>
    <cellStyle name="20% - Accent3 39" xfId="36078" xr:uid="{00000000-0005-0000-0000-00002A180000}"/>
    <cellStyle name="20% - Accent3 39 2" xfId="37247" xr:uid="{00000000-0005-0000-0000-00002B180000}"/>
    <cellStyle name="20% - Accent3 39 3" xfId="38145" xr:uid="{00000000-0005-0000-0000-00002C180000}"/>
    <cellStyle name="20% - Accent3 4" xfId="123" xr:uid="{00000000-0005-0000-0000-00002D180000}"/>
    <cellStyle name="20% - Accent3 4 10" xfId="34477" xr:uid="{00000000-0005-0000-0000-00002E180000}"/>
    <cellStyle name="20% - Accent3 4 11" xfId="5963" xr:uid="{00000000-0005-0000-0000-00002F180000}"/>
    <cellStyle name="20% - Accent3 4 2" xfId="246" xr:uid="{00000000-0005-0000-0000-000030180000}"/>
    <cellStyle name="20% - Accent3 4 2 10" xfId="32960" xr:uid="{00000000-0005-0000-0000-000031180000}"/>
    <cellStyle name="20% - Accent3 4 2 2" xfId="32229" xr:uid="{00000000-0005-0000-0000-000032180000}"/>
    <cellStyle name="20% - Accent3 4 2 2 2" xfId="32383" xr:uid="{00000000-0005-0000-0000-000033180000}"/>
    <cellStyle name="20% - Accent3 4 2 2 2 2" xfId="21812" xr:uid="{00000000-0005-0000-0000-000034180000}"/>
    <cellStyle name="20% - Accent3 4 2 2 2 2 2" xfId="16603" xr:uid="{00000000-0005-0000-0000-000035180000}"/>
    <cellStyle name="20% - Accent3 4 2 2 2 2 2 2" xfId="9618" xr:uid="{00000000-0005-0000-0000-000036180000}"/>
    <cellStyle name="20% - Accent3 4 2 2 2 2 2 2 2" xfId="30692" xr:uid="{00000000-0005-0000-0000-000037180000}"/>
    <cellStyle name="20% - Accent3 4 2 2 2 2 2 2 2 2" xfId="26959" xr:uid="{00000000-0005-0000-0000-000038180000}"/>
    <cellStyle name="20% - Accent3 4 2 2 2 2 2 2 3" xfId="32236" xr:uid="{00000000-0005-0000-0000-000039180000}"/>
    <cellStyle name="20% - Accent3 4 2 2 2 2 2 3" xfId="26360" xr:uid="{00000000-0005-0000-0000-00003A180000}"/>
    <cellStyle name="20% - Accent3 4 2 2 2 2 2 3 2" xfId="30684" xr:uid="{00000000-0005-0000-0000-00003B180000}"/>
    <cellStyle name="20% - Accent3 4 2 2 2 2 2 4" xfId="25772" xr:uid="{00000000-0005-0000-0000-00003C180000}"/>
    <cellStyle name="20% - Accent3 4 2 2 2 2 3" xfId="27155" xr:uid="{00000000-0005-0000-0000-00003D180000}"/>
    <cellStyle name="20% - Accent3 4 2 2 2 2 3 2" xfId="25769" xr:uid="{00000000-0005-0000-0000-00003E180000}"/>
    <cellStyle name="20% - Accent3 4 2 2 2 2 3 2 2" xfId="7434" xr:uid="{00000000-0005-0000-0000-00003F180000}"/>
    <cellStyle name="20% - Accent3 4 2 2 2 2 3 3" xfId="24519" xr:uid="{00000000-0005-0000-0000-000040180000}"/>
    <cellStyle name="20% - Accent3 4 2 2 2 2 4" xfId="30984" xr:uid="{00000000-0005-0000-0000-000041180000}"/>
    <cellStyle name="20% - Accent3 4 2 2 2 2 4 2" xfId="23074" xr:uid="{00000000-0005-0000-0000-000042180000}"/>
    <cellStyle name="20% - Accent3 4 2 2 2 2 5" xfId="22036" xr:uid="{00000000-0005-0000-0000-000043180000}"/>
    <cellStyle name="20% - Accent3 4 2 2 2 3" xfId="27147" xr:uid="{00000000-0005-0000-0000-000044180000}"/>
    <cellStyle name="20% - Accent3 4 2 2 2 3 2" xfId="7861" xr:uid="{00000000-0005-0000-0000-000045180000}"/>
    <cellStyle name="20% - Accent3 4 2 2 2 3 2 2" xfId="25765" xr:uid="{00000000-0005-0000-0000-000046180000}"/>
    <cellStyle name="20% - Accent3 4 2 2 2 3 2 2 2" xfId="22396" xr:uid="{00000000-0005-0000-0000-000047180000}"/>
    <cellStyle name="20% - Accent3 4 2 2 2 3 2 3" xfId="25764" xr:uid="{00000000-0005-0000-0000-000048180000}"/>
    <cellStyle name="20% - Accent3 4 2 2 2 3 3" xfId="25094" xr:uid="{00000000-0005-0000-0000-000049180000}"/>
    <cellStyle name="20% - Accent3 4 2 2 2 3 3 2" xfId="25756" xr:uid="{00000000-0005-0000-0000-00004A180000}"/>
    <cellStyle name="20% - Accent3 4 2 2 2 3 4" xfId="29805" xr:uid="{00000000-0005-0000-0000-00004B180000}"/>
    <cellStyle name="20% - Accent3 4 2 2 2 4" xfId="21111" xr:uid="{00000000-0005-0000-0000-00004C180000}"/>
    <cellStyle name="20% - Accent3 4 2 2 2 4 2" xfId="7858" xr:uid="{00000000-0005-0000-0000-00004D180000}"/>
    <cellStyle name="20% - Accent3 4 2 2 2 4 2 2" xfId="25750" xr:uid="{00000000-0005-0000-0000-00004E180000}"/>
    <cellStyle name="20% - Accent3 4 2 2 2 4 3" xfId="25748" xr:uid="{00000000-0005-0000-0000-00004F180000}"/>
    <cellStyle name="20% - Accent3 4 2 2 2 5" xfId="26179" xr:uid="{00000000-0005-0000-0000-000050180000}"/>
    <cellStyle name="20% - Accent3 4 2 2 2 5 2" xfId="6553" xr:uid="{00000000-0005-0000-0000-000051180000}"/>
    <cellStyle name="20% - Accent3 4 2 2 2 6" xfId="25740" xr:uid="{00000000-0005-0000-0000-000052180000}"/>
    <cellStyle name="20% - Accent3 4 2 2 3" xfId="28083" xr:uid="{00000000-0005-0000-0000-000053180000}"/>
    <cellStyle name="20% - Accent3 4 2 2 3 2" xfId="27141" xr:uid="{00000000-0005-0000-0000-000054180000}"/>
    <cellStyle name="20% - Accent3 4 2 2 3 2 2" xfId="27134" xr:uid="{00000000-0005-0000-0000-000055180000}"/>
    <cellStyle name="20% - Accent3 4 2 2 3 2 2 2" xfId="20330" xr:uid="{00000000-0005-0000-0000-000056180000}"/>
    <cellStyle name="20% - Accent3 4 2 2 3 2 2 2 2" xfId="30560" xr:uid="{00000000-0005-0000-0000-000057180000}"/>
    <cellStyle name="20% - Accent3 4 2 2 3 2 2 3" xfId="34072" xr:uid="{00000000-0005-0000-0000-000058180000}"/>
    <cellStyle name="20% - Accent3 4 2 2 3 2 3" xfId="32278" xr:uid="{00000000-0005-0000-0000-000059180000}"/>
    <cellStyle name="20% - Accent3 4 2 2 3 2 3 2" xfId="25737" xr:uid="{00000000-0005-0000-0000-00005A180000}"/>
    <cellStyle name="20% - Accent3 4 2 2 3 2 4" xfId="23052" xr:uid="{00000000-0005-0000-0000-00005B180000}"/>
    <cellStyle name="20% - Accent3 4 2 2 3 3" xfId="27127" xr:uid="{00000000-0005-0000-0000-00005C180000}"/>
    <cellStyle name="20% - Accent3 4 2 2 3 3 2" xfId="7852" xr:uid="{00000000-0005-0000-0000-00005D180000}"/>
    <cellStyle name="20% - Accent3 4 2 2 3 3 2 2" xfId="25732" xr:uid="{00000000-0005-0000-0000-00005E180000}"/>
    <cellStyle name="20% - Accent3 4 2 2 3 3 3" xfId="23723" xr:uid="{00000000-0005-0000-0000-00005F180000}"/>
    <cellStyle name="20% - Accent3 4 2 2 3 4" xfId="25729" xr:uid="{00000000-0005-0000-0000-000060180000}"/>
    <cellStyle name="20% - Accent3 4 2 2 3 4 2" xfId="22947" xr:uid="{00000000-0005-0000-0000-000061180000}"/>
    <cellStyle name="20% - Accent3 4 2 2 3 5" xfId="25724" xr:uid="{00000000-0005-0000-0000-000062180000}"/>
    <cellStyle name="20% - Accent3 4 2 2 4" xfId="14601" xr:uid="{00000000-0005-0000-0000-000063180000}"/>
    <cellStyle name="20% - Accent3 4 2 2 4 2" xfId="14779" xr:uid="{00000000-0005-0000-0000-000064180000}"/>
    <cellStyle name="20% - Accent3 4 2 2 4 2 2" xfId="14774" xr:uid="{00000000-0005-0000-0000-000065180000}"/>
    <cellStyle name="20% - Accent3 4 2 2 4 2 2 2" xfId="25716" xr:uid="{00000000-0005-0000-0000-000066180000}"/>
    <cellStyle name="20% - Accent3 4 2 2 4 2 3" xfId="24073" xr:uid="{00000000-0005-0000-0000-000067180000}"/>
    <cellStyle name="20% - Accent3 4 2 2 4 3" xfId="14771" xr:uid="{00000000-0005-0000-0000-000068180000}"/>
    <cellStyle name="20% - Accent3 4 2 2 4 3 2" xfId="25713" xr:uid="{00000000-0005-0000-0000-000069180000}"/>
    <cellStyle name="20% - Accent3 4 2 2 4 4" xfId="25708" xr:uid="{00000000-0005-0000-0000-00006A180000}"/>
    <cellStyle name="20% - Accent3 4 2 2 5" xfId="25707" xr:uid="{00000000-0005-0000-0000-00006B180000}"/>
    <cellStyle name="20% - Accent3 4 2 2 5 2" xfId="14758" xr:uid="{00000000-0005-0000-0000-00006C180000}"/>
    <cellStyle name="20% - Accent3 4 2 2 5 2 2" xfId="24105" xr:uid="{00000000-0005-0000-0000-00006D180000}"/>
    <cellStyle name="20% - Accent3 4 2 2 5 3" xfId="22430" xr:uid="{00000000-0005-0000-0000-00006E180000}"/>
    <cellStyle name="20% - Accent3 4 2 2 6" xfId="24194" xr:uid="{00000000-0005-0000-0000-00006F180000}"/>
    <cellStyle name="20% - Accent3 4 2 2 6 2" xfId="22423" xr:uid="{00000000-0005-0000-0000-000070180000}"/>
    <cellStyle name="20% - Accent3 4 2 2 7" xfId="21898" xr:uid="{00000000-0005-0000-0000-000071180000}"/>
    <cellStyle name="20% - Accent3 4 2 3" xfId="34295" xr:uid="{00000000-0005-0000-0000-000072180000}"/>
    <cellStyle name="20% - Accent3 4 2 3 2" xfId="33376" xr:uid="{00000000-0005-0000-0000-000073180000}"/>
    <cellStyle name="20% - Accent3 4 2 3 2 2" xfId="26930" xr:uid="{00000000-0005-0000-0000-000074180000}"/>
    <cellStyle name="20% - Accent3 4 2 3 2 2 2" xfId="26926" xr:uid="{00000000-0005-0000-0000-000075180000}"/>
    <cellStyle name="20% - Accent3 4 2 3 2 2 2 2" xfId="25703" xr:uid="{00000000-0005-0000-0000-000076180000}"/>
    <cellStyle name="20% - Accent3 4 2 3 2 2 2 2 2" xfId="30135" xr:uid="{00000000-0005-0000-0000-000077180000}"/>
    <cellStyle name="20% - Accent3 4 2 3 2 2 2 3" xfId="25702" xr:uid="{00000000-0005-0000-0000-000078180000}"/>
    <cellStyle name="20% - Accent3 4 2 3 2 2 3" xfId="25699" xr:uid="{00000000-0005-0000-0000-000079180000}"/>
    <cellStyle name="20% - Accent3 4 2 3 2 2 3 2" xfId="25698" xr:uid="{00000000-0005-0000-0000-00007A180000}"/>
    <cellStyle name="20% - Accent3 4 2 3 2 2 4" xfId="23025" xr:uid="{00000000-0005-0000-0000-00007B180000}"/>
    <cellStyle name="20% - Accent3 4 2 3 2 3" xfId="24011" xr:uid="{00000000-0005-0000-0000-00007C180000}"/>
    <cellStyle name="20% - Accent3 4 2 3 2 3 2" xfId="20308" xr:uid="{00000000-0005-0000-0000-00007D180000}"/>
    <cellStyle name="20% - Accent3 4 2 3 2 3 2 2" xfId="25695" xr:uid="{00000000-0005-0000-0000-00007E180000}"/>
    <cellStyle name="20% - Accent3 4 2 3 2 3 3" xfId="25693" xr:uid="{00000000-0005-0000-0000-00007F180000}"/>
    <cellStyle name="20% - Accent3 4 2 3 2 4" xfId="24006" xr:uid="{00000000-0005-0000-0000-000080180000}"/>
    <cellStyle name="20% - Accent3 4 2 3 2 4 2" xfId="25688" xr:uid="{00000000-0005-0000-0000-000081180000}"/>
    <cellStyle name="20% - Accent3 4 2 3 2 5" xfId="25686" xr:uid="{00000000-0005-0000-0000-000082180000}"/>
    <cellStyle name="20% - Accent3 4 2 3 3" xfId="25681" xr:uid="{00000000-0005-0000-0000-000083180000}"/>
    <cellStyle name="20% - Accent3 4 2 3 3 2" xfId="9262" xr:uid="{00000000-0005-0000-0000-000084180000}"/>
    <cellStyle name="20% - Accent3 4 2 3 3 2 2" xfId="25680" xr:uid="{00000000-0005-0000-0000-000085180000}"/>
    <cellStyle name="20% - Accent3 4 2 3 3 2 2 2" xfId="21084" xr:uid="{00000000-0005-0000-0000-000086180000}"/>
    <cellStyle name="20% - Accent3 4 2 3 3 2 3" xfId="25679" xr:uid="{00000000-0005-0000-0000-000087180000}"/>
    <cellStyle name="20% - Accent3 4 2 3 3 3" xfId="7408" xr:uid="{00000000-0005-0000-0000-000088180000}"/>
    <cellStyle name="20% - Accent3 4 2 3 3 3 2" xfId="25672" xr:uid="{00000000-0005-0000-0000-000089180000}"/>
    <cellStyle name="20% - Accent3 4 2 3 3 4" xfId="25670" xr:uid="{00000000-0005-0000-0000-00008A180000}"/>
    <cellStyle name="20% - Accent3 4 2 3 4" xfId="25668" xr:uid="{00000000-0005-0000-0000-00008B180000}"/>
    <cellStyle name="20% - Accent3 4 2 3 4 2" xfId="5480" xr:uid="{00000000-0005-0000-0000-00008C180000}"/>
    <cellStyle name="20% - Accent3 4 2 3 4 2 2" xfId="25663" xr:uid="{00000000-0005-0000-0000-00008D180000}"/>
    <cellStyle name="20% - Accent3 4 2 3 4 3" xfId="25661" xr:uid="{00000000-0005-0000-0000-00008E180000}"/>
    <cellStyle name="20% - Accent3 4 2 3 5" xfId="25659" xr:uid="{00000000-0005-0000-0000-00008F180000}"/>
    <cellStyle name="20% - Accent3 4 2 3 5 2" xfId="22367" xr:uid="{00000000-0005-0000-0000-000090180000}"/>
    <cellStyle name="20% - Accent3 4 2 3 6" xfId="33782" xr:uid="{00000000-0005-0000-0000-000091180000}"/>
    <cellStyle name="20% - Accent3 4 2 4" xfId="25997" xr:uid="{00000000-0005-0000-0000-000092180000}"/>
    <cellStyle name="20% - Accent3 4 2 4 2" xfId="32832" xr:uid="{00000000-0005-0000-0000-000093180000}"/>
    <cellStyle name="20% - Accent3 4 2 4 2 2" xfId="23971" xr:uid="{00000000-0005-0000-0000-000094180000}"/>
    <cellStyle name="20% - Accent3 4 2 4 2 2 2" xfId="25658" xr:uid="{00000000-0005-0000-0000-000095180000}"/>
    <cellStyle name="20% - Accent3 4 2 4 2 2 2 2" xfId="26069" xr:uid="{00000000-0005-0000-0000-000096180000}"/>
    <cellStyle name="20% - Accent3 4 2 4 2 2 3" xfId="25655" xr:uid="{00000000-0005-0000-0000-000097180000}"/>
    <cellStyle name="20% - Accent3 4 2 4 2 3" xfId="23964" xr:uid="{00000000-0005-0000-0000-000098180000}"/>
    <cellStyle name="20% - Accent3 4 2 4 2 3 2" xfId="18220" xr:uid="{00000000-0005-0000-0000-000099180000}"/>
    <cellStyle name="20% - Accent3 4 2 4 2 4" xfId="25644" xr:uid="{00000000-0005-0000-0000-00009A180000}"/>
    <cellStyle name="20% - Accent3 4 2 4 3" xfId="32828" xr:uid="{00000000-0005-0000-0000-00009B180000}"/>
    <cellStyle name="20% - Accent3 4 2 4 3 2" xfId="6037" xr:uid="{00000000-0005-0000-0000-00009C180000}"/>
    <cellStyle name="20% - Accent3 4 2 4 3 2 2" xfId="25633" xr:uid="{00000000-0005-0000-0000-00009D180000}"/>
    <cellStyle name="20% - Accent3 4 2 4 3 3" xfId="25629" xr:uid="{00000000-0005-0000-0000-00009E180000}"/>
    <cellStyle name="20% - Accent3 4 2 4 4" xfId="25622" xr:uid="{00000000-0005-0000-0000-00009F180000}"/>
    <cellStyle name="20% - Accent3 4 2 4 4 2" xfId="33714" xr:uid="{00000000-0005-0000-0000-0000A0180000}"/>
    <cellStyle name="20% - Accent3 4 2 4 5" xfId="25621" xr:uid="{00000000-0005-0000-0000-0000A1180000}"/>
    <cellStyle name="20% - Accent3 4 2 5" xfId="21513" xr:uid="{00000000-0005-0000-0000-0000A2180000}"/>
    <cellStyle name="20% - Accent3 4 2 5 2" xfId="32559" xr:uid="{00000000-0005-0000-0000-0000A3180000}"/>
    <cellStyle name="20% - Accent3 4 2 5 2 2" xfId="23936" xr:uid="{00000000-0005-0000-0000-0000A4180000}"/>
    <cellStyle name="20% - Accent3 4 2 5 2 2 2" xfId="25620" xr:uid="{00000000-0005-0000-0000-0000A5180000}"/>
    <cellStyle name="20% - Accent3 4 2 5 2 3" xfId="31853" xr:uid="{00000000-0005-0000-0000-0000A6180000}"/>
    <cellStyle name="20% - Accent3 4 2 5 3" xfId="34293" xr:uid="{00000000-0005-0000-0000-0000A7180000}"/>
    <cellStyle name="20% - Accent3 4 2 5 3 2" xfId="25616" xr:uid="{00000000-0005-0000-0000-0000A8180000}"/>
    <cellStyle name="20% - Accent3 4 2 5 4" xfId="23498" xr:uid="{00000000-0005-0000-0000-0000A9180000}"/>
    <cellStyle name="20% - Accent3 4 2 6" xfId="21502" xr:uid="{00000000-0005-0000-0000-0000AA180000}"/>
    <cellStyle name="20% - Accent3 4 2 6 2" xfId="32935" xr:uid="{00000000-0005-0000-0000-0000AB180000}"/>
    <cellStyle name="20% - Accent3 4 2 6 2 2" xfId="25606" xr:uid="{00000000-0005-0000-0000-0000AC180000}"/>
    <cellStyle name="20% - Accent3 4 2 6 3" xfId="25602" xr:uid="{00000000-0005-0000-0000-0000AD180000}"/>
    <cellStyle name="20% - Accent3 4 2 7" xfId="21500" xr:uid="{00000000-0005-0000-0000-0000AE180000}"/>
    <cellStyle name="20% - Accent3 4 2 7 2" xfId="27621" xr:uid="{00000000-0005-0000-0000-0000AF180000}"/>
    <cellStyle name="20% - Accent3 4 2 8" xfId="21498" xr:uid="{00000000-0005-0000-0000-0000B0180000}"/>
    <cellStyle name="20% - Accent3 4 2 9" xfId="34567" xr:uid="{00000000-0005-0000-0000-0000B1180000}"/>
    <cellStyle name="20% - Accent3 4 3" xfId="19256" xr:uid="{00000000-0005-0000-0000-0000B2180000}"/>
    <cellStyle name="20% - Accent3 4 3 2" xfId="26249" xr:uid="{00000000-0005-0000-0000-0000B3180000}"/>
    <cellStyle name="20% - Accent3 4 3 2 2" xfId="34179" xr:uid="{00000000-0005-0000-0000-0000B4180000}"/>
    <cellStyle name="20% - Accent3 4 3 2 2 2" xfId="26101" xr:uid="{00000000-0005-0000-0000-0000B5180000}"/>
    <cellStyle name="20% - Accent3 4 3 2 2 2 2" xfId="25640" xr:uid="{00000000-0005-0000-0000-0000B6180000}"/>
    <cellStyle name="20% - Accent3 4 3 2 2 2 2 2" xfId="20602" xr:uid="{00000000-0005-0000-0000-0000B7180000}"/>
    <cellStyle name="20% - Accent3 4 3 2 2 2 2 2 2" xfId="28363" xr:uid="{00000000-0005-0000-0000-0000B8180000}"/>
    <cellStyle name="20% - Accent3 4 3 2 2 2 2 3" xfId="26396" xr:uid="{00000000-0005-0000-0000-0000B9180000}"/>
    <cellStyle name="20% - Accent3 4 3 2 2 2 3" xfId="32649" xr:uid="{00000000-0005-0000-0000-0000BA180000}"/>
    <cellStyle name="20% - Accent3 4 3 2 2 2 3 2" xfId="25592" xr:uid="{00000000-0005-0000-0000-0000BB180000}"/>
    <cellStyle name="20% - Accent3 4 3 2 2 2 4" xfId="25696" xr:uid="{00000000-0005-0000-0000-0000BC180000}"/>
    <cellStyle name="20% - Accent3 4 3 2 2 3" xfId="26093" xr:uid="{00000000-0005-0000-0000-0000BD180000}"/>
    <cellStyle name="20% - Accent3 4 3 2 2 3 2" xfId="7821" xr:uid="{00000000-0005-0000-0000-0000BE180000}"/>
    <cellStyle name="20% - Accent3 4 3 2 2 3 2 2" xfId="25589" xr:uid="{00000000-0005-0000-0000-0000BF180000}"/>
    <cellStyle name="20% - Accent3 4 3 2 2 3 3" xfId="25584" xr:uid="{00000000-0005-0000-0000-0000C0180000}"/>
    <cellStyle name="20% - Accent3 4 3 2 2 4" xfId="25583" xr:uid="{00000000-0005-0000-0000-0000C1180000}"/>
    <cellStyle name="20% - Accent3 4 3 2 2 4 2" xfId="25581" xr:uid="{00000000-0005-0000-0000-0000C2180000}"/>
    <cellStyle name="20% - Accent3 4 3 2 2 5" xfId="31547" xr:uid="{00000000-0005-0000-0000-0000C3180000}"/>
    <cellStyle name="20% - Accent3 4 3 2 3" xfId="25573" xr:uid="{00000000-0005-0000-0000-0000C4180000}"/>
    <cellStyle name="20% - Accent3 4 3 2 3 2" xfId="26081" xr:uid="{00000000-0005-0000-0000-0000C5180000}"/>
    <cellStyle name="20% - Accent3 4 3 2 3 2 2" xfId="25572" xr:uid="{00000000-0005-0000-0000-0000C6180000}"/>
    <cellStyle name="20% - Accent3 4 3 2 3 2 2 2" xfId="18233" xr:uid="{00000000-0005-0000-0000-0000C7180000}"/>
    <cellStyle name="20% - Accent3 4 3 2 3 2 3" xfId="13092" xr:uid="{00000000-0005-0000-0000-0000C8180000}"/>
    <cellStyle name="20% - Accent3 4 3 2 3 3" xfId="25566" xr:uid="{00000000-0005-0000-0000-0000C9180000}"/>
    <cellStyle name="20% - Accent3 4 3 2 3 3 2" xfId="25564" xr:uid="{00000000-0005-0000-0000-0000CA180000}"/>
    <cellStyle name="20% - Accent3 4 3 2 3 4" xfId="25828" xr:uid="{00000000-0005-0000-0000-0000CB180000}"/>
    <cellStyle name="20% - Accent3 4 3 2 4" xfId="25563" xr:uid="{00000000-0005-0000-0000-0000CC180000}"/>
    <cellStyle name="20% - Accent3 4 3 2 4 2" xfId="26875" xr:uid="{00000000-0005-0000-0000-0000CD180000}"/>
    <cellStyle name="20% - Accent3 4 3 2 4 2 2" xfId="26086" xr:uid="{00000000-0005-0000-0000-0000CE180000}"/>
    <cellStyle name="20% - Accent3 4 3 2 4 3" xfId="29464" xr:uid="{00000000-0005-0000-0000-0000CF180000}"/>
    <cellStyle name="20% - Accent3 4 3 2 5" xfId="25558" xr:uid="{00000000-0005-0000-0000-0000D0180000}"/>
    <cellStyle name="20% - Accent3 4 3 2 5 2" xfId="29410" xr:uid="{00000000-0005-0000-0000-0000D1180000}"/>
    <cellStyle name="20% - Accent3 4 3 2 6" xfId="24175" xr:uid="{00000000-0005-0000-0000-0000D2180000}"/>
    <cellStyle name="20% - Accent3 4 3 3" xfId="33372" xr:uid="{00000000-0005-0000-0000-0000D3180000}"/>
    <cellStyle name="20% - Accent3 4 3 3 2" xfId="25557" xr:uid="{00000000-0005-0000-0000-0000D4180000}"/>
    <cellStyle name="20% - Accent3 4 3 3 2 2" xfId="23903" xr:uid="{00000000-0005-0000-0000-0000D5180000}"/>
    <cellStyle name="20% - Accent3 4 3 3 2 2 2" xfId="25468" xr:uid="{00000000-0005-0000-0000-0000D6180000}"/>
    <cellStyle name="20% - Accent3 4 3 3 2 2 2 2" xfId="22436" xr:uid="{00000000-0005-0000-0000-0000D7180000}"/>
    <cellStyle name="20% - Accent3 4 3 3 2 2 3" xfId="25456" xr:uid="{00000000-0005-0000-0000-0000D8180000}"/>
    <cellStyle name="20% - Accent3 4 3 3 2 3" xfId="23899" xr:uid="{00000000-0005-0000-0000-0000D9180000}"/>
    <cellStyle name="20% - Accent3 4 3 3 2 3 2" xfId="25451" xr:uid="{00000000-0005-0000-0000-0000DA180000}"/>
    <cellStyle name="20% - Accent3 4 3 3 2 4" xfId="25548" xr:uid="{00000000-0005-0000-0000-0000DB180000}"/>
    <cellStyle name="20% - Accent3 4 3 3 3" xfId="25543" xr:uid="{00000000-0005-0000-0000-0000DC180000}"/>
    <cellStyle name="20% - Accent3 4 3 3 3 2" xfId="13082" xr:uid="{00000000-0005-0000-0000-0000DD180000}"/>
    <cellStyle name="20% - Accent3 4 3 3 3 2 2" xfId="25536" xr:uid="{00000000-0005-0000-0000-0000DE180000}"/>
    <cellStyle name="20% - Accent3 4 3 3 3 3" xfId="25531" xr:uid="{00000000-0005-0000-0000-0000DF180000}"/>
    <cellStyle name="20% - Accent3 4 3 3 4" xfId="25526" xr:uid="{00000000-0005-0000-0000-0000E0180000}"/>
    <cellStyle name="20% - Accent3 4 3 3 4 2" xfId="29307" xr:uid="{00000000-0005-0000-0000-0000E1180000}"/>
    <cellStyle name="20% - Accent3 4 3 3 5" xfId="25523" xr:uid="{00000000-0005-0000-0000-0000E2180000}"/>
    <cellStyle name="20% - Accent3 4 3 4" xfId="33368" xr:uid="{00000000-0005-0000-0000-0000E3180000}"/>
    <cellStyle name="20% - Accent3 4 3 4 2" xfId="32552" xr:uid="{00000000-0005-0000-0000-0000E4180000}"/>
    <cellStyle name="20% - Accent3 4 3 4 2 2" xfId="23881" xr:uid="{00000000-0005-0000-0000-0000E5180000}"/>
    <cellStyle name="20% - Accent3 4 3 4 2 2 2" xfId="27684" xr:uid="{00000000-0005-0000-0000-0000E6180000}"/>
    <cellStyle name="20% - Accent3 4 3 4 2 3" xfId="27109" xr:uid="{00000000-0005-0000-0000-0000E7180000}"/>
    <cellStyle name="20% - Accent3 4 3 4 3" xfId="25520" xr:uid="{00000000-0005-0000-0000-0000E8180000}"/>
    <cellStyle name="20% - Accent3 4 3 4 3 2" xfId="33457" xr:uid="{00000000-0005-0000-0000-0000E9180000}"/>
    <cellStyle name="20% - Accent3 4 3 4 4" xfId="25517" xr:uid="{00000000-0005-0000-0000-0000EA180000}"/>
    <cellStyle name="20% - Accent3 4 3 5" xfId="21505" xr:uid="{00000000-0005-0000-0000-0000EB180000}"/>
    <cellStyle name="20% - Accent3 4 3 5 2" xfId="34336" xr:uid="{00000000-0005-0000-0000-0000EC180000}"/>
    <cellStyle name="20% - Accent3 4 3 5 2 2" xfId="22452" xr:uid="{00000000-0005-0000-0000-0000ED180000}"/>
    <cellStyle name="20% - Accent3 4 3 5 3" xfId="25513" xr:uid="{00000000-0005-0000-0000-0000EE180000}"/>
    <cellStyle name="20% - Accent3 4 3 6" xfId="21492" xr:uid="{00000000-0005-0000-0000-0000EF180000}"/>
    <cellStyle name="20% - Accent3 4 3 6 2" xfId="25506" xr:uid="{00000000-0005-0000-0000-0000F0180000}"/>
    <cellStyle name="20% - Accent3 4 3 7" xfId="21489" xr:uid="{00000000-0005-0000-0000-0000F1180000}"/>
    <cellStyle name="20% - Accent3 4 3 8" xfId="34788" xr:uid="{00000000-0005-0000-0000-0000F2180000}"/>
    <cellStyle name="20% - Accent3 4 4" xfId="29731" xr:uid="{00000000-0005-0000-0000-0000F3180000}"/>
    <cellStyle name="20% - Accent3 4 4 2" xfId="33586" xr:uid="{00000000-0005-0000-0000-0000F4180000}"/>
    <cellStyle name="20% - Accent3 4 4 2 2" xfId="25498" xr:uid="{00000000-0005-0000-0000-0000F5180000}"/>
    <cellStyle name="20% - Accent3 4 4 2 2 2" xfId="25598" xr:uid="{00000000-0005-0000-0000-0000F6180000}"/>
    <cellStyle name="20% - Accent3 4 4 2 2 2 2" xfId="25496" xr:uid="{00000000-0005-0000-0000-0000F7180000}"/>
    <cellStyle name="20% - Accent3 4 4 2 2 2 2 2" xfId="5379" xr:uid="{00000000-0005-0000-0000-0000F8180000}"/>
    <cellStyle name="20% - Accent3 4 4 2 2 2 3" xfId="33733" xr:uid="{00000000-0005-0000-0000-0000F9180000}"/>
    <cellStyle name="20% - Accent3 4 4 2 2 3" xfId="25491" xr:uid="{00000000-0005-0000-0000-0000FA180000}"/>
    <cellStyle name="20% - Accent3 4 4 2 2 3 2" xfId="25483" xr:uid="{00000000-0005-0000-0000-0000FB180000}"/>
    <cellStyle name="20% - Accent3 4 4 2 2 4" xfId="33755" xr:uid="{00000000-0005-0000-0000-0000FC180000}"/>
    <cellStyle name="20% - Accent3 4 4 2 3" xfId="27509" xr:uid="{00000000-0005-0000-0000-0000FD180000}"/>
    <cellStyle name="20% - Accent3 4 4 2 3 2" xfId="27613" xr:uid="{00000000-0005-0000-0000-0000FE180000}"/>
    <cellStyle name="20% - Accent3 4 4 2 3 2 2" xfId="28037" xr:uid="{00000000-0005-0000-0000-0000FF180000}"/>
    <cellStyle name="20% - Accent3 4 4 2 3 3" xfId="25480" xr:uid="{00000000-0005-0000-0000-000000190000}"/>
    <cellStyle name="20% - Accent3 4 4 2 4" xfId="25478" xr:uid="{00000000-0005-0000-0000-000001190000}"/>
    <cellStyle name="20% - Accent3 4 4 2 4 2" xfId="33579" xr:uid="{00000000-0005-0000-0000-000002190000}"/>
    <cellStyle name="20% - Accent3 4 4 2 5" xfId="25477" xr:uid="{00000000-0005-0000-0000-000003190000}"/>
    <cellStyle name="20% - Accent3 4 4 3" xfId="32819" xr:uid="{00000000-0005-0000-0000-000004190000}"/>
    <cellStyle name="20% - Accent3 4 4 3 2" xfId="25781" xr:uid="{00000000-0005-0000-0000-000005190000}"/>
    <cellStyle name="20% - Accent3 4 4 3 2 2" xfId="23908" xr:uid="{00000000-0005-0000-0000-000006190000}"/>
    <cellStyle name="20% - Accent3 4 4 3 2 2 2" xfId="19569" xr:uid="{00000000-0005-0000-0000-000007190000}"/>
    <cellStyle name="20% - Accent3 4 4 3 2 3" xfId="25466" xr:uid="{00000000-0005-0000-0000-000008190000}"/>
    <cellStyle name="20% - Accent3 4 4 3 3" xfId="26748" xr:uid="{00000000-0005-0000-0000-000009190000}"/>
    <cellStyle name="20% - Accent3 4 4 3 3 2" xfId="25455" xr:uid="{00000000-0005-0000-0000-00000A190000}"/>
    <cellStyle name="20% - Accent3 4 4 3 4" xfId="26746" xr:uid="{00000000-0005-0000-0000-00000B190000}"/>
    <cellStyle name="20% - Accent3 4 4 4" xfId="26743" xr:uid="{00000000-0005-0000-0000-00000C190000}"/>
    <cellStyle name="20% - Accent3 4 4 4 2" xfId="26740" xr:uid="{00000000-0005-0000-0000-00000D190000}"/>
    <cellStyle name="20% - Accent3 4 4 4 2 2" xfId="33194" xr:uid="{00000000-0005-0000-0000-00000E190000}"/>
    <cellStyle name="20% - Accent3 4 4 4 3" xfId="20855" xr:uid="{00000000-0005-0000-0000-00000F190000}"/>
    <cellStyle name="20% - Accent3 4 4 5" xfId="30306" xr:uid="{00000000-0005-0000-0000-000010190000}"/>
    <cellStyle name="20% - Accent3 4 4 5 2" xfId="26733" xr:uid="{00000000-0005-0000-0000-000011190000}"/>
    <cellStyle name="20% - Accent3 4 4 6" xfId="7973" xr:uid="{00000000-0005-0000-0000-000012190000}"/>
    <cellStyle name="20% - Accent3 4 4 7" xfId="34986" xr:uid="{00000000-0005-0000-0000-000013190000}"/>
    <cellStyle name="20% - Accent3 4 5" xfId="32321" xr:uid="{00000000-0005-0000-0000-000014190000}"/>
    <cellStyle name="20% - Accent3 4 5 2" xfId="33358" xr:uid="{00000000-0005-0000-0000-000015190000}"/>
    <cellStyle name="20% - Accent3 4 5 2 2" xfId="12177" xr:uid="{00000000-0005-0000-0000-000016190000}"/>
    <cellStyle name="20% - Accent3 4 5 2 2 2" xfId="28295" xr:uid="{00000000-0005-0000-0000-000017190000}"/>
    <cellStyle name="20% - Accent3 4 5 2 2 2 2" xfId="28043" xr:uid="{00000000-0005-0000-0000-000018190000}"/>
    <cellStyle name="20% - Accent3 4 5 2 2 3" xfId="25450" xr:uid="{00000000-0005-0000-0000-000019190000}"/>
    <cellStyle name="20% - Accent3 4 5 2 3" xfId="12173" xr:uid="{00000000-0005-0000-0000-00001A190000}"/>
    <cellStyle name="20% - Accent3 4 5 2 3 2" xfId="25443" xr:uid="{00000000-0005-0000-0000-00001B190000}"/>
    <cellStyle name="20% - Accent3 4 5 2 4" xfId="33972" xr:uid="{00000000-0005-0000-0000-00001C190000}"/>
    <cellStyle name="20% - Accent3 4 5 3" xfId="26714" xr:uid="{00000000-0005-0000-0000-00001D190000}"/>
    <cellStyle name="20% - Accent3 4 5 3 2" xfId="12171" xr:uid="{00000000-0005-0000-0000-00001E190000}"/>
    <cellStyle name="20% - Accent3 4 5 3 2 2" xfId="25440" xr:uid="{00000000-0005-0000-0000-00001F190000}"/>
    <cellStyle name="20% - Accent3 4 5 3 3" xfId="26711" xr:uid="{00000000-0005-0000-0000-000020190000}"/>
    <cellStyle name="20% - Accent3 4 5 4" xfId="26704" xr:uid="{00000000-0005-0000-0000-000021190000}"/>
    <cellStyle name="20% - Accent3 4 5 4 2" xfId="16072" xr:uid="{00000000-0005-0000-0000-000022190000}"/>
    <cellStyle name="20% - Accent3 4 5 5" xfId="26696" xr:uid="{00000000-0005-0000-0000-000023190000}"/>
    <cellStyle name="20% - Accent3 4 5 6" xfId="35191" xr:uid="{00000000-0005-0000-0000-000024190000}"/>
    <cellStyle name="20% - Accent3 4 6" xfId="8314" xr:uid="{00000000-0005-0000-0000-000025190000}"/>
    <cellStyle name="20% - Accent3 4 6 2" xfId="25435" xr:uid="{00000000-0005-0000-0000-000026190000}"/>
    <cellStyle name="20% - Accent3 4 6 2 2" xfId="12167" xr:uid="{00000000-0005-0000-0000-000027190000}"/>
    <cellStyle name="20% - Accent3 4 6 2 2 2" xfId="23506" xr:uid="{00000000-0005-0000-0000-000028190000}"/>
    <cellStyle name="20% - Accent3 4 6 2 3" xfId="23503" xr:uid="{00000000-0005-0000-0000-000029190000}"/>
    <cellStyle name="20% - Accent3 4 6 3" xfId="26686" xr:uid="{00000000-0005-0000-0000-00002A190000}"/>
    <cellStyle name="20% - Accent3 4 6 3 2" xfId="23482" xr:uid="{00000000-0005-0000-0000-00002B190000}"/>
    <cellStyle name="20% - Accent3 4 6 4" xfId="28672" xr:uid="{00000000-0005-0000-0000-00002C190000}"/>
    <cellStyle name="20% - Accent3 4 6 5" xfId="35420" xr:uid="{00000000-0005-0000-0000-00002D190000}"/>
    <cellStyle name="20% - Accent3 4 7" xfId="25433" xr:uid="{00000000-0005-0000-0000-00002E190000}"/>
    <cellStyle name="20% - Accent3 4 7 2" xfId="25431" xr:uid="{00000000-0005-0000-0000-00002F190000}"/>
    <cellStyle name="20% - Accent3 4 7 2 2" xfId="23327" xr:uid="{00000000-0005-0000-0000-000030190000}"/>
    <cellStyle name="20% - Accent3 4 7 3" xfId="26676" xr:uid="{00000000-0005-0000-0000-000031190000}"/>
    <cellStyle name="20% - Accent3 4 7 4" xfId="36292" xr:uid="{00000000-0005-0000-0000-000032190000}"/>
    <cellStyle name="20% - Accent3 4 8" xfId="17201" xr:uid="{00000000-0005-0000-0000-000033190000}"/>
    <cellStyle name="20% - Accent3 4 8 2" xfId="25429" xr:uid="{00000000-0005-0000-0000-000034190000}"/>
    <cellStyle name="20% - Accent3 4 8 3" xfId="36578" xr:uid="{00000000-0005-0000-0000-000035190000}"/>
    <cellStyle name="20% - Accent3 4 9" xfId="20083" xr:uid="{00000000-0005-0000-0000-000036190000}"/>
    <cellStyle name="20% - Accent3 4 9 2" xfId="37463" xr:uid="{00000000-0005-0000-0000-000037190000}"/>
    <cellStyle name="20% - Accent3 40" xfId="36098" xr:uid="{00000000-0005-0000-0000-000038190000}"/>
    <cellStyle name="20% - Accent3 40 2" xfId="37267" xr:uid="{00000000-0005-0000-0000-000039190000}"/>
    <cellStyle name="20% - Accent3 40 3" xfId="38165" xr:uid="{00000000-0005-0000-0000-00003A190000}"/>
    <cellStyle name="20% - Accent3 41" xfId="36118" xr:uid="{00000000-0005-0000-0000-00003B190000}"/>
    <cellStyle name="20% - Accent3 41 2" xfId="37287" xr:uid="{00000000-0005-0000-0000-00003C190000}"/>
    <cellStyle name="20% - Accent3 41 3" xfId="38185" xr:uid="{00000000-0005-0000-0000-00003D190000}"/>
    <cellStyle name="20% - Accent3 42" xfId="36138" xr:uid="{00000000-0005-0000-0000-00003E190000}"/>
    <cellStyle name="20% - Accent3 42 2" xfId="37307" xr:uid="{00000000-0005-0000-0000-00003F190000}"/>
    <cellStyle name="20% - Accent3 42 3" xfId="38205" xr:uid="{00000000-0005-0000-0000-000040190000}"/>
    <cellStyle name="20% - Accent3 43" xfId="36158" xr:uid="{00000000-0005-0000-0000-000041190000}"/>
    <cellStyle name="20% - Accent3 43 2" xfId="37327" xr:uid="{00000000-0005-0000-0000-000042190000}"/>
    <cellStyle name="20% - Accent3 43 3" xfId="38225" xr:uid="{00000000-0005-0000-0000-000043190000}"/>
    <cellStyle name="20% - Accent3 44" xfId="36178" xr:uid="{00000000-0005-0000-0000-000044190000}"/>
    <cellStyle name="20% - Accent3 44 2" xfId="37347" xr:uid="{00000000-0005-0000-0000-000045190000}"/>
    <cellStyle name="20% - Accent3 44 3" xfId="38245" xr:uid="{00000000-0005-0000-0000-000046190000}"/>
    <cellStyle name="20% - Accent3 45" xfId="36198" xr:uid="{00000000-0005-0000-0000-000047190000}"/>
    <cellStyle name="20% - Accent3 45 2" xfId="37367" xr:uid="{00000000-0005-0000-0000-000048190000}"/>
    <cellStyle name="20% - Accent3 45 3" xfId="38265" xr:uid="{00000000-0005-0000-0000-000049190000}"/>
    <cellStyle name="20% - Accent3 46" xfId="36218" xr:uid="{00000000-0005-0000-0000-00004A190000}"/>
    <cellStyle name="20% - Accent3 46 2" xfId="37385" xr:uid="{00000000-0005-0000-0000-00004B190000}"/>
    <cellStyle name="20% - Accent3 46 3" xfId="38285" xr:uid="{00000000-0005-0000-0000-00004C190000}"/>
    <cellStyle name="20% - Accent3 47" xfId="36519" xr:uid="{00000000-0005-0000-0000-00004D190000}"/>
    <cellStyle name="20% - Accent3 48" xfId="37404" xr:uid="{00000000-0005-0000-0000-00004E190000}"/>
    <cellStyle name="20% - Accent3 5" xfId="266" xr:uid="{00000000-0005-0000-0000-00004F190000}"/>
    <cellStyle name="20% - Accent3 5 10" xfId="19253" xr:uid="{00000000-0005-0000-0000-000050190000}"/>
    <cellStyle name="20% - Accent3 5 2" xfId="19251" xr:uid="{00000000-0005-0000-0000-000051190000}"/>
    <cellStyle name="20% - Accent3 5 2 2" xfId="34091" xr:uid="{00000000-0005-0000-0000-000052190000}"/>
    <cellStyle name="20% - Accent3 5 2 2 2" xfId="33627" xr:uid="{00000000-0005-0000-0000-000053190000}"/>
    <cellStyle name="20% - Accent3 5 2 2 2 2" xfId="25425" xr:uid="{00000000-0005-0000-0000-000054190000}"/>
    <cellStyle name="20% - Accent3 5 2 2 2 2 2" xfId="28875" xr:uid="{00000000-0005-0000-0000-000055190000}"/>
    <cellStyle name="20% - Accent3 5 2 2 2 2 2 2" xfId="19498" xr:uid="{00000000-0005-0000-0000-000056190000}"/>
    <cellStyle name="20% - Accent3 5 2 2 2 2 2 2 2" xfId="27376" xr:uid="{00000000-0005-0000-0000-000057190000}"/>
    <cellStyle name="20% - Accent3 5 2 2 2 2 2 3" xfId="33191" xr:uid="{00000000-0005-0000-0000-000058190000}"/>
    <cellStyle name="20% - Accent3 5 2 2 2 2 3" xfId="25423" xr:uid="{00000000-0005-0000-0000-000059190000}"/>
    <cellStyle name="20% - Accent3 5 2 2 2 2 3 2" xfId="34265" xr:uid="{00000000-0005-0000-0000-00005A190000}"/>
    <cellStyle name="20% - Accent3 5 2 2 2 2 4" xfId="22715" xr:uid="{00000000-0005-0000-0000-00005B190000}"/>
    <cellStyle name="20% - Accent3 5 2 2 2 3" xfId="28038" xr:uid="{00000000-0005-0000-0000-00005C190000}"/>
    <cellStyle name="20% - Accent3 5 2 2 2 3 2" xfId="7787" xr:uid="{00000000-0005-0000-0000-00005D190000}"/>
    <cellStyle name="20% - Accent3 5 2 2 2 3 2 2" xfId="25408" xr:uid="{00000000-0005-0000-0000-00005E190000}"/>
    <cellStyle name="20% - Accent3 5 2 2 2 3 3" xfId="25406" xr:uid="{00000000-0005-0000-0000-00005F190000}"/>
    <cellStyle name="20% - Accent3 5 2 2 2 4" xfId="25399" xr:uid="{00000000-0005-0000-0000-000060190000}"/>
    <cellStyle name="20% - Accent3 5 2 2 2 4 2" xfId="6844" xr:uid="{00000000-0005-0000-0000-000061190000}"/>
    <cellStyle name="20% - Accent3 5 2 2 2 5" xfId="22172" xr:uid="{00000000-0005-0000-0000-000062190000}"/>
    <cellStyle name="20% - Accent3 5 2 2 3" xfId="25395" xr:uid="{00000000-0005-0000-0000-000063190000}"/>
    <cellStyle name="20% - Accent3 5 2 2 3 2" xfId="25394" xr:uid="{00000000-0005-0000-0000-000064190000}"/>
    <cellStyle name="20% - Accent3 5 2 2 3 2 2" xfId="20037" xr:uid="{00000000-0005-0000-0000-000065190000}"/>
    <cellStyle name="20% - Accent3 5 2 2 3 2 2 2" xfId="25387" xr:uid="{00000000-0005-0000-0000-000066190000}"/>
    <cellStyle name="20% - Accent3 5 2 2 3 2 3" xfId="25386" xr:uid="{00000000-0005-0000-0000-000067190000}"/>
    <cellStyle name="20% - Accent3 5 2 2 3 3" xfId="25380" xr:uid="{00000000-0005-0000-0000-000068190000}"/>
    <cellStyle name="20% - Accent3 5 2 2 3 3 2" xfId="25375" xr:uid="{00000000-0005-0000-0000-000069190000}"/>
    <cellStyle name="20% - Accent3 5 2 2 3 4" xfId="33716" xr:uid="{00000000-0005-0000-0000-00006A190000}"/>
    <cellStyle name="20% - Accent3 5 2 2 4" xfId="25372" xr:uid="{00000000-0005-0000-0000-00006B190000}"/>
    <cellStyle name="20% - Accent3 5 2 2 4 2" xfId="14544" xr:uid="{00000000-0005-0000-0000-00006C190000}"/>
    <cellStyle name="20% - Accent3 5 2 2 4 2 2" xfId="29302" xr:uid="{00000000-0005-0000-0000-00006D190000}"/>
    <cellStyle name="20% - Accent3 5 2 2 4 3" xfId="25364" xr:uid="{00000000-0005-0000-0000-00006E190000}"/>
    <cellStyle name="20% - Accent3 5 2 2 5" xfId="25361" xr:uid="{00000000-0005-0000-0000-00006F190000}"/>
    <cellStyle name="20% - Accent3 5 2 2 5 2" xfId="20411" xr:uid="{00000000-0005-0000-0000-000070190000}"/>
    <cellStyle name="20% - Accent3 5 2 2 6" xfId="24096" xr:uid="{00000000-0005-0000-0000-000071190000}"/>
    <cellStyle name="20% - Accent3 5 2 3" xfId="34176" xr:uid="{00000000-0005-0000-0000-000072190000}"/>
    <cellStyle name="20% - Accent3 5 2 3 2" xfId="25360" xr:uid="{00000000-0005-0000-0000-000073190000}"/>
    <cellStyle name="20% - Accent3 5 2 3 2 2" xfId="25359" xr:uid="{00000000-0005-0000-0000-000074190000}"/>
    <cellStyle name="20% - Accent3 5 2 3 2 2 2" xfId="25354" xr:uid="{00000000-0005-0000-0000-000075190000}"/>
    <cellStyle name="20% - Accent3 5 2 3 2 2 2 2" xfId="25350" xr:uid="{00000000-0005-0000-0000-000076190000}"/>
    <cellStyle name="20% - Accent3 5 2 3 2 2 3" xfId="25348" xr:uid="{00000000-0005-0000-0000-000077190000}"/>
    <cellStyle name="20% - Accent3 5 2 3 2 3" xfId="25340" xr:uid="{00000000-0005-0000-0000-000078190000}"/>
    <cellStyle name="20% - Accent3 5 2 3 2 3 2" xfId="25336" xr:uid="{00000000-0005-0000-0000-000079190000}"/>
    <cellStyle name="20% - Accent3 5 2 3 2 4" xfId="25331" xr:uid="{00000000-0005-0000-0000-00007A190000}"/>
    <cellStyle name="20% - Accent3 5 2 3 3" xfId="25327" xr:uid="{00000000-0005-0000-0000-00007B190000}"/>
    <cellStyle name="20% - Accent3 5 2 3 3 2" xfId="5459" xr:uid="{00000000-0005-0000-0000-00007C190000}"/>
    <cellStyle name="20% - Accent3 5 2 3 3 2 2" xfId="25321" xr:uid="{00000000-0005-0000-0000-00007D190000}"/>
    <cellStyle name="20% - Accent3 5 2 3 3 3" xfId="25319" xr:uid="{00000000-0005-0000-0000-00007E190000}"/>
    <cellStyle name="20% - Accent3 5 2 3 4" xfId="25317" xr:uid="{00000000-0005-0000-0000-00007F190000}"/>
    <cellStyle name="20% - Accent3 5 2 3 4 2" xfId="25316" xr:uid="{00000000-0005-0000-0000-000080190000}"/>
    <cellStyle name="20% - Accent3 5 2 3 5" xfId="25313" xr:uid="{00000000-0005-0000-0000-000081190000}"/>
    <cellStyle name="20% - Accent3 5 2 4" xfId="24311" xr:uid="{00000000-0005-0000-0000-000082190000}"/>
    <cellStyle name="20% - Accent3 5 2 4 2" xfId="30365" xr:uid="{00000000-0005-0000-0000-000083190000}"/>
    <cellStyle name="20% - Accent3 5 2 4 2 2" xfId="25311" xr:uid="{00000000-0005-0000-0000-000084190000}"/>
    <cellStyle name="20% - Accent3 5 2 4 2 2 2" xfId="25310" xr:uid="{00000000-0005-0000-0000-000085190000}"/>
    <cellStyle name="20% - Accent3 5 2 4 2 3" xfId="25306" xr:uid="{00000000-0005-0000-0000-000086190000}"/>
    <cellStyle name="20% - Accent3 5 2 4 3" xfId="28637" xr:uid="{00000000-0005-0000-0000-000087190000}"/>
    <cellStyle name="20% - Accent3 5 2 4 3 2" xfId="25299" xr:uid="{00000000-0005-0000-0000-000088190000}"/>
    <cellStyle name="20% - Accent3 5 2 4 4" xfId="28632" xr:uid="{00000000-0005-0000-0000-000089190000}"/>
    <cellStyle name="20% - Accent3 5 2 5" xfId="16660" xr:uid="{00000000-0005-0000-0000-00008A190000}"/>
    <cellStyle name="20% - Accent3 5 2 5 2" xfId="32899" xr:uid="{00000000-0005-0000-0000-00008B190000}"/>
    <cellStyle name="20% - Accent3 5 2 5 2 2" xfId="25298" xr:uid="{00000000-0005-0000-0000-00008C190000}"/>
    <cellStyle name="20% - Accent3 5 2 5 3" xfId="28623" xr:uid="{00000000-0005-0000-0000-00008D190000}"/>
    <cellStyle name="20% - Accent3 5 2 6" xfId="19989" xr:uid="{00000000-0005-0000-0000-00008E190000}"/>
    <cellStyle name="20% - Accent3 5 2 6 2" xfId="25295" xr:uid="{00000000-0005-0000-0000-00008F190000}"/>
    <cellStyle name="20% - Accent3 5 2 7" xfId="18057" xr:uid="{00000000-0005-0000-0000-000090190000}"/>
    <cellStyle name="20% - Accent3 5 2 8" xfId="34803" xr:uid="{00000000-0005-0000-0000-000091190000}"/>
    <cellStyle name="20% - Accent3 5 3" xfId="19249" xr:uid="{00000000-0005-0000-0000-000092190000}"/>
    <cellStyle name="20% - Accent3 5 3 2" xfId="33488" xr:uid="{00000000-0005-0000-0000-000093190000}"/>
    <cellStyle name="20% - Accent3 5 3 2 2" xfId="25287" xr:uid="{00000000-0005-0000-0000-000094190000}"/>
    <cellStyle name="20% - Accent3 5 3 2 2 2" xfId="25286" xr:uid="{00000000-0005-0000-0000-000095190000}"/>
    <cellStyle name="20% - Accent3 5 3 2 2 2 2" xfId="25285" xr:uid="{00000000-0005-0000-0000-000096190000}"/>
    <cellStyle name="20% - Accent3 5 3 2 2 2 2 2" xfId="33029" xr:uid="{00000000-0005-0000-0000-000097190000}"/>
    <cellStyle name="20% - Accent3 5 3 2 2 2 3" xfId="25279" xr:uid="{00000000-0005-0000-0000-000098190000}"/>
    <cellStyle name="20% - Accent3 5 3 2 2 3" xfId="25272" xr:uid="{00000000-0005-0000-0000-000099190000}"/>
    <cellStyle name="20% - Accent3 5 3 2 2 3 2" xfId="21527" xr:uid="{00000000-0005-0000-0000-00009A190000}"/>
    <cellStyle name="20% - Accent3 5 3 2 2 4" xfId="25269" xr:uid="{00000000-0005-0000-0000-00009B190000}"/>
    <cellStyle name="20% - Accent3 5 3 2 3" xfId="25268" xr:uid="{00000000-0005-0000-0000-00009C190000}"/>
    <cellStyle name="20% - Accent3 5 3 2 3 2" xfId="25267" xr:uid="{00000000-0005-0000-0000-00009D190000}"/>
    <cellStyle name="20% - Accent3 5 3 2 3 2 2" xfId="25260" xr:uid="{00000000-0005-0000-0000-00009E190000}"/>
    <cellStyle name="20% - Accent3 5 3 2 3 3" xfId="25255" xr:uid="{00000000-0005-0000-0000-00009F190000}"/>
    <cellStyle name="20% - Accent3 5 3 2 4" xfId="25254" xr:uid="{00000000-0005-0000-0000-0000A0190000}"/>
    <cellStyle name="20% - Accent3 5 3 2 4 2" xfId="30979" xr:uid="{00000000-0005-0000-0000-0000A1190000}"/>
    <cellStyle name="20% - Accent3 5 3 2 5" xfId="25250" xr:uid="{00000000-0005-0000-0000-0000A2190000}"/>
    <cellStyle name="20% - Accent3 5 3 3" xfId="33467" xr:uid="{00000000-0005-0000-0000-0000A3190000}"/>
    <cellStyle name="20% - Accent3 5 3 3 2" xfId="25249" xr:uid="{00000000-0005-0000-0000-0000A4190000}"/>
    <cellStyle name="20% - Accent3 5 3 3 2 2" xfId="25247" xr:uid="{00000000-0005-0000-0000-0000A5190000}"/>
    <cellStyle name="20% - Accent3 5 3 3 2 2 2" xfId="25243" xr:uid="{00000000-0005-0000-0000-0000A6190000}"/>
    <cellStyle name="20% - Accent3 5 3 3 2 3" xfId="25238" xr:uid="{00000000-0005-0000-0000-0000A7190000}"/>
    <cellStyle name="20% - Accent3 5 3 3 3" xfId="25233" xr:uid="{00000000-0005-0000-0000-0000A8190000}"/>
    <cellStyle name="20% - Accent3 5 3 3 3 2" xfId="25229" xr:uid="{00000000-0005-0000-0000-0000A9190000}"/>
    <cellStyle name="20% - Accent3 5 3 3 4" xfId="25228" xr:uid="{00000000-0005-0000-0000-0000AA190000}"/>
    <cellStyle name="20% - Accent3 5 3 4" xfId="30688" xr:uid="{00000000-0005-0000-0000-0000AB190000}"/>
    <cellStyle name="20% - Accent3 5 3 4 2" xfId="25222" xr:uid="{00000000-0005-0000-0000-0000AC190000}"/>
    <cellStyle name="20% - Accent3 5 3 4 2 2" xfId="31459" xr:uid="{00000000-0005-0000-0000-0000AD190000}"/>
    <cellStyle name="20% - Accent3 5 3 4 3" xfId="28601" xr:uid="{00000000-0005-0000-0000-0000AE190000}"/>
    <cellStyle name="20% - Accent3 5 3 5" xfId="16648" xr:uid="{00000000-0005-0000-0000-0000AF190000}"/>
    <cellStyle name="20% - Accent3 5 3 5 2" xfId="25220" xr:uid="{00000000-0005-0000-0000-0000B0190000}"/>
    <cellStyle name="20% - Accent3 5 3 6" xfId="21456" xr:uid="{00000000-0005-0000-0000-0000B1190000}"/>
    <cellStyle name="20% - Accent3 5 3 7" xfId="35005" xr:uid="{00000000-0005-0000-0000-0000B2190000}"/>
    <cellStyle name="20% - Accent3 5 4" xfId="33332" xr:uid="{00000000-0005-0000-0000-0000B3190000}"/>
    <cellStyle name="20% - Accent3 5 4 2" xfId="33330" xr:uid="{00000000-0005-0000-0000-0000B4190000}"/>
    <cellStyle name="20% - Accent3 5 4 2 2" xfId="25215" xr:uid="{00000000-0005-0000-0000-0000B5190000}"/>
    <cellStyle name="20% - Accent3 5 4 2 2 2" xfId="15776" xr:uid="{00000000-0005-0000-0000-0000B6190000}"/>
    <cellStyle name="20% - Accent3 5 4 2 2 2 2" xfId="30914" xr:uid="{00000000-0005-0000-0000-0000B7190000}"/>
    <cellStyle name="20% - Accent3 5 4 2 2 3" xfId="33896" xr:uid="{00000000-0005-0000-0000-0000B8190000}"/>
    <cellStyle name="20% - Accent3 5 4 2 3" xfId="25208" xr:uid="{00000000-0005-0000-0000-0000B9190000}"/>
    <cellStyle name="20% - Accent3 5 4 2 3 2" xfId="25203" xr:uid="{00000000-0005-0000-0000-0000BA190000}"/>
    <cellStyle name="20% - Accent3 5 4 2 4" xfId="25200" xr:uid="{00000000-0005-0000-0000-0000BB190000}"/>
    <cellStyle name="20% - Accent3 5 4 3" xfId="27394" xr:uid="{00000000-0005-0000-0000-0000BC190000}"/>
    <cellStyle name="20% - Accent3 5 4 3 2" xfId="26662" xr:uid="{00000000-0005-0000-0000-0000BD190000}"/>
    <cellStyle name="20% - Accent3 5 4 3 2 2" xfId="24363" xr:uid="{00000000-0005-0000-0000-0000BE190000}"/>
    <cellStyle name="20% - Accent3 5 4 3 3" xfId="26659" xr:uid="{00000000-0005-0000-0000-0000BF190000}"/>
    <cellStyle name="20% - Accent3 5 4 4" xfId="30681" xr:uid="{00000000-0005-0000-0000-0000C0190000}"/>
    <cellStyle name="20% - Accent3 5 4 4 2" xfId="26654" xr:uid="{00000000-0005-0000-0000-0000C1190000}"/>
    <cellStyle name="20% - Accent3 5 4 5" xfId="16643" xr:uid="{00000000-0005-0000-0000-0000C2190000}"/>
    <cellStyle name="20% - Accent3 5 4 6" xfId="35211" xr:uid="{00000000-0005-0000-0000-0000C3190000}"/>
    <cellStyle name="20% - Accent3 5 5" xfId="8311" xr:uid="{00000000-0005-0000-0000-0000C4190000}"/>
    <cellStyle name="20% - Accent3 5 5 2" xfId="27392" xr:uid="{00000000-0005-0000-0000-0000C5190000}"/>
    <cellStyle name="20% - Accent3 5 5 2 2" xfId="28608" xr:uid="{00000000-0005-0000-0000-0000C6190000}"/>
    <cellStyle name="20% - Accent3 5 5 2 2 2" xfId="25198" xr:uid="{00000000-0005-0000-0000-0000C7190000}"/>
    <cellStyle name="20% - Accent3 5 5 2 3" xfId="25193" xr:uid="{00000000-0005-0000-0000-0000C8190000}"/>
    <cellStyle name="20% - Accent3 5 5 3" xfId="26647" xr:uid="{00000000-0005-0000-0000-0000C9190000}"/>
    <cellStyle name="20% - Accent3 5 5 3 2" xfId="26638" xr:uid="{00000000-0005-0000-0000-0000CA190000}"/>
    <cellStyle name="20% - Accent3 5 5 4" xfId="28340" xr:uid="{00000000-0005-0000-0000-0000CB190000}"/>
    <cellStyle name="20% - Accent3 5 5 5" xfId="35440" xr:uid="{00000000-0005-0000-0000-0000CC190000}"/>
    <cellStyle name="20% - Accent3 5 6" xfId="27388" xr:uid="{00000000-0005-0000-0000-0000CD190000}"/>
    <cellStyle name="20% - Accent3 5 6 2" xfId="25191" xr:uid="{00000000-0005-0000-0000-0000CE190000}"/>
    <cellStyle name="20% - Accent3 5 6 2 2" xfId="23160" xr:uid="{00000000-0005-0000-0000-0000CF190000}"/>
    <cellStyle name="20% - Accent3 5 6 3" xfId="26628" xr:uid="{00000000-0005-0000-0000-0000D0190000}"/>
    <cellStyle name="20% - Accent3 5 6 4" xfId="36312" xr:uid="{00000000-0005-0000-0000-0000D1190000}"/>
    <cellStyle name="20% - Accent3 5 7" xfId="31830" xr:uid="{00000000-0005-0000-0000-0000D2190000}"/>
    <cellStyle name="20% - Accent3 5 7 2" xfId="25189" xr:uid="{00000000-0005-0000-0000-0000D3190000}"/>
    <cellStyle name="20% - Accent3 5 7 3" xfId="36598" xr:uid="{00000000-0005-0000-0000-0000D4190000}"/>
    <cellStyle name="20% - Accent3 5 8" xfId="29192" xr:uid="{00000000-0005-0000-0000-0000D5190000}"/>
    <cellStyle name="20% - Accent3 5 8 2" xfId="37483" xr:uid="{00000000-0005-0000-0000-0000D6190000}"/>
    <cellStyle name="20% - Accent3 5 9" xfId="34581" xr:uid="{00000000-0005-0000-0000-0000D7190000}"/>
    <cellStyle name="20% - Accent3 6" xfId="286" xr:uid="{00000000-0005-0000-0000-0000D8190000}"/>
    <cellStyle name="20% - Accent3 6 2" xfId="19243" xr:uid="{00000000-0005-0000-0000-0000D9190000}"/>
    <cellStyle name="20% - Accent3 6 2 2" xfId="15591" xr:uid="{00000000-0005-0000-0000-0000DA190000}"/>
    <cellStyle name="20% - Accent3 6 2 2 2" xfId="21177" xr:uid="{00000000-0005-0000-0000-0000DB190000}"/>
    <cellStyle name="20% - Accent3 6 2 2 2 2" xfId="21172" xr:uid="{00000000-0005-0000-0000-0000DC190000}"/>
    <cellStyle name="20% - Accent3 6 2 2 2 2 2" xfId="25188" xr:uid="{00000000-0005-0000-0000-0000DD190000}"/>
    <cellStyle name="20% - Accent3 6 2 2 2 2 2 2" xfId="22959" xr:uid="{00000000-0005-0000-0000-0000DE190000}"/>
    <cellStyle name="20% - Accent3 6 2 2 2 2 3" xfId="25182" xr:uid="{00000000-0005-0000-0000-0000DF190000}"/>
    <cellStyle name="20% - Accent3 6 2 2 2 3" xfId="25179" xr:uid="{00000000-0005-0000-0000-0000E0190000}"/>
    <cellStyle name="20% - Accent3 6 2 2 2 3 2" xfId="27678" xr:uid="{00000000-0005-0000-0000-0000E1190000}"/>
    <cellStyle name="20% - Accent3 6 2 2 2 4" xfId="25177" xr:uid="{00000000-0005-0000-0000-0000E2190000}"/>
    <cellStyle name="20% - Accent3 6 2 2 3" xfId="21169" xr:uid="{00000000-0005-0000-0000-0000E3190000}"/>
    <cellStyle name="20% - Accent3 6 2 2 3 2" xfId="32906" xr:uid="{00000000-0005-0000-0000-0000E4190000}"/>
    <cellStyle name="20% - Accent3 6 2 2 3 2 2" xfId="25174" xr:uid="{00000000-0005-0000-0000-0000E5190000}"/>
    <cellStyle name="20% - Accent3 6 2 2 3 3" xfId="25173" xr:uid="{00000000-0005-0000-0000-0000E6190000}"/>
    <cellStyle name="20% - Accent3 6 2 2 4" xfId="31156" xr:uid="{00000000-0005-0000-0000-0000E7190000}"/>
    <cellStyle name="20% - Accent3 6 2 2 4 2" xfId="27170" xr:uid="{00000000-0005-0000-0000-0000E8190000}"/>
    <cellStyle name="20% - Accent3 6 2 2 5" xfId="27166" xr:uid="{00000000-0005-0000-0000-0000E9190000}"/>
    <cellStyle name="20% - Accent3 6 2 3" xfId="27350" xr:uid="{00000000-0005-0000-0000-0000EA190000}"/>
    <cellStyle name="20% - Accent3 6 2 3 2" xfId="21160" xr:uid="{00000000-0005-0000-0000-0000EB190000}"/>
    <cellStyle name="20% - Accent3 6 2 3 2 2" xfId="26447" xr:uid="{00000000-0005-0000-0000-0000EC190000}"/>
    <cellStyle name="20% - Accent3 6 2 3 2 2 2" xfId="25169" xr:uid="{00000000-0005-0000-0000-0000ED190000}"/>
    <cellStyle name="20% - Accent3 6 2 3 2 3" xfId="25163" xr:uid="{00000000-0005-0000-0000-0000EE190000}"/>
    <cellStyle name="20% - Accent3 6 2 3 3" xfId="31329" xr:uid="{00000000-0005-0000-0000-0000EF190000}"/>
    <cellStyle name="20% - Accent3 6 2 3 3 2" xfId="25154" xr:uid="{00000000-0005-0000-0000-0000F0190000}"/>
    <cellStyle name="20% - Accent3 6 2 3 4" xfId="27160" xr:uid="{00000000-0005-0000-0000-0000F1190000}"/>
    <cellStyle name="20% - Accent3 6 2 4" xfId="27344" xr:uid="{00000000-0005-0000-0000-0000F2190000}"/>
    <cellStyle name="20% - Accent3 6 2 4 2" xfId="25152" xr:uid="{00000000-0005-0000-0000-0000F3190000}"/>
    <cellStyle name="20% - Accent3 6 2 4 2 2" xfId="25760" xr:uid="{00000000-0005-0000-0000-0000F4190000}"/>
    <cellStyle name="20% - Accent3 6 2 4 3" xfId="28571" xr:uid="{00000000-0005-0000-0000-0000F5190000}"/>
    <cellStyle name="20% - Accent3 6 2 5" xfId="20482" xr:uid="{00000000-0005-0000-0000-0000F6190000}"/>
    <cellStyle name="20% - Accent3 6 2 5 2" xfId="33308" xr:uid="{00000000-0005-0000-0000-0000F7190000}"/>
    <cellStyle name="20% - Accent3 6 2 6" xfId="21433" xr:uid="{00000000-0005-0000-0000-0000F8190000}"/>
    <cellStyle name="20% - Accent3 6 2 7" xfId="34822" xr:uid="{00000000-0005-0000-0000-0000F9190000}"/>
    <cellStyle name="20% - Accent3 6 3" xfId="15587" xr:uid="{00000000-0005-0000-0000-0000FA190000}"/>
    <cellStyle name="20% - Accent3 6 3 2" xfId="33305" xr:uid="{00000000-0005-0000-0000-0000FB190000}"/>
    <cellStyle name="20% - Accent3 6 3 2 2" xfId="21143" xr:uid="{00000000-0005-0000-0000-0000FC190000}"/>
    <cellStyle name="20% - Accent3 6 3 2 2 2" xfId="25151" xr:uid="{00000000-0005-0000-0000-0000FD190000}"/>
    <cellStyle name="20% - Accent3 6 3 2 2 2 2" xfId="27450" xr:uid="{00000000-0005-0000-0000-0000FE190000}"/>
    <cellStyle name="20% - Accent3 6 3 2 2 3" xfId="25150" xr:uid="{00000000-0005-0000-0000-0000FF190000}"/>
    <cellStyle name="20% - Accent3 6 3 2 3" xfId="30300" xr:uid="{00000000-0005-0000-0000-0000001A0000}"/>
    <cellStyle name="20% - Accent3 6 3 2 3 2" xfId="25148" xr:uid="{00000000-0005-0000-0000-0000011A0000}"/>
    <cellStyle name="20% - Accent3 6 3 2 4" xfId="27143" xr:uid="{00000000-0005-0000-0000-0000021A0000}"/>
    <cellStyle name="20% - Accent3 6 3 3" xfId="27338" xr:uid="{00000000-0005-0000-0000-0000031A0000}"/>
    <cellStyle name="20% - Accent3 6 3 3 2" xfId="25145" xr:uid="{00000000-0005-0000-0000-0000041A0000}"/>
    <cellStyle name="20% - Accent3 6 3 3 2 2" xfId="26886" xr:uid="{00000000-0005-0000-0000-0000051A0000}"/>
    <cellStyle name="20% - Accent3 6 3 3 3" xfId="25140" xr:uid="{00000000-0005-0000-0000-0000061A0000}"/>
    <cellStyle name="20% - Accent3 6 3 4" xfId="30673" xr:uid="{00000000-0005-0000-0000-0000071A0000}"/>
    <cellStyle name="20% - Accent3 6 3 4 2" xfId="25135" xr:uid="{00000000-0005-0000-0000-0000081A0000}"/>
    <cellStyle name="20% - Accent3 6 3 5" xfId="16631" xr:uid="{00000000-0005-0000-0000-0000091A0000}"/>
    <cellStyle name="20% - Accent3 6 3 6" xfId="35024" xr:uid="{00000000-0005-0000-0000-00000A1A0000}"/>
    <cellStyle name="20% - Accent3 6 4" xfId="15585" xr:uid="{00000000-0005-0000-0000-00000B1A0000}"/>
    <cellStyle name="20% - Accent3 6 4 2" xfId="27335" xr:uid="{00000000-0005-0000-0000-00000C1A0000}"/>
    <cellStyle name="20% - Accent3 6 4 2 2" xfId="25130" xr:uid="{00000000-0005-0000-0000-00000D1A0000}"/>
    <cellStyle name="20% - Accent3 6 4 2 2 2" xfId="34096" xr:uid="{00000000-0005-0000-0000-00000E1A0000}"/>
    <cellStyle name="20% - Accent3 6 4 2 3" xfId="25121" xr:uid="{00000000-0005-0000-0000-00000F1A0000}"/>
    <cellStyle name="20% - Accent3 6 4 3" xfId="26622" xr:uid="{00000000-0005-0000-0000-0000101A0000}"/>
    <cellStyle name="20% - Accent3 6 4 3 2" xfId="26619" xr:uid="{00000000-0005-0000-0000-0000111A0000}"/>
    <cellStyle name="20% - Accent3 6 4 4" xfId="30663" xr:uid="{00000000-0005-0000-0000-0000121A0000}"/>
    <cellStyle name="20% - Accent3 6 4 5" xfId="35230" xr:uid="{00000000-0005-0000-0000-0000131A0000}"/>
    <cellStyle name="20% - Accent3 6 5" xfId="15583" xr:uid="{00000000-0005-0000-0000-0000141A0000}"/>
    <cellStyle name="20% - Accent3 6 5 2" xfId="25115" xr:uid="{00000000-0005-0000-0000-0000151A0000}"/>
    <cellStyle name="20% - Accent3 6 5 2 2" xfId="17753" xr:uid="{00000000-0005-0000-0000-0000161A0000}"/>
    <cellStyle name="20% - Accent3 6 5 3" xfId="26601" xr:uid="{00000000-0005-0000-0000-0000171A0000}"/>
    <cellStyle name="20% - Accent3 6 5 4" xfId="35459" xr:uid="{00000000-0005-0000-0000-0000181A0000}"/>
    <cellStyle name="20% - Accent3 6 6" xfId="28240" xr:uid="{00000000-0005-0000-0000-0000191A0000}"/>
    <cellStyle name="20% - Accent3 6 6 2" xfId="25113" xr:uid="{00000000-0005-0000-0000-00001A1A0000}"/>
    <cellStyle name="20% - Accent3 6 6 3" xfId="36331" xr:uid="{00000000-0005-0000-0000-00001B1A0000}"/>
    <cellStyle name="20% - Accent3 6 7" xfId="25112" xr:uid="{00000000-0005-0000-0000-00001C1A0000}"/>
    <cellStyle name="20% - Accent3 6 7 2" xfId="36617" xr:uid="{00000000-0005-0000-0000-00001D1A0000}"/>
    <cellStyle name="20% - Accent3 6 8" xfId="34595" xr:uid="{00000000-0005-0000-0000-00001E1A0000}"/>
    <cellStyle name="20% - Accent3 6 9" xfId="19245" xr:uid="{00000000-0005-0000-0000-00001F1A0000}"/>
    <cellStyle name="20% - Accent3 7" xfId="306" xr:uid="{00000000-0005-0000-0000-0000201A0000}"/>
    <cellStyle name="20% - Accent3 7 2" xfId="19846" xr:uid="{00000000-0005-0000-0000-0000211A0000}"/>
    <cellStyle name="20% - Accent3 7 2 2" xfId="27326" xr:uid="{00000000-0005-0000-0000-0000221A0000}"/>
    <cellStyle name="20% - Accent3 7 2 2 2" xfId="20608" xr:uid="{00000000-0005-0000-0000-0000231A0000}"/>
    <cellStyle name="20% - Accent3 7 2 2 2 2" xfId="32700" xr:uid="{00000000-0005-0000-0000-0000241A0000}"/>
    <cellStyle name="20% - Accent3 7 2 2 2 2 2" xfId="23271" xr:uid="{00000000-0005-0000-0000-0000251A0000}"/>
    <cellStyle name="20% - Accent3 7 2 2 2 3" xfId="33251" xr:uid="{00000000-0005-0000-0000-0000261A0000}"/>
    <cellStyle name="20% - Accent3 7 2 2 3" xfId="27759" xr:uid="{00000000-0005-0000-0000-0000271A0000}"/>
    <cellStyle name="20% - Accent3 7 2 2 3 2" xfId="26329" xr:uid="{00000000-0005-0000-0000-0000281A0000}"/>
    <cellStyle name="20% - Accent3 7 2 2 4" xfId="27754" xr:uid="{00000000-0005-0000-0000-0000291A0000}"/>
    <cellStyle name="20% - Accent3 7 2 3" xfId="27322" xr:uid="{00000000-0005-0000-0000-00002A1A0000}"/>
    <cellStyle name="20% - Accent3 7 2 3 2" xfId="25110" xr:uid="{00000000-0005-0000-0000-00002B1A0000}"/>
    <cellStyle name="20% - Accent3 7 2 3 2 2" xfId="32625" xr:uid="{00000000-0005-0000-0000-00002C1A0000}"/>
    <cellStyle name="20% - Accent3 7 2 3 3" xfId="27753" xr:uid="{00000000-0005-0000-0000-00002D1A0000}"/>
    <cellStyle name="20% - Accent3 7 2 4" xfId="25109" xr:uid="{00000000-0005-0000-0000-00002E1A0000}"/>
    <cellStyle name="20% - Accent3 7 2 4 2" xfId="25107" xr:uid="{00000000-0005-0000-0000-00002F1A0000}"/>
    <cellStyle name="20% - Accent3 7 2 5" xfId="21417" xr:uid="{00000000-0005-0000-0000-0000301A0000}"/>
    <cellStyle name="20% - Accent3 7 2 6" xfId="34841" xr:uid="{00000000-0005-0000-0000-0000311A0000}"/>
    <cellStyle name="20% - Accent3 7 3" xfId="28211" xr:uid="{00000000-0005-0000-0000-0000321A0000}"/>
    <cellStyle name="20% - Accent3 7 3 2" xfId="27318" xr:uid="{00000000-0005-0000-0000-0000331A0000}"/>
    <cellStyle name="20% - Accent3 7 3 2 2" xfId="32404" xr:uid="{00000000-0005-0000-0000-0000341A0000}"/>
    <cellStyle name="20% - Accent3 7 3 2 2 2" xfId="32523" xr:uid="{00000000-0005-0000-0000-0000351A0000}"/>
    <cellStyle name="20% - Accent3 7 3 2 3" xfId="33036" xr:uid="{00000000-0005-0000-0000-0000361A0000}"/>
    <cellStyle name="20% - Accent3 7 3 3" xfId="25105" xr:uid="{00000000-0005-0000-0000-0000371A0000}"/>
    <cellStyle name="20% - Accent3 7 3 3 2" xfId="34012" xr:uid="{00000000-0005-0000-0000-0000381A0000}"/>
    <cellStyle name="20% - Accent3 7 3 4" xfId="22157" xr:uid="{00000000-0005-0000-0000-0000391A0000}"/>
    <cellStyle name="20% - Accent3 7 3 5" xfId="35043" xr:uid="{00000000-0005-0000-0000-00003A1A0000}"/>
    <cellStyle name="20% - Accent3 7 4" xfId="28205" xr:uid="{00000000-0005-0000-0000-00003B1A0000}"/>
    <cellStyle name="20% - Accent3 7 4 2" xfId="25104" xr:uid="{00000000-0005-0000-0000-00003C1A0000}"/>
    <cellStyle name="20% - Accent3 7 4 2 2" xfId="17728" xr:uid="{00000000-0005-0000-0000-00003D1A0000}"/>
    <cellStyle name="20% - Accent3 7 4 3" xfId="26593" xr:uid="{00000000-0005-0000-0000-00003E1A0000}"/>
    <cellStyle name="20% - Accent3 7 4 4" xfId="35250" xr:uid="{00000000-0005-0000-0000-00003F1A0000}"/>
    <cellStyle name="20% - Accent3 7 5" xfId="28237" xr:uid="{00000000-0005-0000-0000-0000401A0000}"/>
    <cellStyle name="20% - Accent3 7 5 2" xfId="25100" xr:uid="{00000000-0005-0000-0000-0000411A0000}"/>
    <cellStyle name="20% - Accent3 7 5 3" xfId="35479" xr:uid="{00000000-0005-0000-0000-0000421A0000}"/>
    <cellStyle name="20% - Accent3 7 6" xfId="28522" xr:uid="{00000000-0005-0000-0000-0000431A0000}"/>
    <cellStyle name="20% - Accent3 7 6 2" xfId="36351" xr:uid="{00000000-0005-0000-0000-0000441A0000}"/>
    <cellStyle name="20% - Accent3 7 7" xfId="34609" xr:uid="{00000000-0005-0000-0000-0000451A0000}"/>
    <cellStyle name="20% - Accent3 7 8" xfId="20128" xr:uid="{00000000-0005-0000-0000-0000461A0000}"/>
    <cellStyle name="20% - Accent3 7 8 2" xfId="37509" xr:uid="{00000000-0005-0000-0000-0000471A0000}"/>
    <cellStyle name="20% - Accent3 8" xfId="326" xr:uid="{00000000-0005-0000-0000-0000481A0000}"/>
    <cellStyle name="20% - Accent3 8 2" xfId="27306" xr:uid="{00000000-0005-0000-0000-0000491A0000}"/>
    <cellStyle name="20% - Accent3 8 2 2" xfId="24693" xr:uid="{00000000-0005-0000-0000-00004A1A0000}"/>
    <cellStyle name="20% - Accent3 8 2 2 2" xfId="25097" xr:uid="{00000000-0005-0000-0000-00004B1A0000}"/>
    <cellStyle name="20% - Accent3 8 2 2 2 2" xfId="6280" xr:uid="{00000000-0005-0000-0000-00004C1A0000}"/>
    <cellStyle name="20% - Accent3 8 2 2 3" xfId="25103" xr:uid="{00000000-0005-0000-0000-00004D1A0000}"/>
    <cellStyle name="20% - Accent3 8 2 3" xfId="25096" xr:uid="{00000000-0005-0000-0000-00004E1A0000}"/>
    <cellStyle name="20% - Accent3 8 2 3 2" xfId="25093" xr:uid="{00000000-0005-0000-0000-00004F1A0000}"/>
    <cellStyle name="20% - Accent3 8 2 4" xfId="25090" xr:uid="{00000000-0005-0000-0000-0000501A0000}"/>
    <cellStyle name="20% - Accent3 8 2 5" xfId="34860" xr:uid="{00000000-0005-0000-0000-0000511A0000}"/>
    <cellStyle name="20% - Accent3 8 3" xfId="27300" xr:uid="{00000000-0005-0000-0000-0000521A0000}"/>
    <cellStyle name="20% - Accent3 8 3 2" xfId="32985" xr:uid="{00000000-0005-0000-0000-0000531A0000}"/>
    <cellStyle name="20% - Accent3 8 3 2 2" xfId="31344" xr:uid="{00000000-0005-0000-0000-0000541A0000}"/>
    <cellStyle name="20% - Accent3 8 3 3" xfId="25089" xr:uid="{00000000-0005-0000-0000-0000551A0000}"/>
    <cellStyle name="20% - Accent3 8 3 4" xfId="35062" xr:uid="{00000000-0005-0000-0000-0000561A0000}"/>
    <cellStyle name="20% - Accent3 8 4" xfId="25088" xr:uid="{00000000-0005-0000-0000-0000571A0000}"/>
    <cellStyle name="20% - Accent3 8 4 2" xfId="25087" xr:uid="{00000000-0005-0000-0000-0000581A0000}"/>
    <cellStyle name="20% - Accent3 8 4 3" xfId="35269" xr:uid="{00000000-0005-0000-0000-0000591A0000}"/>
    <cellStyle name="20% - Accent3 8 5" xfId="27223" xr:uid="{00000000-0005-0000-0000-00005A1A0000}"/>
    <cellStyle name="20% - Accent3 8 5 2" xfId="35498" xr:uid="{00000000-0005-0000-0000-00005B1A0000}"/>
    <cellStyle name="20% - Accent3 8 6" xfId="34623" xr:uid="{00000000-0005-0000-0000-00005C1A0000}"/>
    <cellStyle name="20% - Accent3 8 7" xfId="29490" xr:uid="{00000000-0005-0000-0000-00005D1A0000}"/>
    <cellStyle name="20% - Accent3 8 7 2" xfId="36643" xr:uid="{00000000-0005-0000-0000-00005E1A0000}"/>
    <cellStyle name="20% - Accent3 8 8" xfId="37528" xr:uid="{00000000-0005-0000-0000-00005F1A0000}"/>
    <cellStyle name="20% - Accent3 9" xfId="346" xr:uid="{00000000-0005-0000-0000-0000601A0000}"/>
    <cellStyle name="20% - Accent3 9 2" xfId="27290" xr:uid="{00000000-0005-0000-0000-0000611A0000}"/>
    <cellStyle name="20% - Accent3 9 2 2" xfId="25085" xr:uid="{00000000-0005-0000-0000-0000621A0000}"/>
    <cellStyle name="20% - Accent3 9 2 2 2" xfId="25079" xr:uid="{00000000-0005-0000-0000-0000631A0000}"/>
    <cellStyle name="20% - Accent3 9 2 3" xfId="25075" xr:uid="{00000000-0005-0000-0000-0000641A0000}"/>
    <cellStyle name="20% - Accent3 9 2 4" xfId="34880" xr:uid="{00000000-0005-0000-0000-0000651A0000}"/>
    <cellStyle name="20% - Accent3 9 3" xfId="13587" xr:uid="{00000000-0005-0000-0000-0000661A0000}"/>
    <cellStyle name="20% - Accent3 9 3 2" xfId="25072" xr:uid="{00000000-0005-0000-0000-0000671A0000}"/>
    <cellStyle name="20% - Accent3 9 3 3" xfId="35081" xr:uid="{00000000-0005-0000-0000-0000681A0000}"/>
    <cellStyle name="20% - Accent3 9 4" xfId="18610" xr:uid="{00000000-0005-0000-0000-0000691A0000}"/>
    <cellStyle name="20% - Accent3 9 4 2" xfId="35289" xr:uid="{00000000-0005-0000-0000-00006A1A0000}"/>
    <cellStyle name="20% - Accent3 9 5" xfId="34637" xr:uid="{00000000-0005-0000-0000-00006B1A0000}"/>
    <cellStyle name="20% - Accent3 9 6" xfId="21453" xr:uid="{00000000-0005-0000-0000-00006C1A0000}"/>
    <cellStyle name="20% - Accent3 9 6 2" xfId="36377" xr:uid="{00000000-0005-0000-0000-00006D1A0000}"/>
    <cellStyle name="20% - Accent3 9 7" xfId="36663" xr:uid="{00000000-0005-0000-0000-00006E1A0000}"/>
    <cellStyle name="20% - Accent3 9 8" xfId="37548" xr:uid="{00000000-0005-0000-0000-00006F1A0000}"/>
    <cellStyle name="20% - Accent4" xfId="35" builtinId="42" customBuiltin="1"/>
    <cellStyle name="20% - Accent4 10" xfId="187" xr:uid="{00000000-0005-0000-0000-0000711A0000}"/>
    <cellStyle name="20% - Accent4 10 2" xfId="27093" xr:uid="{00000000-0005-0000-0000-0000721A0000}"/>
    <cellStyle name="20% - Accent4 10 2 2" xfId="33438" xr:uid="{00000000-0005-0000-0000-0000731A0000}"/>
    <cellStyle name="20% - Accent4 10 2 3" xfId="34901" xr:uid="{00000000-0005-0000-0000-0000741A0000}"/>
    <cellStyle name="20% - Accent4 10 3" xfId="25070" xr:uid="{00000000-0005-0000-0000-0000751A0000}"/>
    <cellStyle name="20% - Accent4 10 3 2" xfId="35103" xr:uid="{00000000-0005-0000-0000-0000761A0000}"/>
    <cellStyle name="20% - Accent4 10 4" xfId="34526" xr:uid="{00000000-0005-0000-0000-0000771A0000}"/>
    <cellStyle name="20% - Accent4 10 5" xfId="25476" xr:uid="{00000000-0005-0000-0000-0000781A0000}"/>
    <cellStyle name="20% - Accent4 10 5 2" xfId="35526" xr:uid="{00000000-0005-0000-0000-0000791A0000}"/>
    <cellStyle name="20% - Accent4 10 6" xfId="36399" xr:uid="{00000000-0005-0000-0000-00007A1A0000}"/>
    <cellStyle name="20% - Accent4 10 7" xfId="36685" xr:uid="{00000000-0005-0000-0000-00007B1A0000}"/>
    <cellStyle name="20% - Accent4 10 8" xfId="37570" xr:uid="{00000000-0005-0000-0000-00007C1A0000}"/>
    <cellStyle name="20% - Accent4 11" xfId="32020" xr:uid="{00000000-0005-0000-0000-00007D1A0000}"/>
    <cellStyle name="20% - Accent4 11 2" xfId="34322" xr:uid="{00000000-0005-0000-0000-00007E1A0000}"/>
    <cellStyle name="20% - Accent4 11 2 2" xfId="35122" xr:uid="{00000000-0005-0000-0000-00007F1A0000}"/>
    <cellStyle name="20% - Accent4 11 3" xfId="34696" xr:uid="{00000000-0005-0000-0000-0000801A0000}"/>
    <cellStyle name="20% - Accent4 11 4" xfId="35546" xr:uid="{00000000-0005-0000-0000-0000811A0000}"/>
    <cellStyle name="20% - Accent4 11 5" xfId="36419" xr:uid="{00000000-0005-0000-0000-0000821A0000}"/>
    <cellStyle name="20% - Accent4 11 6" xfId="36705" xr:uid="{00000000-0005-0000-0000-0000831A0000}"/>
    <cellStyle name="20% - Accent4 11 7" xfId="37590" xr:uid="{00000000-0005-0000-0000-0000841A0000}"/>
    <cellStyle name="20% - Accent4 12" xfId="33724" xr:uid="{00000000-0005-0000-0000-0000851A0000}"/>
    <cellStyle name="20% - Accent4 12 2" xfId="34712" xr:uid="{00000000-0005-0000-0000-0000861A0000}"/>
    <cellStyle name="20% - Accent4 12 3" xfId="35325" xr:uid="{00000000-0005-0000-0000-0000871A0000}"/>
    <cellStyle name="20% - Accent4 12 4" xfId="35565" xr:uid="{00000000-0005-0000-0000-0000881A0000}"/>
    <cellStyle name="20% - Accent4 12 5" xfId="36438" xr:uid="{00000000-0005-0000-0000-0000891A0000}"/>
    <cellStyle name="20% - Accent4 12 6" xfId="36724" xr:uid="{00000000-0005-0000-0000-00008A1A0000}"/>
    <cellStyle name="20% - Accent4 12 7" xfId="37609" xr:uid="{00000000-0005-0000-0000-00008B1A0000}"/>
    <cellStyle name="20% - Accent4 13" xfId="27892" xr:uid="{00000000-0005-0000-0000-00008C1A0000}"/>
    <cellStyle name="20% - Accent4 13 2" xfId="34740" xr:uid="{00000000-0005-0000-0000-00008D1A0000}"/>
    <cellStyle name="20% - Accent4 13 3" xfId="35584" xr:uid="{00000000-0005-0000-0000-00008E1A0000}"/>
    <cellStyle name="20% - Accent4 13 4" xfId="36459" xr:uid="{00000000-0005-0000-0000-00008F1A0000}"/>
    <cellStyle name="20% - Accent4 13 5" xfId="36745" xr:uid="{00000000-0005-0000-0000-0000901A0000}"/>
    <cellStyle name="20% - Accent4 13 6" xfId="37630" xr:uid="{00000000-0005-0000-0000-0000911A0000}"/>
    <cellStyle name="20% - Accent4 14" xfId="30599" xr:uid="{00000000-0005-0000-0000-0000921A0000}"/>
    <cellStyle name="20% - Accent4 14 2" xfId="34930" xr:uid="{00000000-0005-0000-0000-0000931A0000}"/>
    <cellStyle name="20% - Accent4 14 3" xfId="36757" xr:uid="{00000000-0005-0000-0000-0000941A0000}"/>
    <cellStyle name="20% - Accent4 14 4" xfId="37642" xr:uid="{00000000-0005-0000-0000-0000951A0000}"/>
    <cellStyle name="20% - Accent4 15" xfId="34650" xr:uid="{00000000-0005-0000-0000-0000961A0000}"/>
    <cellStyle name="20% - Accent4 15 2" xfId="36484" xr:uid="{00000000-0005-0000-0000-0000971A0000}"/>
    <cellStyle name="20% - Accent4 15 3" xfId="36782" xr:uid="{00000000-0005-0000-0000-0000981A0000}"/>
    <cellStyle name="20% - Accent4 15 4" xfId="37670" xr:uid="{00000000-0005-0000-0000-0000991A0000}"/>
    <cellStyle name="20% - Accent4 16" xfId="35364" xr:uid="{00000000-0005-0000-0000-00009A1A0000}"/>
    <cellStyle name="20% - Accent4 16 2" xfId="36502" xr:uid="{00000000-0005-0000-0000-00009B1A0000}"/>
    <cellStyle name="20% - Accent4 16 3" xfId="36800" xr:uid="{00000000-0005-0000-0000-00009C1A0000}"/>
    <cellStyle name="20% - Accent4 16 4" xfId="37689" xr:uid="{00000000-0005-0000-0000-00009D1A0000}"/>
    <cellStyle name="20% - Accent4 17" xfId="35651" xr:uid="{00000000-0005-0000-0000-00009E1A0000}"/>
    <cellStyle name="20% - Accent4 17 2" xfId="36819" xr:uid="{00000000-0005-0000-0000-00009F1A0000}"/>
    <cellStyle name="20% - Accent4 17 3" xfId="37709" xr:uid="{00000000-0005-0000-0000-0000A01A0000}"/>
    <cellStyle name="20% - Accent4 18" xfId="35669" xr:uid="{00000000-0005-0000-0000-0000A11A0000}"/>
    <cellStyle name="20% - Accent4 18 2" xfId="36838" xr:uid="{00000000-0005-0000-0000-0000A21A0000}"/>
    <cellStyle name="20% - Accent4 18 3" xfId="37728" xr:uid="{00000000-0005-0000-0000-0000A31A0000}"/>
    <cellStyle name="20% - Accent4 19" xfId="35688" xr:uid="{00000000-0005-0000-0000-0000A41A0000}"/>
    <cellStyle name="20% - Accent4 19 2" xfId="36857" xr:uid="{00000000-0005-0000-0000-0000A51A0000}"/>
    <cellStyle name="20% - Accent4 19 3" xfId="37747" xr:uid="{00000000-0005-0000-0000-0000A61A0000}"/>
    <cellStyle name="20% - Accent4 2" xfId="87" xr:uid="{00000000-0005-0000-0000-0000A71A0000}"/>
    <cellStyle name="20% - Accent4 2 10" xfId="23226" xr:uid="{00000000-0005-0000-0000-0000A81A0000}"/>
    <cellStyle name="20% - Accent4 2 10 2" xfId="25062" xr:uid="{00000000-0005-0000-0000-0000A91A0000}"/>
    <cellStyle name="20% - Accent4 2 10 3" xfId="37428" xr:uid="{00000000-0005-0000-0000-0000AA1A0000}"/>
    <cellStyle name="20% - Accent4 2 11" xfId="25056" xr:uid="{00000000-0005-0000-0000-0000AB1A0000}"/>
    <cellStyle name="20% - Accent4 2 12" xfId="34444" xr:uid="{00000000-0005-0000-0000-0000AC1A0000}"/>
    <cellStyle name="20% - Accent4 2 13" xfId="28174" xr:uid="{00000000-0005-0000-0000-0000AD1A0000}"/>
    <cellStyle name="20% - Accent4 2 2" xfId="148" xr:uid="{00000000-0005-0000-0000-0000AE1A0000}"/>
    <cellStyle name="20% - Accent4 2 2 10" xfId="25048" xr:uid="{00000000-0005-0000-0000-0000AF1A0000}"/>
    <cellStyle name="20% - Accent4 2 2 11" xfId="34499" xr:uid="{00000000-0005-0000-0000-0000B01A0000}"/>
    <cellStyle name="20% - Accent4 2 2 12" xfId="33232" xr:uid="{00000000-0005-0000-0000-0000B11A0000}"/>
    <cellStyle name="20% - Accent4 2 2 2" xfId="33224" xr:uid="{00000000-0005-0000-0000-0000B21A0000}"/>
    <cellStyle name="20% - Accent4 2 2 2 2" xfId="33216" xr:uid="{00000000-0005-0000-0000-0000B31A0000}"/>
    <cellStyle name="20% - Accent4 2 2 2 2 2" xfId="25038" xr:uid="{00000000-0005-0000-0000-0000B41A0000}"/>
    <cellStyle name="20% - Accent4 2 2 2 2 2 2" xfId="25037" xr:uid="{00000000-0005-0000-0000-0000B51A0000}"/>
    <cellStyle name="20% - Accent4 2 2 2 2 2 2 2" xfId="25656" xr:uid="{00000000-0005-0000-0000-0000B61A0000}"/>
    <cellStyle name="20% - Accent4 2 2 2 2 2 2 2 2" xfId="34282" xr:uid="{00000000-0005-0000-0000-0000B71A0000}"/>
    <cellStyle name="20% - Accent4 2 2 2 2 2 2 2 2 2" xfId="8798" xr:uid="{00000000-0005-0000-0000-0000B81A0000}"/>
    <cellStyle name="20% - Accent4 2 2 2 2 2 2 2 2 2 2" xfId="31159" xr:uid="{00000000-0005-0000-0000-0000B91A0000}"/>
    <cellStyle name="20% - Accent4 2 2 2 2 2 2 2 2 2 2 2" xfId="25033" xr:uid="{00000000-0005-0000-0000-0000BA1A0000}"/>
    <cellStyle name="20% - Accent4 2 2 2 2 2 2 2 2 2 3" xfId="13542" xr:uid="{00000000-0005-0000-0000-0000BB1A0000}"/>
    <cellStyle name="20% - Accent4 2 2 2 2 2 2 2 2 3" xfId="8794" xr:uid="{00000000-0005-0000-0000-0000BC1A0000}"/>
    <cellStyle name="20% - Accent4 2 2 2 2 2 2 2 2 3 2" xfId="20370" xr:uid="{00000000-0005-0000-0000-0000BD1A0000}"/>
    <cellStyle name="20% - Accent4 2 2 2 2 2 2 2 2 4" xfId="27005" xr:uid="{00000000-0005-0000-0000-0000BE1A0000}"/>
    <cellStyle name="20% - Accent4 2 2 2 2 2 2 2 3" xfId="25030" xr:uid="{00000000-0005-0000-0000-0000BF1A0000}"/>
    <cellStyle name="20% - Accent4 2 2 2 2 2 2 2 3 2" xfId="22251" xr:uid="{00000000-0005-0000-0000-0000C01A0000}"/>
    <cellStyle name="20% - Accent4 2 2 2 2 2 2 2 3 2 2" xfId="13540" xr:uid="{00000000-0005-0000-0000-0000C11A0000}"/>
    <cellStyle name="20% - Accent4 2 2 2 2 2 2 2 3 3" xfId="30827" xr:uid="{00000000-0005-0000-0000-0000C21A0000}"/>
    <cellStyle name="20% - Accent4 2 2 2 2 2 2 2 4" xfId="30301" xr:uid="{00000000-0005-0000-0000-0000C31A0000}"/>
    <cellStyle name="20% - Accent4 2 2 2 2 2 2 2 4 2" xfId="20186" xr:uid="{00000000-0005-0000-0000-0000C41A0000}"/>
    <cellStyle name="20% - Accent4 2 2 2 2 2 2 2 5" xfId="25986" xr:uid="{00000000-0005-0000-0000-0000C51A0000}"/>
    <cellStyle name="20% - Accent4 2 2 2 2 2 2 3" xfId="25029" xr:uid="{00000000-0005-0000-0000-0000C61A0000}"/>
    <cellStyle name="20% - Accent4 2 2 2 2 2 2 3 2" xfId="25025" xr:uid="{00000000-0005-0000-0000-0000C71A0000}"/>
    <cellStyle name="20% - Accent4 2 2 2 2 2 2 3 2 2" xfId="8783" xr:uid="{00000000-0005-0000-0000-0000C81A0000}"/>
    <cellStyle name="20% - Accent4 2 2 2 2 2 2 3 2 2 2" xfId="27756" xr:uid="{00000000-0005-0000-0000-0000C91A0000}"/>
    <cellStyle name="20% - Accent4 2 2 2 2 2 2 3 2 3" xfId="32334" xr:uid="{00000000-0005-0000-0000-0000CA1A0000}"/>
    <cellStyle name="20% - Accent4 2 2 2 2 2 2 3 3" xfId="25024" xr:uid="{00000000-0005-0000-0000-0000CB1A0000}"/>
    <cellStyle name="20% - Accent4 2 2 2 2 2 2 3 3 2" xfId="32103" xr:uid="{00000000-0005-0000-0000-0000CC1A0000}"/>
    <cellStyle name="20% - Accent4 2 2 2 2 2 2 3 4" xfId="28919" xr:uid="{00000000-0005-0000-0000-0000CD1A0000}"/>
    <cellStyle name="20% - Accent4 2 2 2 2 2 2 4" xfId="29018" xr:uid="{00000000-0005-0000-0000-0000CE1A0000}"/>
    <cellStyle name="20% - Accent4 2 2 2 2 2 2 4 2" xfId="25023" xr:uid="{00000000-0005-0000-0000-0000CF1A0000}"/>
    <cellStyle name="20% - Accent4 2 2 2 2 2 2 4 2 2" xfId="6794" xr:uid="{00000000-0005-0000-0000-0000D01A0000}"/>
    <cellStyle name="20% - Accent4 2 2 2 2 2 2 4 3" xfId="25022" xr:uid="{00000000-0005-0000-0000-0000D11A0000}"/>
    <cellStyle name="20% - Accent4 2 2 2 2 2 2 5" xfId="25021" xr:uid="{00000000-0005-0000-0000-0000D21A0000}"/>
    <cellStyle name="20% - Accent4 2 2 2 2 2 2 5 2" xfId="27400" xr:uid="{00000000-0005-0000-0000-0000D31A0000}"/>
    <cellStyle name="20% - Accent4 2 2 2 2 2 2 6" xfId="25020" xr:uid="{00000000-0005-0000-0000-0000D41A0000}"/>
    <cellStyle name="20% - Accent4 2 2 2 2 2 3" xfId="13775" xr:uid="{00000000-0005-0000-0000-0000D51A0000}"/>
    <cellStyle name="20% - Accent4 2 2 2 2 2 3 2" xfId="25016" xr:uid="{00000000-0005-0000-0000-0000D61A0000}"/>
    <cellStyle name="20% - Accent4 2 2 2 2 2 3 2 2" xfId="25013" xr:uid="{00000000-0005-0000-0000-0000D71A0000}"/>
    <cellStyle name="20% - Accent4 2 2 2 2 2 3 2 2 2" xfId="8729" xr:uid="{00000000-0005-0000-0000-0000D81A0000}"/>
    <cellStyle name="20% - Accent4 2 2 2 2 2 3 2 2 2 2" xfId="13448" xr:uid="{00000000-0005-0000-0000-0000D91A0000}"/>
    <cellStyle name="20% - Accent4 2 2 2 2 2 3 2 2 3" xfId="33765" xr:uid="{00000000-0005-0000-0000-0000DA1A0000}"/>
    <cellStyle name="20% - Accent4 2 2 2 2 2 3 2 3" xfId="25012" xr:uid="{00000000-0005-0000-0000-0000DB1A0000}"/>
    <cellStyle name="20% - Accent4 2 2 2 2 2 3 2 3 2" xfId="24884" xr:uid="{00000000-0005-0000-0000-0000DC1A0000}"/>
    <cellStyle name="20% - Accent4 2 2 2 2 2 3 2 4" xfId="33786" xr:uid="{00000000-0005-0000-0000-0000DD1A0000}"/>
    <cellStyle name="20% - Accent4 2 2 2 2 2 3 3" xfId="25011" xr:uid="{00000000-0005-0000-0000-0000DE1A0000}"/>
    <cellStyle name="20% - Accent4 2 2 2 2 2 3 3 2" xfId="25010" xr:uid="{00000000-0005-0000-0000-0000DF1A0000}"/>
    <cellStyle name="20% - Accent4 2 2 2 2 2 3 3 2 2" xfId="34077" xr:uid="{00000000-0005-0000-0000-0000E01A0000}"/>
    <cellStyle name="20% - Accent4 2 2 2 2 2 3 3 3" xfId="28880" xr:uid="{00000000-0005-0000-0000-0000E11A0000}"/>
    <cellStyle name="20% - Accent4 2 2 2 2 2 3 4" xfId="25009" xr:uid="{00000000-0005-0000-0000-0000E21A0000}"/>
    <cellStyle name="20% - Accent4 2 2 2 2 2 3 4 2" xfId="25008" xr:uid="{00000000-0005-0000-0000-0000E31A0000}"/>
    <cellStyle name="20% - Accent4 2 2 2 2 2 3 5" xfId="25007" xr:uid="{00000000-0005-0000-0000-0000E41A0000}"/>
    <cellStyle name="20% - Accent4 2 2 2 2 2 4" xfId="5668" xr:uid="{00000000-0005-0000-0000-0000E51A0000}"/>
    <cellStyle name="20% - Accent4 2 2 2 2 2 4 2" xfId="25001" xr:uid="{00000000-0005-0000-0000-0000E61A0000}"/>
    <cellStyle name="20% - Accent4 2 2 2 2 2 4 2 2" xfId="24999" xr:uid="{00000000-0005-0000-0000-0000E71A0000}"/>
    <cellStyle name="20% - Accent4 2 2 2 2 2 4 2 2 2" xfId="33954" xr:uid="{00000000-0005-0000-0000-0000E81A0000}"/>
    <cellStyle name="20% - Accent4 2 2 2 2 2 4 2 3" xfId="24998" xr:uid="{00000000-0005-0000-0000-0000E91A0000}"/>
    <cellStyle name="20% - Accent4 2 2 2 2 2 4 3" xfId="24996" xr:uid="{00000000-0005-0000-0000-0000EA1A0000}"/>
    <cellStyle name="20% - Accent4 2 2 2 2 2 4 3 2" xfId="24993" xr:uid="{00000000-0005-0000-0000-0000EB1A0000}"/>
    <cellStyle name="20% - Accent4 2 2 2 2 2 4 4" xfId="13080" xr:uid="{00000000-0005-0000-0000-0000EC1A0000}"/>
    <cellStyle name="20% - Accent4 2 2 2 2 2 5" xfId="24990" xr:uid="{00000000-0005-0000-0000-0000ED1A0000}"/>
    <cellStyle name="20% - Accent4 2 2 2 2 2 5 2" xfId="24984" xr:uid="{00000000-0005-0000-0000-0000EE1A0000}"/>
    <cellStyle name="20% - Accent4 2 2 2 2 2 5 2 2" xfId="25014" xr:uid="{00000000-0005-0000-0000-0000EF1A0000}"/>
    <cellStyle name="20% - Accent4 2 2 2 2 2 5 3" xfId="24981" xr:uid="{00000000-0005-0000-0000-0000F01A0000}"/>
    <cellStyle name="20% - Accent4 2 2 2 2 2 6" xfId="24977" xr:uid="{00000000-0005-0000-0000-0000F11A0000}"/>
    <cellStyle name="20% - Accent4 2 2 2 2 2 6 2" xfId="27568" xr:uid="{00000000-0005-0000-0000-0000F21A0000}"/>
    <cellStyle name="20% - Accent4 2 2 2 2 2 7" xfId="27453" xr:uid="{00000000-0005-0000-0000-0000F31A0000}"/>
    <cellStyle name="20% - Accent4 2 2 2 2 3" xfId="24973" xr:uid="{00000000-0005-0000-0000-0000F41A0000}"/>
    <cellStyle name="20% - Accent4 2 2 2 2 3 2" xfId="24965" xr:uid="{00000000-0005-0000-0000-0000F51A0000}"/>
    <cellStyle name="20% - Accent4 2 2 2 2 3 2 2" xfId="25630" xr:uid="{00000000-0005-0000-0000-0000F61A0000}"/>
    <cellStyle name="20% - Accent4 2 2 2 2 3 2 2 2" xfId="24972" xr:uid="{00000000-0005-0000-0000-0000F71A0000}"/>
    <cellStyle name="20% - Accent4 2 2 2 2 3 2 2 2 2" xfId="8598" xr:uid="{00000000-0005-0000-0000-0000F81A0000}"/>
    <cellStyle name="20% - Accent4 2 2 2 2 3 2 2 2 2 2" xfId="13306" xr:uid="{00000000-0005-0000-0000-0000F91A0000}"/>
    <cellStyle name="20% - Accent4 2 2 2 2 3 2 2 2 3" xfId="10202" xr:uid="{00000000-0005-0000-0000-0000FA1A0000}"/>
    <cellStyle name="20% - Accent4 2 2 2 2 3 2 2 3" xfId="24971" xr:uid="{00000000-0005-0000-0000-0000FB1A0000}"/>
    <cellStyle name="20% - Accent4 2 2 2 2 3 2 2 3 2" xfId="30100" xr:uid="{00000000-0005-0000-0000-0000FC1A0000}"/>
    <cellStyle name="20% - Accent4 2 2 2 2 3 2 2 4" xfId="28752" xr:uid="{00000000-0005-0000-0000-0000FD1A0000}"/>
    <cellStyle name="20% - Accent4 2 2 2 2 3 2 3" xfId="32368" xr:uid="{00000000-0005-0000-0000-0000FE1A0000}"/>
    <cellStyle name="20% - Accent4 2 2 2 2 3 2 3 2" xfId="25035" xr:uid="{00000000-0005-0000-0000-0000FF1A0000}"/>
    <cellStyle name="20% - Accent4 2 2 2 2 3 2 3 2 2" xfId="33846" xr:uid="{00000000-0005-0000-0000-0000001B0000}"/>
    <cellStyle name="20% - Accent4 2 2 2 2 3 2 3 3" xfId="24970" xr:uid="{00000000-0005-0000-0000-0000011B0000}"/>
    <cellStyle name="20% - Accent4 2 2 2 2 3 2 4" xfId="32367" xr:uid="{00000000-0005-0000-0000-0000021B0000}"/>
    <cellStyle name="20% - Accent4 2 2 2 2 3 2 4 2" xfId="12530" xr:uid="{00000000-0005-0000-0000-0000031B0000}"/>
    <cellStyle name="20% - Accent4 2 2 2 2 3 2 5" xfId="24963" xr:uid="{00000000-0005-0000-0000-0000041B0000}"/>
    <cellStyle name="20% - Accent4 2 2 2 2 3 3" xfId="13761" xr:uid="{00000000-0005-0000-0000-0000051B0000}"/>
    <cellStyle name="20% - Accent4 2 2 2 2 3 3 2" xfId="32359" xr:uid="{00000000-0005-0000-0000-0000061B0000}"/>
    <cellStyle name="20% - Accent4 2 2 2 2 3 3 2 2" xfId="24956" xr:uid="{00000000-0005-0000-0000-0000071B0000}"/>
    <cellStyle name="20% - Accent4 2 2 2 2 3 3 2 2 2" xfId="31656" xr:uid="{00000000-0005-0000-0000-0000081B0000}"/>
    <cellStyle name="20% - Accent4 2 2 2 2 3 3 2 3" xfId="24955" xr:uid="{00000000-0005-0000-0000-0000091B0000}"/>
    <cellStyle name="20% - Accent4 2 2 2 2 3 3 3" xfId="32357" xr:uid="{00000000-0005-0000-0000-00000A1B0000}"/>
    <cellStyle name="20% - Accent4 2 2 2 2 3 3 3 2" xfId="24954" xr:uid="{00000000-0005-0000-0000-00000B1B0000}"/>
    <cellStyle name="20% - Accent4 2 2 2 2 3 3 4" xfId="24951" xr:uid="{00000000-0005-0000-0000-00000C1B0000}"/>
    <cellStyle name="20% - Accent4 2 2 2 2 3 4" xfId="24947" xr:uid="{00000000-0005-0000-0000-00000D1B0000}"/>
    <cellStyle name="20% - Accent4 2 2 2 2 3 4 2" xfId="26956" xr:uid="{00000000-0005-0000-0000-00000E1B0000}"/>
    <cellStyle name="20% - Accent4 2 2 2 2 3 4 2 2" xfId="24940" xr:uid="{00000000-0005-0000-0000-00000F1B0000}"/>
    <cellStyle name="20% - Accent4 2 2 2 2 3 4 3" xfId="29106" xr:uid="{00000000-0005-0000-0000-0000101B0000}"/>
    <cellStyle name="20% - Accent4 2 2 2 2 3 5" xfId="24939" xr:uid="{00000000-0005-0000-0000-0000111B0000}"/>
    <cellStyle name="20% - Accent4 2 2 2 2 3 5 2" xfId="33795" xr:uid="{00000000-0005-0000-0000-0000121B0000}"/>
    <cellStyle name="20% - Accent4 2 2 2 2 3 6" xfId="23542" xr:uid="{00000000-0005-0000-0000-0000131B0000}"/>
    <cellStyle name="20% - Accent4 2 2 2 2 4" xfId="24935" xr:uid="{00000000-0005-0000-0000-0000141B0000}"/>
    <cellStyle name="20% - Accent4 2 2 2 2 4 2" xfId="26358" xr:uid="{00000000-0005-0000-0000-0000151B0000}"/>
    <cellStyle name="20% - Accent4 2 2 2 2 4 2 2" xfId="26590" xr:uid="{00000000-0005-0000-0000-0000161B0000}"/>
    <cellStyle name="20% - Accent4 2 2 2 2 4 2 2 2" xfId="28272" xr:uid="{00000000-0005-0000-0000-0000171B0000}"/>
    <cellStyle name="20% - Accent4 2 2 2 2 4 2 2 2 2" xfId="19419" xr:uid="{00000000-0005-0000-0000-0000181B0000}"/>
    <cellStyle name="20% - Accent4 2 2 2 2 4 2 2 3" xfId="28270" xr:uid="{00000000-0005-0000-0000-0000191B0000}"/>
    <cellStyle name="20% - Accent4 2 2 2 2 4 2 3" xfId="30138" xr:uid="{00000000-0005-0000-0000-00001A1B0000}"/>
    <cellStyle name="20% - Accent4 2 2 2 2 4 2 3 2" xfId="29459" xr:uid="{00000000-0005-0000-0000-00001B1B0000}"/>
    <cellStyle name="20% - Accent4 2 2 2 2 4 2 4" xfId="24934" xr:uid="{00000000-0005-0000-0000-00001C1B0000}"/>
    <cellStyle name="20% - Accent4 2 2 2 2 4 3" xfId="13755" xr:uid="{00000000-0005-0000-0000-00001D1B0000}"/>
    <cellStyle name="20% - Accent4 2 2 2 2 4 3 2" xfId="32318" xr:uid="{00000000-0005-0000-0000-00001E1B0000}"/>
    <cellStyle name="20% - Accent4 2 2 2 2 4 3 2 2" xfId="28264" xr:uid="{00000000-0005-0000-0000-00001F1B0000}"/>
    <cellStyle name="20% - Accent4 2 2 2 2 4 3 3" xfId="24920" xr:uid="{00000000-0005-0000-0000-0000201B0000}"/>
    <cellStyle name="20% - Accent4 2 2 2 2 4 4" xfId="29048" xr:uid="{00000000-0005-0000-0000-0000211B0000}"/>
    <cellStyle name="20% - Accent4 2 2 2 2 4 4 2" xfId="24903" xr:uid="{00000000-0005-0000-0000-0000221B0000}"/>
    <cellStyle name="20% - Accent4 2 2 2 2 4 5" xfId="29033" xr:uid="{00000000-0005-0000-0000-0000231B0000}"/>
    <cellStyle name="20% - Accent4 2 2 2 2 5" xfId="34245" xr:uid="{00000000-0005-0000-0000-0000241B0000}"/>
    <cellStyle name="20% - Accent4 2 2 2 2 5 2" xfId="24888" xr:uid="{00000000-0005-0000-0000-0000251B0000}"/>
    <cellStyle name="20% - Accent4 2 2 2 2 5 2 2" xfId="29042" xr:uid="{00000000-0005-0000-0000-0000261B0000}"/>
    <cellStyle name="20% - Accent4 2 2 2 2 5 2 2 2" xfId="26815" xr:uid="{00000000-0005-0000-0000-0000271B0000}"/>
    <cellStyle name="20% - Accent4 2 2 2 2 5 2 3" xfId="29324" xr:uid="{00000000-0005-0000-0000-0000281B0000}"/>
    <cellStyle name="20% - Accent4 2 2 2 2 5 3" xfId="13751" xr:uid="{00000000-0005-0000-0000-0000291B0000}"/>
    <cellStyle name="20% - Accent4 2 2 2 2 5 3 2" xfId="32323" xr:uid="{00000000-0005-0000-0000-00002A1B0000}"/>
    <cellStyle name="20% - Accent4 2 2 2 2 5 4" xfId="27310" xr:uid="{00000000-0005-0000-0000-00002B1B0000}"/>
    <cellStyle name="20% - Accent4 2 2 2 2 6" xfId="32724" xr:uid="{00000000-0005-0000-0000-00002C1B0000}"/>
    <cellStyle name="20% - Accent4 2 2 2 2 6 2" xfId="31141" xr:uid="{00000000-0005-0000-0000-00002D1B0000}"/>
    <cellStyle name="20% - Accent4 2 2 2 2 6 2 2" xfId="32286" xr:uid="{00000000-0005-0000-0000-00002E1B0000}"/>
    <cellStyle name="20% - Accent4 2 2 2 2 6 3" xfId="27294" xr:uid="{00000000-0005-0000-0000-00002F1B0000}"/>
    <cellStyle name="20% - Accent4 2 2 2 2 7" xfId="28124" xr:uid="{00000000-0005-0000-0000-0000301B0000}"/>
    <cellStyle name="20% - Accent4 2 2 2 2 7 2" xfId="30781" xr:uid="{00000000-0005-0000-0000-0000311B0000}"/>
    <cellStyle name="20% - Accent4 2 2 2 2 8" xfId="27030" xr:uid="{00000000-0005-0000-0000-0000321B0000}"/>
    <cellStyle name="20% - Accent4 2 2 2 3" xfId="29112" xr:uid="{00000000-0005-0000-0000-0000331B0000}"/>
    <cellStyle name="20% - Accent4 2 2 2 3 2" xfId="31775" xr:uid="{00000000-0005-0000-0000-0000341B0000}"/>
    <cellStyle name="20% - Accent4 2 2 2 3 2 2" xfId="24952" xr:uid="{00000000-0005-0000-0000-0000351B0000}"/>
    <cellStyle name="20% - Accent4 2 2 2 3 2 2 2" xfId="24870" xr:uid="{00000000-0005-0000-0000-0000361B0000}"/>
    <cellStyle name="20% - Accent4 2 2 2 3 2 2 2 2" xfId="26266" xr:uid="{00000000-0005-0000-0000-0000371B0000}"/>
    <cellStyle name="20% - Accent4 2 2 2 3 2 2 2 2 2" xfId="8334" xr:uid="{00000000-0005-0000-0000-0000381B0000}"/>
    <cellStyle name="20% - Accent4 2 2 2 3 2 2 2 2 2 2" xfId="22428" xr:uid="{00000000-0005-0000-0000-0000391B0000}"/>
    <cellStyle name="20% - Accent4 2 2 2 3 2 2 2 2 3" xfId="28793" xr:uid="{00000000-0005-0000-0000-00003A1B0000}"/>
    <cellStyle name="20% - Accent4 2 2 2 3 2 2 2 3" xfId="24885" xr:uid="{00000000-0005-0000-0000-00003B1B0000}"/>
    <cellStyle name="20% - Accent4 2 2 2 3 2 2 2 3 2" xfId="21630" xr:uid="{00000000-0005-0000-0000-00003C1B0000}"/>
    <cellStyle name="20% - Accent4 2 2 2 3 2 2 2 4" xfId="29135" xr:uid="{00000000-0005-0000-0000-00003D1B0000}"/>
    <cellStyle name="20% - Accent4 2 2 2 3 2 2 3" xfId="24864" xr:uid="{00000000-0005-0000-0000-00003E1B0000}"/>
    <cellStyle name="20% - Accent4 2 2 2 3 2 2 3 2" xfId="19149" xr:uid="{00000000-0005-0000-0000-00003F1B0000}"/>
    <cellStyle name="20% - Accent4 2 2 2 3 2 2 3 2 2" xfId="24704" xr:uid="{00000000-0005-0000-0000-0000401B0000}"/>
    <cellStyle name="20% - Accent4 2 2 2 3 2 2 3 3" xfId="28284" xr:uid="{00000000-0005-0000-0000-0000411B0000}"/>
    <cellStyle name="20% - Accent4 2 2 2 3 2 2 4" xfId="27644" xr:uid="{00000000-0005-0000-0000-0000421B0000}"/>
    <cellStyle name="20% - Accent4 2 2 2 3 2 2 4 2" xfId="24880" xr:uid="{00000000-0005-0000-0000-0000431B0000}"/>
    <cellStyle name="20% - Accent4 2 2 2 3 2 2 5" xfId="18715" xr:uid="{00000000-0005-0000-0000-0000441B0000}"/>
    <cellStyle name="20% - Accent4 2 2 2 3 2 3" xfId="13728" xr:uid="{00000000-0005-0000-0000-0000451B0000}"/>
    <cellStyle name="20% - Accent4 2 2 2 3 2 3 2" xfId="26336" xr:uid="{00000000-0005-0000-0000-0000461B0000}"/>
    <cellStyle name="20% - Accent4 2 2 2 3 2 3 2 2" xfId="24878" xr:uid="{00000000-0005-0000-0000-0000471B0000}"/>
    <cellStyle name="20% - Accent4 2 2 2 3 2 3 2 2 2" xfId="28613" xr:uid="{00000000-0005-0000-0000-0000481B0000}"/>
    <cellStyle name="20% - Accent4 2 2 2 3 2 3 2 3" xfId="24875" xr:uid="{00000000-0005-0000-0000-0000491B0000}"/>
    <cellStyle name="20% - Accent4 2 2 2 3 2 3 3" xfId="24838" xr:uid="{00000000-0005-0000-0000-00004A1B0000}"/>
    <cellStyle name="20% - Accent4 2 2 2 3 2 3 3 2" xfId="18277" xr:uid="{00000000-0005-0000-0000-00004B1B0000}"/>
    <cellStyle name="20% - Accent4 2 2 2 3 2 3 4" xfId="26326" xr:uid="{00000000-0005-0000-0000-00004C1B0000}"/>
    <cellStyle name="20% - Accent4 2 2 2 3 2 4" xfId="24872" xr:uid="{00000000-0005-0000-0000-00004D1B0000}"/>
    <cellStyle name="20% - Accent4 2 2 2 3 2 4 2" xfId="20080" xr:uid="{00000000-0005-0000-0000-00004E1B0000}"/>
    <cellStyle name="20% - Accent4 2 2 2 3 2 4 2 2" xfId="18777" xr:uid="{00000000-0005-0000-0000-00004F1B0000}"/>
    <cellStyle name="20% - Accent4 2 2 2 3 2 4 3" xfId="26310" xr:uid="{00000000-0005-0000-0000-0000501B0000}"/>
    <cellStyle name="20% - Accent4 2 2 2 3 2 5" xfId="24865" xr:uid="{00000000-0005-0000-0000-0000511B0000}"/>
    <cellStyle name="20% - Accent4 2 2 2 3 2 5 2" xfId="26301" xr:uid="{00000000-0005-0000-0000-0000521B0000}"/>
    <cellStyle name="20% - Accent4 2 2 2 3 2 6" xfId="27643" xr:uid="{00000000-0005-0000-0000-0000531B0000}"/>
    <cellStyle name="20% - Accent4 2 2 2 3 3" xfId="24860" xr:uid="{00000000-0005-0000-0000-0000541B0000}"/>
    <cellStyle name="20% - Accent4 2 2 2 3 3 2" xfId="31785" xr:uid="{00000000-0005-0000-0000-0000551B0000}"/>
    <cellStyle name="20% - Accent4 2 2 2 3 3 2 2" xfId="24803" xr:uid="{00000000-0005-0000-0000-0000561B0000}"/>
    <cellStyle name="20% - Accent4 2 2 2 3 3 2 2 2" xfId="24856" xr:uid="{00000000-0005-0000-0000-0000571B0000}"/>
    <cellStyle name="20% - Accent4 2 2 2 3 3 2 2 2 2" xfId="28232" xr:uid="{00000000-0005-0000-0000-0000581B0000}"/>
    <cellStyle name="20% - Accent4 2 2 2 3 3 2 2 3" xfId="24855" xr:uid="{00000000-0005-0000-0000-0000591B0000}"/>
    <cellStyle name="20% - Accent4 2 2 2 3 3 2 3" xfId="24798" xr:uid="{00000000-0005-0000-0000-00005A1B0000}"/>
    <cellStyle name="20% - Accent4 2 2 2 3 3 2 3 2" xfId="24853" xr:uid="{00000000-0005-0000-0000-00005B1B0000}"/>
    <cellStyle name="20% - Accent4 2 2 2 3 3 2 4" xfId="26263" xr:uid="{00000000-0005-0000-0000-00005C1B0000}"/>
    <cellStyle name="20% - Accent4 2 2 2 3 3 3" xfId="13719" xr:uid="{00000000-0005-0000-0000-00005D1B0000}"/>
    <cellStyle name="20% - Accent4 2 2 2 3 3 3 2" xfId="24787" xr:uid="{00000000-0005-0000-0000-00005E1B0000}"/>
    <cellStyle name="20% - Accent4 2 2 2 3 3 3 2 2" xfId="24841" xr:uid="{00000000-0005-0000-0000-00005F1B0000}"/>
    <cellStyle name="20% - Accent4 2 2 2 3 3 3 3" xfId="26244" xr:uid="{00000000-0005-0000-0000-0000601B0000}"/>
    <cellStyle name="20% - Accent4 2 2 2 3 3 4" xfId="26334" xr:uid="{00000000-0005-0000-0000-0000611B0000}"/>
    <cellStyle name="20% - Accent4 2 2 2 3 3 4 2" xfId="26222" xr:uid="{00000000-0005-0000-0000-0000621B0000}"/>
    <cellStyle name="20% - Accent4 2 2 2 3 3 5" xfId="24839" xr:uid="{00000000-0005-0000-0000-0000631B0000}"/>
    <cellStyle name="20% - Accent4 2 2 2 3 4" xfId="24830" xr:uid="{00000000-0005-0000-0000-0000641B0000}"/>
    <cellStyle name="20% - Accent4 2 2 2 3 4 2" xfId="21494" xr:uid="{00000000-0005-0000-0000-0000651B0000}"/>
    <cellStyle name="20% - Accent4 2 2 2 3 4 2 2" xfId="17154" xr:uid="{00000000-0005-0000-0000-0000661B0000}"/>
    <cellStyle name="20% - Accent4 2 2 2 3 4 2 2 2" xfId="28027" xr:uid="{00000000-0005-0000-0000-0000671B0000}"/>
    <cellStyle name="20% - Accent4 2 2 2 3 4 2 3" xfId="17147" xr:uid="{00000000-0005-0000-0000-0000681B0000}"/>
    <cellStyle name="20% - Accent4 2 2 2 3 4 3" xfId="13716" xr:uid="{00000000-0005-0000-0000-0000691B0000}"/>
    <cellStyle name="20% - Accent4 2 2 2 3 4 3 2" xfId="17136" xr:uid="{00000000-0005-0000-0000-00006A1B0000}"/>
    <cellStyle name="20% - Accent4 2 2 2 3 4 4" xfId="20079" xr:uid="{00000000-0005-0000-0000-00006B1B0000}"/>
    <cellStyle name="20% - Accent4 2 2 2 3 5" xfId="29947" xr:uid="{00000000-0005-0000-0000-00006C1B0000}"/>
    <cellStyle name="20% - Accent4 2 2 2 3 5 2" xfId="24821" xr:uid="{00000000-0005-0000-0000-00006D1B0000}"/>
    <cellStyle name="20% - Accent4 2 2 2 3 5 2 2" xfId="17101" xr:uid="{00000000-0005-0000-0000-00006E1B0000}"/>
    <cellStyle name="20% - Accent4 2 2 2 3 5 3" xfId="24820" xr:uid="{00000000-0005-0000-0000-00006F1B0000}"/>
    <cellStyle name="20% - Accent4 2 2 2 3 6" xfId="29916" xr:uid="{00000000-0005-0000-0000-0000701B0000}"/>
    <cellStyle name="20% - Accent4 2 2 2 3 6 2" xfId="34129" xr:uid="{00000000-0005-0000-0000-0000711B0000}"/>
    <cellStyle name="20% - Accent4 2 2 2 3 7" xfId="27020" xr:uid="{00000000-0005-0000-0000-0000721B0000}"/>
    <cellStyle name="20% - Accent4 2 2 2 4" xfId="27900" xr:uid="{00000000-0005-0000-0000-0000731B0000}"/>
    <cellStyle name="20% - Accent4 2 2 2 4 2" xfId="18628" xr:uid="{00000000-0005-0000-0000-0000741B0000}"/>
    <cellStyle name="20% - Accent4 2 2 2 4 2 2" xfId="24815" xr:uid="{00000000-0005-0000-0000-0000751B0000}"/>
    <cellStyle name="20% - Accent4 2 2 2 4 2 2 2" xfId="24626" xr:uid="{00000000-0005-0000-0000-0000761B0000}"/>
    <cellStyle name="20% - Accent4 2 2 2 4 2 2 2 2" xfId="24809" xr:uid="{00000000-0005-0000-0000-0000771B0000}"/>
    <cellStyle name="20% - Accent4 2 2 2 4 2 2 2 2 2" xfId="26050" xr:uid="{00000000-0005-0000-0000-0000781B0000}"/>
    <cellStyle name="20% - Accent4 2 2 2 4 2 2 2 3" xfId="24808" xr:uid="{00000000-0005-0000-0000-0000791B0000}"/>
    <cellStyle name="20% - Accent4 2 2 2 4 2 2 3" xfId="11684" xr:uid="{00000000-0005-0000-0000-00007A1B0000}"/>
    <cellStyle name="20% - Accent4 2 2 2 4 2 2 3 2" xfId="31071" xr:uid="{00000000-0005-0000-0000-00007B1B0000}"/>
    <cellStyle name="20% - Accent4 2 2 2 4 2 2 4" xfId="26042" xr:uid="{00000000-0005-0000-0000-00007C1B0000}"/>
    <cellStyle name="20% - Accent4 2 2 2 4 2 3" xfId="13701" xr:uid="{00000000-0005-0000-0000-00007D1B0000}"/>
    <cellStyle name="20% - Accent4 2 2 2 4 2 3 2" xfId="11677" xr:uid="{00000000-0005-0000-0000-00007E1B0000}"/>
    <cellStyle name="20% - Accent4 2 2 2 4 2 3 2 2" xfId="24806" xr:uid="{00000000-0005-0000-0000-00007F1B0000}"/>
    <cellStyle name="20% - Accent4 2 2 2 4 2 3 3" xfId="26027" xr:uid="{00000000-0005-0000-0000-0000801B0000}"/>
    <cellStyle name="20% - Accent4 2 2 2 4 2 4" xfId="24805" xr:uid="{00000000-0005-0000-0000-0000811B0000}"/>
    <cellStyle name="20% - Accent4 2 2 2 4 2 4 2" xfId="26023" xr:uid="{00000000-0005-0000-0000-0000821B0000}"/>
    <cellStyle name="20% - Accent4 2 2 2 4 2 5" xfId="24799" xr:uid="{00000000-0005-0000-0000-0000831B0000}"/>
    <cellStyle name="20% - Accent4 2 2 2 4 3" xfId="34262" xr:uid="{00000000-0005-0000-0000-0000841B0000}"/>
    <cellStyle name="20% - Accent4 2 2 2 4 3 2" xfId="24794" xr:uid="{00000000-0005-0000-0000-0000851B0000}"/>
    <cellStyle name="20% - Accent4 2 2 2 4 3 2 2" xfId="11662" xr:uid="{00000000-0005-0000-0000-0000861B0000}"/>
    <cellStyle name="20% - Accent4 2 2 2 4 3 2 2 2" xfId="24792" xr:uid="{00000000-0005-0000-0000-0000871B0000}"/>
    <cellStyle name="20% - Accent4 2 2 2 4 3 2 3" xfId="24790" xr:uid="{00000000-0005-0000-0000-0000881B0000}"/>
    <cellStyle name="20% - Accent4 2 2 2 4 3 3" xfId="13696" xr:uid="{00000000-0005-0000-0000-0000891B0000}"/>
    <cellStyle name="20% - Accent4 2 2 2 4 3 3 2" xfId="31635" xr:uid="{00000000-0005-0000-0000-00008A1B0000}"/>
    <cellStyle name="20% - Accent4 2 2 2 4 3 4" xfId="24788" xr:uid="{00000000-0005-0000-0000-00008B1B0000}"/>
    <cellStyle name="20% - Accent4 2 2 2 4 4" xfId="29685" xr:uid="{00000000-0005-0000-0000-00008C1B0000}"/>
    <cellStyle name="20% - Accent4 2 2 2 4 4 2" xfId="24784" xr:uid="{00000000-0005-0000-0000-00008D1B0000}"/>
    <cellStyle name="20% - Accent4 2 2 2 4 4 2 2" xfId="17053" xr:uid="{00000000-0005-0000-0000-00008E1B0000}"/>
    <cellStyle name="20% - Accent4 2 2 2 4 4 3" xfId="24780" xr:uid="{00000000-0005-0000-0000-00008F1B0000}"/>
    <cellStyle name="20% - Accent4 2 2 2 4 5" xfId="10384" xr:uid="{00000000-0005-0000-0000-0000901B0000}"/>
    <cellStyle name="20% - Accent4 2 2 2 4 5 2" xfId="24778" xr:uid="{00000000-0005-0000-0000-0000911B0000}"/>
    <cellStyle name="20% - Accent4 2 2 2 4 6" xfId="24775" xr:uid="{00000000-0005-0000-0000-0000921B0000}"/>
    <cellStyle name="20% - Accent4 2 2 2 5" xfId="33710" xr:uid="{00000000-0005-0000-0000-0000931B0000}"/>
    <cellStyle name="20% - Accent4 2 2 2 5 2" xfId="30847" xr:uid="{00000000-0005-0000-0000-0000941B0000}"/>
    <cellStyle name="20% - Accent4 2 2 2 5 2 2" xfId="24771" xr:uid="{00000000-0005-0000-0000-0000951B0000}"/>
    <cellStyle name="20% - Accent4 2 2 2 5 2 2 2" xfId="12968" xr:uid="{00000000-0005-0000-0000-0000961B0000}"/>
    <cellStyle name="20% - Accent4 2 2 2 5 2 2 2 2" xfId="20540" xr:uid="{00000000-0005-0000-0000-0000971B0000}"/>
    <cellStyle name="20% - Accent4 2 2 2 5 2 2 3" xfId="12953" xr:uid="{00000000-0005-0000-0000-0000981B0000}"/>
    <cellStyle name="20% - Accent4 2 2 2 5 2 3" xfId="13687" xr:uid="{00000000-0005-0000-0000-0000991B0000}"/>
    <cellStyle name="20% - Accent4 2 2 2 5 2 3 2" xfId="12931" xr:uid="{00000000-0005-0000-0000-00009A1B0000}"/>
    <cellStyle name="20% - Accent4 2 2 2 5 2 4" xfId="17153" xr:uid="{00000000-0005-0000-0000-00009B1B0000}"/>
    <cellStyle name="20% - Accent4 2 2 2 5 3" xfId="32775" xr:uid="{00000000-0005-0000-0000-00009C1B0000}"/>
    <cellStyle name="20% - Accent4 2 2 2 5 3 2" xfId="24765" xr:uid="{00000000-0005-0000-0000-00009D1B0000}"/>
    <cellStyle name="20% - Accent4 2 2 2 5 3 2 2" xfId="14692" xr:uid="{00000000-0005-0000-0000-00009E1B0000}"/>
    <cellStyle name="20% - Accent4 2 2 2 5 3 3" xfId="24762" xr:uid="{00000000-0005-0000-0000-00009F1B0000}"/>
    <cellStyle name="20% - Accent4 2 2 2 5 4" xfId="11589" xr:uid="{00000000-0005-0000-0000-0000A01B0000}"/>
    <cellStyle name="20% - Accent4 2 2 2 5 4 2" xfId="25234" xr:uid="{00000000-0005-0000-0000-0000A11B0000}"/>
    <cellStyle name="20% - Accent4 2 2 2 5 5" xfId="8238" xr:uid="{00000000-0005-0000-0000-0000A21B0000}"/>
    <cellStyle name="20% - Accent4 2 2 2 6" xfId="33686" xr:uid="{00000000-0005-0000-0000-0000A31B0000}"/>
    <cellStyle name="20% - Accent4 2 2 2 6 2" xfId="32509" xr:uid="{00000000-0005-0000-0000-0000A41B0000}"/>
    <cellStyle name="20% - Accent4 2 2 2 6 2 2" xfId="24758" xr:uid="{00000000-0005-0000-0000-0000A51B0000}"/>
    <cellStyle name="20% - Accent4 2 2 2 6 2 2 2" xfId="16967" xr:uid="{00000000-0005-0000-0000-0000A61B0000}"/>
    <cellStyle name="20% - Accent4 2 2 2 6 2 3" xfId="24756" xr:uid="{00000000-0005-0000-0000-0000A71B0000}"/>
    <cellStyle name="20% - Accent4 2 2 2 6 3" xfId="34248" xr:uid="{00000000-0005-0000-0000-0000A81B0000}"/>
    <cellStyle name="20% - Accent4 2 2 2 6 3 2" xfId="24753" xr:uid="{00000000-0005-0000-0000-0000A91B0000}"/>
    <cellStyle name="20% - Accent4 2 2 2 6 4" xfId="8236" xr:uid="{00000000-0005-0000-0000-0000AA1B0000}"/>
    <cellStyle name="20% - Accent4 2 2 2 7" xfId="32907" xr:uid="{00000000-0005-0000-0000-0000AB1B0000}"/>
    <cellStyle name="20% - Accent4 2 2 2 7 2" xfId="8522" xr:uid="{00000000-0005-0000-0000-0000AC1B0000}"/>
    <cellStyle name="20% - Accent4 2 2 2 7 2 2" xfId="24751" xr:uid="{00000000-0005-0000-0000-0000AD1B0000}"/>
    <cellStyle name="20% - Accent4 2 2 2 7 3" xfId="24748" xr:uid="{00000000-0005-0000-0000-0000AE1B0000}"/>
    <cellStyle name="20% - Accent4 2 2 2 8" xfId="34170" xr:uid="{00000000-0005-0000-0000-0000AF1B0000}"/>
    <cellStyle name="20% - Accent4 2 2 2 8 2" xfId="32719" xr:uid="{00000000-0005-0000-0000-0000B01B0000}"/>
    <cellStyle name="20% - Accent4 2 2 2 9" xfId="24746" xr:uid="{00000000-0005-0000-0000-0000B11B0000}"/>
    <cellStyle name="20% - Accent4 2 2 3" xfId="17536" xr:uid="{00000000-0005-0000-0000-0000B21B0000}"/>
    <cellStyle name="20% - Accent4 2 2 3 2" xfId="33871" xr:uid="{00000000-0005-0000-0000-0000B31B0000}"/>
    <cellStyle name="20% - Accent4 2 2 3 2 2" xfId="24740" xr:uid="{00000000-0005-0000-0000-0000B41B0000}"/>
    <cellStyle name="20% - Accent4 2 2 3 2 2 2" xfId="29457" xr:uid="{00000000-0005-0000-0000-0000B51B0000}"/>
    <cellStyle name="20% - Accent4 2 2 3 2 2 2 2" xfId="7356" xr:uid="{00000000-0005-0000-0000-0000B61B0000}"/>
    <cellStyle name="20% - Accent4 2 2 3 2 2 2 2 2" xfId="24737" xr:uid="{00000000-0005-0000-0000-0000B71B0000}"/>
    <cellStyle name="20% - Accent4 2 2 3 2 2 2 2 2 2" xfId="7817" xr:uid="{00000000-0005-0000-0000-0000B81B0000}"/>
    <cellStyle name="20% - Accent4 2 2 3 2 2 2 2 2 2 2" xfId="12644" xr:uid="{00000000-0005-0000-0000-0000B91B0000}"/>
    <cellStyle name="20% - Accent4 2 2 3 2 2 2 2 2 3" xfId="24735" xr:uid="{00000000-0005-0000-0000-0000BA1B0000}"/>
    <cellStyle name="20% - Accent4 2 2 3 2 2 2 2 3" xfId="24734" xr:uid="{00000000-0005-0000-0000-0000BB1B0000}"/>
    <cellStyle name="20% - Accent4 2 2 3 2 2 2 2 3 2" xfId="24732" xr:uid="{00000000-0005-0000-0000-0000BC1B0000}"/>
    <cellStyle name="20% - Accent4 2 2 3 2 2 2 2 4" xfId="9070" xr:uid="{00000000-0005-0000-0000-0000BD1B0000}"/>
    <cellStyle name="20% - Accent4 2 2 3 2 2 2 3" xfId="7352" xr:uid="{00000000-0005-0000-0000-0000BE1B0000}"/>
    <cellStyle name="20% - Accent4 2 2 3 2 2 2 3 2" xfId="24729" xr:uid="{00000000-0005-0000-0000-0000BF1B0000}"/>
    <cellStyle name="20% - Accent4 2 2 3 2 2 2 3 2 2" xfId="17869" xr:uid="{00000000-0005-0000-0000-0000C01B0000}"/>
    <cellStyle name="20% - Accent4 2 2 3 2 2 2 3 3" xfId="29508" xr:uid="{00000000-0005-0000-0000-0000C11B0000}"/>
    <cellStyle name="20% - Accent4 2 2 3 2 2 2 4" xfId="24726" xr:uid="{00000000-0005-0000-0000-0000C21B0000}"/>
    <cellStyle name="20% - Accent4 2 2 3 2 2 2 4 2" xfId="24724" xr:uid="{00000000-0005-0000-0000-0000C31B0000}"/>
    <cellStyle name="20% - Accent4 2 2 3 2 2 2 5" xfId="24722" xr:uid="{00000000-0005-0000-0000-0000C41B0000}"/>
    <cellStyle name="20% - Accent4 2 2 3 2 2 3" xfId="11735" xr:uid="{00000000-0005-0000-0000-0000C51B0000}"/>
    <cellStyle name="20% - Accent4 2 2 3 2 2 3 2" xfId="7348" xr:uid="{00000000-0005-0000-0000-0000C61B0000}"/>
    <cellStyle name="20% - Accent4 2 2 3 2 2 3 2 2" xfId="30167" xr:uid="{00000000-0005-0000-0000-0000C71B0000}"/>
    <cellStyle name="20% - Accent4 2 2 3 2 2 3 2 2 2" xfId="24720" xr:uid="{00000000-0005-0000-0000-0000C81B0000}"/>
    <cellStyle name="20% - Accent4 2 2 3 2 2 3 2 3" xfId="17772" xr:uid="{00000000-0005-0000-0000-0000C91B0000}"/>
    <cellStyle name="20% - Accent4 2 2 3 2 2 3 3" xfId="24717" xr:uid="{00000000-0005-0000-0000-0000CA1B0000}"/>
    <cellStyle name="20% - Accent4 2 2 3 2 2 3 3 2" xfId="32882" xr:uid="{00000000-0005-0000-0000-0000CB1B0000}"/>
    <cellStyle name="20% - Accent4 2 2 3 2 2 3 4" xfId="24715" xr:uid="{00000000-0005-0000-0000-0000CC1B0000}"/>
    <cellStyle name="20% - Accent4 2 2 3 2 2 4" xfId="26435" xr:uid="{00000000-0005-0000-0000-0000CD1B0000}"/>
    <cellStyle name="20% - Accent4 2 2 3 2 2 4 2" xfId="24712" xr:uid="{00000000-0005-0000-0000-0000CE1B0000}"/>
    <cellStyle name="20% - Accent4 2 2 3 2 2 4 2 2" xfId="32860" xr:uid="{00000000-0005-0000-0000-0000CF1B0000}"/>
    <cellStyle name="20% - Accent4 2 2 3 2 2 4 3" xfId="24705" xr:uid="{00000000-0005-0000-0000-0000D01B0000}"/>
    <cellStyle name="20% - Accent4 2 2 3 2 2 5" xfId="24699" xr:uid="{00000000-0005-0000-0000-0000D11B0000}"/>
    <cellStyle name="20% - Accent4 2 2 3 2 2 5 2" xfId="24694" xr:uid="{00000000-0005-0000-0000-0000D21B0000}"/>
    <cellStyle name="20% - Accent4 2 2 3 2 2 6" xfId="11720" xr:uid="{00000000-0005-0000-0000-0000D31B0000}"/>
    <cellStyle name="20% - Accent4 2 2 3 2 3" xfId="21299" xr:uid="{00000000-0005-0000-0000-0000D41B0000}"/>
    <cellStyle name="20% - Accent4 2 2 3 2 3 2" xfId="29305" xr:uid="{00000000-0005-0000-0000-0000D51B0000}"/>
    <cellStyle name="20% - Accent4 2 2 3 2 3 2 2" xfId="7339" xr:uid="{00000000-0005-0000-0000-0000D61B0000}"/>
    <cellStyle name="20% - Accent4 2 2 3 2 3 2 2 2" xfId="24688" xr:uid="{00000000-0005-0000-0000-0000D71B0000}"/>
    <cellStyle name="20% - Accent4 2 2 3 2 3 2 2 2 2" xfId="24686" xr:uid="{00000000-0005-0000-0000-0000D81B0000}"/>
    <cellStyle name="20% - Accent4 2 2 3 2 3 2 2 3" xfId="24685" xr:uid="{00000000-0005-0000-0000-0000D91B0000}"/>
    <cellStyle name="20% - Accent4 2 2 3 2 3 2 3" xfId="24683" xr:uid="{00000000-0005-0000-0000-0000DA1B0000}"/>
    <cellStyle name="20% - Accent4 2 2 3 2 3 2 3 2" xfId="33662" xr:uid="{00000000-0005-0000-0000-0000DB1B0000}"/>
    <cellStyle name="20% - Accent4 2 2 3 2 3 2 4" xfId="24678" xr:uid="{00000000-0005-0000-0000-0000DC1B0000}"/>
    <cellStyle name="20% - Accent4 2 2 3 2 3 3" xfId="11717" xr:uid="{00000000-0005-0000-0000-0000DD1B0000}"/>
    <cellStyle name="20% - Accent4 2 2 3 2 3 3 2" xfId="24675" xr:uid="{00000000-0005-0000-0000-0000DE1B0000}"/>
    <cellStyle name="20% - Accent4 2 2 3 2 3 3 2 2" xfId="30415" xr:uid="{00000000-0005-0000-0000-0000DF1B0000}"/>
    <cellStyle name="20% - Accent4 2 2 3 2 3 3 3" xfId="24669" xr:uid="{00000000-0005-0000-0000-0000E01B0000}"/>
    <cellStyle name="20% - Accent4 2 2 3 2 3 4" xfId="24665" xr:uid="{00000000-0005-0000-0000-0000E11B0000}"/>
    <cellStyle name="20% - Accent4 2 2 3 2 3 4 2" xfId="6219" xr:uid="{00000000-0005-0000-0000-0000E21B0000}"/>
    <cellStyle name="20% - Accent4 2 2 3 2 3 5" xfId="11707" xr:uid="{00000000-0005-0000-0000-0000E31B0000}"/>
    <cellStyle name="20% - Accent4 2 2 3 2 4" xfId="24657" xr:uid="{00000000-0005-0000-0000-0000E41B0000}"/>
    <cellStyle name="20% - Accent4 2 2 3 2 4 2" xfId="22287" xr:uid="{00000000-0005-0000-0000-0000E51B0000}"/>
    <cellStyle name="20% - Accent4 2 2 3 2 4 2 2" xfId="34399" xr:uid="{00000000-0005-0000-0000-0000E61B0000}"/>
    <cellStyle name="20% - Accent4 2 2 3 2 4 2 2 2" xfId="24654" xr:uid="{00000000-0005-0000-0000-0000E71B0000}"/>
    <cellStyle name="20% - Accent4 2 2 3 2 4 2 3" xfId="25168" xr:uid="{00000000-0005-0000-0000-0000E81B0000}"/>
    <cellStyle name="20% - Accent4 2 2 3 2 4 3" xfId="11705" xr:uid="{00000000-0005-0000-0000-0000E91B0000}"/>
    <cellStyle name="20% - Accent4 2 2 3 2 4 3 2" xfId="33886" xr:uid="{00000000-0005-0000-0000-0000EA1B0000}"/>
    <cellStyle name="20% - Accent4 2 2 3 2 4 4" xfId="12223" xr:uid="{00000000-0005-0000-0000-0000EB1B0000}"/>
    <cellStyle name="20% - Accent4 2 2 3 2 5" xfId="24648" xr:uid="{00000000-0005-0000-0000-0000EC1B0000}"/>
    <cellStyle name="20% - Accent4 2 2 3 2 5 2" xfId="24645" xr:uid="{00000000-0005-0000-0000-0000ED1B0000}"/>
    <cellStyle name="20% - Accent4 2 2 3 2 5 2 2" xfId="34206" xr:uid="{00000000-0005-0000-0000-0000EE1B0000}"/>
    <cellStyle name="20% - Accent4 2 2 3 2 5 3" xfId="24644" xr:uid="{00000000-0005-0000-0000-0000EF1B0000}"/>
    <cellStyle name="20% - Accent4 2 2 3 2 6" xfId="24640" xr:uid="{00000000-0005-0000-0000-0000F01B0000}"/>
    <cellStyle name="20% - Accent4 2 2 3 2 6 2" xfId="30555" xr:uid="{00000000-0005-0000-0000-0000F11B0000}"/>
    <cellStyle name="20% - Accent4 2 2 3 2 7" xfId="24637" xr:uid="{00000000-0005-0000-0000-0000F21B0000}"/>
    <cellStyle name="20% - Accent4 2 2 3 3" xfId="33680" xr:uid="{00000000-0005-0000-0000-0000F31B0000}"/>
    <cellStyle name="20% - Accent4 2 2 3 3 2" xfId="25977" xr:uid="{00000000-0005-0000-0000-0000F41B0000}"/>
    <cellStyle name="20% - Accent4 2 2 3 3 2 2" xfId="25396" xr:uid="{00000000-0005-0000-0000-0000F51B0000}"/>
    <cellStyle name="20% - Accent4 2 2 3 3 2 2 2" xfId="24264" xr:uid="{00000000-0005-0000-0000-0000F61B0000}"/>
    <cellStyle name="20% - Accent4 2 2 3 3 2 2 2 2" xfId="5510" xr:uid="{00000000-0005-0000-0000-0000F71B0000}"/>
    <cellStyle name="20% - Accent4 2 2 3 3 2 2 2 2 2" xfId="26096" xr:uid="{00000000-0005-0000-0000-0000F81B0000}"/>
    <cellStyle name="20% - Accent4 2 2 3 3 2 2 2 3" xfId="5508" xr:uid="{00000000-0005-0000-0000-0000F91B0000}"/>
    <cellStyle name="20% - Accent4 2 2 3 3 2 2 3" xfId="24257" xr:uid="{00000000-0005-0000-0000-0000FA1B0000}"/>
    <cellStyle name="20% - Accent4 2 2 3 3 2 2 3 2" xfId="24633" xr:uid="{00000000-0005-0000-0000-0000FB1B0000}"/>
    <cellStyle name="20% - Accent4 2 2 3 3 2 2 4" xfId="24631" xr:uid="{00000000-0005-0000-0000-0000FC1B0000}"/>
    <cellStyle name="20% - Accent4 2 2 3 3 2 3" xfId="11688" xr:uid="{00000000-0005-0000-0000-0000FD1B0000}"/>
    <cellStyle name="20% - Accent4 2 2 3 3 2 3 2" xfId="24237" xr:uid="{00000000-0005-0000-0000-0000FE1B0000}"/>
    <cellStyle name="20% - Accent4 2 2 3 3 2 3 2 2" xfId="26555" xr:uid="{00000000-0005-0000-0000-0000FF1B0000}"/>
    <cellStyle name="20% - Accent4 2 2 3 3 2 3 3" xfId="24629" xr:uid="{00000000-0005-0000-0000-0000001C0000}"/>
    <cellStyle name="20% - Accent4 2 2 3 3 2 4" xfId="24627" xr:uid="{00000000-0005-0000-0000-0000011C0000}"/>
    <cellStyle name="20% - Accent4 2 2 3 3 2 4 2" xfId="24622" xr:uid="{00000000-0005-0000-0000-0000021C0000}"/>
    <cellStyle name="20% - Accent4 2 2 3 3 2 5" xfId="11683" xr:uid="{00000000-0005-0000-0000-0000031C0000}"/>
    <cellStyle name="20% - Accent4 2 2 3 3 3" xfId="21273" xr:uid="{00000000-0005-0000-0000-0000041C0000}"/>
    <cellStyle name="20% - Accent4 2 2 3 3 3 2" xfId="24619" xr:uid="{00000000-0005-0000-0000-0000051C0000}"/>
    <cellStyle name="20% - Accent4 2 2 3 3 3 2 2" xfId="24200" xr:uid="{00000000-0005-0000-0000-0000061C0000}"/>
    <cellStyle name="20% - Accent4 2 2 3 3 3 2 2 2" xfId="24615" xr:uid="{00000000-0005-0000-0000-0000071C0000}"/>
    <cellStyle name="20% - Accent4 2 2 3 3 3 2 3" xfId="24613" xr:uid="{00000000-0005-0000-0000-0000081C0000}"/>
    <cellStyle name="20% - Accent4 2 2 3 3 3 3" xfId="11681" xr:uid="{00000000-0005-0000-0000-0000091C0000}"/>
    <cellStyle name="20% - Accent4 2 2 3 3 3 3 2" xfId="24608" xr:uid="{00000000-0005-0000-0000-00000A1C0000}"/>
    <cellStyle name="20% - Accent4 2 2 3 3 3 4" xfId="11678" xr:uid="{00000000-0005-0000-0000-00000B1C0000}"/>
    <cellStyle name="20% - Accent4 2 2 3 3 4" xfId="23597" xr:uid="{00000000-0005-0000-0000-00000C1C0000}"/>
    <cellStyle name="20% - Accent4 2 2 3 3 4 2" xfId="24600" xr:uid="{00000000-0005-0000-0000-00000D1C0000}"/>
    <cellStyle name="20% - Accent4 2 2 3 3 4 2 2" xfId="27241" xr:uid="{00000000-0005-0000-0000-00000E1C0000}"/>
    <cellStyle name="20% - Accent4 2 2 3 3 4 3" xfId="21517" xr:uid="{00000000-0005-0000-0000-00000F1C0000}"/>
    <cellStyle name="20% - Accent4 2 2 3 3 5" xfId="21267" xr:uid="{00000000-0005-0000-0000-0000101C0000}"/>
    <cellStyle name="20% - Accent4 2 2 3 3 5 2" xfId="24597" xr:uid="{00000000-0005-0000-0000-0000111C0000}"/>
    <cellStyle name="20% - Accent4 2 2 3 3 6" xfId="24596" xr:uid="{00000000-0005-0000-0000-0000121C0000}"/>
    <cellStyle name="20% - Accent4 2 2 3 4" xfId="33664" xr:uid="{00000000-0005-0000-0000-0000131C0000}"/>
    <cellStyle name="20% - Accent4 2 2 3 4 2" xfId="30839" xr:uid="{00000000-0005-0000-0000-0000141C0000}"/>
    <cellStyle name="20% - Accent4 2 2 3 4 2 2" xfId="24590" xr:uid="{00000000-0005-0000-0000-0000151C0000}"/>
    <cellStyle name="20% - Accent4 2 2 3 4 2 2 2" xfId="24122" xr:uid="{00000000-0005-0000-0000-0000161C0000}"/>
    <cellStyle name="20% - Accent4 2 2 3 4 2 2 2 2" xfId="24588" xr:uid="{00000000-0005-0000-0000-0000171C0000}"/>
    <cellStyle name="20% - Accent4 2 2 3 4 2 2 3" xfId="24582" xr:uid="{00000000-0005-0000-0000-0000181C0000}"/>
    <cellStyle name="20% - Accent4 2 2 3 4 2 3" xfId="11664" xr:uid="{00000000-0005-0000-0000-0000191C0000}"/>
    <cellStyle name="20% - Accent4 2 2 3 4 2 3 2" xfId="24578" xr:uid="{00000000-0005-0000-0000-00001A1C0000}"/>
    <cellStyle name="20% - Accent4 2 2 3 4 2 4" xfId="11661" xr:uid="{00000000-0005-0000-0000-00001B1C0000}"/>
    <cellStyle name="20% - Accent4 2 2 3 4 3" xfId="21263" xr:uid="{00000000-0005-0000-0000-00001C1C0000}"/>
    <cellStyle name="20% - Accent4 2 2 3 4 3 2" xfId="24574" xr:uid="{00000000-0005-0000-0000-00001D1C0000}"/>
    <cellStyle name="20% - Accent4 2 2 3 4 3 2 2" xfId="24573" xr:uid="{00000000-0005-0000-0000-00001E1C0000}"/>
    <cellStyle name="20% - Accent4 2 2 3 4 3 3" xfId="11659" xr:uid="{00000000-0005-0000-0000-00001F1C0000}"/>
    <cellStyle name="20% - Accent4 2 2 3 4 4" xfId="21258" xr:uid="{00000000-0005-0000-0000-0000201C0000}"/>
    <cellStyle name="20% - Accent4 2 2 3 4 4 2" xfId="24568" xr:uid="{00000000-0005-0000-0000-0000211C0000}"/>
    <cellStyle name="20% - Accent4 2 2 3 4 5" xfId="24567" xr:uid="{00000000-0005-0000-0000-0000221C0000}"/>
    <cellStyle name="20% - Accent4 2 2 3 5" xfId="33616" xr:uid="{00000000-0005-0000-0000-0000231C0000}"/>
    <cellStyle name="20% - Accent4 2 2 3 5 2" xfId="23576" xr:uid="{00000000-0005-0000-0000-0000241C0000}"/>
    <cellStyle name="20% - Accent4 2 2 3 5 2 2" xfId="24563" xr:uid="{00000000-0005-0000-0000-0000251C0000}"/>
    <cellStyle name="20% - Accent4 2 2 3 5 2 2 2" xfId="10746" xr:uid="{00000000-0005-0000-0000-0000261C0000}"/>
    <cellStyle name="20% - Accent4 2 2 3 5 2 3" xfId="11649" xr:uid="{00000000-0005-0000-0000-0000271C0000}"/>
    <cellStyle name="20% - Accent4 2 2 3 5 3" xfId="23319" xr:uid="{00000000-0005-0000-0000-0000281C0000}"/>
    <cellStyle name="20% - Accent4 2 2 3 5 3 2" xfId="9173" xr:uid="{00000000-0005-0000-0000-0000291C0000}"/>
    <cellStyle name="20% - Accent4 2 2 3 5 4" xfId="8230" xr:uid="{00000000-0005-0000-0000-00002A1C0000}"/>
    <cellStyle name="20% - Accent4 2 2 3 6" xfId="26414" xr:uid="{00000000-0005-0000-0000-00002B1C0000}"/>
    <cellStyle name="20% - Accent4 2 2 3 6 2" xfId="30581" xr:uid="{00000000-0005-0000-0000-00002C1C0000}"/>
    <cellStyle name="20% - Accent4 2 2 3 6 2 2" xfId="24560" xr:uid="{00000000-0005-0000-0000-00002D1C0000}"/>
    <cellStyle name="20% - Accent4 2 2 3 6 3" xfId="24558" xr:uid="{00000000-0005-0000-0000-00002E1C0000}"/>
    <cellStyle name="20% - Accent4 2 2 3 7" xfId="34270" xr:uid="{00000000-0005-0000-0000-00002F1C0000}"/>
    <cellStyle name="20% - Accent4 2 2 3 7 2" xfId="24556" xr:uid="{00000000-0005-0000-0000-0000301C0000}"/>
    <cellStyle name="20% - Accent4 2 2 3 8" xfId="24552" xr:uid="{00000000-0005-0000-0000-0000311C0000}"/>
    <cellStyle name="20% - Accent4 2 2 4" xfId="24547" xr:uid="{00000000-0005-0000-0000-0000321C0000}"/>
    <cellStyle name="20% - Accent4 2 2 4 2" xfId="32979" xr:uid="{00000000-0005-0000-0000-0000331C0000}"/>
    <cellStyle name="20% - Accent4 2 2 4 2 2" xfId="25963" xr:uid="{00000000-0005-0000-0000-0000341C0000}"/>
    <cellStyle name="20% - Accent4 2 2 4 2 2 2" xfId="29527" xr:uid="{00000000-0005-0000-0000-0000351C0000}"/>
    <cellStyle name="20% - Accent4 2 2 4 2 2 2 2" xfId="24542" xr:uid="{00000000-0005-0000-0000-0000361C0000}"/>
    <cellStyle name="20% - Accent4 2 2 4 2 2 2 2 2" xfId="24539" xr:uid="{00000000-0005-0000-0000-0000371C0000}"/>
    <cellStyle name="20% - Accent4 2 2 4 2 2 2 2 2 2" xfId="28570" xr:uid="{00000000-0005-0000-0000-0000381C0000}"/>
    <cellStyle name="20% - Accent4 2 2 4 2 2 2 2 3" xfId="31261" xr:uid="{00000000-0005-0000-0000-0000391C0000}"/>
    <cellStyle name="20% - Accent4 2 2 4 2 2 2 3" xfId="24530" xr:uid="{00000000-0005-0000-0000-00003A1C0000}"/>
    <cellStyle name="20% - Accent4 2 2 4 2 2 2 3 2" xfId="24526" xr:uid="{00000000-0005-0000-0000-00003B1C0000}"/>
    <cellStyle name="20% - Accent4 2 2 4 2 2 2 4" xfId="27133" xr:uid="{00000000-0005-0000-0000-00003C1C0000}"/>
    <cellStyle name="20% - Accent4 2 2 4 2 2 3" xfId="9133" xr:uid="{00000000-0005-0000-0000-00003D1C0000}"/>
    <cellStyle name="20% - Accent4 2 2 4 2 2 3 2" xfId="24522" xr:uid="{00000000-0005-0000-0000-00003E1C0000}"/>
    <cellStyle name="20% - Accent4 2 2 4 2 2 3 2 2" xfId="24520" xr:uid="{00000000-0005-0000-0000-00003F1C0000}"/>
    <cellStyle name="20% - Accent4 2 2 4 2 2 3 3" xfId="24515" xr:uid="{00000000-0005-0000-0000-0000401C0000}"/>
    <cellStyle name="20% - Accent4 2 2 4 2 2 4" xfId="13294" xr:uid="{00000000-0005-0000-0000-0000411C0000}"/>
    <cellStyle name="20% - Accent4 2 2 4 2 2 4 2" xfId="24510" xr:uid="{00000000-0005-0000-0000-0000421C0000}"/>
    <cellStyle name="20% - Accent4 2 2 4 2 2 5" xfId="24506" xr:uid="{00000000-0005-0000-0000-0000431C0000}"/>
    <cellStyle name="20% - Accent4 2 2 4 2 3" xfId="22849" xr:uid="{00000000-0005-0000-0000-0000441C0000}"/>
    <cellStyle name="20% - Accent4 2 2 4 2 3 2" xfId="31833" xr:uid="{00000000-0005-0000-0000-0000451C0000}"/>
    <cellStyle name="20% - Accent4 2 2 4 2 3 2 2" xfId="24500" xr:uid="{00000000-0005-0000-0000-0000461C0000}"/>
    <cellStyle name="20% - Accent4 2 2 4 2 3 2 2 2" xfId="24493" xr:uid="{00000000-0005-0000-0000-0000471C0000}"/>
    <cellStyle name="20% - Accent4 2 2 4 2 3 2 3" xfId="17991" xr:uid="{00000000-0005-0000-0000-0000481C0000}"/>
    <cellStyle name="20% - Accent4 2 2 4 2 3 3" xfId="9108" xr:uid="{00000000-0005-0000-0000-0000491C0000}"/>
    <cellStyle name="20% - Accent4 2 2 4 2 3 3 2" xfId="24482" xr:uid="{00000000-0005-0000-0000-00004A1C0000}"/>
    <cellStyle name="20% - Accent4 2 2 4 2 3 4" xfId="19585" xr:uid="{00000000-0005-0000-0000-00004B1C0000}"/>
    <cellStyle name="20% - Accent4 2 2 4 2 4" xfId="23553" xr:uid="{00000000-0005-0000-0000-00004C1C0000}"/>
    <cellStyle name="20% - Accent4 2 2 4 2 4 2" xfId="24472" xr:uid="{00000000-0005-0000-0000-00004D1C0000}"/>
    <cellStyle name="20% - Accent4 2 2 4 2 4 2 2" xfId="31408" xr:uid="{00000000-0005-0000-0000-00004E1C0000}"/>
    <cellStyle name="20% - Accent4 2 2 4 2 4 3" xfId="9092" xr:uid="{00000000-0005-0000-0000-00004F1C0000}"/>
    <cellStyle name="20% - Accent4 2 2 4 2 5" xfId="21253" xr:uid="{00000000-0005-0000-0000-0000501C0000}"/>
    <cellStyle name="20% - Accent4 2 2 4 2 5 2" xfId="24148" xr:uid="{00000000-0005-0000-0000-0000511C0000}"/>
    <cellStyle name="20% - Accent4 2 2 4 2 6" xfId="24466" xr:uid="{00000000-0005-0000-0000-0000521C0000}"/>
    <cellStyle name="20% - Accent4 2 2 4 3" xfId="29884" xr:uid="{00000000-0005-0000-0000-0000531C0000}"/>
    <cellStyle name="20% - Accent4 2 2 4 3 2" xfId="25955" xr:uid="{00000000-0005-0000-0000-0000541C0000}"/>
    <cellStyle name="20% - Accent4 2 2 4 3 2 2" xfId="29509" xr:uid="{00000000-0005-0000-0000-0000551C0000}"/>
    <cellStyle name="20% - Accent4 2 2 4 3 2 2 2" xfId="23966" xr:uid="{00000000-0005-0000-0000-0000561C0000}"/>
    <cellStyle name="20% - Accent4 2 2 4 3 2 2 2 2" xfId="24465" xr:uid="{00000000-0005-0000-0000-0000571C0000}"/>
    <cellStyle name="20% - Accent4 2 2 4 3 2 2 3" xfId="24460" xr:uid="{00000000-0005-0000-0000-0000581C0000}"/>
    <cellStyle name="20% - Accent4 2 2 4 3 2 3" xfId="9062" xr:uid="{00000000-0005-0000-0000-0000591C0000}"/>
    <cellStyle name="20% - Accent4 2 2 4 3 2 3 2" xfId="24456" xr:uid="{00000000-0005-0000-0000-00005A1C0000}"/>
    <cellStyle name="20% - Accent4 2 2 4 3 2 4" xfId="12969" xr:uid="{00000000-0005-0000-0000-00005B1C0000}"/>
    <cellStyle name="20% - Accent4 2 2 4 3 3" xfId="21247" xr:uid="{00000000-0005-0000-0000-00005C1C0000}"/>
    <cellStyle name="20% - Accent4 2 2 4 3 3 2" xfId="30764" xr:uid="{00000000-0005-0000-0000-00005D1C0000}"/>
    <cellStyle name="20% - Accent4 2 2 4 3 3 2 2" xfId="24450" xr:uid="{00000000-0005-0000-0000-00005E1C0000}"/>
    <cellStyle name="20% - Accent4 2 2 4 3 3 3" xfId="9053" xr:uid="{00000000-0005-0000-0000-00005F1C0000}"/>
    <cellStyle name="20% - Accent4 2 2 4 3 4" xfId="21244" xr:uid="{00000000-0005-0000-0000-0000601C0000}"/>
    <cellStyle name="20% - Accent4 2 2 4 3 4 2" xfId="30760" xr:uid="{00000000-0005-0000-0000-0000611C0000}"/>
    <cellStyle name="20% - Accent4 2 2 4 3 5" xfId="33472" xr:uid="{00000000-0005-0000-0000-0000621C0000}"/>
    <cellStyle name="20% - Accent4 2 2 4 4" xfId="32347" xr:uid="{00000000-0005-0000-0000-0000631C0000}"/>
    <cellStyle name="20% - Accent4 2 2 4 4 2" xfId="23525" xr:uid="{00000000-0005-0000-0000-0000641C0000}"/>
    <cellStyle name="20% - Accent4 2 2 4 4 2 2" xfId="24445" xr:uid="{00000000-0005-0000-0000-0000651C0000}"/>
    <cellStyle name="20% - Accent4 2 2 4 4 2 2 2" xfId="24443" xr:uid="{00000000-0005-0000-0000-0000661C0000}"/>
    <cellStyle name="20% - Accent4 2 2 4 4 2 3" xfId="9018" xr:uid="{00000000-0005-0000-0000-0000671C0000}"/>
    <cellStyle name="20% - Accent4 2 2 4 4 3" xfId="21241" xr:uid="{00000000-0005-0000-0000-0000681C0000}"/>
    <cellStyle name="20% - Accent4 2 2 4 4 3 2" xfId="30806" xr:uid="{00000000-0005-0000-0000-0000691C0000}"/>
    <cellStyle name="20% - Accent4 2 2 4 4 4" xfId="33853" xr:uid="{00000000-0005-0000-0000-00006A1C0000}"/>
    <cellStyle name="20% - Accent4 2 2 4 5" xfId="31803" xr:uid="{00000000-0005-0000-0000-00006B1C0000}"/>
    <cellStyle name="20% - Accent4 2 2 4 5 2" xfId="34197" xr:uid="{00000000-0005-0000-0000-00006C1C0000}"/>
    <cellStyle name="20% - Accent4 2 2 4 5 2 2" xfId="24438" xr:uid="{00000000-0005-0000-0000-00006D1C0000}"/>
    <cellStyle name="20% - Accent4 2 2 4 5 3" xfId="9125" xr:uid="{00000000-0005-0000-0000-00006E1C0000}"/>
    <cellStyle name="20% - Accent4 2 2 4 6" xfId="33619" xr:uid="{00000000-0005-0000-0000-00006F1C0000}"/>
    <cellStyle name="20% - Accent4 2 2 4 6 2" xfId="27955" xr:uid="{00000000-0005-0000-0000-0000701C0000}"/>
    <cellStyle name="20% - Accent4 2 2 4 7" xfId="24436" xr:uid="{00000000-0005-0000-0000-0000711C0000}"/>
    <cellStyle name="20% - Accent4 2 2 5" xfId="24431" xr:uid="{00000000-0005-0000-0000-0000721C0000}"/>
    <cellStyle name="20% - Accent4 2 2 5 2" xfId="30367" xr:uid="{00000000-0005-0000-0000-0000731C0000}"/>
    <cellStyle name="20% - Accent4 2 2 5 2 2" xfId="25941" xr:uid="{00000000-0005-0000-0000-0000741C0000}"/>
    <cellStyle name="20% - Accent4 2 2 5 2 2 2" xfId="22269" xr:uid="{00000000-0005-0000-0000-0000751C0000}"/>
    <cellStyle name="20% - Accent4 2 2 5 2 2 2 2" xfId="24068" xr:uid="{00000000-0005-0000-0000-0000761C0000}"/>
    <cellStyle name="20% - Accent4 2 2 5 2 2 2 2 2" xfId="20217" xr:uid="{00000000-0005-0000-0000-0000771C0000}"/>
    <cellStyle name="20% - Accent4 2 2 5 2 2 2 3" xfId="31502" xr:uid="{00000000-0005-0000-0000-0000781C0000}"/>
    <cellStyle name="20% - Accent4 2 2 5 2 2 3" xfId="7208" xr:uid="{00000000-0005-0000-0000-0000791C0000}"/>
    <cellStyle name="20% - Accent4 2 2 5 2 2 3 2" xfId="24423" xr:uid="{00000000-0005-0000-0000-00007A1C0000}"/>
    <cellStyle name="20% - Accent4 2 2 5 2 2 4" xfId="12521" xr:uid="{00000000-0005-0000-0000-00007B1C0000}"/>
    <cellStyle name="20% - Accent4 2 2 5 2 3" xfId="21232" xr:uid="{00000000-0005-0000-0000-00007C1C0000}"/>
    <cellStyle name="20% - Accent4 2 2 5 2 3 2" xfId="24421" xr:uid="{00000000-0005-0000-0000-00007D1C0000}"/>
    <cellStyle name="20% - Accent4 2 2 5 2 3 2 2" xfId="24418" xr:uid="{00000000-0005-0000-0000-00007E1C0000}"/>
    <cellStyle name="20% - Accent4 2 2 5 2 3 3" xfId="7189" xr:uid="{00000000-0005-0000-0000-00007F1C0000}"/>
    <cellStyle name="20% - Accent4 2 2 5 2 4" xfId="21231" xr:uid="{00000000-0005-0000-0000-0000801C0000}"/>
    <cellStyle name="20% - Accent4 2 2 5 2 4 2" xfId="24412" xr:uid="{00000000-0005-0000-0000-0000811C0000}"/>
    <cellStyle name="20% - Accent4 2 2 5 2 5" xfId="24411" xr:uid="{00000000-0005-0000-0000-0000821C0000}"/>
    <cellStyle name="20% - Accent4 2 2 5 3" xfId="24347" xr:uid="{00000000-0005-0000-0000-0000831C0000}"/>
    <cellStyle name="20% - Accent4 2 2 5 3 2" xfId="8864" xr:uid="{00000000-0005-0000-0000-0000841C0000}"/>
    <cellStyle name="20% - Accent4 2 2 5 3 2 2" xfId="24410" xr:uid="{00000000-0005-0000-0000-0000851C0000}"/>
    <cellStyle name="20% - Accent4 2 2 5 3 2 2 2" xfId="25785" xr:uid="{00000000-0005-0000-0000-0000861C0000}"/>
    <cellStyle name="20% - Accent4 2 2 5 3 2 3" xfId="12374" xr:uid="{00000000-0005-0000-0000-0000871C0000}"/>
    <cellStyle name="20% - Accent4 2 2 5 3 3" xfId="21223" xr:uid="{00000000-0005-0000-0000-0000881C0000}"/>
    <cellStyle name="20% - Accent4 2 2 5 3 3 2" xfId="30731" xr:uid="{00000000-0005-0000-0000-0000891C0000}"/>
    <cellStyle name="20% - Accent4 2 2 5 3 4" xfId="33845" xr:uid="{00000000-0005-0000-0000-00008A1C0000}"/>
    <cellStyle name="20% - Accent4 2 2 5 4" xfId="23315" xr:uid="{00000000-0005-0000-0000-00008B1C0000}"/>
    <cellStyle name="20% - Accent4 2 2 5 4 2" xfId="34192" xr:uid="{00000000-0005-0000-0000-00008C1C0000}"/>
    <cellStyle name="20% - Accent4 2 2 5 4 2 2" xfId="24406" xr:uid="{00000000-0005-0000-0000-00008D1C0000}"/>
    <cellStyle name="20% - Accent4 2 2 5 4 3" xfId="24404" xr:uid="{00000000-0005-0000-0000-00008E1C0000}"/>
    <cellStyle name="20% - Accent4 2 2 5 5" xfId="23311" xr:uid="{00000000-0005-0000-0000-00008F1C0000}"/>
    <cellStyle name="20% - Accent4 2 2 5 5 2" xfId="24403" xr:uid="{00000000-0005-0000-0000-0000901C0000}"/>
    <cellStyle name="20% - Accent4 2 2 5 6" xfId="26084" xr:uid="{00000000-0005-0000-0000-0000911C0000}"/>
    <cellStyle name="20% - Accent4 2 2 6" xfId="33448" xr:uid="{00000000-0005-0000-0000-0000921C0000}"/>
    <cellStyle name="20% - Accent4 2 2 6 2" xfId="24342" xr:uid="{00000000-0005-0000-0000-0000931C0000}"/>
    <cellStyle name="20% - Accent4 2 2 6 2 2" xfId="23486" xr:uid="{00000000-0005-0000-0000-0000941C0000}"/>
    <cellStyle name="20% - Accent4 2 2 6 2 2 2" xfId="20161" xr:uid="{00000000-0005-0000-0000-0000951C0000}"/>
    <cellStyle name="20% - Accent4 2 2 6 2 2 2 2" xfId="24400" xr:uid="{00000000-0005-0000-0000-0000961C0000}"/>
    <cellStyle name="20% - Accent4 2 2 6 2 2 3" xfId="5900" xr:uid="{00000000-0005-0000-0000-0000971C0000}"/>
    <cellStyle name="20% - Accent4 2 2 6 2 3" xfId="24395" xr:uid="{00000000-0005-0000-0000-0000981C0000}"/>
    <cellStyle name="20% - Accent4 2 2 6 2 3 2" xfId="24389" xr:uid="{00000000-0005-0000-0000-0000991C0000}"/>
    <cellStyle name="20% - Accent4 2 2 6 2 4" xfId="24385" xr:uid="{00000000-0005-0000-0000-00009A1C0000}"/>
    <cellStyle name="20% - Accent4 2 2 6 3" xfId="24339" xr:uid="{00000000-0005-0000-0000-00009B1C0000}"/>
    <cellStyle name="20% - Accent4 2 2 6 3 2" xfId="33611" xr:uid="{00000000-0005-0000-0000-00009C1C0000}"/>
    <cellStyle name="20% - Accent4 2 2 6 3 2 2" xfId="24382" xr:uid="{00000000-0005-0000-0000-00009D1C0000}"/>
    <cellStyle name="20% - Accent4 2 2 6 3 3" xfId="24380" xr:uid="{00000000-0005-0000-0000-00009E1C0000}"/>
    <cellStyle name="20% - Accent4 2 2 6 4" xfId="23307" xr:uid="{00000000-0005-0000-0000-00009F1C0000}"/>
    <cellStyle name="20% - Accent4 2 2 6 4 2" xfId="24379" xr:uid="{00000000-0005-0000-0000-0000A01C0000}"/>
    <cellStyle name="20% - Accent4 2 2 6 5" xfId="24374" xr:uid="{00000000-0005-0000-0000-0000A11C0000}"/>
    <cellStyle name="20% - Accent4 2 2 7" xfId="24866" xr:uid="{00000000-0005-0000-0000-0000A21C0000}"/>
    <cellStyle name="20% - Accent4 2 2 7 2" xfId="24336" xr:uid="{00000000-0005-0000-0000-0000A31C0000}"/>
    <cellStyle name="20% - Accent4 2 2 7 2 2" xfId="24373" xr:uid="{00000000-0005-0000-0000-0000A41C0000}"/>
    <cellStyle name="20% - Accent4 2 2 7 2 2 2" xfId="18073" xr:uid="{00000000-0005-0000-0000-0000A51C0000}"/>
    <cellStyle name="20% - Accent4 2 2 7 2 3" xfId="24367" xr:uid="{00000000-0005-0000-0000-0000A61C0000}"/>
    <cellStyle name="20% - Accent4 2 2 7 3" xfId="24331" xr:uid="{00000000-0005-0000-0000-0000A71C0000}"/>
    <cellStyle name="20% - Accent4 2 2 7 3 2" xfId="24366" xr:uid="{00000000-0005-0000-0000-0000A81C0000}"/>
    <cellStyle name="20% - Accent4 2 2 7 4" xfId="24364" xr:uid="{00000000-0005-0000-0000-0000A91C0000}"/>
    <cellStyle name="20% - Accent4 2 2 8" xfId="24362" xr:uid="{00000000-0005-0000-0000-0000AA1C0000}"/>
    <cellStyle name="20% - Accent4 2 2 8 2" xfId="16152" xr:uid="{00000000-0005-0000-0000-0000AB1C0000}"/>
    <cellStyle name="20% - Accent4 2 2 8 2 2" xfId="24360" xr:uid="{00000000-0005-0000-0000-0000AC1C0000}"/>
    <cellStyle name="20% - Accent4 2 2 8 3" xfId="28704" xr:uid="{00000000-0005-0000-0000-0000AD1C0000}"/>
    <cellStyle name="20% - Accent4 2 2 9" xfId="24359" xr:uid="{00000000-0005-0000-0000-0000AE1C0000}"/>
    <cellStyle name="20% - Accent4 2 2 9 2" xfId="26489" xr:uid="{00000000-0005-0000-0000-0000AF1C0000}"/>
    <cellStyle name="20% - Accent4 2 3" xfId="209" xr:uid="{00000000-0005-0000-0000-0000B01C0000}"/>
    <cellStyle name="20% - Accent4 2 3 10" xfId="34541" xr:uid="{00000000-0005-0000-0000-0000B11C0000}"/>
    <cellStyle name="20% - Accent4 2 3 11" xfId="22599" xr:uid="{00000000-0005-0000-0000-0000B21C0000}"/>
    <cellStyle name="20% - Accent4 2 3 2" xfId="32002" xr:uid="{00000000-0005-0000-0000-0000B31C0000}"/>
    <cellStyle name="20% - Accent4 2 3 2 2" xfId="8854" xr:uid="{00000000-0005-0000-0000-0000B41C0000}"/>
    <cellStyle name="20% - Accent4 2 3 2 2 2" xfId="24358" xr:uid="{00000000-0005-0000-0000-0000B51C0000}"/>
    <cellStyle name="20% - Accent4 2 3 2 2 2 2" xfId="24843" xr:uid="{00000000-0005-0000-0000-0000B61C0000}"/>
    <cellStyle name="20% - Accent4 2 3 2 2 2 2 2" xfId="30368" xr:uid="{00000000-0005-0000-0000-0000B71C0000}"/>
    <cellStyle name="20% - Accent4 2 3 2 2 2 2 2 2" xfId="10535" xr:uid="{00000000-0005-0000-0000-0000B81C0000}"/>
    <cellStyle name="20% - Accent4 2 3 2 2 2 2 2 2 2" xfId="14499" xr:uid="{00000000-0005-0000-0000-0000B91C0000}"/>
    <cellStyle name="20% - Accent4 2 3 2 2 2 2 2 2 2 2" xfId="24356" xr:uid="{00000000-0005-0000-0000-0000BA1C0000}"/>
    <cellStyle name="20% - Accent4 2 3 2 2 2 2 2 2 3" xfId="6968" xr:uid="{00000000-0005-0000-0000-0000BB1C0000}"/>
    <cellStyle name="20% - Accent4 2 3 2 2 2 2 2 3" xfId="10524" xr:uid="{00000000-0005-0000-0000-0000BC1C0000}"/>
    <cellStyle name="20% - Accent4 2 3 2 2 2 2 2 3 2" xfId="6965" xr:uid="{00000000-0005-0000-0000-0000BD1C0000}"/>
    <cellStyle name="20% - Accent4 2 3 2 2 2 2 2 4" xfId="10521" xr:uid="{00000000-0005-0000-0000-0000BE1C0000}"/>
    <cellStyle name="20% - Accent4 2 3 2 2 2 2 3" xfId="24348" xr:uid="{00000000-0005-0000-0000-0000BF1C0000}"/>
    <cellStyle name="20% - Accent4 2 3 2 2 2 2 3 2" xfId="10504" xr:uid="{00000000-0005-0000-0000-0000C01C0000}"/>
    <cellStyle name="20% - Accent4 2 3 2 2 2 2 3 2 2" xfId="6958" xr:uid="{00000000-0005-0000-0000-0000C11C0000}"/>
    <cellStyle name="20% - Accent4 2 3 2 2 2 2 3 3" xfId="10501" xr:uid="{00000000-0005-0000-0000-0000C21C0000}"/>
    <cellStyle name="20% - Accent4 2 3 2 2 2 2 4" xfId="23316" xr:uid="{00000000-0005-0000-0000-0000C31C0000}"/>
    <cellStyle name="20% - Accent4 2 3 2 2 2 2 4 2" xfId="10486" xr:uid="{00000000-0005-0000-0000-0000C41C0000}"/>
    <cellStyle name="20% - Accent4 2 3 2 2 2 2 5" xfId="23312" xr:uid="{00000000-0005-0000-0000-0000C51C0000}"/>
    <cellStyle name="20% - Accent4 2 3 2 2 2 3" xfId="21877" xr:uid="{00000000-0005-0000-0000-0000C61C0000}"/>
    <cellStyle name="20% - Accent4 2 3 2 2 2 3 2" xfId="13173" xr:uid="{00000000-0005-0000-0000-0000C71C0000}"/>
    <cellStyle name="20% - Accent4 2 3 2 2 2 3 2 2" xfId="10453" xr:uid="{00000000-0005-0000-0000-0000C81C0000}"/>
    <cellStyle name="20% - Accent4 2 3 2 2 2 3 2 2 2" xfId="6935" xr:uid="{00000000-0005-0000-0000-0000C91C0000}"/>
    <cellStyle name="20% - Accent4 2 3 2 2 2 3 2 3" xfId="10446" xr:uid="{00000000-0005-0000-0000-0000CA1C0000}"/>
    <cellStyle name="20% - Accent4 2 3 2 2 2 3 3" xfId="24340" xr:uid="{00000000-0005-0000-0000-0000CB1C0000}"/>
    <cellStyle name="20% - Accent4 2 3 2 2 2 3 3 2" xfId="10436" xr:uid="{00000000-0005-0000-0000-0000CC1C0000}"/>
    <cellStyle name="20% - Accent4 2 3 2 2 2 3 4" xfId="23308" xr:uid="{00000000-0005-0000-0000-0000CD1C0000}"/>
    <cellStyle name="20% - Accent4 2 3 2 2 2 4" xfId="29727" xr:uid="{00000000-0005-0000-0000-0000CE1C0000}"/>
    <cellStyle name="20% - Accent4 2 3 2 2 2 4 2" xfId="24337" xr:uid="{00000000-0005-0000-0000-0000CF1C0000}"/>
    <cellStyle name="20% - Accent4 2 3 2 2 2 4 2 2" xfId="10412" xr:uid="{00000000-0005-0000-0000-0000D01C0000}"/>
    <cellStyle name="20% - Accent4 2 3 2 2 2 4 3" xfId="18945" xr:uid="{00000000-0005-0000-0000-0000D11C0000}"/>
    <cellStyle name="20% - Accent4 2 3 2 2 2 5" xfId="24330" xr:uid="{00000000-0005-0000-0000-0000D21C0000}"/>
    <cellStyle name="20% - Accent4 2 3 2 2 2 5 2" xfId="24327" xr:uid="{00000000-0005-0000-0000-0000D31C0000}"/>
    <cellStyle name="20% - Accent4 2 3 2 2 2 6" xfId="24325" xr:uid="{00000000-0005-0000-0000-0000D41C0000}"/>
    <cellStyle name="20% - Accent4 2 3 2 2 3" xfId="24314" xr:uid="{00000000-0005-0000-0000-0000D51C0000}"/>
    <cellStyle name="20% - Accent4 2 3 2 2 3 2" xfId="32667" xr:uid="{00000000-0005-0000-0000-0000D61C0000}"/>
    <cellStyle name="20% - Accent4 2 3 2 2 3 2 2" xfId="24313" xr:uid="{00000000-0005-0000-0000-0000D71C0000}"/>
    <cellStyle name="20% - Accent4 2 3 2 2 3 2 2 2" xfId="10378" xr:uid="{00000000-0005-0000-0000-0000D81C0000}"/>
    <cellStyle name="20% - Accent4 2 3 2 2 3 2 2 2 2" xfId="6827" xr:uid="{00000000-0005-0000-0000-0000D91C0000}"/>
    <cellStyle name="20% - Accent4 2 3 2 2 3 2 2 3" xfId="10374" xr:uid="{00000000-0005-0000-0000-0000DA1C0000}"/>
    <cellStyle name="20% - Accent4 2 3 2 2 3 2 3" xfId="24310" xr:uid="{00000000-0005-0000-0000-0000DB1C0000}"/>
    <cellStyle name="20% - Accent4 2 3 2 2 3 2 3 2" xfId="10365" xr:uid="{00000000-0005-0000-0000-0000DC1C0000}"/>
    <cellStyle name="20% - Accent4 2 3 2 2 3 2 4" xfId="23299" xr:uid="{00000000-0005-0000-0000-0000DD1C0000}"/>
    <cellStyle name="20% - Accent4 2 3 2 2 3 3" xfId="30868" xr:uid="{00000000-0005-0000-0000-0000DE1C0000}"/>
    <cellStyle name="20% - Accent4 2 3 2 2 3 3 2" xfId="24307" xr:uid="{00000000-0005-0000-0000-0000DF1C0000}"/>
    <cellStyle name="20% - Accent4 2 3 2 2 3 3 2 2" xfId="10349" xr:uid="{00000000-0005-0000-0000-0000E01C0000}"/>
    <cellStyle name="20% - Accent4 2 3 2 2 3 3 3" xfId="24303" xr:uid="{00000000-0005-0000-0000-0000E11C0000}"/>
    <cellStyle name="20% - Accent4 2 3 2 2 3 4" xfId="24299" xr:uid="{00000000-0005-0000-0000-0000E21C0000}"/>
    <cellStyle name="20% - Accent4 2 3 2 2 3 4 2" xfId="24044" xr:uid="{00000000-0005-0000-0000-0000E31C0000}"/>
    <cellStyle name="20% - Accent4 2 3 2 2 3 5" xfId="24296" xr:uid="{00000000-0005-0000-0000-0000E41C0000}"/>
    <cellStyle name="20% - Accent4 2 3 2 2 4" xfId="24295" xr:uid="{00000000-0005-0000-0000-0000E51C0000}"/>
    <cellStyle name="20% - Accent4 2 3 2 2 4 2" xfId="23784" xr:uid="{00000000-0005-0000-0000-0000E61C0000}"/>
    <cellStyle name="20% - Accent4 2 3 2 2 4 2 2" xfId="28769" xr:uid="{00000000-0005-0000-0000-0000E71C0000}"/>
    <cellStyle name="20% - Accent4 2 3 2 2 4 2 2 2" xfId="10310" xr:uid="{00000000-0005-0000-0000-0000E81C0000}"/>
    <cellStyle name="20% - Accent4 2 3 2 2 4 2 3" xfId="28760" xr:uid="{00000000-0005-0000-0000-0000E91C0000}"/>
    <cellStyle name="20% - Accent4 2 3 2 2 4 3" xfId="25083" xr:uid="{00000000-0005-0000-0000-0000EA1C0000}"/>
    <cellStyle name="20% - Accent4 2 3 2 2 4 3 2" xfId="23810" xr:uid="{00000000-0005-0000-0000-0000EB1C0000}"/>
    <cellStyle name="20% - Accent4 2 3 2 2 4 4" xfId="25074" xr:uid="{00000000-0005-0000-0000-0000EC1C0000}"/>
    <cellStyle name="20% - Accent4 2 3 2 2 5" xfId="24288" xr:uid="{00000000-0005-0000-0000-0000ED1C0000}"/>
    <cellStyle name="20% - Accent4 2 3 2 2 5 2" xfId="24287" xr:uid="{00000000-0005-0000-0000-0000EE1C0000}"/>
    <cellStyle name="20% - Accent4 2 3 2 2 5 2 2" xfId="23773" xr:uid="{00000000-0005-0000-0000-0000EF1C0000}"/>
    <cellStyle name="20% - Accent4 2 3 2 2 5 3" xfId="25071" xr:uid="{00000000-0005-0000-0000-0000F01C0000}"/>
    <cellStyle name="20% - Accent4 2 3 2 2 6" xfId="24281" xr:uid="{00000000-0005-0000-0000-0000F11C0000}"/>
    <cellStyle name="20% - Accent4 2 3 2 2 6 2" xfId="33876" xr:uid="{00000000-0005-0000-0000-0000F21C0000}"/>
    <cellStyle name="20% - Accent4 2 3 2 2 7" xfId="24279" xr:uid="{00000000-0005-0000-0000-0000F31C0000}"/>
    <cellStyle name="20% - Accent4 2 3 2 3" xfId="34349" xr:uid="{00000000-0005-0000-0000-0000F41C0000}"/>
    <cellStyle name="20% - Accent4 2 3 2 3 2" xfId="30996" xr:uid="{00000000-0005-0000-0000-0000F51C0000}"/>
    <cellStyle name="20% - Accent4 2 3 2 3 2 2" xfId="30888" xr:uid="{00000000-0005-0000-0000-0000F61C0000}"/>
    <cellStyle name="20% - Accent4 2 3 2 3 2 2 2" xfId="17802" xr:uid="{00000000-0005-0000-0000-0000F71C0000}"/>
    <cellStyle name="20% - Accent4 2 3 2 3 2 2 2 2" xfId="24278" xr:uid="{00000000-0005-0000-0000-0000F81C0000}"/>
    <cellStyle name="20% - Accent4 2 3 2 3 2 2 2 2 2" xfId="6640" xr:uid="{00000000-0005-0000-0000-0000F91C0000}"/>
    <cellStyle name="20% - Accent4 2 3 2 3 2 2 2 3" xfId="24276" xr:uid="{00000000-0005-0000-0000-0000FA1C0000}"/>
    <cellStyle name="20% - Accent4 2 3 2 3 2 2 3" xfId="17794" xr:uid="{00000000-0005-0000-0000-0000FB1C0000}"/>
    <cellStyle name="20% - Accent4 2 3 2 3 2 2 3 2" xfId="24273" xr:uid="{00000000-0005-0000-0000-0000FC1C0000}"/>
    <cellStyle name="20% - Accent4 2 3 2 3 2 2 4" xfId="17786" xr:uid="{00000000-0005-0000-0000-0000FD1C0000}"/>
    <cellStyle name="20% - Accent4 2 3 2 3 2 3" xfId="32436" xr:uid="{00000000-0005-0000-0000-0000FE1C0000}"/>
    <cellStyle name="20% - Accent4 2 3 2 3 2 3 2" xfId="21249" xr:uid="{00000000-0005-0000-0000-0000FF1C0000}"/>
    <cellStyle name="20% - Accent4 2 3 2 3 2 3 2 2" xfId="24267" xr:uid="{00000000-0005-0000-0000-0000001D0000}"/>
    <cellStyle name="20% - Accent4 2 3 2 3 2 3 3" xfId="17618" xr:uid="{00000000-0005-0000-0000-0000011D0000}"/>
    <cellStyle name="20% - Accent4 2 3 2 3 2 4" xfId="24265" xr:uid="{00000000-0005-0000-0000-0000021D0000}"/>
    <cellStyle name="20% - Accent4 2 3 2 3 2 4 2" xfId="17509" xr:uid="{00000000-0005-0000-0000-0000031D0000}"/>
    <cellStyle name="20% - Accent4 2 3 2 3 2 5" xfId="24258" xr:uid="{00000000-0005-0000-0000-0000041D0000}"/>
    <cellStyle name="20% - Accent4 2 3 2 3 3" xfId="30993" xr:uid="{00000000-0005-0000-0000-0000051D0000}"/>
    <cellStyle name="20% - Accent4 2 3 2 3 3 2" xfId="24256" xr:uid="{00000000-0005-0000-0000-0000061D0000}"/>
    <cellStyle name="20% - Accent4 2 3 2 3 3 2 2" xfId="21234" xr:uid="{00000000-0005-0000-0000-0000071D0000}"/>
    <cellStyle name="20% - Accent4 2 3 2 3 3 2 2 2" xfId="24252" xr:uid="{00000000-0005-0000-0000-0000081D0000}"/>
    <cellStyle name="20% - Accent4 2 3 2 3 3 2 3" xfId="24250" xr:uid="{00000000-0005-0000-0000-0000091D0000}"/>
    <cellStyle name="20% - Accent4 2 3 2 3 3 3" xfId="24247" xr:uid="{00000000-0005-0000-0000-00000A1D0000}"/>
    <cellStyle name="20% - Accent4 2 3 2 3 3 3 2" xfId="24245" xr:uid="{00000000-0005-0000-0000-00000B1D0000}"/>
    <cellStyle name="20% - Accent4 2 3 2 3 3 4" xfId="24238" xr:uid="{00000000-0005-0000-0000-00000C1D0000}"/>
    <cellStyle name="20% - Accent4 2 3 2 3 4" xfId="33924" xr:uid="{00000000-0005-0000-0000-00000D1D0000}"/>
    <cellStyle name="20% - Accent4 2 3 2 3 4 2" xfId="24235" xr:uid="{00000000-0005-0000-0000-00000E1D0000}"/>
    <cellStyle name="20% - Accent4 2 3 2 3 4 2 2" xfId="16363" xr:uid="{00000000-0005-0000-0000-00000F1D0000}"/>
    <cellStyle name="20% - Accent4 2 3 2 3 4 3" xfId="26152" xr:uid="{00000000-0005-0000-0000-0000101D0000}"/>
    <cellStyle name="20% - Accent4 2 3 2 3 5" xfId="27423" xr:uid="{00000000-0005-0000-0000-0000111D0000}"/>
    <cellStyle name="20% - Accent4 2 3 2 3 5 2" xfId="24230" xr:uid="{00000000-0005-0000-0000-0000121D0000}"/>
    <cellStyle name="20% - Accent4 2 3 2 3 6" xfId="24225" xr:uid="{00000000-0005-0000-0000-0000131D0000}"/>
    <cellStyle name="20% - Accent4 2 3 2 4" xfId="15919" xr:uid="{00000000-0005-0000-0000-0000141D0000}"/>
    <cellStyle name="20% - Accent4 2 3 2 4 2" xfId="20771" xr:uid="{00000000-0005-0000-0000-0000151D0000}"/>
    <cellStyle name="20% - Accent4 2 3 2 4 2 2" xfId="24219" xr:uid="{00000000-0005-0000-0000-0000161D0000}"/>
    <cellStyle name="20% - Accent4 2 3 2 4 2 2 2" xfId="23358" xr:uid="{00000000-0005-0000-0000-0000171D0000}"/>
    <cellStyle name="20% - Accent4 2 3 2 4 2 2 2 2" xfId="24214" xr:uid="{00000000-0005-0000-0000-0000181D0000}"/>
    <cellStyle name="20% - Accent4 2 3 2 4 2 2 3" xfId="24211" xr:uid="{00000000-0005-0000-0000-0000191D0000}"/>
    <cellStyle name="20% - Accent4 2 3 2 4 2 3" xfId="24208" xr:uid="{00000000-0005-0000-0000-00001A1D0000}"/>
    <cellStyle name="20% - Accent4 2 3 2 4 2 3 2" xfId="24204" xr:uid="{00000000-0005-0000-0000-00001B1D0000}"/>
    <cellStyle name="20% - Accent4 2 3 2 4 2 4" xfId="24201" xr:uid="{00000000-0005-0000-0000-00001C1D0000}"/>
    <cellStyle name="20% - Accent4 2 3 2 4 3" xfId="24009" xr:uid="{00000000-0005-0000-0000-00001D1D0000}"/>
    <cellStyle name="20% - Accent4 2 3 2 4 3 2" xfId="24196" xr:uid="{00000000-0005-0000-0000-00001E1D0000}"/>
    <cellStyle name="20% - Accent4 2 3 2 4 3 2 2" xfId="23195" xr:uid="{00000000-0005-0000-0000-00001F1D0000}"/>
    <cellStyle name="20% - Accent4 2 3 2 4 3 3" xfId="24189" xr:uid="{00000000-0005-0000-0000-0000201D0000}"/>
    <cellStyle name="20% - Accent4 2 3 2 4 4" xfId="29450" xr:uid="{00000000-0005-0000-0000-0000211D0000}"/>
    <cellStyle name="20% - Accent4 2 3 2 4 4 2" xfId="34138" xr:uid="{00000000-0005-0000-0000-0000221D0000}"/>
    <cellStyle name="20% - Accent4 2 3 2 4 5" xfId="24186" xr:uid="{00000000-0005-0000-0000-0000231D0000}"/>
    <cellStyle name="20% - Accent4 2 3 2 5" xfId="15909" xr:uid="{00000000-0005-0000-0000-0000241D0000}"/>
    <cellStyle name="20% - Accent4 2 3 2 5 2" xfId="26910" xr:uid="{00000000-0005-0000-0000-0000251D0000}"/>
    <cellStyle name="20% - Accent4 2 3 2 5 2 2" xfId="26041" xr:uid="{00000000-0005-0000-0000-0000261D0000}"/>
    <cellStyle name="20% - Accent4 2 3 2 5 2 2 2" xfId="22704" xr:uid="{00000000-0005-0000-0000-0000271D0000}"/>
    <cellStyle name="20% - Accent4 2 3 2 5 2 3" xfId="24180" xr:uid="{00000000-0005-0000-0000-0000281D0000}"/>
    <cellStyle name="20% - Accent4 2 3 2 5 3" xfId="32287" xr:uid="{00000000-0005-0000-0000-0000291D0000}"/>
    <cellStyle name="20% - Accent4 2 3 2 5 3 2" xfId="24177" xr:uid="{00000000-0005-0000-0000-00002A1D0000}"/>
    <cellStyle name="20% - Accent4 2 3 2 5 4" xfId="8218" xr:uid="{00000000-0005-0000-0000-00002B1D0000}"/>
    <cellStyle name="20% - Accent4 2 3 2 6" xfId="33574" xr:uid="{00000000-0005-0000-0000-00002C1D0000}"/>
    <cellStyle name="20% - Accent4 2 3 2 6 2" xfId="34130" xr:uid="{00000000-0005-0000-0000-00002D1D0000}"/>
    <cellStyle name="20% - Accent4 2 3 2 6 2 2" xfId="24173" xr:uid="{00000000-0005-0000-0000-00002E1D0000}"/>
    <cellStyle name="20% - Accent4 2 3 2 6 3" xfId="24170" xr:uid="{00000000-0005-0000-0000-00002F1D0000}"/>
    <cellStyle name="20% - Accent4 2 3 2 7" xfId="33569" xr:uid="{00000000-0005-0000-0000-0000301D0000}"/>
    <cellStyle name="20% - Accent4 2 3 2 7 2" xfId="26049" xr:uid="{00000000-0005-0000-0000-0000311D0000}"/>
    <cellStyle name="20% - Accent4 2 3 2 8" xfId="24168" xr:uid="{00000000-0005-0000-0000-0000321D0000}"/>
    <cellStyle name="20% - Accent4 2 3 3" xfId="31096" xr:uid="{00000000-0005-0000-0000-0000331D0000}"/>
    <cellStyle name="20% - Accent4 2 3 3 2" xfId="24164" xr:uid="{00000000-0005-0000-0000-0000341D0000}"/>
    <cellStyle name="20% - Accent4 2 3 3 2 2" xfId="24163" xr:uid="{00000000-0005-0000-0000-0000351D0000}"/>
    <cellStyle name="20% - Accent4 2 3 3 2 2 2" xfId="18838" xr:uid="{00000000-0005-0000-0000-0000361D0000}"/>
    <cellStyle name="20% - Accent4 2 3 3 2 2 2 2" xfId="21618" xr:uid="{00000000-0005-0000-0000-0000371D0000}"/>
    <cellStyle name="20% - Accent4 2 3 3 2 2 2 2 2" xfId="24709" xr:uid="{00000000-0005-0000-0000-0000381D0000}"/>
    <cellStyle name="20% - Accent4 2 3 3 2 2 2 2 2 2" xfId="6281" xr:uid="{00000000-0005-0000-0000-0000391D0000}"/>
    <cellStyle name="20% - Accent4 2 3 3 2 2 2 2 3" xfId="24701" xr:uid="{00000000-0005-0000-0000-00003A1D0000}"/>
    <cellStyle name="20% - Accent4 2 3 3 2 2 2 3" xfId="27214" xr:uid="{00000000-0005-0000-0000-00003B1D0000}"/>
    <cellStyle name="20% - Accent4 2 3 3 2 2 2 3 2" xfId="24692" xr:uid="{00000000-0005-0000-0000-00003C1D0000}"/>
    <cellStyle name="20% - Accent4 2 3 3 2 2 2 4" xfId="24269" xr:uid="{00000000-0005-0000-0000-00003D1D0000}"/>
    <cellStyle name="20% - Accent4 2 3 3 2 2 3" xfId="28651" xr:uid="{00000000-0005-0000-0000-00003E1D0000}"/>
    <cellStyle name="20% - Accent4 2 3 3 2 2 3 2" xfId="21577" xr:uid="{00000000-0005-0000-0000-00003F1D0000}"/>
    <cellStyle name="20% - Accent4 2 3 3 2 2 3 2 2" xfId="24660" xr:uid="{00000000-0005-0000-0000-0000401D0000}"/>
    <cellStyle name="20% - Accent4 2 3 3 2 2 3 3" xfId="24893" xr:uid="{00000000-0005-0000-0000-0000411D0000}"/>
    <cellStyle name="20% - Accent4 2 3 3 2 2 4" xfId="24159" xr:uid="{00000000-0005-0000-0000-0000421D0000}"/>
    <cellStyle name="20% - Accent4 2 3 3 2 2 4 2" xfId="22841" xr:uid="{00000000-0005-0000-0000-0000431D0000}"/>
    <cellStyle name="20% - Accent4 2 3 3 2 2 5" xfId="24157" xr:uid="{00000000-0005-0000-0000-0000441D0000}"/>
    <cellStyle name="20% - Accent4 2 3 3 2 3" xfId="25576" xr:uid="{00000000-0005-0000-0000-0000451D0000}"/>
    <cellStyle name="20% - Accent4 2 3 3 2 3 2" xfId="24156" xr:uid="{00000000-0005-0000-0000-0000461D0000}"/>
    <cellStyle name="20% - Accent4 2 3 3 2 3 2 2" xfId="22526" xr:uid="{00000000-0005-0000-0000-0000471D0000}"/>
    <cellStyle name="20% - Accent4 2 3 3 2 3 2 2 2" xfId="24621" xr:uid="{00000000-0005-0000-0000-0000481D0000}"/>
    <cellStyle name="20% - Accent4 2 3 3 2 3 2 3" xfId="27349" xr:uid="{00000000-0005-0000-0000-0000491D0000}"/>
    <cellStyle name="20% - Accent4 2 3 3 2 3 3" xfId="24155" xr:uid="{00000000-0005-0000-0000-00004A1D0000}"/>
    <cellStyle name="20% - Accent4 2 3 3 2 3 3 2" xfId="21322" xr:uid="{00000000-0005-0000-0000-00004B1D0000}"/>
    <cellStyle name="20% - Accent4 2 3 3 2 3 4" xfId="24154" xr:uid="{00000000-0005-0000-0000-00004C1D0000}"/>
    <cellStyle name="20% - Accent4 2 3 3 2 4" xfId="23709" xr:uid="{00000000-0005-0000-0000-00004D1D0000}"/>
    <cellStyle name="20% - Accent4 2 3 3 2 4 2" xfId="19477" xr:uid="{00000000-0005-0000-0000-00004E1D0000}"/>
    <cellStyle name="20% - Accent4 2 3 3 2 4 2 2" xfId="21187" xr:uid="{00000000-0005-0000-0000-00004F1D0000}"/>
    <cellStyle name="20% - Accent4 2 3 3 2 4 3" xfId="19470" xr:uid="{00000000-0005-0000-0000-0000501D0000}"/>
    <cellStyle name="20% - Accent4 2 3 3 2 5" xfId="24151" xr:uid="{00000000-0005-0000-0000-0000511D0000}"/>
    <cellStyle name="20% - Accent4 2 3 3 2 5 2" xfId="19466" xr:uid="{00000000-0005-0000-0000-0000521D0000}"/>
    <cellStyle name="20% - Accent4 2 3 3 2 6" xfId="24146" xr:uid="{00000000-0005-0000-0000-0000531D0000}"/>
    <cellStyle name="20% - Accent4 2 3 3 3" xfId="33449" xr:uid="{00000000-0005-0000-0000-0000541D0000}"/>
    <cellStyle name="20% - Accent4 2 3 3 3 2" xfId="25861" xr:uid="{00000000-0005-0000-0000-0000551D0000}"/>
    <cellStyle name="20% - Accent4 2 3 3 3 2 2" xfId="24145" xr:uid="{00000000-0005-0000-0000-0000561D0000}"/>
    <cellStyle name="20% - Accent4 2 3 3 3 2 2 2" xfId="12677" xr:uid="{00000000-0005-0000-0000-0000571D0000}"/>
    <cellStyle name="20% - Accent4 2 3 3 3 2 2 2 2" xfId="24508" xr:uid="{00000000-0005-0000-0000-0000581D0000}"/>
    <cellStyle name="20% - Accent4 2 3 3 3 2 2 3" xfId="24140" xr:uid="{00000000-0005-0000-0000-0000591D0000}"/>
    <cellStyle name="20% - Accent4 2 3 3 3 2 3" xfId="24128" xr:uid="{00000000-0005-0000-0000-00005A1D0000}"/>
    <cellStyle name="20% - Accent4 2 3 3 3 2 3 2" xfId="20793" xr:uid="{00000000-0005-0000-0000-00005B1D0000}"/>
    <cellStyle name="20% - Accent4 2 3 3 3 2 4" xfId="24123" xr:uid="{00000000-0005-0000-0000-00005C1D0000}"/>
    <cellStyle name="20% - Accent4 2 3 3 3 3" xfId="23402" xr:uid="{00000000-0005-0000-0000-00005D1D0000}"/>
    <cellStyle name="20% - Accent4 2 3 3 3 3 2" xfId="24118" xr:uid="{00000000-0005-0000-0000-00005E1D0000}"/>
    <cellStyle name="20% - Accent4 2 3 3 3 3 2 2" xfId="20682" xr:uid="{00000000-0005-0000-0000-00005F1D0000}"/>
    <cellStyle name="20% - Accent4 2 3 3 3 3 3" xfId="24115" xr:uid="{00000000-0005-0000-0000-0000601D0000}"/>
    <cellStyle name="20% - Accent4 2 3 3 3 4" xfId="29970" xr:uid="{00000000-0005-0000-0000-0000611D0000}"/>
    <cellStyle name="20% - Accent4 2 3 3 3 4 2" xfId="19445" xr:uid="{00000000-0005-0000-0000-0000621D0000}"/>
    <cellStyle name="20% - Accent4 2 3 3 3 5" xfId="24114" xr:uid="{00000000-0005-0000-0000-0000631D0000}"/>
    <cellStyle name="20% - Accent4 2 3 3 4" xfId="15903" xr:uid="{00000000-0005-0000-0000-0000641D0000}"/>
    <cellStyle name="20% - Accent4 2 3 3 4 2" xfId="23381" xr:uid="{00000000-0005-0000-0000-0000651D0000}"/>
    <cellStyle name="20% - Accent4 2 3 3 4 2 2" xfId="24112" xr:uid="{00000000-0005-0000-0000-0000661D0000}"/>
    <cellStyle name="20% - Accent4 2 3 3 4 2 2 2" xfId="24109" xr:uid="{00000000-0005-0000-0000-0000671D0000}"/>
    <cellStyle name="20% - Accent4 2 3 3 4 2 3" xfId="21863" xr:uid="{00000000-0005-0000-0000-0000681D0000}"/>
    <cellStyle name="20% - Accent4 2 3 3 4 3" xfId="21211" xr:uid="{00000000-0005-0000-0000-0000691D0000}"/>
    <cellStyle name="20% - Accent4 2 3 3 4 3 2" xfId="24098" xr:uid="{00000000-0005-0000-0000-00006A1D0000}"/>
    <cellStyle name="20% - Accent4 2 3 3 4 4" xfId="21073" xr:uid="{00000000-0005-0000-0000-00006B1D0000}"/>
    <cellStyle name="20% - Accent4 2 3 3 5" xfId="33525" xr:uid="{00000000-0005-0000-0000-00006C1D0000}"/>
    <cellStyle name="20% - Accent4 2 3 3 5 2" xfId="29210" xr:uid="{00000000-0005-0000-0000-00006D1D0000}"/>
    <cellStyle name="20% - Accent4 2 3 3 5 2 2" xfId="26065" xr:uid="{00000000-0005-0000-0000-00006E1D0000}"/>
    <cellStyle name="20% - Accent4 2 3 3 5 3" xfId="17626" xr:uid="{00000000-0005-0000-0000-00006F1D0000}"/>
    <cellStyle name="20% - Accent4 2 3 3 6" xfId="33548" xr:uid="{00000000-0005-0000-0000-0000701D0000}"/>
    <cellStyle name="20% - Accent4 2 3 3 6 2" xfId="24093" xr:uid="{00000000-0005-0000-0000-0000711D0000}"/>
    <cellStyle name="20% - Accent4 2 3 3 7" xfId="24092" xr:uid="{00000000-0005-0000-0000-0000721D0000}"/>
    <cellStyle name="20% - Accent4 2 3 4" xfId="31030" xr:uid="{00000000-0005-0000-0000-0000731D0000}"/>
    <cellStyle name="20% - Accent4 2 3 4 2" xfId="31470" xr:uid="{00000000-0005-0000-0000-0000741D0000}"/>
    <cellStyle name="20% - Accent4 2 3 4 2 2" xfId="25848" xr:uid="{00000000-0005-0000-0000-0000751D0000}"/>
    <cellStyle name="20% - Accent4 2 3 4 2 2 2" xfId="23527" xr:uid="{00000000-0005-0000-0000-0000761D0000}"/>
    <cellStyle name="20% - Accent4 2 3 4 2 2 2 2" xfId="19774" xr:uid="{00000000-0005-0000-0000-0000771D0000}"/>
    <cellStyle name="20% - Accent4 2 3 4 2 2 2 2 2" xfId="20827" xr:uid="{00000000-0005-0000-0000-0000781D0000}"/>
    <cellStyle name="20% - Accent4 2 3 4 2 2 2 3" xfId="21482" xr:uid="{00000000-0005-0000-0000-0000791D0000}"/>
    <cellStyle name="20% - Accent4 2 3 4 2 2 3" xfId="20845" xr:uid="{00000000-0005-0000-0000-00007A1D0000}"/>
    <cellStyle name="20% - Accent4 2 3 4 2 2 3 2" xfId="19456" xr:uid="{00000000-0005-0000-0000-00007B1D0000}"/>
    <cellStyle name="20% - Accent4 2 3 4 2 2 4" xfId="11264" xr:uid="{00000000-0005-0000-0000-00007C1D0000}"/>
    <cellStyle name="20% - Accent4 2 3 4 2 3" xfId="23355" xr:uid="{00000000-0005-0000-0000-00007D1D0000}"/>
    <cellStyle name="20% - Accent4 2 3 4 2 3 2" xfId="20835" xr:uid="{00000000-0005-0000-0000-00007E1D0000}"/>
    <cellStyle name="20% - Accent4 2 3 4 2 3 2 2" xfId="19200" xr:uid="{00000000-0005-0000-0000-00007F1D0000}"/>
    <cellStyle name="20% - Accent4 2 3 4 2 3 3" xfId="11134" xr:uid="{00000000-0005-0000-0000-0000801D0000}"/>
    <cellStyle name="20% - Accent4 2 3 4 2 4" xfId="21209" xr:uid="{00000000-0005-0000-0000-0000811D0000}"/>
    <cellStyle name="20% - Accent4 2 3 4 2 4 2" xfId="19188" xr:uid="{00000000-0005-0000-0000-0000821D0000}"/>
    <cellStyle name="20% - Accent4 2 3 4 2 5" xfId="24086" xr:uid="{00000000-0005-0000-0000-0000831D0000}"/>
    <cellStyle name="20% - Accent4 2 3 4 3" xfId="27196" xr:uid="{00000000-0005-0000-0000-0000841D0000}"/>
    <cellStyle name="20% - Accent4 2 3 4 3 2" xfId="23351" xr:uid="{00000000-0005-0000-0000-0000851D0000}"/>
    <cellStyle name="20% - Accent4 2 3 4 3 2 2" xfId="20809" xr:uid="{00000000-0005-0000-0000-0000861D0000}"/>
    <cellStyle name="20% - Accent4 2 3 4 3 2 2 2" xfId="17178" xr:uid="{00000000-0005-0000-0000-0000871D0000}"/>
    <cellStyle name="20% - Accent4 2 3 4 3 2 3" xfId="11896" xr:uid="{00000000-0005-0000-0000-0000881D0000}"/>
    <cellStyle name="20% - Accent4 2 3 4 3 3" xfId="21205" xr:uid="{00000000-0005-0000-0000-0000891D0000}"/>
    <cellStyle name="20% - Accent4 2 3 4 3 3 2" xfId="32042" xr:uid="{00000000-0005-0000-0000-00008A1D0000}"/>
    <cellStyle name="20% - Accent4 2 3 4 3 4" xfId="33796" xr:uid="{00000000-0005-0000-0000-00008B1D0000}"/>
    <cellStyle name="20% - Accent4 2 3 4 4" xfId="31442" xr:uid="{00000000-0005-0000-0000-00008C1D0000}"/>
    <cellStyle name="20% - Accent4 2 3 4 4 2" xfId="33826" xr:uid="{00000000-0005-0000-0000-00008D1D0000}"/>
    <cellStyle name="20% - Accent4 2 3 4 4 2 2" xfId="24085" xr:uid="{00000000-0005-0000-0000-00008E1D0000}"/>
    <cellStyle name="20% - Accent4 2 3 4 4 3" xfId="24083" xr:uid="{00000000-0005-0000-0000-00008F1D0000}"/>
    <cellStyle name="20% - Accent4 2 3 4 5" xfId="33542" xr:uid="{00000000-0005-0000-0000-0000901D0000}"/>
    <cellStyle name="20% - Accent4 2 3 4 5 2" xfId="24082" xr:uid="{00000000-0005-0000-0000-0000911D0000}"/>
    <cellStyle name="20% - Accent4 2 3 4 6" xfId="24081" xr:uid="{00000000-0005-0000-0000-0000921D0000}"/>
    <cellStyle name="20% - Accent4 2 3 5" xfId="16757" xr:uid="{00000000-0005-0000-0000-0000931D0000}"/>
    <cellStyle name="20% - Accent4 2 3 5 2" xfId="24312" xr:uid="{00000000-0005-0000-0000-0000941D0000}"/>
    <cellStyle name="20% - Accent4 2 3 5 2 2" xfId="23337" xr:uid="{00000000-0005-0000-0000-0000951D0000}"/>
    <cellStyle name="20% - Accent4 2 3 5 2 2 2" xfId="24077" xr:uid="{00000000-0005-0000-0000-0000961D0000}"/>
    <cellStyle name="20% - Accent4 2 3 5 2 2 2 2" xfId="21337" xr:uid="{00000000-0005-0000-0000-0000971D0000}"/>
    <cellStyle name="20% - Accent4 2 3 5 2 2 3" xfId="10076" xr:uid="{00000000-0005-0000-0000-0000981D0000}"/>
    <cellStyle name="20% - Accent4 2 3 5 2 3" xfId="21204" xr:uid="{00000000-0005-0000-0000-0000991D0000}"/>
    <cellStyle name="20% - Accent4 2 3 5 2 3 2" xfId="24072" xr:uid="{00000000-0005-0000-0000-00009A1D0000}"/>
    <cellStyle name="20% - Accent4 2 3 5 2 4" xfId="24071" xr:uid="{00000000-0005-0000-0000-00009B1D0000}"/>
    <cellStyle name="20% - Accent4 2 3 5 3" xfId="24309" xr:uid="{00000000-0005-0000-0000-00009C1D0000}"/>
    <cellStyle name="20% - Accent4 2 3 5 3 2" xfId="33538" xr:uid="{00000000-0005-0000-0000-00009D1D0000}"/>
    <cellStyle name="20% - Accent4 2 3 5 3 2 2" xfId="24070" xr:uid="{00000000-0005-0000-0000-00009E1D0000}"/>
    <cellStyle name="20% - Accent4 2 3 5 3 3" xfId="24069" xr:uid="{00000000-0005-0000-0000-00009F1D0000}"/>
    <cellStyle name="20% - Accent4 2 3 5 4" xfId="23298" xr:uid="{00000000-0005-0000-0000-0000A01D0000}"/>
    <cellStyle name="20% - Accent4 2 3 5 4 2" xfId="24066" xr:uid="{00000000-0005-0000-0000-0000A11D0000}"/>
    <cellStyle name="20% - Accent4 2 3 5 5" xfId="24065" xr:uid="{00000000-0005-0000-0000-0000A21D0000}"/>
    <cellStyle name="20% - Accent4 2 3 6" xfId="24062" xr:uid="{00000000-0005-0000-0000-0000A31D0000}"/>
    <cellStyle name="20% - Accent4 2 3 6 2" xfId="24306" xr:uid="{00000000-0005-0000-0000-0000A41D0000}"/>
    <cellStyle name="20% - Accent4 2 3 6 2 2" xfId="24060" xr:uid="{00000000-0005-0000-0000-0000A51D0000}"/>
    <cellStyle name="20% - Accent4 2 3 6 2 2 2" xfId="24057" xr:uid="{00000000-0005-0000-0000-0000A61D0000}"/>
    <cellStyle name="20% - Accent4 2 3 6 2 3" xfId="24055" xr:uid="{00000000-0005-0000-0000-0000A71D0000}"/>
    <cellStyle name="20% - Accent4 2 3 6 3" xfId="24302" xr:uid="{00000000-0005-0000-0000-0000A81D0000}"/>
    <cellStyle name="20% - Accent4 2 3 6 3 2" xfId="24053" xr:uid="{00000000-0005-0000-0000-0000A91D0000}"/>
    <cellStyle name="20% - Accent4 2 3 6 4" xfId="24050" xr:uid="{00000000-0005-0000-0000-0000AA1D0000}"/>
    <cellStyle name="20% - Accent4 2 3 7" xfId="24047" xr:uid="{00000000-0005-0000-0000-0000AB1D0000}"/>
    <cellStyle name="20% - Accent4 2 3 7 2" xfId="24045" xr:uid="{00000000-0005-0000-0000-0000AC1D0000}"/>
    <cellStyle name="20% - Accent4 2 3 7 2 2" xfId="18433" xr:uid="{00000000-0005-0000-0000-0000AD1D0000}"/>
    <cellStyle name="20% - Accent4 2 3 7 3" xfId="24042" xr:uid="{00000000-0005-0000-0000-0000AE1D0000}"/>
    <cellStyle name="20% - Accent4 2 3 8" xfId="28261" xr:uid="{00000000-0005-0000-0000-0000AF1D0000}"/>
    <cellStyle name="20% - Accent4 2 3 8 2" xfId="34024" xr:uid="{00000000-0005-0000-0000-0000B01D0000}"/>
    <cellStyle name="20% - Accent4 2 3 9" xfId="24040" xr:uid="{00000000-0005-0000-0000-0000B11D0000}"/>
    <cellStyle name="20% - Accent4 2 4" xfId="24033" xr:uid="{00000000-0005-0000-0000-0000B21D0000}"/>
    <cellStyle name="20% - Accent4 2 4 2" xfId="8975" xr:uid="{00000000-0005-0000-0000-0000B31D0000}"/>
    <cellStyle name="20% - Accent4 2 4 2 2" xfId="24031" xr:uid="{00000000-0005-0000-0000-0000B41D0000}"/>
    <cellStyle name="20% - Accent4 2 4 2 2 2" xfId="24030" xr:uid="{00000000-0005-0000-0000-0000B51D0000}"/>
    <cellStyle name="20% - Accent4 2 4 2 2 2 2" xfId="26378" xr:uid="{00000000-0005-0000-0000-0000B61D0000}"/>
    <cellStyle name="20% - Accent4 2 4 2 2 2 2 2" xfId="24026" xr:uid="{00000000-0005-0000-0000-0000B71D0000}"/>
    <cellStyle name="20% - Accent4 2 4 2 2 2 2 2 2" xfId="23478" xr:uid="{00000000-0005-0000-0000-0000B81D0000}"/>
    <cellStyle name="20% - Accent4 2 4 2 2 2 2 2 2 2" xfId="24022" xr:uid="{00000000-0005-0000-0000-0000B91D0000}"/>
    <cellStyle name="20% - Accent4 2 4 2 2 2 2 2 3" xfId="24021" xr:uid="{00000000-0005-0000-0000-0000BA1D0000}"/>
    <cellStyle name="20% - Accent4 2 4 2 2 2 2 3" xfId="26305" xr:uid="{00000000-0005-0000-0000-0000BB1D0000}"/>
    <cellStyle name="20% - Accent4 2 4 2 2 2 2 3 2" xfId="24020" xr:uid="{00000000-0005-0000-0000-0000BC1D0000}"/>
    <cellStyle name="20% - Accent4 2 4 2 2 2 2 4" xfId="19558" xr:uid="{00000000-0005-0000-0000-0000BD1D0000}"/>
    <cellStyle name="20% - Accent4 2 4 2 2 2 3" xfId="26929" xr:uid="{00000000-0005-0000-0000-0000BE1D0000}"/>
    <cellStyle name="20% - Accent4 2 4 2 2 2 3 2" xfId="24019" xr:uid="{00000000-0005-0000-0000-0000BF1D0000}"/>
    <cellStyle name="20% - Accent4 2 4 2 2 2 3 2 2" xfId="24017" xr:uid="{00000000-0005-0000-0000-0000C01D0000}"/>
    <cellStyle name="20% - Accent4 2 4 2 2 2 3 3" xfId="24013" xr:uid="{00000000-0005-0000-0000-0000C11D0000}"/>
    <cellStyle name="20% - Accent4 2 4 2 2 2 4" xfId="24012" xr:uid="{00000000-0005-0000-0000-0000C21D0000}"/>
    <cellStyle name="20% - Accent4 2 4 2 2 2 4 2" xfId="24008" xr:uid="{00000000-0005-0000-0000-0000C31D0000}"/>
    <cellStyle name="20% - Accent4 2 4 2 2 2 5" xfId="24007" xr:uid="{00000000-0005-0000-0000-0000C41D0000}"/>
    <cellStyle name="20% - Accent4 2 4 2 2 3" xfId="23706" xr:uid="{00000000-0005-0000-0000-0000C51D0000}"/>
    <cellStyle name="20% - Accent4 2 4 2 2 3 2" xfId="24002" xr:uid="{00000000-0005-0000-0000-0000C61D0000}"/>
    <cellStyle name="20% - Accent4 2 4 2 2 3 2 2" xfId="23998" xr:uid="{00000000-0005-0000-0000-0000C71D0000}"/>
    <cellStyle name="20% - Accent4 2 4 2 2 3 2 2 2" xfId="33801" xr:uid="{00000000-0005-0000-0000-0000C81D0000}"/>
    <cellStyle name="20% - Accent4 2 4 2 2 3 2 3" xfId="23994" xr:uid="{00000000-0005-0000-0000-0000C91D0000}"/>
    <cellStyle name="20% - Accent4 2 4 2 2 3 3" xfId="26909" xr:uid="{00000000-0005-0000-0000-0000CA1D0000}"/>
    <cellStyle name="20% - Accent4 2 4 2 2 3 3 2" xfId="23991" xr:uid="{00000000-0005-0000-0000-0000CB1D0000}"/>
    <cellStyle name="20% - Accent4 2 4 2 2 3 4" xfId="25678" xr:uid="{00000000-0005-0000-0000-0000CC1D0000}"/>
    <cellStyle name="20% - Accent4 2 4 2 2 4" xfId="23988" xr:uid="{00000000-0005-0000-0000-0000CD1D0000}"/>
    <cellStyle name="20% - Accent4 2 4 2 2 4 2" xfId="23985" xr:uid="{00000000-0005-0000-0000-0000CE1D0000}"/>
    <cellStyle name="20% - Accent4 2 4 2 2 4 2 2" xfId="33074" xr:uid="{00000000-0005-0000-0000-0000CF1D0000}"/>
    <cellStyle name="20% - Accent4 2 4 2 2 4 3" xfId="25664" xr:uid="{00000000-0005-0000-0000-0000D01D0000}"/>
    <cellStyle name="20% - Accent4 2 4 2 2 5" xfId="23977" xr:uid="{00000000-0005-0000-0000-0000D11D0000}"/>
    <cellStyle name="20% - Accent4 2 4 2 2 5 2" xfId="20318" xr:uid="{00000000-0005-0000-0000-0000D21D0000}"/>
    <cellStyle name="20% - Accent4 2 4 2 2 6" xfId="33051" xr:uid="{00000000-0005-0000-0000-0000D31D0000}"/>
    <cellStyle name="20% - Accent4 2 4 2 3" xfId="32029" xr:uid="{00000000-0005-0000-0000-0000D41D0000}"/>
    <cellStyle name="20% - Accent4 2 4 2 3 2" xfId="32799" xr:uid="{00000000-0005-0000-0000-0000D51D0000}"/>
    <cellStyle name="20% - Accent4 2 4 2 3 2 2" xfId="23975" xr:uid="{00000000-0005-0000-0000-0000D61D0000}"/>
    <cellStyle name="20% - Accent4 2 4 2 3 2 2 2" xfId="20639" xr:uid="{00000000-0005-0000-0000-0000D71D0000}"/>
    <cellStyle name="20% - Accent4 2 4 2 3 2 2 2 2" xfId="33185" xr:uid="{00000000-0005-0000-0000-0000D81D0000}"/>
    <cellStyle name="20% - Accent4 2 4 2 3 2 2 3" xfId="22528" xr:uid="{00000000-0005-0000-0000-0000D91D0000}"/>
    <cellStyle name="20% - Accent4 2 4 2 3 2 3" xfId="23972" xr:uid="{00000000-0005-0000-0000-0000DA1D0000}"/>
    <cellStyle name="20% - Accent4 2 4 2 3 2 3 2" xfId="30075" xr:uid="{00000000-0005-0000-0000-0000DB1D0000}"/>
    <cellStyle name="20% - Accent4 2 4 2 3 2 4" xfId="23967" xr:uid="{00000000-0005-0000-0000-0000DC1D0000}"/>
    <cellStyle name="20% - Accent4 2 4 2 3 3" xfId="27696" xr:uid="{00000000-0005-0000-0000-0000DD1D0000}"/>
    <cellStyle name="20% - Accent4 2 4 2 3 3 2" xfId="23963" xr:uid="{00000000-0005-0000-0000-0000DE1D0000}"/>
    <cellStyle name="20% - Accent4 2 4 2 3 3 2 2" xfId="31173" xr:uid="{00000000-0005-0000-0000-0000DF1D0000}"/>
    <cellStyle name="20% - Accent4 2 4 2 3 3 3" xfId="25634" xr:uid="{00000000-0005-0000-0000-0000E01D0000}"/>
    <cellStyle name="20% - Accent4 2 4 2 3 4" xfId="32567" xr:uid="{00000000-0005-0000-0000-0000E11D0000}"/>
    <cellStyle name="20% - Accent4 2 4 2 3 4 2" xfId="23958" xr:uid="{00000000-0005-0000-0000-0000E21D0000}"/>
    <cellStyle name="20% - Accent4 2 4 2 3 5" xfId="23953" xr:uid="{00000000-0005-0000-0000-0000E31D0000}"/>
    <cellStyle name="20% - Accent4 2 4 2 4" xfId="15890" xr:uid="{00000000-0005-0000-0000-0000E41D0000}"/>
    <cellStyle name="20% - Accent4 2 4 2 4 2" xfId="23901" xr:uid="{00000000-0005-0000-0000-0000E51D0000}"/>
    <cellStyle name="20% - Accent4 2 4 2 4 2 2" xfId="23941" xr:uid="{00000000-0005-0000-0000-0000E61D0000}"/>
    <cellStyle name="20% - Accent4 2 4 2 4 2 2 2" xfId="33725" xr:uid="{00000000-0005-0000-0000-0000E71D0000}"/>
    <cellStyle name="20% - Accent4 2 4 2 4 2 3" xfId="23937" xr:uid="{00000000-0005-0000-0000-0000E81D0000}"/>
    <cellStyle name="20% - Accent4 2 4 2 4 3" xfId="32983" xr:uid="{00000000-0005-0000-0000-0000E91D0000}"/>
    <cellStyle name="20% - Accent4 2 4 2 4 3 2" xfId="28122" xr:uid="{00000000-0005-0000-0000-0000EA1D0000}"/>
    <cellStyle name="20% - Accent4 2 4 2 4 4" xfId="23934" xr:uid="{00000000-0005-0000-0000-0000EB1D0000}"/>
    <cellStyle name="20% - Accent4 2 4 2 5" xfId="31984" xr:uid="{00000000-0005-0000-0000-0000EC1D0000}"/>
    <cellStyle name="20% - Accent4 2 4 2 5 2" xfId="32966" xr:uid="{00000000-0005-0000-0000-0000ED1D0000}"/>
    <cellStyle name="20% - Accent4 2 4 2 5 2 2" xfId="23930" xr:uid="{00000000-0005-0000-0000-0000EE1D0000}"/>
    <cellStyle name="20% - Accent4 2 4 2 5 3" xfId="23927" xr:uid="{00000000-0005-0000-0000-0000EF1D0000}"/>
    <cellStyle name="20% - Accent4 2 4 2 6" xfId="25507" xr:uid="{00000000-0005-0000-0000-0000F01D0000}"/>
    <cellStyle name="20% - Accent4 2 4 2 6 2" xfId="23924" xr:uid="{00000000-0005-0000-0000-0000F11D0000}"/>
    <cellStyle name="20% - Accent4 2 4 2 7" xfId="20032" xr:uid="{00000000-0005-0000-0000-0000F21D0000}"/>
    <cellStyle name="20% - Accent4 2 4 3" xfId="8973" xr:uid="{00000000-0005-0000-0000-0000F31D0000}"/>
    <cellStyle name="20% - Accent4 2 4 3 2" xfId="26299" xr:uid="{00000000-0005-0000-0000-0000F41D0000}"/>
    <cellStyle name="20% - Accent4 2 4 3 2 2" xfId="23922" xr:uid="{00000000-0005-0000-0000-0000F51D0000}"/>
    <cellStyle name="20% - Accent4 2 4 3 2 2 2" xfId="23919" xr:uid="{00000000-0005-0000-0000-0000F61D0000}"/>
    <cellStyle name="20% - Accent4 2 4 3 2 2 2 2" xfId="23916" xr:uid="{00000000-0005-0000-0000-0000F71D0000}"/>
    <cellStyle name="20% - Accent4 2 4 3 2 2 2 2 2" xfId="23616" xr:uid="{00000000-0005-0000-0000-0000F81D0000}"/>
    <cellStyle name="20% - Accent4 2 4 3 2 2 2 3" xfId="23906" xr:uid="{00000000-0005-0000-0000-0000F91D0000}"/>
    <cellStyle name="20% - Accent4 2 4 3 2 2 3" xfId="23905" xr:uid="{00000000-0005-0000-0000-0000FA1D0000}"/>
    <cellStyle name="20% - Accent4 2 4 3 2 2 3 2" xfId="32515" xr:uid="{00000000-0005-0000-0000-0000FB1D0000}"/>
    <cellStyle name="20% - Accent4 2 4 3 2 2 4" xfId="23900" xr:uid="{00000000-0005-0000-0000-0000FC1D0000}"/>
    <cellStyle name="20% - Accent4 2 4 3 2 3" xfId="23303" xr:uid="{00000000-0005-0000-0000-0000FD1D0000}"/>
    <cellStyle name="20% - Accent4 2 4 3 2 3 2" xfId="23898" xr:uid="{00000000-0005-0000-0000-0000FE1D0000}"/>
    <cellStyle name="20% - Accent4 2 4 3 2 3 2 2" xfId="23894" xr:uid="{00000000-0005-0000-0000-0000FF1D0000}"/>
    <cellStyle name="20% - Accent4 2 4 3 2 3 3" xfId="25539" xr:uid="{00000000-0005-0000-0000-0000001E0000}"/>
    <cellStyle name="20% - Accent4 2 4 3 2 4" xfId="23889" xr:uid="{00000000-0005-0000-0000-0000011E0000}"/>
    <cellStyle name="20% - Accent4 2 4 3 2 4 2" xfId="18744" xr:uid="{00000000-0005-0000-0000-0000021E0000}"/>
    <cellStyle name="20% - Accent4 2 4 3 2 5" xfId="23887" xr:uid="{00000000-0005-0000-0000-0000031E0000}"/>
    <cellStyle name="20% - Accent4 2 4 3 3" xfId="31910" xr:uid="{00000000-0005-0000-0000-0000041E0000}"/>
    <cellStyle name="20% - Accent4 2 4 3 3 2" xfId="31315" xr:uid="{00000000-0005-0000-0000-0000051E0000}"/>
    <cellStyle name="20% - Accent4 2 4 3 3 2 2" xfId="23886" xr:uid="{00000000-0005-0000-0000-0000061E0000}"/>
    <cellStyle name="20% - Accent4 2 4 3 3 2 2 2" xfId="23883" xr:uid="{00000000-0005-0000-0000-0000071E0000}"/>
    <cellStyle name="20% - Accent4 2 4 3 3 2 3" xfId="23882" xr:uid="{00000000-0005-0000-0000-0000081E0000}"/>
    <cellStyle name="20% - Accent4 2 4 3 3 3" xfId="24823" xr:uid="{00000000-0005-0000-0000-0000091E0000}"/>
    <cellStyle name="20% - Accent4 2 4 3 3 3 2" xfId="23880" xr:uid="{00000000-0005-0000-0000-00000A1E0000}"/>
    <cellStyle name="20% - Accent4 2 4 3 3 4" xfId="23878" xr:uid="{00000000-0005-0000-0000-00000B1E0000}"/>
    <cellStyle name="20% - Accent4 2 4 3 4" xfId="23368" xr:uid="{00000000-0005-0000-0000-00000C1E0000}"/>
    <cellStyle name="20% - Accent4 2 4 3 4 2" xfId="32953" xr:uid="{00000000-0005-0000-0000-00000D1E0000}"/>
    <cellStyle name="20% - Accent4 2 4 3 4 2 2" xfId="23876" xr:uid="{00000000-0005-0000-0000-00000E1E0000}"/>
    <cellStyle name="20% - Accent4 2 4 3 4 3" xfId="23874" xr:uid="{00000000-0005-0000-0000-00000F1E0000}"/>
    <cellStyle name="20% - Accent4 2 4 3 5" xfId="31898" xr:uid="{00000000-0005-0000-0000-0000101E0000}"/>
    <cellStyle name="20% - Accent4 2 4 3 5 2" xfId="23870" xr:uid="{00000000-0005-0000-0000-0000111E0000}"/>
    <cellStyle name="20% - Accent4 2 4 3 6" xfId="20027" xr:uid="{00000000-0005-0000-0000-0000121E0000}"/>
    <cellStyle name="20% - Accent4 2 4 4" xfId="8971" xr:uid="{00000000-0005-0000-0000-0000131E0000}"/>
    <cellStyle name="20% - Accent4 2 4 4 2" xfId="31251" xr:uid="{00000000-0005-0000-0000-0000141E0000}"/>
    <cellStyle name="20% - Accent4 2 4 4 2 2" xfId="24037" xr:uid="{00000000-0005-0000-0000-0000151E0000}"/>
    <cellStyle name="20% - Accent4 2 4 4 2 2 2" xfId="26207" xr:uid="{00000000-0005-0000-0000-0000161E0000}"/>
    <cellStyle name="20% - Accent4 2 4 4 2 2 2 2" xfId="15244" xr:uid="{00000000-0005-0000-0000-0000171E0000}"/>
    <cellStyle name="20% - Accent4 2 4 4 2 2 3" xfId="8701" xr:uid="{00000000-0005-0000-0000-0000181E0000}"/>
    <cellStyle name="20% - Accent4 2 4 4 2 3" xfId="23864" xr:uid="{00000000-0005-0000-0000-0000191E0000}"/>
    <cellStyle name="20% - Accent4 2 4 4 2 3 2" xfId="27701" xr:uid="{00000000-0005-0000-0000-00001A1E0000}"/>
    <cellStyle name="20% - Accent4 2 4 4 2 4" xfId="23856" xr:uid="{00000000-0005-0000-0000-00001B1E0000}"/>
    <cellStyle name="20% - Accent4 2 4 4 3" xfId="31237" xr:uid="{00000000-0005-0000-0000-00001C1E0000}"/>
    <cellStyle name="20% - Accent4 2 4 4 3 2" xfId="25357" xr:uid="{00000000-0005-0000-0000-00001D1E0000}"/>
    <cellStyle name="20% - Accent4 2 4 4 3 2 2" xfId="26913" xr:uid="{00000000-0005-0000-0000-00001E1E0000}"/>
    <cellStyle name="20% - Accent4 2 4 4 3 3" xfId="23851" xr:uid="{00000000-0005-0000-0000-00001F1E0000}"/>
    <cellStyle name="20% - Accent4 2 4 4 4" xfId="31870" xr:uid="{00000000-0005-0000-0000-0000201E0000}"/>
    <cellStyle name="20% - Accent4 2 4 4 4 2" xfId="23846" xr:uid="{00000000-0005-0000-0000-0000211E0000}"/>
    <cellStyle name="20% - Accent4 2 4 4 5" xfId="23838" xr:uid="{00000000-0005-0000-0000-0000221E0000}"/>
    <cellStyle name="20% - Accent4 2 4 5" xfId="31189" xr:uid="{00000000-0005-0000-0000-0000231E0000}"/>
    <cellStyle name="20% - Accent4 2 4 5 2" xfId="28768" xr:uid="{00000000-0005-0000-0000-0000241E0000}"/>
    <cellStyle name="20% - Accent4 2 4 5 2 2" xfId="23832" xr:uid="{00000000-0005-0000-0000-0000251E0000}"/>
    <cellStyle name="20% - Accent4 2 4 5 2 2 2" xfId="26082" xr:uid="{00000000-0005-0000-0000-0000261E0000}"/>
    <cellStyle name="20% - Accent4 2 4 5 2 3" xfId="23826" xr:uid="{00000000-0005-0000-0000-0000271E0000}"/>
    <cellStyle name="20% - Accent4 2 4 5 3" xfId="28759" xr:uid="{00000000-0005-0000-0000-0000281E0000}"/>
    <cellStyle name="20% - Accent4 2 4 5 3 2" xfId="23823" xr:uid="{00000000-0005-0000-0000-0000291E0000}"/>
    <cellStyle name="20% - Accent4 2 4 5 4" xfId="23820" xr:uid="{00000000-0005-0000-0000-00002A1E0000}"/>
    <cellStyle name="20% - Accent4 2 4 6" xfId="23814" xr:uid="{00000000-0005-0000-0000-00002B1E0000}"/>
    <cellStyle name="20% - Accent4 2 4 6 2" xfId="23811" xr:uid="{00000000-0005-0000-0000-00002C1E0000}"/>
    <cellStyle name="20% - Accent4 2 4 6 2 2" xfId="23807" xr:uid="{00000000-0005-0000-0000-00002D1E0000}"/>
    <cellStyle name="20% - Accent4 2 4 6 3" xfId="23805" xr:uid="{00000000-0005-0000-0000-00002E1E0000}"/>
    <cellStyle name="20% - Accent4 2 4 7" xfId="23800" xr:uid="{00000000-0005-0000-0000-00002F1E0000}"/>
    <cellStyle name="20% - Accent4 2 4 7 2" xfId="23796" xr:uid="{00000000-0005-0000-0000-0000301E0000}"/>
    <cellStyle name="20% - Accent4 2 4 8" xfId="26189" xr:uid="{00000000-0005-0000-0000-0000311E0000}"/>
    <cellStyle name="20% - Accent4 2 4 9" xfId="34761" xr:uid="{00000000-0005-0000-0000-0000321E0000}"/>
    <cellStyle name="20% - Accent4 2 5" xfId="23793" xr:uid="{00000000-0005-0000-0000-0000331E0000}"/>
    <cellStyle name="20% - Accent4 2 5 2" xfId="8968" xr:uid="{00000000-0005-0000-0000-0000341E0000}"/>
    <cellStyle name="20% - Accent4 2 5 2 2" xfId="23791" xr:uid="{00000000-0005-0000-0000-0000351E0000}"/>
    <cellStyle name="20% - Accent4 2 5 2 2 2" xfId="29919" xr:uid="{00000000-0005-0000-0000-0000361E0000}"/>
    <cellStyle name="20% - Accent4 2 5 2 2 2 2" xfId="29380" xr:uid="{00000000-0005-0000-0000-0000371E0000}"/>
    <cellStyle name="20% - Accent4 2 5 2 2 2 2 2" xfId="8969" xr:uid="{00000000-0005-0000-0000-0000381E0000}"/>
    <cellStyle name="20% - Accent4 2 5 2 2 2 2 2 2" xfId="19922" xr:uid="{00000000-0005-0000-0000-0000391E0000}"/>
    <cellStyle name="20% - Accent4 2 5 2 2 2 2 3" xfId="8964" xr:uid="{00000000-0005-0000-0000-00003A1E0000}"/>
    <cellStyle name="20% - Accent4 2 5 2 2 2 3" xfId="25358" xr:uid="{00000000-0005-0000-0000-00003B1E0000}"/>
    <cellStyle name="20% - Accent4 2 5 2 2 2 3 2" xfId="17926" xr:uid="{00000000-0005-0000-0000-00003C1E0000}"/>
    <cellStyle name="20% - Accent4 2 5 2 2 2 4" xfId="23850" xr:uid="{00000000-0005-0000-0000-00003D1E0000}"/>
    <cellStyle name="20% - Accent4 2 5 2 2 3" xfId="27384" xr:uid="{00000000-0005-0000-0000-00003E1E0000}"/>
    <cellStyle name="20% - Accent4 2 5 2 2 3 2" xfId="26054" xr:uid="{00000000-0005-0000-0000-00003F1E0000}"/>
    <cellStyle name="20% - Accent4 2 5 2 2 3 2 2" xfId="8943" xr:uid="{00000000-0005-0000-0000-0000401E0000}"/>
    <cellStyle name="20% - Accent4 2 5 2 2 3 3" xfId="23845" xr:uid="{00000000-0005-0000-0000-0000411E0000}"/>
    <cellStyle name="20% - Accent4 2 5 2 2 4" xfId="32209" xr:uid="{00000000-0005-0000-0000-0000421E0000}"/>
    <cellStyle name="20% - Accent4 2 5 2 2 4 2" xfId="26271" xr:uid="{00000000-0005-0000-0000-0000431E0000}"/>
    <cellStyle name="20% - Accent4 2 5 2 2 5" xfId="26264" xr:uid="{00000000-0005-0000-0000-0000441E0000}"/>
    <cellStyle name="20% - Accent4 2 5 2 3" xfId="31789" xr:uid="{00000000-0005-0000-0000-0000451E0000}"/>
    <cellStyle name="20% - Accent4 2 5 2 3 2" xfId="26254" xr:uid="{00000000-0005-0000-0000-0000461E0000}"/>
    <cellStyle name="20% - Accent4 2 5 2 3 2 2" xfId="26251" xr:uid="{00000000-0005-0000-0000-0000471E0000}"/>
    <cellStyle name="20% - Accent4 2 5 2 3 2 2 2" xfId="22304" xr:uid="{00000000-0005-0000-0000-0000481E0000}"/>
    <cellStyle name="20% - Accent4 2 5 2 3 2 3" xfId="23822" xr:uid="{00000000-0005-0000-0000-0000491E0000}"/>
    <cellStyle name="20% - Accent4 2 5 2 3 3" xfId="31931" xr:uid="{00000000-0005-0000-0000-00004A1E0000}"/>
    <cellStyle name="20% - Accent4 2 5 2 3 3 2" xfId="26246" xr:uid="{00000000-0005-0000-0000-00004B1E0000}"/>
    <cellStyle name="20% - Accent4 2 5 2 3 4" xfId="26245" xr:uid="{00000000-0005-0000-0000-00004C1E0000}"/>
    <cellStyle name="20% - Accent4 2 5 2 4" xfId="31753" xr:uid="{00000000-0005-0000-0000-00004D1E0000}"/>
    <cellStyle name="20% - Accent4 2 5 2 4 2" xfId="26231" xr:uid="{00000000-0005-0000-0000-00004E1E0000}"/>
    <cellStyle name="20% - Accent4 2 5 2 4 2 2" xfId="26229" xr:uid="{00000000-0005-0000-0000-00004F1E0000}"/>
    <cellStyle name="20% - Accent4 2 5 2 4 3" xfId="26225" xr:uid="{00000000-0005-0000-0000-0000501E0000}"/>
    <cellStyle name="20% - Accent4 2 5 2 5" xfId="31058" xr:uid="{00000000-0005-0000-0000-0000511E0000}"/>
    <cellStyle name="20% - Accent4 2 5 2 5 2" xfId="26220" xr:uid="{00000000-0005-0000-0000-0000521E0000}"/>
    <cellStyle name="20% - Accent4 2 5 2 6" xfId="19981" xr:uid="{00000000-0005-0000-0000-0000531E0000}"/>
    <cellStyle name="20% - Accent4 2 5 3" xfId="8965" xr:uid="{00000000-0005-0000-0000-0000541E0000}"/>
    <cellStyle name="20% - Accent4 2 5 3 2" xfId="23787" xr:uid="{00000000-0005-0000-0000-0000551E0000}"/>
    <cellStyle name="20% - Accent4 2 5 3 2 2" xfId="22473" xr:uid="{00000000-0005-0000-0000-0000561E0000}"/>
    <cellStyle name="20% - Accent4 2 5 3 2 2 2" xfId="26200" xr:uid="{00000000-0005-0000-0000-0000571E0000}"/>
    <cellStyle name="20% - Accent4 2 5 3 2 2 2 2" xfId="8842" xr:uid="{00000000-0005-0000-0000-0000581E0000}"/>
    <cellStyle name="20% - Accent4 2 5 3 2 2 3" xfId="25246" xr:uid="{00000000-0005-0000-0000-0000591E0000}"/>
    <cellStyle name="20% - Accent4 2 5 3 2 3" xfId="24609" xr:uid="{00000000-0005-0000-0000-00005A1E0000}"/>
    <cellStyle name="20% - Accent4 2 5 3 2 3 2" xfId="26194" xr:uid="{00000000-0005-0000-0000-00005B1E0000}"/>
    <cellStyle name="20% - Accent4 2 5 3 2 4" xfId="26190" xr:uid="{00000000-0005-0000-0000-00005C1E0000}"/>
    <cellStyle name="20% - Accent4 2 5 3 3" xfId="32253" xr:uid="{00000000-0005-0000-0000-00005D1E0000}"/>
    <cellStyle name="20% - Accent4 2 5 3 3 2" xfId="26172" xr:uid="{00000000-0005-0000-0000-00005E1E0000}"/>
    <cellStyle name="20% - Accent4 2 5 3 3 2 2" xfId="26164" xr:uid="{00000000-0005-0000-0000-00005F1E0000}"/>
    <cellStyle name="20% - Accent4 2 5 3 3 3" xfId="26159" xr:uid="{00000000-0005-0000-0000-0000601E0000}"/>
    <cellStyle name="20% - Accent4 2 5 3 4" xfId="32895" xr:uid="{00000000-0005-0000-0000-0000611E0000}"/>
    <cellStyle name="20% - Accent4 2 5 3 4 2" xfId="24357" xr:uid="{00000000-0005-0000-0000-0000621E0000}"/>
    <cellStyle name="20% - Accent4 2 5 3 5" xfId="23786" xr:uid="{00000000-0005-0000-0000-0000631E0000}"/>
    <cellStyle name="20% - Accent4 2 5 4" xfId="8962" xr:uid="{00000000-0005-0000-0000-0000641E0000}"/>
    <cellStyle name="20% - Accent4 2 5 4 2" xfId="19239" xr:uid="{00000000-0005-0000-0000-0000651E0000}"/>
    <cellStyle name="20% - Accent4 2 5 4 2 2" xfId="32710" xr:uid="{00000000-0005-0000-0000-0000661E0000}"/>
    <cellStyle name="20% - Accent4 2 5 4 2 2 2" xfId="24332" xr:uid="{00000000-0005-0000-0000-0000671E0000}"/>
    <cellStyle name="20% - Accent4 2 5 4 2 3" xfId="25187" xr:uid="{00000000-0005-0000-0000-0000681E0000}"/>
    <cellStyle name="20% - Accent4 2 5 4 3" xfId="23119" xr:uid="{00000000-0005-0000-0000-0000691E0000}"/>
    <cellStyle name="20% - Accent4 2 5 4 3 2" xfId="25245" xr:uid="{00000000-0005-0000-0000-00006A1E0000}"/>
    <cellStyle name="20% - Accent4 2 5 4 4" xfId="23781" xr:uid="{00000000-0005-0000-0000-00006B1E0000}"/>
    <cellStyle name="20% - Accent4 2 5 5" xfId="23778" xr:uid="{00000000-0005-0000-0000-00006C1E0000}"/>
    <cellStyle name="20% - Accent4 2 5 5 2" xfId="23775" xr:uid="{00000000-0005-0000-0000-00006D1E0000}"/>
    <cellStyle name="20% - Accent4 2 5 5 2 2" xfId="32666" xr:uid="{00000000-0005-0000-0000-00006E1E0000}"/>
    <cellStyle name="20% - Accent4 2 5 5 3" xfId="23769" xr:uid="{00000000-0005-0000-0000-00006F1E0000}"/>
    <cellStyle name="20% - Accent4 2 5 6" xfId="23763" xr:uid="{00000000-0005-0000-0000-0000701E0000}"/>
    <cellStyle name="20% - Accent4 2 5 6 2" xfId="30858" xr:uid="{00000000-0005-0000-0000-0000711E0000}"/>
    <cellStyle name="20% - Accent4 2 5 7" xfId="23758" xr:uid="{00000000-0005-0000-0000-0000721E0000}"/>
    <cellStyle name="20% - Accent4 2 5 8" xfId="34951" xr:uid="{00000000-0005-0000-0000-0000731E0000}"/>
    <cellStyle name="20% - Accent4 2 6" xfId="23754" xr:uid="{00000000-0005-0000-0000-0000741E0000}"/>
    <cellStyle name="20% - Accent4 2 6 2" xfId="17928" xr:uid="{00000000-0005-0000-0000-0000751E0000}"/>
    <cellStyle name="20% - Accent4 2 6 2 2" xfId="10495" xr:uid="{00000000-0005-0000-0000-0000761E0000}"/>
    <cellStyle name="20% - Accent4 2 6 2 2 2" xfId="10490" xr:uid="{00000000-0005-0000-0000-0000771E0000}"/>
    <cellStyle name="20% - Accent4 2 6 2 2 2 2" xfId="25927" xr:uid="{00000000-0005-0000-0000-0000781E0000}"/>
    <cellStyle name="20% - Accent4 2 6 2 2 2 2 2" xfId="8686" xr:uid="{00000000-0005-0000-0000-0000791E0000}"/>
    <cellStyle name="20% - Accent4 2 6 2 2 2 3" xfId="22996" xr:uid="{00000000-0005-0000-0000-00007A1E0000}"/>
    <cellStyle name="20% - Accent4 2 6 2 2 3" xfId="31516" xr:uid="{00000000-0005-0000-0000-00007B1E0000}"/>
    <cellStyle name="20% - Accent4 2 6 2 2 3 2" xfId="26420" xr:uid="{00000000-0005-0000-0000-00007C1E0000}"/>
    <cellStyle name="20% - Accent4 2 6 2 2 4" xfId="20955" xr:uid="{00000000-0005-0000-0000-00007D1E0000}"/>
    <cellStyle name="20% - Accent4 2 6 2 3" xfId="10485" xr:uid="{00000000-0005-0000-0000-00007E1E0000}"/>
    <cellStyle name="20% - Accent4 2 6 2 3 2" xfId="26005" xr:uid="{00000000-0005-0000-0000-00007F1E0000}"/>
    <cellStyle name="20% - Accent4 2 6 2 3 2 2" xfId="30207" xr:uid="{00000000-0005-0000-0000-0000801E0000}"/>
    <cellStyle name="20% - Accent4 2 6 2 3 3" xfId="31506" xr:uid="{00000000-0005-0000-0000-0000811E0000}"/>
    <cellStyle name="20% - Accent4 2 6 2 4" xfId="31652" xr:uid="{00000000-0005-0000-0000-0000821E0000}"/>
    <cellStyle name="20% - Accent4 2 6 2 4 2" xfId="25999" xr:uid="{00000000-0005-0000-0000-0000831E0000}"/>
    <cellStyle name="20% - Accent4 2 6 2 5" xfId="23751" xr:uid="{00000000-0005-0000-0000-0000841E0000}"/>
    <cellStyle name="20% - Accent4 2 6 3" xfId="8955" xr:uid="{00000000-0005-0000-0000-0000851E0000}"/>
    <cellStyle name="20% - Accent4 2 6 3 2" xfId="7067" xr:uid="{00000000-0005-0000-0000-0000861E0000}"/>
    <cellStyle name="20% - Accent4 2 6 3 2 2" xfId="30597" xr:uid="{00000000-0005-0000-0000-0000871E0000}"/>
    <cellStyle name="20% - Accent4 2 6 3 2 2 2" xfId="25982" xr:uid="{00000000-0005-0000-0000-0000881E0000}"/>
    <cellStyle name="20% - Accent4 2 6 3 2 3" xfId="30777" xr:uid="{00000000-0005-0000-0000-0000891E0000}"/>
    <cellStyle name="20% - Accent4 2 6 3 3" xfId="30963" xr:uid="{00000000-0005-0000-0000-00008A1E0000}"/>
    <cellStyle name="20% - Accent4 2 6 3 3 2" xfId="30590" xr:uid="{00000000-0005-0000-0000-00008B1E0000}"/>
    <cellStyle name="20% - Accent4 2 6 3 4" xfId="23750" xr:uid="{00000000-0005-0000-0000-00008C1E0000}"/>
    <cellStyle name="20% - Accent4 2 6 4" xfId="8000" xr:uid="{00000000-0005-0000-0000-00008D1E0000}"/>
    <cellStyle name="20% - Accent4 2 6 4 2" xfId="7993" xr:uid="{00000000-0005-0000-0000-00008E1E0000}"/>
    <cellStyle name="20% - Accent4 2 6 4 2 2" xfId="15017" xr:uid="{00000000-0005-0000-0000-00008F1E0000}"/>
    <cellStyle name="20% - Accent4 2 6 4 3" xfId="7979" xr:uid="{00000000-0005-0000-0000-0000901E0000}"/>
    <cellStyle name="20% - Accent4 2 6 5" xfId="23737" xr:uid="{00000000-0005-0000-0000-0000911E0000}"/>
    <cellStyle name="20% - Accent4 2 6 5 2" xfId="11803" xr:uid="{00000000-0005-0000-0000-0000921E0000}"/>
    <cellStyle name="20% - Accent4 2 6 6" xfId="11797" xr:uid="{00000000-0005-0000-0000-0000931E0000}"/>
    <cellStyle name="20% - Accent4 2 6 7" xfId="35156" xr:uid="{00000000-0005-0000-0000-0000941E0000}"/>
    <cellStyle name="20% - Accent4 2 7" xfId="23725" xr:uid="{00000000-0005-0000-0000-0000951E0000}"/>
    <cellStyle name="20% - Accent4 2 7 2" xfId="8952" xr:uid="{00000000-0005-0000-0000-0000961E0000}"/>
    <cellStyle name="20% - Accent4 2 7 2 2" xfId="10432" xr:uid="{00000000-0005-0000-0000-0000971E0000}"/>
    <cellStyle name="20% - Accent4 2 7 2 2 2" xfId="34029" xr:uid="{00000000-0005-0000-0000-0000981E0000}"/>
    <cellStyle name="20% - Accent4 2 7 2 2 2 2" xfId="25878" xr:uid="{00000000-0005-0000-0000-0000991E0000}"/>
    <cellStyle name="20% - Accent4 2 7 2 2 3" xfId="25876" xr:uid="{00000000-0005-0000-0000-00009A1E0000}"/>
    <cellStyle name="20% - Accent4 2 7 2 3" xfId="31586" xr:uid="{00000000-0005-0000-0000-00009B1E0000}"/>
    <cellStyle name="20% - Accent4 2 7 2 3 2" xfId="25872" xr:uid="{00000000-0005-0000-0000-00009C1E0000}"/>
    <cellStyle name="20% - Accent4 2 7 2 4" xfId="23722" xr:uid="{00000000-0005-0000-0000-00009D1E0000}"/>
    <cellStyle name="20% - Accent4 2 7 3" xfId="33273" xr:uid="{00000000-0005-0000-0000-00009E1E0000}"/>
    <cellStyle name="20% - Accent4 2 7 3 2" xfId="23721" xr:uid="{00000000-0005-0000-0000-00009F1E0000}"/>
    <cellStyle name="20% - Accent4 2 7 3 2 2" xfId="30540" xr:uid="{00000000-0005-0000-0000-0000A01E0000}"/>
    <cellStyle name="20% - Accent4 2 7 3 3" xfId="20561" xr:uid="{00000000-0005-0000-0000-0000A11E0000}"/>
    <cellStyle name="20% - Accent4 2 7 4" xfId="31576" xr:uid="{00000000-0005-0000-0000-0000A21E0000}"/>
    <cellStyle name="20% - Accent4 2 7 4 2" xfId="7941" xr:uid="{00000000-0005-0000-0000-0000A31E0000}"/>
    <cellStyle name="20% - Accent4 2 7 5" xfId="11791" xr:uid="{00000000-0005-0000-0000-0000A41E0000}"/>
    <cellStyle name="20% - Accent4 2 7 6" xfId="35385" xr:uid="{00000000-0005-0000-0000-0000A51E0000}"/>
    <cellStyle name="20% - Accent4 2 8" xfId="23044" xr:uid="{00000000-0005-0000-0000-0000A61E0000}"/>
    <cellStyle name="20% - Accent4 2 8 2" xfId="23715" xr:uid="{00000000-0005-0000-0000-0000A71E0000}"/>
    <cellStyle name="20% - Accent4 2 8 2 2" xfId="23713" xr:uid="{00000000-0005-0000-0000-0000A81E0000}"/>
    <cellStyle name="20% - Accent4 2 8 2 2 2" xfId="25823" xr:uid="{00000000-0005-0000-0000-0000A91E0000}"/>
    <cellStyle name="20% - Accent4 2 8 2 3" xfId="25736" xr:uid="{00000000-0005-0000-0000-0000AA1E0000}"/>
    <cellStyle name="20% - Accent4 2 8 3" xfId="34243" xr:uid="{00000000-0005-0000-0000-0000AB1E0000}"/>
    <cellStyle name="20% - Accent4 2 8 3 2" xfId="23707" xr:uid="{00000000-0005-0000-0000-0000AC1E0000}"/>
    <cellStyle name="20% - Accent4 2 8 4" xfId="7916" xr:uid="{00000000-0005-0000-0000-0000AD1E0000}"/>
    <cellStyle name="20% - Accent4 2 8 5" xfId="36257" xr:uid="{00000000-0005-0000-0000-0000AE1E0000}"/>
    <cellStyle name="20% - Accent4 2 9" xfId="31231" xr:uid="{00000000-0005-0000-0000-0000AF1E0000}"/>
    <cellStyle name="20% - Accent4 2 9 2" xfId="25603" xr:uid="{00000000-0005-0000-0000-0000B01E0000}"/>
    <cellStyle name="20% - Accent4 2 9 2 2" xfId="31219" xr:uid="{00000000-0005-0000-0000-0000B11E0000}"/>
    <cellStyle name="20% - Accent4 2 9 3" xfId="28665" xr:uid="{00000000-0005-0000-0000-0000B21E0000}"/>
    <cellStyle name="20% - Accent4 2 9 4" xfId="36543" xr:uid="{00000000-0005-0000-0000-0000B31E0000}"/>
    <cellStyle name="20% - Accent4 20" xfId="35707" xr:uid="{00000000-0005-0000-0000-0000B41E0000}"/>
    <cellStyle name="20% - Accent4 20 2" xfId="36876" xr:uid="{00000000-0005-0000-0000-0000B51E0000}"/>
    <cellStyle name="20% - Accent4 20 3" xfId="37767" xr:uid="{00000000-0005-0000-0000-0000B61E0000}"/>
    <cellStyle name="20% - Accent4 21" xfId="35726" xr:uid="{00000000-0005-0000-0000-0000B71E0000}"/>
    <cellStyle name="20% - Accent4 21 2" xfId="36896" xr:uid="{00000000-0005-0000-0000-0000B81E0000}"/>
    <cellStyle name="20% - Accent4 21 3" xfId="37787" xr:uid="{00000000-0005-0000-0000-0000B91E0000}"/>
    <cellStyle name="20% - Accent4 22" xfId="35745" xr:uid="{00000000-0005-0000-0000-0000BA1E0000}"/>
    <cellStyle name="20% - Accent4 22 2" xfId="36916" xr:uid="{00000000-0005-0000-0000-0000BB1E0000}"/>
    <cellStyle name="20% - Accent4 22 3" xfId="37807" xr:uid="{00000000-0005-0000-0000-0000BC1E0000}"/>
    <cellStyle name="20% - Accent4 23" xfId="35765" xr:uid="{00000000-0005-0000-0000-0000BD1E0000}"/>
    <cellStyle name="20% - Accent4 23 2" xfId="36935" xr:uid="{00000000-0005-0000-0000-0000BE1E0000}"/>
    <cellStyle name="20% - Accent4 23 3" xfId="37827" xr:uid="{00000000-0005-0000-0000-0000BF1E0000}"/>
    <cellStyle name="20% - Accent4 24" xfId="35785" xr:uid="{00000000-0005-0000-0000-0000C01E0000}"/>
    <cellStyle name="20% - Accent4 24 2" xfId="36954" xr:uid="{00000000-0005-0000-0000-0000C11E0000}"/>
    <cellStyle name="20% - Accent4 24 3" xfId="37847" xr:uid="{00000000-0005-0000-0000-0000C21E0000}"/>
    <cellStyle name="20% - Accent4 25" xfId="35804" xr:uid="{00000000-0005-0000-0000-0000C31E0000}"/>
    <cellStyle name="20% - Accent4 25 2" xfId="36974" xr:uid="{00000000-0005-0000-0000-0000C41E0000}"/>
    <cellStyle name="20% - Accent4 25 3" xfId="37867" xr:uid="{00000000-0005-0000-0000-0000C51E0000}"/>
    <cellStyle name="20% - Accent4 26" xfId="35823" xr:uid="{00000000-0005-0000-0000-0000C61E0000}"/>
    <cellStyle name="20% - Accent4 26 2" xfId="36994" xr:uid="{00000000-0005-0000-0000-0000C71E0000}"/>
    <cellStyle name="20% - Accent4 26 3" xfId="37887" xr:uid="{00000000-0005-0000-0000-0000C81E0000}"/>
    <cellStyle name="20% - Accent4 27" xfId="35842" xr:uid="{00000000-0005-0000-0000-0000C91E0000}"/>
    <cellStyle name="20% - Accent4 27 2" xfId="37014" xr:uid="{00000000-0005-0000-0000-0000CA1E0000}"/>
    <cellStyle name="20% - Accent4 27 3" xfId="37907" xr:uid="{00000000-0005-0000-0000-0000CB1E0000}"/>
    <cellStyle name="20% - Accent4 28" xfId="35861" xr:uid="{00000000-0005-0000-0000-0000CC1E0000}"/>
    <cellStyle name="20% - Accent4 28 2" xfId="37034" xr:uid="{00000000-0005-0000-0000-0000CD1E0000}"/>
    <cellStyle name="20% - Accent4 28 3" xfId="37927" xr:uid="{00000000-0005-0000-0000-0000CE1E0000}"/>
    <cellStyle name="20% - Accent4 29" xfId="35874" xr:uid="{00000000-0005-0000-0000-0000CF1E0000}"/>
    <cellStyle name="20% - Accent4 29 2" xfId="37046" xr:uid="{00000000-0005-0000-0000-0000D01E0000}"/>
    <cellStyle name="20% - Accent4 29 3" xfId="37940" xr:uid="{00000000-0005-0000-0000-0000D11E0000}"/>
    <cellStyle name="20% - Accent4 3" xfId="107" xr:uid="{00000000-0005-0000-0000-0000D21E0000}"/>
    <cellStyle name="20% - Accent4 3 10" xfId="23699" xr:uid="{00000000-0005-0000-0000-0000D31E0000}"/>
    <cellStyle name="20% - Accent4 3 10 2" xfId="37447" xr:uid="{00000000-0005-0000-0000-0000D41E0000}"/>
    <cellStyle name="20% - Accent4 3 11" xfId="34461" xr:uid="{00000000-0005-0000-0000-0000D51E0000}"/>
    <cellStyle name="20% - Accent4 3 12" xfId="23702" xr:uid="{00000000-0005-0000-0000-0000D61E0000}"/>
    <cellStyle name="20% - Accent4 3 2" xfId="168" xr:uid="{00000000-0005-0000-0000-0000D71E0000}"/>
    <cellStyle name="20% - Accent4 3 2 10" xfId="34513" xr:uid="{00000000-0005-0000-0000-0000D81E0000}"/>
    <cellStyle name="20% - Accent4 3 2 11" xfId="23697" xr:uid="{00000000-0005-0000-0000-0000D91E0000}"/>
    <cellStyle name="20% - Accent4 3 2 2" xfId="23696" xr:uid="{00000000-0005-0000-0000-0000DA1E0000}"/>
    <cellStyle name="20% - Accent4 3 2 2 2" xfId="23693" xr:uid="{00000000-0005-0000-0000-0000DB1E0000}"/>
    <cellStyle name="20% - Accent4 3 2 2 2 2" xfId="20982" xr:uid="{00000000-0005-0000-0000-0000DC1E0000}"/>
    <cellStyle name="20% - Accent4 3 2 2 2 2 2" xfId="25171" xr:uid="{00000000-0005-0000-0000-0000DD1E0000}"/>
    <cellStyle name="20% - Accent4 3 2 2 2 2 2 2" xfId="23688" xr:uid="{00000000-0005-0000-0000-0000DE1E0000}"/>
    <cellStyle name="20% - Accent4 3 2 2 2 2 2 2 2" xfId="23685" xr:uid="{00000000-0005-0000-0000-0000DF1E0000}"/>
    <cellStyle name="20% - Accent4 3 2 2 2 2 2 2 2 2" xfId="21667" xr:uid="{00000000-0005-0000-0000-0000E01E0000}"/>
    <cellStyle name="20% - Accent4 3 2 2 2 2 2 2 2 2 2" xfId="23680" xr:uid="{00000000-0005-0000-0000-0000E11E0000}"/>
    <cellStyle name="20% - Accent4 3 2 2 2 2 2 2 2 3" xfId="23677" xr:uid="{00000000-0005-0000-0000-0000E21E0000}"/>
    <cellStyle name="20% - Accent4 3 2 2 2 2 2 2 3" xfId="27946" xr:uid="{00000000-0005-0000-0000-0000E31E0000}"/>
    <cellStyle name="20% - Accent4 3 2 2 2 2 2 2 3 2" xfId="23676" xr:uid="{00000000-0005-0000-0000-0000E41E0000}"/>
    <cellStyle name="20% - Accent4 3 2 2 2 2 2 2 4" xfId="27933" xr:uid="{00000000-0005-0000-0000-0000E51E0000}"/>
    <cellStyle name="20% - Accent4 3 2 2 2 2 2 3" xfId="23669" xr:uid="{00000000-0005-0000-0000-0000E61E0000}"/>
    <cellStyle name="20% - Accent4 3 2 2 2 2 2 3 2" xfId="23667" xr:uid="{00000000-0005-0000-0000-0000E71E0000}"/>
    <cellStyle name="20% - Accent4 3 2 2 2 2 2 3 2 2" xfId="23665" xr:uid="{00000000-0005-0000-0000-0000E81E0000}"/>
    <cellStyle name="20% - Accent4 3 2 2 2 2 2 3 3" xfId="27828" xr:uid="{00000000-0005-0000-0000-0000E91E0000}"/>
    <cellStyle name="20% - Accent4 3 2 2 2 2 2 4" xfId="23662" xr:uid="{00000000-0005-0000-0000-0000EA1E0000}"/>
    <cellStyle name="20% - Accent4 3 2 2 2 2 2 4 2" xfId="23657" xr:uid="{00000000-0005-0000-0000-0000EB1E0000}"/>
    <cellStyle name="20% - Accent4 3 2 2 2 2 2 5" xfId="23654" xr:uid="{00000000-0005-0000-0000-0000EC1E0000}"/>
    <cellStyle name="20% - Accent4 3 2 2 2 2 3" xfId="24739" xr:uid="{00000000-0005-0000-0000-0000ED1E0000}"/>
    <cellStyle name="20% - Accent4 3 2 2 2 2 3 2" xfId="23648" xr:uid="{00000000-0005-0000-0000-0000EE1E0000}"/>
    <cellStyle name="20% - Accent4 3 2 2 2 2 3 2 2" xfId="31280" xr:uid="{00000000-0005-0000-0000-0000EF1E0000}"/>
    <cellStyle name="20% - Accent4 3 2 2 2 2 3 2 2 2" xfId="23645" xr:uid="{00000000-0005-0000-0000-0000F01E0000}"/>
    <cellStyle name="20% - Accent4 3 2 2 2 2 3 2 3" xfId="27386" xr:uid="{00000000-0005-0000-0000-0000F11E0000}"/>
    <cellStyle name="20% - Accent4 3 2 2 2 2 3 3" xfId="23642" xr:uid="{00000000-0005-0000-0000-0000F21E0000}"/>
    <cellStyle name="20% - Accent4 3 2 2 2 2 3 3 2" xfId="28251" xr:uid="{00000000-0005-0000-0000-0000F31E0000}"/>
    <cellStyle name="20% - Accent4 3 2 2 2 2 3 4" xfId="23641" xr:uid="{00000000-0005-0000-0000-0000F41E0000}"/>
    <cellStyle name="20% - Accent4 3 2 2 2 2 4" xfId="21298" xr:uid="{00000000-0005-0000-0000-0000F51E0000}"/>
    <cellStyle name="20% - Accent4 3 2 2 2 2 4 2" xfId="21297" xr:uid="{00000000-0005-0000-0000-0000F61E0000}"/>
    <cellStyle name="20% - Accent4 3 2 2 2 2 4 2 2" xfId="21291" xr:uid="{00000000-0005-0000-0000-0000F71E0000}"/>
    <cellStyle name="20% - Accent4 3 2 2 2 2 4 3" xfId="23492" xr:uid="{00000000-0005-0000-0000-0000F81E0000}"/>
    <cellStyle name="20% - Accent4 3 2 2 2 2 5" xfId="24655" xr:uid="{00000000-0005-0000-0000-0000F91E0000}"/>
    <cellStyle name="20% - Accent4 3 2 2 2 2 5 2" xfId="23636" xr:uid="{00000000-0005-0000-0000-0000FA1E0000}"/>
    <cellStyle name="20% - Accent4 3 2 2 2 2 6" xfId="24647" xr:uid="{00000000-0005-0000-0000-0000FB1E0000}"/>
    <cellStyle name="20% - Accent4 3 2 2 2 3" xfId="23635" xr:uid="{00000000-0005-0000-0000-0000FC1E0000}"/>
    <cellStyle name="20% - Accent4 3 2 2 2 3 2" xfId="31783" xr:uid="{00000000-0005-0000-0000-0000FD1E0000}"/>
    <cellStyle name="20% - Accent4 3 2 2 2 3 2 2" xfId="23634" xr:uid="{00000000-0005-0000-0000-0000FE1E0000}"/>
    <cellStyle name="20% - Accent4 3 2 2 2 3 2 2 2" xfId="32717" xr:uid="{00000000-0005-0000-0000-0000FF1E0000}"/>
    <cellStyle name="20% - Accent4 3 2 2 2 3 2 2 2 2" xfId="20313" xr:uid="{00000000-0005-0000-0000-0000001F0000}"/>
    <cellStyle name="20% - Accent4 3 2 2 2 3 2 2 3" xfId="27856" xr:uid="{00000000-0005-0000-0000-0000011F0000}"/>
    <cellStyle name="20% - Accent4 3 2 2 2 3 2 3" xfId="23627" xr:uid="{00000000-0005-0000-0000-0000021F0000}"/>
    <cellStyle name="20% - Accent4 3 2 2 2 3 2 3 2" xfId="30399" xr:uid="{00000000-0005-0000-0000-0000031F0000}"/>
    <cellStyle name="20% - Accent4 3 2 2 2 3 2 4" xfId="23620" xr:uid="{00000000-0005-0000-0000-0000041F0000}"/>
    <cellStyle name="20% - Accent4 3 2 2 2 3 3" xfId="25978" xr:uid="{00000000-0005-0000-0000-0000051F0000}"/>
    <cellStyle name="20% - Accent4 3 2 2 2 3 3 2" xfId="29923" xr:uid="{00000000-0005-0000-0000-0000061F0000}"/>
    <cellStyle name="20% - Accent4 3 2 2 2 3 3 2 2" xfId="31471" xr:uid="{00000000-0005-0000-0000-0000071F0000}"/>
    <cellStyle name="20% - Accent4 3 2 2 2 3 3 3" xfId="23614" xr:uid="{00000000-0005-0000-0000-0000081F0000}"/>
    <cellStyle name="20% - Accent4 3 2 2 2 3 4" xfId="13163" xr:uid="{00000000-0005-0000-0000-0000091F0000}"/>
    <cellStyle name="20% - Accent4 3 2 2 2 3 4 2" xfId="23607" xr:uid="{00000000-0005-0000-0000-00000A1F0000}"/>
    <cellStyle name="20% - Accent4 3 2 2 2 3 5" xfId="23599" xr:uid="{00000000-0005-0000-0000-00000B1F0000}"/>
    <cellStyle name="20% - Accent4 3 2 2 2 4" xfId="23596" xr:uid="{00000000-0005-0000-0000-00000C1F0000}"/>
    <cellStyle name="20% - Accent4 3 2 2 2 4 2" xfId="21355" xr:uid="{00000000-0005-0000-0000-00000D1F0000}"/>
    <cellStyle name="20% - Accent4 3 2 2 2 4 2 2" xfId="32757" xr:uid="{00000000-0005-0000-0000-00000E1F0000}"/>
    <cellStyle name="20% - Accent4 3 2 2 2 4 2 2 2" xfId="32401" xr:uid="{00000000-0005-0000-0000-00000F1F0000}"/>
    <cellStyle name="20% - Accent4 3 2 2 2 4 2 3" xfId="32247" xr:uid="{00000000-0005-0000-0000-0000101F0000}"/>
    <cellStyle name="20% - Accent4 3 2 2 2 4 3" xfId="32911" xr:uid="{00000000-0005-0000-0000-0000111F0000}"/>
    <cellStyle name="20% - Accent4 3 2 2 2 4 3 2" xfId="23593" xr:uid="{00000000-0005-0000-0000-0000121F0000}"/>
    <cellStyle name="20% - Accent4 3 2 2 2 4 4" xfId="21264" xr:uid="{00000000-0005-0000-0000-0000131F0000}"/>
    <cellStyle name="20% - Accent4 3 2 2 2 5" xfId="23588" xr:uid="{00000000-0005-0000-0000-0000141F0000}"/>
    <cellStyle name="20% - Accent4 3 2 2 2 5 2" xfId="23586" xr:uid="{00000000-0005-0000-0000-0000151F0000}"/>
    <cellStyle name="20% - Accent4 3 2 2 2 5 2 2" xfId="23582" xr:uid="{00000000-0005-0000-0000-0000161F0000}"/>
    <cellStyle name="20% - Accent4 3 2 2 2 5 3" xfId="23577" xr:uid="{00000000-0005-0000-0000-0000171F0000}"/>
    <cellStyle name="20% - Accent4 3 2 2 2 6" xfId="23574" xr:uid="{00000000-0005-0000-0000-0000181F0000}"/>
    <cellStyle name="20% - Accent4 3 2 2 2 6 2" xfId="30078" xr:uid="{00000000-0005-0000-0000-0000191F0000}"/>
    <cellStyle name="20% - Accent4 3 2 2 2 7" xfId="23571" xr:uid="{00000000-0005-0000-0000-00001A1F0000}"/>
    <cellStyle name="20% - Accent4 3 2 2 3" xfId="32975" xr:uid="{00000000-0005-0000-0000-00001B1F0000}"/>
    <cellStyle name="20% - Accent4 3 2 2 3 2" xfId="31843" xr:uid="{00000000-0005-0000-0000-00001C1F0000}"/>
    <cellStyle name="20% - Accent4 3 2 2 3 2 2" xfId="29908" xr:uid="{00000000-0005-0000-0000-00001D1F0000}"/>
    <cellStyle name="20% - Accent4 3 2 2 3 2 2 2" xfId="23570" xr:uid="{00000000-0005-0000-0000-00001E1F0000}"/>
    <cellStyle name="20% - Accent4 3 2 2 3 2 2 2 2" xfId="23563" xr:uid="{00000000-0005-0000-0000-00001F1F0000}"/>
    <cellStyle name="20% - Accent4 3 2 2 3 2 2 2 2 2" xfId="23562" xr:uid="{00000000-0005-0000-0000-0000201F0000}"/>
    <cellStyle name="20% - Accent4 3 2 2 3 2 2 2 3" xfId="25214" xr:uid="{00000000-0005-0000-0000-0000211F0000}"/>
    <cellStyle name="20% - Accent4 3 2 2 3 2 2 3" xfId="22019" xr:uid="{00000000-0005-0000-0000-0000221F0000}"/>
    <cellStyle name="20% - Accent4 3 2 2 3 2 2 3 2" xfId="23556" xr:uid="{00000000-0005-0000-0000-0000231F0000}"/>
    <cellStyle name="20% - Accent4 3 2 2 3 2 2 4" xfId="22015" xr:uid="{00000000-0005-0000-0000-0000241F0000}"/>
    <cellStyle name="20% - Accent4 3 2 2 3 2 3" xfId="25964" xr:uid="{00000000-0005-0000-0000-0000251F0000}"/>
    <cellStyle name="20% - Accent4 3 2 2 3 2 3 2" xfId="22004" xr:uid="{00000000-0005-0000-0000-0000261F0000}"/>
    <cellStyle name="20% - Accent4 3 2 2 3 2 3 2 2" xfId="28617" xr:uid="{00000000-0005-0000-0000-0000271F0000}"/>
    <cellStyle name="20% - Accent4 3 2 2 3 2 3 3" xfId="21999" xr:uid="{00000000-0005-0000-0000-0000281F0000}"/>
    <cellStyle name="20% - Accent4 3 2 2 3 2 4" xfId="17801" xr:uid="{00000000-0005-0000-0000-0000291F0000}"/>
    <cellStyle name="20% - Accent4 3 2 2 3 2 4 2" xfId="7958" xr:uid="{00000000-0005-0000-0000-00002A1F0000}"/>
    <cellStyle name="20% - Accent4 3 2 2 3 2 5" xfId="17793" xr:uid="{00000000-0005-0000-0000-00002B1F0000}"/>
    <cellStyle name="20% - Accent4 3 2 2 3 3" xfId="29320" xr:uid="{00000000-0005-0000-0000-00002C1F0000}"/>
    <cellStyle name="20% - Accent4 3 2 2 3 3 2" xfId="29582" xr:uid="{00000000-0005-0000-0000-00002D1F0000}"/>
    <cellStyle name="20% - Accent4 3 2 2 3 3 2 2" xfId="23550" xr:uid="{00000000-0005-0000-0000-00002E1F0000}"/>
    <cellStyle name="20% - Accent4 3 2 2 3 3 2 2 2" xfId="24844" xr:uid="{00000000-0005-0000-0000-00002F1F0000}"/>
    <cellStyle name="20% - Accent4 3 2 2 3 3 2 3" xfId="23540" xr:uid="{00000000-0005-0000-0000-0000301F0000}"/>
    <cellStyle name="20% - Accent4 3 2 2 3 3 3" xfId="25956" xr:uid="{00000000-0005-0000-0000-0000311F0000}"/>
    <cellStyle name="20% - Accent4 3 2 2 3 3 3 2" xfId="23455" xr:uid="{00000000-0005-0000-0000-0000321F0000}"/>
    <cellStyle name="20% - Accent4 3 2 2 3 3 4" xfId="21250" xr:uid="{00000000-0005-0000-0000-0000331F0000}"/>
    <cellStyle name="20% - Accent4 3 2 2 3 4" xfId="6271" xr:uid="{00000000-0005-0000-0000-0000341F0000}"/>
    <cellStyle name="20% - Accent4 3 2 2 3 4 2" xfId="23533" xr:uid="{00000000-0005-0000-0000-0000351F0000}"/>
    <cellStyle name="20% - Accent4 3 2 2 3 4 2 2" xfId="20045" xr:uid="{00000000-0005-0000-0000-0000361F0000}"/>
    <cellStyle name="20% - Accent4 3 2 2 3 4 3" xfId="23526" xr:uid="{00000000-0005-0000-0000-0000371F0000}"/>
    <cellStyle name="20% - Accent4 3 2 2 3 5" xfId="27368" xr:uid="{00000000-0005-0000-0000-0000381F0000}"/>
    <cellStyle name="20% - Accent4 3 2 2 3 5 2" xfId="23524" xr:uid="{00000000-0005-0000-0000-0000391F0000}"/>
    <cellStyle name="20% - Accent4 3 2 2 3 6" xfId="23522" xr:uid="{00000000-0005-0000-0000-00003A1F0000}"/>
    <cellStyle name="20% - Accent4 3 2 2 4" xfId="31822" xr:uid="{00000000-0005-0000-0000-00003B1F0000}"/>
    <cellStyle name="20% - Accent4 3 2 2 4 2" xfId="18699" xr:uid="{00000000-0005-0000-0000-00003C1F0000}"/>
    <cellStyle name="20% - Accent4 3 2 2 4 2 2" xfId="28643" xr:uid="{00000000-0005-0000-0000-00003D1F0000}"/>
    <cellStyle name="20% - Accent4 3 2 2 4 2 2 2" xfId="21800" xr:uid="{00000000-0005-0000-0000-00003E1F0000}"/>
    <cellStyle name="20% - Accent4 3 2 2 4 2 2 2 2" xfId="23513" xr:uid="{00000000-0005-0000-0000-00003F1F0000}"/>
    <cellStyle name="20% - Accent4 3 2 2 4 2 2 3" xfId="23512" xr:uid="{00000000-0005-0000-0000-0000401F0000}"/>
    <cellStyle name="20% - Accent4 3 2 2 4 2 3" xfId="25942" xr:uid="{00000000-0005-0000-0000-0000411F0000}"/>
    <cellStyle name="20% - Accent4 3 2 2 4 2 3 2" xfId="21787" xr:uid="{00000000-0005-0000-0000-0000421F0000}"/>
    <cellStyle name="20% - Accent4 3 2 2 4 2 4" xfId="21235" xr:uid="{00000000-0005-0000-0000-0000431F0000}"/>
    <cellStyle name="20% - Accent4 3 2 2 4 3" xfId="33425" xr:uid="{00000000-0005-0000-0000-0000441F0000}"/>
    <cellStyle name="20% - Accent4 3 2 2 4 3 2" xfId="23509" xr:uid="{00000000-0005-0000-0000-0000451F0000}"/>
    <cellStyle name="20% - Accent4 3 2 2 4 3 2 2" xfId="22908" xr:uid="{00000000-0005-0000-0000-0000461F0000}"/>
    <cellStyle name="20% - Accent4 3 2 2 4 3 3" xfId="23508" xr:uid="{00000000-0005-0000-0000-0000471F0000}"/>
    <cellStyle name="20% - Accent4 3 2 2 4 4" xfId="26477" xr:uid="{00000000-0005-0000-0000-0000481F0000}"/>
    <cellStyle name="20% - Accent4 3 2 2 4 4 2" xfId="23507" xr:uid="{00000000-0005-0000-0000-0000491F0000}"/>
    <cellStyle name="20% - Accent4 3 2 2 4 5" xfId="23504" xr:uid="{00000000-0005-0000-0000-00004A1F0000}"/>
    <cellStyle name="20% - Accent4 3 2 2 5" xfId="33410" xr:uid="{00000000-0005-0000-0000-00004B1F0000}"/>
    <cellStyle name="20% - Accent4 3 2 2 5 2" xfId="33404" xr:uid="{00000000-0005-0000-0000-00004C1F0000}"/>
    <cellStyle name="20% - Accent4 3 2 2 5 2 2" xfId="23499" xr:uid="{00000000-0005-0000-0000-00004D1F0000}"/>
    <cellStyle name="20% - Accent4 3 2 2 5 2 2 2" xfId="21675" xr:uid="{00000000-0005-0000-0000-00004E1F0000}"/>
    <cellStyle name="20% - Accent4 3 2 2 5 2 3" xfId="23487" xr:uid="{00000000-0005-0000-0000-00004F1F0000}"/>
    <cellStyle name="20% - Accent4 3 2 2 5 3" xfId="33399" xr:uid="{00000000-0005-0000-0000-0000501F0000}"/>
    <cellStyle name="20% - Accent4 3 2 2 5 3 2" xfId="23485" xr:uid="{00000000-0005-0000-0000-0000511F0000}"/>
    <cellStyle name="20% - Accent4 3 2 2 5 4" xfId="23484" xr:uid="{00000000-0005-0000-0000-0000521F0000}"/>
    <cellStyle name="20% - Accent4 3 2 2 6" xfId="30829" xr:uid="{00000000-0005-0000-0000-0000531F0000}"/>
    <cellStyle name="20% - Accent4 3 2 2 6 2" xfId="33391" xr:uid="{00000000-0005-0000-0000-0000541F0000}"/>
    <cellStyle name="20% - Accent4 3 2 2 6 2 2" xfId="19621" xr:uid="{00000000-0005-0000-0000-0000551F0000}"/>
    <cellStyle name="20% - Accent4 3 2 2 6 3" xfId="23475" xr:uid="{00000000-0005-0000-0000-0000561F0000}"/>
    <cellStyle name="20% - Accent4 3 2 2 7" xfId="27000" xr:uid="{00000000-0005-0000-0000-0000571F0000}"/>
    <cellStyle name="20% - Accent4 3 2 2 7 2" xfId="23471" xr:uid="{00000000-0005-0000-0000-0000581F0000}"/>
    <cellStyle name="20% - Accent4 3 2 2 8" xfId="16994" xr:uid="{00000000-0005-0000-0000-0000591F0000}"/>
    <cellStyle name="20% - Accent4 3 2 3" xfId="23468" xr:uid="{00000000-0005-0000-0000-00005A1F0000}"/>
    <cellStyle name="20% - Accent4 3 2 3 2" xfId="23459" xr:uid="{00000000-0005-0000-0000-00005B1F0000}"/>
    <cellStyle name="20% - Accent4 3 2 3 2 2" xfId="23452" xr:uid="{00000000-0005-0000-0000-00005C1F0000}"/>
    <cellStyle name="20% - Accent4 3 2 3 2 2 2" xfId="31751" xr:uid="{00000000-0005-0000-0000-00005D1F0000}"/>
    <cellStyle name="20% - Accent4 3 2 3 2 2 2 2" xfId="16802" xr:uid="{00000000-0005-0000-0000-00005E1F0000}"/>
    <cellStyle name="20% - Accent4 3 2 3 2 2 2 2 2" xfId="29180" xr:uid="{00000000-0005-0000-0000-00005F1F0000}"/>
    <cellStyle name="20% - Accent4 3 2 3 2 2 2 2 2 2" xfId="23449" xr:uid="{00000000-0005-0000-0000-0000601F0000}"/>
    <cellStyle name="20% - Accent4 3 2 3 2 2 2 2 3" xfId="29169" xr:uid="{00000000-0005-0000-0000-0000611F0000}"/>
    <cellStyle name="20% - Accent4 3 2 3 2 2 2 3" xfId="16790" xr:uid="{00000000-0005-0000-0000-0000621F0000}"/>
    <cellStyle name="20% - Accent4 3 2 3 2 2 2 3 2" xfId="29139" xr:uid="{00000000-0005-0000-0000-0000631F0000}"/>
    <cellStyle name="20% - Accent4 3 2 3 2 2 2 4" xfId="16786" xr:uid="{00000000-0005-0000-0000-0000641F0000}"/>
    <cellStyle name="20% - Accent4 3 2 3 2 2 3" xfId="24162" xr:uid="{00000000-0005-0000-0000-0000651F0000}"/>
    <cellStyle name="20% - Accent4 3 2 3 2 2 3 2" xfId="20049" xr:uid="{00000000-0005-0000-0000-0000661F0000}"/>
    <cellStyle name="20% - Accent4 3 2 3 2 2 3 2 2" xfId="26854" xr:uid="{00000000-0005-0000-0000-0000671F0000}"/>
    <cellStyle name="20% - Accent4 3 2 3 2 2 3 3" xfId="18080" xr:uid="{00000000-0005-0000-0000-0000681F0000}"/>
    <cellStyle name="20% - Accent4 3 2 3 2 2 4" xfId="25574" xr:uid="{00000000-0005-0000-0000-0000691F0000}"/>
    <cellStyle name="20% - Accent4 3 2 3 2 2 4 2" xfId="23911" xr:uid="{00000000-0005-0000-0000-00006A1F0000}"/>
    <cellStyle name="20% - Accent4 3 2 3 2 2 5" xfId="23710" xr:uid="{00000000-0005-0000-0000-00006B1F0000}"/>
    <cellStyle name="20% - Accent4 3 2 3 2 3" xfId="23429" xr:uid="{00000000-0005-0000-0000-00006C1F0000}"/>
    <cellStyle name="20% - Accent4 3 2 3 2 3 2" xfId="23432" xr:uid="{00000000-0005-0000-0000-00006D1F0000}"/>
    <cellStyle name="20% - Accent4 3 2 3 2 3 2 2" xfId="23426" xr:uid="{00000000-0005-0000-0000-00006E1F0000}"/>
    <cellStyle name="20% - Accent4 3 2 3 2 3 2 2 2" xfId="28801" xr:uid="{00000000-0005-0000-0000-00006F1F0000}"/>
    <cellStyle name="20% - Accent4 3 2 3 2 3 2 3" xfId="16734" xr:uid="{00000000-0005-0000-0000-0000701F0000}"/>
    <cellStyle name="20% - Accent4 3 2 3 2 3 3" xfId="25863" xr:uid="{00000000-0005-0000-0000-0000711F0000}"/>
    <cellStyle name="20% - Accent4 3 2 3 2 3 3 2" xfId="23411" xr:uid="{00000000-0005-0000-0000-0000721F0000}"/>
    <cellStyle name="20% - Accent4 3 2 3 2 3 4" xfId="23403" xr:uid="{00000000-0005-0000-0000-0000731F0000}"/>
    <cellStyle name="20% - Accent4 3 2 3 2 4" xfId="23223" xr:uid="{00000000-0005-0000-0000-0000741F0000}"/>
    <cellStyle name="20% - Accent4 3 2 3 2 4 2" xfId="23399" xr:uid="{00000000-0005-0000-0000-0000751F0000}"/>
    <cellStyle name="20% - Accent4 3 2 3 2 4 2 2" xfId="23396" xr:uid="{00000000-0005-0000-0000-0000761F0000}"/>
    <cellStyle name="20% - Accent4 3 2 3 2 4 3" xfId="23382" xr:uid="{00000000-0005-0000-0000-0000771F0000}"/>
    <cellStyle name="20% - Accent4 3 2 3 2 5" xfId="23377" xr:uid="{00000000-0005-0000-0000-0000781F0000}"/>
    <cellStyle name="20% - Accent4 3 2 3 2 5 2" xfId="23374" xr:uid="{00000000-0005-0000-0000-0000791F0000}"/>
    <cellStyle name="20% - Accent4 3 2 3 2 6" xfId="10929" xr:uid="{00000000-0005-0000-0000-00007A1F0000}"/>
    <cellStyle name="20% - Accent4 3 2 3 3" xfId="33480" xr:uid="{00000000-0005-0000-0000-00007B1F0000}"/>
    <cellStyle name="20% - Accent4 3 2 3 3 2" xfId="9167" xr:uid="{00000000-0005-0000-0000-00007C1F0000}"/>
    <cellStyle name="20% - Accent4 3 2 3 3 2 2" xfId="26906" xr:uid="{00000000-0005-0000-0000-00007D1F0000}"/>
    <cellStyle name="20% - Accent4 3 2 3 3 2 2 2" xfId="16668" xr:uid="{00000000-0005-0000-0000-00007E1F0000}"/>
    <cellStyle name="20% - Accent4 3 2 3 3 2 2 2 2" xfId="23790" xr:uid="{00000000-0005-0000-0000-00007F1F0000}"/>
    <cellStyle name="20% - Accent4 3 2 3 3 2 2 3" xfId="16664" xr:uid="{00000000-0005-0000-0000-0000801F0000}"/>
    <cellStyle name="20% - Accent4 3 2 3 3 2 3" xfId="25850" xr:uid="{00000000-0005-0000-0000-0000811F0000}"/>
    <cellStyle name="20% - Accent4 3 2 3 3 2 3 2" xfId="18056" xr:uid="{00000000-0005-0000-0000-0000821F0000}"/>
    <cellStyle name="20% - Accent4 3 2 3 3 2 4" xfId="23359" xr:uid="{00000000-0005-0000-0000-0000831F0000}"/>
    <cellStyle name="20% - Accent4 3 2 3 3 3" xfId="7264" xr:uid="{00000000-0005-0000-0000-0000841F0000}"/>
    <cellStyle name="20% - Accent4 3 2 3 3 3 2" xfId="30137" xr:uid="{00000000-0005-0000-0000-0000851F0000}"/>
    <cellStyle name="20% - Accent4 3 2 3 3 3 2 2" xfId="16635" xr:uid="{00000000-0005-0000-0000-0000861F0000}"/>
    <cellStyle name="20% - Accent4 3 2 3 3 3 3" xfId="23352" xr:uid="{00000000-0005-0000-0000-0000871F0000}"/>
    <cellStyle name="20% - Accent4 3 2 3 3 4" xfId="23378" xr:uid="{00000000-0005-0000-0000-0000881F0000}"/>
    <cellStyle name="20% - Accent4 3 2 3 3 4 2" xfId="23347" xr:uid="{00000000-0005-0000-0000-0000891F0000}"/>
    <cellStyle name="20% - Accent4 3 2 3 3 5" xfId="23343" xr:uid="{00000000-0005-0000-0000-00008A1F0000}"/>
    <cellStyle name="20% - Accent4 3 2 3 4" xfId="33366" xr:uid="{00000000-0005-0000-0000-00008B1F0000}"/>
    <cellStyle name="20% - Accent4 3 2 3 4 2" xfId="5418" xr:uid="{00000000-0005-0000-0000-00008C1F0000}"/>
    <cellStyle name="20% - Accent4 3 2 3 4 2 2" xfId="25930" xr:uid="{00000000-0005-0000-0000-00008D1F0000}"/>
    <cellStyle name="20% - Accent4 3 2 3 4 2 2 2" xfId="16604" xr:uid="{00000000-0005-0000-0000-00008E1F0000}"/>
    <cellStyle name="20% - Accent4 3 2 3 4 2 3" xfId="23338" xr:uid="{00000000-0005-0000-0000-00008F1F0000}"/>
    <cellStyle name="20% - Accent4 3 2 3 4 3" xfId="23372" xr:uid="{00000000-0005-0000-0000-0000901F0000}"/>
    <cellStyle name="20% - Accent4 3 2 3 4 3 2" xfId="23335" xr:uid="{00000000-0005-0000-0000-0000911F0000}"/>
    <cellStyle name="20% - Accent4 3 2 3 4 4" xfId="23328" xr:uid="{00000000-0005-0000-0000-0000921F0000}"/>
    <cellStyle name="20% - Accent4 3 2 3 5" xfId="33361" xr:uid="{00000000-0005-0000-0000-0000931F0000}"/>
    <cellStyle name="20% - Accent4 3 2 3 5 2" xfId="21057" xr:uid="{00000000-0005-0000-0000-0000941F0000}"/>
    <cellStyle name="20% - Accent4 3 2 3 5 2 2" xfId="23323" xr:uid="{00000000-0005-0000-0000-0000951F0000}"/>
    <cellStyle name="20% - Accent4 3 2 3 5 3" xfId="21049" xr:uid="{00000000-0005-0000-0000-0000961F0000}"/>
    <cellStyle name="20% - Accent4 3 2 3 6" xfId="30819" xr:uid="{00000000-0005-0000-0000-0000971F0000}"/>
    <cellStyle name="20% - Accent4 3 2 3 6 2" xfId="21045" xr:uid="{00000000-0005-0000-0000-0000981F0000}"/>
    <cellStyle name="20% - Accent4 3 2 3 7" xfId="23322" xr:uid="{00000000-0005-0000-0000-0000991F0000}"/>
    <cellStyle name="20% - Accent4 3 2 4" xfId="9331" xr:uid="{00000000-0005-0000-0000-00009A1F0000}"/>
    <cellStyle name="20% - Accent4 3 2 4 2" xfId="33203" xr:uid="{00000000-0005-0000-0000-00009B1F0000}"/>
    <cellStyle name="20% - Accent4 3 2 4 2 2" xfId="32760" xr:uid="{00000000-0005-0000-0000-00009C1F0000}"/>
    <cellStyle name="20% - Accent4 3 2 4 2 2 2" xfId="28268" xr:uid="{00000000-0005-0000-0000-00009D1F0000}"/>
    <cellStyle name="20% - Accent4 3 2 4 2 2 2 2" xfId="23318" xr:uid="{00000000-0005-0000-0000-00009E1F0000}"/>
    <cellStyle name="20% - Accent4 3 2 4 2 2 2 2 2" xfId="23313" xr:uid="{00000000-0005-0000-0000-00009F1F0000}"/>
    <cellStyle name="20% - Accent4 3 2 4 2 2 2 3" xfId="16524" xr:uid="{00000000-0005-0000-0000-0000A01F0000}"/>
    <cellStyle name="20% - Accent4 3 2 4 2 2 3" xfId="23921" xr:uid="{00000000-0005-0000-0000-0000A11F0000}"/>
    <cellStyle name="20% - Accent4 3 2 4 2 2 3 2" xfId="16514" xr:uid="{00000000-0005-0000-0000-0000A21F0000}"/>
    <cellStyle name="20% - Accent4 3 2 4 2 2 4" xfId="23305" xr:uid="{00000000-0005-0000-0000-0000A31F0000}"/>
    <cellStyle name="20% - Accent4 3 2 4 2 3" xfId="23178" xr:uid="{00000000-0005-0000-0000-0000A41F0000}"/>
    <cellStyle name="20% - Accent4 3 2 4 2 3 2" xfId="27890" xr:uid="{00000000-0005-0000-0000-0000A51F0000}"/>
    <cellStyle name="20% - Accent4 3 2 4 2 3 2 2" xfId="16483" xr:uid="{00000000-0005-0000-0000-0000A61F0000}"/>
    <cellStyle name="20% - Accent4 3 2 4 2 3 3" xfId="31317" xr:uid="{00000000-0005-0000-0000-0000A71F0000}"/>
    <cellStyle name="20% - Accent4 3 2 4 2 4" xfId="23349" xr:uid="{00000000-0005-0000-0000-0000A81F0000}"/>
    <cellStyle name="20% - Accent4 3 2 4 2 4 2" xfId="8867" xr:uid="{00000000-0005-0000-0000-0000A91F0000}"/>
    <cellStyle name="20% - Accent4 3 2 4 2 5" xfId="23287" xr:uid="{00000000-0005-0000-0000-0000AA1F0000}"/>
    <cellStyle name="20% - Accent4 3 2 4 3" xfId="31557" xr:uid="{00000000-0005-0000-0000-0000AB1F0000}"/>
    <cellStyle name="20% - Accent4 3 2 4 3 2" xfId="6014" xr:uid="{00000000-0005-0000-0000-0000AC1F0000}"/>
    <cellStyle name="20% - Accent4 3 2 4 3 2 2" xfId="28259" xr:uid="{00000000-0005-0000-0000-0000AD1F0000}"/>
    <cellStyle name="20% - Accent4 3 2 4 3 2 2 2" xfId="16451" xr:uid="{00000000-0005-0000-0000-0000AE1F0000}"/>
    <cellStyle name="20% - Accent4 3 2 4 3 2 3" xfId="24038" xr:uid="{00000000-0005-0000-0000-0000AF1F0000}"/>
    <cellStyle name="20% - Accent4 3 2 4 3 3" xfId="23345" xr:uid="{00000000-0005-0000-0000-0000B01F0000}"/>
    <cellStyle name="20% - Accent4 3 2 4 3 3 2" xfId="33471" xr:uid="{00000000-0005-0000-0000-0000B11F0000}"/>
    <cellStyle name="20% - Accent4 3 2 4 3 4" xfId="30337" xr:uid="{00000000-0005-0000-0000-0000B21F0000}"/>
    <cellStyle name="20% - Accent4 3 2 4 4" xfId="33146" xr:uid="{00000000-0005-0000-0000-0000B31F0000}"/>
    <cellStyle name="20% - Accent4 3 2 4 4 2" xfId="33141" xr:uid="{00000000-0005-0000-0000-0000B41F0000}"/>
    <cellStyle name="20% - Accent4 3 2 4 4 2 2" xfId="23283" xr:uid="{00000000-0005-0000-0000-0000B51F0000}"/>
    <cellStyle name="20% - Accent4 3 2 4 4 3" xfId="30065" xr:uid="{00000000-0005-0000-0000-0000B61F0000}"/>
    <cellStyle name="20% - Accent4 3 2 4 5" xfId="33133" xr:uid="{00000000-0005-0000-0000-0000B71F0000}"/>
    <cellStyle name="20% - Accent4 3 2 4 5 2" xfId="21033" xr:uid="{00000000-0005-0000-0000-0000B81F0000}"/>
    <cellStyle name="20% - Accent4 3 2 4 6" xfId="23279" xr:uid="{00000000-0005-0000-0000-0000B91F0000}"/>
    <cellStyle name="20% - Accent4 3 2 5" xfId="23277" xr:uid="{00000000-0005-0000-0000-0000BA1F0000}"/>
    <cellStyle name="20% - Accent4 3 2 5 2" xfId="17800" xr:uid="{00000000-0005-0000-0000-0000BB1F0000}"/>
    <cellStyle name="20% - Accent4 3 2 5 2 2" xfId="17796" xr:uid="{00000000-0005-0000-0000-0000BC1F0000}"/>
    <cellStyle name="20% - Accent4 3 2 5 2 2 2" xfId="22545" xr:uid="{00000000-0005-0000-0000-0000BD1F0000}"/>
    <cellStyle name="20% - Accent4 3 2 5 2 2 2 2" xfId="16367" xr:uid="{00000000-0005-0000-0000-0000BE1F0000}"/>
    <cellStyle name="20% - Accent4 3 2 5 2 2 3" xfId="22474" xr:uid="{00000000-0005-0000-0000-0000BF1F0000}"/>
    <cellStyle name="20% - Accent4 3 2 5 2 3" xfId="23331" xr:uid="{00000000-0005-0000-0000-0000C01F0000}"/>
    <cellStyle name="20% - Accent4 3 2 5 2 3 2" xfId="22357" xr:uid="{00000000-0005-0000-0000-0000C11F0000}"/>
    <cellStyle name="20% - Accent4 3 2 5 2 4" xfId="23276" xr:uid="{00000000-0005-0000-0000-0000C21F0000}"/>
    <cellStyle name="20% - Accent4 3 2 5 3" xfId="17792" xr:uid="{00000000-0005-0000-0000-0000C31F0000}"/>
    <cellStyle name="20% - Accent4 3 2 5 3 2" xfId="17788" xr:uid="{00000000-0005-0000-0000-0000C41F0000}"/>
    <cellStyle name="20% - Accent4 3 2 5 3 2 2" xfId="20271" xr:uid="{00000000-0005-0000-0000-0000C51F0000}"/>
    <cellStyle name="20% - Accent4 3 2 5 3 3" xfId="23270" xr:uid="{00000000-0005-0000-0000-0000C61F0000}"/>
    <cellStyle name="20% - Accent4 3 2 5 4" xfId="17785" xr:uid="{00000000-0005-0000-0000-0000C71F0000}"/>
    <cellStyle name="20% - Accent4 3 2 5 4 2" xfId="23267" xr:uid="{00000000-0005-0000-0000-0000C81F0000}"/>
    <cellStyle name="20% - Accent4 3 2 5 5" xfId="23495" xr:uid="{00000000-0005-0000-0000-0000C91F0000}"/>
    <cellStyle name="20% - Accent4 3 2 6" xfId="23264" xr:uid="{00000000-0005-0000-0000-0000CA1F0000}"/>
    <cellStyle name="20% - Accent4 3 2 6 2" xfId="21636" xr:uid="{00000000-0005-0000-0000-0000CB1F0000}"/>
    <cellStyle name="20% - Accent4 3 2 6 2 2" xfId="33111" xr:uid="{00000000-0005-0000-0000-0000CC1F0000}"/>
    <cellStyle name="20% - Accent4 3 2 6 2 2 2" xfId="24126" xr:uid="{00000000-0005-0000-0000-0000CD1F0000}"/>
    <cellStyle name="20% - Accent4 3 2 6 2 3" xfId="23263" xr:uid="{00000000-0005-0000-0000-0000CE1F0000}"/>
    <cellStyle name="20% - Accent4 3 2 6 3" xfId="17617" xr:uid="{00000000-0005-0000-0000-0000CF1F0000}"/>
    <cellStyle name="20% - Accent4 3 2 6 3 2" xfId="23259" xr:uid="{00000000-0005-0000-0000-0000D01F0000}"/>
    <cellStyle name="20% - Accent4 3 2 6 4" xfId="22575" xr:uid="{00000000-0005-0000-0000-0000D11F0000}"/>
    <cellStyle name="20% - Accent4 3 2 7" xfId="23257" xr:uid="{00000000-0005-0000-0000-0000D21F0000}"/>
    <cellStyle name="20% - Accent4 3 2 7 2" xfId="17508" xr:uid="{00000000-0005-0000-0000-0000D31F0000}"/>
    <cellStyle name="20% - Accent4 3 2 7 2 2" xfId="17504" xr:uid="{00000000-0005-0000-0000-0000D41F0000}"/>
    <cellStyle name="20% - Accent4 3 2 7 3" xfId="17502" xr:uid="{00000000-0005-0000-0000-0000D51F0000}"/>
    <cellStyle name="20% - Accent4 3 2 8" xfId="23256" xr:uid="{00000000-0005-0000-0000-0000D61F0000}"/>
    <cellStyle name="20% - Accent4 3 2 8 2" xfId="24130" xr:uid="{00000000-0005-0000-0000-0000D71F0000}"/>
    <cellStyle name="20% - Accent4 3 2 9" xfId="23254" xr:uid="{00000000-0005-0000-0000-0000D81F0000}"/>
    <cellStyle name="20% - Accent4 3 3" xfId="229" xr:uid="{00000000-0005-0000-0000-0000D91F0000}"/>
    <cellStyle name="20% - Accent4 3 3 10" xfId="23252" xr:uid="{00000000-0005-0000-0000-0000DA1F0000}"/>
    <cellStyle name="20% - Accent4 3 3 2" xfId="26238" xr:uid="{00000000-0005-0000-0000-0000DB1F0000}"/>
    <cellStyle name="20% - Accent4 3 3 2 2" xfId="23251" xr:uid="{00000000-0005-0000-0000-0000DC1F0000}"/>
    <cellStyle name="20% - Accent4 3 3 2 2 2" xfId="31063" xr:uid="{00000000-0005-0000-0000-0000DD1F0000}"/>
    <cellStyle name="20% - Accent4 3 3 2 2 2 2" xfId="27707" xr:uid="{00000000-0005-0000-0000-0000DE1F0000}"/>
    <cellStyle name="20% - Accent4 3 3 2 2 2 2 2" xfId="23249" xr:uid="{00000000-0005-0000-0000-0000DF1F0000}"/>
    <cellStyle name="20% - Accent4 3 3 2 2 2 2 2 2" xfId="34167" xr:uid="{00000000-0005-0000-0000-0000E01F0000}"/>
    <cellStyle name="20% - Accent4 3 3 2 2 2 2 2 2 2" xfId="19740" xr:uid="{00000000-0005-0000-0000-0000E11F0000}"/>
    <cellStyle name="20% - Accent4 3 3 2 2 2 2 2 3" xfId="23245" xr:uid="{00000000-0005-0000-0000-0000E21F0000}"/>
    <cellStyle name="20% - Accent4 3 3 2 2 2 2 3" xfId="23240" xr:uid="{00000000-0005-0000-0000-0000E31F0000}"/>
    <cellStyle name="20% - Accent4 3 3 2 2 2 2 3 2" xfId="23236" xr:uid="{00000000-0005-0000-0000-0000E41F0000}"/>
    <cellStyle name="20% - Accent4 3 3 2 2 2 2 4" xfId="31437" xr:uid="{00000000-0005-0000-0000-0000E51F0000}"/>
    <cellStyle name="20% - Accent4 3 3 2 2 2 3" xfId="23451" xr:uid="{00000000-0005-0000-0000-0000E61F0000}"/>
    <cellStyle name="20% - Accent4 3 3 2 2 2 3 2" xfId="23232" xr:uid="{00000000-0005-0000-0000-0000E71F0000}"/>
    <cellStyle name="20% - Accent4 3 3 2 2 2 3 2 2" xfId="23229" xr:uid="{00000000-0005-0000-0000-0000E81F0000}"/>
    <cellStyle name="20% - Accent4 3 3 2 2 2 3 3" xfId="21125" xr:uid="{00000000-0005-0000-0000-0000E91F0000}"/>
    <cellStyle name="20% - Accent4 3 3 2 2 2 4" xfId="23428" xr:uid="{00000000-0005-0000-0000-0000EA1F0000}"/>
    <cellStyle name="20% - Accent4 3 3 2 2 2 4 2" xfId="23031" xr:uid="{00000000-0005-0000-0000-0000EB1F0000}"/>
    <cellStyle name="20% - Accent4 3 3 2 2 2 5" xfId="23224" xr:uid="{00000000-0005-0000-0000-0000EC1F0000}"/>
    <cellStyle name="20% - Accent4 3 3 2 2 3" xfId="23220" xr:uid="{00000000-0005-0000-0000-0000ED1F0000}"/>
    <cellStyle name="20% - Accent4 3 3 2 2 3 2" xfId="23218" xr:uid="{00000000-0005-0000-0000-0000EE1F0000}"/>
    <cellStyle name="20% - Accent4 3 3 2 2 3 2 2" xfId="23216" xr:uid="{00000000-0005-0000-0000-0000EF1F0000}"/>
    <cellStyle name="20% - Accent4 3 3 2 2 3 2 2 2" xfId="23211" xr:uid="{00000000-0005-0000-0000-0000F01F0000}"/>
    <cellStyle name="20% - Accent4 3 3 2 2 3 2 3" xfId="23203" xr:uid="{00000000-0005-0000-0000-0000F11F0000}"/>
    <cellStyle name="20% - Accent4 3 3 2 2 3 3" xfId="33455" xr:uid="{00000000-0005-0000-0000-0000F21F0000}"/>
    <cellStyle name="20% - Accent4 3 3 2 2 3 3 2" xfId="23199" xr:uid="{00000000-0005-0000-0000-0000F31F0000}"/>
    <cellStyle name="20% - Accent4 3 3 2 2 3 4" xfId="23197" xr:uid="{00000000-0005-0000-0000-0000F41F0000}"/>
    <cellStyle name="20% - Accent4 3 3 2 2 4" xfId="6226" xr:uid="{00000000-0005-0000-0000-0000F51F0000}"/>
    <cellStyle name="20% - Accent4 3 3 2 2 4 2" xfId="23194" xr:uid="{00000000-0005-0000-0000-0000F61F0000}"/>
    <cellStyle name="20% - Accent4 3 3 2 2 4 2 2" xfId="23185" xr:uid="{00000000-0005-0000-0000-0000F71F0000}"/>
    <cellStyle name="20% - Accent4 3 3 2 2 4 3" xfId="8977" xr:uid="{00000000-0005-0000-0000-0000F81F0000}"/>
    <cellStyle name="20% - Accent4 3 3 2 2 5" xfId="30450" xr:uid="{00000000-0005-0000-0000-0000F91F0000}"/>
    <cellStyle name="20% - Accent4 3 3 2 2 5 2" xfId="31627" xr:uid="{00000000-0005-0000-0000-0000FA1F0000}"/>
    <cellStyle name="20% - Accent4 3 3 2 2 6" xfId="34001" xr:uid="{00000000-0005-0000-0000-0000FB1F0000}"/>
    <cellStyle name="20% - Accent4 3 3 2 3" xfId="31468" xr:uid="{00000000-0005-0000-0000-0000FC1F0000}"/>
    <cellStyle name="20% - Accent4 3 3 2 3 2" xfId="31197" xr:uid="{00000000-0005-0000-0000-0000FD1F0000}"/>
    <cellStyle name="20% - Accent4 3 3 2 3 2 2" xfId="26325" xr:uid="{00000000-0005-0000-0000-0000FE1F0000}"/>
    <cellStyle name="20% - Accent4 3 3 2 3 2 2 2" xfId="20767" xr:uid="{00000000-0005-0000-0000-0000FF1F0000}"/>
    <cellStyle name="20% - Accent4 3 3 2 3 2 2 2 2" xfId="32814" xr:uid="{00000000-0005-0000-0000-000000200000}"/>
    <cellStyle name="20% - Accent4 3 3 2 3 2 2 3" xfId="20656" xr:uid="{00000000-0005-0000-0000-000001200000}"/>
    <cellStyle name="20% - Accent4 3 3 2 3 2 3" xfId="12679" xr:uid="{00000000-0005-0000-0000-000002200000}"/>
    <cellStyle name="20% - Accent4 3 3 2 3 2 3 2" xfId="20457" xr:uid="{00000000-0005-0000-0000-000003200000}"/>
    <cellStyle name="20% - Accent4 3 3 2 3 2 4" xfId="12676" xr:uid="{00000000-0005-0000-0000-000004200000}"/>
    <cellStyle name="20% - Accent4 3 3 2 3 3" xfId="31455" xr:uid="{00000000-0005-0000-0000-000005200000}"/>
    <cellStyle name="20% - Accent4 3 3 2 3 3 2" xfId="23176" xr:uid="{00000000-0005-0000-0000-000006200000}"/>
    <cellStyle name="20% - Accent4 3 3 2 3 3 2 2" xfId="19146" xr:uid="{00000000-0005-0000-0000-000007200000}"/>
    <cellStyle name="20% - Accent4 3 3 2 3 3 3" xfId="23173" xr:uid="{00000000-0005-0000-0000-000008200000}"/>
    <cellStyle name="20% - Accent4 3 3 2 3 4" xfId="30029" xr:uid="{00000000-0005-0000-0000-000009200000}"/>
    <cellStyle name="20% - Accent4 3 3 2 3 4 2" xfId="23171" xr:uid="{00000000-0005-0000-0000-00000A200000}"/>
    <cellStyle name="20% - Accent4 3 3 2 3 5" xfId="27353" xr:uid="{00000000-0005-0000-0000-00000B200000}"/>
    <cellStyle name="20% - Accent4 3 3 2 4" xfId="15771" xr:uid="{00000000-0005-0000-0000-00000C200000}"/>
    <cellStyle name="20% - Accent4 3 3 2 4 2" xfId="25355" xr:uid="{00000000-0005-0000-0000-00000D200000}"/>
    <cellStyle name="20% - Accent4 3 3 2 4 2 2" xfId="23168" xr:uid="{00000000-0005-0000-0000-00000E200000}"/>
    <cellStyle name="20% - Accent4 3 3 2 4 2 2 2" xfId="23167" xr:uid="{00000000-0005-0000-0000-00000F200000}"/>
    <cellStyle name="20% - Accent4 3 3 2 4 2 3" xfId="12649" xr:uid="{00000000-0005-0000-0000-000010200000}"/>
    <cellStyle name="20% - Accent4 3 3 2 4 3" xfId="29435" xr:uid="{00000000-0005-0000-0000-000011200000}"/>
    <cellStyle name="20% - Accent4 3 3 2 4 3 2" xfId="23163" xr:uid="{00000000-0005-0000-0000-000012200000}"/>
    <cellStyle name="20% - Accent4 3 3 2 4 4" xfId="23161" xr:uid="{00000000-0005-0000-0000-000013200000}"/>
    <cellStyle name="20% - Accent4 3 3 2 5" xfId="31439" xr:uid="{00000000-0005-0000-0000-000014200000}"/>
    <cellStyle name="20% - Accent4 3 3 2 5 2" xfId="33267" xr:uid="{00000000-0005-0000-0000-000015200000}"/>
    <cellStyle name="20% - Accent4 3 3 2 5 2 2" xfId="23159" xr:uid="{00000000-0005-0000-0000-000016200000}"/>
    <cellStyle name="20% - Accent4 3 3 2 5 3" xfId="23154" xr:uid="{00000000-0005-0000-0000-000017200000}"/>
    <cellStyle name="20% - Accent4 3 3 2 6" xfId="33220" xr:uid="{00000000-0005-0000-0000-000018200000}"/>
    <cellStyle name="20% - Accent4 3 3 2 6 2" xfId="11598" xr:uid="{00000000-0005-0000-0000-000019200000}"/>
    <cellStyle name="20% - Accent4 3 3 2 7" xfId="23150" xr:uid="{00000000-0005-0000-0000-00001A200000}"/>
    <cellStyle name="20% - Accent4 3 3 3" xfId="31000" xr:uid="{00000000-0005-0000-0000-00001B200000}"/>
    <cellStyle name="20% - Accent4 3 3 3 2" xfId="23148" xr:uid="{00000000-0005-0000-0000-00001C200000}"/>
    <cellStyle name="20% - Accent4 3 3 3 2 2" xfId="18740" xr:uid="{00000000-0005-0000-0000-00001D200000}"/>
    <cellStyle name="20% - Accent4 3 3 3 2 2 2" xfId="23145" xr:uid="{00000000-0005-0000-0000-00001E200000}"/>
    <cellStyle name="20% - Accent4 3 3 3 2 2 2 2" xfId="19524" xr:uid="{00000000-0005-0000-0000-00001F200000}"/>
    <cellStyle name="20% - Accent4 3 3 3 2 2 2 2 2" xfId="33578" xr:uid="{00000000-0005-0000-0000-000020200000}"/>
    <cellStyle name="20% - Accent4 3 3 3 2 2 2 3" xfId="16184" xr:uid="{00000000-0005-0000-0000-000021200000}"/>
    <cellStyle name="20% - Accent4 3 3 3 2 2 3" xfId="23146" xr:uid="{00000000-0005-0000-0000-000022200000}"/>
    <cellStyle name="20% - Accent4 3 3 3 2 2 3 2" xfId="16170" xr:uid="{00000000-0005-0000-0000-000023200000}"/>
    <cellStyle name="20% - Accent4 3 3 3 2 2 4" xfId="23143" xr:uid="{00000000-0005-0000-0000-000024200000}"/>
    <cellStyle name="20% - Accent4 3 3 3 2 3" xfId="18736" xr:uid="{00000000-0005-0000-0000-000025200000}"/>
    <cellStyle name="20% - Accent4 3 3 3 2 3 2" xfId="23141" xr:uid="{00000000-0005-0000-0000-000026200000}"/>
    <cellStyle name="20% - Accent4 3 3 3 2 3 2 2" xfId="16750" xr:uid="{00000000-0005-0000-0000-000027200000}"/>
    <cellStyle name="20% - Accent4 3 3 3 2 3 3" xfId="23137" xr:uid="{00000000-0005-0000-0000-000028200000}"/>
    <cellStyle name="20% - Accent4 3 3 3 2 4" xfId="18733" xr:uid="{00000000-0005-0000-0000-000029200000}"/>
    <cellStyle name="20% - Accent4 3 3 3 2 4 2" xfId="31080" xr:uid="{00000000-0005-0000-0000-00002A200000}"/>
    <cellStyle name="20% - Accent4 3 3 3 2 5" xfId="30420" xr:uid="{00000000-0005-0000-0000-00002B200000}"/>
    <cellStyle name="20% - Accent4 3 3 3 3" xfId="33262" xr:uid="{00000000-0005-0000-0000-00002C200000}"/>
    <cellStyle name="20% - Accent4 3 3 3 3 2" xfId="21828" xr:uid="{00000000-0005-0000-0000-00002D200000}"/>
    <cellStyle name="20% - Accent4 3 3 3 3 2 2" xfId="23132" xr:uid="{00000000-0005-0000-0000-00002E200000}"/>
    <cellStyle name="20% - Accent4 3 3 3 3 2 2 2" xfId="16101" xr:uid="{00000000-0005-0000-0000-00002F200000}"/>
    <cellStyle name="20% - Accent4 3 3 3 3 2 3" xfId="12610" xr:uid="{00000000-0005-0000-0000-000030200000}"/>
    <cellStyle name="20% - Accent4 3 3 3 3 3" xfId="21820" xr:uid="{00000000-0005-0000-0000-000031200000}"/>
    <cellStyle name="20% - Accent4 3 3 3 3 3 2" xfId="23128" xr:uid="{00000000-0005-0000-0000-000032200000}"/>
    <cellStyle name="20% - Accent4 3 3 3 3 4" xfId="23125" xr:uid="{00000000-0005-0000-0000-000033200000}"/>
    <cellStyle name="20% - Accent4 3 3 3 4" xfId="33383" xr:uid="{00000000-0005-0000-0000-000034200000}"/>
    <cellStyle name="20% - Accent4 3 3 3 4 2" xfId="21778" xr:uid="{00000000-0005-0000-0000-000035200000}"/>
    <cellStyle name="20% - Accent4 3 3 3 4 2 2" xfId="23124" xr:uid="{00000000-0005-0000-0000-000036200000}"/>
    <cellStyle name="20% - Accent4 3 3 3 4 3" xfId="23123" xr:uid="{00000000-0005-0000-0000-000037200000}"/>
    <cellStyle name="20% - Accent4 3 3 3 5" xfId="33233" xr:uid="{00000000-0005-0000-0000-000038200000}"/>
    <cellStyle name="20% - Accent4 3 3 3 5 2" xfId="21014" xr:uid="{00000000-0005-0000-0000-000039200000}"/>
    <cellStyle name="20% - Accent4 3 3 3 6" xfId="23122" xr:uid="{00000000-0005-0000-0000-00003A200000}"/>
    <cellStyle name="20% - Accent4 3 3 4" xfId="32425" xr:uid="{00000000-0005-0000-0000-00003B200000}"/>
    <cellStyle name="20% - Accent4 3 3 4 2" xfId="32490" xr:uid="{00000000-0005-0000-0000-00003C200000}"/>
    <cellStyle name="20% - Accent4 3 3 4 2 2" xfId="18600" xr:uid="{00000000-0005-0000-0000-00003D200000}"/>
    <cellStyle name="20% - Accent4 3 3 4 2 2 2" xfId="28024" xr:uid="{00000000-0005-0000-0000-00003E200000}"/>
    <cellStyle name="20% - Accent4 3 3 4 2 2 2 2" xfId="23120" xr:uid="{00000000-0005-0000-0000-00003F200000}"/>
    <cellStyle name="20% - Accent4 3 3 4 2 2 3" xfId="23032" xr:uid="{00000000-0005-0000-0000-000040200000}"/>
    <cellStyle name="20% - Accent4 3 3 4 2 3" xfId="18597" xr:uid="{00000000-0005-0000-0000-000041200000}"/>
    <cellStyle name="20% - Accent4 3 3 4 2 3 2" xfId="23114" xr:uid="{00000000-0005-0000-0000-000042200000}"/>
    <cellStyle name="20% - Accent4 3 3 4 2 4" xfId="23112" xr:uid="{00000000-0005-0000-0000-000043200000}"/>
    <cellStyle name="20% - Accent4 3 3 4 3" xfId="32447" xr:uid="{00000000-0005-0000-0000-000044200000}"/>
    <cellStyle name="20% - Accent4 3 3 4 3 2" xfId="21684" xr:uid="{00000000-0005-0000-0000-000045200000}"/>
    <cellStyle name="20% - Accent4 3 3 4 3 2 2" xfId="23111" xr:uid="{00000000-0005-0000-0000-000046200000}"/>
    <cellStyle name="20% - Accent4 3 3 4 3 3" xfId="23110" xr:uid="{00000000-0005-0000-0000-000047200000}"/>
    <cellStyle name="20% - Accent4 3 3 4 4" xfId="33031" xr:uid="{00000000-0005-0000-0000-000048200000}"/>
    <cellStyle name="20% - Accent4 3 3 4 4 2" xfId="14811" xr:uid="{00000000-0005-0000-0000-000049200000}"/>
    <cellStyle name="20% - Accent4 3 3 4 5" xfId="23103" xr:uid="{00000000-0005-0000-0000-00004A200000}"/>
    <cellStyle name="20% - Accent4 3 3 5" xfId="23102" xr:uid="{00000000-0005-0000-0000-00004B200000}"/>
    <cellStyle name="20% - Accent4 3 3 5 2" xfId="24255" xr:uid="{00000000-0005-0000-0000-00004C200000}"/>
    <cellStyle name="20% - Accent4 3 3 5 2 2" xfId="18514" xr:uid="{00000000-0005-0000-0000-00004D200000}"/>
    <cellStyle name="20% - Accent4 3 3 5 2 2 2" xfId="23970" xr:uid="{00000000-0005-0000-0000-00004E200000}"/>
    <cellStyle name="20% - Accent4 3 3 5 2 3" xfId="30221" xr:uid="{00000000-0005-0000-0000-00004F200000}"/>
    <cellStyle name="20% - Accent4 3 3 5 3" xfId="24249" xr:uid="{00000000-0005-0000-0000-000050200000}"/>
    <cellStyle name="20% - Accent4 3 3 5 3 2" xfId="23101" xr:uid="{00000000-0005-0000-0000-000051200000}"/>
    <cellStyle name="20% - Accent4 3 3 5 4" xfId="23096" xr:uid="{00000000-0005-0000-0000-000052200000}"/>
    <cellStyle name="20% - Accent4 3 3 6" xfId="32504" xr:uid="{00000000-0005-0000-0000-000053200000}"/>
    <cellStyle name="20% - Accent4 3 3 6 2" xfId="24244" xr:uid="{00000000-0005-0000-0000-000054200000}"/>
    <cellStyle name="20% - Accent4 3 3 6 2 2" xfId="23091" xr:uid="{00000000-0005-0000-0000-000055200000}"/>
    <cellStyle name="20% - Accent4 3 3 6 3" xfId="23090" xr:uid="{00000000-0005-0000-0000-000056200000}"/>
    <cellStyle name="20% - Accent4 3 3 7" xfId="23088" xr:uid="{00000000-0005-0000-0000-000057200000}"/>
    <cellStyle name="20% - Accent4 3 3 7 2" xfId="23085" xr:uid="{00000000-0005-0000-0000-000058200000}"/>
    <cellStyle name="20% - Accent4 3 3 8" xfId="23281" xr:uid="{00000000-0005-0000-0000-000059200000}"/>
    <cellStyle name="20% - Accent4 3 3 9" xfId="34555" xr:uid="{00000000-0005-0000-0000-00005A200000}"/>
    <cellStyle name="20% - Accent4 3 4" xfId="23082" xr:uid="{00000000-0005-0000-0000-00005B200000}"/>
    <cellStyle name="20% - Accent4 3 4 2" xfId="20008" xr:uid="{00000000-0005-0000-0000-00005C200000}"/>
    <cellStyle name="20% - Accent4 3 4 2 2" xfId="23081" xr:uid="{00000000-0005-0000-0000-00005D200000}"/>
    <cellStyle name="20% - Accent4 3 4 2 2 2" xfId="23080" xr:uid="{00000000-0005-0000-0000-00005E200000}"/>
    <cellStyle name="20% - Accent4 3 4 2 2 2 2" xfId="30985" xr:uid="{00000000-0005-0000-0000-00005F200000}"/>
    <cellStyle name="20% - Accent4 3 4 2 2 2 2 2" xfId="23076" xr:uid="{00000000-0005-0000-0000-000060200000}"/>
    <cellStyle name="20% - Accent4 3 4 2 2 2 2 2 2" xfId="30648" xr:uid="{00000000-0005-0000-0000-000061200000}"/>
    <cellStyle name="20% - Accent4 3 4 2 2 2 2 3" xfId="23073" xr:uid="{00000000-0005-0000-0000-000062200000}"/>
    <cellStyle name="20% - Accent4 3 4 2 2 2 3" xfId="22830" xr:uid="{00000000-0005-0000-0000-000063200000}"/>
    <cellStyle name="20% - Accent4 3 4 2 2 2 3 2" xfId="23070" xr:uid="{00000000-0005-0000-0000-000064200000}"/>
    <cellStyle name="20% - Accent4 3 4 2 2 2 4" xfId="19741" xr:uid="{00000000-0005-0000-0000-000065200000}"/>
    <cellStyle name="20% - Accent4 3 4 2 2 3" xfId="21127" xr:uid="{00000000-0005-0000-0000-000066200000}"/>
    <cellStyle name="20% - Accent4 3 4 2 2 3 2" xfId="29807" xr:uid="{00000000-0005-0000-0000-000067200000}"/>
    <cellStyle name="20% - Accent4 3 4 2 2 3 2 2" xfId="23067" xr:uid="{00000000-0005-0000-0000-000068200000}"/>
    <cellStyle name="20% - Accent4 3 4 2 2 3 3" xfId="26402" xr:uid="{00000000-0005-0000-0000-000069200000}"/>
    <cellStyle name="20% - Accent4 3 4 2 2 4" xfId="23065" xr:uid="{00000000-0005-0000-0000-00006A200000}"/>
    <cellStyle name="20% - Accent4 3 4 2 2 4 2" xfId="23061" xr:uid="{00000000-0005-0000-0000-00006B200000}"/>
    <cellStyle name="20% - Accent4 3 4 2 2 5" xfId="29942" xr:uid="{00000000-0005-0000-0000-00006C200000}"/>
    <cellStyle name="20% - Accent4 3 4 2 3" xfId="18472" xr:uid="{00000000-0005-0000-0000-00006D200000}"/>
    <cellStyle name="20% - Accent4 3 4 2 3 2" xfId="31239" xr:uid="{00000000-0005-0000-0000-00006E200000}"/>
    <cellStyle name="20% - Accent4 3 4 2 3 2 2" xfId="23053" xr:uid="{00000000-0005-0000-0000-00006F200000}"/>
    <cellStyle name="20% - Accent4 3 4 2 3 2 2 2" xfId="18564" xr:uid="{00000000-0005-0000-0000-000070200000}"/>
    <cellStyle name="20% - Accent4 3 4 2 3 2 3" xfId="23050" xr:uid="{00000000-0005-0000-0000-000071200000}"/>
    <cellStyle name="20% - Accent4 3 4 2 3 3" xfId="32035" xr:uid="{00000000-0005-0000-0000-000072200000}"/>
    <cellStyle name="20% - Accent4 3 4 2 3 3 2" xfId="23046" xr:uid="{00000000-0005-0000-0000-000073200000}"/>
    <cellStyle name="20% - Accent4 3 4 2 3 4" xfId="23042" xr:uid="{00000000-0005-0000-0000-000074200000}"/>
    <cellStyle name="20% - Accent4 3 4 2 4" xfId="24532" xr:uid="{00000000-0005-0000-0000-000075200000}"/>
    <cellStyle name="20% - Accent4 3 4 2 4 2" xfId="31514" xr:uid="{00000000-0005-0000-0000-000076200000}"/>
    <cellStyle name="20% - Accent4 3 4 2 4 2 2" xfId="23040" xr:uid="{00000000-0005-0000-0000-000077200000}"/>
    <cellStyle name="20% - Accent4 3 4 2 4 3" xfId="17747" xr:uid="{00000000-0005-0000-0000-000078200000}"/>
    <cellStyle name="20% - Accent4 3 4 2 5" xfId="31510" xr:uid="{00000000-0005-0000-0000-000079200000}"/>
    <cellStyle name="20% - Accent4 3 4 2 5 2" xfId="23037" xr:uid="{00000000-0005-0000-0000-00007A200000}"/>
    <cellStyle name="20% - Accent4 3 4 2 6" xfId="19883" xr:uid="{00000000-0005-0000-0000-00007B200000}"/>
    <cellStyle name="20% - Accent4 3 4 3" xfId="26021" xr:uid="{00000000-0005-0000-0000-00007C200000}"/>
    <cellStyle name="20% - Accent4 3 4 3 2" xfId="23036" xr:uid="{00000000-0005-0000-0000-00007D200000}"/>
    <cellStyle name="20% - Accent4 3 4 3 2 2" xfId="23035" xr:uid="{00000000-0005-0000-0000-00007E200000}"/>
    <cellStyle name="20% - Accent4 3 4 3 2 2 2" xfId="23028" xr:uid="{00000000-0005-0000-0000-00007F200000}"/>
    <cellStyle name="20% - Accent4 3 4 3 2 2 2 2" xfId="15873" xr:uid="{00000000-0005-0000-0000-000080200000}"/>
    <cellStyle name="20% - Accent4 3 4 3 2 2 3" xfId="22741" xr:uid="{00000000-0005-0000-0000-000081200000}"/>
    <cellStyle name="20% - Accent4 3 4 3 2 3" xfId="16917" xr:uid="{00000000-0005-0000-0000-000082200000}"/>
    <cellStyle name="20% - Accent4 3 4 3 2 3 2" xfId="23017" xr:uid="{00000000-0005-0000-0000-000083200000}"/>
    <cellStyle name="20% - Accent4 3 4 3 2 4" xfId="23447" xr:uid="{00000000-0005-0000-0000-000084200000}"/>
    <cellStyle name="20% - Accent4 3 4 3 3" xfId="18465" xr:uid="{00000000-0005-0000-0000-000085200000}"/>
    <cellStyle name="20% - Accent4 3 4 3 3 2" xfId="23407" xr:uid="{00000000-0005-0000-0000-000086200000}"/>
    <cellStyle name="20% - Accent4 3 4 3 3 2 2" xfId="23013" xr:uid="{00000000-0005-0000-0000-000087200000}"/>
    <cellStyle name="20% - Accent4 3 4 3 3 3" xfId="7705" xr:uid="{00000000-0005-0000-0000-000088200000}"/>
    <cellStyle name="20% - Accent4 3 4 3 4" xfId="33201" xr:uid="{00000000-0005-0000-0000-000089200000}"/>
    <cellStyle name="20% - Accent4 3 4 3 4 2" xfId="23010" xr:uid="{00000000-0005-0000-0000-00008A200000}"/>
    <cellStyle name="20% - Accent4 3 4 3 5" xfId="23007" xr:uid="{00000000-0005-0000-0000-00008B200000}"/>
    <cellStyle name="20% - Accent4 3 4 4" xfId="11498" xr:uid="{00000000-0005-0000-0000-00008C200000}"/>
    <cellStyle name="20% - Accent4 3 4 4 2" xfId="21837" xr:uid="{00000000-0005-0000-0000-00008D200000}"/>
    <cellStyle name="20% - Accent4 3 4 4 2 2" xfId="23389" xr:uid="{00000000-0005-0000-0000-00008E200000}"/>
    <cellStyle name="20% - Accent4 3 4 4 2 2 2" xfId="22227" xr:uid="{00000000-0005-0000-0000-00008F200000}"/>
    <cellStyle name="20% - Accent4 3 4 4 2 3" xfId="22752" xr:uid="{00000000-0005-0000-0000-000090200000}"/>
    <cellStyle name="20% - Accent4 3 4 4 3" xfId="21832" xr:uid="{00000000-0005-0000-0000-000091200000}"/>
    <cellStyle name="20% - Accent4 3 4 4 3 2" xfId="22997" xr:uid="{00000000-0005-0000-0000-000092200000}"/>
    <cellStyle name="20% - Accent4 3 4 4 4" xfId="22992" xr:uid="{00000000-0005-0000-0000-000093200000}"/>
    <cellStyle name="20% - Accent4 3 4 5" xfId="22987" xr:uid="{00000000-0005-0000-0000-000094200000}"/>
    <cellStyle name="20% - Accent4 3 4 5 2" xfId="23840" xr:uid="{00000000-0005-0000-0000-000095200000}"/>
    <cellStyle name="20% - Accent4 3 4 5 2 2" xfId="22985" xr:uid="{00000000-0005-0000-0000-000096200000}"/>
    <cellStyle name="20% - Accent4 3 4 5 3" xfId="22979" xr:uid="{00000000-0005-0000-0000-000097200000}"/>
    <cellStyle name="20% - Accent4 3 4 6" xfId="16806" xr:uid="{00000000-0005-0000-0000-000098200000}"/>
    <cellStyle name="20% - Accent4 3 4 6 2" xfId="22975" xr:uid="{00000000-0005-0000-0000-000099200000}"/>
    <cellStyle name="20% - Accent4 3 4 7" xfId="6679" xr:uid="{00000000-0005-0000-0000-00009A200000}"/>
    <cellStyle name="20% - Accent4 3 4 8" xfId="34777" xr:uid="{00000000-0005-0000-0000-00009B200000}"/>
    <cellStyle name="20% - Accent4 3 5" xfId="22968" xr:uid="{00000000-0005-0000-0000-00009C200000}"/>
    <cellStyle name="20% - Accent4 3 5 2" xfId="8944" xr:uid="{00000000-0005-0000-0000-00009D200000}"/>
    <cellStyle name="20% - Accent4 3 5 2 2" xfId="12159" xr:uid="{00000000-0005-0000-0000-00009E200000}"/>
    <cellStyle name="20% - Accent4 3 5 2 2 2" xfId="26921" xr:uid="{00000000-0005-0000-0000-00009F200000}"/>
    <cellStyle name="20% - Accent4 3 5 2 2 2 2" xfId="25697" xr:uid="{00000000-0005-0000-0000-0000A0200000}"/>
    <cellStyle name="20% - Accent4 3 5 2 2 2 2 2" xfId="8418" xr:uid="{00000000-0005-0000-0000-0000A1200000}"/>
    <cellStyle name="20% - Accent4 3 5 2 2 2 3" xfId="25692" xr:uid="{00000000-0005-0000-0000-0000A2200000}"/>
    <cellStyle name="20% - Accent4 3 5 2 2 3" xfId="31618" xr:uid="{00000000-0005-0000-0000-0000A3200000}"/>
    <cellStyle name="20% - Accent4 3 5 2 2 3 2" xfId="25687" xr:uid="{00000000-0005-0000-0000-0000A4200000}"/>
    <cellStyle name="20% - Accent4 3 5 2 2 4" xfId="25683" xr:uid="{00000000-0005-0000-0000-0000A5200000}"/>
    <cellStyle name="20% - Accent4 3 5 2 3" xfId="12155" xr:uid="{00000000-0005-0000-0000-0000A6200000}"/>
    <cellStyle name="20% - Accent4 3 5 2 3 2" xfId="25675" xr:uid="{00000000-0005-0000-0000-0000A7200000}"/>
    <cellStyle name="20% - Accent4 3 5 2 3 2 2" xfId="25671" xr:uid="{00000000-0005-0000-0000-0000A8200000}"/>
    <cellStyle name="20% - Accent4 3 5 2 3 3" xfId="25669" xr:uid="{00000000-0005-0000-0000-0000A9200000}"/>
    <cellStyle name="20% - Accent4 3 5 2 4" xfId="31423" xr:uid="{00000000-0005-0000-0000-0000AA200000}"/>
    <cellStyle name="20% - Accent4 3 5 2 4 2" xfId="25660" xr:uid="{00000000-0005-0000-0000-0000AB200000}"/>
    <cellStyle name="20% - Accent4 3 5 2 5" xfId="33577" xr:uid="{00000000-0005-0000-0000-0000AC200000}"/>
    <cellStyle name="20% - Accent4 3 5 3" xfId="8941" xr:uid="{00000000-0005-0000-0000-0000AD200000}"/>
    <cellStyle name="20% - Accent4 3 5 3 2" xfId="12151" xr:uid="{00000000-0005-0000-0000-0000AE200000}"/>
    <cellStyle name="20% - Accent4 3 5 3 2 2" xfId="25654" xr:uid="{00000000-0005-0000-0000-0000AF200000}"/>
    <cellStyle name="20% - Accent4 3 5 3 2 2 2" xfId="25647" xr:uid="{00000000-0005-0000-0000-0000B0200000}"/>
    <cellStyle name="20% - Accent4 3 5 3 2 3" xfId="25643" xr:uid="{00000000-0005-0000-0000-0000B1200000}"/>
    <cellStyle name="20% - Accent4 3 5 3 3" xfId="20347" xr:uid="{00000000-0005-0000-0000-0000B2200000}"/>
    <cellStyle name="20% - Accent4 3 5 3 3 2" xfId="25628" xr:uid="{00000000-0005-0000-0000-0000B3200000}"/>
    <cellStyle name="20% - Accent4 3 5 3 4" xfId="17912" xr:uid="{00000000-0005-0000-0000-0000B4200000}"/>
    <cellStyle name="20% - Accent4 3 5 4" xfId="22961" xr:uid="{00000000-0005-0000-0000-0000B5200000}"/>
    <cellStyle name="20% - Accent4 3 5 4 2" xfId="16010" xr:uid="{00000000-0005-0000-0000-0000B6200000}"/>
    <cellStyle name="20% - Accent4 3 5 4 2 2" xfId="28649" xr:uid="{00000000-0005-0000-0000-0000B7200000}"/>
    <cellStyle name="20% - Accent4 3 5 4 3" xfId="18830" xr:uid="{00000000-0005-0000-0000-0000B8200000}"/>
    <cellStyle name="20% - Accent4 3 5 5" xfId="22960" xr:uid="{00000000-0005-0000-0000-0000B9200000}"/>
    <cellStyle name="20% - Accent4 3 5 5 2" xfId="18825" xr:uid="{00000000-0005-0000-0000-0000BA200000}"/>
    <cellStyle name="20% - Accent4 3 5 6" xfId="6653" xr:uid="{00000000-0005-0000-0000-0000BB200000}"/>
    <cellStyle name="20% - Accent4 3 5 7" xfId="34970" xr:uid="{00000000-0005-0000-0000-0000BC200000}"/>
    <cellStyle name="20% - Accent4 3 6" xfId="22950" xr:uid="{00000000-0005-0000-0000-0000BD200000}"/>
    <cellStyle name="20% - Accent4 3 6 2" xfId="8937" xr:uid="{00000000-0005-0000-0000-0000BE200000}"/>
    <cellStyle name="20% - Accent4 3 6 2 2" xfId="10360" xr:uid="{00000000-0005-0000-0000-0000BF200000}"/>
    <cellStyle name="20% - Accent4 3 6 2 2 2" xfId="25556" xr:uid="{00000000-0005-0000-0000-0000C0200000}"/>
    <cellStyle name="20% - Accent4 3 6 2 2 2 2" xfId="25549" xr:uid="{00000000-0005-0000-0000-0000C1200000}"/>
    <cellStyle name="20% - Accent4 3 6 2 2 3" xfId="25547" xr:uid="{00000000-0005-0000-0000-0000C2200000}"/>
    <cellStyle name="20% - Accent4 3 6 2 3" xfId="31381" xr:uid="{00000000-0005-0000-0000-0000C3200000}"/>
    <cellStyle name="20% - Accent4 3 6 2 3 2" xfId="25530" xr:uid="{00000000-0005-0000-0000-0000C4200000}"/>
    <cellStyle name="20% - Accent4 3 6 2 4" xfId="27582" xr:uid="{00000000-0005-0000-0000-0000C5200000}"/>
    <cellStyle name="20% - Accent4 3 6 3" xfId="29720" xr:uid="{00000000-0005-0000-0000-0000C6200000}"/>
    <cellStyle name="20% - Accent4 3 6 3 2" xfId="22944" xr:uid="{00000000-0005-0000-0000-0000C7200000}"/>
    <cellStyle name="20% - Accent4 3 6 3 2 2" xfId="27417" xr:uid="{00000000-0005-0000-0000-0000C8200000}"/>
    <cellStyle name="20% - Accent4 3 6 3 3" xfId="22940" xr:uid="{00000000-0005-0000-0000-0000C9200000}"/>
    <cellStyle name="20% - Accent4 3 6 4" xfId="29716" xr:uid="{00000000-0005-0000-0000-0000CA200000}"/>
    <cellStyle name="20% - Accent4 3 6 4 2" xfId="22938" xr:uid="{00000000-0005-0000-0000-0000CB200000}"/>
    <cellStyle name="20% - Accent4 3 6 5" xfId="29711" xr:uid="{00000000-0005-0000-0000-0000CC200000}"/>
    <cellStyle name="20% - Accent4 3 6 6" xfId="35175" xr:uid="{00000000-0005-0000-0000-0000CD200000}"/>
    <cellStyle name="20% - Accent4 3 7" xfId="22935" xr:uid="{00000000-0005-0000-0000-0000CE200000}"/>
    <cellStyle name="20% - Accent4 3 7 2" xfId="22931" xr:uid="{00000000-0005-0000-0000-0000CF200000}"/>
    <cellStyle name="20% - Accent4 3 7 2 2" xfId="22927" xr:uid="{00000000-0005-0000-0000-0000D0200000}"/>
    <cellStyle name="20% - Accent4 3 7 2 2 2" xfId="25463" xr:uid="{00000000-0005-0000-0000-0000D1200000}"/>
    <cellStyle name="20% - Accent4 3 7 2 3" xfId="22924" xr:uid="{00000000-0005-0000-0000-0000D2200000}"/>
    <cellStyle name="20% - Accent4 3 7 3" xfId="29702" xr:uid="{00000000-0005-0000-0000-0000D3200000}"/>
    <cellStyle name="20% - Accent4 3 7 3 2" xfId="27944" xr:uid="{00000000-0005-0000-0000-0000D4200000}"/>
    <cellStyle name="20% - Accent4 3 7 4" xfId="29694" xr:uid="{00000000-0005-0000-0000-0000D5200000}"/>
    <cellStyle name="20% - Accent4 3 7 5" xfId="35404" xr:uid="{00000000-0005-0000-0000-0000D6200000}"/>
    <cellStyle name="20% - Accent4 3 8" xfId="22922" xr:uid="{00000000-0005-0000-0000-0000D7200000}"/>
    <cellStyle name="20% - Accent4 3 8 2" xfId="22917" xr:uid="{00000000-0005-0000-0000-0000D8200000}"/>
    <cellStyle name="20% - Accent4 3 8 2 2" xfId="22913" xr:uid="{00000000-0005-0000-0000-0000D9200000}"/>
    <cellStyle name="20% - Accent4 3 8 3" xfId="29684" xr:uid="{00000000-0005-0000-0000-0000DA200000}"/>
    <cellStyle name="20% - Accent4 3 8 4" xfId="36276" xr:uid="{00000000-0005-0000-0000-0000DB200000}"/>
    <cellStyle name="20% - Accent4 3 9" xfId="27619" xr:uid="{00000000-0005-0000-0000-0000DC200000}"/>
    <cellStyle name="20% - Accent4 3 9 2" xfId="25055" xr:uid="{00000000-0005-0000-0000-0000DD200000}"/>
    <cellStyle name="20% - Accent4 3 9 3" xfId="36562" xr:uid="{00000000-0005-0000-0000-0000DE200000}"/>
    <cellStyle name="20% - Accent4 30" xfId="35901" xr:uid="{00000000-0005-0000-0000-0000DF200000}"/>
    <cellStyle name="20% - Accent4 30 2" xfId="37073" xr:uid="{00000000-0005-0000-0000-0000E0200000}"/>
    <cellStyle name="20% - Accent4 30 3" xfId="37968" xr:uid="{00000000-0005-0000-0000-0000E1200000}"/>
    <cellStyle name="20% - Accent4 31" xfId="35921" xr:uid="{00000000-0005-0000-0000-0000E2200000}"/>
    <cellStyle name="20% - Accent4 31 2" xfId="37092" xr:uid="{00000000-0005-0000-0000-0000E3200000}"/>
    <cellStyle name="20% - Accent4 31 3" xfId="37988" xr:uid="{00000000-0005-0000-0000-0000E4200000}"/>
    <cellStyle name="20% - Accent4 32" xfId="35941" xr:uid="{00000000-0005-0000-0000-0000E5200000}"/>
    <cellStyle name="20% - Accent4 32 2" xfId="37111" xr:uid="{00000000-0005-0000-0000-0000E6200000}"/>
    <cellStyle name="20% - Accent4 32 3" xfId="38008" xr:uid="{00000000-0005-0000-0000-0000E7200000}"/>
    <cellStyle name="20% - Accent4 33" xfId="35961" xr:uid="{00000000-0005-0000-0000-0000E8200000}"/>
    <cellStyle name="20% - Accent4 33 2" xfId="37130" xr:uid="{00000000-0005-0000-0000-0000E9200000}"/>
    <cellStyle name="20% - Accent4 33 3" xfId="38028" xr:uid="{00000000-0005-0000-0000-0000EA200000}"/>
    <cellStyle name="20% - Accent4 34" xfId="35981" xr:uid="{00000000-0005-0000-0000-0000EB200000}"/>
    <cellStyle name="20% - Accent4 34 2" xfId="37150" xr:uid="{00000000-0005-0000-0000-0000EC200000}"/>
    <cellStyle name="20% - Accent4 34 3" xfId="38048" xr:uid="{00000000-0005-0000-0000-0000ED200000}"/>
    <cellStyle name="20% - Accent4 35" xfId="36001" xr:uid="{00000000-0005-0000-0000-0000EE200000}"/>
    <cellStyle name="20% - Accent4 35 2" xfId="37170" xr:uid="{00000000-0005-0000-0000-0000EF200000}"/>
    <cellStyle name="20% - Accent4 35 3" xfId="38068" xr:uid="{00000000-0005-0000-0000-0000F0200000}"/>
    <cellStyle name="20% - Accent4 36" xfId="36021" xr:uid="{00000000-0005-0000-0000-0000F1200000}"/>
    <cellStyle name="20% - Accent4 36 2" xfId="37190" xr:uid="{00000000-0005-0000-0000-0000F2200000}"/>
    <cellStyle name="20% - Accent4 36 3" xfId="38088" xr:uid="{00000000-0005-0000-0000-0000F3200000}"/>
    <cellStyle name="20% - Accent4 37" xfId="36041" xr:uid="{00000000-0005-0000-0000-0000F4200000}"/>
    <cellStyle name="20% - Accent4 37 2" xfId="37210" xr:uid="{00000000-0005-0000-0000-0000F5200000}"/>
    <cellStyle name="20% - Accent4 37 3" xfId="38108" xr:uid="{00000000-0005-0000-0000-0000F6200000}"/>
    <cellStyle name="20% - Accent4 38" xfId="36061" xr:uid="{00000000-0005-0000-0000-0000F7200000}"/>
    <cellStyle name="20% - Accent4 38 2" xfId="37230" xr:uid="{00000000-0005-0000-0000-0000F8200000}"/>
    <cellStyle name="20% - Accent4 38 3" xfId="38128" xr:uid="{00000000-0005-0000-0000-0000F9200000}"/>
    <cellStyle name="20% - Accent4 39" xfId="36081" xr:uid="{00000000-0005-0000-0000-0000FA200000}"/>
    <cellStyle name="20% - Accent4 39 2" xfId="37250" xr:uid="{00000000-0005-0000-0000-0000FB200000}"/>
    <cellStyle name="20% - Accent4 39 3" xfId="38148" xr:uid="{00000000-0005-0000-0000-0000FC200000}"/>
    <cellStyle name="20% - Accent4 4" xfId="126" xr:uid="{00000000-0005-0000-0000-0000FD200000}"/>
    <cellStyle name="20% - Accent4 4 10" xfId="34480" xr:uid="{00000000-0005-0000-0000-0000FE200000}"/>
    <cellStyle name="20% - Accent4 4 11" xfId="19236" xr:uid="{00000000-0005-0000-0000-0000FF200000}"/>
    <cellStyle name="20% - Accent4 4 2" xfId="249" xr:uid="{00000000-0005-0000-0000-000000210000}"/>
    <cellStyle name="20% - Accent4 4 2 10" xfId="19234" xr:uid="{00000000-0005-0000-0000-000001210000}"/>
    <cellStyle name="20% - Accent4 4 2 2" xfId="22911" xr:uid="{00000000-0005-0000-0000-000002210000}"/>
    <cellStyle name="20% - Accent4 4 2 2 2" xfId="22910" xr:uid="{00000000-0005-0000-0000-000003210000}"/>
    <cellStyle name="20% - Accent4 4 2 2 2 2" xfId="22904" xr:uid="{00000000-0005-0000-0000-000004210000}"/>
    <cellStyle name="20% - Accent4 4 2 2 2 2 2" xfId="26019" xr:uid="{00000000-0005-0000-0000-000005210000}"/>
    <cellStyle name="20% - Accent4 4 2 2 2 2 2 2" xfId="22903" xr:uid="{00000000-0005-0000-0000-000006210000}"/>
    <cellStyle name="20% - Accent4 4 2 2 2 2 2 2 2" xfId="22902" xr:uid="{00000000-0005-0000-0000-000007210000}"/>
    <cellStyle name="20% - Accent4 4 2 2 2 2 2 2 2 2" xfId="23948" xr:uid="{00000000-0005-0000-0000-000008210000}"/>
    <cellStyle name="20% - Accent4 4 2 2 2 2 2 2 3" xfId="30607" xr:uid="{00000000-0005-0000-0000-000009210000}"/>
    <cellStyle name="20% - Accent4 4 2 2 2 2 2 3" xfId="22899" xr:uid="{00000000-0005-0000-0000-00000A210000}"/>
    <cellStyle name="20% - Accent4 4 2 2 2 2 2 3 2" xfId="22898" xr:uid="{00000000-0005-0000-0000-00000B210000}"/>
    <cellStyle name="20% - Accent4 4 2 2 2 2 2 4" xfId="22897" xr:uid="{00000000-0005-0000-0000-00000C210000}"/>
    <cellStyle name="20% - Accent4 4 2 2 2 2 3" xfId="21916" xr:uid="{00000000-0005-0000-0000-00000D210000}"/>
    <cellStyle name="20% - Accent4 4 2 2 2 2 3 2" xfId="22895" xr:uid="{00000000-0005-0000-0000-00000E210000}"/>
    <cellStyle name="20% - Accent4 4 2 2 2 2 3 2 2" xfId="22894" xr:uid="{00000000-0005-0000-0000-00000F210000}"/>
    <cellStyle name="20% - Accent4 4 2 2 2 2 3 3" xfId="22892" xr:uid="{00000000-0005-0000-0000-000010210000}"/>
    <cellStyle name="20% - Accent4 4 2 2 2 2 4" xfId="20648" xr:uid="{00000000-0005-0000-0000-000011210000}"/>
    <cellStyle name="20% - Accent4 4 2 2 2 2 4 2" xfId="22888" xr:uid="{00000000-0005-0000-0000-000012210000}"/>
    <cellStyle name="20% - Accent4 4 2 2 2 2 5" xfId="21619" xr:uid="{00000000-0005-0000-0000-000013210000}"/>
    <cellStyle name="20% - Accent4 4 2 2 2 3" xfId="22885" xr:uid="{00000000-0005-0000-0000-000014210000}"/>
    <cellStyle name="20% - Accent4 4 2 2 2 3 2" xfId="7702" xr:uid="{00000000-0005-0000-0000-000015210000}"/>
    <cellStyle name="20% - Accent4 4 2 2 2 3 2 2" xfId="22884" xr:uid="{00000000-0005-0000-0000-000016210000}"/>
    <cellStyle name="20% - Accent4 4 2 2 2 3 2 2 2" xfId="15478" xr:uid="{00000000-0005-0000-0000-000017210000}"/>
    <cellStyle name="20% - Accent4 4 2 2 2 3 2 3" xfId="22875" xr:uid="{00000000-0005-0000-0000-000018210000}"/>
    <cellStyle name="20% - Accent4 4 2 2 2 3 3" xfId="18298" xr:uid="{00000000-0005-0000-0000-000019210000}"/>
    <cellStyle name="20% - Accent4 4 2 2 2 3 3 2" xfId="28188" xr:uid="{00000000-0005-0000-0000-00001A210000}"/>
    <cellStyle name="20% - Accent4 4 2 2 2 3 4" xfId="18293" xr:uid="{00000000-0005-0000-0000-00001B210000}"/>
    <cellStyle name="20% - Accent4 4 2 2 2 4" xfId="22873" xr:uid="{00000000-0005-0000-0000-00001C210000}"/>
    <cellStyle name="20% - Accent4 4 2 2 2 4 2" xfId="22871" xr:uid="{00000000-0005-0000-0000-00001D210000}"/>
    <cellStyle name="20% - Accent4 4 2 2 2 4 2 2" xfId="22869" xr:uid="{00000000-0005-0000-0000-00001E210000}"/>
    <cellStyle name="20% - Accent4 4 2 2 2 4 3" xfId="23109" xr:uid="{00000000-0005-0000-0000-00001F210000}"/>
    <cellStyle name="20% - Accent4 4 2 2 2 5" xfId="22867" xr:uid="{00000000-0005-0000-0000-000020210000}"/>
    <cellStyle name="20% - Accent4 4 2 2 2 5 2" xfId="31226" xr:uid="{00000000-0005-0000-0000-000021210000}"/>
    <cellStyle name="20% - Accent4 4 2 2 2 6" xfId="26624" xr:uid="{00000000-0005-0000-0000-000022210000}"/>
    <cellStyle name="20% - Accent4 4 2 2 3" xfId="28009" xr:uid="{00000000-0005-0000-0000-000023210000}"/>
    <cellStyle name="20% - Accent4 4 2 2 3 2" xfId="26556" xr:uid="{00000000-0005-0000-0000-000024210000}"/>
    <cellStyle name="20% - Accent4 4 2 2 3 2 2" xfId="22865" xr:uid="{00000000-0005-0000-0000-000025210000}"/>
    <cellStyle name="20% - Accent4 4 2 2 3 2 2 2" xfId="19891" xr:uid="{00000000-0005-0000-0000-000026210000}"/>
    <cellStyle name="20% - Accent4 4 2 2 3 2 2 2 2" xfId="22861" xr:uid="{00000000-0005-0000-0000-000027210000}"/>
    <cellStyle name="20% - Accent4 4 2 2 3 2 2 3" xfId="19874" xr:uid="{00000000-0005-0000-0000-000028210000}"/>
    <cellStyle name="20% - Accent4 4 2 2 3 2 3" xfId="21716" xr:uid="{00000000-0005-0000-0000-000029210000}"/>
    <cellStyle name="20% - Accent4 4 2 2 3 2 3 2" xfId="19840" xr:uid="{00000000-0005-0000-0000-00002A210000}"/>
    <cellStyle name="20% - Accent4 4 2 2 3 2 4" xfId="20640" xr:uid="{00000000-0005-0000-0000-00002B210000}"/>
    <cellStyle name="20% - Accent4 4 2 2 3 3" xfId="25801" xr:uid="{00000000-0005-0000-0000-00002C210000}"/>
    <cellStyle name="20% - Accent4 4 2 2 3 3 2" xfId="22860" xr:uid="{00000000-0005-0000-0000-00002D210000}"/>
    <cellStyle name="20% - Accent4 4 2 2 3 3 2 2" xfId="21947" xr:uid="{00000000-0005-0000-0000-00002E210000}"/>
    <cellStyle name="20% - Accent4 4 2 2 3 3 3" xfId="23099" xr:uid="{00000000-0005-0000-0000-00002F210000}"/>
    <cellStyle name="20% - Accent4 4 2 2 3 4" xfId="22624" xr:uid="{00000000-0005-0000-0000-000030210000}"/>
    <cellStyle name="20% - Accent4 4 2 2 3 4 2" xfId="22857" xr:uid="{00000000-0005-0000-0000-000031210000}"/>
    <cellStyle name="20% - Accent4 4 2 2 3 5" xfId="22855" xr:uid="{00000000-0005-0000-0000-000032210000}"/>
    <cellStyle name="20% - Accent4 4 2 2 4" xfId="33168" xr:uid="{00000000-0005-0000-0000-000033210000}"/>
    <cellStyle name="20% - Accent4 4 2 2 4 2" xfId="14252" xr:uid="{00000000-0005-0000-0000-000034210000}"/>
    <cellStyle name="20% - Accent4 4 2 2 4 2 2" xfId="12790" xr:uid="{00000000-0005-0000-0000-000035210000}"/>
    <cellStyle name="20% - Accent4 4 2 2 4 2 2 2" xfId="13606" xr:uid="{00000000-0005-0000-0000-000036210000}"/>
    <cellStyle name="20% - Accent4 4 2 2 4 2 3" xfId="21615" xr:uid="{00000000-0005-0000-0000-000037210000}"/>
    <cellStyle name="20% - Accent4 4 2 2 4 3" xfId="12786" xr:uid="{00000000-0005-0000-0000-000038210000}"/>
    <cellStyle name="20% - Accent4 4 2 2 4 3 2" xfId="22840" xr:uid="{00000000-0005-0000-0000-000039210000}"/>
    <cellStyle name="20% - Accent4 4 2 2 4 4" xfId="22626" xr:uid="{00000000-0005-0000-0000-00003A210000}"/>
    <cellStyle name="20% - Accent4 4 2 2 5" xfId="27807" xr:uid="{00000000-0005-0000-0000-00003B210000}"/>
    <cellStyle name="20% - Accent4 4 2 2 5 2" xfId="12780" xr:uid="{00000000-0005-0000-0000-00003C210000}"/>
    <cellStyle name="20% - Accent4 4 2 2 5 2 2" xfId="22838" xr:uid="{00000000-0005-0000-0000-00003D210000}"/>
    <cellStyle name="20% - Accent4 4 2 2 5 3" xfId="17677" xr:uid="{00000000-0005-0000-0000-00003E210000}"/>
    <cellStyle name="20% - Accent4 4 2 2 6" xfId="27796" xr:uid="{00000000-0005-0000-0000-00003F210000}"/>
    <cellStyle name="20% - Accent4 4 2 2 6 2" xfId="17664" xr:uid="{00000000-0005-0000-0000-000040210000}"/>
    <cellStyle name="20% - Accent4 4 2 2 7" xfId="22837" xr:uid="{00000000-0005-0000-0000-000041210000}"/>
    <cellStyle name="20% - Accent4 4 2 3" xfId="22835" xr:uid="{00000000-0005-0000-0000-000042210000}"/>
    <cellStyle name="20% - Accent4 4 2 3 2" xfId="22832" xr:uid="{00000000-0005-0000-0000-000043210000}"/>
    <cellStyle name="20% - Accent4 4 2 3 2 2" xfId="22831" xr:uid="{00000000-0005-0000-0000-000044210000}"/>
    <cellStyle name="20% - Accent4 4 2 3 2 2 2" xfId="22828" xr:uid="{00000000-0005-0000-0000-000045210000}"/>
    <cellStyle name="20% - Accent4 4 2 3 2 2 2 2" xfId="14785" xr:uid="{00000000-0005-0000-0000-000046210000}"/>
    <cellStyle name="20% - Accent4 4 2 3 2 2 2 2 2" xfId="27737" xr:uid="{00000000-0005-0000-0000-000047210000}"/>
    <cellStyle name="20% - Accent4 4 2 3 2 2 2 3" xfId="14777" xr:uid="{00000000-0005-0000-0000-000048210000}"/>
    <cellStyle name="20% - Accent4 4 2 3 2 2 3" xfId="30481" xr:uid="{00000000-0005-0000-0000-000049210000}"/>
    <cellStyle name="20% - Accent4 4 2 3 2 2 3 2" xfId="14763" xr:uid="{00000000-0005-0000-0000-00004A210000}"/>
    <cellStyle name="20% - Accent4 4 2 3 2 2 4" xfId="23001" xr:uid="{00000000-0005-0000-0000-00004B210000}"/>
    <cellStyle name="20% - Accent4 4 2 3 2 3" xfId="22826" xr:uid="{00000000-0005-0000-0000-00004C210000}"/>
    <cellStyle name="20% - Accent4 4 2 3 2 3 2" xfId="22821" xr:uid="{00000000-0005-0000-0000-00004D210000}"/>
    <cellStyle name="20% - Accent4 4 2 3 2 3 2 2" xfId="14746" xr:uid="{00000000-0005-0000-0000-00004E210000}"/>
    <cellStyle name="20% - Accent4 4 2 3 2 3 3" xfId="18151" xr:uid="{00000000-0005-0000-0000-00004F210000}"/>
    <cellStyle name="20% - Accent4 4 2 3 2 4" xfId="22815" xr:uid="{00000000-0005-0000-0000-000050210000}"/>
    <cellStyle name="20% - Accent4 4 2 3 2 4 2" xfId="22808" xr:uid="{00000000-0005-0000-0000-000051210000}"/>
    <cellStyle name="20% - Accent4 4 2 3 2 5" xfId="22800" xr:uid="{00000000-0005-0000-0000-000052210000}"/>
    <cellStyle name="20% - Accent4 4 2 3 3" xfId="33517" xr:uid="{00000000-0005-0000-0000-000053210000}"/>
    <cellStyle name="20% - Accent4 4 2 3 3 2" xfId="5397" xr:uid="{00000000-0005-0000-0000-000054210000}"/>
    <cellStyle name="20% - Accent4 4 2 3 3 2 2" xfId="22795" xr:uid="{00000000-0005-0000-0000-000055210000}"/>
    <cellStyle name="20% - Accent4 4 2 3 3 2 2 2" xfId="19364" xr:uid="{00000000-0005-0000-0000-000056210000}"/>
    <cellStyle name="20% - Accent4 4 2 3 3 2 3" xfId="22981" xr:uid="{00000000-0005-0000-0000-000057210000}"/>
    <cellStyle name="20% - Accent4 4 2 3 3 3" xfId="24328" xr:uid="{00000000-0005-0000-0000-000058210000}"/>
    <cellStyle name="20% - Accent4 4 2 3 3 3 2" xfId="22792" xr:uid="{00000000-0005-0000-0000-000059210000}"/>
    <cellStyle name="20% - Accent4 4 2 3 3 4" xfId="22784" xr:uid="{00000000-0005-0000-0000-00005A210000}"/>
    <cellStyle name="20% - Accent4 4 2 3 4" xfId="33474" xr:uid="{00000000-0005-0000-0000-00005B210000}"/>
    <cellStyle name="20% - Accent4 4 2 3 4 2" xfId="16149" xr:uid="{00000000-0005-0000-0000-00005C210000}"/>
    <cellStyle name="20% - Accent4 4 2 3 4 2 2" xfId="28421" xr:uid="{00000000-0005-0000-0000-00005D210000}"/>
    <cellStyle name="20% - Accent4 4 2 3 4 3" xfId="22783" xr:uid="{00000000-0005-0000-0000-00005E210000}"/>
    <cellStyle name="20% - Accent4 4 2 3 5" xfId="27784" xr:uid="{00000000-0005-0000-0000-00005F210000}"/>
    <cellStyle name="20% - Accent4 4 2 3 5 2" xfId="20084" xr:uid="{00000000-0005-0000-0000-000060210000}"/>
    <cellStyle name="20% - Accent4 4 2 3 6" xfId="17635" xr:uid="{00000000-0005-0000-0000-000061210000}"/>
    <cellStyle name="20% - Accent4 4 2 4" xfId="19296" xr:uid="{00000000-0005-0000-0000-000062210000}"/>
    <cellStyle name="20% - Accent4 4 2 4 2" xfId="32945" xr:uid="{00000000-0005-0000-0000-000063210000}"/>
    <cellStyle name="20% - Accent4 4 2 4 2 2" xfId="23047" xr:uid="{00000000-0005-0000-0000-000064210000}"/>
    <cellStyle name="20% - Accent4 4 2 4 2 2 2" xfId="10240" xr:uid="{00000000-0005-0000-0000-000065210000}"/>
    <cellStyle name="20% - Accent4 4 2 4 2 2 2 2" xfId="14553" xr:uid="{00000000-0005-0000-0000-000066210000}"/>
    <cellStyle name="20% - Accent4 4 2 4 2 2 3" xfId="28866" xr:uid="{00000000-0005-0000-0000-000067210000}"/>
    <cellStyle name="20% - Accent4 4 2 4 2 3" xfId="23126" xr:uid="{00000000-0005-0000-0000-000068210000}"/>
    <cellStyle name="20% - Accent4 4 2 4 2 3 2" xfId="25614" xr:uid="{00000000-0005-0000-0000-000069210000}"/>
    <cellStyle name="20% - Accent4 4 2 4 2 4" xfId="25612" xr:uid="{00000000-0005-0000-0000-00006A210000}"/>
    <cellStyle name="20% - Accent4 4 2 4 3" xfId="32940" xr:uid="{00000000-0005-0000-0000-00006B210000}"/>
    <cellStyle name="20% - Accent4 4 2 4 3 2" xfId="24259" xr:uid="{00000000-0005-0000-0000-00006C210000}"/>
    <cellStyle name="20% - Accent4 4 2 4 3 2 2" xfId="25604" xr:uid="{00000000-0005-0000-0000-00006D210000}"/>
    <cellStyle name="20% - Accent4 4 2 4 3 3" xfId="25600" xr:uid="{00000000-0005-0000-0000-00006E210000}"/>
    <cellStyle name="20% - Accent4 4 2 4 4" xfId="33096" xr:uid="{00000000-0005-0000-0000-00006F210000}"/>
    <cellStyle name="20% - Accent4 4 2 4 4 2" xfId="27620" xr:uid="{00000000-0005-0000-0000-000070210000}"/>
    <cellStyle name="20% - Accent4 4 2 4 5" xfId="21709" xr:uid="{00000000-0005-0000-0000-000071210000}"/>
    <cellStyle name="20% - Accent4 4 2 5" xfId="22777" xr:uid="{00000000-0005-0000-0000-000072210000}"/>
    <cellStyle name="20% - Accent4 4 2 5 2" xfId="24216" xr:uid="{00000000-0005-0000-0000-000073210000}"/>
    <cellStyle name="20% - Accent4 4 2 5 2 2" xfId="34334" xr:uid="{00000000-0005-0000-0000-000074210000}"/>
    <cellStyle name="20% - Accent4 4 2 5 2 2 2" xfId="30752" xr:uid="{00000000-0005-0000-0000-000075210000}"/>
    <cellStyle name="20% - Accent4 4 2 5 2 3" xfId="25512" xr:uid="{00000000-0005-0000-0000-000076210000}"/>
    <cellStyle name="20% - Accent4 4 2 5 3" xfId="24210" xr:uid="{00000000-0005-0000-0000-000077210000}"/>
    <cellStyle name="20% - Accent4 4 2 5 3 2" xfId="25503" xr:uid="{00000000-0005-0000-0000-000078210000}"/>
    <cellStyle name="20% - Accent4 4 2 5 4" xfId="23158" xr:uid="{00000000-0005-0000-0000-000079210000}"/>
    <cellStyle name="20% - Accent4 4 2 6" xfId="30464" xr:uid="{00000000-0005-0000-0000-00007A210000}"/>
    <cellStyle name="20% - Accent4 4 2 6 2" xfId="24203" xr:uid="{00000000-0005-0000-0000-00007B210000}"/>
    <cellStyle name="20% - Accent4 4 2 6 2 2" xfId="26729" xr:uid="{00000000-0005-0000-0000-00007C210000}"/>
    <cellStyle name="20% - Accent4 4 2 6 3" xfId="8651" xr:uid="{00000000-0005-0000-0000-00007D210000}"/>
    <cellStyle name="20% - Accent4 4 2 7" xfId="7880" xr:uid="{00000000-0005-0000-0000-00007E210000}"/>
    <cellStyle name="20% - Accent4 4 2 7 2" xfId="26693" xr:uid="{00000000-0005-0000-0000-00007F210000}"/>
    <cellStyle name="20% - Accent4 4 2 8" xfId="7874" xr:uid="{00000000-0005-0000-0000-000080210000}"/>
    <cellStyle name="20% - Accent4 4 2 9" xfId="34569" xr:uid="{00000000-0005-0000-0000-000081210000}"/>
    <cellStyle name="20% - Accent4 4 3" xfId="22771" xr:uid="{00000000-0005-0000-0000-000082210000}"/>
    <cellStyle name="20% - Accent4 4 3 2" xfId="29859" xr:uid="{00000000-0005-0000-0000-000083210000}"/>
    <cellStyle name="20% - Accent4 4 3 2 2" xfId="34348" xr:uid="{00000000-0005-0000-0000-000084210000}"/>
    <cellStyle name="20% - Accent4 4 3 2 2 2" xfId="22768" xr:uid="{00000000-0005-0000-0000-000085210000}"/>
    <cellStyle name="20% - Accent4 4 3 2 2 2 2" xfId="22764" xr:uid="{00000000-0005-0000-0000-000086210000}"/>
    <cellStyle name="20% - Accent4 4 3 2 2 2 2 2" xfId="22763" xr:uid="{00000000-0005-0000-0000-000087210000}"/>
    <cellStyle name="20% - Accent4 4 3 2 2 2 2 2 2" xfId="22762" xr:uid="{00000000-0005-0000-0000-000088210000}"/>
    <cellStyle name="20% - Accent4 4 3 2 2 2 2 3" xfId="15773" xr:uid="{00000000-0005-0000-0000-000089210000}"/>
    <cellStyle name="20% - Accent4 4 3 2 2 2 3" xfId="20924" xr:uid="{00000000-0005-0000-0000-00008A210000}"/>
    <cellStyle name="20% - Accent4 4 3 2 2 2 3 2" xfId="20393" xr:uid="{00000000-0005-0000-0000-00008B210000}"/>
    <cellStyle name="20% - Accent4 4 3 2 2 2 4" xfId="22816" xr:uid="{00000000-0005-0000-0000-00008C210000}"/>
    <cellStyle name="20% - Accent4 4 3 2 2 3" xfId="22758" xr:uid="{00000000-0005-0000-0000-00008D210000}"/>
    <cellStyle name="20% - Accent4 4 3 2 2 3 2" xfId="29197" xr:uid="{00000000-0005-0000-0000-00008E210000}"/>
    <cellStyle name="20% - Accent4 4 3 2 2 3 2 2" xfId="22757" xr:uid="{00000000-0005-0000-0000-00008F210000}"/>
    <cellStyle name="20% - Accent4 4 3 2 2 3 3" xfId="25294" xr:uid="{00000000-0005-0000-0000-000090210000}"/>
    <cellStyle name="20% - Accent4 4 3 2 2 4" xfId="24991" xr:uid="{00000000-0005-0000-0000-000091210000}"/>
    <cellStyle name="20% - Accent4 4 3 2 2 4 2" xfId="22754" xr:uid="{00000000-0005-0000-0000-000092210000}"/>
    <cellStyle name="20% - Accent4 4 3 2 2 5" xfId="29611" xr:uid="{00000000-0005-0000-0000-000093210000}"/>
    <cellStyle name="20% - Accent4 4 3 2 3" xfId="30916" xr:uid="{00000000-0005-0000-0000-000094210000}"/>
    <cellStyle name="20% - Accent4 4 3 2 3 2" xfId="25789" xr:uid="{00000000-0005-0000-0000-000095210000}"/>
    <cellStyle name="20% - Accent4 4 3 2 3 2 2" xfId="22750" xr:uid="{00000000-0005-0000-0000-000096210000}"/>
    <cellStyle name="20% - Accent4 4 3 2 3 2 2 2" xfId="22749" xr:uid="{00000000-0005-0000-0000-000097210000}"/>
    <cellStyle name="20% - Accent4 4 3 2 3 2 3" xfId="12408" xr:uid="{00000000-0005-0000-0000-000098210000}"/>
    <cellStyle name="20% - Accent4 4 3 2 3 3" xfId="21949" xr:uid="{00000000-0005-0000-0000-000099210000}"/>
    <cellStyle name="20% - Accent4 4 3 2 3 3 2" xfId="22747" xr:uid="{00000000-0005-0000-0000-00009A210000}"/>
    <cellStyle name="20% - Accent4 4 3 2 3 4" xfId="22746" xr:uid="{00000000-0005-0000-0000-00009B210000}"/>
    <cellStyle name="20% - Accent4 4 3 2 4" xfId="32448" xr:uid="{00000000-0005-0000-0000-00009C210000}"/>
    <cellStyle name="20% - Accent4 4 3 2 4 2" xfId="12747" xr:uid="{00000000-0005-0000-0000-00009D210000}"/>
    <cellStyle name="20% - Accent4 4 3 2 4 2 2" xfId="22745" xr:uid="{00000000-0005-0000-0000-00009E210000}"/>
    <cellStyle name="20% - Accent4 4 3 2 4 3" xfId="22743" xr:uid="{00000000-0005-0000-0000-00009F210000}"/>
    <cellStyle name="20% - Accent4 4 3 2 5" xfId="27745" xr:uid="{00000000-0005-0000-0000-0000A0210000}"/>
    <cellStyle name="20% - Accent4 4 3 2 5 2" xfId="17576" xr:uid="{00000000-0005-0000-0000-0000A1210000}"/>
    <cellStyle name="20% - Accent4 4 3 2 6" xfId="17558" xr:uid="{00000000-0005-0000-0000-0000A2210000}"/>
    <cellStyle name="20% - Accent4 4 3 3" xfId="19294" xr:uid="{00000000-0005-0000-0000-0000A3210000}"/>
    <cellStyle name="20% - Accent4 4 3 3 2" xfId="22742" xr:uid="{00000000-0005-0000-0000-0000A4210000}"/>
    <cellStyle name="20% - Accent4 4 3 3 2 2" xfId="13351" xr:uid="{00000000-0005-0000-0000-0000A5210000}"/>
    <cellStyle name="20% - Accent4 4 3 3 2 2 2" xfId="22738" xr:uid="{00000000-0005-0000-0000-0000A6210000}"/>
    <cellStyle name="20% - Accent4 4 3 3 2 2 2 2" xfId="14258" xr:uid="{00000000-0005-0000-0000-0000A7210000}"/>
    <cellStyle name="20% - Accent4 4 3 3 2 2 3" xfId="27205" xr:uid="{00000000-0005-0000-0000-0000A8210000}"/>
    <cellStyle name="20% - Accent4 4 3 3 2 3" xfId="13347" xr:uid="{00000000-0005-0000-0000-0000A9210000}"/>
    <cellStyle name="20% - Accent4 4 3 3 2 3 2" xfId="22728" xr:uid="{00000000-0005-0000-0000-0000AA210000}"/>
    <cellStyle name="20% - Accent4 4 3 3 2 4" xfId="22723" xr:uid="{00000000-0005-0000-0000-0000AB210000}"/>
    <cellStyle name="20% - Accent4 4 3 3 3" xfId="32958" xr:uid="{00000000-0005-0000-0000-0000AC210000}"/>
    <cellStyle name="20% - Accent4 4 3 3 3 2" xfId="13336" xr:uid="{00000000-0005-0000-0000-0000AD210000}"/>
    <cellStyle name="20% - Accent4 4 3 3 3 2 2" xfId="22722" xr:uid="{00000000-0005-0000-0000-0000AE210000}"/>
    <cellStyle name="20% - Accent4 4 3 3 3 3" xfId="22721" xr:uid="{00000000-0005-0000-0000-0000AF210000}"/>
    <cellStyle name="20% - Accent4 4 3 3 4" xfId="32691" xr:uid="{00000000-0005-0000-0000-0000B0210000}"/>
    <cellStyle name="20% - Accent4 4 3 3 4 2" xfId="22720" xr:uid="{00000000-0005-0000-0000-0000B1210000}"/>
    <cellStyle name="20% - Accent4 4 3 3 5" xfId="17530" xr:uid="{00000000-0005-0000-0000-0000B2210000}"/>
    <cellStyle name="20% - Accent4 4 3 4" xfId="22717" xr:uid="{00000000-0005-0000-0000-0000B3210000}"/>
    <cellStyle name="20% - Accent4 4 3 4 2" xfId="32901" xr:uid="{00000000-0005-0000-0000-0000B4210000}"/>
    <cellStyle name="20% - Accent4 4 3 4 2 2" xfId="13317" xr:uid="{00000000-0005-0000-0000-0000B5210000}"/>
    <cellStyle name="20% - Accent4 4 3 4 2 2 2" xfId="25296" xr:uid="{00000000-0005-0000-0000-0000B6210000}"/>
    <cellStyle name="20% - Accent4 4 3 4 2 3" xfId="28622" xr:uid="{00000000-0005-0000-0000-0000B7210000}"/>
    <cellStyle name="20% - Accent4 4 3 4 3" xfId="32674" xr:uid="{00000000-0005-0000-0000-0000B8210000}"/>
    <cellStyle name="20% - Accent4 4 3 4 3 2" xfId="25291" xr:uid="{00000000-0005-0000-0000-0000B9210000}"/>
    <cellStyle name="20% - Accent4 4 3 4 4" xfId="25289" xr:uid="{00000000-0005-0000-0000-0000BA210000}"/>
    <cellStyle name="20% - Accent4 4 3 5" xfId="22713" xr:uid="{00000000-0005-0000-0000-0000BB210000}"/>
    <cellStyle name="20% - Accent4 4 3 5 2" xfId="32460" xr:uid="{00000000-0005-0000-0000-0000BC210000}"/>
    <cellStyle name="20% - Accent4 4 3 5 2 2" xfId="25217" xr:uid="{00000000-0005-0000-0000-0000BD210000}"/>
    <cellStyle name="20% - Accent4 4 3 5 3" xfId="33317" xr:uid="{00000000-0005-0000-0000-0000BE210000}"/>
    <cellStyle name="20% - Accent4 4 3 6" xfId="21389" xr:uid="{00000000-0005-0000-0000-0000BF210000}"/>
    <cellStyle name="20% - Accent4 4 3 6 2" xfId="33228" xr:uid="{00000000-0005-0000-0000-0000C0210000}"/>
    <cellStyle name="20% - Accent4 4 3 7" xfId="7870" xr:uid="{00000000-0005-0000-0000-0000C1210000}"/>
    <cellStyle name="20% - Accent4 4 3 8" xfId="34790" xr:uid="{00000000-0005-0000-0000-0000C2210000}"/>
    <cellStyle name="20% - Accent4 4 4" xfId="22695" xr:uid="{00000000-0005-0000-0000-0000C3210000}"/>
    <cellStyle name="20% - Accent4 4 4 2" xfId="8934" xr:uid="{00000000-0005-0000-0000-0000C4210000}"/>
    <cellStyle name="20% - Accent4 4 4 2 2" xfId="22692" xr:uid="{00000000-0005-0000-0000-0000C5210000}"/>
    <cellStyle name="20% - Accent4 4 4 2 2 2" xfId="22691" xr:uid="{00000000-0005-0000-0000-0000C6210000}"/>
    <cellStyle name="20% - Accent4 4 4 2 2 2 2" xfId="22716" xr:uid="{00000000-0005-0000-0000-0000C7210000}"/>
    <cellStyle name="20% - Accent4 4 4 2 2 2 2 2" xfId="22685" xr:uid="{00000000-0005-0000-0000-0000C8210000}"/>
    <cellStyle name="20% - Accent4 4 4 2 2 2 3" xfId="22709" xr:uid="{00000000-0005-0000-0000-0000C9210000}"/>
    <cellStyle name="20% - Accent4 4 4 2 2 3" xfId="19025" xr:uid="{00000000-0005-0000-0000-0000CA210000}"/>
    <cellStyle name="20% - Accent4 4 4 2 2 3 2" xfId="22681" xr:uid="{00000000-0005-0000-0000-0000CB210000}"/>
    <cellStyle name="20% - Accent4 4 4 2 2 4" xfId="24813" xr:uid="{00000000-0005-0000-0000-0000CC210000}"/>
    <cellStyle name="20% - Accent4 4 4 2 3" xfId="18445" xr:uid="{00000000-0005-0000-0000-0000CD210000}"/>
    <cellStyle name="20% - Accent4 4 4 2 3 2" xfId="21935" xr:uid="{00000000-0005-0000-0000-0000CE210000}"/>
    <cellStyle name="20% - Accent4 4 4 2 3 2 2" xfId="22678" xr:uid="{00000000-0005-0000-0000-0000CF210000}"/>
    <cellStyle name="20% - Accent4 4 4 2 3 3" xfId="22675" xr:uid="{00000000-0005-0000-0000-0000D0210000}"/>
    <cellStyle name="20% - Accent4 4 4 2 4" xfId="32557" xr:uid="{00000000-0005-0000-0000-0000D1210000}"/>
    <cellStyle name="20% - Accent4 4 4 2 4 2" xfId="22673" xr:uid="{00000000-0005-0000-0000-0000D2210000}"/>
    <cellStyle name="20% - Accent4 4 4 2 5" xfId="17480" xr:uid="{00000000-0005-0000-0000-0000D3210000}"/>
    <cellStyle name="20% - Accent4 4 4 3" xfId="8932" xr:uid="{00000000-0005-0000-0000-0000D4210000}"/>
    <cellStyle name="20% - Accent4 4 4 3 2" xfId="22671" xr:uid="{00000000-0005-0000-0000-0000D5210000}"/>
    <cellStyle name="20% - Accent4 4 4 3 2 2" xfId="13279" xr:uid="{00000000-0005-0000-0000-0000D6210000}"/>
    <cellStyle name="20% - Accent4 4 4 3 2 2 2" xfId="22667" xr:uid="{00000000-0005-0000-0000-0000D7210000}"/>
    <cellStyle name="20% - Accent4 4 4 3 2 3" xfId="7680" xr:uid="{00000000-0005-0000-0000-0000D8210000}"/>
    <cellStyle name="20% - Accent4 4 4 3 3" xfId="31288" xr:uid="{00000000-0005-0000-0000-0000D9210000}"/>
    <cellStyle name="20% - Accent4 4 4 3 3 2" xfId="22656" xr:uid="{00000000-0005-0000-0000-0000DA210000}"/>
    <cellStyle name="20% - Accent4 4 4 3 4" xfId="22654" xr:uid="{00000000-0005-0000-0000-0000DB210000}"/>
    <cellStyle name="20% - Accent4 4 4 4" xfId="22680" xr:uid="{00000000-0005-0000-0000-0000DC210000}"/>
    <cellStyle name="20% - Accent4 4 4 4 2" xfId="31035" xr:uid="{00000000-0005-0000-0000-0000DD210000}"/>
    <cellStyle name="20% - Accent4 4 4 4 2 2" xfId="33307" xr:uid="{00000000-0005-0000-0000-0000DE210000}"/>
    <cellStyle name="20% - Accent4 4 4 4 3" xfId="32789" xr:uid="{00000000-0005-0000-0000-0000DF210000}"/>
    <cellStyle name="20% - Accent4 4 4 5" xfId="22648" xr:uid="{00000000-0005-0000-0000-0000E0210000}"/>
    <cellStyle name="20% - Accent4 4 4 5 2" xfId="33114" xr:uid="{00000000-0005-0000-0000-0000E1210000}"/>
    <cellStyle name="20% - Accent4 4 4 6" xfId="14946" xr:uid="{00000000-0005-0000-0000-0000E2210000}"/>
    <cellStyle name="20% - Accent4 4 4 7" xfId="34989" xr:uid="{00000000-0005-0000-0000-0000E3210000}"/>
    <cellStyle name="20% - Accent4 4 5" xfId="8307" xr:uid="{00000000-0005-0000-0000-0000E4210000}"/>
    <cellStyle name="20% - Accent4 4 5 2" xfId="8929" xr:uid="{00000000-0005-0000-0000-0000E5210000}"/>
    <cellStyle name="20% - Accent4 4 5 2 2" xfId="19451" xr:uid="{00000000-0005-0000-0000-0000E6210000}"/>
    <cellStyle name="20% - Accent4 4 5 2 2 2" xfId="25339" xr:uid="{00000000-0005-0000-0000-0000E7210000}"/>
    <cellStyle name="20% - Accent4 4 5 2 2 2 2" xfId="25334" xr:uid="{00000000-0005-0000-0000-0000E8210000}"/>
    <cellStyle name="20% - Accent4 4 5 2 2 3" xfId="25330" xr:uid="{00000000-0005-0000-0000-0000E9210000}"/>
    <cellStyle name="20% - Accent4 4 5 2 3" xfId="31228" xr:uid="{00000000-0005-0000-0000-0000EA210000}"/>
    <cellStyle name="20% - Accent4 4 5 2 3 2" xfId="25318" xr:uid="{00000000-0005-0000-0000-0000EB210000}"/>
    <cellStyle name="20% - Accent4 4 5 2 4" xfId="22642" xr:uid="{00000000-0005-0000-0000-0000EC210000}"/>
    <cellStyle name="20% - Accent4 4 5 3" xfId="22641" xr:uid="{00000000-0005-0000-0000-0000ED210000}"/>
    <cellStyle name="20% - Accent4 4 5 3 2" xfId="22639" xr:uid="{00000000-0005-0000-0000-0000EE210000}"/>
    <cellStyle name="20% - Accent4 4 5 3 2 2" xfId="25305" xr:uid="{00000000-0005-0000-0000-0000EF210000}"/>
    <cellStyle name="20% - Accent4 4 5 3 3" xfId="17741" xr:uid="{00000000-0005-0000-0000-0000F0210000}"/>
    <cellStyle name="20% - Accent4 4 5 4" xfId="22634" xr:uid="{00000000-0005-0000-0000-0000F1210000}"/>
    <cellStyle name="20% - Accent4 4 5 4 2" xfId="18815" xr:uid="{00000000-0005-0000-0000-0000F2210000}"/>
    <cellStyle name="20% - Accent4 4 5 5" xfId="22633" xr:uid="{00000000-0005-0000-0000-0000F3210000}"/>
    <cellStyle name="20% - Accent4 4 5 6" xfId="35194" xr:uid="{00000000-0005-0000-0000-0000F4210000}"/>
    <cellStyle name="20% - Accent4 4 6" xfId="22631" xr:uid="{00000000-0005-0000-0000-0000F5210000}"/>
    <cellStyle name="20% - Accent4 4 6 2" xfId="22629" xr:uid="{00000000-0005-0000-0000-0000F6210000}"/>
    <cellStyle name="20% - Accent4 4 6 2 2" xfId="22627" xr:uid="{00000000-0005-0000-0000-0000F7210000}"/>
    <cellStyle name="20% - Accent4 4 6 2 2 2" xfId="25237" xr:uid="{00000000-0005-0000-0000-0000F8210000}"/>
    <cellStyle name="20% - Accent4 4 6 2 3" xfId="21061" xr:uid="{00000000-0005-0000-0000-0000F9210000}"/>
    <cellStyle name="20% - Accent4 4 6 3" xfId="29676" xr:uid="{00000000-0005-0000-0000-0000FA210000}"/>
    <cellStyle name="20% - Accent4 4 6 3 2" xfId="17673" xr:uid="{00000000-0005-0000-0000-0000FB210000}"/>
    <cellStyle name="20% - Accent4 4 6 4" xfId="29671" xr:uid="{00000000-0005-0000-0000-0000FC210000}"/>
    <cellStyle name="20% - Accent4 4 6 5" xfId="35423" xr:uid="{00000000-0005-0000-0000-0000FD210000}"/>
    <cellStyle name="20% - Accent4 4 7" xfId="22623" xr:uid="{00000000-0005-0000-0000-0000FE210000}"/>
    <cellStyle name="20% - Accent4 4 7 2" xfId="22618" xr:uid="{00000000-0005-0000-0000-0000FF210000}"/>
    <cellStyle name="20% - Accent4 4 7 2 2" xfId="24320" xr:uid="{00000000-0005-0000-0000-000000220000}"/>
    <cellStyle name="20% - Accent4 4 7 3" xfId="29662" xr:uid="{00000000-0005-0000-0000-000001220000}"/>
    <cellStyle name="20% - Accent4 4 7 4" xfId="36295" xr:uid="{00000000-0005-0000-0000-000002220000}"/>
    <cellStyle name="20% - Accent4 4 8" xfId="22616" xr:uid="{00000000-0005-0000-0000-000003220000}"/>
    <cellStyle name="20% - Accent4 4 8 2" xfId="31596" xr:uid="{00000000-0005-0000-0000-000004220000}"/>
    <cellStyle name="20% - Accent4 4 8 3" xfId="36581" xr:uid="{00000000-0005-0000-0000-000005220000}"/>
    <cellStyle name="20% - Accent4 4 9" xfId="31796" xr:uid="{00000000-0005-0000-0000-000006220000}"/>
    <cellStyle name="20% - Accent4 4 9 2" xfId="37466" xr:uid="{00000000-0005-0000-0000-000007220000}"/>
    <cellStyle name="20% - Accent4 40" xfId="36101" xr:uid="{00000000-0005-0000-0000-000008220000}"/>
    <cellStyle name="20% - Accent4 40 2" xfId="37270" xr:uid="{00000000-0005-0000-0000-000009220000}"/>
    <cellStyle name="20% - Accent4 40 3" xfId="38168" xr:uid="{00000000-0005-0000-0000-00000A220000}"/>
    <cellStyle name="20% - Accent4 41" xfId="36121" xr:uid="{00000000-0005-0000-0000-00000B220000}"/>
    <cellStyle name="20% - Accent4 41 2" xfId="37290" xr:uid="{00000000-0005-0000-0000-00000C220000}"/>
    <cellStyle name="20% - Accent4 41 3" xfId="38188" xr:uid="{00000000-0005-0000-0000-00000D220000}"/>
    <cellStyle name="20% - Accent4 42" xfId="36141" xr:uid="{00000000-0005-0000-0000-00000E220000}"/>
    <cellStyle name="20% - Accent4 42 2" xfId="37310" xr:uid="{00000000-0005-0000-0000-00000F220000}"/>
    <cellStyle name="20% - Accent4 42 3" xfId="38208" xr:uid="{00000000-0005-0000-0000-000010220000}"/>
    <cellStyle name="20% - Accent4 43" xfId="36161" xr:uid="{00000000-0005-0000-0000-000011220000}"/>
    <cellStyle name="20% - Accent4 43 2" xfId="37330" xr:uid="{00000000-0005-0000-0000-000012220000}"/>
    <cellStyle name="20% - Accent4 43 3" xfId="38228" xr:uid="{00000000-0005-0000-0000-000013220000}"/>
    <cellStyle name="20% - Accent4 44" xfId="36181" xr:uid="{00000000-0005-0000-0000-000014220000}"/>
    <cellStyle name="20% - Accent4 44 2" xfId="37350" xr:uid="{00000000-0005-0000-0000-000015220000}"/>
    <cellStyle name="20% - Accent4 44 3" xfId="38248" xr:uid="{00000000-0005-0000-0000-000016220000}"/>
    <cellStyle name="20% - Accent4 45" xfId="36201" xr:uid="{00000000-0005-0000-0000-000017220000}"/>
    <cellStyle name="20% - Accent4 45 2" xfId="37370" xr:uid="{00000000-0005-0000-0000-000018220000}"/>
    <cellStyle name="20% - Accent4 45 3" xfId="38268" xr:uid="{00000000-0005-0000-0000-000019220000}"/>
    <cellStyle name="20% - Accent4 46" xfId="36221" xr:uid="{00000000-0005-0000-0000-00001A220000}"/>
    <cellStyle name="20% - Accent4 46 2" xfId="37388" xr:uid="{00000000-0005-0000-0000-00001B220000}"/>
    <cellStyle name="20% - Accent4 46 3" xfId="38288" xr:uid="{00000000-0005-0000-0000-00001C220000}"/>
    <cellStyle name="20% - Accent4 47" xfId="36522" xr:uid="{00000000-0005-0000-0000-00001D220000}"/>
    <cellStyle name="20% - Accent4 48" xfId="37407" xr:uid="{00000000-0005-0000-0000-00001E220000}"/>
    <cellStyle name="20% - Accent4 5" xfId="269" xr:uid="{00000000-0005-0000-0000-00001F220000}"/>
    <cellStyle name="20% - Accent4 5 10" xfId="19225" xr:uid="{00000000-0005-0000-0000-000020220000}"/>
    <cellStyle name="20% - Accent4 5 2" xfId="19221" xr:uid="{00000000-0005-0000-0000-000021220000}"/>
    <cellStyle name="20% - Accent4 5 2 2" xfId="24144" xr:uid="{00000000-0005-0000-0000-000022220000}"/>
    <cellStyle name="20% - Accent4 5 2 2 2" xfId="22612" xr:uid="{00000000-0005-0000-0000-000023220000}"/>
    <cellStyle name="20% - Accent4 5 2 2 2 2" xfId="26949" xr:uid="{00000000-0005-0000-0000-000024220000}"/>
    <cellStyle name="20% - Accent4 5 2 2 2 2 2" xfId="20235" xr:uid="{00000000-0005-0000-0000-000025220000}"/>
    <cellStyle name="20% - Accent4 5 2 2 2 2 2 2" xfId="15331" xr:uid="{00000000-0005-0000-0000-000026220000}"/>
    <cellStyle name="20% - Accent4 5 2 2 2 2 2 2 2" xfId="22607" xr:uid="{00000000-0005-0000-0000-000027220000}"/>
    <cellStyle name="20% - Accent4 5 2 2 2 2 2 3" xfId="22606" xr:uid="{00000000-0005-0000-0000-000028220000}"/>
    <cellStyle name="20% - Accent4 5 2 2 2 2 3" xfId="19688" xr:uid="{00000000-0005-0000-0000-000029220000}"/>
    <cellStyle name="20% - Accent4 5 2 2 2 2 3 2" xfId="17686" xr:uid="{00000000-0005-0000-0000-00002A220000}"/>
    <cellStyle name="20% - Accent4 5 2 2 2 2 4" xfId="19664" xr:uid="{00000000-0005-0000-0000-00002B220000}"/>
    <cellStyle name="20% - Accent4 5 2 2 2 3" xfId="18943" xr:uid="{00000000-0005-0000-0000-00002C220000}"/>
    <cellStyle name="20% - Accent4 5 2 2 2 3 2" xfId="26934" xr:uid="{00000000-0005-0000-0000-00002D220000}"/>
    <cellStyle name="20% - Accent4 5 2 2 2 3 2 2" xfId="7327" xr:uid="{00000000-0005-0000-0000-00002E220000}"/>
    <cellStyle name="20% - Accent4 5 2 2 2 3 3" xfId="26932" xr:uid="{00000000-0005-0000-0000-00002F220000}"/>
    <cellStyle name="20% - Accent4 5 2 2 2 4" xfId="6070" xr:uid="{00000000-0005-0000-0000-000030220000}"/>
    <cellStyle name="20% - Accent4 5 2 2 2 4 2" xfId="26917" xr:uid="{00000000-0005-0000-0000-000031220000}"/>
    <cellStyle name="20% - Accent4 5 2 2 2 5" xfId="6067" xr:uid="{00000000-0005-0000-0000-000032220000}"/>
    <cellStyle name="20% - Accent4 5 2 2 3" xfId="5738" xr:uid="{00000000-0005-0000-0000-000033220000}"/>
    <cellStyle name="20% - Accent4 5 2 2 3 2" xfId="5735" xr:uid="{00000000-0005-0000-0000-000034220000}"/>
    <cellStyle name="20% - Accent4 5 2 2 3 2 2" xfId="5732" xr:uid="{00000000-0005-0000-0000-000035220000}"/>
    <cellStyle name="20% - Accent4 5 2 2 3 2 2 2" xfId="7293" xr:uid="{00000000-0005-0000-0000-000036220000}"/>
    <cellStyle name="20% - Accent4 5 2 2 3 2 3" xfId="19539" xr:uid="{00000000-0005-0000-0000-000037220000}"/>
    <cellStyle name="20% - Accent4 5 2 2 3 3" xfId="5729" xr:uid="{00000000-0005-0000-0000-000038220000}"/>
    <cellStyle name="20% - Accent4 5 2 2 3 3 2" xfId="26598" xr:uid="{00000000-0005-0000-0000-000039220000}"/>
    <cellStyle name="20% - Accent4 5 2 2 3 4" xfId="6065" xr:uid="{00000000-0005-0000-0000-00003A220000}"/>
    <cellStyle name="20% - Accent4 5 2 2 4" xfId="8563" xr:uid="{00000000-0005-0000-0000-00003B220000}"/>
    <cellStyle name="20% - Accent4 5 2 2 4 2" xfId="8558" xr:uid="{00000000-0005-0000-0000-00003C220000}"/>
    <cellStyle name="20% - Accent4 5 2 2 4 2 2" xfId="29081" xr:uid="{00000000-0005-0000-0000-00003D220000}"/>
    <cellStyle name="20% - Accent4 5 2 2 4 3" xfId="26497" xr:uid="{00000000-0005-0000-0000-00003E220000}"/>
    <cellStyle name="20% - Accent4 5 2 2 5" xfId="8518" xr:uid="{00000000-0005-0000-0000-00003F220000}"/>
    <cellStyle name="20% - Accent4 5 2 2 5 2" xfId="26454" xr:uid="{00000000-0005-0000-0000-000040220000}"/>
    <cellStyle name="20% - Accent4 5 2 2 6" xfId="22598" xr:uid="{00000000-0005-0000-0000-000041220000}"/>
    <cellStyle name="20% - Accent4 5 2 3" xfId="24136" xr:uid="{00000000-0005-0000-0000-000042220000}"/>
    <cellStyle name="20% - Accent4 5 2 3 2" xfId="22594" xr:uid="{00000000-0005-0000-0000-000043220000}"/>
    <cellStyle name="20% - Accent4 5 2 3 2 2" xfId="25689" xr:uid="{00000000-0005-0000-0000-000044220000}"/>
    <cellStyle name="20% - Accent4 5 2 3 2 2 2" xfId="25968" xr:uid="{00000000-0005-0000-0000-000045220000}"/>
    <cellStyle name="20% - Accent4 5 2 3 2 2 2 2" xfId="7225" xr:uid="{00000000-0005-0000-0000-000046220000}"/>
    <cellStyle name="20% - Accent4 5 2 3 2 2 3" xfId="19301" xr:uid="{00000000-0005-0000-0000-000047220000}"/>
    <cellStyle name="20% - Accent4 5 2 3 2 3" xfId="23014" xr:uid="{00000000-0005-0000-0000-000048220000}"/>
    <cellStyle name="20% - Accent4 5 2 3 2 3 2" xfId="25943" xr:uid="{00000000-0005-0000-0000-000049220000}"/>
    <cellStyle name="20% - Accent4 5 2 3 2 4" xfId="11522" xr:uid="{00000000-0005-0000-0000-00004A220000}"/>
    <cellStyle name="20% - Accent4 5 2 3 3" xfId="5727" xr:uid="{00000000-0005-0000-0000-00004B220000}"/>
    <cellStyle name="20% - Accent4 5 2 3 3 2" xfId="10915" xr:uid="{00000000-0005-0000-0000-00004C220000}"/>
    <cellStyle name="20% - Accent4 5 2 3 3 2 2" xfId="26843" xr:uid="{00000000-0005-0000-0000-00004D220000}"/>
    <cellStyle name="20% - Accent4 5 2 3 3 3" xfId="26816" xr:uid="{00000000-0005-0000-0000-00004E220000}"/>
    <cellStyle name="20% - Accent4 5 2 3 4" xfId="25413" xr:uid="{00000000-0005-0000-0000-00004F220000}"/>
    <cellStyle name="20% - Accent4 5 2 3 4 2" xfId="26787" xr:uid="{00000000-0005-0000-0000-000050220000}"/>
    <cellStyle name="20% - Accent4 5 2 3 5" xfId="22593" xr:uid="{00000000-0005-0000-0000-000051220000}"/>
    <cellStyle name="20% - Accent4 5 2 4" xfId="22590" xr:uid="{00000000-0005-0000-0000-000052220000}"/>
    <cellStyle name="20% - Accent4 5 2 4 2" xfId="22775" xr:uid="{00000000-0005-0000-0000-000053220000}"/>
    <cellStyle name="20% - Accent4 5 2 4 2 2" xfId="33730" xr:uid="{00000000-0005-0000-0000-000054220000}"/>
    <cellStyle name="20% - Accent4 5 2 4 2 2 2" xfId="34333" xr:uid="{00000000-0005-0000-0000-000055220000}"/>
    <cellStyle name="20% - Accent4 5 2 4 2 3" xfId="32773" xr:uid="{00000000-0005-0000-0000-000056220000}"/>
    <cellStyle name="20% - Accent4 5 2 4 3" xfId="5725" xr:uid="{00000000-0005-0000-0000-000057220000}"/>
    <cellStyle name="20% - Accent4 5 2 4 3 2" xfId="20523" xr:uid="{00000000-0005-0000-0000-000058220000}"/>
    <cellStyle name="20% - Accent4 5 2 4 4" xfId="22772" xr:uid="{00000000-0005-0000-0000-000059220000}"/>
    <cellStyle name="20% - Accent4 5 2 5" xfId="16598" xr:uid="{00000000-0005-0000-0000-00005A220000}"/>
    <cellStyle name="20% - Accent4 5 2 5 2" xfId="22705" xr:uid="{00000000-0005-0000-0000-00005B220000}"/>
    <cellStyle name="20% - Accent4 5 2 5 2 2" xfId="32878" xr:uid="{00000000-0005-0000-0000-00005C220000}"/>
    <cellStyle name="20% - Accent4 5 2 5 3" xfId="22697" xr:uid="{00000000-0005-0000-0000-00005D220000}"/>
    <cellStyle name="20% - Accent4 5 2 6" xfId="18036" xr:uid="{00000000-0005-0000-0000-00005E220000}"/>
    <cellStyle name="20% - Accent4 5 2 6 2" xfId="22646" xr:uid="{00000000-0005-0000-0000-00005F220000}"/>
    <cellStyle name="20% - Accent4 5 2 7" xfId="7862" xr:uid="{00000000-0005-0000-0000-000060220000}"/>
    <cellStyle name="20% - Accent4 5 2 8" xfId="34806" xr:uid="{00000000-0005-0000-0000-000061220000}"/>
    <cellStyle name="20% - Accent4 5 3" xfId="22579" xr:uid="{00000000-0005-0000-0000-000062220000}"/>
    <cellStyle name="20% - Accent4 5 3 2" xfId="6848" xr:uid="{00000000-0005-0000-0000-000063220000}"/>
    <cellStyle name="20% - Accent4 5 3 2 2" xfId="22577" xr:uid="{00000000-0005-0000-0000-000064220000}"/>
    <cellStyle name="20% - Accent4 5 3 2 2 2" xfId="24078" xr:uid="{00000000-0005-0000-0000-000065220000}"/>
    <cellStyle name="20% - Accent4 5 3 2 2 2 2" xfId="33259" xr:uid="{00000000-0005-0000-0000-000066220000}"/>
    <cellStyle name="20% - Accent4 5 3 2 2 2 2 2" xfId="19096" xr:uid="{00000000-0005-0000-0000-000067220000}"/>
    <cellStyle name="20% - Accent4 5 3 2 2 2 3" xfId="18840" xr:uid="{00000000-0005-0000-0000-000068220000}"/>
    <cellStyle name="20% - Accent4 5 3 2 2 3" xfId="24061" xr:uid="{00000000-0005-0000-0000-000069220000}"/>
    <cellStyle name="20% - Accent4 5 3 2 2 3 2" xfId="21279" xr:uid="{00000000-0005-0000-0000-00006A220000}"/>
    <cellStyle name="20% - Accent4 5 3 2 2 4" xfId="6056" xr:uid="{00000000-0005-0000-0000-00006B220000}"/>
    <cellStyle name="20% - Accent4 5 3 2 3" xfId="5718" xr:uid="{00000000-0005-0000-0000-00006C220000}"/>
    <cellStyle name="20% - Accent4 5 3 2 3 2" xfId="19397" xr:uid="{00000000-0005-0000-0000-00006D220000}"/>
    <cellStyle name="20% - Accent4 5 3 2 3 2 2" xfId="31497" xr:uid="{00000000-0005-0000-0000-00006E220000}"/>
    <cellStyle name="20% - Accent4 5 3 2 3 3" xfId="23812" xr:uid="{00000000-0005-0000-0000-00006F220000}"/>
    <cellStyle name="20% - Accent4 5 3 2 4" xfId="12193" xr:uid="{00000000-0005-0000-0000-000070220000}"/>
    <cellStyle name="20% - Accent4 5 3 2 4 2" xfId="23776" xr:uid="{00000000-0005-0000-0000-000071220000}"/>
    <cellStyle name="20% - Accent4 5 3 2 5" xfId="22574" xr:uid="{00000000-0005-0000-0000-000072220000}"/>
    <cellStyle name="20% - Accent4 5 3 3" xfId="22572" xr:uid="{00000000-0005-0000-0000-000073220000}"/>
    <cellStyle name="20% - Accent4 5 3 3 2" xfId="22571" xr:uid="{00000000-0005-0000-0000-000074220000}"/>
    <cellStyle name="20% - Accent4 5 3 3 2 2" xfId="13206" xr:uid="{00000000-0005-0000-0000-000075220000}"/>
    <cellStyle name="20% - Accent4 5 3 3 2 2 2" xfId="32957" xr:uid="{00000000-0005-0000-0000-000076220000}"/>
    <cellStyle name="20% - Accent4 5 3 3 2 3" xfId="32503" xr:uid="{00000000-0005-0000-0000-000077220000}"/>
    <cellStyle name="20% - Accent4 5 3 3 3" xfId="5715" xr:uid="{00000000-0005-0000-0000-000078220000}"/>
    <cellStyle name="20% - Accent4 5 3 3 3 2" xfId="22986" xr:uid="{00000000-0005-0000-0000-000079220000}"/>
    <cellStyle name="20% - Accent4 5 3 3 4" xfId="22567" xr:uid="{00000000-0005-0000-0000-00007A220000}"/>
    <cellStyle name="20% - Accent4 5 3 4" xfId="22677" xr:uid="{00000000-0005-0000-0000-00007B220000}"/>
    <cellStyle name="20% - Accent4 5 3 4 2" xfId="22589" xr:uid="{00000000-0005-0000-0000-00007C220000}"/>
    <cellStyle name="20% - Accent4 5 3 4 2 2" xfId="22701" xr:uid="{00000000-0005-0000-0000-00007D220000}"/>
    <cellStyle name="20% - Accent4 5 3 4 3" xfId="22583" xr:uid="{00000000-0005-0000-0000-00007E220000}"/>
    <cellStyle name="20% - Accent4 5 3 5" xfId="16588" xr:uid="{00000000-0005-0000-0000-00007F220000}"/>
    <cellStyle name="20% - Accent4 5 3 5 2" xfId="22560" xr:uid="{00000000-0005-0000-0000-000080220000}"/>
    <cellStyle name="20% - Accent4 5 3 6" xfId="22557" xr:uid="{00000000-0005-0000-0000-000081220000}"/>
    <cellStyle name="20% - Accent4 5 3 7" xfId="35008" xr:uid="{00000000-0005-0000-0000-000082220000}"/>
    <cellStyle name="20% - Accent4 5 4" xfId="22554" xr:uid="{00000000-0005-0000-0000-000083220000}"/>
    <cellStyle name="20% - Accent4 5 4 2" xfId="22543" xr:uid="{00000000-0005-0000-0000-000084220000}"/>
    <cellStyle name="20% - Accent4 5 4 2 2" xfId="22541" xr:uid="{00000000-0005-0000-0000-000085220000}"/>
    <cellStyle name="20% - Accent4 5 4 2 2 2" xfId="22539" xr:uid="{00000000-0005-0000-0000-000086220000}"/>
    <cellStyle name="20% - Accent4 5 4 2 2 2 2" xfId="22531" xr:uid="{00000000-0005-0000-0000-000087220000}"/>
    <cellStyle name="20% - Accent4 5 4 2 2 3" xfId="22524" xr:uid="{00000000-0005-0000-0000-000088220000}"/>
    <cellStyle name="20% - Accent4 5 4 2 3" xfId="32858" xr:uid="{00000000-0005-0000-0000-000089220000}"/>
    <cellStyle name="20% - Accent4 5 4 2 3 2" xfId="22518" xr:uid="{00000000-0005-0000-0000-00008A220000}"/>
    <cellStyle name="20% - Accent4 5 4 2 4" xfId="22511" xr:uid="{00000000-0005-0000-0000-00008B220000}"/>
    <cellStyle name="20% - Accent4 5 4 3" xfId="22507" xr:uid="{00000000-0005-0000-0000-00008C220000}"/>
    <cellStyle name="20% - Accent4 5 4 3 2" xfId="22505" xr:uid="{00000000-0005-0000-0000-00008D220000}"/>
    <cellStyle name="20% - Accent4 5 4 3 2 2" xfId="22503" xr:uid="{00000000-0005-0000-0000-00008E220000}"/>
    <cellStyle name="20% - Accent4 5 4 3 3" xfId="22493" xr:uid="{00000000-0005-0000-0000-00008F220000}"/>
    <cellStyle name="20% - Accent4 5 4 4" xfId="22486" xr:uid="{00000000-0005-0000-0000-000090220000}"/>
    <cellStyle name="20% - Accent4 5 4 4 2" xfId="22484" xr:uid="{00000000-0005-0000-0000-000091220000}"/>
    <cellStyle name="20% - Accent4 5 4 5" xfId="22479" xr:uid="{00000000-0005-0000-0000-000092220000}"/>
    <cellStyle name="20% - Accent4 5 4 6" xfId="35214" xr:uid="{00000000-0005-0000-0000-000093220000}"/>
    <cellStyle name="20% - Accent4 5 5" xfId="21292" xr:uid="{00000000-0005-0000-0000-000094220000}"/>
    <cellStyle name="20% - Accent4 5 5 2" xfId="22472" xr:uid="{00000000-0005-0000-0000-000095220000}"/>
    <cellStyle name="20% - Accent4 5 5 2 2" xfId="22471" xr:uid="{00000000-0005-0000-0000-000096220000}"/>
    <cellStyle name="20% - Accent4 5 5 2 2 2" xfId="25161" xr:uid="{00000000-0005-0000-0000-000097220000}"/>
    <cellStyle name="20% - Accent4 5 5 2 3" xfId="22469" xr:uid="{00000000-0005-0000-0000-000098220000}"/>
    <cellStyle name="20% - Accent4 5 5 3" xfId="22467" xr:uid="{00000000-0005-0000-0000-000099220000}"/>
    <cellStyle name="20% - Accent4 5 5 3 2" xfId="17606" xr:uid="{00000000-0005-0000-0000-00009A220000}"/>
    <cellStyle name="20% - Accent4 5 5 4" xfId="22465" xr:uid="{00000000-0005-0000-0000-00009B220000}"/>
    <cellStyle name="20% - Accent4 5 5 5" xfId="35443" xr:uid="{00000000-0005-0000-0000-00009C220000}"/>
    <cellStyle name="20% - Accent4 5 6" xfId="21289" xr:uid="{00000000-0005-0000-0000-00009D220000}"/>
    <cellStyle name="20% - Accent4 5 6 2" xfId="22463" xr:uid="{00000000-0005-0000-0000-00009E220000}"/>
    <cellStyle name="20% - Accent4 5 6 2 2" xfId="22461" xr:uid="{00000000-0005-0000-0000-00009F220000}"/>
    <cellStyle name="20% - Accent4 5 6 3" xfId="29654" xr:uid="{00000000-0005-0000-0000-0000A0220000}"/>
    <cellStyle name="20% - Accent4 5 6 4" xfId="36315" xr:uid="{00000000-0005-0000-0000-0000A1220000}"/>
    <cellStyle name="20% - Accent4 5 7" xfId="23364" xr:uid="{00000000-0005-0000-0000-0000A2220000}"/>
    <cellStyle name="20% - Accent4 5 7 2" xfId="22460" xr:uid="{00000000-0005-0000-0000-0000A3220000}"/>
    <cellStyle name="20% - Accent4 5 7 3" xfId="36601" xr:uid="{00000000-0005-0000-0000-0000A4220000}"/>
    <cellStyle name="20% - Accent4 5 8" xfId="22457" xr:uid="{00000000-0005-0000-0000-0000A5220000}"/>
    <cellStyle name="20% - Accent4 5 8 2" xfId="37486" xr:uid="{00000000-0005-0000-0000-0000A6220000}"/>
    <cellStyle name="20% - Accent4 5 9" xfId="34583" xr:uid="{00000000-0005-0000-0000-0000A7220000}"/>
    <cellStyle name="20% - Accent4 6" xfId="289" xr:uid="{00000000-0005-0000-0000-0000A8220000}"/>
    <cellStyle name="20% - Accent4 6 2" xfId="19824" xr:uid="{00000000-0005-0000-0000-0000A9220000}"/>
    <cellStyle name="20% - Accent4 6 2 2" xfId="24117" xr:uid="{00000000-0005-0000-0000-0000AA220000}"/>
    <cellStyle name="20% - Accent4 6 2 2 2" xfId="19075" xr:uid="{00000000-0005-0000-0000-0000AB220000}"/>
    <cellStyle name="20% - Accent4 6 2 2 2 2" xfId="19074" xr:uid="{00000000-0005-0000-0000-0000AC220000}"/>
    <cellStyle name="20% - Accent4 6 2 2 2 2 2" xfId="22451" xr:uid="{00000000-0005-0000-0000-0000AD220000}"/>
    <cellStyle name="20% - Accent4 6 2 2 2 2 2 2" xfId="21411" xr:uid="{00000000-0005-0000-0000-0000AE220000}"/>
    <cellStyle name="20% - Accent4 6 2 2 2 2 3" xfId="22448" xr:uid="{00000000-0005-0000-0000-0000AF220000}"/>
    <cellStyle name="20% - Accent4 6 2 2 2 3" xfId="26032" xr:uid="{00000000-0005-0000-0000-0000B0220000}"/>
    <cellStyle name="20% - Accent4 6 2 2 2 3 2" xfId="22446" xr:uid="{00000000-0005-0000-0000-0000B1220000}"/>
    <cellStyle name="20% - Accent4 6 2 2 2 4" xfId="6042" xr:uid="{00000000-0005-0000-0000-0000B2220000}"/>
    <cellStyle name="20% - Accent4 6 2 2 3" xfId="5709" xr:uid="{00000000-0005-0000-0000-0000B3220000}"/>
    <cellStyle name="20% - Accent4 6 2 2 3 2" xfId="21656" xr:uid="{00000000-0005-0000-0000-0000B4220000}"/>
    <cellStyle name="20% - Accent4 6 2 2 3 2 2" xfId="22445" xr:uid="{00000000-0005-0000-0000-0000B5220000}"/>
    <cellStyle name="20% - Accent4 6 2 2 3 3" xfId="26020" xr:uid="{00000000-0005-0000-0000-0000B6220000}"/>
    <cellStyle name="20% - Accent4 6 2 2 4" xfId="7751" xr:uid="{00000000-0005-0000-0000-0000B7220000}"/>
    <cellStyle name="20% - Accent4 6 2 2 4 2" xfId="33231" xr:uid="{00000000-0005-0000-0000-0000B8220000}"/>
    <cellStyle name="20% - Accent4 6 2 2 5" xfId="23701" xr:uid="{00000000-0005-0000-0000-0000B9220000}"/>
    <cellStyle name="20% - Accent4 6 2 3" xfId="22444" xr:uid="{00000000-0005-0000-0000-0000BA220000}"/>
    <cellStyle name="20% - Accent4 6 2 3 2" xfId="19065" xr:uid="{00000000-0005-0000-0000-0000BB220000}"/>
    <cellStyle name="20% - Accent4 6 2 3 2 2" xfId="22443" xr:uid="{00000000-0005-0000-0000-0000BC220000}"/>
    <cellStyle name="20% - Accent4 6 2 3 2 2 2" xfId="22442" xr:uid="{00000000-0005-0000-0000-0000BD220000}"/>
    <cellStyle name="20% - Accent4 6 2 3 2 3" xfId="17971" xr:uid="{00000000-0005-0000-0000-0000BE220000}"/>
    <cellStyle name="20% - Accent4 6 2 3 3" xfId="5706" xr:uid="{00000000-0005-0000-0000-0000BF220000}"/>
    <cellStyle name="20% - Accent4 6 2 3 3 2" xfId="22440" xr:uid="{00000000-0005-0000-0000-0000C0220000}"/>
    <cellStyle name="20% - Accent4 6 2 3 4" xfId="22439" xr:uid="{00000000-0005-0000-0000-0000C1220000}"/>
    <cellStyle name="20% - Accent4 6 2 4" xfId="22435" xr:uid="{00000000-0005-0000-0000-0000C2220000}"/>
    <cellStyle name="20% - Accent4 6 2 4 2" xfId="22434" xr:uid="{00000000-0005-0000-0000-0000C3220000}"/>
    <cellStyle name="20% - Accent4 6 2 4 2 2" xfId="25401" xr:uid="{00000000-0005-0000-0000-0000C4220000}"/>
    <cellStyle name="20% - Accent4 6 2 4 3" xfId="22431" xr:uid="{00000000-0005-0000-0000-0000C5220000}"/>
    <cellStyle name="20% - Accent4 6 2 5" xfId="16580" xr:uid="{00000000-0005-0000-0000-0000C6220000}"/>
    <cellStyle name="20% - Accent4 6 2 5 2" xfId="22427" xr:uid="{00000000-0005-0000-0000-0000C7220000}"/>
    <cellStyle name="20% - Accent4 6 2 6" xfId="22420" xr:uid="{00000000-0005-0000-0000-0000C8220000}"/>
    <cellStyle name="20% - Accent4 6 2 7" xfId="34825" xr:uid="{00000000-0005-0000-0000-0000C9220000}"/>
    <cellStyle name="20% - Accent4 6 3" xfId="22416" xr:uid="{00000000-0005-0000-0000-0000CA220000}"/>
    <cellStyle name="20% - Accent4 6 3 2" xfId="22408" xr:uid="{00000000-0005-0000-0000-0000CB220000}"/>
    <cellStyle name="20% - Accent4 6 3 2 2" xfId="19051" xr:uid="{00000000-0005-0000-0000-0000CC220000}"/>
    <cellStyle name="20% - Accent4 6 3 2 2 2" xfId="22393" xr:uid="{00000000-0005-0000-0000-0000CD220000}"/>
    <cellStyle name="20% - Accent4 6 3 2 2 2 2" xfId="22391" xr:uid="{00000000-0005-0000-0000-0000CE220000}"/>
    <cellStyle name="20% - Accent4 6 3 2 2 3" xfId="24769" xr:uid="{00000000-0005-0000-0000-0000CF220000}"/>
    <cellStyle name="20% - Accent4 6 3 2 3" xfId="14158" xr:uid="{00000000-0005-0000-0000-0000D0220000}"/>
    <cellStyle name="20% - Accent4 6 3 2 3 2" xfId="22096" xr:uid="{00000000-0005-0000-0000-0000D1220000}"/>
    <cellStyle name="20% - Accent4 6 3 2 4" xfId="22284" xr:uid="{00000000-0005-0000-0000-0000D2220000}"/>
    <cellStyle name="20% - Accent4 6 3 3" xfId="22390" xr:uid="{00000000-0005-0000-0000-0000D3220000}"/>
    <cellStyle name="20% - Accent4 6 3 3 2" xfId="22386" xr:uid="{00000000-0005-0000-0000-0000D4220000}"/>
    <cellStyle name="20% - Accent4 6 3 3 2 2" xfId="22382" xr:uid="{00000000-0005-0000-0000-0000D5220000}"/>
    <cellStyle name="20% - Accent4 6 3 3 3" xfId="22381" xr:uid="{00000000-0005-0000-0000-0000D6220000}"/>
    <cellStyle name="20% - Accent4 6 3 4" xfId="22378" xr:uid="{00000000-0005-0000-0000-0000D7220000}"/>
    <cellStyle name="20% - Accent4 6 3 4 2" xfId="22371" xr:uid="{00000000-0005-0000-0000-0000D8220000}"/>
    <cellStyle name="20% - Accent4 6 3 5" xfId="22366" xr:uid="{00000000-0005-0000-0000-0000D9220000}"/>
    <cellStyle name="20% - Accent4 6 3 6" xfId="35027" xr:uid="{00000000-0005-0000-0000-0000DA220000}"/>
    <cellStyle name="20% - Accent4 6 4" xfId="22362" xr:uid="{00000000-0005-0000-0000-0000DB220000}"/>
    <cellStyle name="20% - Accent4 6 4 2" xfId="22355" xr:uid="{00000000-0005-0000-0000-0000DC220000}"/>
    <cellStyle name="20% - Accent4 6 4 2 2" xfId="17688" xr:uid="{00000000-0005-0000-0000-0000DD220000}"/>
    <cellStyle name="20% - Accent4 6 4 2 2 2" xfId="22348" xr:uid="{00000000-0005-0000-0000-0000DE220000}"/>
    <cellStyle name="20% - Accent4 6 4 2 3" xfId="22341" xr:uid="{00000000-0005-0000-0000-0000DF220000}"/>
    <cellStyle name="20% - Accent4 6 4 3" xfId="22336" xr:uid="{00000000-0005-0000-0000-0000E0220000}"/>
    <cellStyle name="20% - Accent4 6 4 3 2" xfId="22328" xr:uid="{00000000-0005-0000-0000-0000E1220000}"/>
    <cellStyle name="20% - Accent4 6 4 4" xfId="22326" xr:uid="{00000000-0005-0000-0000-0000E2220000}"/>
    <cellStyle name="20% - Accent4 6 4 5" xfId="35233" xr:uid="{00000000-0005-0000-0000-0000E3220000}"/>
    <cellStyle name="20% - Accent4 6 5" xfId="32040" xr:uid="{00000000-0005-0000-0000-0000E4220000}"/>
    <cellStyle name="20% - Accent4 6 5 2" xfId="22322" xr:uid="{00000000-0005-0000-0000-0000E5220000}"/>
    <cellStyle name="20% - Accent4 6 5 2 2" xfId="22312" xr:uid="{00000000-0005-0000-0000-0000E6220000}"/>
    <cellStyle name="20% - Accent4 6 5 3" xfId="22308" xr:uid="{00000000-0005-0000-0000-0000E7220000}"/>
    <cellStyle name="20% - Accent4 6 5 4" xfId="35462" xr:uid="{00000000-0005-0000-0000-0000E8220000}"/>
    <cellStyle name="20% - Accent4 6 6" xfId="32617" xr:uid="{00000000-0005-0000-0000-0000E9220000}"/>
    <cellStyle name="20% - Accent4 6 6 2" xfId="22301" xr:uid="{00000000-0005-0000-0000-0000EA220000}"/>
    <cellStyle name="20% - Accent4 6 6 3" xfId="36334" xr:uid="{00000000-0005-0000-0000-0000EB220000}"/>
    <cellStyle name="20% - Accent4 6 7" xfId="22294" xr:uid="{00000000-0005-0000-0000-0000EC220000}"/>
    <cellStyle name="20% - Accent4 6 7 2" xfId="36620" xr:uid="{00000000-0005-0000-0000-0000ED220000}"/>
    <cellStyle name="20% - Accent4 6 8" xfId="34597" xr:uid="{00000000-0005-0000-0000-0000EE220000}"/>
    <cellStyle name="20% - Accent4 6 9" xfId="19217" xr:uid="{00000000-0005-0000-0000-0000EF220000}"/>
    <cellStyle name="20% - Accent4 7" xfId="309" xr:uid="{00000000-0005-0000-0000-0000F0220000}"/>
    <cellStyle name="20% - Accent4 7 2" xfId="28160" xr:uid="{00000000-0005-0000-0000-0000F1220000}"/>
    <cellStyle name="20% - Accent4 7 2 2" xfId="34165" xr:uid="{00000000-0005-0000-0000-0000F2220000}"/>
    <cellStyle name="20% - Accent4 7 2 2 2" xfId="18516" xr:uid="{00000000-0005-0000-0000-0000F3220000}"/>
    <cellStyle name="20% - Accent4 7 2 2 2 2" xfId="22291" xr:uid="{00000000-0005-0000-0000-0000F4220000}"/>
    <cellStyle name="20% - Accent4 7 2 2 2 2 2" xfId="22290" xr:uid="{00000000-0005-0000-0000-0000F5220000}"/>
    <cellStyle name="20% - Accent4 7 2 2 2 3" xfId="24575" xr:uid="{00000000-0005-0000-0000-0000F6220000}"/>
    <cellStyle name="20% - Accent4 7 2 2 3" xfId="5697" xr:uid="{00000000-0005-0000-0000-0000F7220000}"/>
    <cellStyle name="20% - Accent4 7 2 2 3 2" xfId="22289" xr:uid="{00000000-0005-0000-0000-0000F8220000}"/>
    <cellStyle name="20% - Accent4 7 2 2 4" xfId="22281" xr:uid="{00000000-0005-0000-0000-0000F9220000}"/>
    <cellStyle name="20% - Accent4 7 2 3" xfId="23241" xr:uid="{00000000-0005-0000-0000-0000FA220000}"/>
    <cellStyle name="20% - Accent4 7 2 3 2" xfId="22279" xr:uid="{00000000-0005-0000-0000-0000FB220000}"/>
    <cellStyle name="20% - Accent4 7 2 3 2 2" xfId="21069" xr:uid="{00000000-0005-0000-0000-0000FC220000}"/>
    <cellStyle name="20% - Accent4 7 2 3 3" xfId="22278" xr:uid="{00000000-0005-0000-0000-0000FD220000}"/>
    <cellStyle name="20% - Accent4 7 2 4" xfId="22276" xr:uid="{00000000-0005-0000-0000-0000FE220000}"/>
    <cellStyle name="20% - Accent4 7 2 4 2" xfId="31306" xr:uid="{00000000-0005-0000-0000-0000FF220000}"/>
    <cellStyle name="20% - Accent4 7 2 5" xfId="22273" xr:uid="{00000000-0005-0000-0000-000000230000}"/>
    <cellStyle name="20% - Accent4 7 2 6" xfId="34844" xr:uid="{00000000-0005-0000-0000-000001230000}"/>
    <cellStyle name="20% - Accent4 7 3" xfId="28154" xr:uid="{00000000-0005-0000-0000-000002230000}"/>
    <cellStyle name="20% - Accent4 7 3 2" xfId="23233" xr:uid="{00000000-0005-0000-0000-000003230000}"/>
    <cellStyle name="20% - Accent4 7 3 2 2" xfId="22267" xr:uid="{00000000-0005-0000-0000-000004230000}"/>
    <cellStyle name="20% - Accent4 7 3 2 2 2" xfId="26891" xr:uid="{00000000-0005-0000-0000-000005230000}"/>
    <cellStyle name="20% - Accent4 7 3 2 3" xfId="22264" xr:uid="{00000000-0005-0000-0000-000006230000}"/>
    <cellStyle name="20% - Accent4 7 3 3" xfId="22262" xr:uid="{00000000-0005-0000-0000-000007230000}"/>
    <cellStyle name="20% - Accent4 7 3 3 2" xfId="22258" xr:uid="{00000000-0005-0000-0000-000008230000}"/>
    <cellStyle name="20% - Accent4 7 3 4" xfId="22099" xr:uid="{00000000-0005-0000-0000-000009230000}"/>
    <cellStyle name="20% - Accent4 7 3 5" xfId="35046" xr:uid="{00000000-0005-0000-0000-00000A230000}"/>
    <cellStyle name="20% - Accent4 7 4" xfId="33620" xr:uid="{00000000-0005-0000-0000-00000B230000}"/>
    <cellStyle name="20% - Accent4 7 4 2" xfId="22256" xr:uid="{00000000-0005-0000-0000-00000C230000}"/>
    <cellStyle name="20% - Accent4 7 4 2 2" xfId="22250" xr:uid="{00000000-0005-0000-0000-00000D230000}"/>
    <cellStyle name="20% - Accent4 7 4 3" xfId="22248" xr:uid="{00000000-0005-0000-0000-00000E230000}"/>
    <cellStyle name="20% - Accent4 7 4 4" xfId="35253" xr:uid="{00000000-0005-0000-0000-00000F230000}"/>
    <cellStyle name="20% - Accent4 7 5" xfId="32108" xr:uid="{00000000-0005-0000-0000-000010230000}"/>
    <cellStyle name="20% - Accent4 7 5 2" xfId="22246" xr:uid="{00000000-0005-0000-0000-000011230000}"/>
    <cellStyle name="20% - Accent4 7 5 3" xfId="35482" xr:uid="{00000000-0005-0000-0000-000012230000}"/>
    <cellStyle name="20% - Accent4 7 6" xfId="22240" xr:uid="{00000000-0005-0000-0000-000013230000}"/>
    <cellStyle name="20% - Accent4 7 6 2" xfId="36354" xr:uid="{00000000-0005-0000-0000-000014230000}"/>
    <cellStyle name="20% - Accent4 7 7" xfId="34611" xr:uid="{00000000-0005-0000-0000-000015230000}"/>
    <cellStyle name="20% - Accent4 7 8" xfId="23054" xr:uid="{00000000-0005-0000-0000-000016230000}"/>
    <cellStyle name="20% - Accent4 7 8 2" xfId="37512" xr:uid="{00000000-0005-0000-0000-000017230000}"/>
    <cellStyle name="20% - Accent4 8" xfId="329" xr:uid="{00000000-0005-0000-0000-000018230000}"/>
    <cellStyle name="20% - Accent4 8 2" xfId="28133" xr:uid="{00000000-0005-0000-0000-000019230000}"/>
    <cellStyle name="20% - Accent4 8 2 2" xfId="23225" xr:uid="{00000000-0005-0000-0000-00001A230000}"/>
    <cellStyle name="20% - Accent4 8 2 2 2" xfId="30591" xr:uid="{00000000-0005-0000-0000-00001B230000}"/>
    <cellStyle name="20% - Accent4 8 2 2 2 2" xfId="22237" xr:uid="{00000000-0005-0000-0000-00001C230000}"/>
    <cellStyle name="20% - Accent4 8 2 2 3" xfId="22234" xr:uid="{00000000-0005-0000-0000-00001D230000}"/>
    <cellStyle name="20% - Accent4 8 2 3" xfId="22232" xr:uid="{00000000-0005-0000-0000-00001E230000}"/>
    <cellStyle name="20% - Accent4 8 2 3 2" xfId="22230" xr:uid="{00000000-0005-0000-0000-00001F230000}"/>
    <cellStyle name="20% - Accent4 8 2 4" xfId="22229" xr:uid="{00000000-0005-0000-0000-000020230000}"/>
    <cellStyle name="20% - Accent4 8 2 5" xfId="34863" xr:uid="{00000000-0005-0000-0000-000021230000}"/>
    <cellStyle name="20% - Accent4 8 3" xfId="18426" xr:uid="{00000000-0005-0000-0000-000022230000}"/>
    <cellStyle name="20% - Accent4 8 3 2" xfId="22225" xr:uid="{00000000-0005-0000-0000-000023230000}"/>
    <cellStyle name="20% - Accent4 8 3 2 2" xfId="21928" xr:uid="{00000000-0005-0000-0000-000024230000}"/>
    <cellStyle name="20% - Accent4 8 3 3" xfId="22224" xr:uid="{00000000-0005-0000-0000-000025230000}"/>
    <cellStyle name="20% - Accent4 8 3 4" xfId="35065" xr:uid="{00000000-0005-0000-0000-000026230000}"/>
    <cellStyle name="20% - Accent4 8 4" xfId="18421" xr:uid="{00000000-0005-0000-0000-000027230000}"/>
    <cellStyle name="20% - Accent4 8 4 2" xfId="22222" xr:uid="{00000000-0005-0000-0000-000028230000}"/>
    <cellStyle name="20% - Accent4 8 4 3" xfId="35272" xr:uid="{00000000-0005-0000-0000-000029230000}"/>
    <cellStyle name="20% - Accent4 8 5" xfId="22220" xr:uid="{00000000-0005-0000-0000-00002A230000}"/>
    <cellStyle name="20% - Accent4 8 5 2" xfId="35501" xr:uid="{00000000-0005-0000-0000-00002B230000}"/>
    <cellStyle name="20% - Accent4 8 6" xfId="34625" xr:uid="{00000000-0005-0000-0000-00002C230000}"/>
    <cellStyle name="20% - Accent4 8 7" xfId="22239" xr:uid="{00000000-0005-0000-0000-00002D230000}"/>
    <cellStyle name="20% - Accent4 8 7 2" xfId="36646" xr:uid="{00000000-0005-0000-0000-00002E230000}"/>
    <cellStyle name="20% - Accent4 8 8" xfId="37531" xr:uid="{00000000-0005-0000-0000-00002F230000}"/>
    <cellStyle name="20% - Accent4 9" xfId="349" xr:uid="{00000000-0005-0000-0000-000030230000}"/>
    <cellStyle name="20% - Accent4 9 2" xfId="22213" xr:uid="{00000000-0005-0000-0000-000031230000}"/>
    <cellStyle name="20% - Accent4 9 2 2" xfId="24152" xr:uid="{00000000-0005-0000-0000-000032230000}"/>
    <cellStyle name="20% - Accent4 9 2 2 2" xfId="22209" xr:uid="{00000000-0005-0000-0000-000033230000}"/>
    <cellStyle name="20% - Accent4 9 2 3" xfId="22207" xr:uid="{00000000-0005-0000-0000-000034230000}"/>
    <cellStyle name="20% - Accent4 9 2 4" xfId="34883" xr:uid="{00000000-0005-0000-0000-000035230000}"/>
    <cellStyle name="20% - Accent4 9 3" xfId="14723" xr:uid="{00000000-0005-0000-0000-000036230000}"/>
    <cellStyle name="20% - Accent4 9 3 2" xfId="22202" xr:uid="{00000000-0005-0000-0000-000037230000}"/>
    <cellStyle name="20% - Accent4 9 3 3" xfId="35084" xr:uid="{00000000-0005-0000-0000-000038230000}"/>
    <cellStyle name="20% - Accent4 9 4" xfId="18521" xr:uid="{00000000-0005-0000-0000-000039230000}"/>
    <cellStyle name="20% - Accent4 9 4 2" xfId="35292" xr:uid="{00000000-0005-0000-0000-00003A230000}"/>
    <cellStyle name="20% - Accent4 9 5" xfId="34639" xr:uid="{00000000-0005-0000-0000-00003B230000}"/>
    <cellStyle name="20% - Accent4 9 6" xfId="22217" xr:uid="{00000000-0005-0000-0000-00003C230000}"/>
    <cellStyle name="20% - Accent4 9 6 2" xfId="36380" xr:uid="{00000000-0005-0000-0000-00003D230000}"/>
    <cellStyle name="20% - Accent4 9 7" xfId="36666" xr:uid="{00000000-0005-0000-0000-00003E230000}"/>
    <cellStyle name="20% - Accent4 9 8" xfId="37551" xr:uid="{00000000-0005-0000-0000-00003F230000}"/>
    <cellStyle name="20% - Accent5" xfId="39" builtinId="46" customBuiltin="1"/>
    <cellStyle name="20% - Accent5 10" xfId="190" xr:uid="{00000000-0005-0000-0000-000041230000}"/>
    <cellStyle name="20% - Accent5 10 2" xfId="24494" xr:uid="{00000000-0005-0000-0000-000042230000}"/>
    <cellStyle name="20% - Accent5 10 2 2" xfId="11793" xr:uid="{00000000-0005-0000-0000-000043230000}"/>
    <cellStyle name="20% - Accent5 10 2 3" xfId="34904" xr:uid="{00000000-0005-0000-0000-000044230000}"/>
    <cellStyle name="20% - Accent5 10 3" xfId="24464" xr:uid="{00000000-0005-0000-0000-000045230000}"/>
    <cellStyle name="20% - Accent5 10 3 2" xfId="35106" xr:uid="{00000000-0005-0000-0000-000046230000}"/>
    <cellStyle name="20% - Accent5 10 4" xfId="34528" xr:uid="{00000000-0005-0000-0000-000047230000}"/>
    <cellStyle name="20% - Accent5 10 5" xfId="22201" xr:uid="{00000000-0005-0000-0000-000048230000}"/>
    <cellStyle name="20% - Accent5 10 5 2" xfId="35529" xr:uid="{00000000-0005-0000-0000-000049230000}"/>
    <cellStyle name="20% - Accent5 10 6" xfId="36402" xr:uid="{00000000-0005-0000-0000-00004A230000}"/>
    <cellStyle name="20% - Accent5 10 7" xfId="36688" xr:uid="{00000000-0005-0000-0000-00004B230000}"/>
    <cellStyle name="20% - Accent5 10 8" xfId="37573" xr:uid="{00000000-0005-0000-0000-00004C230000}"/>
    <cellStyle name="20% - Accent5 11" xfId="22194" xr:uid="{00000000-0005-0000-0000-00004D230000}"/>
    <cellStyle name="20% - Accent5 11 2" xfId="24477" xr:uid="{00000000-0005-0000-0000-00004E230000}"/>
    <cellStyle name="20% - Accent5 11 2 2" xfId="35125" xr:uid="{00000000-0005-0000-0000-00004F230000}"/>
    <cellStyle name="20% - Accent5 11 3" xfId="34698" xr:uid="{00000000-0005-0000-0000-000050230000}"/>
    <cellStyle name="20% - Accent5 11 4" xfId="35549" xr:uid="{00000000-0005-0000-0000-000051230000}"/>
    <cellStyle name="20% - Accent5 11 5" xfId="36422" xr:uid="{00000000-0005-0000-0000-000052230000}"/>
    <cellStyle name="20% - Accent5 11 6" xfId="36708" xr:uid="{00000000-0005-0000-0000-000053230000}"/>
    <cellStyle name="20% - Accent5 11 7" xfId="37593" xr:uid="{00000000-0005-0000-0000-000054230000}"/>
    <cellStyle name="20% - Accent5 12" xfId="22193" xr:uid="{00000000-0005-0000-0000-000055230000}"/>
    <cellStyle name="20% - Accent5 12 2" xfId="34715" xr:uid="{00000000-0005-0000-0000-000056230000}"/>
    <cellStyle name="20% - Accent5 12 3" xfId="35328" xr:uid="{00000000-0005-0000-0000-000057230000}"/>
    <cellStyle name="20% - Accent5 12 4" xfId="35568" xr:uid="{00000000-0005-0000-0000-000058230000}"/>
    <cellStyle name="20% - Accent5 12 5" xfId="36441" xr:uid="{00000000-0005-0000-0000-000059230000}"/>
    <cellStyle name="20% - Accent5 12 6" xfId="36727" xr:uid="{00000000-0005-0000-0000-00005A230000}"/>
    <cellStyle name="20% - Accent5 12 7" xfId="37612" xr:uid="{00000000-0005-0000-0000-00005B230000}"/>
    <cellStyle name="20% - Accent5 13" xfId="22187" xr:uid="{00000000-0005-0000-0000-00005C230000}"/>
    <cellStyle name="20% - Accent5 13 2" xfId="34743" xr:uid="{00000000-0005-0000-0000-00005D230000}"/>
    <cellStyle name="20% - Accent5 13 3" xfId="35587" xr:uid="{00000000-0005-0000-0000-00005E230000}"/>
    <cellStyle name="20% - Accent5 13 4" xfId="36462" xr:uid="{00000000-0005-0000-0000-00005F230000}"/>
    <cellStyle name="20% - Accent5 13 5" xfId="36748" xr:uid="{00000000-0005-0000-0000-000060230000}"/>
    <cellStyle name="20% - Accent5 13 6" xfId="37633" xr:uid="{00000000-0005-0000-0000-000061230000}"/>
    <cellStyle name="20% - Accent5 14" xfId="19751" xr:uid="{00000000-0005-0000-0000-000062230000}"/>
    <cellStyle name="20% - Accent5 14 2" xfId="34933" xr:uid="{00000000-0005-0000-0000-000063230000}"/>
    <cellStyle name="20% - Accent5 14 3" xfId="36758" xr:uid="{00000000-0005-0000-0000-000064230000}"/>
    <cellStyle name="20% - Accent5 14 4" xfId="37643" xr:uid="{00000000-0005-0000-0000-000065230000}"/>
    <cellStyle name="20% - Accent5 15" xfId="34651" xr:uid="{00000000-0005-0000-0000-000066230000}"/>
    <cellStyle name="20% - Accent5 15 2" xfId="36487" xr:uid="{00000000-0005-0000-0000-000067230000}"/>
    <cellStyle name="20% - Accent5 15 3" xfId="36785" xr:uid="{00000000-0005-0000-0000-000068230000}"/>
    <cellStyle name="20% - Accent5 15 4" xfId="37673" xr:uid="{00000000-0005-0000-0000-000069230000}"/>
    <cellStyle name="20% - Accent5 16" xfId="35367" xr:uid="{00000000-0005-0000-0000-00006A230000}"/>
    <cellStyle name="20% - Accent5 16 2" xfId="36505" xr:uid="{00000000-0005-0000-0000-00006B230000}"/>
    <cellStyle name="20% - Accent5 16 3" xfId="36803" xr:uid="{00000000-0005-0000-0000-00006C230000}"/>
    <cellStyle name="20% - Accent5 16 4" xfId="37692" xr:uid="{00000000-0005-0000-0000-00006D230000}"/>
    <cellStyle name="20% - Accent5 17" xfId="35654" xr:uid="{00000000-0005-0000-0000-00006E230000}"/>
    <cellStyle name="20% - Accent5 17 2" xfId="36822" xr:uid="{00000000-0005-0000-0000-00006F230000}"/>
    <cellStyle name="20% - Accent5 17 3" xfId="37712" xr:uid="{00000000-0005-0000-0000-000070230000}"/>
    <cellStyle name="20% - Accent5 18" xfId="35672" xr:uid="{00000000-0005-0000-0000-000071230000}"/>
    <cellStyle name="20% - Accent5 18 2" xfId="36841" xr:uid="{00000000-0005-0000-0000-000072230000}"/>
    <cellStyle name="20% - Accent5 18 3" xfId="37731" xr:uid="{00000000-0005-0000-0000-000073230000}"/>
    <cellStyle name="20% - Accent5 19" xfId="35691" xr:uid="{00000000-0005-0000-0000-000074230000}"/>
    <cellStyle name="20% - Accent5 19 2" xfId="36860" xr:uid="{00000000-0005-0000-0000-000075230000}"/>
    <cellStyle name="20% - Accent5 19 3" xfId="37750" xr:uid="{00000000-0005-0000-0000-000076230000}"/>
    <cellStyle name="20% - Accent5 2" xfId="90" xr:uid="{00000000-0005-0000-0000-000077230000}"/>
    <cellStyle name="20% - Accent5 2 10" xfId="13044" xr:uid="{00000000-0005-0000-0000-000078230000}"/>
    <cellStyle name="20% - Accent5 2 10 2" xfId="11666" xr:uid="{00000000-0005-0000-0000-000079230000}"/>
    <cellStyle name="20% - Accent5 2 10 3" xfId="37431" xr:uid="{00000000-0005-0000-0000-00007A230000}"/>
    <cellStyle name="20% - Accent5 2 11" xfId="7517" xr:uid="{00000000-0005-0000-0000-00007B230000}"/>
    <cellStyle name="20% - Accent5 2 12" xfId="34446" xr:uid="{00000000-0005-0000-0000-00007C230000}"/>
    <cellStyle name="20% - Accent5 2 13" xfId="22438" xr:uid="{00000000-0005-0000-0000-00007D230000}"/>
    <cellStyle name="20% - Accent5 2 2" xfId="151" xr:uid="{00000000-0005-0000-0000-00007E230000}"/>
    <cellStyle name="20% - Accent5 2 2 10" xfId="22186" xr:uid="{00000000-0005-0000-0000-00007F230000}"/>
    <cellStyle name="20% - Accent5 2 2 11" xfId="34501" xr:uid="{00000000-0005-0000-0000-000080230000}"/>
    <cellStyle name="20% - Accent5 2 2 12" xfId="33207" xr:uid="{00000000-0005-0000-0000-000081230000}"/>
    <cellStyle name="20% - Accent5 2 2 2" xfId="22185" xr:uid="{00000000-0005-0000-0000-000082230000}"/>
    <cellStyle name="20% - Accent5 2 2 2 2" xfId="22183" xr:uid="{00000000-0005-0000-0000-000083230000}"/>
    <cellStyle name="20% - Accent5 2 2 2 2 2" xfId="22178" xr:uid="{00000000-0005-0000-0000-000084230000}"/>
    <cellStyle name="20% - Accent5 2 2 2 2 2 2" xfId="25721" xr:uid="{00000000-0005-0000-0000-000085230000}"/>
    <cellStyle name="20% - Accent5 2 2 2 2 2 2 2" xfId="32174" xr:uid="{00000000-0005-0000-0000-000086230000}"/>
    <cellStyle name="20% - Accent5 2 2 2 2 2 2 2 2" xfId="22174" xr:uid="{00000000-0005-0000-0000-000087230000}"/>
    <cellStyle name="20% - Accent5 2 2 2 2 2 2 2 2 2" xfId="22173" xr:uid="{00000000-0005-0000-0000-000088230000}"/>
    <cellStyle name="20% - Accent5 2 2 2 2 2 2 2 2 2 2" xfId="22538" xr:uid="{00000000-0005-0000-0000-000089230000}"/>
    <cellStyle name="20% - Accent5 2 2 2 2 2 2 2 2 2 2 2" xfId="22171" xr:uid="{00000000-0005-0000-0000-00008A230000}"/>
    <cellStyle name="20% - Accent5 2 2 2 2 2 2 2 2 2 3" xfId="22523" xr:uid="{00000000-0005-0000-0000-00008B230000}"/>
    <cellStyle name="20% - Accent5 2 2 2 2 2 2 2 2 3" xfId="22169" xr:uid="{00000000-0005-0000-0000-00008C230000}"/>
    <cellStyle name="20% - Accent5 2 2 2 2 2 2 2 2 3 2" xfId="22517" xr:uid="{00000000-0005-0000-0000-00008D230000}"/>
    <cellStyle name="20% - Accent5 2 2 2 2 2 2 2 2 4" xfId="24672" xr:uid="{00000000-0005-0000-0000-00008E230000}"/>
    <cellStyle name="20% - Accent5 2 2 2 2 2 2 2 3" xfId="22167" xr:uid="{00000000-0005-0000-0000-00008F230000}"/>
    <cellStyle name="20% - Accent5 2 2 2 2 2 2 2 3 2" xfId="22166" xr:uid="{00000000-0005-0000-0000-000090230000}"/>
    <cellStyle name="20% - Accent5 2 2 2 2 2 2 2 3 2 2" xfId="22502" xr:uid="{00000000-0005-0000-0000-000091230000}"/>
    <cellStyle name="20% - Accent5 2 2 2 2 2 2 2 3 3" xfId="22165" xr:uid="{00000000-0005-0000-0000-000092230000}"/>
    <cellStyle name="20% - Accent5 2 2 2 2 2 2 2 4" xfId="27721" xr:uid="{00000000-0005-0000-0000-000093230000}"/>
    <cellStyle name="20% - Accent5 2 2 2 2 2 2 2 4 2" xfId="22163" xr:uid="{00000000-0005-0000-0000-000094230000}"/>
    <cellStyle name="20% - Accent5 2 2 2 2 2 2 2 5" xfId="27711" xr:uid="{00000000-0005-0000-0000-000095230000}"/>
    <cellStyle name="20% - Accent5 2 2 2 2 2 2 3" xfId="25918" xr:uid="{00000000-0005-0000-0000-000096230000}"/>
    <cellStyle name="20% - Accent5 2 2 2 2 2 2 3 2" xfId="22160" xr:uid="{00000000-0005-0000-0000-000097230000}"/>
    <cellStyle name="20% - Accent5 2 2 2 2 2 2 3 2 2" xfId="22156" xr:uid="{00000000-0005-0000-0000-000098230000}"/>
    <cellStyle name="20% - Accent5 2 2 2 2 2 2 3 2 2 2" xfId="25160" xr:uid="{00000000-0005-0000-0000-000099230000}"/>
    <cellStyle name="20% - Accent5 2 2 2 2 2 2 3 2 3" xfId="22155" xr:uid="{00000000-0005-0000-0000-00009A230000}"/>
    <cellStyle name="20% - Accent5 2 2 2 2 2 2 3 3" xfId="22152" xr:uid="{00000000-0005-0000-0000-00009B230000}"/>
    <cellStyle name="20% - Accent5 2 2 2 2 2 2 3 3 2" xfId="22149" xr:uid="{00000000-0005-0000-0000-00009C230000}"/>
    <cellStyle name="20% - Accent5 2 2 2 2 2 2 3 4" xfId="8292" xr:uid="{00000000-0005-0000-0000-00009D230000}"/>
    <cellStyle name="20% - Accent5 2 2 2 2 2 2 4" xfId="25910" xr:uid="{00000000-0005-0000-0000-00009E230000}"/>
    <cellStyle name="20% - Accent5 2 2 2 2 2 2 4 2" xfId="22148" xr:uid="{00000000-0005-0000-0000-00009F230000}"/>
    <cellStyle name="20% - Accent5 2 2 2 2 2 2 4 2 2" xfId="22145" xr:uid="{00000000-0005-0000-0000-0000A0230000}"/>
    <cellStyle name="20% - Accent5 2 2 2 2 2 2 4 3" xfId="8288" xr:uid="{00000000-0005-0000-0000-0000A1230000}"/>
    <cellStyle name="20% - Accent5 2 2 2 2 2 2 5" xfId="25902" xr:uid="{00000000-0005-0000-0000-0000A2230000}"/>
    <cellStyle name="20% - Accent5 2 2 2 2 2 2 5 2" xfId="19915" xr:uid="{00000000-0005-0000-0000-0000A3230000}"/>
    <cellStyle name="20% - Accent5 2 2 2 2 2 2 6" xfId="31649" xr:uid="{00000000-0005-0000-0000-0000A4230000}"/>
    <cellStyle name="20% - Accent5 2 2 2 2 2 3" xfId="30976" xr:uid="{00000000-0005-0000-0000-0000A5230000}"/>
    <cellStyle name="20% - Accent5 2 2 2 2 2 3 2" xfId="12026" xr:uid="{00000000-0005-0000-0000-0000A6230000}"/>
    <cellStyle name="20% - Accent5 2 2 2 2 2 3 2 2" xfId="19516" xr:uid="{00000000-0005-0000-0000-0000A7230000}"/>
    <cellStyle name="20% - Accent5 2 2 2 2 2 3 2 2 2" xfId="22142" xr:uid="{00000000-0005-0000-0000-0000A8230000}"/>
    <cellStyle name="20% - Accent5 2 2 2 2 2 3 2 2 2 2" xfId="22346" xr:uid="{00000000-0005-0000-0000-0000A9230000}"/>
    <cellStyle name="20% - Accent5 2 2 2 2 2 3 2 2 3" xfId="16234" xr:uid="{00000000-0005-0000-0000-0000AA230000}"/>
    <cellStyle name="20% - Accent5 2 2 2 2 2 3 2 3" xfId="22137" xr:uid="{00000000-0005-0000-0000-0000AB230000}"/>
    <cellStyle name="20% - Accent5 2 2 2 2 2 3 2 3 2" xfId="22133" xr:uid="{00000000-0005-0000-0000-0000AC230000}"/>
    <cellStyle name="20% - Accent5 2 2 2 2 2 3 2 4" xfId="23290" xr:uid="{00000000-0005-0000-0000-0000AD230000}"/>
    <cellStyle name="20% - Accent5 2 2 2 2 2 3 3" xfId="12975" xr:uid="{00000000-0005-0000-0000-0000AE230000}"/>
    <cellStyle name="20% - Accent5 2 2 2 2 2 3 3 2" xfId="22126" xr:uid="{00000000-0005-0000-0000-0000AF230000}"/>
    <cellStyle name="20% - Accent5 2 2 2 2 2 3 3 2 2" xfId="22121" xr:uid="{00000000-0005-0000-0000-0000B0230000}"/>
    <cellStyle name="20% - Accent5 2 2 2 2 2 3 3 3" xfId="8274" xr:uid="{00000000-0005-0000-0000-0000B1230000}"/>
    <cellStyle name="20% - Accent5 2 2 2 2 2 3 4" xfId="12971" xr:uid="{00000000-0005-0000-0000-0000B2230000}"/>
    <cellStyle name="20% - Accent5 2 2 2 2 2 3 4 2" xfId="8266" xr:uid="{00000000-0005-0000-0000-0000B3230000}"/>
    <cellStyle name="20% - Accent5 2 2 2 2 2 3 5" xfId="8077" xr:uid="{00000000-0005-0000-0000-0000B4230000}"/>
    <cellStyle name="20% - Accent5 2 2 2 2 2 4" xfId="23954" xr:uid="{00000000-0005-0000-0000-0000B5230000}"/>
    <cellStyle name="20% - Accent5 2 2 2 2 2 4 2" xfId="18527" xr:uid="{00000000-0005-0000-0000-0000B6230000}"/>
    <cellStyle name="20% - Accent5 2 2 2 2 2 4 2 2" xfId="23760" xr:uid="{00000000-0005-0000-0000-0000B7230000}"/>
    <cellStyle name="20% - Accent5 2 2 2 2 2 4 2 2 2" xfId="22117" xr:uid="{00000000-0005-0000-0000-0000B8230000}"/>
    <cellStyle name="20% - Accent5 2 2 2 2 2 4 2 3" xfId="23756" xr:uid="{00000000-0005-0000-0000-0000B9230000}"/>
    <cellStyle name="20% - Accent5 2 2 2 2 2 4 3" xfId="12960" xr:uid="{00000000-0005-0000-0000-0000BA230000}"/>
    <cellStyle name="20% - Accent5 2 2 2 2 2 4 3 2" xfId="8255" xr:uid="{00000000-0005-0000-0000-0000BB230000}"/>
    <cellStyle name="20% - Accent5 2 2 2 2 2 4 4" xfId="12958" xr:uid="{00000000-0005-0000-0000-0000BC230000}"/>
    <cellStyle name="20% - Accent5 2 2 2 2 2 5" xfId="27647" xr:uid="{00000000-0005-0000-0000-0000BD230000}"/>
    <cellStyle name="20% - Accent5 2 2 2 2 2 5 2" xfId="27520" xr:uid="{00000000-0005-0000-0000-0000BE230000}"/>
    <cellStyle name="20% - Accent5 2 2 2 2 2 5 2 2" xfId="22957" xr:uid="{00000000-0005-0000-0000-0000BF230000}"/>
    <cellStyle name="20% - Accent5 2 2 2 2 2 5 3" xfId="12945" xr:uid="{00000000-0005-0000-0000-0000C0230000}"/>
    <cellStyle name="20% - Accent5 2 2 2 2 2 6" xfId="22112" xr:uid="{00000000-0005-0000-0000-0000C1230000}"/>
    <cellStyle name="20% - Accent5 2 2 2 2 2 6 2" xfId="12942" xr:uid="{00000000-0005-0000-0000-0000C2230000}"/>
    <cellStyle name="20% - Accent5 2 2 2 2 2 7" xfId="22110" xr:uid="{00000000-0005-0000-0000-0000C3230000}"/>
    <cellStyle name="20% - Accent5 2 2 2 2 3" xfId="22132" xr:uid="{00000000-0005-0000-0000-0000C4230000}"/>
    <cellStyle name="20% - Accent5 2 2 2 2 3 2" xfId="27495" xr:uid="{00000000-0005-0000-0000-0000C5230000}"/>
    <cellStyle name="20% - Accent5 2 2 2 2 3 2 2" xfId="25879" xr:uid="{00000000-0005-0000-0000-0000C6230000}"/>
    <cellStyle name="20% - Accent5 2 2 2 2 3 2 2 2" xfId="22109" xr:uid="{00000000-0005-0000-0000-0000C7230000}"/>
    <cellStyle name="20% - Accent5 2 2 2 2 3 2 2 2 2" xfId="22104" xr:uid="{00000000-0005-0000-0000-0000C8230000}"/>
    <cellStyle name="20% - Accent5 2 2 2 2 3 2 2 2 2 2" xfId="32194" xr:uid="{00000000-0005-0000-0000-0000C9230000}"/>
    <cellStyle name="20% - Accent5 2 2 2 2 3 2 2 2 3" xfId="26974" xr:uid="{00000000-0005-0000-0000-0000CA230000}"/>
    <cellStyle name="20% - Accent5 2 2 2 2 3 2 2 3" xfId="24291" xr:uid="{00000000-0005-0000-0000-0000CB230000}"/>
    <cellStyle name="20% - Accent5 2 2 2 2 3 2 2 3 2" xfId="23686" xr:uid="{00000000-0005-0000-0000-0000CC230000}"/>
    <cellStyle name="20% - Accent5 2 2 2 2 3 2 2 4" xfId="25082" xr:uid="{00000000-0005-0000-0000-0000CD230000}"/>
    <cellStyle name="20% - Accent5 2 2 2 2 3 2 3" xfId="32227" xr:uid="{00000000-0005-0000-0000-0000CE230000}"/>
    <cellStyle name="20% - Accent5 2 2 2 2 3 2 3 2" xfId="22102" xr:uid="{00000000-0005-0000-0000-0000CF230000}"/>
    <cellStyle name="20% - Accent5 2 2 2 2 3 2 3 2 2" xfId="18769" xr:uid="{00000000-0005-0000-0000-0000D0230000}"/>
    <cellStyle name="20% - Accent5 2 2 2 2 3 2 3 3" xfId="24171" xr:uid="{00000000-0005-0000-0000-0000D1230000}"/>
    <cellStyle name="20% - Accent5 2 2 2 2 3 2 4" xfId="25874" xr:uid="{00000000-0005-0000-0000-0000D2230000}"/>
    <cellStyle name="20% - Accent5 2 2 2 2 3 2 4 2" xfId="8228" xr:uid="{00000000-0005-0000-0000-0000D3230000}"/>
    <cellStyle name="20% - Accent5 2 2 2 2 3 2 5" xfId="30243" xr:uid="{00000000-0005-0000-0000-0000D4230000}"/>
    <cellStyle name="20% - Accent5 2 2 2 2 3 3" xfId="22093" xr:uid="{00000000-0005-0000-0000-0000D5230000}"/>
    <cellStyle name="20% - Accent5 2 2 2 2 3 3 2" xfId="12935" xr:uid="{00000000-0005-0000-0000-0000D6230000}"/>
    <cellStyle name="20% - Accent5 2 2 2 2 3 3 2 2" xfId="22092" xr:uid="{00000000-0005-0000-0000-0000D7230000}"/>
    <cellStyle name="20% - Accent5 2 2 2 2 3 3 2 2 2" xfId="22088" xr:uid="{00000000-0005-0000-0000-0000D8230000}"/>
    <cellStyle name="20% - Accent5 2 2 2 2 3 3 2 3" xfId="24234" xr:uid="{00000000-0005-0000-0000-0000D9230000}"/>
    <cellStyle name="20% - Accent5 2 2 2 2 3 3 3" xfId="25870" xr:uid="{00000000-0005-0000-0000-0000DA230000}"/>
    <cellStyle name="20% - Accent5 2 2 2 2 3 3 3 2" xfId="22084" xr:uid="{00000000-0005-0000-0000-0000DB230000}"/>
    <cellStyle name="20% - Accent5 2 2 2 2 3 3 4" xfId="12933" xr:uid="{00000000-0005-0000-0000-0000DC230000}"/>
    <cellStyle name="20% - Accent5 2 2 2 2 3 4" xfId="22078" xr:uid="{00000000-0005-0000-0000-0000DD230000}"/>
    <cellStyle name="20% - Accent5 2 2 2 2 3 4 2" xfId="12923" xr:uid="{00000000-0005-0000-0000-0000DE230000}"/>
    <cellStyle name="20% - Accent5 2 2 2 2 3 4 2 2" xfId="34159" xr:uid="{00000000-0005-0000-0000-0000DF230000}"/>
    <cellStyle name="20% - Accent5 2 2 2 2 3 4 3" xfId="12921" xr:uid="{00000000-0005-0000-0000-0000E0230000}"/>
    <cellStyle name="20% - Accent5 2 2 2 2 3 5" xfId="22076" xr:uid="{00000000-0005-0000-0000-0000E1230000}"/>
    <cellStyle name="20% - Accent5 2 2 2 2 3 5 2" xfId="12917" xr:uid="{00000000-0005-0000-0000-0000E2230000}"/>
    <cellStyle name="20% - Accent5 2 2 2 2 3 6" xfId="22073" xr:uid="{00000000-0005-0000-0000-0000E3230000}"/>
    <cellStyle name="20% - Accent5 2 2 2 2 4" xfId="22071" xr:uid="{00000000-0005-0000-0000-0000E4230000}"/>
    <cellStyle name="20% - Accent5 2 2 2 2 4 2" xfId="20466" xr:uid="{00000000-0005-0000-0000-0000E5230000}"/>
    <cellStyle name="20% - Accent5 2 2 2 2 4 2 2" xfId="25867" xr:uid="{00000000-0005-0000-0000-0000E6230000}"/>
    <cellStyle name="20% - Accent5 2 2 2 2 4 2 2 2" xfId="22070" xr:uid="{00000000-0005-0000-0000-0000E7230000}"/>
    <cellStyle name="20% - Accent5 2 2 2 2 4 2 2 2 2" xfId="22065" xr:uid="{00000000-0005-0000-0000-0000E8230000}"/>
    <cellStyle name="20% - Accent5 2 2 2 2 4 2 2 3" xfId="24153" xr:uid="{00000000-0005-0000-0000-0000E9230000}"/>
    <cellStyle name="20% - Accent5 2 2 2 2 4 2 3" xfId="30539" xr:uid="{00000000-0005-0000-0000-0000EA230000}"/>
    <cellStyle name="20% - Accent5 2 2 2 2 4 2 3 2" xfId="8206" xr:uid="{00000000-0005-0000-0000-0000EB230000}"/>
    <cellStyle name="20% - Accent5 2 2 2 2 4 2 4" xfId="23708" xr:uid="{00000000-0005-0000-0000-0000EC230000}"/>
    <cellStyle name="20% - Accent5 2 2 2 2 4 3" xfId="32944" xr:uid="{00000000-0005-0000-0000-0000ED230000}"/>
    <cellStyle name="20% - Accent5 2 2 2 2 4 3 2" xfId="12907" xr:uid="{00000000-0005-0000-0000-0000EE230000}"/>
    <cellStyle name="20% - Accent5 2 2 2 2 4 3 2 2" xfId="22062" xr:uid="{00000000-0005-0000-0000-0000EF230000}"/>
    <cellStyle name="20% - Accent5 2 2 2 2 4 3 3" xfId="12905" xr:uid="{00000000-0005-0000-0000-0000F0230000}"/>
    <cellStyle name="20% - Accent5 2 2 2 2 4 4" xfId="7969" xr:uid="{00000000-0005-0000-0000-0000F1230000}"/>
    <cellStyle name="20% - Accent5 2 2 2 2 4 4 2" xfId="12899" xr:uid="{00000000-0005-0000-0000-0000F2230000}"/>
    <cellStyle name="20% - Accent5 2 2 2 2 4 5" xfId="26613" xr:uid="{00000000-0005-0000-0000-0000F3230000}"/>
    <cellStyle name="20% - Accent5 2 2 2 2 5" xfId="22054" xr:uid="{00000000-0005-0000-0000-0000F4230000}"/>
    <cellStyle name="20% - Accent5 2 2 2 2 5 2" xfId="32019" xr:uid="{00000000-0005-0000-0000-0000F5230000}"/>
    <cellStyle name="20% - Accent5 2 2 2 2 5 2 2" xfId="8741" xr:uid="{00000000-0005-0000-0000-0000F6230000}"/>
    <cellStyle name="20% - Accent5 2 2 2 2 5 2 2 2" xfId="22051" xr:uid="{00000000-0005-0000-0000-0000F7230000}"/>
    <cellStyle name="20% - Accent5 2 2 2 2 5 2 3" xfId="23353" xr:uid="{00000000-0005-0000-0000-0000F8230000}"/>
    <cellStyle name="20% - Accent5 2 2 2 2 5 3" xfId="33674" xr:uid="{00000000-0005-0000-0000-0000F9230000}"/>
    <cellStyle name="20% - Accent5 2 2 2 2 5 3 2" xfId="12886" xr:uid="{00000000-0005-0000-0000-0000FA230000}"/>
    <cellStyle name="20% - Accent5 2 2 2 2 5 4" xfId="7963" xr:uid="{00000000-0005-0000-0000-0000FB230000}"/>
    <cellStyle name="20% - Accent5 2 2 2 2 6" xfId="22045" xr:uid="{00000000-0005-0000-0000-0000FC230000}"/>
    <cellStyle name="20% - Accent5 2 2 2 2 6 2" xfId="28923" xr:uid="{00000000-0005-0000-0000-0000FD230000}"/>
    <cellStyle name="20% - Accent5 2 2 2 2 6 2 2" xfId="23336" xr:uid="{00000000-0005-0000-0000-0000FE230000}"/>
    <cellStyle name="20% - Accent5 2 2 2 2 6 3" xfId="32917" xr:uid="{00000000-0005-0000-0000-0000FF230000}"/>
    <cellStyle name="20% - Accent5 2 2 2 2 7" xfId="22043" xr:uid="{00000000-0005-0000-0000-000000240000}"/>
    <cellStyle name="20% - Accent5 2 2 2 2 7 2" xfId="27872" xr:uid="{00000000-0005-0000-0000-000001240000}"/>
    <cellStyle name="20% - Accent5 2 2 2 2 8" xfId="22042" xr:uid="{00000000-0005-0000-0000-000002240000}"/>
    <cellStyle name="20% - Accent5 2 2 2 3" xfId="31144" xr:uid="{00000000-0005-0000-0000-000003240000}"/>
    <cellStyle name="20% - Accent5 2 2 2 3 2" xfId="18303" xr:uid="{00000000-0005-0000-0000-000004240000}"/>
    <cellStyle name="20% - Accent5 2 2 2 3 2 2" xfId="27490" xr:uid="{00000000-0005-0000-0000-000005240000}"/>
    <cellStyle name="20% - Accent5 2 2 2 3 2 2 2" xfId="28323" xr:uid="{00000000-0005-0000-0000-000006240000}"/>
    <cellStyle name="20% - Accent5 2 2 2 3 2 2 2 2" xfId="22040" xr:uid="{00000000-0005-0000-0000-000007240000}"/>
    <cellStyle name="20% - Accent5 2 2 2 3 2 2 2 2 2" xfId="6068" xr:uid="{00000000-0005-0000-0000-000008240000}"/>
    <cellStyle name="20% - Accent5 2 2 2 3 2 2 2 2 2 2" xfId="13781" xr:uid="{00000000-0005-0000-0000-000009240000}"/>
    <cellStyle name="20% - Accent5 2 2 2 3 2 2 2 2 3" xfId="33460" xr:uid="{00000000-0005-0000-0000-00000A240000}"/>
    <cellStyle name="20% - Accent5 2 2 2 3 2 2 2 3" xfId="21662" xr:uid="{00000000-0005-0000-0000-00000B240000}"/>
    <cellStyle name="20% - Accent5 2 2 2 3 2 2 2 3 2" xfId="22039" xr:uid="{00000000-0005-0000-0000-00000C240000}"/>
    <cellStyle name="20% - Accent5 2 2 2 3 2 2 2 4" xfId="21655" xr:uid="{00000000-0005-0000-0000-00000D240000}"/>
    <cellStyle name="20% - Accent5 2 2 2 3 2 2 3" xfId="28315" xr:uid="{00000000-0005-0000-0000-00000E240000}"/>
    <cellStyle name="20% - Accent5 2 2 2 3 2 2 3 2" xfId="22033" xr:uid="{00000000-0005-0000-0000-00000F240000}"/>
    <cellStyle name="20% - Accent5 2 2 2 3 2 2 3 2 2" xfId="22029" xr:uid="{00000000-0005-0000-0000-000010240000}"/>
    <cellStyle name="20% - Accent5 2 2 2 3 2 2 3 3" xfId="21651" xr:uid="{00000000-0005-0000-0000-000011240000}"/>
    <cellStyle name="20% - Accent5 2 2 2 3 2 2 4" xfId="25835" xr:uid="{00000000-0005-0000-0000-000012240000}"/>
    <cellStyle name="20% - Accent5 2 2 2 3 2 2 4 2" xfId="8118" xr:uid="{00000000-0005-0000-0000-000013240000}"/>
    <cellStyle name="20% - Accent5 2 2 2 3 2 2 5" xfId="31380" xr:uid="{00000000-0005-0000-0000-000014240000}"/>
    <cellStyle name="20% - Accent5 2 2 2 3 2 3" xfId="31531" xr:uid="{00000000-0005-0000-0000-000015240000}"/>
    <cellStyle name="20% - Accent5 2 2 2 3 2 3 2" xfId="14700" xr:uid="{00000000-0005-0000-0000-000016240000}"/>
    <cellStyle name="20% - Accent5 2 2 2 3 2 3 2 2" xfId="24344" xr:uid="{00000000-0005-0000-0000-000017240000}"/>
    <cellStyle name="20% - Accent5 2 2 2 3 2 3 2 2 2" xfId="22025" xr:uid="{00000000-0005-0000-0000-000018240000}"/>
    <cellStyle name="20% - Accent5 2 2 2 3 2 3 2 3" xfId="21643" xr:uid="{00000000-0005-0000-0000-000019240000}"/>
    <cellStyle name="20% - Accent5 2 2 2 3 2 3 3" xfId="17317" xr:uid="{00000000-0005-0000-0000-00001A240000}"/>
    <cellStyle name="20% - Accent5 2 2 2 3 2 3 3 2" xfId="8110" xr:uid="{00000000-0005-0000-0000-00001B240000}"/>
    <cellStyle name="20% - Accent5 2 2 2 3 2 3 4" xfId="12839" xr:uid="{00000000-0005-0000-0000-00001C240000}"/>
    <cellStyle name="20% - Accent5 2 2 2 3 2 4" xfId="23569" xr:uid="{00000000-0005-0000-0000-00001D240000}"/>
    <cellStyle name="20% - Accent5 2 2 2 3 2 4 2" xfId="14686" xr:uid="{00000000-0005-0000-0000-00001E240000}"/>
    <cellStyle name="20% - Accent5 2 2 2 3 2 4 2 2" xfId="19719" xr:uid="{00000000-0005-0000-0000-00001F240000}"/>
    <cellStyle name="20% - Accent5 2 2 2 3 2 4 3" xfId="12835" xr:uid="{00000000-0005-0000-0000-000020240000}"/>
    <cellStyle name="20% - Accent5 2 2 2 3 2 5" xfId="22020" xr:uid="{00000000-0005-0000-0000-000021240000}"/>
    <cellStyle name="20% - Accent5 2 2 2 3 2 5 2" xfId="12833" xr:uid="{00000000-0005-0000-0000-000022240000}"/>
    <cellStyle name="20% - Accent5 2 2 2 3 2 6" xfId="22016" xr:uid="{00000000-0005-0000-0000-000023240000}"/>
    <cellStyle name="20% - Accent5 2 2 2 3 3" xfId="24369" xr:uid="{00000000-0005-0000-0000-000024240000}"/>
    <cellStyle name="20% - Accent5 2 2 2 3 3 2" xfId="29912" xr:uid="{00000000-0005-0000-0000-000025240000}"/>
    <cellStyle name="20% - Accent5 2 2 2 3 3 2 2" xfId="28277" xr:uid="{00000000-0005-0000-0000-000026240000}"/>
    <cellStyle name="20% - Accent5 2 2 2 3 3 2 2 2" xfId="22013" xr:uid="{00000000-0005-0000-0000-000027240000}"/>
    <cellStyle name="20% - Accent5 2 2 2 3 3 2 2 2 2" xfId="34062" xr:uid="{00000000-0005-0000-0000-000028240000}"/>
    <cellStyle name="20% - Accent5 2 2 2 3 3 2 2 3" xfId="21587" xr:uid="{00000000-0005-0000-0000-000029240000}"/>
    <cellStyle name="20% - Accent5 2 2 2 3 3 2 3" xfId="25820" xr:uid="{00000000-0005-0000-0000-00002A240000}"/>
    <cellStyle name="20% - Accent5 2 2 2 3 3 2 3 2" xfId="8096" xr:uid="{00000000-0005-0000-0000-00002B240000}"/>
    <cellStyle name="20% - Accent5 2 2 2 3 3 2 4" xfId="22925" xr:uid="{00000000-0005-0000-0000-00002C240000}"/>
    <cellStyle name="20% - Accent5 2 2 2 3 3 3" xfId="24773" xr:uid="{00000000-0005-0000-0000-00002D240000}"/>
    <cellStyle name="20% - Accent5 2 2 2 3 3 3 2" xfId="25817" xr:uid="{00000000-0005-0000-0000-00002E240000}"/>
    <cellStyle name="20% - Accent5 2 2 2 3 3 3 2 2" xfId="31528" xr:uid="{00000000-0005-0000-0000-00002F240000}"/>
    <cellStyle name="20% - Accent5 2 2 2 3 3 3 3" xfId="16190" xr:uid="{00000000-0005-0000-0000-000030240000}"/>
    <cellStyle name="20% - Accent5 2 2 2 3 3 4" xfId="22005" xr:uid="{00000000-0005-0000-0000-000031240000}"/>
    <cellStyle name="20% - Accent5 2 2 2 3 3 4 2" xfId="16187" xr:uid="{00000000-0005-0000-0000-000032240000}"/>
    <cellStyle name="20% - Accent5 2 2 2 3 3 5" xfId="22000" xr:uid="{00000000-0005-0000-0000-000033240000}"/>
    <cellStyle name="20% - Accent5 2 2 2 3 4" xfId="18300" xr:uid="{00000000-0005-0000-0000-000034240000}"/>
    <cellStyle name="20% - Accent5 2 2 2 3 4 2" xfId="29553" xr:uid="{00000000-0005-0000-0000-000035240000}"/>
    <cellStyle name="20% - Accent5 2 2 2 3 4 2 2" xfId="25808" xr:uid="{00000000-0005-0000-0000-000036240000}"/>
    <cellStyle name="20% - Accent5 2 2 2 3 4 2 2 2" xfId="21998" xr:uid="{00000000-0005-0000-0000-000037240000}"/>
    <cellStyle name="20% - Accent5 2 2 2 3 4 2 3" xfId="23301" xr:uid="{00000000-0005-0000-0000-000038240000}"/>
    <cellStyle name="20% - Accent5 2 2 2 3 4 3" xfId="15248" xr:uid="{00000000-0005-0000-0000-000039240000}"/>
    <cellStyle name="20% - Accent5 2 2 2 3 4 3 2" xfId="16176" xr:uid="{00000000-0005-0000-0000-00003A240000}"/>
    <cellStyle name="20% - Accent5 2 2 2 3 4 4" xfId="7957" xr:uid="{00000000-0005-0000-0000-00003B240000}"/>
    <cellStyle name="20% - Accent5 2 2 2 3 5" xfId="28418" xr:uid="{00000000-0005-0000-0000-00003C240000}"/>
    <cellStyle name="20% - Accent5 2 2 2 3 5 2" xfId="30328" xr:uid="{00000000-0005-0000-0000-00003D240000}"/>
    <cellStyle name="20% - Accent5 2 2 2 3 5 2 2" xfId="24035" xr:uid="{00000000-0005-0000-0000-00003E240000}"/>
    <cellStyle name="20% - Accent5 2 2 2 3 5 3" xfId="30325" xr:uid="{00000000-0005-0000-0000-00003F240000}"/>
    <cellStyle name="20% - Accent5 2 2 2 3 6" xfId="21989" xr:uid="{00000000-0005-0000-0000-000040240000}"/>
    <cellStyle name="20% - Accent5 2 2 2 3 6 2" xfId="30320" xr:uid="{00000000-0005-0000-0000-000041240000}"/>
    <cellStyle name="20% - Accent5 2 2 2 3 7" xfId="20491" xr:uid="{00000000-0005-0000-0000-000042240000}"/>
    <cellStyle name="20% - Accent5 2 2 2 4" xfId="33081" xr:uid="{00000000-0005-0000-0000-000043240000}"/>
    <cellStyle name="20% - Accent5 2 2 2 4 2" xfId="11350" xr:uid="{00000000-0005-0000-0000-000044240000}"/>
    <cellStyle name="20% - Accent5 2 2 2 4 2 2" xfId="29479" xr:uid="{00000000-0005-0000-0000-000045240000}"/>
    <cellStyle name="20% - Accent5 2 2 2 4 2 2 2" xfId="26557" xr:uid="{00000000-0005-0000-0000-000046240000}"/>
    <cellStyle name="20% - Accent5 2 2 2 4 2 2 2 2" xfId="21982" xr:uid="{00000000-0005-0000-0000-000047240000}"/>
    <cellStyle name="20% - Accent5 2 2 2 4 2 2 2 2 2" xfId="20106" xr:uid="{00000000-0005-0000-0000-000048240000}"/>
    <cellStyle name="20% - Accent5 2 2 2 4 2 2 2 3" xfId="21352" xr:uid="{00000000-0005-0000-0000-000049240000}"/>
    <cellStyle name="20% - Accent5 2 2 2 4 2 2 3" xfId="25802" xr:uid="{00000000-0005-0000-0000-00004A240000}"/>
    <cellStyle name="20% - Accent5 2 2 2 4 2 2 3 2" xfId="8037" xr:uid="{00000000-0005-0000-0000-00004B240000}"/>
    <cellStyle name="20% - Accent5 2 2 2 4 2 2 4" xfId="22625" xr:uid="{00000000-0005-0000-0000-00004C240000}"/>
    <cellStyle name="20% - Accent5 2 2 2 4 2 3" xfId="24594" xr:uid="{00000000-0005-0000-0000-00004D240000}"/>
    <cellStyle name="20% - Accent5 2 2 2 4 2 3 2" xfId="14253" xr:uid="{00000000-0005-0000-0000-00004E240000}"/>
    <cellStyle name="20% - Accent5 2 2 2 4 2 3 2 2" xfId="21596" xr:uid="{00000000-0005-0000-0000-00004F240000}"/>
    <cellStyle name="20% - Accent5 2 2 2 4 2 3 3" xfId="12787" xr:uid="{00000000-0005-0000-0000-000050240000}"/>
    <cellStyle name="20% - Accent5 2 2 2 4 2 4" xfId="23549" xr:uid="{00000000-0005-0000-0000-000051240000}"/>
    <cellStyle name="20% - Accent5 2 2 2 4 2 4 2" xfId="12779" xr:uid="{00000000-0005-0000-0000-000052240000}"/>
    <cellStyle name="20% - Accent5 2 2 2 4 2 5" xfId="23539" xr:uid="{00000000-0005-0000-0000-000053240000}"/>
    <cellStyle name="20% - Accent5 2 2 2 4 3" xfId="29471" xr:uid="{00000000-0005-0000-0000-000054240000}"/>
    <cellStyle name="20% - Accent5 2 2 2 4 3 2" xfId="24565" xr:uid="{00000000-0005-0000-0000-000055240000}"/>
    <cellStyle name="20% - Accent5 2 2 2 4 3 2 2" xfId="5396" xr:uid="{00000000-0005-0000-0000-000056240000}"/>
    <cellStyle name="20% - Accent5 2 2 2 4 3 2 2 2" xfId="21976" xr:uid="{00000000-0005-0000-0000-000057240000}"/>
    <cellStyle name="20% - Accent5 2 2 2 4 3 2 3" xfId="24329" xr:uid="{00000000-0005-0000-0000-000058240000}"/>
    <cellStyle name="20% - Accent5 2 2 2 4 3 3" xfId="21969" xr:uid="{00000000-0005-0000-0000-000059240000}"/>
    <cellStyle name="20% - Accent5 2 2 2 4 3 3 2" xfId="16150" xr:uid="{00000000-0005-0000-0000-00005A240000}"/>
    <cellStyle name="20% - Accent5 2 2 2 4 3 4" xfId="23456" xr:uid="{00000000-0005-0000-0000-00005B240000}"/>
    <cellStyle name="20% - Accent5 2 2 2 4 4" xfId="33041" xr:uid="{00000000-0005-0000-0000-00005C240000}"/>
    <cellStyle name="20% - Accent5 2 2 2 4 4 2" xfId="26478" xr:uid="{00000000-0005-0000-0000-00005D240000}"/>
    <cellStyle name="20% - Accent5 2 2 2 4 4 2 2" xfId="24260" xr:uid="{00000000-0005-0000-0000-00005E240000}"/>
    <cellStyle name="20% - Accent5 2 2 2 4 4 3" xfId="26655" xr:uid="{00000000-0005-0000-0000-00005F240000}"/>
    <cellStyle name="20% - Accent5 2 2 2 4 5" xfId="21964" xr:uid="{00000000-0005-0000-0000-000060240000}"/>
    <cellStyle name="20% - Accent5 2 2 2 4 5 2" xfId="30192" xr:uid="{00000000-0005-0000-0000-000061240000}"/>
    <cellStyle name="20% - Accent5 2 2 2 4 6" xfId="21956" xr:uid="{00000000-0005-0000-0000-000062240000}"/>
    <cellStyle name="20% - Accent5 2 2 2 5" xfId="32750" xr:uid="{00000000-0005-0000-0000-000063240000}"/>
    <cellStyle name="20% - Accent5 2 2 2 5 2" xfId="29416" xr:uid="{00000000-0005-0000-0000-000064240000}"/>
    <cellStyle name="20% - Accent5 2 2 2 5 2 2" xfId="32635" xr:uid="{00000000-0005-0000-0000-000065240000}"/>
    <cellStyle name="20% - Accent5 2 2 2 5 2 2 2" xfId="25790" xr:uid="{00000000-0005-0000-0000-000066240000}"/>
    <cellStyle name="20% - Accent5 2 2 2 5 2 2 2 2" xfId="23831" xr:uid="{00000000-0005-0000-0000-000067240000}"/>
    <cellStyle name="20% - Accent5 2 2 2 5 2 2 3" xfId="21950" xr:uid="{00000000-0005-0000-0000-000068240000}"/>
    <cellStyle name="20% - Accent5 2 2 2 5 2 3" xfId="30161" xr:uid="{00000000-0005-0000-0000-000069240000}"/>
    <cellStyle name="20% - Accent5 2 2 2 5 2 3 2" xfId="12748" xr:uid="{00000000-0005-0000-0000-00006A240000}"/>
    <cellStyle name="20% - Accent5 2 2 2 5 2 4" xfId="20046" xr:uid="{00000000-0005-0000-0000-00006B240000}"/>
    <cellStyle name="20% - Accent5 2 2 2 5 3" xfId="34015" xr:uid="{00000000-0005-0000-0000-00006C240000}"/>
    <cellStyle name="20% - Accent5 2 2 2 5 3 2" xfId="32153" xr:uid="{00000000-0005-0000-0000-00006D240000}"/>
    <cellStyle name="20% - Accent5 2 2 2 5 3 2 2" xfId="13337" xr:uid="{00000000-0005-0000-0000-00006E240000}"/>
    <cellStyle name="20% - Accent5 2 2 2 5 3 3" xfId="21944" xr:uid="{00000000-0005-0000-0000-00006F240000}"/>
    <cellStyle name="20% - Accent5 2 2 2 5 4" xfId="8098" xr:uid="{00000000-0005-0000-0000-000070240000}"/>
    <cellStyle name="20% - Accent5 2 2 2 5 4 2" xfId="27812" xr:uid="{00000000-0005-0000-0000-000071240000}"/>
    <cellStyle name="20% - Accent5 2 2 2 5 5" xfId="21940" xr:uid="{00000000-0005-0000-0000-000072240000}"/>
    <cellStyle name="20% - Accent5 2 2 2 6" xfId="32399" xr:uid="{00000000-0005-0000-0000-000073240000}"/>
    <cellStyle name="20% - Accent5 2 2 2 6 2" xfId="32392" xr:uid="{00000000-0005-0000-0000-000074240000}"/>
    <cellStyle name="20% - Accent5 2 2 2 6 2 2" xfId="30862" xr:uid="{00000000-0005-0000-0000-000075240000}"/>
    <cellStyle name="20% - Accent5 2 2 2 6 2 2 2" xfId="21936" xr:uid="{00000000-0005-0000-0000-000076240000}"/>
    <cellStyle name="20% - Accent5 2 2 2 6 2 3" xfId="21934" xr:uid="{00000000-0005-0000-0000-000077240000}"/>
    <cellStyle name="20% - Accent5 2 2 2 6 3" xfId="21930" xr:uid="{00000000-0005-0000-0000-000078240000}"/>
    <cellStyle name="20% - Accent5 2 2 2 6 3 2" xfId="21926" xr:uid="{00000000-0005-0000-0000-000079240000}"/>
    <cellStyle name="20% - Accent5 2 2 2 6 4" xfId="21922" xr:uid="{00000000-0005-0000-0000-00007A240000}"/>
    <cellStyle name="20% - Accent5 2 2 2 7" xfId="32658" xr:uid="{00000000-0005-0000-0000-00007B240000}"/>
    <cellStyle name="20% - Accent5 2 2 2 7 2" xfId="6772" xr:uid="{00000000-0005-0000-0000-00007C240000}"/>
    <cellStyle name="20% - Accent5 2 2 2 7 2 2" xfId="30824" xr:uid="{00000000-0005-0000-0000-00007D240000}"/>
    <cellStyle name="20% - Accent5 2 2 2 7 3" xfId="16681" xr:uid="{00000000-0005-0000-0000-00007E240000}"/>
    <cellStyle name="20% - Accent5 2 2 2 8" xfId="33402" xr:uid="{00000000-0005-0000-0000-00007F240000}"/>
    <cellStyle name="20% - Accent5 2 2 2 8 2" xfId="16671" xr:uid="{00000000-0005-0000-0000-000080240000}"/>
    <cellStyle name="20% - Accent5 2 2 2 9" xfId="33395" xr:uid="{00000000-0005-0000-0000-000081240000}"/>
    <cellStyle name="20% - Accent5 2 2 3" xfId="21920" xr:uid="{00000000-0005-0000-0000-000082240000}"/>
    <cellStyle name="20% - Accent5 2 2 3 2" xfId="21918" xr:uid="{00000000-0005-0000-0000-000083240000}"/>
    <cellStyle name="20% - Accent5 2 2 3 2 2" xfId="21917" xr:uid="{00000000-0005-0000-0000-000084240000}"/>
    <cellStyle name="20% - Accent5 2 2 3 2 2 2" xfId="27475" xr:uid="{00000000-0005-0000-0000-000085240000}"/>
    <cellStyle name="20% - Accent5 2 2 3 2 2 2 2" xfId="25597" xr:uid="{00000000-0005-0000-0000-000086240000}"/>
    <cellStyle name="20% - Accent5 2 2 3 2 2 2 2 2" xfId="21911" xr:uid="{00000000-0005-0000-0000-000087240000}"/>
    <cellStyle name="20% - Accent5 2 2 3 2 2 2 2 2 2" xfId="21909" xr:uid="{00000000-0005-0000-0000-000088240000}"/>
    <cellStyle name="20% - Accent5 2 2 3 2 2 2 2 2 2 2" xfId="19618" xr:uid="{00000000-0005-0000-0000-000089240000}"/>
    <cellStyle name="20% - Accent5 2 2 3 2 2 2 2 2 3" xfId="21901" xr:uid="{00000000-0005-0000-0000-00008A240000}"/>
    <cellStyle name="20% - Accent5 2 2 3 2 2 2 2 3" xfId="21190" xr:uid="{00000000-0005-0000-0000-00008B240000}"/>
    <cellStyle name="20% - Accent5 2 2 3 2 2 2 2 3 2" xfId="21899" xr:uid="{00000000-0005-0000-0000-00008C240000}"/>
    <cellStyle name="20% - Accent5 2 2 3 2 2 2 2 4" xfId="5939" xr:uid="{00000000-0005-0000-0000-00008D240000}"/>
    <cellStyle name="20% - Accent5 2 2 3 2 2 2 3" xfId="25490" xr:uid="{00000000-0005-0000-0000-00008E240000}"/>
    <cellStyle name="20% - Accent5 2 2 3 2 2 2 3 2" xfId="17073" xr:uid="{00000000-0005-0000-0000-00008F240000}"/>
    <cellStyle name="20% - Accent5 2 2 3 2 2 2 3 2 2" xfId="21894" xr:uid="{00000000-0005-0000-0000-000090240000}"/>
    <cellStyle name="20% - Accent5 2 2 3 2 2 2 3 3" xfId="23093" xr:uid="{00000000-0005-0000-0000-000091240000}"/>
    <cellStyle name="20% - Accent5 2 2 3 2 2 2 4" xfId="33753" xr:uid="{00000000-0005-0000-0000-000092240000}"/>
    <cellStyle name="20% - Accent5 2 2 3 2 2 2 4 2" xfId="21892" xr:uid="{00000000-0005-0000-0000-000093240000}"/>
    <cellStyle name="20% - Accent5 2 2 3 2 2 2 5" xfId="32267" xr:uid="{00000000-0005-0000-0000-000094240000}"/>
    <cellStyle name="20% - Accent5 2 2 3 2 2 3" xfId="21889" xr:uid="{00000000-0005-0000-0000-000095240000}"/>
    <cellStyle name="20% - Accent5 2 2 3 2 2 3 2" xfId="9560" xr:uid="{00000000-0005-0000-0000-000096240000}"/>
    <cellStyle name="20% - Accent5 2 2 3 2 2 3 2 2" xfId="24979" xr:uid="{00000000-0005-0000-0000-000097240000}"/>
    <cellStyle name="20% - Accent5 2 2 3 2 2 3 2 2 2" xfId="21888" xr:uid="{00000000-0005-0000-0000-000098240000}"/>
    <cellStyle name="20% - Accent5 2 2 3 2 2 3 2 3" xfId="30965" xr:uid="{00000000-0005-0000-0000-000099240000}"/>
    <cellStyle name="20% - Accent5 2 2 3 2 2 3 3" xfId="12368" xr:uid="{00000000-0005-0000-0000-00009A240000}"/>
    <cellStyle name="20% - Accent5 2 2 3 2 2 3 3 2" xfId="21881" xr:uid="{00000000-0005-0000-0000-00009B240000}"/>
    <cellStyle name="20% - Accent5 2 2 3 2 2 3 4" xfId="12364" xr:uid="{00000000-0005-0000-0000-00009C240000}"/>
    <cellStyle name="20% - Accent5 2 2 3 2 2 4" xfId="21874" xr:uid="{00000000-0005-0000-0000-00009D240000}"/>
    <cellStyle name="20% - Accent5 2 2 3 2 2 4 2" xfId="31076" xr:uid="{00000000-0005-0000-0000-00009E240000}"/>
    <cellStyle name="20% - Accent5 2 2 3 2 2 4 2 2" xfId="21872" xr:uid="{00000000-0005-0000-0000-00009F240000}"/>
    <cellStyle name="20% - Accent5 2 2 3 2 2 4 3" xfId="12359" xr:uid="{00000000-0005-0000-0000-0000A0240000}"/>
    <cellStyle name="20% - Accent5 2 2 3 2 2 5" xfId="21870" xr:uid="{00000000-0005-0000-0000-0000A1240000}"/>
    <cellStyle name="20% - Accent5 2 2 3 2 2 5 2" xfId="15796" xr:uid="{00000000-0005-0000-0000-0000A2240000}"/>
    <cellStyle name="20% - Accent5 2 2 3 2 2 6" xfId="21869" xr:uid="{00000000-0005-0000-0000-0000A3240000}"/>
    <cellStyle name="20% - Accent5 2 2 3 2 3" xfId="20649" xr:uid="{00000000-0005-0000-0000-0000A4240000}"/>
    <cellStyle name="20% - Accent5 2 2 3 2 3 2" xfId="21867" xr:uid="{00000000-0005-0000-0000-0000A5240000}"/>
    <cellStyle name="20% - Accent5 2 2 3 2 3 2 2" xfId="25470" xr:uid="{00000000-0005-0000-0000-0000A6240000}"/>
    <cellStyle name="20% - Accent5 2 2 3 2 3 2 2 2" xfId="21866" xr:uid="{00000000-0005-0000-0000-0000A7240000}"/>
    <cellStyle name="20% - Accent5 2 2 3 2 3 2 2 2 2" xfId="21861" xr:uid="{00000000-0005-0000-0000-0000A8240000}"/>
    <cellStyle name="20% - Accent5 2 2 3 2 3 2 2 3" xfId="23190" xr:uid="{00000000-0005-0000-0000-0000A9240000}"/>
    <cellStyle name="20% - Accent5 2 2 3 2 3 2 3" xfId="25461" xr:uid="{00000000-0005-0000-0000-0000AA240000}"/>
    <cellStyle name="20% - Accent5 2 2 3 2 3 2 3 2" xfId="21859" xr:uid="{00000000-0005-0000-0000-0000AB240000}"/>
    <cellStyle name="20% - Accent5 2 2 3 2 3 2 4" xfId="21854" xr:uid="{00000000-0005-0000-0000-0000AC240000}"/>
    <cellStyle name="20% - Accent5 2 2 3 2 3 3" xfId="21848" xr:uid="{00000000-0005-0000-0000-0000AD240000}"/>
    <cellStyle name="20% - Accent5 2 2 3 2 3 3 2" xfId="12342" xr:uid="{00000000-0005-0000-0000-0000AE240000}"/>
    <cellStyle name="20% - Accent5 2 2 3 2 3 3 2 2" xfId="21847" xr:uid="{00000000-0005-0000-0000-0000AF240000}"/>
    <cellStyle name="20% - Accent5 2 2 3 2 3 3 3" xfId="12339" xr:uid="{00000000-0005-0000-0000-0000B0240000}"/>
    <cellStyle name="20% - Accent5 2 2 3 2 3 4" xfId="21841" xr:uid="{00000000-0005-0000-0000-0000B1240000}"/>
    <cellStyle name="20% - Accent5 2 2 3 2 3 4 2" xfId="12663" xr:uid="{00000000-0005-0000-0000-0000B2240000}"/>
    <cellStyle name="20% - Accent5 2 2 3 2 3 5" xfId="21840" xr:uid="{00000000-0005-0000-0000-0000B3240000}"/>
    <cellStyle name="20% - Accent5 2 2 3 2 4" xfId="21839" xr:uid="{00000000-0005-0000-0000-0000B4240000}"/>
    <cellStyle name="20% - Accent5 2 2 3 2 4 2" xfId="18381" xr:uid="{00000000-0005-0000-0000-0000B5240000}"/>
    <cellStyle name="20% - Accent5 2 2 3 2 4 2 2" xfId="33192" xr:uid="{00000000-0005-0000-0000-0000B6240000}"/>
    <cellStyle name="20% - Accent5 2 2 3 2 4 2 2 2" xfId="32520" xr:uid="{00000000-0005-0000-0000-0000B7240000}"/>
    <cellStyle name="20% - Accent5 2 2 3 2 4 2 3" xfId="23144" xr:uid="{00000000-0005-0000-0000-0000B8240000}"/>
    <cellStyle name="20% - Accent5 2 2 3 2 4 3" xfId="28332" xr:uid="{00000000-0005-0000-0000-0000B9240000}"/>
    <cellStyle name="20% - Accent5 2 2 3 2 4 3 2" xfId="12324" xr:uid="{00000000-0005-0000-0000-0000BA240000}"/>
    <cellStyle name="20% - Accent5 2 2 3 2 4 4" xfId="7929" xr:uid="{00000000-0005-0000-0000-0000BB240000}"/>
    <cellStyle name="20% - Accent5 2 2 3 2 5" xfId="21834" xr:uid="{00000000-0005-0000-0000-0000BC240000}"/>
    <cellStyle name="20% - Accent5 2 2 3 2 5 2" xfId="33533" xr:uid="{00000000-0005-0000-0000-0000BD240000}"/>
    <cellStyle name="20% - Accent5 2 2 3 2 5 2 2" xfId="23130" xr:uid="{00000000-0005-0000-0000-0000BE240000}"/>
    <cellStyle name="20% - Accent5 2 2 3 2 5 3" xfId="26965" xr:uid="{00000000-0005-0000-0000-0000BF240000}"/>
    <cellStyle name="20% - Accent5 2 2 3 2 6" xfId="21824" xr:uid="{00000000-0005-0000-0000-0000C0240000}"/>
    <cellStyle name="20% - Accent5 2 2 3 2 6 2" xfId="28913" xr:uid="{00000000-0005-0000-0000-0000C1240000}"/>
    <cellStyle name="20% - Accent5 2 2 3 2 7" xfId="8722" xr:uid="{00000000-0005-0000-0000-0000C2240000}"/>
    <cellStyle name="20% - Accent5 2 2 3 3" xfId="30788" xr:uid="{00000000-0005-0000-0000-0000C3240000}"/>
    <cellStyle name="20% - Accent5 2 2 3 3 2" xfId="18297" xr:uid="{00000000-0005-0000-0000-0000C4240000}"/>
    <cellStyle name="20% - Accent5 2 2 3 3 2 2" xfId="24906" xr:uid="{00000000-0005-0000-0000-0000C5240000}"/>
    <cellStyle name="20% - Accent5 2 2 3 3 2 2 2" xfId="28290" xr:uid="{00000000-0005-0000-0000-0000C6240000}"/>
    <cellStyle name="20% - Accent5 2 2 3 3 2 2 2 2" xfId="21818" xr:uid="{00000000-0005-0000-0000-0000C7240000}"/>
    <cellStyle name="20% - Accent5 2 2 3 3 2 2 2 2 2" xfId="21815" xr:uid="{00000000-0005-0000-0000-0000C8240000}"/>
    <cellStyle name="20% - Accent5 2 2 3 3 2 2 2 3" xfId="20831" xr:uid="{00000000-0005-0000-0000-0000C9240000}"/>
    <cellStyle name="20% - Accent5 2 2 3 3 2 2 3" xfId="25447" xr:uid="{00000000-0005-0000-0000-0000CA240000}"/>
    <cellStyle name="20% - Accent5 2 2 3 3 2 2 3 2" xfId="20672" xr:uid="{00000000-0005-0000-0000-0000CB240000}"/>
    <cellStyle name="20% - Accent5 2 2 3 3 2 2 4" xfId="21811" xr:uid="{00000000-0005-0000-0000-0000CC240000}"/>
    <cellStyle name="20% - Accent5 2 2 3 3 2 3" xfId="24223" xr:uid="{00000000-0005-0000-0000-0000CD240000}"/>
    <cellStyle name="20% - Accent5 2 2 3 3 2 3 2" xfId="13906" xr:uid="{00000000-0005-0000-0000-0000CE240000}"/>
    <cellStyle name="20% - Accent5 2 2 3 3 2 3 2 2" xfId="21807" xr:uid="{00000000-0005-0000-0000-0000CF240000}"/>
    <cellStyle name="20% - Accent5 2 2 3 3 2 3 3" xfId="12741" xr:uid="{00000000-0005-0000-0000-0000D0240000}"/>
    <cellStyle name="20% - Accent5 2 2 3 3 2 4" xfId="21801" xr:uid="{00000000-0005-0000-0000-0000D1240000}"/>
    <cellStyle name="20% - Accent5 2 2 3 3 2 4 2" xfId="12734" xr:uid="{00000000-0005-0000-0000-0000D2240000}"/>
    <cellStyle name="20% - Accent5 2 2 3 3 2 5" xfId="23511" xr:uid="{00000000-0005-0000-0000-0000D3240000}"/>
    <cellStyle name="20% - Accent5 2 2 3 3 3" xfId="18292" xr:uid="{00000000-0005-0000-0000-0000D4240000}"/>
    <cellStyle name="20% - Accent5 2 2 3 3 3 2" xfId="24184" xr:uid="{00000000-0005-0000-0000-0000D5240000}"/>
    <cellStyle name="20% - Accent5 2 2 3 3 3 2 2" xfId="25436" xr:uid="{00000000-0005-0000-0000-0000D6240000}"/>
    <cellStyle name="20% - Accent5 2 2 3 3 3 2 2 2" xfId="22455" xr:uid="{00000000-0005-0000-0000-0000D7240000}"/>
    <cellStyle name="20% - Accent5 2 2 3 3 3 2 3" xfId="21796" xr:uid="{00000000-0005-0000-0000-0000D8240000}"/>
    <cellStyle name="20% - Accent5 2 2 3 3 3 3" xfId="21793" xr:uid="{00000000-0005-0000-0000-0000D9240000}"/>
    <cellStyle name="20% - Accent5 2 2 3 3 3 3 2" xfId="16108" xr:uid="{00000000-0005-0000-0000-0000DA240000}"/>
    <cellStyle name="20% - Accent5 2 2 3 3 3 4" xfId="21788" xr:uid="{00000000-0005-0000-0000-0000DB240000}"/>
    <cellStyle name="20% - Accent5 2 2 3 3 4" xfId="23839" xr:uid="{00000000-0005-0000-0000-0000DC240000}"/>
    <cellStyle name="20% - Accent5 2 2 3 3 4 2" xfId="11860" xr:uid="{00000000-0005-0000-0000-0000DD240000}"/>
    <cellStyle name="20% - Accent5 2 2 3 3 4 2 2" xfId="23116" xr:uid="{00000000-0005-0000-0000-0000DE240000}"/>
    <cellStyle name="20% - Accent5 2 2 3 3 4 3" xfId="9229" xr:uid="{00000000-0005-0000-0000-0000DF240000}"/>
    <cellStyle name="20% - Accent5 2 2 3 3 5" xfId="20039" xr:uid="{00000000-0005-0000-0000-0000E0240000}"/>
    <cellStyle name="20% - Accent5 2 2 3 3 5 2" xfId="23942" xr:uid="{00000000-0005-0000-0000-0000E1240000}"/>
    <cellStyle name="20% - Accent5 2 2 3 3 6" xfId="21776" xr:uid="{00000000-0005-0000-0000-0000E2240000}"/>
    <cellStyle name="20% - Accent5 2 2 3 4" xfId="30700" xr:uid="{00000000-0005-0000-0000-0000E3240000}"/>
    <cellStyle name="20% - Accent5 2 2 3 4 2" xfId="23106" xr:uid="{00000000-0005-0000-0000-0000E4240000}"/>
    <cellStyle name="20% - Accent5 2 2 3 4 2 2" xfId="23674" xr:uid="{00000000-0005-0000-0000-0000E5240000}"/>
    <cellStyle name="20% - Accent5 2 2 3 4 2 2 2" xfId="5736" xr:uid="{00000000-0005-0000-0000-0000E6240000}"/>
    <cellStyle name="20% - Accent5 2 2 3 4 2 2 2 2" xfId="33567" xr:uid="{00000000-0005-0000-0000-0000E7240000}"/>
    <cellStyle name="20% - Accent5 2 2 3 4 2 2 3" xfId="5730" xr:uid="{00000000-0005-0000-0000-0000E8240000}"/>
    <cellStyle name="20% - Accent5 2 2 3 4 2 3" xfId="21767" xr:uid="{00000000-0005-0000-0000-0000E9240000}"/>
    <cellStyle name="20% - Accent5 2 2 3 4 2 3 2" xfId="8557" xr:uid="{00000000-0005-0000-0000-0000EA240000}"/>
    <cellStyle name="20% - Accent5 2 2 3 4 2 4" xfId="22909" xr:uid="{00000000-0005-0000-0000-0000EB240000}"/>
    <cellStyle name="20% - Accent5 2 2 3 4 3" xfId="20644" xr:uid="{00000000-0005-0000-0000-0000EC240000}"/>
    <cellStyle name="20% - Accent5 2 2 3 4 3 2" xfId="21762" xr:uid="{00000000-0005-0000-0000-0000ED240000}"/>
    <cellStyle name="20% - Accent5 2 2 3 4 3 2 2" xfId="10916" xr:uid="{00000000-0005-0000-0000-0000EE240000}"/>
    <cellStyle name="20% - Accent5 2 2 3 4 3 3" xfId="21759" xr:uid="{00000000-0005-0000-0000-0000EF240000}"/>
    <cellStyle name="20% - Accent5 2 2 3 4 4" xfId="21755" xr:uid="{00000000-0005-0000-0000-0000F0240000}"/>
    <cellStyle name="20% - Accent5 2 2 3 4 4 2" xfId="29296" xr:uid="{00000000-0005-0000-0000-0000F1240000}"/>
    <cellStyle name="20% - Accent5 2 2 3 4 5" xfId="21752" xr:uid="{00000000-0005-0000-0000-0000F2240000}"/>
    <cellStyle name="20% - Accent5 2 2 3 5" xfId="32371" xr:uid="{00000000-0005-0000-0000-0000F3240000}"/>
    <cellStyle name="20% - Accent5 2 2 3 5 2" xfId="34136" xr:uid="{00000000-0005-0000-0000-0000F4240000}"/>
    <cellStyle name="20% - Accent5 2 2 3 5 2 2" xfId="31943" xr:uid="{00000000-0005-0000-0000-0000F5240000}"/>
    <cellStyle name="20% - Accent5 2 2 3 5 2 2 2" xfId="19398" xr:uid="{00000000-0005-0000-0000-0000F6240000}"/>
    <cellStyle name="20% - Accent5 2 2 3 5 2 3" xfId="25635" xr:uid="{00000000-0005-0000-0000-0000F7240000}"/>
    <cellStyle name="20% - Accent5 2 2 3 5 3" xfId="21749" xr:uid="{00000000-0005-0000-0000-0000F8240000}"/>
    <cellStyle name="20% - Accent5 2 2 3 5 3 2" xfId="21747" xr:uid="{00000000-0005-0000-0000-0000F9240000}"/>
    <cellStyle name="20% - Accent5 2 2 3 5 4" xfId="21742" xr:uid="{00000000-0005-0000-0000-0000FA240000}"/>
    <cellStyle name="20% - Accent5 2 2 3 6" xfId="28393" xr:uid="{00000000-0005-0000-0000-0000FB240000}"/>
    <cellStyle name="20% - Accent5 2 2 3 6 2" xfId="21739" xr:uid="{00000000-0005-0000-0000-0000FC240000}"/>
    <cellStyle name="20% - Accent5 2 2 3 6 2 2" xfId="21737" xr:uid="{00000000-0005-0000-0000-0000FD240000}"/>
    <cellStyle name="20% - Accent5 2 2 3 6 3" xfId="21731" xr:uid="{00000000-0005-0000-0000-0000FE240000}"/>
    <cellStyle name="20% - Accent5 2 2 3 7" xfId="28390" xr:uid="{00000000-0005-0000-0000-0000FF240000}"/>
    <cellStyle name="20% - Accent5 2 2 3 7 2" xfId="16654" xr:uid="{00000000-0005-0000-0000-000000250000}"/>
    <cellStyle name="20% - Accent5 2 2 3 8" xfId="33388" xr:uid="{00000000-0005-0000-0000-000001250000}"/>
    <cellStyle name="20% - Accent5 2 2 4" xfId="21725" xr:uid="{00000000-0005-0000-0000-000002250000}"/>
    <cellStyle name="20% - Accent5 2 2 4 2" xfId="21721" xr:uid="{00000000-0005-0000-0000-000003250000}"/>
    <cellStyle name="20% - Accent5 2 2 4 2 2" xfId="21720" xr:uid="{00000000-0005-0000-0000-000004250000}"/>
    <cellStyle name="20% - Accent5 2 2 4 2 2 2" xfId="21715" xr:uid="{00000000-0005-0000-0000-000005250000}"/>
    <cellStyle name="20% - Accent5 2 2 4 2 2 2 2" xfId="25210" xr:uid="{00000000-0005-0000-0000-000006250000}"/>
    <cellStyle name="20% - Accent5 2 2 4 2 2 2 2 2" xfId="21713" xr:uid="{00000000-0005-0000-0000-000007250000}"/>
    <cellStyle name="20% - Accent5 2 2 4 2 2 2 2 2 2" xfId="21712" xr:uid="{00000000-0005-0000-0000-000008250000}"/>
    <cellStyle name="20% - Accent5 2 2 4 2 2 2 2 3" xfId="19630" xr:uid="{00000000-0005-0000-0000-000009250000}"/>
    <cellStyle name="20% - Accent5 2 2 4 2 2 2 3" xfId="33895" xr:uid="{00000000-0005-0000-0000-00000A250000}"/>
    <cellStyle name="20% - Accent5 2 2 4 2 2 2 3 2" xfId="12666" xr:uid="{00000000-0005-0000-0000-00000B250000}"/>
    <cellStyle name="20% - Accent5 2 2 4 2 2 2 4" xfId="30795" xr:uid="{00000000-0005-0000-0000-00000C250000}"/>
    <cellStyle name="20% - Accent5 2 2 4 2 2 3" xfId="27761" xr:uid="{00000000-0005-0000-0000-00000D250000}"/>
    <cellStyle name="20% - Accent5 2 2 4 2 2 3 2" xfId="10973" xr:uid="{00000000-0005-0000-0000-00000E250000}"/>
    <cellStyle name="20% - Accent5 2 2 4 2 2 3 2 2" xfId="21710" xr:uid="{00000000-0005-0000-0000-00000F250000}"/>
    <cellStyle name="20% - Accent5 2 2 4 2 2 3 3" xfId="12068" xr:uid="{00000000-0005-0000-0000-000010250000}"/>
    <cellStyle name="20% - Accent5 2 2 4 2 2 4" xfId="18989" xr:uid="{00000000-0005-0000-0000-000011250000}"/>
    <cellStyle name="20% - Accent5 2 2 4 2 2 4 2" xfId="21708" xr:uid="{00000000-0005-0000-0000-000012250000}"/>
    <cellStyle name="20% - Accent5 2 2 4 2 2 5" xfId="21706" xr:uid="{00000000-0005-0000-0000-000013250000}"/>
    <cellStyle name="20% - Accent5 2 2 4 2 3" xfId="20641" xr:uid="{00000000-0005-0000-0000-000014250000}"/>
    <cellStyle name="20% - Accent5 2 2 4 2 3 2" xfId="21702" xr:uid="{00000000-0005-0000-0000-000015250000}"/>
    <cellStyle name="20% - Accent5 2 2 4 2 3 2 2" xfId="25199" xr:uid="{00000000-0005-0000-0000-000016250000}"/>
    <cellStyle name="20% - Accent5 2 2 4 2 3 2 2 2" xfId="21699" xr:uid="{00000000-0005-0000-0000-000017250000}"/>
    <cellStyle name="20% - Accent5 2 2 4 2 3 2 3" xfId="21697" xr:uid="{00000000-0005-0000-0000-000018250000}"/>
    <cellStyle name="20% - Accent5 2 2 4 2 3 3" xfId="21696" xr:uid="{00000000-0005-0000-0000-000019250000}"/>
    <cellStyle name="20% - Accent5 2 2 4 2 3 3 2" xfId="12057" xr:uid="{00000000-0005-0000-0000-00001A250000}"/>
    <cellStyle name="20% - Accent5 2 2 4 2 3 4" xfId="33682" xr:uid="{00000000-0005-0000-0000-00001B250000}"/>
    <cellStyle name="20% - Accent5 2 2 4 2 4" xfId="21694" xr:uid="{00000000-0005-0000-0000-00001C250000}"/>
    <cellStyle name="20% - Accent5 2 2 4 2 4 2" xfId="24745" xr:uid="{00000000-0005-0000-0000-00001D250000}"/>
    <cellStyle name="20% - Accent5 2 2 4 2 4 2 2" xfId="23024" xr:uid="{00000000-0005-0000-0000-00001E250000}"/>
    <cellStyle name="20% - Accent5 2 2 4 2 4 3" xfId="24546" xr:uid="{00000000-0005-0000-0000-00001F250000}"/>
    <cellStyle name="20% - Accent5 2 2 4 2 5" xfId="21689" xr:uid="{00000000-0005-0000-0000-000020250000}"/>
    <cellStyle name="20% - Accent5 2 2 4 2 5 2" xfId="31093" xr:uid="{00000000-0005-0000-0000-000021250000}"/>
    <cellStyle name="20% - Accent5 2 2 4 2 6" xfId="21682" xr:uid="{00000000-0005-0000-0000-000022250000}"/>
    <cellStyle name="20% - Accent5 2 2 4 3" xfId="26174" xr:uid="{00000000-0005-0000-0000-000023250000}"/>
    <cellStyle name="20% - Accent5 2 2 4 3 2" xfId="23097" xr:uid="{00000000-0005-0000-0000-000024250000}"/>
    <cellStyle name="20% - Accent5 2 2 4 3 2 2" xfId="23947" xr:uid="{00000000-0005-0000-0000-000025250000}"/>
    <cellStyle name="20% - Accent5 2 2 4 3 2 2 2" xfId="25194" xr:uid="{00000000-0005-0000-0000-000026250000}"/>
    <cellStyle name="20% - Accent5 2 2 4 3 2 2 2 2" xfId="26712" xr:uid="{00000000-0005-0000-0000-000027250000}"/>
    <cellStyle name="20% - Accent5 2 2 4 3 2 2 3" xfId="21681" xr:uid="{00000000-0005-0000-0000-000028250000}"/>
    <cellStyle name="20% - Accent5 2 2 4 3 2 3" xfId="21680" xr:uid="{00000000-0005-0000-0000-000029250000}"/>
    <cellStyle name="20% - Accent5 2 2 4 3 2 3 2" xfId="11998" xr:uid="{00000000-0005-0000-0000-00002A250000}"/>
    <cellStyle name="20% - Accent5 2 2 4 3 2 4" xfId="21676" xr:uid="{00000000-0005-0000-0000-00002B250000}"/>
    <cellStyle name="20% - Accent5 2 2 4 3 3" xfId="20630" xr:uid="{00000000-0005-0000-0000-00002C250000}"/>
    <cellStyle name="20% - Accent5 2 2 4 3 3 2" xfId="30605" xr:uid="{00000000-0005-0000-0000-00002D250000}"/>
    <cellStyle name="20% - Accent5 2 2 4 3 3 2 2" xfId="26373" xr:uid="{00000000-0005-0000-0000-00002E250000}"/>
    <cellStyle name="20% - Accent5 2 2 4 3 3 3" xfId="21668" xr:uid="{00000000-0005-0000-0000-00002F250000}"/>
    <cellStyle name="20% - Accent5 2 2 4 3 4" xfId="28102" xr:uid="{00000000-0005-0000-0000-000030250000}"/>
    <cellStyle name="20% - Accent5 2 2 4 3 4 2" xfId="23464" xr:uid="{00000000-0005-0000-0000-000031250000}"/>
    <cellStyle name="20% - Accent5 2 2 4 3 5" xfId="30515" xr:uid="{00000000-0005-0000-0000-000032250000}"/>
    <cellStyle name="20% - Accent5 2 2 4 4" xfId="18290" xr:uid="{00000000-0005-0000-0000-000033250000}"/>
    <cellStyle name="20% - Accent5 2 2 4 4 2" xfId="34284" xr:uid="{00000000-0005-0000-0000-000034250000}"/>
    <cellStyle name="20% - Accent5 2 2 4 4 2 2" xfId="17294" xr:uid="{00000000-0005-0000-0000-000035250000}"/>
    <cellStyle name="20% - Accent5 2 2 4 4 2 2 2" xfId="21658" xr:uid="{00000000-0005-0000-0000-000036250000}"/>
    <cellStyle name="20% - Accent5 2 2 4 4 2 3" xfId="14592" xr:uid="{00000000-0005-0000-0000-000037250000}"/>
    <cellStyle name="20% - Accent5 2 2 4 4 3" xfId="34266" xr:uid="{00000000-0005-0000-0000-000038250000}"/>
    <cellStyle name="20% - Accent5 2 2 4 4 3 2" xfId="14590" xr:uid="{00000000-0005-0000-0000-000039250000}"/>
    <cellStyle name="20% - Accent5 2 2 4 4 4" xfId="30470" xr:uid="{00000000-0005-0000-0000-00003A250000}"/>
    <cellStyle name="20% - Accent5 2 2 4 5" xfId="24927" xr:uid="{00000000-0005-0000-0000-00003B250000}"/>
    <cellStyle name="20% - Accent5 2 2 4 5 2" xfId="21644" xr:uid="{00000000-0005-0000-0000-00003C250000}"/>
    <cellStyle name="20% - Accent5 2 2 4 5 2 2" xfId="11629" xr:uid="{00000000-0005-0000-0000-00003D250000}"/>
    <cellStyle name="20% - Accent5 2 2 4 5 3" xfId="21634" xr:uid="{00000000-0005-0000-0000-00003E250000}"/>
    <cellStyle name="20% - Accent5 2 2 4 6" xfId="28386" xr:uid="{00000000-0005-0000-0000-00003F250000}"/>
    <cellStyle name="20% - Accent5 2 2 4 6 2" xfId="33918" xr:uid="{00000000-0005-0000-0000-000040250000}"/>
    <cellStyle name="20% - Accent5 2 2 4 7" xfId="21632" xr:uid="{00000000-0005-0000-0000-000041250000}"/>
    <cellStyle name="20% - Accent5 2 2 5" xfId="21624" xr:uid="{00000000-0005-0000-0000-000042250000}"/>
    <cellStyle name="20% - Accent5 2 2 5 2" xfId="21620" xr:uid="{00000000-0005-0000-0000-000043250000}"/>
    <cellStyle name="20% - Accent5 2 2 5 2 2" xfId="21616" xr:uid="{00000000-0005-0000-0000-000044250000}"/>
    <cellStyle name="20% - Accent5 2 2 5 2 2 2" xfId="26328" xr:uid="{00000000-0005-0000-0000-000045250000}"/>
    <cellStyle name="20% - Accent5 2 2 5 2 2 2 2" xfId="31210" xr:uid="{00000000-0005-0000-0000-000046250000}"/>
    <cellStyle name="20% - Accent5 2 2 5 2 2 2 2 2" xfId="21614" xr:uid="{00000000-0005-0000-0000-000047250000}"/>
    <cellStyle name="20% - Accent5 2 2 5 2 2 2 3" xfId="21613" xr:uid="{00000000-0005-0000-0000-000048250000}"/>
    <cellStyle name="20% - Accent5 2 2 5 2 2 3" xfId="21612" xr:uid="{00000000-0005-0000-0000-000049250000}"/>
    <cellStyle name="20% - Accent5 2 2 5 2 2 3 2" xfId="11838" xr:uid="{00000000-0005-0000-0000-00004A250000}"/>
    <cellStyle name="20% - Accent5 2 2 5 2 2 4" xfId="21611" xr:uid="{00000000-0005-0000-0000-00004B250000}"/>
    <cellStyle name="20% - Accent5 2 2 5 2 3" xfId="20629" xr:uid="{00000000-0005-0000-0000-00004C250000}"/>
    <cellStyle name="20% - Accent5 2 2 5 2 3 2" xfId="21610" xr:uid="{00000000-0005-0000-0000-00004D250000}"/>
    <cellStyle name="20% - Accent5 2 2 5 2 3 2 2" xfId="34273" xr:uid="{00000000-0005-0000-0000-00004E250000}"/>
    <cellStyle name="20% - Accent5 2 2 5 2 3 3" xfId="21609" xr:uid="{00000000-0005-0000-0000-00004F250000}"/>
    <cellStyle name="20% - Accent5 2 2 5 2 4" xfId="21608" xr:uid="{00000000-0005-0000-0000-000050250000}"/>
    <cellStyle name="20% - Accent5 2 2 5 2 4 2" xfId="21919" xr:uid="{00000000-0005-0000-0000-000051250000}"/>
    <cellStyle name="20% - Accent5 2 2 5 2 5" xfId="21600" xr:uid="{00000000-0005-0000-0000-000052250000}"/>
    <cellStyle name="20% - Accent5 2 2 5 3" xfId="27215" xr:uid="{00000000-0005-0000-0000-000053250000}"/>
    <cellStyle name="20% - Accent5 2 2 5 3 2" xfId="33922" xr:uid="{00000000-0005-0000-0000-000054250000}"/>
    <cellStyle name="20% - Accent5 2 2 5 3 2 2" xfId="21598" xr:uid="{00000000-0005-0000-0000-000055250000}"/>
    <cellStyle name="20% - Accent5 2 2 5 3 2 2 2" xfId="21594" xr:uid="{00000000-0005-0000-0000-000056250000}"/>
    <cellStyle name="20% - Accent5 2 2 5 3 2 3" xfId="20242" xr:uid="{00000000-0005-0000-0000-000057250000}"/>
    <cellStyle name="20% - Accent5 2 2 5 3 3" xfId="21592" xr:uid="{00000000-0005-0000-0000-000058250000}"/>
    <cellStyle name="20% - Accent5 2 2 5 3 3 2" xfId="21591" xr:uid="{00000000-0005-0000-0000-000059250000}"/>
    <cellStyle name="20% - Accent5 2 2 5 3 4" xfId="30010" xr:uid="{00000000-0005-0000-0000-00005A250000}"/>
    <cellStyle name="20% - Accent5 2 2 5 4" xfId="24270" xr:uid="{00000000-0005-0000-0000-00005B250000}"/>
    <cellStyle name="20% - Accent5 2 2 5 4 2" xfId="21588" xr:uid="{00000000-0005-0000-0000-00005C250000}"/>
    <cellStyle name="20% - Accent5 2 2 5 4 2 2" xfId="14581" xr:uid="{00000000-0005-0000-0000-00005D250000}"/>
    <cellStyle name="20% - Accent5 2 2 5 4 3" xfId="21584" xr:uid="{00000000-0005-0000-0000-00005E250000}"/>
    <cellStyle name="20% - Accent5 2 2 5 5" xfId="21583" xr:uid="{00000000-0005-0000-0000-00005F250000}"/>
    <cellStyle name="20% - Accent5 2 2 5 5 2" xfId="21582" xr:uid="{00000000-0005-0000-0000-000060250000}"/>
    <cellStyle name="20% - Accent5 2 2 5 6" xfId="21581" xr:uid="{00000000-0005-0000-0000-000061250000}"/>
    <cellStyle name="20% - Accent5 2 2 6" xfId="21580" xr:uid="{00000000-0005-0000-0000-000062250000}"/>
    <cellStyle name="20% - Accent5 2 2 6 2" xfId="21578" xr:uid="{00000000-0005-0000-0000-000063250000}"/>
    <cellStyle name="20% - Accent5 2 2 6 2 2" xfId="21576" xr:uid="{00000000-0005-0000-0000-000064250000}"/>
    <cellStyle name="20% - Accent5 2 2 6 2 2 2" xfId="34181" xr:uid="{00000000-0005-0000-0000-000065250000}"/>
    <cellStyle name="20% - Accent5 2 2 6 2 2 2 2" xfId="21575" xr:uid="{00000000-0005-0000-0000-000066250000}"/>
    <cellStyle name="20% - Accent5 2 2 6 2 2 3" xfId="21573" xr:uid="{00000000-0005-0000-0000-000067250000}"/>
    <cellStyle name="20% - Accent5 2 2 6 2 3" xfId="21571" xr:uid="{00000000-0005-0000-0000-000068250000}"/>
    <cellStyle name="20% - Accent5 2 2 6 2 3 2" xfId="21570" xr:uid="{00000000-0005-0000-0000-000069250000}"/>
    <cellStyle name="20% - Accent5 2 2 6 2 4" xfId="29832" xr:uid="{00000000-0005-0000-0000-00006A250000}"/>
    <cellStyle name="20% - Accent5 2 2 6 3" xfId="24894" xr:uid="{00000000-0005-0000-0000-00006B250000}"/>
    <cellStyle name="20% - Accent5 2 2 6 3 2" xfId="21567" xr:uid="{00000000-0005-0000-0000-00006C250000}"/>
    <cellStyle name="20% - Accent5 2 2 6 3 2 2" xfId="21565" xr:uid="{00000000-0005-0000-0000-00006D250000}"/>
    <cellStyle name="20% - Accent5 2 2 6 3 3" xfId="21560" xr:uid="{00000000-0005-0000-0000-00006E250000}"/>
    <cellStyle name="20% - Accent5 2 2 6 4" xfId="21559" xr:uid="{00000000-0005-0000-0000-00006F250000}"/>
    <cellStyle name="20% - Accent5 2 2 6 4 2" xfId="21558" xr:uid="{00000000-0005-0000-0000-000070250000}"/>
    <cellStyle name="20% - Accent5 2 2 6 5" xfId="21557" xr:uid="{00000000-0005-0000-0000-000071250000}"/>
    <cellStyle name="20% - Accent5 2 2 7" xfId="21556" xr:uid="{00000000-0005-0000-0000-000072250000}"/>
    <cellStyle name="20% - Accent5 2 2 7 2" xfId="22842" xr:uid="{00000000-0005-0000-0000-000073250000}"/>
    <cellStyle name="20% - Accent5 2 2 7 2 2" xfId="21555" xr:uid="{00000000-0005-0000-0000-000074250000}"/>
    <cellStyle name="20% - Accent5 2 2 7 2 2 2" xfId="17592" xr:uid="{00000000-0005-0000-0000-000075250000}"/>
    <cellStyle name="20% - Accent5 2 2 7 2 3" xfId="21552" xr:uid="{00000000-0005-0000-0000-000076250000}"/>
    <cellStyle name="20% - Accent5 2 2 7 3" xfId="21551" xr:uid="{00000000-0005-0000-0000-000077250000}"/>
    <cellStyle name="20% - Accent5 2 2 7 3 2" xfId="21550" xr:uid="{00000000-0005-0000-0000-000078250000}"/>
    <cellStyle name="20% - Accent5 2 2 7 4" xfId="21549" xr:uid="{00000000-0005-0000-0000-000079250000}"/>
    <cellStyle name="20% - Accent5 2 2 8" xfId="21548" xr:uid="{00000000-0005-0000-0000-00007A250000}"/>
    <cellStyle name="20% - Accent5 2 2 8 2" xfId="28569" xr:uid="{00000000-0005-0000-0000-00007B250000}"/>
    <cellStyle name="20% - Accent5 2 2 8 2 2" xfId="21547" xr:uid="{00000000-0005-0000-0000-00007C250000}"/>
    <cellStyle name="20% - Accent5 2 2 8 3" xfId="21545" xr:uid="{00000000-0005-0000-0000-00007D250000}"/>
    <cellStyle name="20% - Accent5 2 2 9" xfId="21544" xr:uid="{00000000-0005-0000-0000-00007E250000}"/>
    <cellStyle name="20% - Accent5 2 2 9 2" xfId="21543" xr:uid="{00000000-0005-0000-0000-00007F250000}"/>
    <cellStyle name="20% - Accent5 2 3" xfId="212" xr:uid="{00000000-0005-0000-0000-000080250000}"/>
    <cellStyle name="20% - Accent5 2 3 10" xfId="34543" xr:uid="{00000000-0005-0000-0000-000081250000}"/>
    <cellStyle name="20% - Accent5 2 3 11" xfId="33581" xr:uid="{00000000-0005-0000-0000-000082250000}"/>
    <cellStyle name="20% - Accent5 2 3 2" xfId="30953" xr:uid="{00000000-0005-0000-0000-000083250000}"/>
    <cellStyle name="20% - Accent5 2 3 2 2" xfId="21542" xr:uid="{00000000-0005-0000-0000-000084250000}"/>
    <cellStyle name="20% - Accent5 2 3 2 2 2" xfId="7371" xr:uid="{00000000-0005-0000-0000-000085250000}"/>
    <cellStyle name="20% - Accent5 2 3 2 2 2 2" xfId="27472" xr:uid="{00000000-0005-0000-0000-000086250000}"/>
    <cellStyle name="20% - Accent5 2 3 2 2 2 2 2" xfId="23078" xr:uid="{00000000-0005-0000-0000-000087250000}"/>
    <cellStyle name="20% - Accent5 2 3 2 2 2 2 2 2" xfId="7773" xr:uid="{00000000-0005-0000-0000-000088250000}"/>
    <cellStyle name="20% - Accent5 2 3 2 2 2 2 2 2 2" xfId="20707" xr:uid="{00000000-0005-0000-0000-000089250000}"/>
    <cellStyle name="20% - Accent5 2 3 2 2 2 2 2 2 2 2" xfId="12778" xr:uid="{00000000-0005-0000-0000-00008A250000}"/>
    <cellStyle name="20% - Accent5 2 3 2 2 2 2 2 2 3" xfId="21537" xr:uid="{00000000-0005-0000-0000-00008B250000}"/>
    <cellStyle name="20% - Accent5 2 3 2 2 2 2 2 3" xfId="21533" xr:uid="{00000000-0005-0000-0000-00008C250000}"/>
    <cellStyle name="20% - Accent5 2 3 2 2 2 2 2 3 2" xfId="29462" xr:uid="{00000000-0005-0000-0000-00008D250000}"/>
    <cellStyle name="20% - Accent5 2 3 2 2 2 2 2 4" xfId="21532" xr:uid="{00000000-0005-0000-0000-00008E250000}"/>
    <cellStyle name="20% - Accent5 2 3 2 2 2 2 3" xfId="23069" xr:uid="{00000000-0005-0000-0000-00008F250000}"/>
    <cellStyle name="20% - Accent5 2 3 2 2 2 2 3 2" xfId="17681" xr:uid="{00000000-0005-0000-0000-000090250000}"/>
    <cellStyle name="20% - Accent5 2 3 2 2 2 2 3 2 2" xfId="21531" xr:uid="{00000000-0005-0000-0000-000091250000}"/>
    <cellStyle name="20% - Accent5 2 3 2 2 2 2 3 3" xfId="6603" xr:uid="{00000000-0005-0000-0000-000092250000}"/>
    <cellStyle name="20% - Accent5 2 3 2 2 2 2 4" xfId="23064" xr:uid="{00000000-0005-0000-0000-000093250000}"/>
    <cellStyle name="20% - Accent5 2 3 2 2 2 2 4 2" xfId="6597" xr:uid="{00000000-0005-0000-0000-000094250000}"/>
    <cellStyle name="20% - Accent5 2 3 2 2 2 2 5" xfId="29941" xr:uid="{00000000-0005-0000-0000-000095250000}"/>
    <cellStyle name="20% - Accent5 2 3 2 2 2 3" xfId="21529" xr:uid="{00000000-0005-0000-0000-000096250000}"/>
    <cellStyle name="20% - Accent5 2 3 2 2 2 3 2" xfId="10763" xr:uid="{00000000-0005-0000-0000-000097250000}"/>
    <cellStyle name="20% - Accent5 2 3 2 2 2 3 2 2" xfId="21528" xr:uid="{00000000-0005-0000-0000-000098250000}"/>
    <cellStyle name="20% - Accent5 2 3 2 2 2 3 2 2 2" xfId="21526" xr:uid="{00000000-0005-0000-0000-000099250000}"/>
    <cellStyle name="20% - Accent5 2 3 2 2 2 3 2 3" xfId="21524" xr:uid="{00000000-0005-0000-0000-00009A250000}"/>
    <cellStyle name="20% - Accent5 2 3 2 2 2 3 3" xfId="10754" xr:uid="{00000000-0005-0000-0000-00009B250000}"/>
    <cellStyle name="20% - Accent5 2 3 2 2 2 3 3 2" xfId="6584" xr:uid="{00000000-0005-0000-0000-00009C250000}"/>
    <cellStyle name="20% - Accent5 2 3 2 2 2 3 4" xfId="10750" xr:uid="{00000000-0005-0000-0000-00009D250000}"/>
    <cellStyle name="20% - Accent5 2 3 2 2 2 4" xfId="21523" xr:uid="{00000000-0005-0000-0000-00009E250000}"/>
    <cellStyle name="20% - Accent5 2 3 2 2 2 4 2" xfId="10727" xr:uid="{00000000-0005-0000-0000-00009F250000}"/>
    <cellStyle name="20% - Accent5 2 3 2 2 2 4 2 2" xfId="21521" xr:uid="{00000000-0005-0000-0000-0000A0250000}"/>
    <cellStyle name="20% - Accent5 2 3 2 2 2 4 3" xfId="10713" xr:uid="{00000000-0005-0000-0000-0000A1250000}"/>
    <cellStyle name="20% - Accent5 2 3 2 2 2 5" xfId="30719" xr:uid="{00000000-0005-0000-0000-0000A2250000}"/>
    <cellStyle name="20% - Accent5 2 3 2 2 2 5 2" xfId="10695" xr:uid="{00000000-0005-0000-0000-0000A3250000}"/>
    <cellStyle name="20% - Accent5 2 3 2 2 2 6" xfId="21519" xr:uid="{00000000-0005-0000-0000-0000A4250000}"/>
    <cellStyle name="20% - Accent5 2 3 2 2 3" xfId="21516" xr:uid="{00000000-0005-0000-0000-0000A5250000}"/>
    <cellStyle name="20% - Accent5 2 3 2 2 3 2" xfId="21514" xr:uid="{00000000-0005-0000-0000-0000A6250000}"/>
    <cellStyle name="20% - Accent5 2 3 2 2 3 2 2" xfId="23030" xr:uid="{00000000-0005-0000-0000-0000A7250000}"/>
    <cellStyle name="20% - Accent5 2 3 2 2 3 2 2 2" xfId="21512" xr:uid="{00000000-0005-0000-0000-0000A8250000}"/>
    <cellStyle name="20% - Accent5 2 3 2 2 3 2 2 2 2" xfId="21508" xr:uid="{00000000-0005-0000-0000-0000A9250000}"/>
    <cellStyle name="20% - Accent5 2 3 2 2 3 2 2 3" xfId="18795" xr:uid="{00000000-0005-0000-0000-0000AA250000}"/>
    <cellStyle name="20% - Accent5 2 3 2 2 3 2 3" xfId="22487" xr:uid="{00000000-0005-0000-0000-0000AB250000}"/>
    <cellStyle name="20% - Accent5 2 3 2 2 3 2 3 2" xfId="6556" xr:uid="{00000000-0005-0000-0000-0000AC250000}"/>
    <cellStyle name="20% - Accent5 2 3 2 2 3 2 4" xfId="19603" xr:uid="{00000000-0005-0000-0000-0000AD250000}"/>
    <cellStyle name="20% - Accent5 2 3 2 2 3 3" xfId="21503" xr:uid="{00000000-0005-0000-0000-0000AE250000}"/>
    <cellStyle name="20% - Accent5 2 3 2 2 3 3 2" xfId="10673" xr:uid="{00000000-0005-0000-0000-0000AF250000}"/>
    <cellStyle name="20% - Accent5 2 3 2 2 3 3 2 2" xfId="18763" xr:uid="{00000000-0005-0000-0000-0000B0250000}"/>
    <cellStyle name="20% - Accent5 2 3 2 2 3 3 3" xfId="10667" xr:uid="{00000000-0005-0000-0000-0000B1250000}"/>
    <cellStyle name="20% - Accent5 2 3 2 2 3 4" xfId="21501" xr:uid="{00000000-0005-0000-0000-0000B2250000}"/>
    <cellStyle name="20% - Accent5 2 3 2 2 3 4 2" xfId="10642" xr:uid="{00000000-0005-0000-0000-0000B3250000}"/>
    <cellStyle name="20% - Accent5 2 3 2 2 3 5" xfId="21499" xr:uid="{00000000-0005-0000-0000-0000B4250000}"/>
    <cellStyle name="20% - Accent5 2 3 2 2 4" xfId="21497" xr:uid="{00000000-0005-0000-0000-0000B5250000}"/>
    <cellStyle name="20% - Accent5 2 3 2 2 4 2" xfId="21506" xr:uid="{00000000-0005-0000-0000-0000B6250000}"/>
    <cellStyle name="20% - Accent5 2 3 2 2 4 2 2" xfId="22067" xr:uid="{00000000-0005-0000-0000-0000B7250000}"/>
    <cellStyle name="20% - Accent5 2 3 2 2 4 2 2 2" xfId="18632" xr:uid="{00000000-0005-0000-0000-0000B8250000}"/>
    <cellStyle name="20% - Accent5 2 3 2 2 4 2 3" xfId="19594" xr:uid="{00000000-0005-0000-0000-0000B9250000}"/>
    <cellStyle name="20% - Accent5 2 3 2 2 4 3" xfId="21493" xr:uid="{00000000-0005-0000-0000-0000BA250000}"/>
    <cellStyle name="20% - Accent5 2 3 2 2 4 3 2" xfId="10605" xr:uid="{00000000-0005-0000-0000-0000BB250000}"/>
    <cellStyle name="20% - Accent5 2 3 2 2 4 4" xfId="21490" xr:uid="{00000000-0005-0000-0000-0000BC250000}"/>
    <cellStyle name="20% - Accent5 2 3 2 2 5" xfId="21488" xr:uid="{00000000-0005-0000-0000-0000BD250000}"/>
    <cellStyle name="20% - Accent5 2 3 2 2 5 2" xfId="30307" xr:uid="{00000000-0005-0000-0000-0000BE250000}"/>
    <cellStyle name="20% - Accent5 2 3 2 2 5 2 2" xfId="22056" xr:uid="{00000000-0005-0000-0000-0000BF250000}"/>
    <cellStyle name="20% - Accent5 2 3 2 2 5 3" xfId="7972" xr:uid="{00000000-0005-0000-0000-0000C0250000}"/>
    <cellStyle name="20% - Accent5 2 3 2 2 6" xfId="21487" xr:uid="{00000000-0005-0000-0000-0000C1250000}"/>
    <cellStyle name="20% - Accent5 2 3 2 2 6 2" xfId="26695" xr:uid="{00000000-0005-0000-0000-0000C2250000}"/>
    <cellStyle name="20% - Accent5 2 3 2 2 7" xfId="21486" xr:uid="{00000000-0005-0000-0000-0000C3250000}"/>
    <cellStyle name="20% - Accent5 2 3 2 3" xfId="16698" xr:uid="{00000000-0005-0000-0000-0000C4250000}"/>
    <cellStyle name="20% - Accent5 2 3 2 3 2" xfId="18156" xr:uid="{00000000-0005-0000-0000-0000C5250000}"/>
    <cellStyle name="20% - Accent5 2 3 2 3 2 2" xfId="16696" xr:uid="{00000000-0005-0000-0000-0000C6250000}"/>
    <cellStyle name="20% - Accent5 2 3 2 3 2 2 2" xfId="26919" xr:uid="{00000000-0005-0000-0000-0000C7250000}"/>
    <cellStyle name="20% - Accent5 2 3 2 3 2 2 2 2" xfId="21485" xr:uid="{00000000-0005-0000-0000-0000C8250000}"/>
    <cellStyle name="20% - Accent5 2 3 2 3 2 2 2 2 2" xfId="21484" xr:uid="{00000000-0005-0000-0000-0000C9250000}"/>
    <cellStyle name="20% - Accent5 2 3 2 3 2 2 2 3" xfId="19504" xr:uid="{00000000-0005-0000-0000-0000CA250000}"/>
    <cellStyle name="20% - Accent5 2 3 2 3 2 2 3" xfId="26409" xr:uid="{00000000-0005-0000-0000-0000CB250000}"/>
    <cellStyle name="20% - Accent5 2 3 2 3 2 2 3 2" xfId="7783" xr:uid="{00000000-0005-0000-0000-0000CC250000}"/>
    <cellStyle name="20% - Accent5 2 3 2 3 2 2 4" xfId="25682" xr:uid="{00000000-0005-0000-0000-0000CD250000}"/>
    <cellStyle name="20% - Accent5 2 3 2 3 2 3" xfId="16678" xr:uid="{00000000-0005-0000-0000-0000CE250000}"/>
    <cellStyle name="20% - Accent5 2 3 2 3 2 3 2" xfId="10476" xr:uid="{00000000-0005-0000-0000-0000CF250000}"/>
    <cellStyle name="20% - Accent5 2 3 2 3 2 3 2 2" xfId="21479" xr:uid="{00000000-0005-0000-0000-0000D0250000}"/>
    <cellStyle name="20% - Accent5 2 3 2 3 2 3 3" xfId="10472" xr:uid="{00000000-0005-0000-0000-0000D1250000}"/>
    <cellStyle name="20% - Accent5 2 3 2 3 2 4" xfId="16669" xr:uid="{00000000-0005-0000-0000-0000D2250000}"/>
    <cellStyle name="20% - Accent5 2 3 2 3 2 4 2" xfId="10457" xr:uid="{00000000-0005-0000-0000-0000D3250000}"/>
    <cellStyle name="20% - Accent5 2 3 2 3 2 5" xfId="16665" xr:uid="{00000000-0005-0000-0000-0000D4250000}"/>
    <cellStyle name="20% - Accent5 2 3 2 3 3" xfId="21904" xr:uid="{00000000-0005-0000-0000-0000D5250000}"/>
    <cellStyle name="20% - Accent5 2 3 2 3 3 2" xfId="16661" xr:uid="{00000000-0005-0000-0000-0000D6250000}"/>
    <cellStyle name="20% - Accent5 2 3 2 3 3 2 2" xfId="25650" xr:uid="{00000000-0005-0000-0000-0000D7250000}"/>
    <cellStyle name="20% - Accent5 2 3 2 3 3 2 2 2" xfId="21472" xr:uid="{00000000-0005-0000-0000-0000D8250000}"/>
    <cellStyle name="20% - Accent5 2 3 2 3 3 2 3" xfId="19934" xr:uid="{00000000-0005-0000-0000-0000D9250000}"/>
    <cellStyle name="20% - Accent5 2 3 2 3 3 3" xfId="19990" xr:uid="{00000000-0005-0000-0000-0000DA250000}"/>
    <cellStyle name="20% - Accent5 2 3 2 3 3 3 2" xfId="25625" xr:uid="{00000000-0005-0000-0000-0000DB250000}"/>
    <cellStyle name="20% - Accent5 2 3 2 3 3 4" xfId="18058" xr:uid="{00000000-0005-0000-0000-0000DC250000}"/>
    <cellStyle name="20% - Accent5 2 3 2 3 4" xfId="16651" xr:uid="{00000000-0005-0000-0000-0000DD250000}"/>
    <cellStyle name="20% - Accent5 2 3 2 3 4 2" xfId="16649" xr:uid="{00000000-0005-0000-0000-0000DE250000}"/>
    <cellStyle name="20% - Accent5 2 3 2 3 4 2 2" xfId="22047" xr:uid="{00000000-0005-0000-0000-0000DF250000}"/>
    <cellStyle name="20% - Accent5 2 3 2 3 4 3" xfId="21458" xr:uid="{00000000-0005-0000-0000-0000E0250000}"/>
    <cellStyle name="20% - Accent5 2 3 2 3 5" xfId="16646" xr:uid="{00000000-0005-0000-0000-0000E1250000}"/>
    <cellStyle name="20% - Accent5 2 3 2 3 5 2" xfId="16644" xr:uid="{00000000-0005-0000-0000-0000E2250000}"/>
    <cellStyle name="20% - Accent5 2 3 2 3 6" xfId="16641" xr:uid="{00000000-0005-0000-0000-0000E3250000}"/>
    <cellStyle name="20% - Accent5 2 3 2 4" xfId="13940" xr:uid="{00000000-0005-0000-0000-0000E4250000}"/>
    <cellStyle name="20% - Accent5 2 3 2 4 2" xfId="22035" xr:uid="{00000000-0005-0000-0000-0000E5250000}"/>
    <cellStyle name="20% - Accent5 2 3 2 4 2 2" xfId="22218" xr:uid="{00000000-0005-0000-0000-0000E6250000}"/>
    <cellStyle name="20% - Accent5 2 3 2 4 2 2 2" xfId="25554" xr:uid="{00000000-0005-0000-0000-0000E7250000}"/>
    <cellStyle name="20% - Accent5 2 3 2 4 2 2 2 2" xfId="27623" xr:uid="{00000000-0005-0000-0000-0000E8250000}"/>
    <cellStyle name="20% - Accent5 2 3 2 4 2 2 3" xfId="25545" xr:uid="{00000000-0005-0000-0000-0000E9250000}"/>
    <cellStyle name="20% - Accent5 2 3 2 4 2 3" xfId="20495" xr:uid="{00000000-0005-0000-0000-0000EA250000}"/>
    <cellStyle name="20% - Accent5 2 3 2 4 2 3 2" xfId="25529" xr:uid="{00000000-0005-0000-0000-0000EB250000}"/>
    <cellStyle name="20% - Accent5 2 3 2 4 2 4" xfId="16636" xr:uid="{00000000-0005-0000-0000-0000EC250000}"/>
    <cellStyle name="20% - Accent5 2 3 2 4 3" xfId="20487" xr:uid="{00000000-0005-0000-0000-0000ED250000}"/>
    <cellStyle name="20% - Accent5 2 3 2 4 3 2" xfId="20483" xr:uid="{00000000-0005-0000-0000-0000EE250000}"/>
    <cellStyle name="20% - Accent5 2 3 2 4 3 2 2" xfId="32095" xr:uid="{00000000-0005-0000-0000-0000EF250000}"/>
    <cellStyle name="20% - Accent5 2 3 2 4 3 3" xfId="21434" xr:uid="{00000000-0005-0000-0000-0000F0250000}"/>
    <cellStyle name="20% - Accent5 2 3 2 4 4" xfId="20479" xr:uid="{00000000-0005-0000-0000-0000F1250000}"/>
    <cellStyle name="20% - Accent5 2 3 2 4 4 2" xfId="16632" xr:uid="{00000000-0005-0000-0000-0000F2250000}"/>
    <cellStyle name="20% - Accent5 2 3 2 4 5" xfId="16629" xr:uid="{00000000-0005-0000-0000-0000F3250000}"/>
    <cellStyle name="20% - Accent5 2 3 2 5" xfId="16626" xr:uid="{00000000-0005-0000-0000-0000F4250000}"/>
    <cellStyle name="20% - Accent5 2 3 2 5 2" xfId="29213" xr:uid="{00000000-0005-0000-0000-0000F5250000}"/>
    <cellStyle name="20% - Accent5 2 3 2 5 2 2" xfId="28814" xr:uid="{00000000-0005-0000-0000-0000F6250000}"/>
    <cellStyle name="20% - Accent5 2 3 2 5 2 2 2" xfId="15863" xr:uid="{00000000-0005-0000-0000-0000F7250000}"/>
    <cellStyle name="20% - Accent5 2 3 2 5 2 3" xfId="21427" xr:uid="{00000000-0005-0000-0000-0000F8250000}"/>
    <cellStyle name="20% - Accent5 2 3 2 5 3" xfId="21421" xr:uid="{00000000-0005-0000-0000-0000F9250000}"/>
    <cellStyle name="20% - Accent5 2 3 2 5 3 2" xfId="21418" xr:uid="{00000000-0005-0000-0000-0000FA250000}"/>
    <cellStyle name="20% - Accent5 2 3 2 5 4" xfId="16623" xr:uid="{00000000-0005-0000-0000-0000FB250000}"/>
    <cellStyle name="20% - Accent5 2 3 2 6" xfId="16621" xr:uid="{00000000-0005-0000-0000-0000FC250000}"/>
    <cellStyle name="20% - Accent5 2 3 2 6 2" xfId="21412" xr:uid="{00000000-0005-0000-0000-0000FD250000}"/>
    <cellStyle name="20% - Accent5 2 3 2 6 2 2" xfId="21408" xr:uid="{00000000-0005-0000-0000-0000FE250000}"/>
    <cellStyle name="20% - Accent5 2 3 2 6 3" xfId="16619" xr:uid="{00000000-0005-0000-0000-0000FF250000}"/>
    <cellStyle name="20% - Accent5 2 3 2 7" xfId="21405" xr:uid="{00000000-0005-0000-0000-000000260000}"/>
    <cellStyle name="20% - Accent5 2 3 2 7 2" xfId="21403" xr:uid="{00000000-0005-0000-0000-000001260000}"/>
    <cellStyle name="20% - Accent5 2 3 2 8" xfId="26717" xr:uid="{00000000-0005-0000-0000-000002260000}"/>
    <cellStyle name="20% - Accent5 2 3 3" xfId="30952" xr:uid="{00000000-0005-0000-0000-000003260000}"/>
    <cellStyle name="20% - Accent5 2 3 3 2" xfId="21400" xr:uid="{00000000-0005-0000-0000-000004260000}"/>
    <cellStyle name="20% - Accent5 2 3 3 2 2" xfId="30483" xr:uid="{00000000-0005-0000-0000-000005260000}"/>
    <cellStyle name="20% - Accent5 2 3 3 2 2 2" xfId="30477" xr:uid="{00000000-0005-0000-0000-000006260000}"/>
    <cellStyle name="20% - Accent5 2 3 3 2 2 2 2" xfId="22690" xr:uid="{00000000-0005-0000-0000-000007260000}"/>
    <cellStyle name="20% - Accent5 2 3 3 2 2 2 2 2" xfId="21399" xr:uid="{00000000-0005-0000-0000-000008260000}"/>
    <cellStyle name="20% - Accent5 2 3 3 2 2 2 2 2 2" xfId="21397" xr:uid="{00000000-0005-0000-0000-000009260000}"/>
    <cellStyle name="20% - Accent5 2 3 3 2 2 2 2 3" xfId="21395" xr:uid="{00000000-0005-0000-0000-00000A260000}"/>
    <cellStyle name="20% - Accent5 2 3 3 2 2 2 3" xfId="22684" xr:uid="{00000000-0005-0000-0000-00000B260000}"/>
    <cellStyle name="20% - Accent5 2 3 3 2 2 2 3 2" xfId="6166" xr:uid="{00000000-0005-0000-0000-00000C260000}"/>
    <cellStyle name="20% - Accent5 2 3 3 2 2 2 4" xfId="24812" xr:uid="{00000000-0005-0000-0000-00000D260000}"/>
    <cellStyle name="20% - Accent5 2 3 3 2 2 3" xfId="30471" xr:uid="{00000000-0005-0000-0000-00000E260000}"/>
    <cellStyle name="20% - Accent5 2 3 3 2 2 3 2" xfId="9774" xr:uid="{00000000-0005-0000-0000-00000F260000}"/>
    <cellStyle name="20% - Accent5 2 3 3 2 2 3 2 2" xfId="21394" xr:uid="{00000000-0005-0000-0000-000010260000}"/>
    <cellStyle name="20% - Accent5 2 3 3 2 2 3 3" xfId="11381" xr:uid="{00000000-0005-0000-0000-000011260000}"/>
    <cellStyle name="20% - Accent5 2 3 3 2 2 4" xfId="30726" xr:uid="{00000000-0005-0000-0000-000012260000}"/>
    <cellStyle name="20% - Accent5 2 3 3 2 2 4 2" xfId="9750" xr:uid="{00000000-0005-0000-0000-000013260000}"/>
    <cellStyle name="20% - Accent5 2 3 3 2 2 5" xfId="21393" xr:uid="{00000000-0005-0000-0000-000014260000}"/>
    <cellStyle name="20% - Accent5 2 3 3 2 3" xfId="23000" xr:uid="{00000000-0005-0000-0000-000015260000}"/>
    <cellStyle name="20% - Accent5 2 3 3 2 3 2" xfId="22776" xr:uid="{00000000-0005-0000-0000-000016260000}"/>
    <cellStyle name="20% - Accent5 2 3 3 2 3 2 2" xfId="20146" xr:uid="{00000000-0005-0000-0000-000017260000}"/>
    <cellStyle name="20% - Accent5 2 3 3 2 3 2 2 2" xfId="21392" xr:uid="{00000000-0005-0000-0000-000018260000}"/>
    <cellStyle name="20% - Accent5 2 3 3 2 3 2 3" xfId="20126" xr:uid="{00000000-0005-0000-0000-000019260000}"/>
    <cellStyle name="20% - Accent5 2 3 3 2 3 3" xfId="30465" xr:uid="{00000000-0005-0000-0000-00001A260000}"/>
    <cellStyle name="20% - Accent5 2 3 3 2 3 3 2" xfId="9710" xr:uid="{00000000-0005-0000-0000-00001B260000}"/>
    <cellStyle name="20% - Accent5 2 3 3 2 3 4" xfId="7881" xr:uid="{00000000-0005-0000-0000-00001C260000}"/>
    <cellStyle name="20% - Accent5 2 3 3 2 4" xfId="31037" xr:uid="{00000000-0005-0000-0000-00001D260000}"/>
    <cellStyle name="20% - Accent5 2 3 3 2 4 2" xfId="22712" xr:uid="{00000000-0005-0000-0000-00001E260000}"/>
    <cellStyle name="20% - Accent5 2 3 3 2 4 2 2" xfId="21993" xr:uid="{00000000-0005-0000-0000-00001F260000}"/>
    <cellStyle name="20% - Accent5 2 3 3 2 4 3" xfId="21390" xr:uid="{00000000-0005-0000-0000-000020260000}"/>
    <cellStyle name="20% - Accent5 2 3 3 2 5" xfId="26937" xr:uid="{00000000-0005-0000-0000-000021260000}"/>
    <cellStyle name="20% - Accent5 2 3 3 2 5 2" xfId="22647" xr:uid="{00000000-0005-0000-0000-000022260000}"/>
    <cellStyle name="20% - Accent5 2 3 3 2 6" xfId="21388" xr:uid="{00000000-0005-0000-0000-000023260000}"/>
    <cellStyle name="20% - Accent5 2 3 3 3" xfId="16615" xr:uid="{00000000-0005-0000-0000-000024260000}"/>
    <cellStyle name="20% - Accent5 2 3 3 3 2" xfId="18150" xr:uid="{00000000-0005-0000-0000-000025260000}"/>
    <cellStyle name="20% - Accent5 2 3 3 3 2 2" xfId="16613" xr:uid="{00000000-0005-0000-0000-000026260000}"/>
    <cellStyle name="20% - Accent5 2 3 3 3 2 2 2" xfId="10215" xr:uid="{00000000-0005-0000-0000-000027260000}"/>
    <cellStyle name="20% - Accent5 2 3 3 3 2 2 2 2" xfId="21387" xr:uid="{00000000-0005-0000-0000-000028260000}"/>
    <cellStyle name="20% - Accent5 2 3 3 3 2 2 3" xfId="25329" xr:uid="{00000000-0005-0000-0000-000029260000}"/>
    <cellStyle name="20% - Accent5 2 3 3 3 2 3" xfId="16607" xr:uid="{00000000-0005-0000-0000-00002A260000}"/>
    <cellStyle name="20% - Accent5 2 3 3 3 2 3 2" xfId="9630" xr:uid="{00000000-0005-0000-0000-00002B260000}"/>
    <cellStyle name="20% - Accent5 2 3 3 3 2 4" xfId="16605" xr:uid="{00000000-0005-0000-0000-00002C260000}"/>
    <cellStyle name="20% - Accent5 2 3 3 3 3" xfId="16600" xr:uid="{00000000-0005-0000-0000-00002D260000}"/>
    <cellStyle name="20% - Accent5 2 3 3 3 3 2" xfId="16597" xr:uid="{00000000-0005-0000-0000-00002E260000}"/>
    <cellStyle name="20% - Accent5 2 3 3 3 3 2 2" xfId="25304" xr:uid="{00000000-0005-0000-0000-00002F260000}"/>
    <cellStyle name="20% - Accent5 2 3 3 3 3 3" xfId="18037" xr:uid="{00000000-0005-0000-0000-000030260000}"/>
    <cellStyle name="20% - Accent5 2 3 3 3 4" xfId="16594" xr:uid="{00000000-0005-0000-0000-000031260000}"/>
    <cellStyle name="20% - Accent5 2 3 3 3 4 2" xfId="16589" xr:uid="{00000000-0005-0000-0000-000032260000}"/>
    <cellStyle name="20% - Accent5 2 3 3 3 5" xfId="16584" xr:uid="{00000000-0005-0000-0000-000033260000}"/>
    <cellStyle name="20% - Accent5 2 3 3 4" xfId="18146" xr:uid="{00000000-0005-0000-0000-000034260000}"/>
    <cellStyle name="20% - Accent5 2 3 3 4 2" xfId="20426" xr:uid="{00000000-0005-0000-0000-000035260000}"/>
    <cellStyle name="20% - Accent5 2 3 3 4 2 2" xfId="30141" xr:uid="{00000000-0005-0000-0000-000036260000}"/>
    <cellStyle name="20% - Accent5 2 3 3 4 2 2 2" xfId="25236" xr:uid="{00000000-0005-0000-0000-000037260000}"/>
    <cellStyle name="20% - Accent5 2 3 3 4 2 3" xfId="16582" xr:uid="{00000000-0005-0000-0000-000038260000}"/>
    <cellStyle name="20% - Accent5 2 3 3 4 3" xfId="20421" xr:uid="{00000000-0005-0000-0000-000039260000}"/>
    <cellStyle name="20% - Accent5 2 3 3 4 3 2" xfId="16579" xr:uid="{00000000-0005-0000-0000-00003A260000}"/>
    <cellStyle name="20% - Accent5 2 3 3 4 4" xfId="16576" xr:uid="{00000000-0005-0000-0000-00003B260000}"/>
    <cellStyle name="20% - Accent5 2 3 3 5" xfId="19657" xr:uid="{00000000-0005-0000-0000-00003C260000}"/>
    <cellStyle name="20% - Accent5 2 3 3 5 2" xfId="25912" xr:uid="{00000000-0005-0000-0000-00003D260000}"/>
    <cellStyle name="20% - Accent5 2 3 3 5 2 2" xfId="21374" xr:uid="{00000000-0005-0000-0000-00003E260000}"/>
    <cellStyle name="20% - Accent5 2 3 3 5 3" xfId="16572" xr:uid="{00000000-0005-0000-0000-00003F260000}"/>
    <cellStyle name="20% - Accent5 2 3 3 6" xfId="16568" xr:uid="{00000000-0005-0000-0000-000040260000}"/>
    <cellStyle name="20% - Accent5 2 3 3 6 2" xfId="26879" xr:uid="{00000000-0005-0000-0000-000041260000}"/>
    <cellStyle name="20% - Accent5 2 3 3 7" xfId="21372" xr:uid="{00000000-0005-0000-0000-000042260000}"/>
    <cellStyle name="20% - Accent5 2 3 4" xfId="21368" xr:uid="{00000000-0005-0000-0000-000043260000}"/>
    <cellStyle name="20% - Accent5 2 3 4 2" xfId="21364" xr:uid="{00000000-0005-0000-0000-000044260000}"/>
    <cellStyle name="20% - Accent5 2 3 4 2 2" xfId="22980" xr:uid="{00000000-0005-0000-0000-000045260000}"/>
    <cellStyle name="20% - Accent5 2 3 4 2 2 2" xfId="29962" xr:uid="{00000000-0005-0000-0000-000046260000}"/>
    <cellStyle name="20% - Accent5 2 3 4 2 2 2 2" xfId="22536" xr:uid="{00000000-0005-0000-0000-000047260000}"/>
    <cellStyle name="20% - Accent5 2 3 4 2 2 2 2 2" xfId="28157" xr:uid="{00000000-0005-0000-0000-000048260000}"/>
    <cellStyle name="20% - Accent5 2 3 4 2 2 2 3" xfId="22521" xr:uid="{00000000-0005-0000-0000-000049260000}"/>
    <cellStyle name="20% - Accent5 2 3 4 2 2 3" xfId="22887" xr:uid="{00000000-0005-0000-0000-00004A260000}"/>
    <cellStyle name="20% - Accent5 2 3 4 2 2 3 2" xfId="9415" xr:uid="{00000000-0005-0000-0000-00004B260000}"/>
    <cellStyle name="20% - Accent5 2 3 4 2 2 4" xfId="29891" xr:uid="{00000000-0005-0000-0000-00004C260000}"/>
    <cellStyle name="20% - Accent5 2 3 4 2 3" xfId="26097" xr:uid="{00000000-0005-0000-0000-00004D260000}"/>
    <cellStyle name="20% - Accent5 2 3 4 2 3 2" xfId="22432" xr:uid="{00000000-0005-0000-0000-00004E260000}"/>
    <cellStyle name="20% - Accent5 2 3 4 2 3 2 2" xfId="22500" xr:uid="{00000000-0005-0000-0000-00004F260000}"/>
    <cellStyle name="20% - Accent5 2 3 4 2 3 3" xfId="21363" xr:uid="{00000000-0005-0000-0000-000050260000}"/>
    <cellStyle name="20% - Accent5 2 3 4 2 4" xfId="26705" xr:uid="{00000000-0005-0000-0000-000051260000}"/>
    <cellStyle name="20% - Accent5 2 3 4 2 4 2" xfId="21361" xr:uid="{00000000-0005-0000-0000-000052260000}"/>
    <cellStyle name="20% - Accent5 2 3 4 2 5" xfId="21359" xr:uid="{00000000-0005-0000-0000-000053260000}"/>
    <cellStyle name="20% - Accent5 2 3 4 3" xfId="18142" xr:uid="{00000000-0005-0000-0000-000054260000}"/>
    <cellStyle name="20% - Accent5 2 3 4 3 2" xfId="16565" xr:uid="{00000000-0005-0000-0000-000055260000}"/>
    <cellStyle name="20% - Accent5 2 3 4 3 2 2" xfId="16563" xr:uid="{00000000-0005-0000-0000-000056260000}"/>
    <cellStyle name="20% - Accent5 2 3 4 3 2 2 2" xfId="25158" xr:uid="{00000000-0005-0000-0000-000057260000}"/>
    <cellStyle name="20% - Accent5 2 3 4 3 2 3" xfId="16561" xr:uid="{00000000-0005-0000-0000-000058260000}"/>
    <cellStyle name="20% - Accent5 2 3 4 3 3" xfId="20310" xr:uid="{00000000-0005-0000-0000-000059260000}"/>
    <cellStyle name="20% - Accent5 2 3 4 3 3 2" xfId="16559" xr:uid="{00000000-0005-0000-0000-00005A260000}"/>
    <cellStyle name="20% - Accent5 2 3 4 3 4" xfId="16555" xr:uid="{00000000-0005-0000-0000-00005B260000}"/>
    <cellStyle name="20% - Accent5 2 3 4 4" xfId="10997" xr:uid="{00000000-0005-0000-0000-00005C260000}"/>
    <cellStyle name="20% - Accent5 2 3 4 4 2" xfId="20406" xr:uid="{00000000-0005-0000-0000-00005D260000}"/>
    <cellStyle name="20% - Accent5 2 3 4 4 2 2" xfId="15182" xr:uid="{00000000-0005-0000-0000-00005E260000}"/>
    <cellStyle name="20% - Accent5 2 3 4 4 3" xfId="16553" xr:uid="{00000000-0005-0000-0000-00005F260000}"/>
    <cellStyle name="20% - Accent5 2 3 4 5" xfId="16550" xr:uid="{00000000-0005-0000-0000-000060260000}"/>
    <cellStyle name="20% - Accent5 2 3 4 5 2" xfId="16548" xr:uid="{00000000-0005-0000-0000-000061260000}"/>
    <cellStyle name="20% - Accent5 2 3 4 6" xfId="16546" xr:uid="{00000000-0005-0000-0000-000062260000}"/>
    <cellStyle name="20% - Accent5 2 3 5" xfId="22533" xr:uid="{00000000-0005-0000-0000-000063260000}"/>
    <cellStyle name="20% - Accent5 2 3 5 2" xfId="22529" xr:uid="{00000000-0005-0000-0000-000064260000}"/>
    <cellStyle name="20% - Accent5 2 3 5 2 2" xfId="32764" xr:uid="{00000000-0005-0000-0000-000065260000}"/>
    <cellStyle name="20% - Accent5 2 3 5 2 2 2" xfId="29597" xr:uid="{00000000-0005-0000-0000-000066260000}"/>
    <cellStyle name="20% - Accent5 2 3 5 2 2 2 2" xfId="22343" xr:uid="{00000000-0005-0000-0000-000067260000}"/>
    <cellStyle name="20% - Accent5 2 3 5 2 2 3" xfId="21347" xr:uid="{00000000-0005-0000-0000-000068260000}"/>
    <cellStyle name="20% - Accent5 2 3 5 2 3" xfId="32754" xr:uid="{00000000-0005-0000-0000-000069260000}"/>
    <cellStyle name="20% - Accent5 2 3 5 2 3 2" xfId="21345" xr:uid="{00000000-0005-0000-0000-00006A260000}"/>
    <cellStyle name="20% - Accent5 2 3 5 2 4" xfId="21343" xr:uid="{00000000-0005-0000-0000-00006B260000}"/>
    <cellStyle name="20% - Accent5 2 3 5 3" xfId="24974" xr:uid="{00000000-0005-0000-0000-00006C260000}"/>
    <cellStyle name="20% - Accent5 2 3 5 3 2" xfId="33283" xr:uid="{00000000-0005-0000-0000-00006D260000}"/>
    <cellStyle name="20% - Accent5 2 3 5 3 2 2" xfId="16542" xr:uid="{00000000-0005-0000-0000-00006E260000}"/>
    <cellStyle name="20% - Accent5 2 3 5 3 3" xfId="21339" xr:uid="{00000000-0005-0000-0000-00006F260000}"/>
    <cellStyle name="20% - Accent5 2 3 5 4" xfId="21334" xr:uid="{00000000-0005-0000-0000-000070260000}"/>
    <cellStyle name="20% - Accent5 2 3 5 4 2" xfId="21329" xr:uid="{00000000-0005-0000-0000-000071260000}"/>
    <cellStyle name="20% - Accent5 2 3 5 5" xfId="21326" xr:uid="{00000000-0005-0000-0000-000072260000}"/>
    <cellStyle name="20% - Accent5 2 3 6" xfId="22520" xr:uid="{00000000-0005-0000-0000-000073260000}"/>
    <cellStyle name="20% - Accent5 2 3 6 2" xfId="21323" xr:uid="{00000000-0005-0000-0000-000074260000}"/>
    <cellStyle name="20% - Accent5 2 3 6 2 2" xfId="33807" xr:uid="{00000000-0005-0000-0000-000075260000}"/>
    <cellStyle name="20% - Accent5 2 3 6 2 2 2" xfId="20110" xr:uid="{00000000-0005-0000-0000-000076260000}"/>
    <cellStyle name="20% - Accent5 2 3 6 2 3" xfId="18712" xr:uid="{00000000-0005-0000-0000-000077260000}"/>
    <cellStyle name="20% - Accent5 2 3 6 3" xfId="21316" xr:uid="{00000000-0005-0000-0000-000078260000}"/>
    <cellStyle name="20% - Accent5 2 3 6 3 2" xfId="20910" xr:uid="{00000000-0005-0000-0000-000079260000}"/>
    <cellStyle name="20% - Accent5 2 3 6 4" xfId="21313" xr:uid="{00000000-0005-0000-0000-00007A260000}"/>
    <cellStyle name="20% - Accent5 2 3 7" xfId="24218" xr:uid="{00000000-0005-0000-0000-00007B260000}"/>
    <cellStyle name="20% - Accent5 2 3 7 2" xfId="21311" xr:uid="{00000000-0005-0000-0000-00007C260000}"/>
    <cellStyle name="20% - Accent5 2 3 7 2 2" xfId="21309" xr:uid="{00000000-0005-0000-0000-00007D260000}"/>
    <cellStyle name="20% - Accent5 2 3 7 3" xfId="21308" xr:uid="{00000000-0005-0000-0000-00007E260000}"/>
    <cellStyle name="20% - Accent5 2 3 8" xfId="24206" xr:uid="{00000000-0005-0000-0000-00007F260000}"/>
    <cellStyle name="20% - Accent5 2 3 8 2" xfId="21306" xr:uid="{00000000-0005-0000-0000-000080260000}"/>
    <cellStyle name="20% - Accent5 2 3 9" xfId="24197" xr:uid="{00000000-0005-0000-0000-000081260000}"/>
    <cellStyle name="20% - Accent5 2 4" xfId="21305" xr:uid="{00000000-0005-0000-0000-000082260000}"/>
    <cellStyle name="20% - Accent5 2 4 2" xfId="8919" xr:uid="{00000000-0005-0000-0000-000083260000}"/>
    <cellStyle name="20% - Accent5 2 4 2 2" xfId="21304" xr:uid="{00000000-0005-0000-0000-000084260000}"/>
    <cellStyle name="20% - Accent5 2 4 2 2 2" xfId="21303" xr:uid="{00000000-0005-0000-0000-000085260000}"/>
    <cellStyle name="20% - Accent5 2 4 2 2 2 2" xfId="21300" xr:uid="{00000000-0005-0000-0000-000086260000}"/>
    <cellStyle name="20% - Accent5 2 4 2 2 2 2 2" xfId="16999" xr:uid="{00000000-0005-0000-0000-000087260000}"/>
    <cellStyle name="20% - Accent5 2 4 2 2 2 2 2 2" xfId="21293" xr:uid="{00000000-0005-0000-0000-000088260000}"/>
    <cellStyle name="20% - Accent5 2 4 2 2 2 2 2 2 2" xfId="27343" xr:uid="{00000000-0005-0000-0000-000089260000}"/>
    <cellStyle name="20% - Accent5 2 4 2 2 2 2 2 3" xfId="21290" xr:uid="{00000000-0005-0000-0000-00008A260000}"/>
    <cellStyle name="20% - Accent5 2 4 2 2 2 2 3" xfId="23493" xr:uid="{00000000-0005-0000-0000-00008B260000}"/>
    <cellStyle name="20% - Accent5 2 4 2 2 2 2 3 2" xfId="32041" xr:uid="{00000000-0005-0000-0000-00008C260000}"/>
    <cellStyle name="20% - Accent5 2 4 2 2 2 2 4" xfId="21287" xr:uid="{00000000-0005-0000-0000-00008D260000}"/>
    <cellStyle name="20% - Accent5 2 4 2 2 2 3" xfId="24656" xr:uid="{00000000-0005-0000-0000-00008E260000}"/>
    <cellStyle name="20% - Accent5 2 4 2 2 2 3 2" xfId="8290" xr:uid="{00000000-0005-0000-0000-00008F260000}"/>
    <cellStyle name="20% - Accent5 2 4 2 2 2 3 2 2" xfId="21280" xr:uid="{00000000-0005-0000-0000-000090260000}"/>
    <cellStyle name="20% - Accent5 2 4 2 2 2 3 3" xfId="8286" xr:uid="{00000000-0005-0000-0000-000091260000}"/>
    <cellStyle name="20% - Accent5 2 4 2 2 2 4" xfId="24646" xr:uid="{00000000-0005-0000-0000-000092260000}"/>
    <cellStyle name="20% - Accent5 2 4 2 2 2 4 2" xfId="8270" xr:uid="{00000000-0005-0000-0000-000093260000}"/>
    <cellStyle name="20% - Accent5 2 4 2 2 2 5" xfId="24638" xr:uid="{00000000-0005-0000-0000-000094260000}"/>
    <cellStyle name="20% - Accent5 2 4 2 2 3" xfId="21277" xr:uid="{00000000-0005-0000-0000-000095260000}"/>
    <cellStyle name="20% - Accent5 2 4 2 2 3 2" xfId="21274" xr:uid="{00000000-0005-0000-0000-000096260000}"/>
    <cellStyle name="20% - Accent5 2 4 2 2 3 2 2" xfId="23605" xr:uid="{00000000-0005-0000-0000-000097260000}"/>
    <cellStyle name="20% - Accent5 2 4 2 2 3 2 2 2" xfId="21271" xr:uid="{00000000-0005-0000-0000-000098260000}"/>
    <cellStyle name="20% - Accent5 2 4 2 2 3 2 3" xfId="21152" xr:uid="{00000000-0005-0000-0000-000099260000}"/>
    <cellStyle name="20% - Accent5 2 4 2 2 3 3" xfId="23598" xr:uid="{00000000-0005-0000-0000-00009A260000}"/>
    <cellStyle name="20% - Accent5 2 4 2 2 3 3 2" xfId="8233" xr:uid="{00000000-0005-0000-0000-00009B260000}"/>
    <cellStyle name="20% - Accent5 2 4 2 2 3 4" xfId="21269" xr:uid="{00000000-0005-0000-0000-00009C260000}"/>
    <cellStyle name="20% - Accent5 2 4 2 2 4" xfId="21266" xr:uid="{00000000-0005-0000-0000-00009D260000}"/>
    <cellStyle name="20% - Accent5 2 4 2 2 4 2" xfId="21265" xr:uid="{00000000-0005-0000-0000-00009E260000}"/>
    <cellStyle name="20% - Accent5 2 4 2 2 4 2 2" xfId="25858" xr:uid="{00000000-0005-0000-0000-00009F260000}"/>
    <cellStyle name="20% - Accent5 2 4 2 2 4 3" xfId="21262" xr:uid="{00000000-0005-0000-0000-0000A0260000}"/>
    <cellStyle name="20% - Accent5 2 4 2 2 5" xfId="21257" xr:uid="{00000000-0005-0000-0000-0000A1260000}"/>
    <cellStyle name="20% - Accent5 2 4 2 2 5 2" xfId="29272" xr:uid="{00000000-0005-0000-0000-0000A2260000}"/>
    <cellStyle name="20% - Accent5 2 4 2 2 6" xfId="21255" xr:uid="{00000000-0005-0000-0000-0000A3260000}"/>
    <cellStyle name="20% - Accent5 2 4 2 3" xfId="16461" xr:uid="{00000000-0005-0000-0000-0000A4260000}"/>
    <cellStyle name="20% - Accent5 2 4 2 3 2" xfId="20211" xr:uid="{00000000-0005-0000-0000-0000A5260000}"/>
    <cellStyle name="20% - Accent5 2 4 2 3 2 2" xfId="16459" xr:uid="{00000000-0005-0000-0000-0000A6260000}"/>
    <cellStyle name="20% - Accent5 2 4 2 3 2 2 2" xfId="22824" xr:uid="{00000000-0005-0000-0000-0000A7260000}"/>
    <cellStyle name="20% - Accent5 2 4 2 3 2 2 2 2" xfId="21254" xr:uid="{00000000-0005-0000-0000-0000A8260000}"/>
    <cellStyle name="20% - Accent5 2 4 2 3 2 2 3" xfId="22813" xr:uid="{00000000-0005-0000-0000-0000A9260000}"/>
    <cellStyle name="20% - Accent5 2 4 2 3 2 3" xfId="16453" xr:uid="{00000000-0005-0000-0000-0000AA260000}"/>
    <cellStyle name="20% - Accent5 2 4 2 3 2 3 2" xfId="8121" xr:uid="{00000000-0005-0000-0000-0000AB260000}"/>
    <cellStyle name="20% - Accent5 2 4 2 3 2 4" xfId="16450" xr:uid="{00000000-0005-0000-0000-0000AC260000}"/>
    <cellStyle name="20% - Accent5 2 4 2 3 3" xfId="16446" xr:uid="{00000000-0005-0000-0000-0000AD260000}"/>
    <cellStyle name="20% - Accent5 2 4 2 3 3 2" xfId="16442" xr:uid="{00000000-0005-0000-0000-0000AE260000}"/>
    <cellStyle name="20% - Accent5 2 4 2 3 3 2 2" xfId="25814" xr:uid="{00000000-0005-0000-0000-0000AF260000}"/>
    <cellStyle name="20% - Accent5 2 4 2 3 3 3" xfId="16437" xr:uid="{00000000-0005-0000-0000-0000B0260000}"/>
    <cellStyle name="20% - Accent5 2 4 2 3 4" xfId="16435" xr:uid="{00000000-0005-0000-0000-0000B1260000}"/>
    <cellStyle name="20% - Accent5 2 4 2 3 4 2" xfId="6334" xr:uid="{00000000-0005-0000-0000-0000B2260000}"/>
    <cellStyle name="20% - Accent5 2 4 2 3 5" xfId="16429" xr:uid="{00000000-0005-0000-0000-0000B3260000}"/>
    <cellStyle name="20% - Accent5 2 4 2 4" xfId="16427" xr:uid="{00000000-0005-0000-0000-0000B4260000}"/>
    <cellStyle name="20% - Accent5 2 4 2 4 2" xfId="20332" xr:uid="{00000000-0005-0000-0000-0000B5260000}"/>
    <cellStyle name="20% - Accent5 2 4 2 4 2 2" xfId="20328" xr:uid="{00000000-0005-0000-0000-0000B6260000}"/>
    <cellStyle name="20% - Accent5 2 4 2 4 2 2 2" xfId="22733" xr:uid="{00000000-0005-0000-0000-0000B7260000}"/>
    <cellStyle name="20% - Accent5 2 4 2 4 2 3" xfId="16424" xr:uid="{00000000-0005-0000-0000-0000B8260000}"/>
    <cellStyle name="20% - Accent5 2 4 2 4 3" xfId="20321" xr:uid="{00000000-0005-0000-0000-0000B9260000}"/>
    <cellStyle name="20% - Accent5 2 4 2 4 3 2" xfId="16420" xr:uid="{00000000-0005-0000-0000-0000BA260000}"/>
    <cellStyle name="20% - Accent5 2 4 2 4 4" xfId="16416" xr:uid="{00000000-0005-0000-0000-0000BB260000}"/>
    <cellStyle name="20% - Accent5 2 4 2 5" xfId="16414" xr:uid="{00000000-0005-0000-0000-0000BC260000}"/>
    <cellStyle name="20% - Accent5 2 4 2 5 2" xfId="21221" xr:uid="{00000000-0005-0000-0000-0000BD260000}"/>
    <cellStyle name="20% - Accent5 2 4 2 5 2 2" xfId="24392" xr:uid="{00000000-0005-0000-0000-0000BE260000}"/>
    <cellStyle name="20% - Accent5 2 4 2 5 3" xfId="16412" xr:uid="{00000000-0005-0000-0000-0000BF260000}"/>
    <cellStyle name="20% - Accent5 2 4 2 6" xfId="16410" xr:uid="{00000000-0005-0000-0000-0000C0260000}"/>
    <cellStyle name="20% - Accent5 2 4 2 6 2" xfId="16408" xr:uid="{00000000-0005-0000-0000-0000C1260000}"/>
    <cellStyle name="20% - Accent5 2 4 2 7" xfId="19670" xr:uid="{00000000-0005-0000-0000-0000C2260000}"/>
    <cellStyle name="20% - Accent5 2 4 3" xfId="8912" xr:uid="{00000000-0005-0000-0000-0000C3260000}"/>
    <cellStyle name="20% - Accent5 2 4 3 2" xfId="21215" xr:uid="{00000000-0005-0000-0000-0000C4260000}"/>
    <cellStyle name="20% - Accent5 2 4 3 2 2" xfId="28867" xr:uid="{00000000-0005-0000-0000-0000C5260000}"/>
    <cellStyle name="20% - Accent5 2 4 3 2 2 2" xfId="17247" xr:uid="{00000000-0005-0000-0000-0000C6260000}"/>
    <cellStyle name="20% - Accent5 2 4 3 2 2 2 2" xfId="14848" xr:uid="{00000000-0005-0000-0000-0000C7260000}"/>
    <cellStyle name="20% - Accent5 2 4 3 2 2 2 2 2" xfId="21214" xr:uid="{00000000-0005-0000-0000-0000C8260000}"/>
    <cellStyle name="20% - Accent5 2 4 3 2 2 2 3" xfId="25464" xr:uid="{00000000-0005-0000-0000-0000C9260000}"/>
    <cellStyle name="20% - Accent5 2 4 3 2 2 3" xfId="15206" xr:uid="{00000000-0005-0000-0000-0000CA260000}"/>
    <cellStyle name="20% - Accent5 2 4 3 2 2 3 2" xfId="25454" xr:uid="{00000000-0005-0000-0000-0000CB260000}"/>
    <cellStyle name="20% - Accent5 2 4 3 2 2 4" xfId="24150" xr:uid="{00000000-0005-0000-0000-0000CC260000}"/>
    <cellStyle name="20% - Accent5 2 4 3 2 3" xfId="25952" xr:uid="{00000000-0005-0000-0000-0000CD260000}"/>
    <cellStyle name="20% - Accent5 2 4 3 2 3 2" xfId="15185" xr:uid="{00000000-0005-0000-0000-0000CE260000}"/>
    <cellStyle name="20% - Accent5 2 4 3 2 3 2 2" xfId="28127" xr:uid="{00000000-0005-0000-0000-0000CF260000}"/>
    <cellStyle name="20% - Accent5 2 4 3 2 3 3" xfId="29971" xr:uid="{00000000-0005-0000-0000-0000D0260000}"/>
    <cellStyle name="20% - Accent5 2 4 3 2 4" xfId="28861" xr:uid="{00000000-0005-0000-0000-0000D1260000}"/>
    <cellStyle name="20% - Accent5 2 4 3 2 4 2" xfId="21212" xr:uid="{00000000-0005-0000-0000-0000D2260000}"/>
    <cellStyle name="20% - Accent5 2 4 3 2 5" xfId="21210" xr:uid="{00000000-0005-0000-0000-0000D3260000}"/>
    <cellStyle name="20% - Accent5 2 4 3 3" xfId="16405" xr:uid="{00000000-0005-0000-0000-0000D4260000}"/>
    <cellStyle name="20% - Accent5 2 4 3 3 2" xfId="29034" xr:uid="{00000000-0005-0000-0000-0000D5260000}"/>
    <cellStyle name="20% - Accent5 2 4 3 3 2 2" xfId="15158" xr:uid="{00000000-0005-0000-0000-0000D6260000}"/>
    <cellStyle name="20% - Accent5 2 4 3 3 2 2 2" xfId="25439" xr:uid="{00000000-0005-0000-0000-0000D7260000}"/>
    <cellStyle name="20% - Accent5 2 4 3 3 2 3" xfId="16403" xr:uid="{00000000-0005-0000-0000-0000D8260000}"/>
    <cellStyle name="20% - Accent5 2 4 3 3 3" xfId="28853" xr:uid="{00000000-0005-0000-0000-0000D9260000}"/>
    <cellStyle name="20% - Accent5 2 4 3 3 3 2" xfId="16401" xr:uid="{00000000-0005-0000-0000-0000DA260000}"/>
    <cellStyle name="20% - Accent5 2 4 3 3 4" xfId="16399" xr:uid="{00000000-0005-0000-0000-0000DB260000}"/>
    <cellStyle name="20% - Accent5 2 4 3 4" xfId="20994" xr:uid="{00000000-0005-0000-0000-0000DC260000}"/>
    <cellStyle name="20% - Accent5 2 4 3 4 2" xfId="20286" xr:uid="{00000000-0005-0000-0000-0000DD260000}"/>
    <cellStyle name="20% - Accent5 2 4 3 4 2 2" xfId="16396" xr:uid="{00000000-0005-0000-0000-0000DE260000}"/>
    <cellStyle name="20% - Accent5 2 4 3 4 3" xfId="16393" xr:uid="{00000000-0005-0000-0000-0000DF260000}"/>
    <cellStyle name="20% - Accent5 2 4 3 5" xfId="16389" xr:uid="{00000000-0005-0000-0000-0000E0260000}"/>
    <cellStyle name="20% - Accent5 2 4 3 5 2" xfId="21196" xr:uid="{00000000-0005-0000-0000-0000E1260000}"/>
    <cellStyle name="20% - Accent5 2 4 3 6" xfId="16387" xr:uid="{00000000-0005-0000-0000-0000E2260000}"/>
    <cellStyle name="20% - Accent5 2 4 4" xfId="8910" xr:uid="{00000000-0005-0000-0000-0000E3260000}"/>
    <cellStyle name="20% - Accent5 2 4 4 2" xfId="21194" xr:uid="{00000000-0005-0000-0000-0000E4260000}"/>
    <cellStyle name="20% - Accent5 2 4 4 2 2" xfId="28666" xr:uid="{00000000-0005-0000-0000-0000E5260000}"/>
    <cellStyle name="20% - Accent5 2 4 4 2 2 2" xfId="15115" xr:uid="{00000000-0005-0000-0000-0000E6260000}"/>
    <cellStyle name="20% - Accent5 2 4 4 2 2 2 2" xfId="13536" xr:uid="{00000000-0005-0000-0000-0000E7260000}"/>
    <cellStyle name="20% - Accent5 2 4 4 2 2 3" xfId="9181" xr:uid="{00000000-0005-0000-0000-0000E8260000}"/>
    <cellStyle name="20% - Accent5 2 4 4 2 3" xfId="28662" xr:uid="{00000000-0005-0000-0000-0000E9260000}"/>
    <cellStyle name="20% - Accent5 2 4 4 2 3 2" xfId="24824" xr:uid="{00000000-0005-0000-0000-0000EA260000}"/>
    <cellStyle name="20% - Accent5 2 4 4 2 4" xfId="21192" xr:uid="{00000000-0005-0000-0000-0000EB260000}"/>
    <cellStyle name="20% - Accent5 2 4 4 3" xfId="16384" xr:uid="{00000000-0005-0000-0000-0000EC260000}"/>
    <cellStyle name="20% - Accent5 2 4 4 3 2" xfId="25691" xr:uid="{00000000-0005-0000-0000-0000ED260000}"/>
    <cellStyle name="20% - Accent5 2 4 4 3 2 2" xfId="23863" xr:uid="{00000000-0005-0000-0000-0000EE260000}"/>
    <cellStyle name="20% - Accent5 2 4 4 3 3" xfId="16382" xr:uid="{00000000-0005-0000-0000-0000EF260000}"/>
    <cellStyle name="20% - Accent5 2 4 4 4" xfId="16380" xr:uid="{00000000-0005-0000-0000-0000F0260000}"/>
    <cellStyle name="20% - Accent5 2 4 4 4 2" xfId="16378" xr:uid="{00000000-0005-0000-0000-0000F1260000}"/>
    <cellStyle name="20% - Accent5 2 4 4 5" xfId="8166" xr:uid="{00000000-0005-0000-0000-0000F2260000}"/>
    <cellStyle name="20% - Accent5 2 4 5" xfId="22513" xr:uid="{00000000-0005-0000-0000-0000F3260000}"/>
    <cellStyle name="20% - Accent5 2 4 5 2" xfId="21188" xr:uid="{00000000-0005-0000-0000-0000F4260000}"/>
    <cellStyle name="20% - Accent5 2 4 5 2 2" xfId="22951" xr:uid="{00000000-0005-0000-0000-0000F5260000}"/>
    <cellStyle name="20% - Accent5 2 4 5 2 2 2" xfId="24610" xr:uid="{00000000-0005-0000-0000-0000F6260000}"/>
    <cellStyle name="20% - Accent5 2 4 5 2 3" xfId="21183" xr:uid="{00000000-0005-0000-0000-0000F7260000}"/>
    <cellStyle name="20% - Accent5 2 4 5 3" xfId="21179" xr:uid="{00000000-0005-0000-0000-0000F8260000}"/>
    <cellStyle name="20% - Accent5 2 4 5 3 2" xfId="21174" xr:uid="{00000000-0005-0000-0000-0000F9260000}"/>
    <cellStyle name="20% - Accent5 2 4 5 4" xfId="21171" xr:uid="{00000000-0005-0000-0000-0000FA260000}"/>
    <cellStyle name="20% - Accent5 2 4 6" xfId="21167" xr:uid="{00000000-0005-0000-0000-0000FB260000}"/>
    <cellStyle name="20% - Accent5 2 4 6 2" xfId="21165" xr:uid="{00000000-0005-0000-0000-0000FC260000}"/>
    <cellStyle name="20% - Accent5 2 4 6 2 2" xfId="21163" xr:uid="{00000000-0005-0000-0000-0000FD260000}"/>
    <cellStyle name="20% - Accent5 2 4 6 3" xfId="21162" xr:uid="{00000000-0005-0000-0000-0000FE260000}"/>
    <cellStyle name="20% - Accent5 2 4 7" xfId="24193" xr:uid="{00000000-0005-0000-0000-0000FF260000}"/>
    <cellStyle name="20% - Accent5 2 4 7 2" xfId="21158" xr:uid="{00000000-0005-0000-0000-000000270000}"/>
    <cellStyle name="20% - Accent5 2 4 8" xfId="24188" xr:uid="{00000000-0005-0000-0000-000001270000}"/>
    <cellStyle name="20% - Accent5 2 4 9" xfId="34764" xr:uid="{00000000-0005-0000-0000-000002270000}"/>
    <cellStyle name="20% - Accent5 2 5" xfId="32233" xr:uid="{00000000-0005-0000-0000-000003270000}"/>
    <cellStyle name="20% - Accent5 2 5 2" xfId="22303" xr:uid="{00000000-0005-0000-0000-000004270000}"/>
    <cellStyle name="20% - Accent5 2 5 2 2" xfId="21157" xr:uid="{00000000-0005-0000-0000-000005270000}"/>
    <cellStyle name="20% - Accent5 2 5 2 2 2" xfId="23434" xr:uid="{00000000-0005-0000-0000-000006270000}"/>
    <cellStyle name="20% - Accent5 2 5 2 2 2 2" xfId="23430" xr:uid="{00000000-0005-0000-0000-000007270000}"/>
    <cellStyle name="20% - Accent5 2 5 2 2 2 2 2" xfId="7869" xr:uid="{00000000-0005-0000-0000-000008270000}"/>
    <cellStyle name="20% - Accent5 2 5 2 2 2 2 2 2" xfId="28605" xr:uid="{00000000-0005-0000-0000-000009270000}"/>
    <cellStyle name="20% - Accent5 2 5 2 2 2 2 3" xfId="7866" xr:uid="{00000000-0005-0000-0000-00000A270000}"/>
    <cellStyle name="20% - Accent5 2 5 2 2 2 3" xfId="23221" xr:uid="{00000000-0005-0000-0000-00000B270000}"/>
    <cellStyle name="20% - Accent5 2 5 2 2 2 3 2" xfId="6600" xr:uid="{00000000-0005-0000-0000-00000C270000}"/>
    <cellStyle name="20% - Accent5 2 5 2 2 2 4" xfId="23376" xr:uid="{00000000-0005-0000-0000-00000D270000}"/>
    <cellStyle name="20% - Accent5 2 5 2 2 3" xfId="23401" xr:uid="{00000000-0005-0000-0000-00000E270000}"/>
    <cellStyle name="20% - Accent5 2 5 2 2 3 2" xfId="23196" xr:uid="{00000000-0005-0000-0000-00000F270000}"/>
    <cellStyle name="20% - Accent5 2 5 2 2 3 2 2" xfId="7859" xr:uid="{00000000-0005-0000-0000-000010270000}"/>
    <cellStyle name="20% - Accent5 2 5 2 2 3 3" xfId="23379" xr:uid="{00000000-0005-0000-0000-000011270000}"/>
    <cellStyle name="20% - Accent5 2 5 2 2 4" xfId="23375" xr:uid="{00000000-0005-0000-0000-000012270000}"/>
    <cellStyle name="20% - Accent5 2 5 2 2 4 2" xfId="23373" xr:uid="{00000000-0005-0000-0000-000013270000}"/>
    <cellStyle name="20% - Accent5 2 5 2 2 5" xfId="23367" xr:uid="{00000000-0005-0000-0000-000014270000}"/>
    <cellStyle name="20% - Accent5 2 5 2 3" xfId="16335" xr:uid="{00000000-0005-0000-0000-000015270000}"/>
    <cellStyle name="20% - Accent5 2 5 2 3 2" xfId="16333" xr:uid="{00000000-0005-0000-0000-000016270000}"/>
    <cellStyle name="20% - Accent5 2 5 2 3 2 2" xfId="16331" xr:uid="{00000000-0005-0000-0000-000017270000}"/>
    <cellStyle name="20% - Accent5 2 5 2 3 2 2 2" xfId="19812" xr:uid="{00000000-0005-0000-0000-000018270000}"/>
    <cellStyle name="20% - Accent5 2 5 2 3 2 3" xfId="16329" xr:uid="{00000000-0005-0000-0000-000019270000}"/>
    <cellStyle name="20% - Accent5 2 5 2 3 3" xfId="16327" xr:uid="{00000000-0005-0000-0000-00001A270000}"/>
    <cellStyle name="20% - Accent5 2 5 2 3 3 2" xfId="16325" xr:uid="{00000000-0005-0000-0000-00001B270000}"/>
    <cellStyle name="20% - Accent5 2 5 2 3 4" xfId="16323" xr:uid="{00000000-0005-0000-0000-00001C270000}"/>
    <cellStyle name="20% - Accent5 2 5 2 4" xfId="16321" xr:uid="{00000000-0005-0000-0000-00001D270000}"/>
    <cellStyle name="20% - Accent5 2 5 2 4 2" xfId="20227" xr:uid="{00000000-0005-0000-0000-00001E270000}"/>
    <cellStyle name="20% - Accent5 2 5 2 4 2 2" xfId="23334" xr:uid="{00000000-0005-0000-0000-00001F270000}"/>
    <cellStyle name="20% - Accent5 2 5 2 4 3" xfId="16318" xr:uid="{00000000-0005-0000-0000-000020270000}"/>
    <cellStyle name="20% - Accent5 2 5 2 5" xfId="16316" xr:uid="{00000000-0005-0000-0000-000021270000}"/>
    <cellStyle name="20% - Accent5 2 5 2 5 2" xfId="16314" xr:uid="{00000000-0005-0000-0000-000022270000}"/>
    <cellStyle name="20% - Accent5 2 5 2 6" xfId="16311" xr:uid="{00000000-0005-0000-0000-000023270000}"/>
    <cellStyle name="20% - Accent5 2 5 3" xfId="18559" xr:uid="{00000000-0005-0000-0000-000024270000}"/>
    <cellStyle name="20% - Accent5 2 5 3 2" xfId="21156" xr:uid="{00000000-0005-0000-0000-000025270000}"/>
    <cellStyle name="20% - Accent5 2 5 3 2 2" xfId="30035" xr:uid="{00000000-0005-0000-0000-000026270000}"/>
    <cellStyle name="20% - Accent5 2 5 3 2 2 2" xfId="15056" xr:uid="{00000000-0005-0000-0000-000027270000}"/>
    <cellStyle name="20% - Accent5 2 5 3 2 2 2 2" xfId="7824" xr:uid="{00000000-0005-0000-0000-000028270000}"/>
    <cellStyle name="20% - Accent5 2 5 3 2 2 3" xfId="23135" xr:uid="{00000000-0005-0000-0000-000029270000}"/>
    <cellStyle name="20% - Accent5 2 5 3 2 3" xfId="23646" xr:uid="{00000000-0005-0000-0000-00002A270000}"/>
    <cellStyle name="20% - Accent5 2 5 3 2 3 2" xfId="21768" xr:uid="{00000000-0005-0000-0000-00002B270000}"/>
    <cellStyle name="20% - Accent5 2 5 3 2 4" xfId="23286" xr:uid="{00000000-0005-0000-0000-00002C270000}"/>
    <cellStyle name="20% - Accent5 2 5 3 3" xfId="16307" xr:uid="{00000000-0005-0000-0000-00002D270000}"/>
    <cellStyle name="20% - Accent5 2 5 3 3 2" xfId="28993" xr:uid="{00000000-0005-0000-0000-00002E270000}"/>
    <cellStyle name="20% - Accent5 2 5 3 3 2 2" xfId="16305" xr:uid="{00000000-0005-0000-0000-00002F270000}"/>
    <cellStyle name="20% - Accent5 2 5 3 3 3" xfId="16301" xr:uid="{00000000-0005-0000-0000-000030270000}"/>
    <cellStyle name="20% - Accent5 2 5 3 4" xfId="16299" xr:uid="{00000000-0005-0000-0000-000031270000}"/>
    <cellStyle name="20% - Accent5 2 5 3 4 2" xfId="16295" xr:uid="{00000000-0005-0000-0000-000032270000}"/>
    <cellStyle name="20% - Accent5 2 5 3 5" xfId="16293" xr:uid="{00000000-0005-0000-0000-000033270000}"/>
    <cellStyle name="20% - Accent5 2 5 4" xfId="34183" xr:uid="{00000000-0005-0000-0000-000034270000}"/>
    <cellStyle name="20% - Accent5 2 5 4 2" xfId="15973" xr:uid="{00000000-0005-0000-0000-000035270000}"/>
    <cellStyle name="20% - Accent5 2 5 4 2 2" xfId="29929" xr:uid="{00000000-0005-0000-0000-000036270000}"/>
    <cellStyle name="20% - Accent5 2 5 4 2 2 2" xfId="23023" xr:uid="{00000000-0005-0000-0000-000037270000}"/>
    <cellStyle name="20% - Accent5 2 5 4 2 3" xfId="23274" xr:uid="{00000000-0005-0000-0000-000038270000}"/>
    <cellStyle name="20% - Accent5 2 5 4 3" xfId="16291" xr:uid="{00000000-0005-0000-0000-000039270000}"/>
    <cellStyle name="20% - Accent5 2 5 4 3 2" xfId="16288" xr:uid="{00000000-0005-0000-0000-00003A270000}"/>
    <cellStyle name="20% - Accent5 2 5 4 4" xfId="16284" xr:uid="{00000000-0005-0000-0000-00003B270000}"/>
    <cellStyle name="20% - Accent5 2 5 5" xfId="34250" xr:uid="{00000000-0005-0000-0000-00003C270000}"/>
    <cellStyle name="20% - Accent5 2 5 5 2" xfId="21150" xr:uid="{00000000-0005-0000-0000-00003D270000}"/>
    <cellStyle name="20% - Accent5 2 5 5 2 2" xfId="23262" xr:uid="{00000000-0005-0000-0000-00003E270000}"/>
    <cellStyle name="20% - Accent5 2 5 5 3" xfId="21145" xr:uid="{00000000-0005-0000-0000-00003F270000}"/>
    <cellStyle name="20% - Accent5 2 5 6" xfId="34157" xr:uid="{00000000-0005-0000-0000-000040270000}"/>
    <cellStyle name="20% - Accent5 2 5 6 2" xfId="31122" xr:uid="{00000000-0005-0000-0000-000041270000}"/>
    <cellStyle name="20% - Accent5 2 5 7" xfId="33161" xr:uid="{00000000-0005-0000-0000-000042270000}"/>
    <cellStyle name="20% - Accent5 2 5 8" xfId="34954" xr:uid="{00000000-0005-0000-0000-000043270000}"/>
    <cellStyle name="20% - Accent5 2 6" xfId="25711" xr:uid="{00000000-0005-0000-0000-000044270000}"/>
    <cellStyle name="20% - Accent5 2 6 2" xfId="20527" xr:uid="{00000000-0005-0000-0000-000045270000}"/>
    <cellStyle name="20% - Accent5 2 6 2 2" xfId="33751" xr:uid="{00000000-0005-0000-0000-000046270000}"/>
    <cellStyle name="20% - Accent5 2 6 2 2 2" xfId="23142" xr:uid="{00000000-0005-0000-0000-000047270000}"/>
    <cellStyle name="20% - Accent5 2 6 2 2 2 2" xfId="22825" xr:uid="{00000000-0005-0000-0000-000048270000}"/>
    <cellStyle name="20% - Accent5 2 6 2 2 2 2 2" xfId="6891" xr:uid="{00000000-0005-0000-0000-000049270000}"/>
    <cellStyle name="20% - Accent5 2 6 2 2 2 3" xfId="22814" xr:uid="{00000000-0005-0000-0000-00004A270000}"/>
    <cellStyle name="20% - Accent5 2 6 2 2 3" xfId="7714" xr:uid="{00000000-0005-0000-0000-00004B270000}"/>
    <cellStyle name="20% - Accent5 2 6 2 2 3 2" xfId="5818" xr:uid="{00000000-0005-0000-0000-00004C270000}"/>
    <cellStyle name="20% - Accent5 2 6 2 2 4" xfId="7707" xr:uid="{00000000-0005-0000-0000-00004D270000}"/>
    <cellStyle name="20% - Accent5 2 6 2 3" xfId="16258" xr:uid="{00000000-0005-0000-0000-00004E270000}"/>
    <cellStyle name="20% - Accent5 2 6 2 3 2" xfId="30339" xr:uid="{00000000-0005-0000-0000-00004F270000}"/>
    <cellStyle name="20% - Accent5 2 6 2 3 2 2" xfId="16256" xr:uid="{00000000-0005-0000-0000-000050270000}"/>
    <cellStyle name="20% - Accent5 2 6 2 3 3" xfId="13212" xr:uid="{00000000-0005-0000-0000-000051270000}"/>
    <cellStyle name="20% - Accent5 2 6 2 4" xfId="16252" xr:uid="{00000000-0005-0000-0000-000052270000}"/>
    <cellStyle name="20% - Accent5 2 6 2 4 2" xfId="16249" xr:uid="{00000000-0005-0000-0000-000053270000}"/>
    <cellStyle name="20% - Accent5 2 6 2 5" xfId="17700" xr:uid="{00000000-0005-0000-0000-000054270000}"/>
    <cellStyle name="20% - Accent5 2 6 3" xfId="29176" xr:uid="{00000000-0005-0000-0000-000055270000}"/>
    <cellStyle name="20% - Accent5 2 6 3 2" xfId="21875" xr:uid="{00000000-0005-0000-0000-000056270000}"/>
    <cellStyle name="20% - Accent5 2 6 3 2 2" xfId="30067" xr:uid="{00000000-0005-0000-0000-000057270000}"/>
    <cellStyle name="20% - Accent5 2 6 3 2 2 2" xfId="22735" xr:uid="{00000000-0005-0000-0000-000058270000}"/>
    <cellStyle name="20% - Accent5 2 6 3 2 3" xfId="7700" xr:uid="{00000000-0005-0000-0000-000059270000}"/>
    <cellStyle name="20% - Accent5 2 6 3 3" xfId="16244" xr:uid="{00000000-0005-0000-0000-00005A270000}"/>
    <cellStyle name="20% - Accent5 2 6 3 3 2" xfId="16242" xr:uid="{00000000-0005-0000-0000-00005B270000}"/>
    <cellStyle name="20% - Accent5 2 6 3 4" xfId="16238" xr:uid="{00000000-0005-0000-0000-00005C270000}"/>
    <cellStyle name="20% - Accent5 2 6 4" xfId="29171" xr:uid="{00000000-0005-0000-0000-00005D270000}"/>
    <cellStyle name="20% - Accent5 2 6 4 2" xfId="32586" xr:uid="{00000000-0005-0000-0000-00005E270000}"/>
    <cellStyle name="20% - Accent5 2 6 4 2 2" xfId="19022" xr:uid="{00000000-0005-0000-0000-00005F270000}"/>
    <cellStyle name="20% - Accent5 2 6 4 3" xfId="32297" xr:uid="{00000000-0005-0000-0000-000060270000}"/>
    <cellStyle name="20% - Accent5 2 6 5" xfId="34153" xr:uid="{00000000-0005-0000-0000-000061270000}"/>
    <cellStyle name="20% - Accent5 2 6 5 2" xfId="17774" xr:uid="{00000000-0005-0000-0000-000062270000}"/>
    <cellStyle name="20% - Accent5 2 6 6" xfId="34279" xr:uid="{00000000-0005-0000-0000-000063270000}"/>
    <cellStyle name="20% - Accent5 2 6 7" xfId="35159" xr:uid="{00000000-0005-0000-0000-000064270000}"/>
    <cellStyle name="20% - Accent5 2 7" xfId="27919" xr:uid="{00000000-0005-0000-0000-000065270000}"/>
    <cellStyle name="20% - Accent5 2 7 2" xfId="34240" xr:uid="{00000000-0005-0000-0000-000066270000}"/>
    <cellStyle name="20% - Accent5 2 7 2 2" xfId="21849" xr:uid="{00000000-0005-0000-0000-000067270000}"/>
    <cellStyle name="20% - Accent5 2 7 2 2 2" xfId="23019" xr:uid="{00000000-0005-0000-0000-000068270000}"/>
    <cellStyle name="20% - Accent5 2 7 2 2 2 2" xfId="23015" xr:uid="{00000000-0005-0000-0000-000069270000}"/>
    <cellStyle name="20% - Accent5 2 7 2 2 3" xfId="23443" xr:uid="{00000000-0005-0000-0000-00006A270000}"/>
    <cellStyle name="20% - Accent5 2 7 2 3" xfId="21142" xr:uid="{00000000-0005-0000-0000-00006B270000}"/>
    <cellStyle name="20% - Accent5 2 7 2 3 2" xfId="16217" xr:uid="{00000000-0005-0000-0000-00006C270000}"/>
    <cellStyle name="20% - Accent5 2 7 2 4" xfId="21137" xr:uid="{00000000-0005-0000-0000-00006D270000}"/>
    <cellStyle name="20% - Accent5 2 7 3" xfId="33948" xr:uid="{00000000-0005-0000-0000-00006E270000}"/>
    <cellStyle name="20% - Accent5 2 7 3 2" xfId="21134" xr:uid="{00000000-0005-0000-0000-00006F270000}"/>
    <cellStyle name="20% - Accent5 2 7 3 2 2" xfId="22999" xr:uid="{00000000-0005-0000-0000-000070270000}"/>
    <cellStyle name="20% - Accent5 2 7 3 3" xfId="16213" xr:uid="{00000000-0005-0000-0000-000071270000}"/>
    <cellStyle name="20% - Accent5 2 7 4" xfId="33946" xr:uid="{00000000-0005-0000-0000-000072270000}"/>
    <cellStyle name="20% - Accent5 2 7 4 2" xfId="31992" xr:uid="{00000000-0005-0000-0000-000073270000}"/>
    <cellStyle name="20% - Accent5 2 7 5" xfId="34306" xr:uid="{00000000-0005-0000-0000-000074270000}"/>
    <cellStyle name="20% - Accent5 2 7 6" xfId="35388" xr:uid="{00000000-0005-0000-0000-000075270000}"/>
    <cellStyle name="20% - Accent5 2 8" xfId="32148" xr:uid="{00000000-0005-0000-0000-000076270000}"/>
    <cellStyle name="20% - Accent5 2 8 2" xfId="30737" xr:uid="{00000000-0005-0000-0000-000077270000}"/>
    <cellStyle name="20% - Accent5 2 8 2 2" xfId="21133" xr:uid="{00000000-0005-0000-0000-000078270000}"/>
    <cellStyle name="20% - Accent5 2 8 2 2 2" xfId="25639" xr:uid="{00000000-0005-0000-0000-000079270000}"/>
    <cellStyle name="20% - Accent5 2 8 2 3" xfId="21131" xr:uid="{00000000-0005-0000-0000-00007A270000}"/>
    <cellStyle name="20% - Accent5 2 8 3" xfId="30709" xr:uid="{00000000-0005-0000-0000-00007B270000}"/>
    <cellStyle name="20% - Accent5 2 8 3 2" xfId="21129" xr:uid="{00000000-0005-0000-0000-00007C270000}"/>
    <cellStyle name="20% - Accent5 2 8 4" xfId="16972" xr:uid="{00000000-0005-0000-0000-00007D270000}"/>
    <cellStyle name="20% - Accent5 2 8 5" xfId="36260" xr:uid="{00000000-0005-0000-0000-00007E270000}"/>
    <cellStyle name="20% - Accent5 2 9" xfId="25502" xr:uid="{00000000-0005-0000-0000-00007F270000}"/>
    <cellStyle name="20% - Accent5 2 9 2" xfId="30727" xr:uid="{00000000-0005-0000-0000-000080270000}"/>
    <cellStyle name="20% - Accent5 2 9 2 2" xfId="21126" xr:uid="{00000000-0005-0000-0000-000081270000}"/>
    <cellStyle name="20% - Accent5 2 9 3" xfId="33492" xr:uid="{00000000-0005-0000-0000-000082270000}"/>
    <cellStyle name="20% - Accent5 2 9 4" xfId="36546" xr:uid="{00000000-0005-0000-0000-000083270000}"/>
    <cellStyle name="20% - Accent5 20" xfId="35710" xr:uid="{00000000-0005-0000-0000-000084270000}"/>
    <cellStyle name="20% - Accent5 20 2" xfId="36879" xr:uid="{00000000-0005-0000-0000-000085270000}"/>
    <cellStyle name="20% - Accent5 20 3" xfId="37770" xr:uid="{00000000-0005-0000-0000-000086270000}"/>
    <cellStyle name="20% - Accent5 21" xfId="35729" xr:uid="{00000000-0005-0000-0000-000087270000}"/>
    <cellStyle name="20% - Accent5 21 2" xfId="36899" xr:uid="{00000000-0005-0000-0000-000088270000}"/>
    <cellStyle name="20% - Accent5 21 3" xfId="37790" xr:uid="{00000000-0005-0000-0000-000089270000}"/>
    <cellStyle name="20% - Accent5 22" xfId="35748" xr:uid="{00000000-0005-0000-0000-00008A270000}"/>
    <cellStyle name="20% - Accent5 22 2" xfId="36919" xr:uid="{00000000-0005-0000-0000-00008B270000}"/>
    <cellStyle name="20% - Accent5 22 3" xfId="37810" xr:uid="{00000000-0005-0000-0000-00008C270000}"/>
    <cellStyle name="20% - Accent5 23" xfId="35768" xr:uid="{00000000-0005-0000-0000-00008D270000}"/>
    <cellStyle name="20% - Accent5 23 2" xfId="36938" xr:uid="{00000000-0005-0000-0000-00008E270000}"/>
    <cellStyle name="20% - Accent5 23 3" xfId="37830" xr:uid="{00000000-0005-0000-0000-00008F270000}"/>
    <cellStyle name="20% - Accent5 24" xfId="35788" xr:uid="{00000000-0005-0000-0000-000090270000}"/>
    <cellStyle name="20% - Accent5 24 2" xfId="36957" xr:uid="{00000000-0005-0000-0000-000091270000}"/>
    <cellStyle name="20% - Accent5 24 3" xfId="37850" xr:uid="{00000000-0005-0000-0000-000092270000}"/>
    <cellStyle name="20% - Accent5 25" xfId="35807" xr:uid="{00000000-0005-0000-0000-000093270000}"/>
    <cellStyle name="20% - Accent5 25 2" xfId="36977" xr:uid="{00000000-0005-0000-0000-000094270000}"/>
    <cellStyle name="20% - Accent5 25 3" xfId="37870" xr:uid="{00000000-0005-0000-0000-000095270000}"/>
    <cellStyle name="20% - Accent5 26" xfId="35826" xr:uid="{00000000-0005-0000-0000-000096270000}"/>
    <cellStyle name="20% - Accent5 26 2" xfId="36997" xr:uid="{00000000-0005-0000-0000-000097270000}"/>
    <cellStyle name="20% - Accent5 26 3" xfId="37890" xr:uid="{00000000-0005-0000-0000-000098270000}"/>
    <cellStyle name="20% - Accent5 27" xfId="35845" xr:uid="{00000000-0005-0000-0000-000099270000}"/>
    <cellStyle name="20% - Accent5 27 2" xfId="37017" xr:uid="{00000000-0005-0000-0000-00009A270000}"/>
    <cellStyle name="20% - Accent5 27 3" xfId="37910" xr:uid="{00000000-0005-0000-0000-00009B270000}"/>
    <cellStyle name="20% - Accent5 28" xfId="35864" xr:uid="{00000000-0005-0000-0000-00009C270000}"/>
    <cellStyle name="20% - Accent5 28 2" xfId="37037" xr:uid="{00000000-0005-0000-0000-00009D270000}"/>
    <cellStyle name="20% - Accent5 28 3" xfId="37930" xr:uid="{00000000-0005-0000-0000-00009E270000}"/>
    <cellStyle name="20% - Accent5 29" xfId="35875" xr:uid="{00000000-0005-0000-0000-00009F270000}"/>
    <cellStyle name="20% - Accent5 29 2" xfId="37047" xr:uid="{00000000-0005-0000-0000-0000A0270000}"/>
    <cellStyle name="20% - Accent5 29 3" xfId="37941" xr:uid="{00000000-0005-0000-0000-0000A1270000}"/>
    <cellStyle name="20% - Accent5 3" xfId="110" xr:uid="{00000000-0005-0000-0000-0000A2270000}"/>
    <cellStyle name="20% - Accent5 3 10" xfId="22285" xr:uid="{00000000-0005-0000-0000-0000A3270000}"/>
    <cellStyle name="20% - Accent5 3 10 2" xfId="37450" xr:uid="{00000000-0005-0000-0000-0000A4270000}"/>
    <cellStyle name="20% - Accent5 3 11" xfId="34464" xr:uid="{00000000-0005-0000-0000-0000A5270000}"/>
    <cellStyle name="20% - Accent5 3 12" xfId="21124" xr:uid="{00000000-0005-0000-0000-0000A6270000}"/>
    <cellStyle name="20% - Accent5 3 2" xfId="171" xr:uid="{00000000-0005-0000-0000-0000A7270000}"/>
    <cellStyle name="20% - Accent5 3 2 10" xfId="34515" xr:uid="{00000000-0005-0000-0000-0000A8270000}"/>
    <cellStyle name="20% - Accent5 3 2 11" xfId="29565" xr:uid="{00000000-0005-0000-0000-0000A9270000}"/>
    <cellStyle name="20% - Accent5 3 2 2" xfId="21123" xr:uid="{00000000-0005-0000-0000-0000AA270000}"/>
    <cellStyle name="20% - Accent5 3 2 2 2" xfId="21439" xr:uid="{00000000-0005-0000-0000-0000AB270000}"/>
    <cellStyle name="20% - Accent5 3 2 2 2 2" xfId="21122" xr:uid="{00000000-0005-0000-0000-0000AC270000}"/>
    <cellStyle name="20% - Accent5 3 2 2 2 2 2" xfId="22852" xr:uid="{00000000-0005-0000-0000-0000AD270000}"/>
    <cellStyle name="20% - Accent5 3 2 2 2 2 2 2" xfId="21117" xr:uid="{00000000-0005-0000-0000-0000AE270000}"/>
    <cellStyle name="20% - Accent5 3 2 2 2 2 2 2 2" xfId="9363" xr:uid="{00000000-0005-0000-0000-0000AF270000}"/>
    <cellStyle name="20% - Accent5 3 2 2 2 2 2 2 2 2" xfId="21113" xr:uid="{00000000-0005-0000-0000-0000B0270000}"/>
    <cellStyle name="20% - Accent5 3 2 2 2 2 2 2 2 2 2" xfId="21112" xr:uid="{00000000-0005-0000-0000-0000B1270000}"/>
    <cellStyle name="20% - Accent5 3 2 2 2 2 2 2 2 3" xfId="23640" xr:uid="{00000000-0005-0000-0000-0000B2270000}"/>
    <cellStyle name="20% - Accent5 3 2 2 2 2 2 2 3" xfId="22744" xr:uid="{00000000-0005-0000-0000-0000B3270000}"/>
    <cellStyle name="20% - Accent5 3 2 2 2 2 2 2 3 2" xfId="21108" xr:uid="{00000000-0005-0000-0000-0000B4270000}"/>
    <cellStyle name="20% - Accent5 3 2 2 2 2 2 2 4" xfId="21107" xr:uid="{00000000-0005-0000-0000-0000B5270000}"/>
    <cellStyle name="20% - Accent5 3 2 2 2 2 2 3" xfId="21105" xr:uid="{00000000-0005-0000-0000-0000B6270000}"/>
    <cellStyle name="20% - Accent5 3 2 2 2 2 2 3 2" xfId="17808" xr:uid="{00000000-0005-0000-0000-0000B7270000}"/>
    <cellStyle name="20% - Accent5 3 2 2 2 2 2 3 2 2" xfId="21104" xr:uid="{00000000-0005-0000-0000-0000B8270000}"/>
    <cellStyle name="20% - Accent5 3 2 2 2 2 2 3 3" xfId="21101" xr:uid="{00000000-0005-0000-0000-0000B9270000}"/>
    <cellStyle name="20% - Accent5 3 2 2 2 2 2 4" xfId="21099" xr:uid="{00000000-0005-0000-0000-0000BA270000}"/>
    <cellStyle name="20% - Accent5 3 2 2 2 2 2 4 2" xfId="21095" xr:uid="{00000000-0005-0000-0000-0000BB270000}"/>
    <cellStyle name="20% - Accent5 3 2 2 2 2 2 5" xfId="21093" xr:uid="{00000000-0005-0000-0000-0000BC270000}"/>
    <cellStyle name="20% - Accent5 3 2 2 2 2 3" xfId="21092" xr:uid="{00000000-0005-0000-0000-0000BD270000}"/>
    <cellStyle name="20% - Accent5 3 2 2 2 2 3 2" xfId="21088" xr:uid="{00000000-0005-0000-0000-0000BE270000}"/>
    <cellStyle name="20% - Accent5 3 2 2 2 2 3 2 2" xfId="20231" xr:uid="{00000000-0005-0000-0000-0000BF270000}"/>
    <cellStyle name="20% - Accent5 3 2 2 2 2 3 2 2 2" xfId="32250" xr:uid="{00000000-0005-0000-0000-0000C0270000}"/>
    <cellStyle name="20% - Accent5 3 2 2 2 2 3 2 3" xfId="21087" xr:uid="{00000000-0005-0000-0000-0000C1270000}"/>
    <cellStyle name="20% - Accent5 3 2 2 2 2 3 3" xfId="21086" xr:uid="{00000000-0005-0000-0000-0000C2270000}"/>
    <cellStyle name="20% - Accent5 3 2 2 2 2 3 3 2" xfId="21085" xr:uid="{00000000-0005-0000-0000-0000C3270000}"/>
    <cellStyle name="20% - Accent5 3 2 2 2 2 3 4" xfId="21080" xr:uid="{00000000-0005-0000-0000-0000C4270000}"/>
    <cellStyle name="20% - Accent5 3 2 2 2 2 4" xfId="21079" xr:uid="{00000000-0005-0000-0000-0000C5270000}"/>
    <cellStyle name="20% - Accent5 3 2 2 2 2 4 2" xfId="21075" xr:uid="{00000000-0005-0000-0000-0000C6270000}"/>
    <cellStyle name="20% - Accent5 3 2 2 2 2 4 2 2" xfId="21072" xr:uid="{00000000-0005-0000-0000-0000C7270000}"/>
    <cellStyle name="20% - Accent5 3 2 2 2 2 4 3" xfId="21070" xr:uid="{00000000-0005-0000-0000-0000C8270000}"/>
    <cellStyle name="20% - Accent5 3 2 2 2 2 5" xfId="21067" xr:uid="{00000000-0005-0000-0000-0000C9270000}"/>
    <cellStyle name="20% - Accent5 3 2 2 2 2 5 2" xfId="21064" xr:uid="{00000000-0005-0000-0000-0000CA270000}"/>
    <cellStyle name="20% - Accent5 3 2 2 2 2 6" xfId="22964" xr:uid="{00000000-0005-0000-0000-0000CB270000}"/>
    <cellStyle name="20% - Accent5 3 2 2 2 3" xfId="23566" xr:uid="{00000000-0005-0000-0000-0000CC270000}"/>
    <cellStyle name="20% - Accent5 3 2 2 2 3 2" xfId="21063" xr:uid="{00000000-0005-0000-0000-0000CD270000}"/>
    <cellStyle name="20% - Accent5 3 2 2 2 3 2 2" xfId="21060" xr:uid="{00000000-0005-0000-0000-0000CE270000}"/>
    <cellStyle name="20% - Accent5 3 2 2 2 3 2 2 2" xfId="21059" xr:uid="{00000000-0005-0000-0000-0000CF270000}"/>
    <cellStyle name="20% - Accent5 3 2 2 2 3 2 2 2 2" xfId="21052" xr:uid="{00000000-0005-0000-0000-0000D0270000}"/>
    <cellStyle name="20% - Accent5 3 2 2 2 3 2 2 3" xfId="21050" xr:uid="{00000000-0005-0000-0000-0000D1270000}"/>
    <cellStyle name="20% - Accent5 3 2 2 2 3 2 3" xfId="21047" xr:uid="{00000000-0005-0000-0000-0000D2270000}"/>
    <cellStyle name="20% - Accent5 3 2 2 2 3 2 3 2" xfId="21046" xr:uid="{00000000-0005-0000-0000-0000D3270000}"/>
    <cellStyle name="20% - Accent5 3 2 2 2 3 2 4" xfId="21039" xr:uid="{00000000-0005-0000-0000-0000D4270000}"/>
    <cellStyle name="20% - Accent5 3 2 2 2 3 3" xfId="21038" xr:uid="{00000000-0005-0000-0000-0000D5270000}"/>
    <cellStyle name="20% - Accent5 3 2 2 2 3 3 2" xfId="21035" xr:uid="{00000000-0005-0000-0000-0000D6270000}"/>
    <cellStyle name="20% - Accent5 3 2 2 2 3 3 2 2" xfId="21034" xr:uid="{00000000-0005-0000-0000-0000D7270000}"/>
    <cellStyle name="20% - Accent5 3 2 2 2 3 3 3" xfId="21030" xr:uid="{00000000-0005-0000-0000-0000D8270000}"/>
    <cellStyle name="20% - Accent5 3 2 2 2 3 4" xfId="21029" xr:uid="{00000000-0005-0000-0000-0000D9270000}"/>
    <cellStyle name="20% - Accent5 3 2 2 2 3 4 2" xfId="21025" xr:uid="{00000000-0005-0000-0000-0000DA270000}"/>
    <cellStyle name="20% - Accent5 3 2 2 2 3 5" xfId="21022" xr:uid="{00000000-0005-0000-0000-0000DB270000}"/>
    <cellStyle name="20% - Accent5 3 2 2 2 4" xfId="23558" xr:uid="{00000000-0005-0000-0000-0000DC270000}"/>
    <cellStyle name="20% - Accent5 3 2 2 2 4 2" xfId="17668" xr:uid="{00000000-0005-0000-0000-0000DD270000}"/>
    <cellStyle name="20% - Accent5 3 2 2 2 4 2 2" xfId="21019" xr:uid="{00000000-0005-0000-0000-0000DE270000}"/>
    <cellStyle name="20% - Accent5 3 2 2 2 4 2 2 2" xfId="21015" xr:uid="{00000000-0005-0000-0000-0000DF270000}"/>
    <cellStyle name="20% - Accent5 3 2 2 2 4 2 3" xfId="21011" xr:uid="{00000000-0005-0000-0000-0000E0270000}"/>
    <cellStyle name="20% - Accent5 3 2 2 2 4 3" xfId="21010" xr:uid="{00000000-0005-0000-0000-0000E1270000}"/>
    <cellStyle name="20% - Accent5 3 2 2 2 4 3 2" xfId="21008" xr:uid="{00000000-0005-0000-0000-0000E2270000}"/>
    <cellStyle name="20% - Accent5 3 2 2 2 4 4" xfId="21001" xr:uid="{00000000-0005-0000-0000-0000E3270000}"/>
    <cellStyle name="20% - Accent5 3 2 2 2 5" xfId="23555" xr:uid="{00000000-0005-0000-0000-0000E4270000}"/>
    <cellStyle name="20% - Accent5 3 2 2 2 5 2" xfId="20998" xr:uid="{00000000-0005-0000-0000-0000E5270000}"/>
    <cellStyle name="20% - Accent5 3 2 2 2 5 2 2" xfId="21448" xr:uid="{00000000-0005-0000-0000-0000E6270000}"/>
    <cellStyle name="20% - Accent5 3 2 2 2 5 3" xfId="20993" xr:uid="{00000000-0005-0000-0000-0000E7270000}"/>
    <cellStyle name="20% - Accent5 3 2 2 2 6" xfId="33037" xr:uid="{00000000-0005-0000-0000-0000E8270000}"/>
    <cellStyle name="20% - Accent5 3 2 2 2 6 2" xfId="20992" xr:uid="{00000000-0005-0000-0000-0000E9270000}"/>
    <cellStyle name="20% - Accent5 3 2 2 2 7" xfId="20990" xr:uid="{00000000-0005-0000-0000-0000EA270000}"/>
    <cellStyle name="20% - Accent5 3 2 2 3" xfId="29991" xr:uid="{00000000-0005-0000-0000-0000EB270000}"/>
    <cellStyle name="20% - Accent5 3 2 2 3 2" xfId="30573" xr:uid="{00000000-0005-0000-0000-0000EC270000}"/>
    <cellStyle name="20% - Accent5 3 2 2 3 2 2" xfId="22942" xr:uid="{00000000-0005-0000-0000-0000ED270000}"/>
    <cellStyle name="20% - Accent5 3 2 2 3 2 2 2" xfId="26363" xr:uid="{00000000-0005-0000-0000-0000EE270000}"/>
    <cellStyle name="20% - Accent5 3 2 2 3 2 2 2 2" xfId="22389" xr:uid="{00000000-0005-0000-0000-0000EF270000}"/>
    <cellStyle name="20% - Accent5 3 2 2 3 2 2 2 2 2" xfId="20989" xr:uid="{00000000-0005-0000-0000-0000F0270000}"/>
    <cellStyle name="20% - Accent5 3 2 2 3 2 2 2 3" xfId="22376" xr:uid="{00000000-0005-0000-0000-0000F1270000}"/>
    <cellStyle name="20% - Accent5 3 2 2 3 2 2 3" xfId="26362" xr:uid="{00000000-0005-0000-0000-0000F2270000}"/>
    <cellStyle name="20% - Accent5 3 2 2 3 2 2 3 2" xfId="22335" xr:uid="{00000000-0005-0000-0000-0000F3270000}"/>
    <cellStyle name="20% - Accent5 3 2 2 3 2 2 4" xfId="20983" xr:uid="{00000000-0005-0000-0000-0000F4270000}"/>
    <cellStyle name="20% - Accent5 3 2 2 3 2 3" xfId="21987" xr:uid="{00000000-0005-0000-0000-0000F5270000}"/>
    <cellStyle name="20% - Accent5 3 2 2 3 2 3 2" xfId="26361" xr:uid="{00000000-0005-0000-0000-0000F6270000}"/>
    <cellStyle name="20% - Accent5 3 2 2 3 2 3 2 2" xfId="22261" xr:uid="{00000000-0005-0000-0000-0000F7270000}"/>
    <cellStyle name="20% - Accent5 3 2 2 3 2 3 3" xfId="20981" xr:uid="{00000000-0005-0000-0000-0000F8270000}"/>
    <cellStyle name="20% - Accent5 3 2 2 3 2 4" xfId="20768" xr:uid="{00000000-0005-0000-0000-0000F9270000}"/>
    <cellStyle name="20% - Accent5 3 2 2 3 2 4 2" xfId="20980" xr:uid="{00000000-0005-0000-0000-0000FA270000}"/>
    <cellStyle name="20% - Accent5 3 2 2 3 2 5" xfId="20657" xr:uid="{00000000-0005-0000-0000-0000FB270000}"/>
    <cellStyle name="20% - Accent5 3 2 2 3 3" xfId="32257" xr:uid="{00000000-0005-0000-0000-0000FC270000}"/>
    <cellStyle name="20% - Accent5 3 2 2 3 3 2" xfId="21962" xr:uid="{00000000-0005-0000-0000-0000FD270000}"/>
    <cellStyle name="20% - Accent5 3 2 2 3 3 2 2" xfId="26330" xr:uid="{00000000-0005-0000-0000-0000FE270000}"/>
    <cellStyle name="20% - Accent5 3 2 2 3 3 2 2 2" xfId="12221" xr:uid="{00000000-0005-0000-0000-0000FF270000}"/>
    <cellStyle name="20% - Accent5 3 2 2 3 3 2 3" xfId="27708" xr:uid="{00000000-0005-0000-0000-000000280000}"/>
    <cellStyle name="20% - Accent5 3 2 2 3 3 3" xfId="21955" xr:uid="{00000000-0005-0000-0000-000001280000}"/>
    <cellStyle name="20% - Accent5 3 2 2 3 3 3 2" xfId="20974" xr:uid="{00000000-0005-0000-0000-000002280000}"/>
    <cellStyle name="20% - Accent5 3 2 2 3 3 4" xfId="20458" xr:uid="{00000000-0005-0000-0000-000003280000}"/>
    <cellStyle name="20% - Accent5 3 2 2 3 4" xfId="32898" xr:uid="{00000000-0005-0000-0000-000004280000}"/>
    <cellStyle name="20% - Accent5 3 2 2 3 4 2" xfId="21938" xr:uid="{00000000-0005-0000-0000-000005280000}"/>
    <cellStyle name="20% - Accent5 3 2 2 3 4 2 2" xfId="20973" xr:uid="{00000000-0005-0000-0000-000006280000}"/>
    <cellStyle name="20% - Accent5 3 2 2 3 4 3" xfId="20968" xr:uid="{00000000-0005-0000-0000-000007280000}"/>
    <cellStyle name="20% - Accent5 3 2 2 3 5" xfId="20966" xr:uid="{00000000-0005-0000-0000-000008280000}"/>
    <cellStyle name="20% - Accent5 3 2 2 3 5 2" xfId="20963" xr:uid="{00000000-0005-0000-0000-000009280000}"/>
    <cellStyle name="20% - Accent5 3 2 2 3 6" xfId="32853" xr:uid="{00000000-0005-0000-0000-00000A280000}"/>
    <cellStyle name="20% - Accent5 3 2 2 4" xfId="29981" xr:uid="{00000000-0005-0000-0000-00000B280000}"/>
    <cellStyle name="20% - Accent5 3 2 2 4 2" xfId="32248" xr:uid="{00000000-0005-0000-0000-00000C280000}"/>
    <cellStyle name="20% - Accent5 3 2 2 4 2 2" xfId="21783" xr:uid="{00000000-0005-0000-0000-00000D280000}"/>
    <cellStyle name="20% - Accent5 3 2 2 4 2 2 2" xfId="26268" xr:uid="{00000000-0005-0000-0000-00000E280000}"/>
    <cellStyle name="20% - Accent5 3 2 2 4 2 2 2 2" xfId="27805" xr:uid="{00000000-0005-0000-0000-00000F280000}"/>
    <cellStyle name="20% - Accent5 3 2 2 4 2 2 3" xfId="30744" xr:uid="{00000000-0005-0000-0000-000010280000}"/>
    <cellStyle name="20% - Accent5 3 2 2 4 2 3" xfId="21775" xr:uid="{00000000-0005-0000-0000-000011280000}"/>
    <cellStyle name="20% - Accent5 3 2 2 4 2 3 2" xfId="17485" xr:uid="{00000000-0005-0000-0000-000012280000}"/>
    <cellStyle name="20% - Accent5 3 2 2 4 2 4" xfId="19147" xr:uid="{00000000-0005-0000-0000-000013280000}"/>
    <cellStyle name="20% - Accent5 3 2 2 4 3" xfId="31387" xr:uid="{00000000-0005-0000-0000-000014280000}"/>
    <cellStyle name="20% - Accent5 3 2 2 4 3 2" xfId="21751" xr:uid="{00000000-0005-0000-0000-000015280000}"/>
    <cellStyle name="20% - Accent5 3 2 2 4 3 2 2" xfId="21522" xr:uid="{00000000-0005-0000-0000-000016280000}"/>
    <cellStyle name="20% - Accent5 3 2 2 4 3 3" xfId="20961" xr:uid="{00000000-0005-0000-0000-000017280000}"/>
    <cellStyle name="20% - Accent5 3 2 2 4 4" xfId="20957" xr:uid="{00000000-0005-0000-0000-000018280000}"/>
    <cellStyle name="20% - Accent5 3 2 2 4 4 2" xfId="20956" xr:uid="{00000000-0005-0000-0000-000019280000}"/>
    <cellStyle name="20% - Accent5 3 2 2 4 5" xfId="20952" xr:uid="{00000000-0005-0000-0000-00001A280000}"/>
    <cellStyle name="20% - Accent5 3 2 2 5" xfId="34119" xr:uid="{00000000-0005-0000-0000-00001B280000}"/>
    <cellStyle name="20% - Accent5 3 2 2 5 2" xfId="34146" xr:uid="{00000000-0005-0000-0000-00001C280000}"/>
    <cellStyle name="20% - Accent5 3 2 2 5 2 2" xfId="29125" xr:uid="{00000000-0005-0000-0000-00001D280000}"/>
    <cellStyle name="20% - Accent5 3 2 2 5 2 2 2" xfId="30749" xr:uid="{00000000-0005-0000-0000-00001E280000}"/>
    <cellStyle name="20% - Accent5 3 2 2 5 2 3" xfId="20948" xr:uid="{00000000-0005-0000-0000-00001F280000}"/>
    <cellStyle name="20% - Accent5 3 2 2 5 3" xfId="20944" xr:uid="{00000000-0005-0000-0000-000020280000}"/>
    <cellStyle name="20% - Accent5 3 2 2 5 3 2" xfId="29116" xr:uid="{00000000-0005-0000-0000-000021280000}"/>
    <cellStyle name="20% - Accent5 3 2 2 5 4" xfId="20943" xr:uid="{00000000-0005-0000-0000-000022280000}"/>
    <cellStyle name="20% - Accent5 3 2 2 6" xfId="30241" xr:uid="{00000000-0005-0000-0000-000023280000}"/>
    <cellStyle name="20% - Accent5 3 2 2 6 2" xfId="20939" xr:uid="{00000000-0005-0000-0000-000024280000}"/>
    <cellStyle name="20% - Accent5 3 2 2 6 2 2" xfId="20938" xr:uid="{00000000-0005-0000-0000-000025280000}"/>
    <cellStyle name="20% - Accent5 3 2 2 6 3" xfId="20934" xr:uid="{00000000-0005-0000-0000-000026280000}"/>
    <cellStyle name="20% - Accent5 3 2 2 7" xfId="30991" xr:uid="{00000000-0005-0000-0000-000027280000}"/>
    <cellStyle name="20% - Accent5 3 2 2 7 2" xfId="17421" xr:uid="{00000000-0005-0000-0000-000028280000}"/>
    <cellStyle name="20% - Accent5 3 2 2 8" xfId="14844" xr:uid="{00000000-0005-0000-0000-000029280000}"/>
    <cellStyle name="20% - Accent5 3 2 3" xfId="20931" xr:uid="{00000000-0005-0000-0000-00002A280000}"/>
    <cellStyle name="20% - Accent5 3 2 3 2" xfId="20926" xr:uid="{00000000-0005-0000-0000-00002B280000}"/>
    <cellStyle name="20% - Accent5 3 2 3 2 2" xfId="20925" xr:uid="{00000000-0005-0000-0000-00002C280000}"/>
    <cellStyle name="20% - Accent5 3 2 3 2 2 2" xfId="20923" xr:uid="{00000000-0005-0000-0000-00002D280000}"/>
    <cellStyle name="20% - Accent5 3 2 3 2 2 2 2" xfId="27021" xr:uid="{00000000-0005-0000-0000-00002E280000}"/>
    <cellStyle name="20% - Accent5 3 2 3 2 2 2 2 2" xfId="7406" xr:uid="{00000000-0005-0000-0000-00002F280000}"/>
    <cellStyle name="20% - Accent5 3 2 3 2 2 2 2 2 2" xfId="20921" xr:uid="{00000000-0005-0000-0000-000030280000}"/>
    <cellStyle name="20% - Accent5 3 2 3 2 2 2 2 3" xfId="23770" xr:uid="{00000000-0005-0000-0000-000031280000}"/>
    <cellStyle name="20% - Accent5 3 2 3 2 2 2 3" xfId="29449" xr:uid="{00000000-0005-0000-0000-000032280000}"/>
    <cellStyle name="20% - Accent5 3 2 3 2 2 2 3 2" xfId="20920" xr:uid="{00000000-0005-0000-0000-000033280000}"/>
    <cellStyle name="20% - Accent5 3 2 3 2 2 2 4" xfId="32746" xr:uid="{00000000-0005-0000-0000-000034280000}"/>
    <cellStyle name="20% - Accent5 3 2 3 2 2 3" xfId="21018" xr:uid="{00000000-0005-0000-0000-000035280000}"/>
    <cellStyle name="20% - Accent5 3 2 3 2 2 3 2" xfId="29506" xr:uid="{00000000-0005-0000-0000-000036280000}"/>
    <cellStyle name="20% - Accent5 3 2 3 2 2 3 2 2" xfId="22114" xr:uid="{00000000-0005-0000-0000-000037280000}"/>
    <cellStyle name="20% - Accent5 3 2 3 2 2 3 3" xfId="23018" xr:uid="{00000000-0005-0000-0000-000038280000}"/>
    <cellStyle name="20% - Accent5 3 2 3 2 2 4" xfId="19115" xr:uid="{00000000-0005-0000-0000-000039280000}"/>
    <cellStyle name="20% - Accent5 3 2 3 2 2 4 2" xfId="27308" xr:uid="{00000000-0005-0000-0000-00003A280000}"/>
    <cellStyle name="20% - Accent5 3 2 3 2 2 5" xfId="19108" xr:uid="{00000000-0005-0000-0000-00003B280000}"/>
    <cellStyle name="20% - Accent5 3 2 3 2 3" xfId="22817" xr:uid="{00000000-0005-0000-0000-00003C280000}"/>
    <cellStyle name="20% - Accent5 3 2 3 2 3 2" xfId="20917" xr:uid="{00000000-0005-0000-0000-00003D280000}"/>
    <cellStyle name="20% - Accent5 3 2 3 2 3 2 2" xfId="29883" xr:uid="{00000000-0005-0000-0000-00003E280000}"/>
    <cellStyle name="20% - Accent5 3 2 3 2 3 2 2 2" xfId="13735" xr:uid="{00000000-0005-0000-0000-00003F280000}"/>
    <cellStyle name="20% - Accent5 3 2 3 2 3 2 3" xfId="32346" xr:uid="{00000000-0005-0000-0000-000040280000}"/>
    <cellStyle name="20% - Accent5 3 2 3 2 3 3" xfId="21007" xr:uid="{00000000-0005-0000-0000-000041280000}"/>
    <cellStyle name="20% - Accent5 3 2 3 2 3 3 2" xfId="27245" xr:uid="{00000000-0005-0000-0000-000042280000}"/>
    <cellStyle name="20% - Accent5 3 2 3 2 3 4" xfId="20909" xr:uid="{00000000-0005-0000-0000-000043280000}"/>
    <cellStyle name="20% - Accent5 3 2 3 2 4" xfId="22993" xr:uid="{00000000-0005-0000-0000-000044280000}"/>
    <cellStyle name="20% - Accent5 3 2 3 2 4 2" xfId="20905" xr:uid="{00000000-0005-0000-0000-000045280000}"/>
    <cellStyle name="20% - Accent5 3 2 3 2 4 2 2" xfId="27195" xr:uid="{00000000-0005-0000-0000-000046280000}"/>
    <cellStyle name="20% - Accent5 3 2 3 2 4 3" xfId="20904" xr:uid="{00000000-0005-0000-0000-000047280000}"/>
    <cellStyle name="20% - Accent5 3 2 3 2 5" xfId="20902" xr:uid="{00000000-0005-0000-0000-000048280000}"/>
    <cellStyle name="20% - Accent5 3 2 3 2 5 2" xfId="20896" xr:uid="{00000000-0005-0000-0000-000049280000}"/>
    <cellStyle name="20% - Accent5 3 2 3 2 6" xfId="10875" xr:uid="{00000000-0005-0000-0000-00004A280000}"/>
    <cellStyle name="20% - Accent5 3 2 3 3" xfId="29951" xr:uid="{00000000-0005-0000-0000-00004B280000}"/>
    <cellStyle name="20% - Accent5 3 2 3 3 2" xfId="25293" xr:uid="{00000000-0005-0000-0000-00004C280000}"/>
    <cellStyle name="20% - Accent5 3 2 3 3 2 2" xfId="5540" xr:uid="{00000000-0005-0000-0000-00004D280000}"/>
    <cellStyle name="20% - Accent5 3 2 3 3 2 2 2" xfId="21693" xr:uid="{00000000-0005-0000-0000-00004E280000}"/>
    <cellStyle name="20% - Accent5 3 2 3 3 2 2 2 2" xfId="20894" xr:uid="{00000000-0005-0000-0000-00004F280000}"/>
    <cellStyle name="20% - Accent5 3 2 3 3 2 2 3" xfId="21688" xr:uid="{00000000-0005-0000-0000-000050280000}"/>
    <cellStyle name="20% - Accent5 3 2 3 3 2 3" xfId="5537" xr:uid="{00000000-0005-0000-0000-000051280000}"/>
    <cellStyle name="20% - Accent5 3 2 3 3 2 3 2" xfId="28103" xr:uid="{00000000-0005-0000-0000-000052280000}"/>
    <cellStyle name="20% - Accent5 3 2 3 3 2 4" xfId="23166" xr:uid="{00000000-0005-0000-0000-000053280000}"/>
    <cellStyle name="20% - Accent5 3 2 3 3 3" xfId="22801" xr:uid="{00000000-0005-0000-0000-000054280000}"/>
    <cellStyle name="20% - Accent5 3 2 3 3 3 2" xfId="5519" xr:uid="{00000000-0005-0000-0000-000055280000}"/>
    <cellStyle name="20% - Accent5 3 2 3 3 3 2 2" xfId="21607" xr:uid="{00000000-0005-0000-0000-000056280000}"/>
    <cellStyle name="20% - Accent5 3 2 3 3 3 3" xfId="20891" xr:uid="{00000000-0005-0000-0000-000057280000}"/>
    <cellStyle name="20% - Accent5 3 2 3 3 4" xfId="20888" xr:uid="{00000000-0005-0000-0000-000058280000}"/>
    <cellStyle name="20% - Accent5 3 2 3 3 4 2" xfId="10425" xr:uid="{00000000-0005-0000-0000-000059280000}"/>
    <cellStyle name="20% - Accent5 3 2 3 3 5" xfId="20885" xr:uid="{00000000-0005-0000-0000-00005A280000}"/>
    <cellStyle name="20% - Accent5 3 2 3 4" xfId="32221" xr:uid="{00000000-0005-0000-0000-00005B280000}"/>
    <cellStyle name="20% - Accent5 3 2 3 4 2" xfId="32218" xr:uid="{00000000-0005-0000-0000-00005C280000}"/>
    <cellStyle name="20% - Accent5 3 2 3 4 2 2" xfId="21380" xr:uid="{00000000-0005-0000-0000-00005D280000}"/>
    <cellStyle name="20% - Accent5 3 2 3 4 2 2 2" xfId="26706" xr:uid="{00000000-0005-0000-0000-00005E280000}"/>
    <cellStyle name="20% - Accent5 3 2 3 4 2 3" xfId="20883" xr:uid="{00000000-0005-0000-0000-00005F280000}"/>
    <cellStyle name="20% - Accent5 3 2 3 4 3" xfId="20879" xr:uid="{00000000-0005-0000-0000-000060280000}"/>
    <cellStyle name="20% - Accent5 3 2 3 4 3 2" xfId="20878" xr:uid="{00000000-0005-0000-0000-000061280000}"/>
    <cellStyle name="20% - Accent5 3 2 3 4 4" xfId="27685" xr:uid="{00000000-0005-0000-0000-000062280000}"/>
    <cellStyle name="20% - Accent5 3 2 3 5" xfId="34106" xr:uid="{00000000-0005-0000-0000-000063280000}"/>
    <cellStyle name="20% - Accent5 3 2 3 5 2" xfId="29212" xr:uid="{00000000-0005-0000-0000-000064280000}"/>
    <cellStyle name="20% - Accent5 3 2 3 5 2 2" xfId="20876" xr:uid="{00000000-0005-0000-0000-000065280000}"/>
    <cellStyle name="20% - Accent5 3 2 3 5 3" xfId="29196" xr:uid="{00000000-0005-0000-0000-000066280000}"/>
    <cellStyle name="20% - Accent5 3 2 3 6" xfId="33509" xr:uid="{00000000-0005-0000-0000-000067280000}"/>
    <cellStyle name="20% - Accent5 3 2 3 6 2" xfId="30013" xr:uid="{00000000-0005-0000-0000-000068280000}"/>
    <cellStyle name="20% - Accent5 3 2 3 7" xfId="20874" xr:uid="{00000000-0005-0000-0000-000069280000}"/>
    <cellStyle name="20% - Accent5 3 2 4" xfId="20873" xr:uid="{00000000-0005-0000-0000-00006A280000}"/>
    <cellStyle name="20% - Accent5 3 2 4 2" xfId="20868" xr:uid="{00000000-0005-0000-0000-00006B280000}"/>
    <cellStyle name="20% - Accent5 3 2 4 2 2" xfId="20867" xr:uid="{00000000-0005-0000-0000-00006C280000}"/>
    <cellStyle name="20% - Accent5 3 2 4 2 2 2" xfId="20866" xr:uid="{00000000-0005-0000-0000-00006D280000}"/>
    <cellStyle name="20% - Accent5 3 2 4 2 2 2 2" xfId="23063" xr:uid="{00000000-0005-0000-0000-00006E280000}"/>
    <cellStyle name="20% - Accent5 3 2 4 2 2 2 2 2" xfId="5978" xr:uid="{00000000-0005-0000-0000-00006F280000}"/>
    <cellStyle name="20% - Accent5 3 2 4 2 2 2 3" xfId="29940" xr:uid="{00000000-0005-0000-0000-000070280000}"/>
    <cellStyle name="20% - Accent5 3 2 4 2 2 3" xfId="20972" xr:uid="{00000000-0005-0000-0000-000071280000}"/>
    <cellStyle name="20% - Accent5 3 2 4 2 2 3 2" xfId="23041" xr:uid="{00000000-0005-0000-0000-000072280000}"/>
    <cellStyle name="20% - Accent5 3 2 4 2 2 4" xfId="20864" xr:uid="{00000000-0005-0000-0000-000073280000}"/>
    <cellStyle name="20% - Accent5 3 2 4 2 3" xfId="22786" xr:uid="{00000000-0005-0000-0000-000074280000}"/>
    <cellStyle name="20% - Accent5 3 2 4 2 3 2" xfId="20859" xr:uid="{00000000-0005-0000-0000-000075280000}"/>
    <cellStyle name="20% - Accent5 3 2 4 2 3 2 2" xfId="23444" xr:uid="{00000000-0005-0000-0000-000076280000}"/>
    <cellStyle name="20% - Accent5 3 2 4 2 3 3" xfId="20854" xr:uid="{00000000-0005-0000-0000-000077280000}"/>
    <cellStyle name="20% - Accent5 3 2 4 2 4" xfId="20849" xr:uid="{00000000-0005-0000-0000-000078280000}"/>
    <cellStyle name="20% - Accent5 3 2 4 2 4 2" xfId="20841" xr:uid="{00000000-0005-0000-0000-000079280000}"/>
    <cellStyle name="20% - Accent5 3 2 4 2 5" xfId="20840" xr:uid="{00000000-0005-0000-0000-00007A280000}"/>
    <cellStyle name="20% - Accent5 3 2 4 3" xfId="32212" xr:uid="{00000000-0005-0000-0000-00007B280000}"/>
    <cellStyle name="20% - Accent5 3 2 4 3 2" xfId="32210" xr:uid="{00000000-0005-0000-0000-00007C280000}"/>
    <cellStyle name="20% - Accent5 3 2 4 3 2 2" xfId="21239" xr:uid="{00000000-0005-0000-0000-00007D280000}"/>
    <cellStyle name="20% - Accent5 3 2 4 3 2 2 2" xfId="20848" xr:uid="{00000000-0005-0000-0000-00007E280000}"/>
    <cellStyle name="20% - Accent5 3 2 4 3 2 3" xfId="22182" xr:uid="{00000000-0005-0000-0000-00007F280000}"/>
    <cellStyle name="20% - Accent5 3 2 4 3 3" xfId="20838" xr:uid="{00000000-0005-0000-0000-000080280000}"/>
    <cellStyle name="20% - Accent5 3 2 4 3 3 2" xfId="20834" xr:uid="{00000000-0005-0000-0000-000081280000}"/>
    <cellStyle name="20% - Accent5 3 2 4 3 4" xfId="30896" xr:uid="{00000000-0005-0000-0000-000082280000}"/>
    <cellStyle name="20% - Accent5 3 2 4 4" xfId="26187" xr:uid="{00000000-0005-0000-0000-000083280000}"/>
    <cellStyle name="20% - Accent5 3 2 4 4 2" xfId="20832" xr:uid="{00000000-0005-0000-0000-000084280000}"/>
    <cellStyle name="20% - Accent5 3 2 4 4 2 2" xfId="14481" xr:uid="{00000000-0005-0000-0000-000085280000}"/>
    <cellStyle name="20% - Accent5 3 2 4 4 3" xfId="20828" xr:uid="{00000000-0005-0000-0000-000086280000}"/>
    <cellStyle name="20% - Accent5 3 2 4 5" xfId="20825" xr:uid="{00000000-0005-0000-0000-000087280000}"/>
    <cellStyle name="20% - Accent5 3 2 4 5 2" xfId="33693" xr:uid="{00000000-0005-0000-0000-000088280000}"/>
    <cellStyle name="20% - Accent5 3 2 4 6" xfId="20824" xr:uid="{00000000-0005-0000-0000-000089280000}"/>
    <cellStyle name="20% - Accent5 3 2 5" xfId="20823" xr:uid="{00000000-0005-0000-0000-00008A280000}"/>
    <cellStyle name="20% - Accent5 3 2 5 2" xfId="20821" xr:uid="{00000000-0005-0000-0000-00008B280000}"/>
    <cellStyle name="20% - Accent5 3 2 5 2 2" xfId="20819" xr:uid="{00000000-0005-0000-0000-00008C280000}"/>
    <cellStyle name="20% - Accent5 3 2 5 2 2 2" xfId="23519" xr:uid="{00000000-0005-0000-0000-00008D280000}"/>
    <cellStyle name="20% - Accent5 3 2 5 2 2 2 2" xfId="24811" xr:uid="{00000000-0005-0000-0000-00008E280000}"/>
    <cellStyle name="20% - Accent5 3 2 5 2 2 3" xfId="21476" xr:uid="{00000000-0005-0000-0000-00008F280000}"/>
    <cellStyle name="20% - Accent5 3 2 5 2 3" xfId="20813" xr:uid="{00000000-0005-0000-0000-000090280000}"/>
    <cellStyle name="20% - Accent5 3 2 5 2 3 2" xfId="21464" xr:uid="{00000000-0005-0000-0000-000091280000}"/>
    <cellStyle name="20% - Accent5 3 2 5 2 4" xfId="20808" xr:uid="{00000000-0005-0000-0000-000092280000}"/>
    <cellStyle name="20% - Accent5 3 2 5 3" xfId="24139" xr:uid="{00000000-0005-0000-0000-000093280000}"/>
    <cellStyle name="20% - Accent5 3 2 5 3 2" xfId="20805" xr:uid="{00000000-0005-0000-0000-000094280000}"/>
    <cellStyle name="20% - Accent5 3 2 5 3 2 2" xfId="21444" xr:uid="{00000000-0005-0000-0000-000095280000}"/>
    <cellStyle name="20% - Accent5 3 2 5 3 3" xfId="20803" xr:uid="{00000000-0005-0000-0000-000096280000}"/>
    <cellStyle name="20% - Accent5 3 2 5 4" xfId="20801" xr:uid="{00000000-0005-0000-0000-000097280000}"/>
    <cellStyle name="20% - Accent5 3 2 5 4 2" xfId="20799" xr:uid="{00000000-0005-0000-0000-000098280000}"/>
    <cellStyle name="20% - Accent5 3 2 5 5" xfId="23156" xr:uid="{00000000-0005-0000-0000-000099280000}"/>
    <cellStyle name="20% - Accent5 3 2 6" xfId="20795" xr:uid="{00000000-0005-0000-0000-00009A280000}"/>
    <cellStyle name="20% - Accent5 3 2 6 2" xfId="20794" xr:uid="{00000000-0005-0000-0000-00009B280000}"/>
    <cellStyle name="20% - Accent5 3 2 6 2 2" xfId="20791" xr:uid="{00000000-0005-0000-0000-00009C280000}"/>
    <cellStyle name="20% - Accent5 3 2 6 2 2 2" xfId="30438" xr:uid="{00000000-0005-0000-0000-00009D280000}"/>
    <cellStyle name="20% - Accent5 3 2 6 2 3" xfId="20789" xr:uid="{00000000-0005-0000-0000-00009E280000}"/>
    <cellStyle name="20% - Accent5 3 2 6 3" xfId="20786" xr:uid="{00000000-0005-0000-0000-00009F280000}"/>
    <cellStyle name="20% - Accent5 3 2 6 3 2" xfId="20783" xr:uid="{00000000-0005-0000-0000-0000A0280000}"/>
    <cellStyle name="20% - Accent5 3 2 6 4" xfId="20781" xr:uid="{00000000-0005-0000-0000-0000A1280000}"/>
    <cellStyle name="20% - Accent5 3 2 7" xfId="20779" xr:uid="{00000000-0005-0000-0000-0000A2280000}"/>
    <cellStyle name="20% - Accent5 3 2 7 2" xfId="7123" xr:uid="{00000000-0005-0000-0000-0000A3280000}"/>
    <cellStyle name="20% - Accent5 3 2 7 2 2" xfId="20778" xr:uid="{00000000-0005-0000-0000-0000A4280000}"/>
    <cellStyle name="20% - Accent5 3 2 7 3" xfId="7119" xr:uid="{00000000-0005-0000-0000-0000A5280000}"/>
    <cellStyle name="20% - Accent5 3 2 8" xfId="20776" xr:uid="{00000000-0005-0000-0000-0000A6280000}"/>
    <cellStyle name="20% - Accent5 3 2 8 2" xfId="21348" xr:uid="{00000000-0005-0000-0000-0000A7280000}"/>
    <cellStyle name="20% - Accent5 3 2 9" xfId="20774" xr:uid="{00000000-0005-0000-0000-0000A8280000}"/>
    <cellStyle name="20% - Accent5 3 3" xfId="232" xr:uid="{00000000-0005-0000-0000-0000A9280000}"/>
    <cellStyle name="20% - Accent5 3 3 10" xfId="20770" xr:uid="{00000000-0005-0000-0000-0000AA280000}"/>
    <cellStyle name="20% - Accent5 3 3 2" xfId="30943" xr:uid="{00000000-0005-0000-0000-0000AB280000}"/>
    <cellStyle name="20% - Accent5 3 3 2 2" xfId="20761" xr:uid="{00000000-0005-0000-0000-0000AC280000}"/>
    <cellStyle name="20% - Accent5 3 3 2 2 2" xfId="20760" xr:uid="{00000000-0005-0000-0000-0000AD280000}"/>
    <cellStyle name="20% - Accent5 3 3 2 2 2 2" xfId="20758" xr:uid="{00000000-0005-0000-0000-0000AE280000}"/>
    <cellStyle name="20% - Accent5 3 3 2 2 2 2 2" xfId="18616" xr:uid="{00000000-0005-0000-0000-0000AF280000}"/>
    <cellStyle name="20% - Accent5 3 3 2 2 2 2 2 2" xfId="20733" xr:uid="{00000000-0005-0000-0000-0000B0280000}"/>
    <cellStyle name="20% - Accent5 3 3 2 2 2 2 2 2 2" xfId="20753" xr:uid="{00000000-0005-0000-0000-0000B1280000}"/>
    <cellStyle name="20% - Accent5 3 3 2 2 2 2 2 3" xfId="20751" xr:uid="{00000000-0005-0000-0000-0000B2280000}"/>
    <cellStyle name="20% - Accent5 3 3 2 2 2 2 3" xfId="13807" xr:uid="{00000000-0005-0000-0000-0000B3280000}"/>
    <cellStyle name="20% - Accent5 3 3 2 2 2 2 3 2" xfId="27118" xr:uid="{00000000-0005-0000-0000-0000B4280000}"/>
    <cellStyle name="20% - Accent5 3 3 2 2 2 2 4" xfId="32441" xr:uid="{00000000-0005-0000-0000-0000B5280000}"/>
    <cellStyle name="20% - Accent5 3 3 2 2 2 3" xfId="26869" xr:uid="{00000000-0005-0000-0000-0000B6280000}"/>
    <cellStyle name="20% - Accent5 3 3 2 2 2 3 2" xfId="11235" xr:uid="{00000000-0005-0000-0000-0000B7280000}"/>
    <cellStyle name="20% - Accent5 3 3 2 2 2 3 2 2" xfId="20743" xr:uid="{00000000-0005-0000-0000-0000B8280000}"/>
    <cellStyle name="20% - Accent5 3 3 2 2 2 3 3" xfId="11220" xr:uid="{00000000-0005-0000-0000-0000B9280000}"/>
    <cellStyle name="20% - Accent5 3 3 2 2 2 4" xfId="20913" xr:uid="{00000000-0005-0000-0000-0000BA280000}"/>
    <cellStyle name="20% - Accent5 3 3 2 2 2 4 2" xfId="29627" xr:uid="{00000000-0005-0000-0000-0000BB280000}"/>
    <cellStyle name="20% - Accent5 3 3 2 2 2 5" xfId="21003" xr:uid="{00000000-0005-0000-0000-0000BC280000}"/>
    <cellStyle name="20% - Accent5 3 3 2 2 3" xfId="23514" xr:uid="{00000000-0005-0000-0000-0000BD280000}"/>
    <cellStyle name="20% - Accent5 3 3 2 2 3 2" xfId="20392" xr:uid="{00000000-0005-0000-0000-0000BE280000}"/>
    <cellStyle name="20% - Accent5 3 3 2 2 3 2 2" xfId="26357" xr:uid="{00000000-0005-0000-0000-0000BF280000}"/>
    <cellStyle name="20% - Accent5 3 3 2 2 3 2 2 2" xfId="20737" xr:uid="{00000000-0005-0000-0000-0000C0280000}"/>
    <cellStyle name="20% - Accent5 3 3 2 2 3 2 3" xfId="13754" xr:uid="{00000000-0005-0000-0000-0000C1280000}"/>
    <cellStyle name="20% - Accent5 3 3 2 2 3 3" xfId="26847" xr:uid="{00000000-0005-0000-0000-0000C2280000}"/>
    <cellStyle name="20% - Accent5 3 3 2 2 3 3 2" xfId="24887" xr:uid="{00000000-0005-0000-0000-0000C3280000}"/>
    <cellStyle name="20% - Accent5 3 3 2 2 3 4" xfId="20729" xr:uid="{00000000-0005-0000-0000-0000C4280000}"/>
    <cellStyle name="20% - Accent5 3 3 2 2 4" xfId="23510" xr:uid="{00000000-0005-0000-0000-0000C5280000}"/>
    <cellStyle name="20% - Accent5 3 3 2 2 4 2" xfId="20725" xr:uid="{00000000-0005-0000-0000-0000C6280000}"/>
    <cellStyle name="20% - Accent5 3 3 2 2 4 2 2" xfId="21495" xr:uid="{00000000-0005-0000-0000-0000C7280000}"/>
    <cellStyle name="20% - Accent5 3 3 2 2 4 3" xfId="20723" xr:uid="{00000000-0005-0000-0000-0000C8280000}"/>
    <cellStyle name="20% - Accent5 3 3 2 2 5" xfId="31157" xr:uid="{00000000-0005-0000-0000-0000C9280000}"/>
    <cellStyle name="20% - Accent5 3 3 2 2 5 2" xfId="27172" xr:uid="{00000000-0005-0000-0000-0000CA280000}"/>
    <cellStyle name="20% - Accent5 3 3 2 2 6" xfId="25086" xr:uid="{00000000-0005-0000-0000-0000CB280000}"/>
    <cellStyle name="20% - Accent5 3 3 2 3" xfId="16118" xr:uid="{00000000-0005-0000-0000-0000CC280000}"/>
    <cellStyle name="20% - Accent5 3 3 2 3 2" xfId="32163" xr:uid="{00000000-0005-0000-0000-0000CD280000}"/>
    <cellStyle name="20% - Accent5 3 3 2 3 2 2" xfId="16114" xr:uid="{00000000-0005-0000-0000-0000CE280000}"/>
    <cellStyle name="20% - Accent5 3 3 2 3 2 2 2" xfId="25742" xr:uid="{00000000-0005-0000-0000-0000CF280000}"/>
    <cellStyle name="20% - Accent5 3 3 2 3 2 2 2 2" xfId="30351" xr:uid="{00000000-0005-0000-0000-0000D0280000}"/>
    <cellStyle name="20% - Accent5 3 3 2 3 2 2 3" xfId="11787" xr:uid="{00000000-0005-0000-0000-0000D1280000}"/>
    <cellStyle name="20% - Accent5 3 3 2 3 2 3" xfId="19472" xr:uid="{00000000-0005-0000-0000-0000D2280000}"/>
    <cellStyle name="20% - Accent5 3 3 2 3 2 3 2" xfId="29602" xr:uid="{00000000-0005-0000-0000-0000D3280000}"/>
    <cellStyle name="20% - Accent5 3 3 2 3 2 4" xfId="16102" xr:uid="{00000000-0005-0000-0000-0000D4280000}"/>
    <cellStyle name="20% - Accent5 3 3 2 3 3" xfId="16096" xr:uid="{00000000-0005-0000-0000-0000D5280000}"/>
    <cellStyle name="20% - Accent5 3 3 2 3 3 2" xfId="20951" xr:uid="{00000000-0005-0000-0000-0000D6280000}"/>
    <cellStyle name="20% - Accent5 3 3 2 3 3 2 2" xfId="22288" xr:uid="{00000000-0005-0000-0000-0000D7280000}"/>
    <cellStyle name="20% - Accent5 3 3 2 3 3 3" xfId="20716" xr:uid="{00000000-0005-0000-0000-0000D8280000}"/>
    <cellStyle name="20% - Accent5 3 3 2 3 4" xfId="16091" xr:uid="{00000000-0005-0000-0000-0000D9280000}"/>
    <cellStyle name="20% - Accent5 3 3 2 3 4 2" xfId="20712" xr:uid="{00000000-0005-0000-0000-0000DA280000}"/>
    <cellStyle name="20% - Accent5 3 3 2 3 5" xfId="26385" xr:uid="{00000000-0005-0000-0000-0000DB280000}"/>
    <cellStyle name="20% - Accent5 3 3 2 4" xfId="16089" xr:uid="{00000000-0005-0000-0000-0000DC280000}"/>
    <cellStyle name="20% - Accent5 3 3 2 4 2" xfId="18399" xr:uid="{00000000-0005-0000-0000-0000DD280000}"/>
    <cellStyle name="20% - Accent5 3 3 2 4 2 2" xfId="18397" xr:uid="{00000000-0005-0000-0000-0000DE280000}"/>
    <cellStyle name="20% - Accent5 3 3 2 4 2 2 2" xfId="32628" xr:uid="{00000000-0005-0000-0000-0000DF280000}"/>
    <cellStyle name="20% - Accent5 3 3 2 4 2 3" xfId="18478" xr:uid="{00000000-0005-0000-0000-0000E0280000}"/>
    <cellStyle name="20% - Accent5 3 3 2 4 3" xfId="18393" xr:uid="{00000000-0005-0000-0000-0000E1280000}"/>
    <cellStyle name="20% - Accent5 3 3 2 4 3 2" xfId="18387" xr:uid="{00000000-0005-0000-0000-0000E2280000}"/>
    <cellStyle name="20% - Accent5 3 3 2 4 4" xfId="18384" xr:uid="{00000000-0005-0000-0000-0000E3280000}"/>
    <cellStyle name="20% - Accent5 3 3 2 5" xfId="16082" xr:uid="{00000000-0005-0000-0000-0000E4280000}"/>
    <cellStyle name="20% - Accent5 3 3 2 5 2" xfId="20706" xr:uid="{00000000-0005-0000-0000-0000E5280000}"/>
    <cellStyle name="20% - Accent5 3 3 2 5 2 2" xfId="20703" xr:uid="{00000000-0005-0000-0000-0000E6280000}"/>
    <cellStyle name="20% - Accent5 3 3 2 5 3" xfId="20700" xr:uid="{00000000-0005-0000-0000-0000E7280000}"/>
    <cellStyle name="20% - Accent5 3 3 2 6" xfId="16080" xr:uid="{00000000-0005-0000-0000-0000E8280000}"/>
    <cellStyle name="20% - Accent5 3 3 2 6 2" xfId="20697" xr:uid="{00000000-0005-0000-0000-0000E9280000}"/>
    <cellStyle name="20% - Accent5 3 3 2 7" xfId="20693" xr:uid="{00000000-0005-0000-0000-0000EA280000}"/>
    <cellStyle name="20% - Accent5 3 3 3" xfId="32409" xr:uid="{00000000-0005-0000-0000-0000EB280000}"/>
    <cellStyle name="20% - Accent5 3 3 3 2" xfId="20691" xr:uid="{00000000-0005-0000-0000-0000EC280000}"/>
    <cellStyle name="20% - Accent5 3 3 3 2 2" xfId="13102" xr:uid="{00000000-0005-0000-0000-0000ED280000}"/>
    <cellStyle name="20% - Accent5 3 3 3 2 2 2" xfId="29869" xr:uid="{00000000-0005-0000-0000-0000EE280000}"/>
    <cellStyle name="20% - Accent5 3 3 3 2 2 2 2" xfId="24501" xr:uid="{00000000-0005-0000-0000-0000EF280000}"/>
    <cellStyle name="20% - Accent5 3 3 3 2 2 2 2 2" xfId="12121" xr:uid="{00000000-0005-0000-0000-0000F0280000}"/>
    <cellStyle name="20% - Accent5 3 3 3 2 2 2 3" xfId="26727" xr:uid="{00000000-0005-0000-0000-0000F1280000}"/>
    <cellStyle name="20% - Accent5 3 3 3 2 2 3" xfId="26739" xr:uid="{00000000-0005-0000-0000-0000F2280000}"/>
    <cellStyle name="20% - Accent5 3 3 3 2 2 3 2" xfId="26701" xr:uid="{00000000-0005-0000-0000-0000F3280000}"/>
    <cellStyle name="20% - Accent5 3 3 3 2 2 4" xfId="20856" xr:uid="{00000000-0005-0000-0000-0000F4280000}"/>
    <cellStyle name="20% - Accent5 3 3 3 2 3" xfId="13098" xr:uid="{00000000-0005-0000-0000-0000F5280000}"/>
    <cellStyle name="20% - Accent5 3 3 3 2 3 2" xfId="27186" xr:uid="{00000000-0005-0000-0000-0000F6280000}"/>
    <cellStyle name="20% - Accent5 3 3 3 2 3 2 2" xfId="23783" xr:uid="{00000000-0005-0000-0000-0000F7280000}"/>
    <cellStyle name="20% - Accent5 3 3 3 2 3 3" xfId="26732" xr:uid="{00000000-0005-0000-0000-0000F8280000}"/>
    <cellStyle name="20% - Accent5 3 3 3 2 4" xfId="27183" xr:uid="{00000000-0005-0000-0000-0000F9280000}"/>
    <cellStyle name="20% - Accent5 3 3 3 2 4 2" xfId="27180" xr:uid="{00000000-0005-0000-0000-0000FA280000}"/>
    <cellStyle name="20% - Accent5 3 3 3 2 5" xfId="27145" xr:uid="{00000000-0005-0000-0000-0000FB280000}"/>
    <cellStyle name="20% - Accent5 3 3 3 3" xfId="30642" xr:uid="{00000000-0005-0000-0000-0000FC280000}"/>
    <cellStyle name="20% - Accent5 3 3 3 3 2" xfId="22953" xr:uid="{00000000-0005-0000-0000-0000FD280000}"/>
    <cellStyle name="20% - Accent5 3 3 3 3 2 2" xfId="16076" xr:uid="{00000000-0005-0000-0000-0000FE280000}"/>
    <cellStyle name="20% - Accent5 3 3 3 3 2 2 2" xfId="19529" xr:uid="{00000000-0005-0000-0000-0000FF280000}"/>
    <cellStyle name="20% - Accent5 3 3 3 3 2 3" xfId="16073" xr:uid="{00000000-0005-0000-0000-000000290000}"/>
    <cellStyle name="20% - Accent5 3 3 3 3 3" xfId="16070" xr:uid="{00000000-0005-0000-0000-000001290000}"/>
    <cellStyle name="20% - Accent5 3 3 3 3 3 2" xfId="27265" xr:uid="{00000000-0005-0000-0000-000002290000}"/>
    <cellStyle name="20% - Accent5 3 3 3 3 4" xfId="16067" xr:uid="{00000000-0005-0000-0000-000003290000}"/>
    <cellStyle name="20% - Accent5 3 3 3 4" xfId="19635" xr:uid="{00000000-0005-0000-0000-000004290000}"/>
    <cellStyle name="20% - Accent5 3 3 3 4 2" xfId="18361" xr:uid="{00000000-0005-0000-0000-000005290000}"/>
    <cellStyle name="20% - Accent5 3 3 3 4 2 2" xfId="18358" xr:uid="{00000000-0005-0000-0000-000006290000}"/>
    <cellStyle name="20% - Accent5 3 3 3 4 3" xfId="18353" xr:uid="{00000000-0005-0000-0000-000007290000}"/>
    <cellStyle name="20% - Accent5 3 3 3 5" xfId="16065" xr:uid="{00000000-0005-0000-0000-000008290000}"/>
    <cellStyle name="20% - Accent5 3 3 3 5 2" xfId="29024" xr:uid="{00000000-0005-0000-0000-000009290000}"/>
    <cellStyle name="20% - Accent5 3 3 3 6" xfId="16063" xr:uid="{00000000-0005-0000-0000-00000A290000}"/>
    <cellStyle name="20% - Accent5 3 3 4" xfId="20690" xr:uid="{00000000-0005-0000-0000-00000B290000}"/>
    <cellStyle name="20% - Accent5 3 3 4 2" xfId="20686" xr:uid="{00000000-0005-0000-0000-00000C290000}"/>
    <cellStyle name="20% - Accent5 3 3 4 2 2" xfId="13076" xr:uid="{00000000-0005-0000-0000-00000D290000}"/>
    <cellStyle name="20% - Accent5 3 3 4 2 2 2" xfId="27831" xr:uid="{00000000-0005-0000-0000-00000E290000}"/>
    <cellStyle name="20% - Accent5 3 3 4 2 2 2 2" xfId="21284" xr:uid="{00000000-0005-0000-0000-00000F290000}"/>
    <cellStyle name="20% - Accent5 3 3 4 2 2 3" xfId="26653" xr:uid="{00000000-0005-0000-0000-000010290000}"/>
    <cellStyle name="20% - Accent5 3 3 4 2 3" xfId="26941" xr:uid="{00000000-0005-0000-0000-000011290000}"/>
    <cellStyle name="20% - Accent5 3 3 4 2 3 2" xfId="26939" xr:uid="{00000000-0005-0000-0000-000012290000}"/>
    <cellStyle name="20% - Accent5 3 3 4 2 4" xfId="31642" xr:uid="{00000000-0005-0000-0000-000013290000}"/>
    <cellStyle name="20% - Accent5 3 3 4 3" xfId="30622" xr:uid="{00000000-0005-0000-0000-000014290000}"/>
    <cellStyle name="20% - Accent5 3 3 4 3 2" xfId="16060" xr:uid="{00000000-0005-0000-0000-000015290000}"/>
    <cellStyle name="20% - Accent5 3 3 4 3 2 2" xfId="16058" xr:uid="{00000000-0005-0000-0000-000016290000}"/>
    <cellStyle name="20% - Accent5 3 3 4 3 3" xfId="16056" xr:uid="{00000000-0005-0000-0000-000017290000}"/>
    <cellStyle name="20% - Accent5 3 3 4 4" xfId="16054" xr:uid="{00000000-0005-0000-0000-000018290000}"/>
    <cellStyle name="20% - Accent5 3 3 4 4 2" xfId="18309" xr:uid="{00000000-0005-0000-0000-000019290000}"/>
    <cellStyle name="20% - Accent5 3 3 4 5" xfId="20685" xr:uid="{00000000-0005-0000-0000-00001A290000}"/>
    <cellStyle name="20% - Accent5 3 3 5" xfId="22495" xr:uid="{00000000-0005-0000-0000-00001B290000}"/>
    <cellStyle name="20% - Accent5 3 3 5 2" xfId="20683" xr:uid="{00000000-0005-0000-0000-00001C290000}"/>
    <cellStyle name="20% - Accent5 3 3 5 2 2" xfId="26612" xr:uid="{00000000-0005-0000-0000-00001D290000}"/>
    <cellStyle name="20% - Accent5 3 3 5 2 2 2" xfId="26604" xr:uid="{00000000-0005-0000-0000-00001E290000}"/>
    <cellStyle name="20% - Accent5 3 3 5 2 3" xfId="26600" xr:uid="{00000000-0005-0000-0000-00001F290000}"/>
    <cellStyle name="20% - Accent5 3 3 5 3" xfId="20678" xr:uid="{00000000-0005-0000-0000-000020290000}"/>
    <cellStyle name="20% - Accent5 3 3 5 3 2" xfId="22052" xr:uid="{00000000-0005-0000-0000-000021290000}"/>
    <cellStyle name="20% - Accent5 3 3 5 4" xfId="20671" xr:uid="{00000000-0005-0000-0000-000022290000}"/>
    <cellStyle name="20% - Accent5 3 3 6" xfId="20667" xr:uid="{00000000-0005-0000-0000-000023290000}"/>
    <cellStyle name="20% - Accent5 3 3 6 2" xfId="20664" xr:uid="{00000000-0005-0000-0000-000024290000}"/>
    <cellStyle name="20% - Accent5 3 3 6 2 2" xfId="26502" xr:uid="{00000000-0005-0000-0000-000025290000}"/>
    <cellStyle name="20% - Accent5 3 3 6 3" xfId="20661" xr:uid="{00000000-0005-0000-0000-000026290000}"/>
    <cellStyle name="20% - Accent5 3 3 7" xfId="32574" xr:uid="{00000000-0005-0000-0000-000027290000}"/>
    <cellStyle name="20% - Accent5 3 3 7 2" xfId="7114" xr:uid="{00000000-0005-0000-0000-000028290000}"/>
    <cellStyle name="20% - Accent5 3 3 8" xfId="24178" xr:uid="{00000000-0005-0000-0000-000029290000}"/>
    <cellStyle name="20% - Accent5 3 3 9" xfId="34557" xr:uid="{00000000-0005-0000-0000-00002A290000}"/>
    <cellStyle name="20% - Accent5 3 4" xfId="20658" xr:uid="{00000000-0005-0000-0000-00002B290000}"/>
    <cellStyle name="20% - Accent5 3 4 2" xfId="8906" xr:uid="{00000000-0005-0000-0000-00002C290000}"/>
    <cellStyle name="20% - Accent5 3 4 2 2" xfId="20651" xr:uid="{00000000-0005-0000-0000-00002D290000}"/>
    <cellStyle name="20% - Accent5 3 4 2 2 2" xfId="21295" xr:uid="{00000000-0005-0000-0000-00002E290000}"/>
    <cellStyle name="20% - Accent5 3 4 2 2 2 2" xfId="20650" xr:uid="{00000000-0005-0000-0000-00002F290000}"/>
    <cellStyle name="20% - Accent5 3 4 2 2 2 2 2" xfId="22886" xr:uid="{00000000-0005-0000-0000-000030290000}"/>
    <cellStyle name="20% - Accent5 3 4 2 2 2 2 2 2" xfId="33973" xr:uid="{00000000-0005-0000-0000-000031290000}"/>
    <cellStyle name="20% - Accent5 3 4 2 2 2 2 3" xfId="29890" xr:uid="{00000000-0005-0000-0000-000032290000}"/>
    <cellStyle name="20% - Accent5 3 4 2 2 2 3" xfId="21838" xr:uid="{00000000-0005-0000-0000-000033290000}"/>
    <cellStyle name="20% - Accent5 3 4 2 2 2 3 2" xfId="10991" xr:uid="{00000000-0005-0000-0000-000034290000}"/>
    <cellStyle name="20% - Accent5 3 4 2 2 2 4" xfId="21833" xr:uid="{00000000-0005-0000-0000-000035290000}"/>
    <cellStyle name="20% - Accent5 3 4 2 2 3" xfId="23489" xr:uid="{00000000-0005-0000-0000-000036290000}"/>
    <cellStyle name="20% - Accent5 3 4 2 2 3 2" xfId="18294" xr:uid="{00000000-0005-0000-0000-000037290000}"/>
    <cellStyle name="20% - Accent5 3 4 2 2 3 2 2" xfId="21356" xr:uid="{00000000-0005-0000-0000-000038290000}"/>
    <cellStyle name="20% - Accent5 3 4 2 2 3 3" xfId="23841" xr:uid="{00000000-0005-0000-0000-000039290000}"/>
    <cellStyle name="20% - Accent5 3 4 2 2 4" xfId="21283" xr:uid="{00000000-0005-0000-0000-00003A290000}"/>
    <cellStyle name="20% - Accent5 3 4 2 2 4 2" xfId="20645" xr:uid="{00000000-0005-0000-0000-00003B290000}"/>
    <cellStyle name="20% - Accent5 3 4 2 2 5" xfId="27755" xr:uid="{00000000-0005-0000-0000-00003C290000}"/>
    <cellStyle name="20% - Accent5 3 4 2 3" xfId="16020" xr:uid="{00000000-0005-0000-0000-00003D290000}"/>
    <cellStyle name="20% - Accent5 3 4 2 3 2" xfId="16016" xr:uid="{00000000-0005-0000-0000-00003E290000}"/>
    <cellStyle name="20% - Accent5 3 4 2 3 2 2" xfId="16012" xr:uid="{00000000-0005-0000-0000-00003F290000}"/>
    <cellStyle name="20% - Accent5 3 4 2 3 2 2 2" xfId="21346" xr:uid="{00000000-0005-0000-0000-000040290000}"/>
    <cellStyle name="20% - Accent5 3 4 2 3 2 3" xfId="16009" xr:uid="{00000000-0005-0000-0000-000041290000}"/>
    <cellStyle name="20% - Accent5 3 4 2 3 3" xfId="16006" xr:uid="{00000000-0005-0000-0000-000042290000}"/>
    <cellStyle name="20% - Accent5 3 4 2 3 3 2" xfId="20634" xr:uid="{00000000-0005-0000-0000-000043290000}"/>
    <cellStyle name="20% - Accent5 3 4 2 3 4" xfId="16004" xr:uid="{00000000-0005-0000-0000-000044290000}"/>
    <cellStyle name="20% - Accent5 3 4 2 4" xfId="16002" xr:uid="{00000000-0005-0000-0000-000045290000}"/>
    <cellStyle name="20% - Accent5 3 4 2 4 2" xfId="18236" xr:uid="{00000000-0005-0000-0000-000046290000}"/>
    <cellStyle name="20% - Accent5 3 4 2 4 2 2" xfId="18231" xr:uid="{00000000-0005-0000-0000-000047290000}"/>
    <cellStyle name="20% - Accent5 3 4 2 4 3" xfId="18226" xr:uid="{00000000-0005-0000-0000-000048290000}"/>
    <cellStyle name="20% - Accent5 3 4 2 5" xfId="15998" xr:uid="{00000000-0005-0000-0000-000049290000}"/>
    <cellStyle name="20% - Accent5 3 4 2 5 2" xfId="20625" xr:uid="{00000000-0005-0000-0000-00004A290000}"/>
    <cellStyle name="20% - Accent5 3 4 2 6" xfId="15996" xr:uid="{00000000-0005-0000-0000-00004B290000}"/>
    <cellStyle name="20% - Accent5 3 4 3" xfId="8903" xr:uid="{00000000-0005-0000-0000-00004C290000}"/>
    <cellStyle name="20% - Accent5 3 4 3 2" xfId="20622" xr:uid="{00000000-0005-0000-0000-00004D290000}"/>
    <cellStyle name="20% - Accent5 3 4 3 2 2" xfId="13042" xr:uid="{00000000-0005-0000-0000-00004E290000}"/>
    <cellStyle name="20% - Accent5 3 4 3 2 2 2" xfId="14943" xr:uid="{00000000-0005-0000-0000-00004F290000}"/>
    <cellStyle name="20% - Accent5 3 4 3 2 2 2 2" xfId="23888" xr:uid="{00000000-0005-0000-0000-000050290000}"/>
    <cellStyle name="20% - Accent5 3 4 3 2 2 3" xfId="31036" xr:uid="{00000000-0005-0000-0000-000051290000}"/>
    <cellStyle name="20% - Accent5 3 4 3 2 3" xfId="9504" xr:uid="{00000000-0005-0000-0000-000052290000}"/>
    <cellStyle name="20% - Accent5 3 4 3 2 3 2" xfId="26115" xr:uid="{00000000-0005-0000-0000-000053290000}"/>
    <cellStyle name="20% - Accent5 3 4 3 2 4" xfId="26112" xr:uid="{00000000-0005-0000-0000-000054290000}"/>
    <cellStyle name="20% - Accent5 3 4 3 3" xfId="30504" xr:uid="{00000000-0005-0000-0000-000055290000}"/>
    <cellStyle name="20% - Accent5 3 4 3 3 2" xfId="26103" xr:uid="{00000000-0005-0000-0000-000056290000}"/>
    <cellStyle name="20% - Accent5 3 4 3 3 2 2" xfId="15991" xr:uid="{00000000-0005-0000-0000-000057290000}"/>
    <cellStyle name="20% - Accent5 3 4 3 3 3" xfId="7876" xr:uid="{00000000-0005-0000-0000-000058290000}"/>
    <cellStyle name="20% - Accent5 3 4 3 4" xfId="15989" xr:uid="{00000000-0005-0000-0000-000059290000}"/>
    <cellStyle name="20% - Accent5 3 4 3 4 2" xfId="18188" xr:uid="{00000000-0005-0000-0000-00005A290000}"/>
    <cellStyle name="20% - Accent5 3 4 3 5" xfId="15987" xr:uid="{00000000-0005-0000-0000-00005B290000}"/>
    <cellStyle name="20% - Accent5 3 4 4" xfId="20620" xr:uid="{00000000-0005-0000-0000-00005C290000}"/>
    <cellStyle name="20% - Accent5 3 4 4 2" xfId="20619" xr:uid="{00000000-0005-0000-0000-00005D290000}"/>
    <cellStyle name="20% - Accent5 3 4 4 2 2" xfId="25958" xr:uid="{00000000-0005-0000-0000-00005E290000}"/>
    <cellStyle name="20% - Accent5 3 4 4 2 2 2" xfId="25954" xr:uid="{00000000-0005-0000-0000-00005F290000}"/>
    <cellStyle name="20% - Accent5 3 4 4 2 3" xfId="25948" xr:uid="{00000000-0005-0000-0000-000060290000}"/>
    <cellStyle name="20% - Accent5 3 4 4 3" xfId="15985" xr:uid="{00000000-0005-0000-0000-000061290000}"/>
    <cellStyle name="20% - Accent5 3 4 4 3 2" xfId="15983" xr:uid="{00000000-0005-0000-0000-000062290000}"/>
    <cellStyle name="20% - Accent5 3 4 4 4" xfId="15981" xr:uid="{00000000-0005-0000-0000-000063290000}"/>
    <cellStyle name="20% - Accent5 3 4 5" xfId="20616" xr:uid="{00000000-0005-0000-0000-000064290000}"/>
    <cellStyle name="20% - Accent5 3 4 5 2" xfId="20613" xr:uid="{00000000-0005-0000-0000-000065290000}"/>
    <cellStyle name="20% - Accent5 3 4 5 2 2" xfId="26825" xr:uid="{00000000-0005-0000-0000-000066290000}"/>
    <cellStyle name="20% - Accent5 3 4 5 3" xfId="20610" xr:uid="{00000000-0005-0000-0000-000067290000}"/>
    <cellStyle name="20% - Accent5 3 4 6" xfId="6499" xr:uid="{00000000-0005-0000-0000-000068290000}"/>
    <cellStyle name="20% - Accent5 3 4 6 2" xfId="20601" xr:uid="{00000000-0005-0000-0000-000069290000}"/>
    <cellStyle name="20% - Accent5 3 4 7" xfId="6492" xr:uid="{00000000-0005-0000-0000-00006A290000}"/>
    <cellStyle name="20% - Accent5 3 4 8" xfId="34779" xr:uid="{00000000-0005-0000-0000-00006B290000}"/>
    <cellStyle name="20% - Accent5 3 5" xfId="8305" xr:uid="{00000000-0005-0000-0000-00006C290000}"/>
    <cellStyle name="20% - Accent5 3 5 2" xfId="20508" xr:uid="{00000000-0005-0000-0000-00006D290000}"/>
    <cellStyle name="20% - Accent5 3 5 2 2" xfId="11543" xr:uid="{00000000-0005-0000-0000-00006E290000}"/>
    <cellStyle name="20% - Accent5 3 5 2 2 2" xfId="22822" xr:uid="{00000000-0005-0000-0000-00006F290000}"/>
    <cellStyle name="20% - Accent5 3 5 2 2 2 2" xfId="22818" xr:uid="{00000000-0005-0000-0000-000070290000}"/>
    <cellStyle name="20% - Accent5 3 5 2 2 2 2 2" xfId="13215" xr:uid="{00000000-0005-0000-0000-000071290000}"/>
    <cellStyle name="20% - Accent5 3 5 2 2 2 3" xfId="20618" xr:uid="{00000000-0005-0000-0000-000072290000}"/>
    <cellStyle name="20% - Accent5 3 5 2 2 3" xfId="8708" xr:uid="{00000000-0005-0000-0000-000073290000}"/>
    <cellStyle name="20% - Accent5 3 5 2 2 3 2" xfId="22802" xr:uid="{00000000-0005-0000-0000-000074290000}"/>
    <cellStyle name="20% - Accent5 3 5 2 2 4" xfId="22796" xr:uid="{00000000-0005-0000-0000-000075290000}"/>
    <cellStyle name="20% - Accent5 3 5 2 3" xfId="15953" xr:uid="{00000000-0005-0000-0000-000076290000}"/>
    <cellStyle name="20% - Accent5 3 5 2 3 2" xfId="15948" xr:uid="{00000000-0005-0000-0000-000077290000}"/>
    <cellStyle name="20% - Accent5 3 5 2 3 2 2" xfId="22788" xr:uid="{00000000-0005-0000-0000-000078290000}"/>
    <cellStyle name="20% - Accent5 3 5 2 3 3" xfId="15946" xr:uid="{00000000-0005-0000-0000-000079290000}"/>
    <cellStyle name="20% - Accent5 3 5 2 4" xfId="15944" xr:uid="{00000000-0005-0000-0000-00007A290000}"/>
    <cellStyle name="20% - Accent5 3 5 2 4 2" xfId="22781" xr:uid="{00000000-0005-0000-0000-00007B290000}"/>
    <cellStyle name="20% - Accent5 3 5 2 5" xfId="15942" xr:uid="{00000000-0005-0000-0000-00007C290000}"/>
    <cellStyle name="20% - Accent5 3 5 3" xfId="33905" xr:uid="{00000000-0005-0000-0000-00007D290000}"/>
    <cellStyle name="20% - Accent5 3 5 3 2" xfId="20548" xr:uid="{00000000-0005-0000-0000-00007E290000}"/>
    <cellStyle name="20% - Accent5 3 5 3 2 2" xfId="32058" xr:uid="{00000000-0005-0000-0000-00007F290000}"/>
    <cellStyle name="20% - Accent5 3 5 3 2 2 2" xfId="24760" xr:uid="{00000000-0005-0000-0000-000080290000}"/>
    <cellStyle name="20% - Accent5 3 5 3 2 3" xfId="7646" xr:uid="{00000000-0005-0000-0000-000081290000}"/>
    <cellStyle name="20% - Accent5 3 5 3 3" xfId="15935" xr:uid="{00000000-0005-0000-0000-000082290000}"/>
    <cellStyle name="20% - Accent5 3 5 3 3 2" xfId="15933" xr:uid="{00000000-0005-0000-0000-000083290000}"/>
    <cellStyle name="20% - Accent5 3 5 3 4" xfId="15929" xr:uid="{00000000-0005-0000-0000-000084290000}"/>
    <cellStyle name="20% - Accent5 3 5 4" xfId="33870" xr:uid="{00000000-0005-0000-0000-000085290000}"/>
    <cellStyle name="20% - Accent5 3 5 4 2" xfId="18576" xr:uid="{00000000-0005-0000-0000-000086290000}"/>
    <cellStyle name="20% - Accent5 3 5 4 2 2" xfId="25510" xr:uid="{00000000-0005-0000-0000-000087290000}"/>
    <cellStyle name="20% - Accent5 3 5 4 3" xfId="15925" xr:uid="{00000000-0005-0000-0000-000088290000}"/>
    <cellStyle name="20% - Accent5 3 5 5" xfId="33958" xr:uid="{00000000-0005-0000-0000-000089290000}"/>
    <cellStyle name="20% - Accent5 3 5 5 2" xfId="20584" xr:uid="{00000000-0005-0000-0000-00008A290000}"/>
    <cellStyle name="20% - Accent5 3 5 6" xfId="6479" xr:uid="{00000000-0005-0000-0000-00008B290000}"/>
    <cellStyle name="20% - Accent5 3 5 7" xfId="34973" xr:uid="{00000000-0005-0000-0000-00008C290000}"/>
    <cellStyle name="20% - Accent5 3 6" xfId="33432" xr:uid="{00000000-0005-0000-0000-00008D290000}"/>
    <cellStyle name="20% - Accent5 3 6 2" xfId="21539" xr:uid="{00000000-0005-0000-0000-00008E290000}"/>
    <cellStyle name="20% - Accent5 3 6 2 2" xfId="20535" xr:uid="{00000000-0005-0000-0000-00008F290000}"/>
    <cellStyle name="20% - Accent5 3 6 2 2 2" xfId="22729" xr:uid="{00000000-0005-0000-0000-000090290000}"/>
    <cellStyle name="20% - Accent5 3 6 2 2 2 2" xfId="22726" xr:uid="{00000000-0005-0000-0000-000091290000}"/>
    <cellStyle name="20% - Accent5 3 6 2 2 3" xfId="7692" xr:uid="{00000000-0005-0000-0000-000092290000}"/>
    <cellStyle name="20% - Accent5 3 6 2 3" xfId="15905" xr:uid="{00000000-0005-0000-0000-000093290000}"/>
    <cellStyle name="20% - Accent5 3 6 2 3 2" xfId="16784" xr:uid="{00000000-0005-0000-0000-000094290000}"/>
    <cellStyle name="20% - Accent5 3 6 2 4" xfId="15901" xr:uid="{00000000-0005-0000-0000-000095290000}"/>
    <cellStyle name="20% - Accent5 3 6 3" xfId="21536" xr:uid="{00000000-0005-0000-0000-000096290000}"/>
    <cellStyle name="20% - Accent5 3 6 3 2" xfId="19299" xr:uid="{00000000-0005-0000-0000-000097290000}"/>
    <cellStyle name="20% - Accent5 3 6 3 2 2" xfId="26104" xr:uid="{00000000-0005-0000-0000-000098290000}"/>
    <cellStyle name="20% - Accent5 3 6 3 3" xfId="15896" xr:uid="{00000000-0005-0000-0000-000099290000}"/>
    <cellStyle name="20% - Accent5 3 6 4" xfId="29637" xr:uid="{00000000-0005-0000-0000-00009A290000}"/>
    <cellStyle name="20% - Accent5 3 6 4 2" xfId="20576" xr:uid="{00000000-0005-0000-0000-00009B290000}"/>
    <cellStyle name="20% - Accent5 3 6 5" xfId="33952" xr:uid="{00000000-0005-0000-0000-00009C290000}"/>
    <cellStyle name="20% - Accent5 3 6 6" xfId="35178" xr:uid="{00000000-0005-0000-0000-00009D290000}"/>
    <cellStyle name="20% - Accent5 3 7" xfId="32031" xr:uid="{00000000-0005-0000-0000-00009E290000}"/>
    <cellStyle name="20% - Accent5 3 7 2" xfId="29463" xr:uid="{00000000-0005-0000-0000-00009F290000}"/>
    <cellStyle name="20% - Accent5 3 7 2 2" xfId="20574" xr:uid="{00000000-0005-0000-0000-0000A0290000}"/>
    <cellStyle name="20% - Accent5 3 7 2 2 2" xfId="22660" xr:uid="{00000000-0005-0000-0000-0000A1290000}"/>
    <cellStyle name="20% - Accent5 3 7 2 3" xfId="15888" xr:uid="{00000000-0005-0000-0000-0000A2290000}"/>
    <cellStyle name="20% - Accent5 3 7 3" xfId="29625" xr:uid="{00000000-0005-0000-0000-0000A3290000}"/>
    <cellStyle name="20% - Accent5 3 7 3 2" xfId="27367" xr:uid="{00000000-0005-0000-0000-0000A4290000}"/>
    <cellStyle name="20% - Accent5 3 7 4" xfId="20014" xr:uid="{00000000-0005-0000-0000-0000A5290000}"/>
    <cellStyle name="20% - Accent5 3 7 5" xfId="35407" xr:uid="{00000000-0005-0000-0000-0000A6290000}"/>
    <cellStyle name="20% - Accent5 3 8" xfId="29852" xr:uid="{00000000-0005-0000-0000-0000A7290000}"/>
    <cellStyle name="20% - Accent5 3 8 2" xfId="31685" xr:uid="{00000000-0005-0000-0000-0000A8290000}"/>
    <cellStyle name="20% - Accent5 3 8 2 2" xfId="29343" xr:uid="{00000000-0005-0000-0000-0000A9290000}"/>
    <cellStyle name="20% - Accent5 3 8 3" xfId="33772" xr:uid="{00000000-0005-0000-0000-0000AA290000}"/>
    <cellStyle name="20% - Accent5 3 8 4" xfId="36279" xr:uid="{00000000-0005-0000-0000-0000AB290000}"/>
    <cellStyle name="20% - Accent5 3 9" xfId="31195" xr:uid="{00000000-0005-0000-0000-0000AC290000}"/>
    <cellStyle name="20% - Accent5 3 9 2" xfId="6635" xr:uid="{00000000-0005-0000-0000-0000AD290000}"/>
    <cellStyle name="20% - Accent5 3 9 3" xfId="36565" xr:uid="{00000000-0005-0000-0000-0000AE290000}"/>
    <cellStyle name="20% - Accent5 30" xfId="35904" xr:uid="{00000000-0005-0000-0000-0000AF290000}"/>
    <cellStyle name="20% - Accent5 30 2" xfId="37076" xr:uid="{00000000-0005-0000-0000-0000B0290000}"/>
    <cellStyle name="20% - Accent5 30 3" xfId="37971" xr:uid="{00000000-0005-0000-0000-0000B1290000}"/>
    <cellStyle name="20% - Accent5 31" xfId="35924" xr:uid="{00000000-0005-0000-0000-0000B2290000}"/>
    <cellStyle name="20% - Accent5 31 2" xfId="37095" xr:uid="{00000000-0005-0000-0000-0000B3290000}"/>
    <cellStyle name="20% - Accent5 31 3" xfId="37991" xr:uid="{00000000-0005-0000-0000-0000B4290000}"/>
    <cellStyle name="20% - Accent5 32" xfId="35944" xr:uid="{00000000-0005-0000-0000-0000B5290000}"/>
    <cellStyle name="20% - Accent5 32 2" xfId="37114" xr:uid="{00000000-0005-0000-0000-0000B6290000}"/>
    <cellStyle name="20% - Accent5 32 3" xfId="38011" xr:uid="{00000000-0005-0000-0000-0000B7290000}"/>
    <cellStyle name="20% - Accent5 33" xfId="35964" xr:uid="{00000000-0005-0000-0000-0000B8290000}"/>
    <cellStyle name="20% - Accent5 33 2" xfId="37133" xr:uid="{00000000-0005-0000-0000-0000B9290000}"/>
    <cellStyle name="20% - Accent5 33 3" xfId="38031" xr:uid="{00000000-0005-0000-0000-0000BA290000}"/>
    <cellStyle name="20% - Accent5 34" xfId="35984" xr:uid="{00000000-0005-0000-0000-0000BB290000}"/>
    <cellStyle name="20% - Accent5 34 2" xfId="37153" xr:uid="{00000000-0005-0000-0000-0000BC290000}"/>
    <cellStyle name="20% - Accent5 34 3" xfId="38051" xr:uid="{00000000-0005-0000-0000-0000BD290000}"/>
    <cellStyle name="20% - Accent5 35" xfId="36004" xr:uid="{00000000-0005-0000-0000-0000BE290000}"/>
    <cellStyle name="20% - Accent5 35 2" xfId="37173" xr:uid="{00000000-0005-0000-0000-0000BF290000}"/>
    <cellStyle name="20% - Accent5 35 3" xfId="38071" xr:uid="{00000000-0005-0000-0000-0000C0290000}"/>
    <cellStyle name="20% - Accent5 36" xfId="36024" xr:uid="{00000000-0005-0000-0000-0000C1290000}"/>
    <cellStyle name="20% - Accent5 36 2" xfId="37193" xr:uid="{00000000-0005-0000-0000-0000C2290000}"/>
    <cellStyle name="20% - Accent5 36 3" xfId="38091" xr:uid="{00000000-0005-0000-0000-0000C3290000}"/>
    <cellStyle name="20% - Accent5 37" xfId="36044" xr:uid="{00000000-0005-0000-0000-0000C4290000}"/>
    <cellStyle name="20% - Accent5 37 2" xfId="37213" xr:uid="{00000000-0005-0000-0000-0000C5290000}"/>
    <cellStyle name="20% - Accent5 37 3" xfId="38111" xr:uid="{00000000-0005-0000-0000-0000C6290000}"/>
    <cellStyle name="20% - Accent5 38" xfId="36064" xr:uid="{00000000-0005-0000-0000-0000C7290000}"/>
    <cellStyle name="20% - Accent5 38 2" xfId="37233" xr:uid="{00000000-0005-0000-0000-0000C8290000}"/>
    <cellStyle name="20% - Accent5 38 3" xfId="38131" xr:uid="{00000000-0005-0000-0000-0000C9290000}"/>
    <cellStyle name="20% - Accent5 39" xfId="36084" xr:uid="{00000000-0005-0000-0000-0000CA290000}"/>
    <cellStyle name="20% - Accent5 39 2" xfId="37253" xr:uid="{00000000-0005-0000-0000-0000CB290000}"/>
    <cellStyle name="20% - Accent5 39 3" xfId="38151" xr:uid="{00000000-0005-0000-0000-0000CC290000}"/>
    <cellStyle name="20% - Accent5 4" xfId="129" xr:uid="{00000000-0005-0000-0000-0000CD290000}"/>
    <cellStyle name="20% - Accent5 4 10" xfId="34483" xr:uid="{00000000-0005-0000-0000-0000CE290000}"/>
    <cellStyle name="20% - Accent5 4 11" xfId="19213" xr:uid="{00000000-0005-0000-0000-0000CF290000}"/>
    <cellStyle name="20% - Accent5 4 2" xfId="252" xr:uid="{00000000-0005-0000-0000-0000D0290000}"/>
    <cellStyle name="20% - Accent5 4 2 10" xfId="20571" xr:uid="{00000000-0005-0000-0000-0000D1290000}"/>
    <cellStyle name="20% - Accent5 4 2 2" xfId="20567" xr:uid="{00000000-0005-0000-0000-0000D2290000}"/>
    <cellStyle name="20% - Accent5 4 2 2 2" xfId="20566" xr:uid="{00000000-0005-0000-0000-0000D3290000}"/>
    <cellStyle name="20% - Accent5 4 2 2 2 2" xfId="22477" xr:uid="{00000000-0005-0000-0000-0000D4290000}"/>
    <cellStyle name="20% - Accent5 4 2 2 2 2 2" xfId="20636" xr:uid="{00000000-0005-0000-0000-0000D5290000}"/>
    <cellStyle name="20% - Accent5 4 2 2 2 2 2 2" xfId="27670" xr:uid="{00000000-0005-0000-0000-0000D6290000}"/>
    <cellStyle name="20% - Accent5 4 2 2 2 2 2 2 2" xfId="20565" xr:uid="{00000000-0005-0000-0000-0000D7290000}"/>
    <cellStyle name="20% - Accent5 4 2 2 2 2 2 2 2 2" xfId="16923" xr:uid="{00000000-0005-0000-0000-0000D8290000}"/>
    <cellStyle name="20% - Accent5 4 2 2 2 2 2 2 3" xfId="28417" xr:uid="{00000000-0005-0000-0000-0000D9290000}"/>
    <cellStyle name="20% - Accent5 4 2 2 2 2 2 3" xfId="26146" xr:uid="{00000000-0005-0000-0000-0000DA290000}"/>
    <cellStyle name="20% - Accent5 4 2 2 2 2 2 3 2" xfId="19395" xr:uid="{00000000-0005-0000-0000-0000DB290000}"/>
    <cellStyle name="20% - Accent5 4 2 2 2 2 2 4" xfId="20555" xr:uid="{00000000-0005-0000-0000-0000DC290000}"/>
    <cellStyle name="20% - Accent5 4 2 2 2 2 3" xfId="22466" xr:uid="{00000000-0005-0000-0000-0000DD290000}"/>
    <cellStyle name="20% - Accent5 4 2 2 2 2 3 2" xfId="20553" xr:uid="{00000000-0005-0000-0000-0000DE290000}"/>
    <cellStyle name="20% - Accent5 4 2 2 2 2 3 2 2" xfId="20551" xr:uid="{00000000-0005-0000-0000-0000DF290000}"/>
    <cellStyle name="20% - Accent5 4 2 2 2 2 3 3" xfId="20550" xr:uid="{00000000-0005-0000-0000-0000E0290000}"/>
    <cellStyle name="20% - Accent5 4 2 2 2 2 4" xfId="18582" xr:uid="{00000000-0005-0000-0000-0000E1290000}"/>
    <cellStyle name="20% - Accent5 4 2 2 2 2 4 2" xfId="20549" xr:uid="{00000000-0005-0000-0000-0000E2290000}"/>
    <cellStyle name="20% - Accent5 4 2 2 2 2 5" xfId="20545" xr:uid="{00000000-0005-0000-0000-0000E3290000}"/>
    <cellStyle name="20% - Accent5 4 2 2 2 3" xfId="34357" xr:uid="{00000000-0005-0000-0000-0000E4290000}"/>
    <cellStyle name="20% - Accent5 4 2 2 2 3 2" xfId="22462" xr:uid="{00000000-0005-0000-0000-0000E5290000}"/>
    <cellStyle name="20% - Accent5 4 2 2 2 3 2 2" xfId="20541" xr:uid="{00000000-0005-0000-0000-0000E6290000}"/>
    <cellStyle name="20% - Accent5 4 2 2 2 3 2 2 2" xfId="13506" xr:uid="{00000000-0005-0000-0000-0000E7290000}"/>
    <cellStyle name="20% - Accent5 4 2 2 2 3 2 3" xfId="20537" xr:uid="{00000000-0005-0000-0000-0000E8290000}"/>
    <cellStyle name="20% - Accent5 4 2 2 2 3 3" xfId="29653" xr:uid="{00000000-0005-0000-0000-0000E9290000}"/>
    <cellStyle name="20% - Accent5 4 2 2 2 3 3 2" xfId="20536" xr:uid="{00000000-0005-0000-0000-0000EA290000}"/>
    <cellStyle name="20% - Accent5 4 2 2 2 3 4" xfId="18571" xr:uid="{00000000-0005-0000-0000-0000EB290000}"/>
    <cellStyle name="20% - Accent5 4 2 2 2 4" xfId="23360" xr:uid="{00000000-0005-0000-0000-0000EC290000}"/>
    <cellStyle name="20% - Accent5 4 2 2 2 4 2" xfId="22459" xr:uid="{00000000-0005-0000-0000-0000ED290000}"/>
    <cellStyle name="20% - Accent5 4 2 2 2 4 2 2" xfId="20534" xr:uid="{00000000-0005-0000-0000-0000EE290000}"/>
    <cellStyle name="20% - Accent5 4 2 2 2 4 3" xfId="20532" xr:uid="{00000000-0005-0000-0000-0000EF290000}"/>
    <cellStyle name="20% - Accent5 4 2 2 2 5" xfId="22456" xr:uid="{00000000-0005-0000-0000-0000F0290000}"/>
    <cellStyle name="20% - Accent5 4 2 2 2 5 2" xfId="31549" xr:uid="{00000000-0005-0000-0000-0000F1290000}"/>
    <cellStyle name="20% - Accent5 4 2 2 2 6" xfId="23827" xr:uid="{00000000-0005-0000-0000-0000F2290000}"/>
    <cellStyle name="20% - Accent5 4 2 2 3" xfId="32126" xr:uid="{00000000-0005-0000-0000-0000F3290000}"/>
    <cellStyle name="20% - Accent5 4 2 2 3 2" xfId="25553" xr:uid="{00000000-0005-0000-0000-0000F4290000}"/>
    <cellStyle name="20% - Accent5 4 2 2 3 2 2" xfId="22321" xr:uid="{00000000-0005-0000-0000-0000F5290000}"/>
    <cellStyle name="20% - Accent5 4 2 2 3 2 2 2" xfId="23585" xr:uid="{00000000-0005-0000-0000-0000F6290000}"/>
    <cellStyle name="20% - Accent5 4 2 2 3 2 2 2 2" xfId="20531" xr:uid="{00000000-0005-0000-0000-0000F7290000}"/>
    <cellStyle name="20% - Accent5 4 2 2 3 2 2 3" xfId="23575" xr:uid="{00000000-0005-0000-0000-0000F8290000}"/>
    <cellStyle name="20% - Accent5 4 2 2 3 2 3" xfId="22307" xr:uid="{00000000-0005-0000-0000-0000F9290000}"/>
    <cellStyle name="20% - Accent5 4 2 2 3 2 3 2" xfId="20397" xr:uid="{00000000-0005-0000-0000-0000FA290000}"/>
    <cellStyle name="20% - Accent5 4 2 2 3 2 4" xfId="18565" xr:uid="{00000000-0005-0000-0000-0000FB290000}"/>
    <cellStyle name="20% - Accent5 4 2 2 3 3" xfId="25544" xr:uid="{00000000-0005-0000-0000-0000FC290000}"/>
    <cellStyle name="20% - Accent5 4 2 2 3 3 2" xfId="22299" xr:uid="{00000000-0005-0000-0000-0000FD290000}"/>
    <cellStyle name="20% - Accent5 4 2 2 3 3 2 2" xfId="23523" xr:uid="{00000000-0005-0000-0000-0000FE290000}"/>
    <cellStyle name="20% - Accent5 4 2 2 3 3 3" xfId="20530" xr:uid="{00000000-0005-0000-0000-0000FF290000}"/>
    <cellStyle name="20% - Accent5 4 2 2 3 4" xfId="22292" xr:uid="{00000000-0005-0000-0000-0000002A0000}"/>
    <cellStyle name="20% - Accent5 4 2 2 3 4 2" xfId="20520" xr:uid="{00000000-0005-0000-0000-0000012A0000}"/>
    <cellStyle name="20% - Accent5 4 2 2 3 5" xfId="20637" xr:uid="{00000000-0005-0000-0000-0000022A0000}"/>
    <cellStyle name="20% - Accent5 4 2 2 4" xfId="33183" xr:uid="{00000000-0005-0000-0000-0000032A0000}"/>
    <cellStyle name="20% - Accent5 4 2 2 4 2" xfId="25527" xr:uid="{00000000-0005-0000-0000-0000042A0000}"/>
    <cellStyle name="20% - Accent5 4 2 2 4 2 2" xfId="22244" xr:uid="{00000000-0005-0000-0000-0000052A0000}"/>
    <cellStyle name="20% - Accent5 4 2 2 4 2 2 2" xfId="23369" xr:uid="{00000000-0005-0000-0000-0000062A0000}"/>
    <cellStyle name="20% - Accent5 4 2 2 4 2 3" xfId="20512" xr:uid="{00000000-0005-0000-0000-0000072A0000}"/>
    <cellStyle name="20% - Accent5 4 2 2 4 3" xfId="10355" xr:uid="{00000000-0005-0000-0000-0000082A0000}"/>
    <cellStyle name="20% - Accent5 4 2 2 4 3 2" xfId="20506" xr:uid="{00000000-0005-0000-0000-0000092A0000}"/>
    <cellStyle name="20% - Accent5 4 2 2 4 4" xfId="20502" xr:uid="{00000000-0005-0000-0000-00000A2A0000}"/>
    <cellStyle name="20% - Accent5 4 2 2 5" xfId="22038" xr:uid="{00000000-0005-0000-0000-00000B2A0000}"/>
    <cellStyle name="20% - Accent5 4 2 2 5 2" xfId="10351" xr:uid="{00000000-0005-0000-0000-00000C2A0000}"/>
    <cellStyle name="20% - Accent5 4 2 2 5 2 2" xfId="20501" xr:uid="{00000000-0005-0000-0000-00000D2A0000}"/>
    <cellStyle name="20% - Accent5 4 2 2 5 3" xfId="20498" xr:uid="{00000000-0005-0000-0000-00000E2A0000}"/>
    <cellStyle name="20% - Accent5 4 2 2 6" xfId="20489" xr:uid="{00000000-0005-0000-0000-00000F2A0000}"/>
    <cellStyle name="20% - Accent5 4 2 2 6 2" xfId="20485" xr:uid="{00000000-0005-0000-0000-0000102A0000}"/>
    <cellStyle name="20% - Accent5 4 2 2 7" xfId="20481" xr:uid="{00000000-0005-0000-0000-0000112A0000}"/>
    <cellStyle name="20% - Accent5 4 2 3" xfId="20478" xr:uid="{00000000-0005-0000-0000-0000122A0000}"/>
    <cellStyle name="20% - Accent5 4 2 3 2" xfId="24868" xr:uid="{00000000-0005-0000-0000-0000132A0000}"/>
    <cellStyle name="20% - Accent5 4 2 3 2 2" xfId="22707" xr:uid="{00000000-0005-0000-0000-0000142A0000}"/>
    <cellStyle name="20% - Accent5 4 2 3 2 2 2" xfId="34074" xr:uid="{00000000-0005-0000-0000-0000152A0000}"/>
    <cellStyle name="20% - Accent5 4 2 3 2 2 2 2" xfId="20255" xr:uid="{00000000-0005-0000-0000-0000162A0000}"/>
    <cellStyle name="20% - Accent5 4 2 3 2 2 2 2 2" xfId="34016" xr:uid="{00000000-0005-0000-0000-0000172A0000}"/>
    <cellStyle name="20% - Accent5 4 2 3 2 2 2 3" xfId="29935" xr:uid="{00000000-0005-0000-0000-0000182A0000}"/>
    <cellStyle name="20% - Accent5 4 2 3 2 2 3" xfId="34122" xr:uid="{00000000-0005-0000-0000-0000192A0000}"/>
    <cellStyle name="20% - Accent5 4 2 3 2 2 3 2" xfId="18134" xr:uid="{00000000-0005-0000-0000-00001A2A0000}"/>
    <cellStyle name="20% - Accent5 4 2 3 2 2 4" xfId="18545" xr:uid="{00000000-0005-0000-0000-00001B2A0000}"/>
    <cellStyle name="20% - Accent5 4 2 3 2 3" xfId="22725" xr:uid="{00000000-0005-0000-0000-00001C2A0000}"/>
    <cellStyle name="20% - Accent5 4 2 3 2 3 2" xfId="34067" xr:uid="{00000000-0005-0000-0000-00001D2A0000}"/>
    <cellStyle name="20% - Accent5 4 2 3 2 3 2 2" xfId="32086" xr:uid="{00000000-0005-0000-0000-00001E2A0000}"/>
    <cellStyle name="20% - Accent5 4 2 3 2 3 3" xfId="34228" xr:uid="{00000000-0005-0000-0000-00001F2A0000}"/>
    <cellStyle name="20% - Accent5 4 2 3 2 4" xfId="31564" xr:uid="{00000000-0005-0000-0000-0000202A0000}"/>
    <cellStyle name="20% - Accent5 4 2 3 2 4 2" xfId="34056" xr:uid="{00000000-0005-0000-0000-0000212A0000}"/>
    <cellStyle name="20% - Accent5 4 2 3 2 5" xfId="28964" xr:uid="{00000000-0005-0000-0000-0000222A0000}"/>
    <cellStyle name="20% - Accent5 4 2 3 3" xfId="24861" xr:uid="{00000000-0005-0000-0000-0000232A0000}"/>
    <cellStyle name="20% - Accent5 4 2 3 3 2" xfId="32097" xr:uid="{00000000-0005-0000-0000-0000242A0000}"/>
    <cellStyle name="20% - Accent5 4 2 3 3 2 2" xfId="28345" xr:uid="{00000000-0005-0000-0000-0000252A0000}"/>
    <cellStyle name="20% - Accent5 4 2 3 3 2 2 2" xfId="20376" xr:uid="{00000000-0005-0000-0000-0000262A0000}"/>
    <cellStyle name="20% - Accent5 4 2 3 3 2 3" xfId="28328" xr:uid="{00000000-0005-0000-0000-0000272A0000}"/>
    <cellStyle name="20% - Accent5 4 2 3 3 3" xfId="29114" xr:uid="{00000000-0005-0000-0000-0000282A0000}"/>
    <cellStyle name="20% - Accent5 4 2 3 3 3 2" xfId="25844" xr:uid="{00000000-0005-0000-0000-0000292A0000}"/>
    <cellStyle name="20% - Accent5 4 2 3 3 4" xfId="33722" xr:uid="{00000000-0005-0000-0000-00002A2A0000}"/>
    <cellStyle name="20% - Accent5 4 2 3 4" xfId="32090" xr:uid="{00000000-0005-0000-0000-00002B2A0000}"/>
    <cellStyle name="20% - Accent5 4 2 3 4 2" xfId="10341" xr:uid="{00000000-0005-0000-0000-00002C2A0000}"/>
    <cellStyle name="20% - Accent5 4 2 3 4 2 2" xfId="28303" xr:uid="{00000000-0005-0000-0000-00002D2A0000}"/>
    <cellStyle name="20% - Accent5 4 2 3 4 3" xfId="31276" xr:uid="{00000000-0005-0000-0000-00002E2A0000}"/>
    <cellStyle name="20% - Accent5 4 2 3 5" xfId="27268" xr:uid="{00000000-0005-0000-0000-00002F2A0000}"/>
    <cellStyle name="20% - Accent5 4 2 3 5 2" xfId="28818" xr:uid="{00000000-0005-0000-0000-0000302A0000}"/>
    <cellStyle name="20% - Accent5 4 2 3 6" xfId="25928" xr:uid="{00000000-0005-0000-0000-0000312A0000}"/>
    <cellStyle name="20% - Accent5 4 2 4" xfId="20476" xr:uid="{00000000-0005-0000-0000-0000322A0000}"/>
    <cellStyle name="20% - Accent5 4 2 4 2" xfId="25412" xr:uid="{00000000-0005-0000-0000-0000332A0000}"/>
    <cellStyle name="20% - Accent5 4 2 4 2 2" xfId="15615" xr:uid="{00000000-0005-0000-0000-0000342A0000}"/>
    <cellStyle name="20% - Accent5 4 2 4 2 2 2" xfId="15613" xr:uid="{00000000-0005-0000-0000-0000352A0000}"/>
    <cellStyle name="20% - Accent5 4 2 4 2 2 2 2" xfId="33742" xr:uid="{00000000-0005-0000-0000-0000362A0000}"/>
    <cellStyle name="20% - Accent5 4 2 4 2 2 3" xfId="25631" xr:uid="{00000000-0005-0000-0000-0000372A0000}"/>
    <cellStyle name="20% - Accent5 4 2 4 2 3" xfId="27088" xr:uid="{00000000-0005-0000-0000-0000382A0000}"/>
    <cellStyle name="20% - Accent5 4 2 4 2 3 2" xfId="15609" xr:uid="{00000000-0005-0000-0000-0000392A0000}"/>
    <cellStyle name="20% - Accent5 4 2 4 2 4" xfId="19973" xr:uid="{00000000-0005-0000-0000-00003A2A0000}"/>
    <cellStyle name="20% - Accent5 4 2 4 3" xfId="24836" xr:uid="{00000000-0005-0000-0000-00003B2A0000}"/>
    <cellStyle name="20% - Accent5 4 2 4 3 2" xfId="15596" xr:uid="{00000000-0005-0000-0000-00003C2A0000}"/>
    <cellStyle name="20% - Accent5 4 2 4 3 2 2" xfId="15593" xr:uid="{00000000-0005-0000-0000-00003D2A0000}"/>
    <cellStyle name="20% - Accent5 4 2 4 3 3" xfId="27085" xr:uid="{00000000-0005-0000-0000-00003E2A0000}"/>
    <cellStyle name="20% - Accent5 4 2 4 4" xfId="23529" xr:uid="{00000000-0005-0000-0000-00003F2A0000}"/>
    <cellStyle name="20% - Accent5 4 2 4 4 2" xfId="28515" xr:uid="{00000000-0005-0000-0000-0000402A0000}"/>
    <cellStyle name="20% - Accent5 4 2 4 5" xfId="31111" xr:uid="{00000000-0005-0000-0000-0000412A0000}"/>
    <cellStyle name="20% - Accent5 4 2 5" xfId="22433" xr:uid="{00000000-0005-0000-0000-0000422A0000}"/>
    <cellStyle name="20% - Accent5 4 2 5 2" xfId="24107" xr:uid="{00000000-0005-0000-0000-0000432A0000}"/>
    <cellStyle name="20% - Accent5 4 2 5 2 2" xfId="13704" xr:uid="{00000000-0005-0000-0000-0000442A0000}"/>
    <cellStyle name="20% - Accent5 4 2 5 2 2 2" xfId="13700" xr:uid="{00000000-0005-0000-0000-0000452A0000}"/>
    <cellStyle name="20% - Accent5 4 2 5 2 3" xfId="25471" xr:uid="{00000000-0005-0000-0000-0000462A0000}"/>
    <cellStyle name="20% - Accent5 4 2 5 3" xfId="27236" xr:uid="{00000000-0005-0000-0000-0000472A0000}"/>
    <cellStyle name="20% - Accent5 4 2 5 3 2" xfId="13689" xr:uid="{00000000-0005-0000-0000-0000482A0000}"/>
    <cellStyle name="20% - Accent5 4 2 5 4" xfId="31099" xr:uid="{00000000-0005-0000-0000-0000492A0000}"/>
    <cellStyle name="20% - Accent5 4 2 6" xfId="21362" xr:uid="{00000000-0005-0000-0000-00004A2A0000}"/>
    <cellStyle name="20% - Accent5 4 2 6 2" xfId="27233" xr:uid="{00000000-0005-0000-0000-00004B2A0000}"/>
    <cellStyle name="20% - Accent5 4 2 6 2 2" xfId="24743" xr:uid="{00000000-0005-0000-0000-00004C2A0000}"/>
    <cellStyle name="20% - Accent5 4 2 6 3" xfId="8526" xr:uid="{00000000-0005-0000-0000-00004D2A0000}"/>
    <cellStyle name="20% - Accent5 4 2 7" xfId="19849" xr:uid="{00000000-0005-0000-0000-00004E2A0000}"/>
    <cellStyle name="20% - Accent5 4 2 7 2" xfId="8986" xr:uid="{00000000-0005-0000-0000-00004F2A0000}"/>
    <cellStyle name="20% - Accent5 4 2 8" xfId="19834" xr:uid="{00000000-0005-0000-0000-0000502A0000}"/>
    <cellStyle name="20% - Accent5 4 2 9" xfId="34571" xr:uid="{00000000-0005-0000-0000-0000512A0000}"/>
    <cellStyle name="20% - Accent5 4 3" xfId="20462" xr:uid="{00000000-0005-0000-0000-0000522A0000}"/>
    <cellStyle name="20% - Accent5 4 3 2" xfId="20454" xr:uid="{00000000-0005-0000-0000-0000532A0000}"/>
    <cellStyle name="20% - Accent5 4 3 2 2" xfId="20453" xr:uid="{00000000-0005-0000-0000-0000542A0000}"/>
    <cellStyle name="20% - Accent5 4 3 2 2 2" xfId="33249" xr:uid="{00000000-0005-0000-0000-0000552A0000}"/>
    <cellStyle name="20% - Accent5 4 3 2 2 2 2" xfId="32273" xr:uid="{00000000-0005-0000-0000-0000562A0000}"/>
    <cellStyle name="20% - Accent5 4 3 2 2 2 2 2" xfId="31432" xr:uid="{00000000-0005-0000-0000-0000572A0000}"/>
    <cellStyle name="20% - Accent5 4 3 2 2 2 2 2 2" xfId="8484" xr:uid="{00000000-0005-0000-0000-0000582A0000}"/>
    <cellStyle name="20% - Accent5 4 3 2 2 2 2 3" xfId="31417" xr:uid="{00000000-0005-0000-0000-0000592A0000}"/>
    <cellStyle name="20% - Accent5 4 3 2 2 2 3" xfId="33667" xr:uid="{00000000-0005-0000-0000-00005A2A0000}"/>
    <cellStyle name="20% - Accent5 4 3 2 2 2 3 2" xfId="26663" xr:uid="{00000000-0005-0000-0000-00005B2A0000}"/>
    <cellStyle name="20% - Accent5 4 3 2 2 2 4" xfId="18124" xr:uid="{00000000-0005-0000-0000-00005C2A0000}"/>
    <cellStyle name="20% - Accent5 4 3 2 2 3" xfId="33240" xr:uid="{00000000-0005-0000-0000-00005D2A0000}"/>
    <cellStyle name="20% - Accent5 4 3 2 2 3 2" xfId="34071" xr:uid="{00000000-0005-0000-0000-00005E2A0000}"/>
    <cellStyle name="20% - Accent5 4 3 2 2 3 2 2" xfId="20465" xr:uid="{00000000-0005-0000-0000-00005F2A0000}"/>
    <cellStyle name="20% - Accent5 4 3 2 2 3 3" xfId="20452" xr:uid="{00000000-0005-0000-0000-0000602A0000}"/>
    <cellStyle name="20% - Accent5 4 3 2 2 4" xfId="32430" xr:uid="{00000000-0005-0000-0000-0000612A0000}"/>
    <cellStyle name="20% - Accent5 4 3 2 2 4 2" xfId="20451" xr:uid="{00000000-0005-0000-0000-0000622A0000}"/>
    <cellStyle name="20% - Accent5 4 3 2 2 5" xfId="26109" xr:uid="{00000000-0005-0000-0000-0000632A0000}"/>
    <cellStyle name="20% - Accent5 4 3 2 3" xfId="31101" xr:uid="{00000000-0005-0000-0000-0000642A0000}"/>
    <cellStyle name="20% - Accent5 4 3 2 3 2" xfId="15862" xr:uid="{00000000-0005-0000-0000-0000652A0000}"/>
    <cellStyle name="20% - Accent5 4 3 2 3 2 2" xfId="28257" xr:uid="{00000000-0005-0000-0000-0000662A0000}"/>
    <cellStyle name="20% - Accent5 4 3 2 3 2 2 2" xfId="31223" xr:uid="{00000000-0005-0000-0000-0000672A0000}"/>
    <cellStyle name="20% - Accent5 4 3 2 3 2 3" xfId="20449" xr:uid="{00000000-0005-0000-0000-0000682A0000}"/>
    <cellStyle name="20% - Accent5 4 3 2 3 3" xfId="32130" xr:uid="{00000000-0005-0000-0000-0000692A0000}"/>
    <cellStyle name="20% - Accent5 4 3 2 3 3 2" xfId="20441" xr:uid="{00000000-0005-0000-0000-00006A2A0000}"/>
    <cellStyle name="20% - Accent5 4 3 2 3 4" xfId="20433" xr:uid="{00000000-0005-0000-0000-00006B2A0000}"/>
    <cellStyle name="20% - Accent5 4 3 2 4" xfId="15860" xr:uid="{00000000-0005-0000-0000-00006C2A0000}"/>
    <cellStyle name="20% - Accent5 4 3 2 4 2" xfId="10302" xr:uid="{00000000-0005-0000-0000-00006D2A0000}"/>
    <cellStyle name="20% - Accent5 4 3 2 4 2 2" xfId="20750" xr:uid="{00000000-0005-0000-0000-00006E2A0000}"/>
    <cellStyle name="20% - Accent5 4 3 2 4 3" xfId="20431" xr:uid="{00000000-0005-0000-0000-00006F2A0000}"/>
    <cellStyle name="20% - Accent5 4 3 2 5" xfId="20429" xr:uid="{00000000-0005-0000-0000-0000702A0000}"/>
    <cellStyle name="20% - Accent5 4 3 2 5 2" xfId="15858" xr:uid="{00000000-0005-0000-0000-0000712A0000}"/>
    <cellStyle name="20% - Accent5 4 3 2 6" xfId="20424" xr:uid="{00000000-0005-0000-0000-0000722A0000}"/>
    <cellStyle name="20% - Accent5 4 3 3" xfId="20419" xr:uid="{00000000-0005-0000-0000-0000732A0000}"/>
    <cellStyle name="20% - Accent5 4 3 3 2" xfId="24801" xr:uid="{00000000-0005-0000-0000-0000742A0000}"/>
    <cellStyle name="20% - Accent5 4 3 3 2 2" xfId="12985" xr:uid="{00000000-0005-0000-0000-0000752A0000}"/>
    <cellStyle name="20% - Accent5 4 3 3 2 2 2" xfId="33587" xr:uid="{00000000-0005-0000-0000-0000762A0000}"/>
    <cellStyle name="20% - Accent5 4 3 3 2 2 2 2" xfId="13381" xr:uid="{00000000-0005-0000-0000-0000772A0000}"/>
    <cellStyle name="20% - Accent5 4 3 3 2 2 3" xfId="5828" xr:uid="{00000000-0005-0000-0000-0000782A0000}"/>
    <cellStyle name="20% - Accent5 4 3 3 2 3" xfId="28984" xr:uid="{00000000-0005-0000-0000-0000792A0000}"/>
    <cellStyle name="20% - Accent5 4 3 3 2 3 2" xfId="34191" xr:uid="{00000000-0005-0000-0000-00007A2A0000}"/>
    <cellStyle name="20% - Accent5 4 3 3 2 4" xfId="33436" xr:uid="{00000000-0005-0000-0000-00007B2A0000}"/>
    <cellStyle name="20% - Accent5 4 3 3 3" xfId="24795" xr:uid="{00000000-0005-0000-0000-00007C2A0000}"/>
    <cellStyle name="20% - Accent5 4 3 3 3 2" xfId="15853" xr:uid="{00000000-0005-0000-0000-00007D2A0000}"/>
    <cellStyle name="20% - Accent5 4 3 3 3 2 2" xfId="23738" xr:uid="{00000000-0005-0000-0000-00007E2A0000}"/>
    <cellStyle name="20% - Accent5 4 3 3 3 3" xfId="33346" xr:uid="{00000000-0005-0000-0000-00007F2A0000}"/>
    <cellStyle name="20% - Accent5 4 3 3 4" xfId="15849" xr:uid="{00000000-0005-0000-0000-0000802A0000}"/>
    <cellStyle name="20% - Accent5 4 3 3 4 2" xfId="15847" xr:uid="{00000000-0005-0000-0000-0000812A0000}"/>
    <cellStyle name="20% - Accent5 4 3 3 5" xfId="25915" xr:uid="{00000000-0005-0000-0000-0000822A0000}"/>
    <cellStyle name="20% - Accent5 4 3 4" xfId="22666" xr:uid="{00000000-0005-0000-0000-0000832A0000}"/>
    <cellStyle name="20% - Accent5 4 3 4 2" xfId="24785" xr:uid="{00000000-0005-0000-0000-0000842A0000}"/>
    <cellStyle name="20% - Accent5 4 3 4 2 2" xfId="22759" xr:uid="{00000000-0005-0000-0000-0000852A0000}"/>
    <cellStyle name="20% - Accent5 4 3 4 2 2 2" xfId="33537" xr:uid="{00000000-0005-0000-0000-0000862A0000}"/>
    <cellStyle name="20% - Accent5 4 3 4 2 3" xfId="33534" xr:uid="{00000000-0005-0000-0000-0000872A0000}"/>
    <cellStyle name="20% - Accent5 4 3 4 3" xfId="15843" xr:uid="{00000000-0005-0000-0000-0000882A0000}"/>
    <cellStyle name="20% - Accent5 4 3 4 3 2" xfId="15841" xr:uid="{00000000-0005-0000-0000-0000892A0000}"/>
    <cellStyle name="20% - Accent5 4 3 4 4" xfId="15839" xr:uid="{00000000-0005-0000-0000-00008A2A0000}"/>
    <cellStyle name="20% - Accent5 4 3 5" xfId="21360" xr:uid="{00000000-0005-0000-0000-00008B2A0000}"/>
    <cellStyle name="20% - Accent5 4 3 5 2" xfId="27184" xr:uid="{00000000-0005-0000-0000-00008C2A0000}"/>
    <cellStyle name="20% - Accent5 4 3 5 2 2" xfId="31846" xr:uid="{00000000-0005-0000-0000-00008D2A0000}"/>
    <cellStyle name="20% - Accent5 4 3 5 3" xfId="26725" xr:uid="{00000000-0005-0000-0000-00008E2A0000}"/>
    <cellStyle name="20% - Accent5 4 3 6" xfId="20418" xr:uid="{00000000-0005-0000-0000-00008F2A0000}"/>
    <cellStyle name="20% - Accent5 4 3 6 2" xfId="33477" xr:uid="{00000000-0005-0000-0000-0000902A0000}"/>
    <cellStyle name="20% - Accent5 4 3 7" xfId="19813" xr:uid="{00000000-0005-0000-0000-0000912A0000}"/>
    <cellStyle name="20% - Accent5 4 3 8" xfId="34792" xr:uid="{00000000-0005-0000-0000-0000922A0000}"/>
    <cellStyle name="20% - Accent5 4 4" xfId="15794" xr:uid="{00000000-0005-0000-0000-0000932A0000}"/>
    <cellStyle name="20% - Accent5 4 4 2" xfId="8894" xr:uid="{00000000-0005-0000-0000-0000942A0000}"/>
    <cellStyle name="20% - Accent5 4 4 2 2" xfId="20410" xr:uid="{00000000-0005-0000-0000-0000952A0000}"/>
    <cellStyle name="20% - Accent5 4 4 2 2 2" xfId="26007" xr:uid="{00000000-0005-0000-0000-0000962A0000}"/>
    <cellStyle name="20% - Accent5 4 4 2 2 2 2" xfId="19663" xr:uid="{00000000-0005-0000-0000-0000972A0000}"/>
    <cellStyle name="20% - Accent5 4 4 2 2 2 2 2" xfId="19257" xr:uid="{00000000-0005-0000-0000-0000982A0000}"/>
    <cellStyle name="20% - Accent5 4 4 2 2 2 3" xfId="19643" xr:uid="{00000000-0005-0000-0000-0000992A0000}"/>
    <cellStyle name="20% - Accent5 4 4 2 2 3" xfId="26002" xr:uid="{00000000-0005-0000-0000-00009A2A0000}"/>
    <cellStyle name="20% - Accent5 4 4 2 2 3 2" xfId="28645" xr:uid="{00000000-0005-0000-0000-00009B2A0000}"/>
    <cellStyle name="20% - Accent5 4 4 2 2 4" xfId="28642" xr:uid="{00000000-0005-0000-0000-00009C2A0000}"/>
    <cellStyle name="20% - Accent5 4 4 2 3" xfId="15823" xr:uid="{00000000-0005-0000-0000-00009D2A0000}"/>
    <cellStyle name="20% - Accent5 4 4 2 3 2" xfId="15819" xr:uid="{00000000-0005-0000-0000-00009E2A0000}"/>
    <cellStyle name="20% - Accent5 4 4 2 3 2 2" xfId="19534" xr:uid="{00000000-0005-0000-0000-00009F2A0000}"/>
    <cellStyle name="20% - Accent5 4 4 2 3 3" xfId="28506" xr:uid="{00000000-0005-0000-0000-0000A02A0000}"/>
    <cellStyle name="20% - Accent5 4 4 2 4" xfId="9914" xr:uid="{00000000-0005-0000-0000-0000A12A0000}"/>
    <cellStyle name="20% - Accent5 4 4 2 4 2" xfId="15816" xr:uid="{00000000-0005-0000-0000-0000A22A0000}"/>
    <cellStyle name="20% - Accent5 4 4 2 5" xfId="20409" xr:uid="{00000000-0005-0000-0000-0000A32A0000}"/>
    <cellStyle name="20% - Accent5 4 4 3" xfId="20405" xr:uid="{00000000-0005-0000-0000-0000A42A0000}"/>
    <cellStyle name="20% - Accent5 4 4 3 2" xfId="24766" xr:uid="{00000000-0005-0000-0000-0000A52A0000}"/>
    <cellStyle name="20% - Accent5 4 4 3 2 2" xfId="25975" xr:uid="{00000000-0005-0000-0000-0000A62A0000}"/>
    <cellStyle name="20% - Accent5 4 4 3 2 2 2" xfId="19292" xr:uid="{00000000-0005-0000-0000-0000A72A0000}"/>
    <cellStyle name="20% - Accent5 4 4 3 2 3" xfId="33032" xr:uid="{00000000-0005-0000-0000-0000A82A0000}"/>
    <cellStyle name="20% - Accent5 4 4 3 3" xfId="15811" xr:uid="{00000000-0005-0000-0000-0000A92A0000}"/>
    <cellStyle name="20% - Accent5 4 4 3 3 2" xfId="15807" xr:uid="{00000000-0005-0000-0000-0000AA2A0000}"/>
    <cellStyle name="20% - Accent5 4 4 3 4" xfId="15805" xr:uid="{00000000-0005-0000-0000-0000AB2A0000}"/>
    <cellStyle name="20% - Accent5 4 4 4" xfId="20403" xr:uid="{00000000-0005-0000-0000-0000AC2A0000}"/>
    <cellStyle name="20% - Accent5 4 4 4 2" xfId="27158" xr:uid="{00000000-0005-0000-0000-0000AD2A0000}"/>
    <cellStyle name="20% - Accent5 4 4 4 2 2" xfId="32690" xr:uid="{00000000-0005-0000-0000-0000AE2A0000}"/>
    <cellStyle name="20% - Accent5 4 4 4 3" xfId="15801" xr:uid="{00000000-0005-0000-0000-0000AF2A0000}"/>
    <cellStyle name="20% - Accent5 4 4 5" xfId="20401" xr:uid="{00000000-0005-0000-0000-0000B02A0000}"/>
    <cellStyle name="20% - Accent5 4 4 5 2" xfId="31466" xr:uid="{00000000-0005-0000-0000-0000B12A0000}"/>
    <cellStyle name="20% - Accent5 4 4 6" xfId="6461" xr:uid="{00000000-0005-0000-0000-0000B22A0000}"/>
    <cellStyle name="20% - Accent5 4 4 7" xfId="34992" xr:uid="{00000000-0005-0000-0000-0000B32A0000}"/>
    <cellStyle name="20% - Accent5 4 5" xfId="22693" xr:uid="{00000000-0005-0000-0000-0000B42A0000}"/>
    <cellStyle name="20% - Accent5 4 5 2" xfId="34104" xr:uid="{00000000-0005-0000-0000-0000B52A0000}"/>
    <cellStyle name="20% - Accent5 4 5 2 2" xfId="20398" xr:uid="{00000000-0005-0000-0000-0000B62A0000}"/>
    <cellStyle name="20% - Accent5 4 5 2 2 2" xfId="19138" xr:uid="{00000000-0005-0000-0000-0000B72A0000}"/>
    <cellStyle name="20% - Accent5 4 5 2 2 2 2" xfId="18589" xr:uid="{00000000-0005-0000-0000-0000B82A0000}"/>
    <cellStyle name="20% - Accent5 4 5 2 2 3" xfId="25936" xr:uid="{00000000-0005-0000-0000-0000B92A0000}"/>
    <cellStyle name="20% - Accent5 4 5 2 3" xfId="15784" xr:uid="{00000000-0005-0000-0000-0000BA2A0000}"/>
    <cellStyle name="20% - Accent5 4 5 2 3 2" xfId="15781" xr:uid="{00000000-0005-0000-0000-0000BB2A0000}"/>
    <cellStyle name="20% - Accent5 4 5 2 4" xfId="15779" xr:uid="{00000000-0005-0000-0000-0000BC2A0000}"/>
    <cellStyle name="20% - Accent5 4 5 3" xfId="30556" xr:uid="{00000000-0005-0000-0000-0000BD2A0000}"/>
    <cellStyle name="20% - Accent5 4 5 3 2" xfId="24228" xr:uid="{00000000-0005-0000-0000-0000BE2A0000}"/>
    <cellStyle name="20% - Accent5 4 5 3 2 2" xfId="24338" xr:uid="{00000000-0005-0000-0000-0000BF2A0000}"/>
    <cellStyle name="20% - Accent5 4 5 3 3" xfId="31014" xr:uid="{00000000-0005-0000-0000-0000C02A0000}"/>
    <cellStyle name="20% - Accent5 4 5 4" xfId="33625" xr:uid="{00000000-0005-0000-0000-0000C12A0000}"/>
    <cellStyle name="20% - Accent5 4 5 4 2" xfId="30852" xr:uid="{00000000-0005-0000-0000-0000C22A0000}"/>
    <cellStyle name="20% - Accent5 4 5 5" xfId="33763" xr:uid="{00000000-0005-0000-0000-0000C32A0000}"/>
    <cellStyle name="20% - Accent5 4 5 6" xfId="35197" xr:uid="{00000000-0005-0000-0000-0000C42A0000}"/>
    <cellStyle name="20% - Accent5 4 6" xfId="34151" xr:uid="{00000000-0005-0000-0000-0000C52A0000}"/>
    <cellStyle name="20% - Accent5 4 6 2" xfId="21530" xr:uid="{00000000-0005-0000-0000-0000C62A0000}"/>
    <cellStyle name="20% - Accent5 4 6 2 2" xfId="20394" xr:uid="{00000000-0005-0000-0000-0000C72A0000}"/>
    <cellStyle name="20% - Accent5 4 6 2 2 2" xfId="32502" xr:uid="{00000000-0005-0000-0000-0000C82A0000}"/>
    <cellStyle name="20% - Accent5 4 6 2 3" xfId="15761" xr:uid="{00000000-0005-0000-0000-0000C92A0000}"/>
    <cellStyle name="20% - Accent5 4 6 3" xfId="29620" xr:uid="{00000000-0005-0000-0000-0000CA2A0000}"/>
    <cellStyle name="20% - Accent5 4 6 3 2" xfId="32910" xr:uid="{00000000-0005-0000-0000-0000CB2A0000}"/>
    <cellStyle name="20% - Accent5 4 6 4" xfId="34006" xr:uid="{00000000-0005-0000-0000-0000CC2A0000}"/>
    <cellStyle name="20% - Accent5 4 6 5" xfId="35426" xr:uid="{00000000-0005-0000-0000-0000CD2A0000}"/>
    <cellStyle name="20% - Accent5 4 7" xfId="31911" xr:uid="{00000000-0005-0000-0000-0000CE2A0000}"/>
    <cellStyle name="20% - Accent5 4 7 2" xfId="32360" xr:uid="{00000000-0005-0000-0000-0000CF2A0000}"/>
    <cellStyle name="20% - Accent5 4 7 2 2" xfId="20391" xr:uid="{00000000-0005-0000-0000-0000D02A0000}"/>
    <cellStyle name="20% - Accent5 4 7 3" xfId="32350" xr:uid="{00000000-0005-0000-0000-0000D12A0000}"/>
    <cellStyle name="20% - Accent5 4 7 4" xfId="36298" xr:uid="{00000000-0005-0000-0000-0000D22A0000}"/>
    <cellStyle name="20% - Accent5 4 8" xfId="31902" xr:uid="{00000000-0005-0000-0000-0000D32A0000}"/>
    <cellStyle name="20% - Accent5 4 8 2" xfId="31358" xr:uid="{00000000-0005-0000-0000-0000D42A0000}"/>
    <cellStyle name="20% - Accent5 4 8 3" xfId="36584" xr:uid="{00000000-0005-0000-0000-0000D52A0000}"/>
    <cellStyle name="20% - Accent5 4 9" xfId="24124" xr:uid="{00000000-0005-0000-0000-0000D62A0000}"/>
    <cellStyle name="20% - Accent5 4 9 2" xfId="37469" xr:uid="{00000000-0005-0000-0000-0000D72A0000}"/>
    <cellStyle name="20% - Accent5 40" xfId="36104" xr:uid="{00000000-0005-0000-0000-0000D82A0000}"/>
    <cellStyle name="20% - Accent5 40 2" xfId="37273" xr:uid="{00000000-0005-0000-0000-0000D92A0000}"/>
    <cellStyle name="20% - Accent5 40 3" xfId="38171" xr:uid="{00000000-0005-0000-0000-0000DA2A0000}"/>
    <cellStyle name="20% - Accent5 41" xfId="36124" xr:uid="{00000000-0005-0000-0000-0000DB2A0000}"/>
    <cellStyle name="20% - Accent5 41 2" xfId="37293" xr:uid="{00000000-0005-0000-0000-0000DC2A0000}"/>
    <cellStyle name="20% - Accent5 41 3" xfId="38191" xr:uid="{00000000-0005-0000-0000-0000DD2A0000}"/>
    <cellStyle name="20% - Accent5 42" xfId="36144" xr:uid="{00000000-0005-0000-0000-0000DE2A0000}"/>
    <cellStyle name="20% - Accent5 42 2" xfId="37313" xr:uid="{00000000-0005-0000-0000-0000DF2A0000}"/>
    <cellStyle name="20% - Accent5 42 3" xfId="38211" xr:uid="{00000000-0005-0000-0000-0000E02A0000}"/>
    <cellStyle name="20% - Accent5 43" xfId="36164" xr:uid="{00000000-0005-0000-0000-0000E12A0000}"/>
    <cellStyle name="20% - Accent5 43 2" xfId="37333" xr:uid="{00000000-0005-0000-0000-0000E22A0000}"/>
    <cellStyle name="20% - Accent5 43 3" xfId="38231" xr:uid="{00000000-0005-0000-0000-0000E32A0000}"/>
    <cellStyle name="20% - Accent5 44" xfId="36184" xr:uid="{00000000-0005-0000-0000-0000E42A0000}"/>
    <cellStyle name="20% - Accent5 44 2" xfId="37353" xr:uid="{00000000-0005-0000-0000-0000E52A0000}"/>
    <cellStyle name="20% - Accent5 44 3" xfId="38251" xr:uid="{00000000-0005-0000-0000-0000E62A0000}"/>
    <cellStyle name="20% - Accent5 45" xfId="36204" xr:uid="{00000000-0005-0000-0000-0000E72A0000}"/>
    <cellStyle name="20% - Accent5 45 2" xfId="37373" xr:uid="{00000000-0005-0000-0000-0000E82A0000}"/>
    <cellStyle name="20% - Accent5 45 3" xfId="38271" xr:uid="{00000000-0005-0000-0000-0000E92A0000}"/>
    <cellStyle name="20% - Accent5 46" xfId="36224" xr:uid="{00000000-0005-0000-0000-0000EA2A0000}"/>
    <cellStyle name="20% - Accent5 46 2" xfId="37391" xr:uid="{00000000-0005-0000-0000-0000EB2A0000}"/>
    <cellStyle name="20% - Accent5 46 3" xfId="38291" xr:uid="{00000000-0005-0000-0000-0000EC2A0000}"/>
    <cellStyle name="20% - Accent5 47" xfId="36525" xr:uid="{00000000-0005-0000-0000-0000ED2A0000}"/>
    <cellStyle name="20% - Accent5 48" xfId="37410" xr:uid="{00000000-0005-0000-0000-0000EE2A0000}"/>
    <cellStyle name="20% - Accent5 5" xfId="272" xr:uid="{00000000-0005-0000-0000-0000EF2A0000}"/>
    <cellStyle name="20% - Accent5 5 10" xfId="19209" xr:uid="{00000000-0005-0000-0000-0000F02A0000}"/>
    <cellStyle name="20% - Accent5 5 2" xfId="20389" xr:uid="{00000000-0005-0000-0000-0000F12A0000}"/>
    <cellStyle name="20% - Accent5 5 2 2" xfId="24101" xr:uid="{00000000-0005-0000-0000-0000F22A0000}"/>
    <cellStyle name="20% - Accent5 5 2 2 2" xfId="20385" xr:uid="{00000000-0005-0000-0000-0000F32A0000}"/>
    <cellStyle name="20% - Accent5 5 2 2 2 2" xfId="10165" xr:uid="{00000000-0005-0000-0000-0000F42A0000}"/>
    <cellStyle name="20% - Accent5 5 2 2 2 2 2" xfId="20383" xr:uid="{00000000-0005-0000-0000-0000F52A0000}"/>
    <cellStyle name="20% - Accent5 5 2 2 2 2 2 2" xfId="20381" xr:uid="{00000000-0005-0000-0000-0000F62A0000}"/>
    <cellStyle name="20% - Accent5 5 2 2 2 2 2 2 2" xfId="20375" xr:uid="{00000000-0005-0000-0000-0000F72A0000}"/>
    <cellStyle name="20% - Accent5 5 2 2 2 2 2 3" xfId="20373" xr:uid="{00000000-0005-0000-0000-0000F82A0000}"/>
    <cellStyle name="20% - Accent5 5 2 2 2 2 3" xfId="20366" xr:uid="{00000000-0005-0000-0000-0000F92A0000}"/>
    <cellStyle name="20% - Accent5 5 2 2 2 2 3 2" xfId="12797" xr:uid="{00000000-0005-0000-0000-0000FA2A0000}"/>
    <cellStyle name="20% - Accent5 5 2 2 2 2 4" xfId="18336" xr:uid="{00000000-0005-0000-0000-0000FB2A0000}"/>
    <cellStyle name="20% - Accent5 5 2 2 2 3" xfId="23284" xr:uid="{00000000-0005-0000-0000-0000FC2A0000}"/>
    <cellStyle name="20% - Accent5 5 2 2 2 3 2" xfId="20362" xr:uid="{00000000-0005-0000-0000-0000FD2A0000}"/>
    <cellStyle name="20% - Accent5 5 2 2 2 3 2 2" xfId="20361" xr:uid="{00000000-0005-0000-0000-0000FE2A0000}"/>
    <cellStyle name="20% - Accent5 5 2 2 2 3 3" xfId="20357" xr:uid="{00000000-0005-0000-0000-0000FF2A0000}"/>
    <cellStyle name="20% - Accent5 5 2 2 2 4" xfId="6023" xr:uid="{00000000-0005-0000-0000-0000002B0000}"/>
    <cellStyle name="20% - Accent5 5 2 2 2 4 2" xfId="20356" xr:uid="{00000000-0005-0000-0000-0000012B0000}"/>
    <cellStyle name="20% - Accent5 5 2 2 2 5" xfId="20105" xr:uid="{00000000-0005-0000-0000-0000022B0000}"/>
    <cellStyle name="20% - Accent5 5 2 2 3" xfId="34385" xr:uid="{00000000-0005-0000-0000-0000032B0000}"/>
    <cellStyle name="20% - Accent5 5 2 2 3 2" xfId="25235" xr:uid="{00000000-0005-0000-0000-0000042B0000}"/>
    <cellStyle name="20% - Accent5 5 2 2 3 2 2" xfId="17369" xr:uid="{00000000-0005-0000-0000-0000052B0000}"/>
    <cellStyle name="20% - Accent5 5 2 2 3 2 2 2" xfId="20997" xr:uid="{00000000-0005-0000-0000-0000062B0000}"/>
    <cellStyle name="20% - Accent5 5 2 2 3 2 3" xfId="20350" xr:uid="{00000000-0005-0000-0000-0000072B0000}"/>
    <cellStyle name="20% - Accent5 5 2 2 3 3" xfId="20346" xr:uid="{00000000-0005-0000-0000-0000082B0000}"/>
    <cellStyle name="20% - Accent5 5 2 2 3 3 2" xfId="20345" xr:uid="{00000000-0005-0000-0000-0000092B0000}"/>
    <cellStyle name="20% - Accent5 5 2 2 3 4" xfId="20339" xr:uid="{00000000-0005-0000-0000-00000A2B0000}"/>
    <cellStyle name="20% - Accent5 5 2 2 4" xfId="32065" xr:uid="{00000000-0005-0000-0000-00000B2B0000}"/>
    <cellStyle name="20% - Accent5 5 2 2 4 2" xfId="17171" xr:uid="{00000000-0005-0000-0000-00000C2B0000}"/>
    <cellStyle name="20% - Accent5 5 2 2 4 2 2" xfId="28084" xr:uid="{00000000-0005-0000-0000-00000D2B0000}"/>
    <cellStyle name="20% - Accent5 5 2 2 4 3" xfId="20338" xr:uid="{00000000-0005-0000-0000-00000E2B0000}"/>
    <cellStyle name="20% - Accent5 5 2 2 5" xfId="20334" xr:uid="{00000000-0005-0000-0000-00000F2B0000}"/>
    <cellStyle name="20% - Accent5 5 2 2 5 2" xfId="20331" xr:uid="{00000000-0005-0000-0000-0000102B0000}"/>
    <cellStyle name="20% - Accent5 5 2 2 6" xfId="20323" xr:uid="{00000000-0005-0000-0000-0000112B0000}"/>
    <cellStyle name="20% - Accent5 5 2 3" xfId="20320" xr:uid="{00000000-0005-0000-0000-0000122B0000}"/>
    <cellStyle name="20% - Accent5 5 2 3 2" xfId="24623" xr:uid="{00000000-0005-0000-0000-0000132B0000}"/>
    <cellStyle name="20% - Accent5 5 2 3 2 2" xfId="27952" xr:uid="{00000000-0005-0000-0000-0000142B0000}"/>
    <cellStyle name="20% - Accent5 5 2 3 2 2 2" xfId="15442" xr:uid="{00000000-0005-0000-0000-0000152B0000}"/>
    <cellStyle name="20% - Accent5 5 2 3 2 2 2 2" xfId="31187" xr:uid="{00000000-0005-0000-0000-0000162B0000}"/>
    <cellStyle name="20% - Accent5 5 2 3 2 2 3" xfId="32598" xr:uid="{00000000-0005-0000-0000-0000172B0000}"/>
    <cellStyle name="20% - Accent5 5 2 3 2 3" xfId="24982" xr:uid="{00000000-0005-0000-0000-0000182B0000}"/>
    <cellStyle name="20% - Accent5 5 2 3 2 3 2" xfId="32593" xr:uid="{00000000-0005-0000-0000-0000192B0000}"/>
    <cellStyle name="20% - Accent5 5 2 3 2 4" xfId="32588" xr:uid="{00000000-0005-0000-0000-00001A2B0000}"/>
    <cellStyle name="20% - Accent5 5 2 3 3" xfId="32052" xr:uid="{00000000-0005-0000-0000-00001B2B0000}"/>
    <cellStyle name="20% - Accent5 5 2 3 3 2" xfId="25081" xr:uid="{00000000-0005-0000-0000-00001C2B0000}"/>
    <cellStyle name="20% - Accent5 5 2 3 3 2 2" xfId="28046" xr:uid="{00000000-0005-0000-0000-00001D2B0000}"/>
    <cellStyle name="20% - Accent5 5 2 3 3 3" xfId="31808" xr:uid="{00000000-0005-0000-0000-00001E2B0000}"/>
    <cellStyle name="20% - Accent5 5 2 3 4" xfId="31065" xr:uid="{00000000-0005-0000-0000-00001F2B0000}"/>
    <cellStyle name="20% - Accent5 5 2 3 4 2" xfId="28806" xr:uid="{00000000-0005-0000-0000-0000202B0000}"/>
    <cellStyle name="20% - Accent5 5 2 3 5" xfId="25890" xr:uid="{00000000-0005-0000-0000-0000212B0000}"/>
    <cellStyle name="20% - Accent5 5 2 4" xfId="20319" xr:uid="{00000000-0005-0000-0000-0000222B0000}"/>
    <cellStyle name="20% - Accent5 5 2 4 2" xfId="24601" xr:uid="{00000000-0005-0000-0000-0000232B0000}"/>
    <cellStyle name="20% - Accent5 5 2 4 2 2" xfId="30811" xr:uid="{00000000-0005-0000-0000-0000242B0000}"/>
    <cellStyle name="20% - Accent5 5 2 4 2 2 2" xfId="31370" xr:uid="{00000000-0005-0000-0000-0000252B0000}"/>
    <cellStyle name="20% - Accent5 5 2 4 2 3" xfId="29484" xr:uid="{00000000-0005-0000-0000-0000262B0000}"/>
    <cellStyle name="20% - Accent5 5 2 4 3" xfId="33654" xr:uid="{00000000-0005-0000-0000-0000272B0000}"/>
    <cellStyle name="20% - Accent5 5 2 4 3 2" xfId="18833" xr:uid="{00000000-0005-0000-0000-0000282B0000}"/>
    <cellStyle name="20% - Accent5 5 2 4 4" xfId="31051" xr:uid="{00000000-0005-0000-0000-0000292B0000}"/>
    <cellStyle name="20% - Accent5 5 2 5" xfId="16558" xr:uid="{00000000-0005-0000-0000-00002A2B0000}"/>
    <cellStyle name="20% - Accent5 5 2 5 2" xfId="31539" xr:uid="{00000000-0005-0000-0000-00002B2B0000}"/>
    <cellStyle name="20% - Accent5 5 2 5 2 2" xfId="32471" xr:uid="{00000000-0005-0000-0000-00002C2B0000}"/>
    <cellStyle name="20% - Accent5 5 2 5 3" xfId="32466" xr:uid="{00000000-0005-0000-0000-00002D2B0000}"/>
    <cellStyle name="20% - Accent5 5 2 6" xfId="20314" xr:uid="{00000000-0005-0000-0000-00002E2B0000}"/>
    <cellStyle name="20% - Accent5 5 2 6 2" xfId="32446" xr:uid="{00000000-0005-0000-0000-00002F2B0000}"/>
    <cellStyle name="20% - Accent5 5 2 7" xfId="20309" xr:uid="{00000000-0005-0000-0000-0000302B0000}"/>
    <cellStyle name="20% - Accent5 5 2 8" xfId="34809" xr:uid="{00000000-0005-0000-0000-0000312B0000}"/>
    <cellStyle name="20% - Accent5 5 3" xfId="10263" xr:uid="{00000000-0005-0000-0000-0000322B0000}"/>
    <cellStyle name="20% - Accent5 5 3 2" xfId="20302" xr:uid="{00000000-0005-0000-0000-0000332B0000}"/>
    <cellStyle name="20% - Accent5 5 3 2 2" xfId="20299" xr:uid="{00000000-0005-0000-0000-0000342B0000}"/>
    <cellStyle name="20% - Accent5 5 3 2 2 2" xfId="32358" xr:uid="{00000000-0005-0000-0000-0000352B0000}"/>
    <cellStyle name="20% - Accent5 5 3 2 2 2 2" xfId="20294" xr:uid="{00000000-0005-0000-0000-0000362B0000}"/>
    <cellStyle name="20% - Accent5 5 3 2 2 2 2 2" xfId="23698" xr:uid="{00000000-0005-0000-0000-0000372B0000}"/>
    <cellStyle name="20% - Accent5 5 3 2 2 2 3" xfId="20292" xr:uid="{00000000-0005-0000-0000-0000382B0000}"/>
    <cellStyle name="20% - Accent5 5 3 2 2 3" xfId="32354" xr:uid="{00000000-0005-0000-0000-0000392B0000}"/>
    <cellStyle name="20% - Accent5 5 3 2 2 3 2" xfId="20291" xr:uid="{00000000-0005-0000-0000-00003A2B0000}"/>
    <cellStyle name="20% - Accent5 5 3 2 2 4" xfId="24948" xr:uid="{00000000-0005-0000-0000-00003B2B0000}"/>
    <cellStyle name="20% - Accent5 5 3 2 3" xfId="15736" xr:uid="{00000000-0005-0000-0000-00003C2B0000}"/>
    <cellStyle name="20% - Accent5 5 3 2 3 2" xfId="15731" xr:uid="{00000000-0005-0000-0000-00003D2B0000}"/>
    <cellStyle name="20% - Accent5 5 3 2 3 2 2" xfId="18195" xr:uid="{00000000-0005-0000-0000-00003E2B0000}"/>
    <cellStyle name="20% - Accent5 5 3 2 3 3" xfId="15729" xr:uid="{00000000-0005-0000-0000-00003F2B0000}"/>
    <cellStyle name="20% - Accent5 5 3 2 4" xfId="15727" xr:uid="{00000000-0005-0000-0000-0000402B0000}"/>
    <cellStyle name="20% - Accent5 5 3 2 4 2" xfId="15725" xr:uid="{00000000-0005-0000-0000-0000412B0000}"/>
    <cellStyle name="20% - Accent5 5 3 2 5" xfId="20289" xr:uid="{00000000-0005-0000-0000-0000422B0000}"/>
    <cellStyle name="20% - Accent5 5 3 3" xfId="20285" xr:uid="{00000000-0005-0000-0000-0000432B0000}"/>
    <cellStyle name="20% - Accent5 5 3 3 2" xfId="31364" xr:uid="{00000000-0005-0000-0000-0000442B0000}"/>
    <cellStyle name="20% - Accent5 5 3 3 2 2" xfId="20052" xr:uid="{00000000-0005-0000-0000-0000452B0000}"/>
    <cellStyle name="20% - Accent5 5 3 3 2 2 2" xfId="33921" xr:uid="{00000000-0005-0000-0000-0000462B0000}"/>
    <cellStyle name="20% - Accent5 5 3 3 2 3" xfId="24911" xr:uid="{00000000-0005-0000-0000-0000472B0000}"/>
    <cellStyle name="20% - Accent5 5 3 3 3" xfId="15720" xr:uid="{00000000-0005-0000-0000-0000482B0000}"/>
    <cellStyle name="20% - Accent5 5 3 3 3 2" xfId="15718" xr:uid="{00000000-0005-0000-0000-0000492B0000}"/>
    <cellStyle name="20% - Accent5 5 3 3 4" xfId="15716" xr:uid="{00000000-0005-0000-0000-00004A2B0000}"/>
    <cellStyle name="20% - Accent5 5 3 4" xfId="20284" xr:uid="{00000000-0005-0000-0000-00004B2B0000}"/>
    <cellStyle name="20% - Accent5 5 3 4 2" xfId="31338" xr:uid="{00000000-0005-0000-0000-00004C2B0000}"/>
    <cellStyle name="20% - Accent5 5 3 4 2 2" xfId="32319" xr:uid="{00000000-0005-0000-0000-00004D2B0000}"/>
    <cellStyle name="20% - Accent5 5 3 4 3" xfId="15714" xr:uid="{00000000-0005-0000-0000-00004E2B0000}"/>
    <cellStyle name="20% - Accent5 5 3 5" xfId="20278" xr:uid="{00000000-0005-0000-0000-00004F2B0000}"/>
    <cellStyle name="20% - Accent5 5 3 5 2" xfId="33205" xr:uid="{00000000-0005-0000-0000-0000502B0000}"/>
    <cellStyle name="20% - Accent5 5 3 6" xfId="20275" xr:uid="{00000000-0005-0000-0000-0000512B0000}"/>
    <cellStyle name="20% - Accent5 5 3 7" xfId="35011" xr:uid="{00000000-0005-0000-0000-0000522B0000}"/>
    <cellStyle name="20% - Accent5 5 4" xfId="15791" xr:uid="{00000000-0005-0000-0000-0000532B0000}"/>
    <cellStyle name="20% - Accent5 5 4 2" xfId="20270" xr:uid="{00000000-0005-0000-0000-0000542B0000}"/>
    <cellStyle name="20% - Accent5 5 4 2 2" xfId="28833" xr:uid="{00000000-0005-0000-0000-0000552B0000}"/>
    <cellStyle name="20% - Accent5 5 4 2 2 2" xfId="25537" xr:uid="{00000000-0005-0000-0000-0000562B0000}"/>
    <cellStyle name="20% - Accent5 5 4 2 2 2 2" xfId="20269" xr:uid="{00000000-0005-0000-0000-0000572B0000}"/>
    <cellStyle name="20% - Accent5 5 4 2 2 3" xfId="26243" xr:uid="{00000000-0005-0000-0000-0000582B0000}"/>
    <cellStyle name="20% - Accent5 5 4 2 3" xfId="15701" xr:uid="{00000000-0005-0000-0000-0000592B0000}"/>
    <cellStyle name="20% - Accent5 5 4 2 3 2" xfId="15699" xr:uid="{00000000-0005-0000-0000-00005A2B0000}"/>
    <cellStyle name="20% - Accent5 5 4 2 4" xfId="15696" xr:uid="{00000000-0005-0000-0000-00005B2B0000}"/>
    <cellStyle name="20% - Accent5 5 4 3" xfId="20268" xr:uid="{00000000-0005-0000-0000-00005C2B0000}"/>
    <cellStyle name="20% - Accent5 5 4 3 2" xfId="28820" xr:uid="{00000000-0005-0000-0000-00005D2B0000}"/>
    <cellStyle name="20% - Accent5 5 4 3 2 2" xfId="26154" xr:uid="{00000000-0005-0000-0000-00005E2B0000}"/>
    <cellStyle name="20% - Accent5 5 4 3 3" xfId="15693" xr:uid="{00000000-0005-0000-0000-00005F2B0000}"/>
    <cellStyle name="20% - Accent5 5 4 4" xfId="20267" xr:uid="{00000000-0005-0000-0000-0000602B0000}"/>
    <cellStyle name="20% - Accent5 5 4 4 2" xfId="19158" xr:uid="{00000000-0005-0000-0000-0000612B0000}"/>
    <cellStyle name="20% - Accent5 5 4 5" xfId="20264" xr:uid="{00000000-0005-0000-0000-0000622B0000}"/>
    <cellStyle name="20% - Accent5 5 4 6" xfId="35217" xr:uid="{00000000-0005-0000-0000-0000632B0000}"/>
    <cellStyle name="20% - Accent5 5 5" xfId="21278" xr:uid="{00000000-0005-0000-0000-0000642B0000}"/>
    <cellStyle name="20% - Accent5 5 5 2" xfId="34073" xr:uid="{00000000-0005-0000-0000-0000652B0000}"/>
    <cellStyle name="20% - Accent5 5 5 2 2" xfId="18960" xr:uid="{00000000-0005-0000-0000-0000662B0000}"/>
    <cellStyle name="20% - Accent5 5 5 2 2 2" xfId="31633" xr:uid="{00000000-0005-0000-0000-0000672B0000}"/>
    <cellStyle name="20% - Accent5 5 5 2 3" xfId="17876" xr:uid="{00000000-0005-0000-0000-0000682B0000}"/>
    <cellStyle name="20% - Accent5 5 5 3" xfId="34121" xr:uid="{00000000-0005-0000-0000-0000692B0000}"/>
    <cellStyle name="20% - Accent5 5 5 3 2" xfId="20097" xr:uid="{00000000-0005-0000-0000-00006A2B0000}"/>
    <cellStyle name="20% - Accent5 5 5 4" xfId="30758" xr:uid="{00000000-0005-0000-0000-00006B2B0000}"/>
    <cellStyle name="20% - Accent5 5 5 5" xfId="35446" xr:uid="{00000000-0005-0000-0000-00006C2B0000}"/>
    <cellStyle name="20% - Accent5 5 6" xfId="33861" xr:uid="{00000000-0005-0000-0000-00006D2B0000}"/>
    <cellStyle name="20% - Accent5 5 6 2" xfId="34066" xr:uid="{00000000-0005-0000-0000-00006E2B0000}"/>
    <cellStyle name="20% - Accent5 5 6 2 2" xfId="20259" xr:uid="{00000000-0005-0000-0000-00006F2B0000}"/>
    <cellStyle name="20% - Accent5 5 6 3" xfId="34227" xr:uid="{00000000-0005-0000-0000-0000702B0000}"/>
    <cellStyle name="20% - Accent5 5 6 4" xfId="36318" xr:uid="{00000000-0005-0000-0000-0000712B0000}"/>
    <cellStyle name="20% - Accent5 5 7" xfId="31238" xr:uid="{00000000-0005-0000-0000-0000722B0000}"/>
    <cellStyle name="20% - Accent5 5 7 2" xfId="32203" xr:uid="{00000000-0005-0000-0000-0000732B0000}"/>
    <cellStyle name="20% - Accent5 5 7 3" xfId="36604" xr:uid="{00000000-0005-0000-0000-0000742B0000}"/>
    <cellStyle name="20% - Accent5 5 8" xfId="31872" xr:uid="{00000000-0005-0000-0000-0000752B0000}"/>
    <cellStyle name="20% - Accent5 5 8 2" xfId="37489" xr:uid="{00000000-0005-0000-0000-0000762B0000}"/>
    <cellStyle name="20% - Accent5 5 9" xfId="34585" xr:uid="{00000000-0005-0000-0000-0000772B0000}"/>
    <cellStyle name="20% - Accent5 6" xfId="292" xr:uid="{00000000-0005-0000-0000-0000782B0000}"/>
    <cellStyle name="20% - Accent5 6 2" xfId="20253" xr:uid="{00000000-0005-0000-0000-0000792B0000}"/>
    <cellStyle name="20% - Accent5 6 2 2" xfId="26331" xr:uid="{00000000-0005-0000-0000-00007A2B0000}"/>
    <cellStyle name="20% - Accent5 6 2 2 2" xfId="20248" xr:uid="{00000000-0005-0000-0000-00007B2B0000}"/>
    <cellStyle name="20% - Accent5 6 2 2 2 2" xfId="20247" xr:uid="{00000000-0005-0000-0000-00007C2B0000}"/>
    <cellStyle name="20% - Accent5 6 2 2 2 2 2" xfId="20246" xr:uid="{00000000-0005-0000-0000-00007D2B0000}"/>
    <cellStyle name="20% - Accent5 6 2 2 2 2 2 2" xfId="22425" xr:uid="{00000000-0005-0000-0000-00007E2B0000}"/>
    <cellStyle name="20% - Accent5 6 2 2 2 2 3" xfId="30598" xr:uid="{00000000-0005-0000-0000-00007F2B0000}"/>
    <cellStyle name="20% - Accent5 6 2 2 2 3" xfId="24202" xr:uid="{00000000-0005-0000-0000-0000802B0000}"/>
    <cellStyle name="20% - Accent5 6 2 2 2 3 2" xfId="20245" xr:uid="{00000000-0005-0000-0000-0000812B0000}"/>
    <cellStyle name="20% - Accent5 6 2 2 2 4" xfId="20244" xr:uid="{00000000-0005-0000-0000-0000822B0000}"/>
    <cellStyle name="20% - Accent5 6 2 2 3" xfId="33085" xr:uid="{00000000-0005-0000-0000-0000832B0000}"/>
    <cellStyle name="20% - Accent5 6 2 2 3 2" xfId="20243" xr:uid="{00000000-0005-0000-0000-0000842B0000}"/>
    <cellStyle name="20% - Accent5 6 2 2 3 2 2" xfId="20239" xr:uid="{00000000-0005-0000-0000-0000852B0000}"/>
    <cellStyle name="20% - Accent5 6 2 2 3 3" xfId="20236" xr:uid="{00000000-0005-0000-0000-0000862B0000}"/>
    <cellStyle name="20% - Accent5 6 2 2 4" xfId="20233" xr:uid="{00000000-0005-0000-0000-0000872B0000}"/>
    <cellStyle name="20% - Accent5 6 2 2 4 2" xfId="20232" xr:uid="{00000000-0005-0000-0000-0000882B0000}"/>
    <cellStyle name="20% - Accent5 6 2 2 5" xfId="20230" xr:uid="{00000000-0005-0000-0000-0000892B0000}"/>
    <cellStyle name="20% - Accent5 6 2 3" xfId="20226" xr:uid="{00000000-0005-0000-0000-00008A2B0000}"/>
    <cellStyle name="20% - Accent5 6 2 3 2" xfId="24453" xr:uid="{00000000-0005-0000-0000-00008B2B0000}"/>
    <cellStyle name="20% - Accent5 6 2 3 2 2" xfId="18656" xr:uid="{00000000-0005-0000-0000-00008C2B0000}"/>
    <cellStyle name="20% - Accent5 6 2 3 2 2 2" xfId="31958" xr:uid="{00000000-0005-0000-0000-00008D2B0000}"/>
    <cellStyle name="20% - Accent5 6 2 3 2 3" xfId="31954" xr:uid="{00000000-0005-0000-0000-00008E2B0000}"/>
    <cellStyle name="20% - Accent5 6 2 3 3" xfId="28869" xr:uid="{00000000-0005-0000-0000-00008F2B0000}"/>
    <cellStyle name="20% - Accent5 6 2 3 3 2" xfId="31925" xr:uid="{00000000-0005-0000-0000-0000902B0000}"/>
    <cellStyle name="20% - Accent5 6 2 3 4" xfId="31040" xr:uid="{00000000-0005-0000-0000-0000912B0000}"/>
    <cellStyle name="20% - Accent5 6 2 4" xfId="20225" xr:uid="{00000000-0005-0000-0000-0000922B0000}"/>
    <cellStyle name="20% - Accent5 6 2 4 2" xfId="30677" xr:uid="{00000000-0005-0000-0000-0000932B0000}"/>
    <cellStyle name="20% - Accent5 6 2 4 2 2" xfId="29794" xr:uid="{00000000-0005-0000-0000-0000942B0000}"/>
    <cellStyle name="20% - Accent5 6 2 4 3" xfId="31882" xr:uid="{00000000-0005-0000-0000-0000952B0000}"/>
    <cellStyle name="20% - Accent5 6 2 5" xfId="20221" xr:uid="{00000000-0005-0000-0000-0000962B0000}"/>
    <cellStyle name="20% - Accent5 6 2 5 2" xfId="34404" xr:uid="{00000000-0005-0000-0000-0000972B0000}"/>
    <cellStyle name="20% - Accent5 6 2 6" xfId="20218" xr:uid="{00000000-0005-0000-0000-0000982B0000}"/>
    <cellStyle name="20% - Accent5 6 2 7" xfId="34828" xr:uid="{00000000-0005-0000-0000-0000992B0000}"/>
    <cellStyle name="20% - Accent5 6 3" xfId="20214" xr:uid="{00000000-0005-0000-0000-00009A2B0000}"/>
    <cellStyle name="20% - Accent5 6 3 2" xfId="20208" xr:uid="{00000000-0005-0000-0000-00009B2B0000}"/>
    <cellStyle name="20% - Accent5 6 3 2 2" xfId="20207" xr:uid="{00000000-0005-0000-0000-00009C2B0000}"/>
    <cellStyle name="20% - Accent5 6 3 2 2 2" xfId="24670" xr:uid="{00000000-0005-0000-0000-00009D2B0000}"/>
    <cellStyle name="20% - Accent5 6 3 2 2 2 2" xfId="20201" xr:uid="{00000000-0005-0000-0000-00009E2B0000}"/>
    <cellStyle name="20% - Accent5 6 3 2 2 3" xfId="24666" xr:uid="{00000000-0005-0000-0000-00009F2B0000}"/>
    <cellStyle name="20% - Accent5 6 3 2 3" xfId="15660" xr:uid="{00000000-0005-0000-0000-0000A02B0000}"/>
    <cellStyle name="20% - Accent5 6 3 2 3 2" xfId="15658" xr:uid="{00000000-0005-0000-0000-0000A12B0000}"/>
    <cellStyle name="20% - Accent5 6 3 2 4" xfId="15656" xr:uid="{00000000-0005-0000-0000-0000A22B0000}"/>
    <cellStyle name="20% - Accent5 6 3 3" xfId="20978" xr:uid="{00000000-0005-0000-0000-0000A32B0000}"/>
    <cellStyle name="20% - Accent5 6 3 3 2" xfId="30666" xr:uid="{00000000-0005-0000-0000-0000A42B0000}"/>
    <cellStyle name="20% - Accent5 6 3 3 2 2" xfId="31151" xr:uid="{00000000-0005-0000-0000-0000A52B0000}"/>
    <cellStyle name="20% - Accent5 6 3 3 3" xfId="30158" xr:uid="{00000000-0005-0000-0000-0000A62B0000}"/>
    <cellStyle name="20% - Accent5 6 3 4" xfId="20200" xr:uid="{00000000-0005-0000-0000-0000A72B0000}"/>
    <cellStyle name="20% - Accent5 6 3 4 2" xfId="31709" xr:uid="{00000000-0005-0000-0000-0000A82B0000}"/>
    <cellStyle name="20% - Accent5 6 3 5" xfId="20199" xr:uid="{00000000-0005-0000-0000-0000A92B0000}"/>
    <cellStyle name="20% - Accent5 6 3 6" xfId="35030" xr:uid="{00000000-0005-0000-0000-0000AA2B0000}"/>
    <cellStyle name="20% - Accent5 6 4" xfId="21884" xr:uid="{00000000-0005-0000-0000-0000AB2B0000}"/>
    <cellStyle name="20% - Accent5 6 4 2" xfId="20198" xr:uid="{00000000-0005-0000-0000-0000AC2B0000}"/>
    <cellStyle name="20% - Accent5 6 4 2 2" xfId="6438" xr:uid="{00000000-0005-0000-0000-0000AD2B0000}"/>
    <cellStyle name="20% - Accent5 6 4 2 2 2" xfId="24605" xr:uid="{00000000-0005-0000-0000-0000AE2B0000}"/>
    <cellStyle name="20% - Accent5 6 4 2 3" xfId="15648" xr:uid="{00000000-0005-0000-0000-0000AF2B0000}"/>
    <cellStyle name="20% - Accent5 6 4 3" xfId="20192" xr:uid="{00000000-0005-0000-0000-0000B02B0000}"/>
    <cellStyle name="20% - Accent5 6 4 3 2" xfId="32380" xr:uid="{00000000-0005-0000-0000-0000B12B0000}"/>
    <cellStyle name="20% - Accent5 6 4 4" xfId="20190" xr:uid="{00000000-0005-0000-0000-0000B22B0000}"/>
    <cellStyle name="20% - Accent5 6 4 5" xfId="35236" xr:uid="{00000000-0005-0000-0000-0000B32B0000}"/>
    <cellStyle name="20% - Accent5 6 5" xfId="32094" xr:uid="{00000000-0005-0000-0000-0000B42B0000}"/>
    <cellStyle name="20% - Accent5 6 5 2" xfId="34045" xr:uid="{00000000-0005-0000-0000-0000B52B0000}"/>
    <cellStyle name="20% - Accent5 6 5 2 2" xfId="18812" xr:uid="{00000000-0005-0000-0000-0000B62B0000}"/>
    <cellStyle name="20% - Accent5 6 5 3" xfId="28457" xr:uid="{00000000-0005-0000-0000-0000B72B0000}"/>
    <cellStyle name="20% - Accent5 6 5 4" xfId="35465" xr:uid="{00000000-0005-0000-0000-0000B82B0000}"/>
    <cellStyle name="20% - Accent5 6 6" xfId="33743" xr:uid="{00000000-0005-0000-0000-0000B92B0000}"/>
    <cellStyle name="20% - Accent5 6 6 2" xfId="32182" xr:uid="{00000000-0005-0000-0000-0000BA2B0000}"/>
    <cellStyle name="20% - Accent5 6 6 3" xfId="36337" xr:uid="{00000000-0005-0000-0000-0000BB2B0000}"/>
    <cellStyle name="20% - Accent5 6 7" xfId="31847" xr:uid="{00000000-0005-0000-0000-0000BC2B0000}"/>
    <cellStyle name="20% - Accent5 6 7 2" xfId="36623" xr:uid="{00000000-0005-0000-0000-0000BD2B0000}"/>
    <cellStyle name="20% - Accent5 6 8" xfId="34599" xr:uid="{00000000-0005-0000-0000-0000BE2B0000}"/>
    <cellStyle name="20% - Accent5 6 9" xfId="20256" xr:uid="{00000000-0005-0000-0000-0000BF2B0000}"/>
    <cellStyle name="20% - Accent5 7" xfId="312" xr:uid="{00000000-0005-0000-0000-0000C02B0000}"/>
    <cellStyle name="20% - Accent5 7 2" xfId="26312" xr:uid="{00000000-0005-0000-0000-0000C12B0000}"/>
    <cellStyle name="20% - Accent5 7 2 2" xfId="23206" xr:uid="{00000000-0005-0000-0000-0000C22B0000}"/>
    <cellStyle name="20% - Accent5 7 2 2 2" xfId="13904" xr:uid="{00000000-0005-0000-0000-0000C32B0000}"/>
    <cellStyle name="20% - Accent5 7 2 2 2 2" xfId="28821" xr:uid="{00000000-0005-0000-0000-0000C42B0000}"/>
    <cellStyle name="20% - Accent5 7 2 2 2 2 2" xfId="20180" xr:uid="{00000000-0005-0000-0000-0000C52B0000}"/>
    <cellStyle name="20% - Accent5 7 2 2 2 3" xfId="20301" xr:uid="{00000000-0005-0000-0000-0000C62B0000}"/>
    <cellStyle name="20% - Accent5 7 2 2 3" xfId="20177" xr:uid="{00000000-0005-0000-0000-0000C72B0000}"/>
    <cellStyle name="20% - Accent5 7 2 2 3 2" xfId="20174" xr:uid="{00000000-0005-0000-0000-0000C82B0000}"/>
    <cellStyle name="20% - Accent5 7 2 2 4" xfId="20172" xr:uid="{00000000-0005-0000-0000-0000C92B0000}"/>
    <cellStyle name="20% - Accent5 7 2 3" xfId="20169" xr:uid="{00000000-0005-0000-0000-0000CA2B0000}"/>
    <cellStyle name="20% - Accent5 7 2 3 2" xfId="19004" xr:uid="{00000000-0005-0000-0000-0000CB2B0000}"/>
    <cellStyle name="20% - Accent5 7 2 3 2 2" xfId="31689" xr:uid="{00000000-0005-0000-0000-0000CC2B0000}"/>
    <cellStyle name="20% - Accent5 7 2 3 3" xfId="26290" xr:uid="{00000000-0005-0000-0000-0000CD2B0000}"/>
    <cellStyle name="20% - Accent5 7 2 4" xfId="20167" xr:uid="{00000000-0005-0000-0000-0000CE2B0000}"/>
    <cellStyle name="20% - Accent5 7 2 4 2" xfId="13749" xr:uid="{00000000-0005-0000-0000-0000CF2B0000}"/>
    <cellStyle name="20% - Accent5 7 2 5" xfId="20163" xr:uid="{00000000-0005-0000-0000-0000D02B0000}"/>
    <cellStyle name="20% - Accent5 7 2 6" xfId="34847" xr:uid="{00000000-0005-0000-0000-0000D12B0000}"/>
    <cellStyle name="20% - Accent5 7 3" xfId="20159" xr:uid="{00000000-0005-0000-0000-0000D22B0000}"/>
    <cellStyle name="20% - Accent5 7 3 2" xfId="30321" xr:uid="{00000000-0005-0000-0000-0000D32B0000}"/>
    <cellStyle name="20% - Accent5 7 3 2 2" xfId="11944" xr:uid="{00000000-0005-0000-0000-0000D42B0000}"/>
    <cellStyle name="20% - Accent5 7 3 2 2 2" xfId="24475" xr:uid="{00000000-0005-0000-0000-0000D52B0000}"/>
    <cellStyle name="20% - Accent5 7 3 2 3" xfId="15621" xr:uid="{00000000-0005-0000-0000-0000D62B0000}"/>
    <cellStyle name="20% - Accent5 7 3 3" xfId="33840" xr:uid="{00000000-0005-0000-0000-0000D72B0000}"/>
    <cellStyle name="20% - Accent5 7 3 3 2" xfId="11777" xr:uid="{00000000-0005-0000-0000-0000D82B0000}"/>
    <cellStyle name="20% - Accent5 7 3 4" xfId="20156" xr:uid="{00000000-0005-0000-0000-0000D92B0000}"/>
    <cellStyle name="20% - Accent5 7 3 5" xfId="35049" xr:uid="{00000000-0005-0000-0000-0000DA2B0000}"/>
    <cellStyle name="20% - Accent5 7 4" xfId="20154" xr:uid="{00000000-0005-0000-0000-0000DB2B0000}"/>
    <cellStyle name="20% - Accent5 7 4 2" xfId="33642" xr:uid="{00000000-0005-0000-0000-0000DC2B0000}"/>
    <cellStyle name="20% - Accent5 7 4 2 2" xfId="9349" xr:uid="{00000000-0005-0000-0000-0000DD2B0000}"/>
    <cellStyle name="20% - Accent5 7 4 3" xfId="20151" xr:uid="{00000000-0005-0000-0000-0000DE2B0000}"/>
    <cellStyle name="20% - Accent5 7 4 4" xfId="35256" xr:uid="{00000000-0005-0000-0000-0000DF2B0000}"/>
    <cellStyle name="20% - Accent5 7 5" xfId="25937" xr:uid="{00000000-0005-0000-0000-0000E02B0000}"/>
    <cellStyle name="20% - Accent5 7 5 2" xfId="23951" xr:uid="{00000000-0005-0000-0000-0000E12B0000}"/>
    <cellStyle name="20% - Accent5 7 5 3" xfId="35485" xr:uid="{00000000-0005-0000-0000-0000E22B0000}"/>
    <cellStyle name="20% - Accent5 7 6" xfId="33718" xr:uid="{00000000-0005-0000-0000-0000E32B0000}"/>
    <cellStyle name="20% - Accent5 7 6 2" xfId="36357" xr:uid="{00000000-0005-0000-0000-0000E42B0000}"/>
    <cellStyle name="20% - Accent5 7 7" xfId="34613" xr:uid="{00000000-0005-0000-0000-0000E52B0000}"/>
    <cellStyle name="20% - Accent5 7 8" xfId="29937" xr:uid="{00000000-0005-0000-0000-0000E62B0000}"/>
    <cellStyle name="20% - Accent5 7 8 2" xfId="37515" xr:uid="{00000000-0005-0000-0000-0000E72B0000}"/>
    <cellStyle name="20% - Accent5 8" xfId="332" xr:uid="{00000000-0005-0000-0000-0000E82B0000}"/>
    <cellStyle name="20% - Accent5 8 2" xfId="20144" xr:uid="{00000000-0005-0000-0000-0000E92B0000}"/>
    <cellStyle name="20% - Accent5 8 2 2" xfId="20142" xr:uid="{00000000-0005-0000-0000-0000EA2B0000}"/>
    <cellStyle name="20% - Accent5 8 2 2 2" xfId="20140" xr:uid="{00000000-0005-0000-0000-0000EB2B0000}"/>
    <cellStyle name="20% - Accent5 8 2 2 2 2" xfId="20139" xr:uid="{00000000-0005-0000-0000-0000EC2B0000}"/>
    <cellStyle name="20% - Accent5 8 2 2 3" xfId="20136" xr:uid="{00000000-0005-0000-0000-0000ED2B0000}"/>
    <cellStyle name="20% - Accent5 8 2 3" xfId="20134" xr:uid="{00000000-0005-0000-0000-0000EE2B0000}"/>
    <cellStyle name="20% - Accent5 8 2 3 2" xfId="31575" xr:uid="{00000000-0005-0000-0000-0000EF2B0000}"/>
    <cellStyle name="20% - Accent5 8 2 4" xfId="27550" xr:uid="{00000000-0005-0000-0000-0000F02B0000}"/>
    <cellStyle name="20% - Accent5 8 2 5" xfId="34866" xr:uid="{00000000-0005-0000-0000-0000F12B0000}"/>
    <cellStyle name="20% - Accent5 8 3" xfId="18414" xr:uid="{00000000-0005-0000-0000-0000F22B0000}"/>
    <cellStyle name="20% - Accent5 8 3 2" xfId="33898" xr:uid="{00000000-0005-0000-0000-0000F32B0000}"/>
    <cellStyle name="20% - Accent5 8 3 2 2" xfId="20933" xr:uid="{00000000-0005-0000-0000-0000F42B0000}"/>
    <cellStyle name="20% - Accent5 8 3 3" xfId="20132" xr:uid="{00000000-0005-0000-0000-0000F52B0000}"/>
    <cellStyle name="20% - Accent5 8 3 4" xfId="35068" xr:uid="{00000000-0005-0000-0000-0000F62B0000}"/>
    <cellStyle name="20% - Accent5 8 4" xfId="26817" xr:uid="{00000000-0005-0000-0000-0000F72B0000}"/>
    <cellStyle name="20% - Accent5 8 4 2" xfId="20130" xr:uid="{00000000-0005-0000-0000-0000F82B0000}"/>
    <cellStyle name="20% - Accent5 8 4 3" xfId="35275" xr:uid="{00000000-0005-0000-0000-0000F92B0000}"/>
    <cellStyle name="20% - Accent5 8 5" xfId="28813" xr:uid="{00000000-0005-0000-0000-0000FA2B0000}"/>
    <cellStyle name="20% - Accent5 8 5 2" xfId="35504" xr:uid="{00000000-0005-0000-0000-0000FB2B0000}"/>
    <cellStyle name="20% - Accent5 8 6" xfId="34627" xr:uid="{00000000-0005-0000-0000-0000FC2B0000}"/>
    <cellStyle name="20% - Accent5 8 7" xfId="20148" xr:uid="{00000000-0005-0000-0000-0000FD2B0000}"/>
    <cellStyle name="20% - Accent5 8 7 2" xfId="36649" xr:uid="{00000000-0005-0000-0000-0000FE2B0000}"/>
    <cellStyle name="20% - Accent5 8 8" xfId="37534" xr:uid="{00000000-0005-0000-0000-0000FF2B0000}"/>
    <cellStyle name="20% - Accent5 9" xfId="352" xr:uid="{00000000-0005-0000-0000-0000002C0000}"/>
    <cellStyle name="20% - Accent5 9 2" xfId="20123" xr:uid="{00000000-0005-0000-0000-0000012C0000}"/>
    <cellStyle name="20% - Accent5 9 2 2" xfId="20122" xr:uid="{00000000-0005-0000-0000-0000022C0000}"/>
    <cellStyle name="20% - Accent5 9 2 2 2" xfId="20121" xr:uid="{00000000-0005-0000-0000-0000032C0000}"/>
    <cellStyle name="20% - Accent5 9 2 3" xfId="33506" xr:uid="{00000000-0005-0000-0000-0000042C0000}"/>
    <cellStyle name="20% - Accent5 9 2 4" xfId="34886" xr:uid="{00000000-0005-0000-0000-0000052C0000}"/>
    <cellStyle name="20% - Accent5 9 3" xfId="17128" xr:uid="{00000000-0005-0000-0000-0000062C0000}"/>
    <cellStyle name="20% - Accent5 9 3 2" xfId="20119" xr:uid="{00000000-0005-0000-0000-0000072C0000}"/>
    <cellStyle name="20% - Accent5 9 3 3" xfId="35087" xr:uid="{00000000-0005-0000-0000-0000082C0000}"/>
    <cellStyle name="20% - Accent5 9 4" xfId="18661" xr:uid="{00000000-0005-0000-0000-0000092C0000}"/>
    <cellStyle name="20% - Accent5 9 4 2" xfId="35295" xr:uid="{00000000-0005-0000-0000-00000A2C0000}"/>
    <cellStyle name="20% - Accent5 9 5" xfId="34641" xr:uid="{00000000-0005-0000-0000-00000B2C0000}"/>
    <cellStyle name="20% - Accent5 9 6" xfId="20127" xr:uid="{00000000-0005-0000-0000-00000C2C0000}"/>
    <cellStyle name="20% - Accent5 9 6 2" xfId="36383" xr:uid="{00000000-0005-0000-0000-00000D2C0000}"/>
    <cellStyle name="20% - Accent5 9 7" xfId="36669" xr:uid="{00000000-0005-0000-0000-00000E2C0000}"/>
    <cellStyle name="20% - Accent5 9 8" xfId="37554" xr:uid="{00000000-0005-0000-0000-00000F2C0000}"/>
    <cellStyle name="20% - Accent6" xfId="43" builtinId="50" customBuiltin="1"/>
    <cellStyle name="20% - Accent6 10" xfId="193" xr:uid="{00000000-0005-0000-0000-0000112C0000}"/>
    <cellStyle name="20% - Accent6 10 2" xfId="20118" xr:uid="{00000000-0005-0000-0000-0000122C0000}"/>
    <cellStyle name="20% - Accent6 10 2 2" xfId="31072" xr:uid="{00000000-0005-0000-0000-0000132C0000}"/>
    <cellStyle name="20% - Accent6 10 2 3" xfId="34907" xr:uid="{00000000-0005-0000-0000-0000142C0000}"/>
    <cellStyle name="20% - Accent6 10 3" xfId="20114" xr:uid="{00000000-0005-0000-0000-0000152C0000}"/>
    <cellStyle name="20% - Accent6 10 3 2" xfId="35109" xr:uid="{00000000-0005-0000-0000-0000162C0000}"/>
    <cellStyle name="20% - Accent6 10 4" xfId="34530" xr:uid="{00000000-0005-0000-0000-0000172C0000}"/>
    <cellStyle name="20% - Accent6 10 5" xfId="34142" xr:uid="{00000000-0005-0000-0000-0000182C0000}"/>
    <cellStyle name="20% - Accent6 10 5 2" xfId="35532" xr:uid="{00000000-0005-0000-0000-0000192C0000}"/>
    <cellStyle name="20% - Accent6 10 6" xfId="36405" xr:uid="{00000000-0005-0000-0000-00001A2C0000}"/>
    <cellStyle name="20% - Accent6 10 7" xfId="36691" xr:uid="{00000000-0005-0000-0000-00001B2C0000}"/>
    <cellStyle name="20% - Accent6 10 8" xfId="37576" xr:uid="{00000000-0005-0000-0000-00001C2C0000}"/>
    <cellStyle name="20% - Accent6 11" xfId="21732" xr:uid="{00000000-0005-0000-0000-00001D2C0000}"/>
    <cellStyle name="20% - Accent6 11 2" xfId="34376" xr:uid="{00000000-0005-0000-0000-00001E2C0000}"/>
    <cellStyle name="20% - Accent6 11 2 2" xfId="35128" xr:uid="{00000000-0005-0000-0000-00001F2C0000}"/>
    <cellStyle name="20% - Accent6 11 3" xfId="34700" xr:uid="{00000000-0005-0000-0000-0000202C0000}"/>
    <cellStyle name="20% - Accent6 11 4" xfId="35552" xr:uid="{00000000-0005-0000-0000-0000212C0000}"/>
    <cellStyle name="20% - Accent6 11 5" xfId="36425" xr:uid="{00000000-0005-0000-0000-0000222C0000}"/>
    <cellStyle name="20% - Accent6 11 6" xfId="36711" xr:uid="{00000000-0005-0000-0000-0000232C0000}"/>
    <cellStyle name="20% - Accent6 11 7" xfId="37596" xr:uid="{00000000-0005-0000-0000-0000242C0000}"/>
    <cellStyle name="20% - Accent6 12" xfId="18947" xr:uid="{00000000-0005-0000-0000-0000252C0000}"/>
    <cellStyle name="20% - Accent6 12 2" xfId="34718" xr:uid="{00000000-0005-0000-0000-0000262C0000}"/>
    <cellStyle name="20% - Accent6 12 3" xfId="35331" xr:uid="{00000000-0005-0000-0000-0000272C0000}"/>
    <cellStyle name="20% - Accent6 12 4" xfId="35571" xr:uid="{00000000-0005-0000-0000-0000282C0000}"/>
    <cellStyle name="20% - Accent6 12 5" xfId="36444" xr:uid="{00000000-0005-0000-0000-0000292C0000}"/>
    <cellStyle name="20% - Accent6 12 6" xfId="36730" xr:uid="{00000000-0005-0000-0000-00002A2C0000}"/>
    <cellStyle name="20% - Accent6 12 7" xfId="37615" xr:uid="{00000000-0005-0000-0000-00002B2C0000}"/>
    <cellStyle name="20% - Accent6 13" xfId="18942" xr:uid="{00000000-0005-0000-0000-00002C2C0000}"/>
    <cellStyle name="20% - Accent6 13 2" xfId="34746" xr:uid="{00000000-0005-0000-0000-00002D2C0000}"/>
    <cellStyle name="20% - Accent6 13 3" xfId="35590" xr:uid="{00000000-0005-0000-0000-00002E2C0000}"/>
    <cellStyle name="20% - Accent6 13 4" xfId="36465" xr:uid="{00000000-0005-0000-0000-00002F2C0000}"/>
    <cellStyle name="20% - Accent6 13 5" xfId="36751" xr:uid="{00000000-0005-0000-0000-0000302C0000}"/>
    <cellStyle name="20% - Accent6 13 6" xfId="37636" xr:uid="{00000000-0005-0000-0000-0000312C0000}"/>
    <cellStyle name="20% - Accent6 14" xfId="28536" xr:uid="{00000000-0005-0000-0000-0000322C0000}"/>
    <cellStyle name="20% - Accent6 14 2" xfId="34936" xr:uid="{00000000-0005-0000-0000-0000332C0000}"/>
    <cellStyle name="20% - Accent6 14 3" xfId="36759" xr:uid="{00000000-0005-0000-0000-0000342C0000}"/>
    <cellStyle name="20% - Accent6 14 4" xfId="37644" xr:uid="{00000000-0005-0000-0000-0000352C0000}"/>
    <cellStyle name="20% - Accent6 15" xfId="34652" xr:uid="{00000000-0005-0000-0000-0000362C0000}"/>
    <cellStyle name="20% - Accent6 15 2" xfId="36490" xr:uid="{00000000-0005-0000-0000-0000372C0000}"/>
    <cellStyle name="20% - Accent6 15 3" xfId="36788" xr:uid="{00000000-0005-0000-0000-0000382C0000}"/>
    <cellStyle name="20% - Accent6 15 4" xfId="37676" xr:uid="{00000000-0005-0000-0000-0000392C0000}"/>
    <cellStyle name="20% - Accent6 16" xfId="35370" xr:uid="{00000000-0005-0000-0000-00003A2C0000}"/>
    <cellStyle name="20% - Accent6 16 2" xfId="36508" xr:uid="{00000000-0005-0000-0000-00003B2C0000}"/>
    <cellStyle name="20% - Accent6 16 3" xfId="36806" xr:uid="{00000000-0005-0000-0000-00003C2C0000}"/>
    <cellStyle name="20% - Accent6 16 4" xfId="37695" xr:uid="{00000000-0005-0000-0000-00003D2C0000}"/>
    <cellStyle name="20% - Accent6 17" xfId="35657" xr:uid="{00000000-0005-0000-0000-00003E2C0000}"/>
    <cellStyle name="20% - Accent6 17 2" xfId="36825" xr:uid="{00000000-0005-0000-0000-00003F2C0000}"/>
    <cellStyle name="20% - Accent6 17 3" xfId="37715" xr:uid="{00000000-0005-0000-0000-0000402C0000}"/>
    <cellStyle name="20% - Accent6 18" xfId="35675" xr:uid="{00000000-0005-0000-0000-0000412C0000}"/>
    <cellStyle name="20% - Accent6 18 2" xfId="36844" xr:uid="{00000000-0005-0000-0000-0000422C0000}"/>
    <cellStyle name="20% - Accent6 18 3" xfId="37734" xr:uid="{00000000-0005-0000-0000-0000432C0000}"/>
    <cellStyle name="20% - Accent6 19" xfId="35694" xr:uid="{00000000-0005-0000-0000-0000442C0000}"/>
    <cellStyle name="20% - Accent6 19 2" xfId="36863" xr:uid="{00000000-0005-0000-0000-0000452C0000}"/>
    <cellStyle name="20% - Accent6 19 3" xfId="37753" xr:uid="{00000000-0005-0000-0000-0000462C0000}"/>
    <cellStyle name="20% - Accent6 2" xfId="93" xr:uid="{00000000-0005-0000-0000-0000472C0000}"/>
    <cellStyle name="20% - Accent6 2 10" xfId="6618" xr:uid="{00000000-0005-0000-0000-0000482C0000}"/>
    <cellStyle name="20% - Accent6 2 10 2" xfId="6616" xr:uid="{00000000-0005-0000-0000-0000492C0000}"/>
    <cellStyle name="20% - Accent6 2 10 3" xfId="37434" xr:uid="{00000000-0005-0000-0000-00004A2C0000}"/>
    <cellStyle name="20% - Accent6 2 11" xfId="6613" xr:uid="{00000000-0005-0000-0000-00004B2C0000}"/>
    <cellStyle name="20% - Accent6 2 12" xfId="34448" xr:uid="{00000000-0005-0000-0000-00004C2C0000}"/>
    <cellStyle name="20% - Accent6 2 13" xfId="20469" xr:uid="{00000000-0005-0000-0000-00004D2C0000}"/>
    <cellStyle name="20% - Accent6 2 2" xfId="154" xr:uid="{00000000-0005-0000-0000-00004E2C0000}"/>
    <cellStyle name="20% - Accent6 2 2 10" xfId="27646" xr:uid="{00000000-0005-0000-0000-00004F2C0000}"/>
    <cellStyle name="20% - Accent6 2 2 11" xfId="34503" xr:uid="{00000000-0005-0000-0000-0000502C0000}"/>
    <cellStyle name="20% - Accent6 2 2 12" xfId="19666" xr:uid="{00000000-0005-0000-0000-0000512C0000}"/>
    <cellStyle name="20% - Accent6 2 2 2" xfId="20107" xr:uid="{00000000-0005-0000-0000-0000522C0000}"/>
    <cellStyle name="20% - Accent6 2 2 2 2" xfId="20102" xr:uid="{00000000-0005-0000-0000-0000532C0000}"/>
    <cellStyle name="20% - Accent6 2 2 2 2 2" xfId="20099" xr:uid="{00000000-0005-0000-0000-0000542C0000}"/>
    <cellStyle name="20% - Accent6 2 2 2 2 2 2" xfId="27019" xr:uid="{00000000-0005-0000-0000-0000552C0000}"/>
    <cellStyle name="20% - Accent6 2 2 2 2 2 2 2" xfId="25542" xr:uid="{00000000-0005-0000-0000-0000562C0000}"/>
    <cellStyle name="20% - Accent6 2 2 2 2 2 2 2 2" xfId="20096" xr:uid="{00000000-0005-0000-0000-0000572C0000}"/>
    <cellStyle name="20% - Accent6 2 2 2 2 2 2 2 2 2" xfId="9033" xr:uid="{00000000-0005-0000-0000-0000582C0000}"/>
    <cellStyle name="20% - Accent6 2 2 2 2 2 2 2 2 2 2" xfId="12717" xr:uid="{00000000-0005-0000-0000-0000592C0000}"/>
    <cellStyle name="20% - Accent6 2 2 2 2 2 2 2 2 2 2 2" xfId="6180" xr:uid="{00000000-0005-0000-0000-00005A2C0000}"/>
    <cellStyle name="20% - Accent6 2 2 2 2 2 2 2 2 2 3" xfId="20094" xr:uid="{00000000-0005-0000-0000-00005B2C0000}"/>
    <cellStyle name="20% - Accent6 2 2 2 2 2 2 2 2 3" xfId="9910" xr:uid="{00000000-0005-0000-0000-00005C2C0000}"/>
    <cellStyle name="20% - Accent6 2 2 2 2 2 2 2 2 3 2" xfId="20092" xr:uid="{00000000-0005-0000-0000-00005D2C0000}"/>
    <cellStyle name="20% - Accent6 2 2 2 2 2 2 2 2 4" xfId="16737" xr:uid="{00000000-0005-0000-0000-00005E2C0000}"/>
    <cellStyle name="20% - Accent6 2 2 2 2 2 2 2 3" xfId="16909" xr:uid="{00000000-0005-0000-0000-00005F2C0000}"/>
    <cellStyle name="20% - Accent6 2 2 2 2 2 2 2 3 2" xfId="17628" xr:uid="{00000000-0005-0000-0000-0000602C0000}"/>
    <cellStyle name="20% - Accent6 2 2 2 2 2 2 2 3 2 2" xfId="20564" xr:uid="{00000000-0005-0000-0000-0000612C0000}"/>
    <cellStyle name="20% - Accent6 2 2 2 2 2 2 2 3 3" xfId="12334" xr:uid="{00000000-0005-0000-0000-0000622C0000}"/>
    <cellStyle name="20% - Accent6 2 2 2 2 2 2 2 4" xfId="20090" xr:uid="{00000000-0005-0000-0000-0000632C0000}"/>
    <cellStyle name="20% - Accent6 2 2 2 2 2 2 2 4 2" xfId="30486" xr:uid="{00000000-0005-0000-0000-0000642C0000}"/>
    <cellStyle name="20% - Accent6 2 2 2 2 2 2 2 5" xfId="20082" xr:uid="{00000000-0005-0000-0000-0000652C0000}"/>
    <cellStyle name="20% - Accent6 2 2 2 2 2 2 3" xfId="25525" xr:uid="{00000000-0005-0000-0000-0000662C0000}"/>
    <cellStyle name="20% - Accent6 2 2 2 2 2 2 3 2" xfId="20072" xr:uid="{00000000-0005-0000-0000-0000672C0000}"/>
    <cellStyle name="20% - Accent6 2 2 2 2 2 2 3 2 2" xfId="17540" xr:uid="{00000000-0005-0000-0000-0000682C0000}"/>
    <cellStyle name="20% - Accent6 2 2 2 2 2 2 3 2 2 2" xfId="20066" xr:uid="{00000000-0005-0000-0000-0000692C0000}"/>
    <cellStyle name="20% - Accent6 2 2 2 2 2 2 3 2 3" xfId="24232" xr:uid="{00000000-0005-0000-0000-00006A2C0000}"/>
    <cellStyle name="20% - Accent6 2 2 2 2 2 2 3 3" xfId="20063" xr:uid="{00000000-0005-0000-0000-00006B2C0000}"/>
    <cellStyle name="20% - Accent6 2 2 2 2 2 2 3 3 2" xfId="22079" xr:uid="{00000000-0005-0000-0000-00006C2C0000}"/>
    <cellStyle name="20% - Accent6 2 2 2 2 2 2 3 4" xfId="20055" xr:uid="{00000000-0005-0000-0000-00006D2C0000}"/>
    <cellStyle name="20% - Accent6 2 2 2 2 2 2 4" xfId="25522" xr:uid="{00000000-0005-0000-0000-00006E2C0000}"/>
    <cellStyle name="20% - Accent6 2 2 2 2 2 2 4 2" xfId="28082" xr:uid="{00000000-0005-0000-0000-00006F2C0000}"/>
    <cellStyle name="20% - Accent6 2 2 2 2 2 2 4 2 2" xfId="27592" xr:uid="{00000000-0005-0000-0000-0000702C0000}"/>
    <cellStyle name="20% - Accent6 2 2 2 2 2 2 4 3" xfId="28077" xr:uid="{00000000-0005-0000-0000-0000712C0000}"/>
    <cellStyle name="20% - Accent6 2 2 2 2 2 2 5" xfId="20043" xr:uid="{00000000-0005-0000-0000-0000722C0000}"/>
    <cellStyle name="20% - Accent6 2 2 2 2 2 2 5 2" xfId="21276" xr:uid="{00000000-0005-0000-0000-0000732C0000}"/>
    <cellStyle name="20% - Accent6 2 2 2 2 2 2 6" xfId="20042" xr:uid="{00000000-0005-0000-0000-0000742C0000}"/>
    <cellStyle name="20% - Accent6 2 2 2 2 2 3" xfId="20041" xr:uid="{00000000-0005-0000-0000-0000752C0000}"/>
    <cellStyle name="20% - Accent6 2 2 2 2 2 3 2" xfId="25519" xr:uid="{00000000-0005-0000-0000-0000762C0000}"/>
    <cellStyle name="20% - Accent6 2 2 2 2 2 3 2 2" xfId="33550" xr:uid="{00000000-0005-0000-0000-0000772C0000}"/>
    <cellStyle name="20% - Accent6 2 2 2 2 2 3 2 2 2" xfId="17233" xr:uid="{00000000-0005-0000-0000-0000782C0000}"/>
    <cellStyle name="20% - Accent6 2 2 2 2 2 3 2 2 2 2" xfId="20040" xr:uid="{00000000-0005-0000-0000-0000792C0000}"/>
    <cellStyle name="20% - Accent6 2 2 2 2 2 3 2 2 3" xfId="16709" xr:uid="{00000000-0005-0000-0000-00007A2C0000}"/>
    <cellStyle name="20% - Accent6 2 2 2 2 2 3 2 3" xfId="28354" xr:uid="{00000000-0005-0000-0000-00007B2C0000}"/>
    <cellStyle name="20% - Accent6 2 2 2 2 2 3 2 3 2" xfId="22064" xr:uid="{00000000-0005-0000-0000-00007C2C0000}"/>
    <cellStyle name="20% - Accent6 2 2 2 2 2 3 2 4" xfId="26942" xr:uid="{00000000-0005-0000-0000-00007D2C0000}"/>
    <cellStyle name="20% - Accent6 2 2 2 2 2 3 3" xfId="25516" xr:uid="{00000000-0005-0000-0000-00007E2C0000}"/>
    <cellStyle name="20% - Accent6 2 2 2 2 2 3 3 2" xfId="25995" xr:uid="{00000000-0005-0000-0000-00007F2C0000}"/>
    <cellStyle name="20% - Accent6 2 2 2 2 2 3 3 2 2" xfId="22059" xr:uid="{00000000-0005-0000-0000-0000802C0000}"/>
    <cellStyle name="20% - Accent6 2 2 2 2 2 3 3 3" xfId="33329" xr:uid="{00000000-0005-0000-0000-0000812C0000}"/>
    <cellStyle name="20% - Accent6 2 2 2 2 2 3 4" xfId="20035" xr:uid="{00000000-0005-0000-0000-0000822C0000}"/>
    <cellStyle name="20% - Accent6 2 2 2 2 2 3 4 2" xfId="28004" xr:uid="{00000000-0005-0000-0000-0000832C0000}"/>
    <cellStyle name="20% - Accent6 2 2 2 2 2 3 5" xfId="20034" xr:uid="{00000000-0005-0000-0000-0000842C0000}"/>
    <cellStyle name="20% - Accent6 2 2 2 2 2 4" xfId="21240" xr:uid="{00000000-0005-0000-0000-0000852C0000}"/>
    <cellStyle name="20% - Accent6 2 2 2 2 2 4 2" xfId="25508" xr:uid="{00000000-0005-0000-0000-0000862C0000}"/>
    <cellStyle name="20% - Accent6 2 2 2 2 2 4 2 2" xfId="23748" xr:uid="{00000000-0005-0000-0000-0000872C0000}"/>
    <cellStyle name="20% - Accent6 2 2 2 2 2 4 2 2 2" xfId="22049" xr:uid="{00000000-0005-0000-0000-0000882C0000}"/>
    <cellStyle name="20% - Accent6 2 2 2 2 2 4 2 3" xfId="23735" xr:uid="{00000000-0005-0000-0000-0000892C0000}"/>
    <cellStyle name="20% - Accent6 2 2 2 2 2 4 3" xfId="20033" xr:uid="{00000000-0005-0000-0000-00008A2C0000}"/>
    <cellStyle name="20% - Accent6 2 2 2 2 2 4 3 2" xfId="26607" xr:uid="{00000000-0005-0000-0000-00008B2C0000}"/>
    <cellStyle name="20% - Accent6 2 2 2 2 2 4 4" xfId="20031" xr:uid="{00000000-0005-0000-0000-00008C2C0000}"/>
    <cellStyle name="20% - Accent6 2 2 2 2 2 5" xfId="20029" xr:uid="{00000000-0005-0000-0000-00008D2C0000}"/>
    <cellStyle name="20% - Accent6 2 2 2 2 2 5 2" xfId="20028" xr:uid="{00000000-0005-0000-0000-00008E2C0000}"/>
    <cellStyle name="20% - Accent6 2 2 2 2 2 5 2 2" xfId="29714" xr:uid="{00000000-0005-0000-0000-00008F2C0000}"/>
    <cellStyle name="20% - Accent6 2 2 2 2 2 5 3" xfId="20026" xr:uid="{00000000-0005-0000-0000-0000902C0000}"/>
    <cellStyle name="20% - Accent6 2 2 2 2 2 6" xfId="20022" xr:uid="{00000000-0005-0000-0000-0000912C0000}"/>
    <cellStyle name="20% - Accent6 2 2 2 2 2 6 2" xfId="20020" xr:uid="{00000000-0005-0000-0000-0000922C0000}"/>
    <cellStyle name="20% - Accent6 2 2 2 2 2 7" xfId="24616" xr:uid="{00000000-0005-0000-0000-0000932C0000}"/>
    <cellStyle name="20% - Accent6 2 2 2 2 3" xfId="20019" xr:uid="{00000000-0005-0000-0000-0000942C0000}"/>
    <cellStyle name="20% - Accent6 2 2 2 2 3 2" xfId="20018" xr:uid="{00000000-0005-0000-0000-0000952C0000}"/>
    <cellStyle name="20% - Accent6 2 2 2 2 3 2 2" xfId="26747" xr:uid="{00000000-0005-0000-0000-0000962C0000}"/>
    <cellStyle name="20% - Accent6 2 2 2 2 3 2 2 2" xfId="12038" xr:uid="{00000000-0005-0000-0000-0000972C0000}"/>
    <cellStyle name="20% - Accent6 2 2 2 2 3 2 2 2 2" xfId="7764" xr:uid="{00000000-0005-0000-0000-0000982C0000}"/>
    <cellStyle name="20% - Accent6 2 2 2 2 3 2 2 2 2 2" xfId="18107" xr:uid="{00000000-0005-0000-0000-0000992C0000}"/>
    <cellStyle name="20% - Accent6 2 2 2 2 3 2 2 2 3" xfId="23979" xr:uid="{00000000-0005-0000-0000-00009A2C0000}"/>
    <cellStyle name="20% - Accent6 2 2 2 2 3 2 2 3" xfId="12031" xr:uid="{00000000-0005-0000-0000-00009B2C0000}"/>
    <cellStyle name="20% - Accent6 2 2 2 2 3 2 2 3 2" xfId="22007" xr:uid="{00000000-0005-0000-0000-00009C2C0000}"/>
    <cellStyle name="20% - Accent6 2 2 2 2 3 2 2 4" xfId="12020" xr:uid="{00000000-0005-0000-0000-00009D2C0000}"/>
    <cellStyle name="20% - Accent6 2 2 2 2 3 2 3" xfId="26745" xr:uid="{00000000-0005-0000-0000-00009E2C0000}"/>
    <cellStyle name="20% - Accent6 2 2 2 2 3 2 3 2" xfId="20002" xr:uid="{00000000-0005-0000-0000-00009F2C0000}"/>
    <cellStyle name="20% - Accent6 2 2 2 2 3 2 3 2 2" xfId="31526" xr:uid="{00000000-0005-0000-0000-0000A02C0000}"/>
    <cellStyle name="20% - Accent6 2 2 2 2 3 2 3 3" xfId="19995" xr:uid="{00000000-0005-0000-0000-0000A12C0000}"/>
    <cellStyle name="20% - Accent6 2 2 2 2 3 2 4" xfId="19988" xr:uid="{00000000-0005-0000-0000-0000A22C0000}"/>
    <cellStyle name="20% - Accent6 2 2 2 2 3 2 4 2" xfId="27906" xr:uid="{00000000-0005-0000-0000-0000A32C0000}"/>
    <cellStyle name="20% - Accent6 2 2 2 2 3 2 5" xfId="19987" xr:uid="{00000000-0005-0000-0000-0000A42C0000}"/>
    <cellStyle name="20% - Accent6 2 2 2 2 3 3" xfId="30513" xr:uid="{00000000-0005-0000-0000-0000A52C0000}"/>
    <cellStyle name="20% - Accent6 2 2 2 2 3 3 2" xfId="26734" xr:uid="{00000000-0005-0000-0000-0000A62C0000}"/>
    <cellStyle name="20% - Accent6 2 2 2 2 3 3 2 2" xfId="12002" xr:uid="{00000000-0005-0000-0000-0000A72C0000}"/>
    <cellStyle name="20% - Accent6 2 2 2 2 3 3 2 2 2" xfId="21996" xr:uid="{00000000-0005-0000-0000-0000A82C0000}"/>
    <cellStyle name="20% - Accent6 2 2 2 2 3 3 2 3" xfId="11995" xr:uid="{00000000-0005-0000-0000-0000A92C0000}"/>
    <cellStyle name="20% - Accent6 2 2 2 2 3 3 3" xfId="19986" xr:uid="{00000000-0005-0000-0000-0000AA2C0000}"/>
    <cellStyle name="20% - Accent6 2 2 2 2 3 3 3 2" xfId="26539" xr:uid="{00000000-0005-0000-0000-0000AB2C0000}"/>
    <cellStyle name="20% - Accent6 2 2 2 2 3 3 4" xfId="19985" xr:uid="{00000000-0005-0000-0000-0000AC2C0000}"/>
    <cellStyle name="20% - Accent6 2 2 2 2 3 4" xfId="19984" xr:uid="{00000000-0005-0000-0000-0000AD2C0000}"/>
    <cellStyle name="20% - Accent6 2 2 2 2 3 4 2" xfId="19983" xr:uid="{00000000-0005-0000-0000-0000AE2C0000}"/>
    <cellStyle name="20% - Accent6 2 2 2 2 3 4 2 2" xfId="15452" xr:uid="{00000000-0005-0000-0000-0000AF2C0000}"/>
    <cellStyle name="20% - Accent6 2 2 2 2 3 4 3" xfId="19980" xr:uid="{00000000-0005-0000-0000-0000B02C0000}"/>
    <cellStyle name="20% - Accent6 2 2 2 2 3 5" xfId="22141" xr:uid="{00000000-0005-0000-0000-0000B12C0000}"/>
    <cellStyle name="20% - Accent6 2 2 2 2 3 5 2" xfId="19977" xr:uid="{00000000-0005-0000-0000-0000B22C0000}"/>
    <cellStyle name="20% - Accent6 2 2 2 2 3 6" xfId="22139" xr:uid="{00000000-0005-0000-0000-0000B32C0000}"/>
    <cellStyle name="20% - Accent6 2 2 2 2 4" xfId="19976" xr:uid="{00000000-0005-0000-0000-0000B42C0000}"/>
    <cellStyle name="20% - Accent6 2 2 2 2 4 2" xfId="19975" xr:uid="{00000000-0005-0000-0000-0000B52C0000}"/>
    <cellStyle name="20% - Accent6 2 2 2 2 4 2 2" xfId="26710" xr:uid="{00000000-0005-0000-0000-0000B62C0000}"/>
    <cellStyle name="20% - Accent6 2 2 2 2 4 2 2 2" xfId="11967" xr:uid="{00000000-0005-0000-0000-0000B72C0000}"/>
    <cellStyle name="20% - Accent6 2 2 2 2 4 2 2 2 2" xfId="21972" xr:uid="{00000000-0005-0000-0000-0000B82C0000}"/>
    <cellStyle name="20% - Accent6 2 2 2 2 4 2 2 3" xfId="11960" xr:uid="{00000000-0005-0000-0000-0000B92C0000}"/>
    <cellStyle name="20% - Accent6 2 2 2 2 4 2 3" xfId="19966" xr:uid="{00000000-0005-0000-0000-0000BA2C0000}"/>
    <cellStyle name="20% - Accent6 2 2 2 2 4 2 3 2" xfId="19964" xr:uid="{00000000-0005-0000-0000-0000BB2C0000}"/>
    <cellStyle name="20% - Accent6 2 2 2 2 4 2 4" xfId="28639" xr:uid="{00000000-0005-0000-0000-0000BC2C0000}"/>
    <cellStyle name="20% - Accent6 2 2 2 2 4 3" xfId="19957" xr:uid="{00000000-0005-0000-0000-0000BD2C0000}"/>
    <cellStyle name="20% - Accent6 2 2 2 2 4 3 2" xfId="19950" xr:uid="{00000000-0005-0000-0000-0000BE2C0000}"/>
    <cellStyle name="20% - Accent6 2 2 2 2 4 3 2 2" xfId="12245" xr:uid="{00000000-0005-0000-0000-0000BF2C0000}"/>
    <cellStyle name="20% - Accent6 2 2 2 2 4 3 3" xfId="19948" xr:uid="{00000000-0005-0000-0000-0000C02C0000}"/>
    <cellStyle name="20% - Accent6 2 2 2 2 4 4" xfId="22177" xr:uid="{00000000-0005-0000-0000-0000C12C0000}"/>
    <cellStyle name="20% - Accent6 2 2 2 2 4 4 2" xfId="5998" xr:uid="{00000000-0005-0000-0000-0000C22C0000}"/>
    <cellStyle name="20% - Accent6 2 2 2 2 4 5" xfId="22131" xr:uid="{00000000-0005-0000-0000-0000C32C0000}"/>
    <cellStyle name="20% - Accent6 2 2 2 2 5" xfId="22354" xr:uid="{00000000-0005-0000-0000-0000C42C0000}"/>
    <cellStyle name="20% - Accent6 2 2 2 2 5 2" xfId="22350" xr:uid="{00000000-0005-0000-0000-0000C52C0000}"/>
    <cellStyle name="20% - Accent6 2 2 2 2 5 2 2" xfId="19946" xr:uid="{00000000-0005-0000-0000-0000C62C0000}"/>
    <cellStyle name="20% - Accent6 2 2 2 2 5 2 2 2" xfId="11952" xr:uid="{00000000-0005-0000-0000-0000C72C0000}"/>
    <cellStyle name="20% - Accent6 2 2 2 2 5 2 3" xfId="19944" xr:uid="{00000000-0005-0000-0000-0000C82C0000}"/>
    <cellStyle name="20% - Accent6 2 2 2 2 5 3" xfId="22339" xr:uid="{00000000-0005-0000-0000-0000C92C0000}"/>
    <cellStyle name="20% - Accent6 2 2 2 2 5 3 2" xfId="19941" xr:uid="{00000000-0005-0000-0000-0000CA2C0000}"/>
    <cellStyle name="20% - Accent6 2 2 2 2 5 4" xfId="33101" xr:uid="{00000000-0005-0000-0000-0000CB2C0000}"/>
    <cellStyle name="20% - Accent6 2 2 2 2 6" xfId="22331" xr:uid="{00000000-0005-0000-0000-0000CC2C0000}"/>
    <cellStyle name="20% - Accent6 2 2 2 2 6 2" xfId="22327" xr:uid="{00000000-0005-0000-0000-0000CD2C0000}"/>
    <cellStyle name="20% - Accent6 2 2 2 2 6 2 2" xfId="19939" xr:uid="{00000000-0005-0000-0000-0000CE2C0000}"/>
    <cellStyle name="20% - Accent6 2 2 2 2 6 3" xfId="13432" xr:uid="{00000000-0005-0000-0000-0000CF2C0000}"/>
    <cellStyle name="20% - Accent6 2 2 2 2 7" xfId="22324" xr:uid="{00000000-0005-0000-0000-0000D02C0000}"/>
    <cellStyle name="20% - Accent6 2 2 2 2 7 2" xfId="20220" xr:uid="{00000000-0005-0000-0000-0000D12C0000}"/>
    <cellStyle name="20% - Accent6 2 2 2 2 8" xfId="19933" xr:uid="{00000000-0005-0000-0000-0000D22C0000}"/>
    <cellStyle name="20% - Accent6 2 2 2 3" xfId="31960" xr:uid="{00000000-0005-0000-0000-0000D32C0000}"/>
    <cellStyle name="20% - Accent6 2 2 2 3 2" xfId="31711" xr:uid="{00000000-0005-0000-0000-0000D42C0000}"/>
    <cellStyle name="20% - Accent6 2 2 2 3 2 2" xfId="30500" xr:uid="{00000000-0005-0000-0000-0000D52C0000}"/>
    <cellStyle name="20% - Accent6 2 2 2 3 2 2 2" xfId="25230" xr:uid="{00000000-0005-0000-0000-0000D62C0000}"/>
    <cellStyle name="20% - Accent6 2 2 2 3 2 2 2 2" xfId="19931" xr:uid="{00000000-0005-0000-0000-0000D72C0000}"/>
    <cellStyle name="20% - Accent6 2 2 2 3 2 2 2 2 2" xfId="21865" xr:uid="{00000000-0005-0000-0000-0000D82C0000}"/>
    <cellStyle name="20% - Accent6 2 2 2 3 2 2 2 2 2 2" xfId="18686" xr:uid="{00000000-0005-0000-0000-0000D92C0000}"/>
    <cellStyle name="20% - Accent6 2 2 2 3 2 2 2 2 3" xfId="23189" xr:uid="{00000000-0005-0000-0000-0000DA2C0000}"/>
    <cellStyle name="20% - Accent6 2 2 2 3 2 2 2 3" xfId="19929" xr:uid="{00000000-0005-0000-0000-0000DB2C0000}"/>
    <cellStyle name="20% - Accent6 2 2 2 3 2 2 2 3 2" xfId="21856" xr:uid="{00000000-0005-0000-0000-0000DC2C0000}"/>
    <cellStyle name="20% - Accent6 2 2 2 3 2 2 2 4" xfId="19925" xr:uid="{00000000-0005-0000-0000-0000DD2C0000}"/>
    <cellStyle name="20% - Accent6 2 2 2 3 2 2 3" xfId="25227" xr:uid="{00000000-0005-0000-0000-0000DE2C0000}"/>
    <cellStyle name="20% - Accent6 2 2 2 3 2 2 3 2" xfId="5358" xr:uid="{00000000-0005-0000-0000-0000DF2C0000}"/>
    <cellStyle name="20% - Accent6 2 2 2 3 2 2 3 2 2" xfId="21845" xr:uid="{00000000-0005-0000-0000-0000E02C0000}"/>
    <cellStyle name="20% - Accent6 2 2 2 3 2 2 3 3" xfId="19920" xr:uid="{00000000-0005-0000-0000-0000E12C0000}"/>
    <cellStyle name="20% - Accent6 2 2 2 3 2 2 4" xfId="19917" xr:uid="{00000000-0005-0000-0000-0000E22C0000}"/>
    <cellStyle name="20% - Accent6 2 2 2 3 2 2 4 2" xfId="25366" xr:uid="{00000000-0005-0000-0000-0000E32C0000}"/>
    <cellStyle name="20% - Accent6 2 2 2 3 2 2 5" xfId="19908" xr:uid="{00000000-0005-0000-0000-0000E42C0000}"/>
    <cellStyle name="20% - Accent6 2 2 2 3 2 3" xfId="25428" xr:uid="{00000000-0005-0000-0000-0000E52C0000}"/>
    <cellStyle name="20% - Accent6 2 2 2 3 2 3 2" xfId="28600" xr:uid="{00000000-0005-0000-0000-0000E62C0000}"/>
    <cellStyle name="20% - Accent6 2 2 2 3 2 3 2 2" xfId="25766" xr:uid="{00000000-0005-0000-0000-0000E72C0000}"/>
    <cellStyle name="20% - Accent6 2 2 2 3 2 3 2 2 2" xfId="25856" xr:uid="{00000000-0005-0000-0000-0000E82C0000}"/>
    <cellStyle name="20% - Accent6 2 2 2 3 2 3 2 3" xfId="30383" xr:uid="{00000000-0005-0000-0000-0000E92C0000}"/>
    <cellStyle name="20% - Accent6 2 2 2 3 2 3 3" xfId="19903" xr:uid="{00000000-0005-0000-0000-0000EA2C0000}"/>
    <cellStyle name="20% - Accent6 2 2 2 3 2 3 3 2" xfId="23072" xr:uid="{00000000-0005-0000-0000-0000EB2C0000}"/>
    <cellStyle name="20% - Accent6 2 2 2 3 2 3 4" xfId="19899" xr:uid="{00000000-0005-0000-0000-0000EC2C0000}"/>
    <cellStyle name="20% - Accent6 2 2 2 3 2 4" xfId="19892" xr:uid="{00000000-0005-0000-0000-0000ED2C0000}"/>
    <cellStyle name="20% - Accent6 2 2 2 3 2 4 2" xfId="19884" xr:uid="{00000000-0005-0000-0000-0000EE2C0000}"/>
    <cellStyle name="20% - Accent6 2 2 2 3 2 4 2 2" xfId="30343" xr:uid="{00000000-0005-0000-0000-0000EF2C0000}"/>
    <cellStyle name="20% - Accent6 2 2 2 3 2 4 3" xfId="19880" xr:uid="{00000000-0005-0000-0000-0000F02C0000}"/>
    <cellStyle name="20% - Accent6 2 2 2 3 2 5" xfId="19875" xr:uid="{00000000-0005-0000-0000-0000F12C0000}"/>
    <cellStyle name="20% - Accent6 2 2 2 3 2 5 2" xfId="19871" xr:uid="{00000000-0005-0000-0000-0000F22C0000}"/>
    <cellStyle name="20% - Accent6 2 2 2 3 2 6" xfId="19868" xr:uid="{00000000-0005-0000-0000-0000F32C0000}"/>
    <cellStyle name="20% - Accent6 2 2 2 3 3" xfId="31949" xr:uid="{00000000-0005-0000-0000-0000F42C0000}"/>
    <cellStyle name="20% - Accent6 2 2 2 3 3 2" xfId="32767" xr:uid="{00000000-0005-0000-0000-0000F52C0000}"/>
    <cellStyle name="20% - Accent6 2 2 2 3 3 2 2" xfId="26658" xr:uid="{00000000-0005-0000-0000-0000F62C0000}"/>
    <cellStyle name="20% - Accent6 2 2 2 3 3 2 2 2" xfId="11819" xr:uid="{00000000-0005-0000-0000-0000F72C0000}"/>
    <cellStyle name="20% - Accent6 2 2 2 3 3 2 2 2 2" xfId="22454" xr:uid="{00000000-0005-0000-0000-0000F82C0000}"/>
    <cellStyle name="20% - Accent6 2 2 2 3 3 2 2 3" xfId="11816" xr:uid="{00000000-0005-0000-0000-0000F92C0000}"/>
    <cellStyle name="20% - Accent6 2 2 2 3 3 2 3" xfId="19242" xr:uid="{00000000-0005-0000-0000-0000FA2C0000}"/>
    <cellStyle name="20% - Accent6 2 2 2 3 3 2 3 2" xfId="19860" xr:uid="{00000000-0005-0000-0000-0000FB2C0000}"/>
    <cellStyle name="20% - Accent6 2 2 2 3 3 2 4" xfId="15588" xr:uid="{00000000-0005-0000-0000-0000FC2C0000}"/>
    <cellStyle name="20% - Accent6 2 2 2 3 3 3" xfId="19852" xr:uid="{00000000-0005-0000-0000-0000FD2C0000}"/>
    <cellStyle name="20% - Accent6 2 2 2 3 3 3 2" xfId="19848" xr:uid="{00000000-0005-0000-0000-0000FE2C0000}"/>
    <cellStyle name="20% - Accent6 2 2 2 3 3 3 2 2" xfId="11805" xr:uid="{00000000-0005-0000-0000-0000FF2C0000}"/>
    <cellStyle name="20% - Accent6 2 2 2 3 3 3 3" xfId="19847" xr:uid="{00000000-0005-0000-0000-0000002D0000}"/>
    <cellStyle name="20% - Accent6 2 2 2 3 3 4" xfId="19841" xr:uid="{00000000-0005-0000-0000-0000012D0000}"/>
    <cellStyle name="20% - Accent6 2 2 2 3 3 4 2" xfId="19833" xr:uid="{00000000-0005-0000-0000-0000022D0000}"/>
    <cellStyle name="20% - Accent6 2 2 2 3 3 5" xfId="22120" xr:uid="{00000000-0005-0000-0000-0000032D0000}"/>
    <cellStyle name="20% - Accent6 2 2 2 3 4" xfId="31776" xr:uid="{00000000-0005-0000-0000-0000042D0000}"/>
    <cellStyle name="20% - Accent6 2 2 2 3 4 2" xfId="19830" xr:uid="{00000000-0005-0000-0000-0000052D0000}"/>
    <cellStyle name="20% - Accent6 2 2 2 3 4 2 2" xfId="19827" xr:uid="{00000000-0005-0000-0000-0000062D0000}"/>
    <cellStyle name="20% - Accent6 2 2 2 3 4 2 2 2" xfId="29136" xr:uid="{00000000-0005-0000-0000-0000072D0000}"/>
    <cellStyle name="20% - Accent6 2 2 2 3 4 2 3" xfId="19825" xr:uid="{00000000-0005-0000-0000-0000082D0000}"/>
    <cellStyle name="20% - Accent6 2 2 2 3 4 3" xfId="19819" xr:uid="{00000000-0005-0000-0000-0000092D0000}"/>
    <cellStyle name="20% - Accent6 2 2 2 3 4 3 2" xfId="19811" xr:uid="{00000000-0005-0000-0000-00000A2D0000}"/>
    <cellStyle name="20% - Accent6 2 2 2 3 4 4" xfId="21915" xr:uid="{00000000-0005-0000-0000-00000B2D0000}"/>
    <cellStyle name="20% - Accent6 2 2 2 3 5" xfId="22317" xr:uid="{00000000-0005-0000-0000-00000C2D0000}"/>
    <cellStyle name="20% - Accent6 2 2 2 3 5 2" xfId="22311" xr:uid="{00000000-0005-0000-0000-00000D2D0000}"/>
    <cellStyle name="20% - Accent6 2 2 2 3 5 2 2" xfId="19807" xr:uid="{00000000-0005-0000-0000-00000E2D0000}"/>
    <cellStyle name="20% - Accent6 2 2 2 3 5 3" xfId="19803" xr:uid="{00000000-0005-0000-0000-00000F2D0000}"/>
    <cellStyle name="20% - Accent6 2 2 2 3 6" xfId="22302" xr:uid="{00000000-0005-0000-0000-0000102D0000}"/>
    <cellStyle name="20% - Accent6 2 2 2 3 6 2" xfId="19800" xr:uid="{00000000-0005-0000-0000-0000112D0000}"/>
    <cellStyle name="20% - Accent6 2 2 2 3 7" xfId="18482" xr:uid="{00000000-0005-0000-0000-0000122D0000}"/>
    <cellStyle name="20% - Accent6 2 2 2 4" xfId="31934" xr:uid="{00000000-0005-0000-0000-0000132D0000}"/>
    <cellStyle name="20% - Accent6 2 2 2 4 2" xfId="31920" xr:uid="{00000000-0005-0000-0000-0000142D0000}"/>
    <cellStyle name="20% - Accent6 2 2 2 4 2 2" xfId="30295" xr:uid="{00000000-0005-0000-0000-0000152D0000}"/>
    <cellStyle name="20% - Accent6 2 2 2 4 2 2 2" xfId="25139" xr:uid="{00000000-0005-0000-0000-0000162D0000}"/>
    <cellStyle name="20% - Accent6 2 2 2 4 2 2 2 2" xfId="19798" xr:uid="{00000000-0005-0000-0000-0000172D0000}"/>
    <cellStyle name="20% - Accent6 2 2 2 4 2 2 2 2 2" xfId="21698" xr:uid="{00000000-0005-0000-0000-0000182D0000}"/>
    <cellStyle name="20% - Accent6 2 2 2 4 2 2 2 3" xfId="32290" xr:uid="{00000000-0005-0000-0000-0000192D0000}"/>
    <cellStyle name="20% - Accent6 2 2 2 4 2 2 3" xfId="9221" xr:uid="{00000000-0005-0000-0000-00001A2D0000}"/>
    <cellStyle name="20% - Accent6 2 2 2 4 2 2 3 2" xfId="19789" xr:uid="{00000000-0005-0000-0000-00001B2D0000}"/>
    <cellStyle name="20% - Accent6 2 2 2 4 2 2 4" xfId="5662" xr:uid="{00000000-0005-0000-0000-00001C2D0000}"/>
    <cellStyle name="20% - Accent6 2 2 2 4 2 3" xfId="19781" xr:uid="{00000000-0005-0000-0000-00001D2D0000}"/>
    <cellStyle name="20% - Accent6 2 2 2 4 2 3 2" xfId="17491" xr:uid="{00000000-0005-0000-0000-00001E2D0000}"/>
    <cellStyle name="20% - Accent6 2 2 2 4 2 3 2 2" xfId="30195" xr:uid="{00000000-0005-0000-0000-00001F2D0000}"/>
    <cellStyle name="20% - Accent6 2 2 2 4 2 3 3" xfId="10647" xr:uid="{00000000-0005-0000-0000-0000202D0000}"/>
    <cellStyle name="20% - Accent6 2 2 2 4 2 4" xfId="21948" xr:uid="{00000000-0005-0000-0000-0000212D0000}"/>
    <cellStyle name="20% - Accent6 2 2 2 4 2 4 2" xfId="17472" xr:uid="{00000000-0005-0000-0000-0000222D0000}"/>
    <cellStyle name="20% - Accent6 2 2 2 4 2 5" xfId="19778" xr:uid="{00000000-0005-0000-0000-0000232D0000}"/>
    <cellStyle name="20% - Accent6 2 2 2 4 3" xfId="31770" xr:uid="{00000000-0005-0000-0000-0000242D0000}"/>
    <cellStyle name="20% - Accent6 2 2 2 4 3 2" xfId="21251" xr:uid="{00000000-0005-0000-0000-0000252D0000}"/>
    <cellStyle name="20% - Accent6 2 2 2 4 3 2 2" xfId="19777" xr:uid="{00000000-0005-0000-0000-0000262D0000}"/>
    <cellStyle name="20% - Accent6 2 2 2 4 3 2 2 2" xfId="11712" xr:uid="{00000000-0005-0000-0000-0000272D0000}"/>
    <cellStyle name="20% - Accent6 2 2 2 4 3 2 3" xfId="27191" xr:uid="{00000000-0005-0000-0000-0000282D0000}"/>
    <cellStyle name="20% - Accent6 2 2 2 4 3 3" xfId="32731" xr:uid="{00000000-0005-0000-0000-0000292D0000}"/>
    <cellStyle name="20% - Accent6 2 2 2 4 3 3 2" xfId="19776" xr:uid="{00000000-0005-0000-0000-00002A2D0000}"/>
    <cellStyle name="20% - Accent6 2 2 2 4 3 4" xfId="19769" xr:uid="{00000000-0005-0000-0000-00002B2D0000}"/>
    <cellStyle name="20% - Accent6 2 2 2 4 4" xfId="19768" xr:uid="{00000000-0005-0000-0000-00002C2D0000}"/>
    <cellStyle name="20% - Accent6 2 2 2 4 4 2" xfId="29839" xr:uid="{00000000-0005-0000-0000-00002D2D0000}"/>
    <cellStyle name="20% - Accent6 2 2 2 4 4 2 2" xfId="19767" xr:uid="{00000000-0005-0000-0000-00002E2D0000}"/>
    <cellStyle name="20% - Accent6 2 2 2 4 4 3" xfId="19761" xr:uid="{00000000-0005-0000-0000-00002F2D0000}"/>
    <cellStyle name="20% - Accent6 2 2 2 4 5" xfId="22297" xr:uid="{00000000-0005-0000-0000-0000302D0000}"/>
    <cellStyle name="20% - Accent6 2 2 2 4 5 2" xfId="19759" xr:uid="{00000000-0005-0000-0000-0000312D0000}"/>
    <cellStyle name="20% - Accent6 2 2 2 4 6" xfId="20525" xr:uid="{00000000-0005-0000-0000-0000322D0000}"/>
    <cellStyle name="20% - Accent6 2 2 2 5" xfId="34301" xr:uid="{00000000-0005-0000-0000-0000332D0000}"/>
    <cellStyle name="20% - Accent6 2 2 2 5 2" xfId="31762" xr:uid="{00000000-0005-0000-0000-0000342D0000}"/>
    <cellStyle name="20% - Accent6 2 2 2 5 2 2" xfId="32043" xr:uid="{00000000-0005-0000-0000-0000352D0000}"/>
    <cellStyle name="20% - Accent6 2 2 2 5 2 2 2" xfId="19757" xr:uid="{00000000-0005-0000-0000-0000362D0000}"/>
    <cellStyle name="20% - Accent6 2 2 2 5 2 2 2 2" xfId="19752" xr:uid="{00000000-0005-0000-0000-0000372D0000}"/>
    <cellStyle name="20% - Accent6 2 2 2 5 2 2 3" xfId="15298" xr:uid="{00000000-0005-0000-0000-0000382D0000}"/>
    <cellStyle name="20% - Accent6 2 2 2 5 2 3" xfId="19745" xr:uid="{00000000-0005-0000-0000-0000392D0000}"/>
    <cellStyle name="20% - Accent6 2 2 2 5 2 3 2" xfId="19743" xr:uid="{00000000-0005-0000-0000-00003A2D0000}"/>
    <cellStyle name="20% - Accent6 2 2 2 5 2 4" xfId="14761" xr:uid="{00000000-0005-0000-0000-00003B2D0000}"/>
    <cellStyle name="20% - Accent6 2 2 2 5 3" xfId="19735" xr:uid="{00000000-0005-0000-0000-00003C2D0000}"/>
    <cellStyle name="20% - Accent6 2 2 2 5 3 2" xfId="30906" xr:uid="{00000000-0005-0000-0000-00003D2D0000}"/>
    <cellStyle name="20% - Accent6 2 2 2 5 3 2 2" xfId="19733" xr:uid="{00000000-0005-0000-0000-00003E2D0000}"/>
    <cellStyle name="20% - Accent6 2 2 2 5 3 3" xfId="19721" xr:uid="{00000000-0005-0000-0000-00003F2D0000}"/>
    <cellStyle name="20% - Accent6 2 2 2 5 4" xfId="19409" xr:uid="{00000000-0005-0000-0000-0000402D0000}"/>
    <cellStyle name="20% - Accent6 2 2 2 5 4 2" xfId="13218" xr:uid="{00000000-0005-0000-0000-0000412D0000}"/>
    <cellStyle name="20% - Accent6 2 2 2 5 5" xfId="20518" xr:uid="{00000000-0005-0000-0000-0000422D0000}"/>
    <cellStyle name="20% - Accent6 2 2 2 6" xfId="31759" xr:uid="{00000000-0005-0000-0000-0000432D0000}"/>
    <cellStyle name="20% - Accent6 2 2 2 6 2" xfId="6990" xr:uid="{00000000-0005-0000-0000-0000442D0000}"/>
    <cellStyle name="20% - Accent6 2 2 2 6 2 2" xfId="19715" xr:uid="{00000000-0005-0000-0000-0000452D0000}"/>
    <cellStyle name="20% - Accent6 2 2 2 6 2 2 2" xfId="19711" xr:uid="{00000000-0005-0000-0000-0000462D0000}"/>
    <cellStyle name="20% - Accent6 2 2 2 6 2 3" xfId="27902" xr:uid="{00000000-0005-0000-0000-0000472D0000}"/>
    <cellStyle name="20% - Accent6 2 2 2 6 3" xfId="19707" xr:uid="{00000000-0005-0000-0000-0000482D0000}"/>
    <cellStyle name="20% - Accent6 2 2 2 6 3 2" xfId="19704" xr:uid="{00000000-0005-0000-0000-0000492D0000}"/>
    <cellStyle name="20% - Accent6 2 2 2 6 4" xfId="29062" xr:uid="{00000000-0005-0000-0000-00004A2D0000}"/>
    <cellStyle name="20% - Accent6 2 2 2 7" xfId="19996" xr:uid="{00000000-0005-0000-0000-00004B2D0000}"/>
    <cellStyle name="20% - Accent6 2 2 2 7 2" xfId="16455" xr:uid="{00000000-0005-0000-0000-00004C2D0000}"/>
    <cellStyle name="20% - Accent6 2 2 2 7 2 2" xfId="19702" xr:uid="{00000000-0005-0000-0000-00004D2D0000}"/>
    <cellStyle name="20% - Accent6 2 2 2 7 3" xfId="19700" xr:uid="{00000000-0005-0000-0000-00004E2D0000}"/>
    <cellStyle name="20% - Accent6 2 2 2 8" xfId="19696" xr:uid="{00000000-0005-0000-0000-00004F2D0000}"/>
    <cellStyle name="20% - Accent6 2 2 2 8 2" xfId="27565" xr:uid="{00000000-0005-0000-0000-0000502D0000}"/>
    <cellStyle name="20% - Accent6 2 2 2 9" xfId="33215" xr:uid="{00000000-0005-0000-0000-0000512D0000}"/>
    <cellStyle name="20% - Accent6 2 2 3" xfId="19694" xr:uid="{00000000-0005-0000-0000-0000522D0000}"/>
    <cellStyle name="20% - Accent6 2 2 3 2" xfId="19691" xr:uid="{00000000-0005-0000-0000-0000532D0000}"/>
    <cellStyle name="20% - Accent6 2 2 3 2 2" xfId="19689" xr:uid="{00000000-0005-0000-0000-0000542D0000}"/>
    <cellStyle name="20% - Accent6 2 2 3 2 2 2" xfId="19687" xr:uid="{00000000-0005-0000-0000-0000552D0000}"/>
    <cellStyle name="20% - Accent6 2 2 3 2 2 2 2" xfId="18101" xr:uid="{00000000-0005-0000-0000-0000562D0000}"/>
    <cellStyle name="20% - Accent6 2 2 3 2 2 2 2 2" xfId="19685" xr:uid="{00000000-0005-0000-0000-0000572D0000}"/>
    <cellStyle name="20% - Accent6 2 2 3 2 2 2 2 2 2" xfId="21510" xr:uid="{00000000-0005-0000-0000-0000582D0000}"/>
    <cellStyle name="20% - Accent6 2 2 3 2 2 2 2 2 2 2" xfId="23836" xr:uid="{00000000-0005-0000-0000-0000592D0000}"/>
    <cellStyle name="20% - Accent6 2 2 3 2 2 2 2 2 3" xfId="16145" xr:uid="{00000000-0005-0000-0000-00005A2D0000}"/>
    <cellStyle name="20% - Accent6 2 2 3 2 2 2 2 3" xfId="17534" xr:uid="{00000000-0005-0000-0000-00005B2D0000}"/>
    <cellStyle name="20% - Accent6 2 2 3 2 2 2 2 3 2" xfId="30318" xr:uid="{00000000-0005-0000-0000-00005C2D0000}"/>
    <cellStyle name="20% - Accent6 2 2 3 2 2 2 2 4" xfId="17513" xr:uid="{00000000-0005-0000-0000-00005D2D0000}"/>
    <cellStyle name="20% - Accent6 2 2 3 2 2 2 3" xfId="26442" xr:uid="{00000000-0005-0000-0000-00005E2D0000}"/>
    <cellStyle name="20% - Accent6 2 2 3 2 2 2 3 2" xfId="19683" xr:uid="{00000000-0005-0000-0000-00005F2D0000}"/>
    <cellStyle name="20% - Accent6 2 2 3 2 2 2 3 2 2" xfId="23481" xr:uid="{00000000-0005-0000-0000-0000602D0000}"/>
    <cellStyle name="20% - Accent6 2 2 3 2 2 2 3 3" xfId="19679" xr:uid="{00000000-0005-0000-0000-0000612D0000}"/>
    <cellStyle name="20% - Accent6 2 2 3 2 2 2 4" xfId="22718" xr:uid="{00000000-0005-0000-0000-0000622D0000}"/>
    <cellStyle name="20% - Accent6 2 2 3 2 2 2 4 2" xfId="8573" xr:uid="{00000000-0005-0000-0000-0000632D0000}"/>
    <cellStyle name="20% - Accent6 2 2 3 2 2 2 5" xfId="19675" xr:uid="{00000000-0005-0000-0000-0000642D0000}"/>
    <cellStyle name="20% - Accent6 2 2 3 2 2 3" xfId="19674" xr:uid="{00000000-0005-0000-0000-0000652D0000}"/>
    <cellStyle name="20% - Accent6 2 2 3 2 2 3 2" xfId="32673" xr:uid="{00000000-0005-0000-0000-0000662D0000}"/>
    <cellStyle name="20% - Accent6 2 2 3 2 2 3 2 2" xfId="20378" xr:uid="{00000000-0005-0000-0000-0000672D0000}"/>
    <cellStyle name="20% - Accent6 2 2 3 2 2 3 2 2 2" xfId="21496" xr:uid="{00000000-0005-0000-0000-0000682D0000}"/>
    <cellStyle name="20% - Accent6 2 2 3 2 2 3 2 3" xfId="20368" xr:uid="{00000000-0005-0000-0000-0000692D0000}"/>
    <cellStyle name="20% - Accent6 2 2 3 2 2 3 3" xfId="25288" xr:uid="{00000000-0005-0000-0000-00006A2D0000}"/>
    <cellStyle name="20% - Accent6 2 2 3 2 2 3 3 2" xfId="20365" xr:uid="{00000000-0005-0000-0000-00006B2D0000}"/>
    <cellStyle name="20% - Accent6 2 2 3 2 2 3 4" xfId="19671" xr:uid="{00000000-0005-0000-0000-00006C2D0000}"/>
    <cellStyle name="20% - Accent6 2 2 3 2 2 4" xfId="13639" xr:uid="{00000000-0005-0000-0000-00006D2D0000}"/>
    <cellStyle name="20% - Accent6 2 2 3 2 2 4 2" xfId="21218" xr:uid="{00000000-0005-0000-0000-00006E2D0000}"/>
    <cellStyle name="20% - Accent6 2 2 3 2 2 4 2 2" xfId="20360" xr:uid="{00000000-0005-0000-0000-00006F2D0000}"/>
    <cellStyle name="20% - Accent6 2 2 3 2 2 4 3" xfId="5484" xr:uid="{00000000-0005-0000-0000-0000702D0000}"/>
    <cellStyle name="20% - Accent6 2 2 3 2 2 5" xfId="13637" xr:uid="{00000000-0005-0000-0000-0000712D0000}"/>
    <cellStyle name="20% - Accent6 2 2 3 2 2 5 2" xfId="19668" xr:uid="{00000000-0005-0000-0000-0000722D0000}"/>
    <cellStyle name="20% - Accent6 2 2 3 2 2 6" xfId="19667" xr:uid="{00000000-0005-0000-0000-0000732D0000}"/>
    <cellStyle name="20% - Accent6 2 2 3 2 3" xfId="19665" xr:uid="{00000000-0005-0000-0000-0000742D0000}"/>
    <cellStyle name="20% - Accent6 2 2 3 2 3 2" xfId="19662" xr:uid="{00000000-0005-0000-0000-0000752D0000}"/>
    <cellStyle name="20% - Accent6 2 2 3 2 3 2 2" xfId="31287" xr:uid="{00000000-0005-0000-0000-0000762D0000}"/>
    <cellStyle name="20% - Accent6 2 2 3 2 3 2 2 2" xfId="19660" xr:uid="{00000000-0005-0000-0000-0000772D0000}"/>
    <cellStyle name="20% - Accent6 2 2 3 2 3 2 2 2 2" xfId="21466" xr:uid="{00000000-0005-0000-0000-0000782D0000}"/>
    <cellStyle name="20% - Accent6 2 2 3 2 3 2 2 3" xfId="19659" xr:uid="{00000000-0005-0000-0000-0000792D0000}"/>
    <cellStyle name="20% - Accent6 2 2 3 2 3 2 3" xfId="22653" xr:uid="{00000000-0005-0000-0000-00007A2D0000}"/>
    <cellStyle name="20% - Accent6 2 2 3 2 3 2 3 2" xfId="19656" xr:uid="{00000000-0005-0000-0000-00007B2D0000}"/>
    <cellStyle name="20% - Accent6 2 2 3 2 3 2 4" xfId="19652" xr:uid="{00000000-0005-0000-0000-00007C2D0000}"/>
    <cellStyle name="20% - Accent6 2 2 3 2 3 3" xfId="19648" xr:uid="{00000000-0005-0000-0000-00007D2D0000}"/>
    <cellStyle name="20% - Accent6 2 2 3 2 3 3 2" xfId="32788" xr:uid="{00000000-0005-0000-0000-00007E2D0000}"/>
    <cellStyle name="20% - Accent6 2 2 3 2 3 3 2 2" xfId="14630" xr:uid="{00000000-0005-0000-0000-00007F2D0000}"/>
    <cellStyle name="20% - Accent6 2 2 3 2 3 3 3" xfId="19647" xr:uid="{00000000-0005-0000-0000-0000802D0000}"/>
    <cellStyle name="20% - Accent6 2 2 3 2 3 4" xfId="16444" xr:uid="{00000000-0005-0000-0000-0000812D0000}"/>
    <cellStyle name="20% - Accent6 2 2 3 2 3 4 2" xfId="19645" xr:uid="{00000000-0005-0000-0000-0000822D0000}"/>
    <cellStyle name="20% - Accent6 2 2 3 2 3 5" xfId="22115" xr:uid="{00000000-0005-0000-0000-0000832D0000}"/>
    <cellStyle name="20% - Accent6 2 2 3 2 4" xfId="19644" xr:uid="{00000000-0005-0000-0000-0000842D0000}"/>
    <cellStyle name="20% - Accent6 2 2 3 2 4 2" xfId="19642" xr:uid="{00000000-0005-0000-0000-0000852D0000}"/>
    <cellStyle name="20% - Accent6 2 2 3 2 4 2 2" xfId="22637" xr:uid="{00000000-0005-0000-0000-0000862D0000}"/>
    <cellStyle name="20% - Accent6 2 2 3 2 4 2 2 2" xfId="19640" xr:uid="{00000000-0005-0000-0000-0000872D0000}"/>
    <cellStyle name="20% - Accent6 2 2 3 2 4 2 3" xfId="19634" xr:uid="{00000000-0005-0000-0000-0000882D0000}"/>
    <cellStyle name="20% - Accent6 2 2 3 2 4 3" xfId="19631" xr:uid="{00000000-0005-0000-0000-0000892D0000}"/>
    <cellStyle name="20% - Accent6 2 2 3 2 4 3 2" xfId="19627" xr:uid="{00000000-0005-0000-0000-00008A2D0000}"/>
    <cellStyle name="20% - Accent6 2 2 3 2 4 4" xfId="21541" xr:uid="{00000000-0005-0000-0000-00008B2D0000}"/>
    <cellStyle name="20% - Accent6 2 2 3 2 5" xfId="22255" xr:uid="{00000000-0005-0000-0000-00008C2D0000}"/>
    <cellStyle name="20% - Accent6 2 2 3 2 5 2" xfId="22249" xr:uid="{00000000-0005-0000-0000-00008D2D0000}"/>
    <cellStyle name="20% - Accent6 2 2 3 2 5 2 2" xfId="19625" xr:uid="{00000000-0005-0000-0000-00008E2D0000}"/>
    <cellStyle name="20% - Accent6 2 2 3 2 5 3" xfId="19623" xr:uid="{00000000-0005-0000-0000-00008F2D0000}"/>
    <cellStyle name="20% - Accent6 2 2 3 2 6" xfId="22247" xr:uid="{00000000-0005-0000-0000-0000902D0000}"/>
    <cellStyle name="20% - Accent6 2 2 3 2 6 2" xfId="19620" xr:uid="{00000000-0005-0000-0000-0000912D0000}"/>
    <cellStyle name="20% - Accent6 2 2 3 2 7" xfId="10266" xr:uid="{00000000-0005-0000-0000-0000922D0000}"/>
    <cellStyle name="20% - Accent6 2 2 3 3" xfId="31890" xr:uid="{00000000-0005-0000-0000-0000932D0000}"/>
    <cellStyle name="20% - Accent6 2 2 3 3 2" xfId="26931" xr:uid="{00000000-0005-0000-0000-0000942D0000}"/>
    <cellStyle name="20% - Accent6 2 2 3 3 2 2" xfId="30164" xr:uid="{00000000-0005-0000-0000-0000952D0000}"/>
    <cellStyle name="20% - Accent6 2 2 3 3 2 2 2" xfId="29876" xr:uid="{00000000-0005-0000-0000-0000962D0000}"/>
    <cellStyle name="20% - Accent6 2 2 3 3 2 2 2 2" xfId="19619" xr:uid="{00000000-0005-0000-0000-0000972D0000}"/>
    <cellStyle name="20% - Accent6 2 2 3 3 2 2 2 2 2" xfId="21377" xr:uid="{00000000-0005-0000-0000-0000982D0000}"/>
    <cellStyle name="20% - Accent6 2 2 3 3 2 2 2 3" xfId="33521" xr:uid="{00000000-0005-0000-0000-0000992D0000}"/>
    <cellStyle name="20% - Accent6 2 2 3 3 2 2 3" xfId="22563" xr:uid="{00000000-0005-0000-0000-00009A2D0000}"/>
    <cellStyle name="20% - Accent6 2 2 3 3 2 2 3 2" xfId="19615" xr:uid="{00000000-0005-0000-0000-00009B2D0000}"/>
    <cellStyle name="20% - Accent6 2 2 3 3 2 2 4" xfId="19612" xr:uid="{00000000-0005-0000-0000-00009C2D0000}"/>
    <cellStyle name="20% - Accent6 2 2 3 3 2 3" xfId="30791" xr:uid="{00000000-0005-0000-0000-00009D2D0000}"/>
    <cellStyle name="20% - Accent6 2 2 3 3 2 3 2" xfId="22582" xr:uid="{00000000-0005-0000-0000-00009E2D0000}"/>
    <cellStyle name="20% - Accent6 2 2 3 3 2 3 2 2" xfId="31186" xr:uid="{00000000-0005-0000-0000-00009F2D0000}"/>
    <cellStyle name="20% - Accent6 2 2 3 3 2 3 3" xfId="22580" xr:uid="{00000000-0005-0000-0000-0000A02D0000}"/>
    <cellStyle name="20% - Accent6 2 2 3 3 2 4" xfId="13605" xr:uid="{00000000-0005-0000-0000-0000A12D0000}"/>
    <cellStyle name="20% - Accent6 2 2 3 3 2 4 2" xfId="20623" xr:uid="{00000000-0005-0000-0000-0000A22D0000}"/>
    <cellStyle name="20% - Accent6 2 2 3 3 2 5" xfId="25280" xr:uid="{00000000-0005-0000-0000-0000A32D0000}"/>
    <cellStyle name="20% - Accent6 2 2 3 3 3" xfId="28644" xr:uid="{00000000-0005-0000-0000-0000A42D0000}"/>
    <cellStyle name="20% - Accent6 2 2 3 3 3 2" xfId="19609" xr:uid="{00000000-0005-0000-0000-0000A52D0000}"/>
    <cellStyle name="20% - Accent6 2 2 3 3 3 2 2" xfId="22490" xr:uid="{00000000-0005-0000-0000-0000A62D0000}"/>
    <cellStyle name="20% - Accent6 2 2 3 3 3 2 2 2" xfId="19142" xr:uid="{00000000-0005-0000-0000-0000A72D0000}"/>
    <cellStyle name="20% - Accent6 2 2 3 3 3 2 3" xfId="19607" xr:uid="{00000000-0005-0000-0000-0000A82D0000}"/>
    <cellStyle name="20% - Accent6 2 2 3 3 3 3" xfId="32685" xr:uid="{00000000-0005-0000-0000-0000A92D0000}"/>
    <cellStyle name="20% - Accent6 2 2 3 3 3 3 2" xfId="22417" xr:uid="{00000000-0005-0000-0000-0000AA2D0000}"/>
    <cellStyle name="20% - Accent6 2 2 3 3 3 4" xfId="34291" xr:uid="{00000000-0005-0000-0000-0000AB2D0000}"/>
    <cellStyle name="20% - Accent6 2 2 3 3 4" xfId="19602" xr:uid="{00000000-0005-0000-0000-0000AC2D0000}"/>
    <cellStyle name="20% - Accent6 2 2 3 3 4 2" xfId="19601" xr:uid="{00000000-0005-0000-0000-0000AD2D0000}"/>
    <cellStyle name="20% - Accent6 2 2 3 3 4 2 2" xfId="19597" xr:uid="{00000000-0005-0000-0000-0000AE2D0000}"/>
    <cellStyle name="20% - Accent6 2 2 3 3 4 3" xfId="27174" xr:uid="{00000000-0005-0000-0000-0000AF2D0000}"/>
    <cellStyle name="20% - Accent6 2 2 3 3 5" xfId="22241" xr:uid="{00000000-0005-0000-0000-0000B02D0000}"/>
    <cellStyle name="20% - Accent6 2 2 3 3 5 2" xfId="19593" xr:uid="{00000000-0005-0000-0000-0000B12D0000}"/>
    <cellStyle name="20% - Accent6 2 2 3 3 6" xfId="20507" xr:uid="{00000000-0005-0000-0000-0000B22D0000}"/>
    <cellStyle name="20% - Accent6 2 2 3 4" xfId="27632" xr:uid="{00000000-0005-0000-0000-0000B32D0000}"/>
    <cellStyle name="20% - Accent6 2 2 3 4 2" xfId="28379" xr:uid="{00000000-0005-0000-0000-0000B42D0000}"/>
    <cellStyle name="20% - Accent6 2 2 3 4 2 2" xfId="19591" xr:uid="{00000000-0005-0000-0000-0000B52D0000}"/>
    <cellStyle name="20% - Accent6 2 2 3 4 2 2 2" xfId="22380" xr:uid="{00000000-0005-0000-0000-0000B62D0000}"/>
    <cellStyle name="20% - Accent6 2 2 3 4 2 2 2 2" xfId="19587" xr:uid="{00000000-0005-0000-0000-0000B72D0000}"/>
    <cellStyle name="20% - Accent6 2 2 3 4 2 2 3" xfId="19580" xr:uid="{00000000-0005-0000-0000-0000B82D0000}"/>
    <cellStyle name="20% - Accent6 2 2 3 4 2 3" xfId="27247" xr:uid="{00000000-0005-0000-0000-0000B92D0000}"/>
    <cellStyle name="20% - Accent6 2 2 3 4 2 3 2" xfId="20312" xr:uid="{00000000-0005-0000-0000-0000BA2D0000}"/>
    <cellStyle name="20% - Accent6 2 2 3 4 2 4" xfId="8789" xr:uid="{00000000-0005-0000-0000-0000BB2D0000}"/>
    <cellStyle name="20% - Accent6 2 2 3 4 3" xfId="19579" xr:uid="{00000000-0005-0000-0000-0000BC2D0000}"/>
    <cellStyle name="20% - Accent6 2 2 3 4 3 2" xfId="27239" xr:uid="{00000000-0005-0000-0000-0000BD2D0000}"/>
    <cellStyle name="20% - Accent6 2 2 3 4 3 2 2" xfId="19936" xr:uid="{00000000-0005-0000-0000-0000BE2D0000}"/>
    <cellStyle name="20% - Accent6 2 2 3 4 3 3" xfId="8785" xr:uid="{00000000-0005-0000-0000-0000BF2D0000}"/>
    <cellStyle name="20% - Accent6 2 2 3 4 4" xfId="19578" xr:uid="{00000000-0005-0000-0000-0000C02D0000}"/>
    <cellStyle name="20% - Accent6 2 2 3 4 4 2" xfId="8706" xr:uid="{00000000-0005-0000-0000-0000C12D0000}"/>
    <cellStyle name="20% - Accent6 2 2 3 4 5" xfId="20505" xr:uid="{00000000-0005-0000-0000-0000C22D0000}"/>
    <cellStyle name="20% - Accent6 2 2 3 5" xfId="31736" xr:uid="{00000000-0005-0000-0000-0000C32D0000}"/>
    <cellStyle name="20% - Accent6 2 2 3 5 2" xfId="21281" xr:uid="{00000000-0005-0000-0000-0000C42D0000}"/>
    <cellStyle name="20% - Accent6 2 2 3 5 2 2" xfId="19576" xr:uid="{00000000-0005-0000-0000-0000C52D0000}"/>
    <cellStyle name="20% - Accent6 2 2 3 5 2 2 2" xfId="19571" xr:uid="{00000000-0005-0000-0000-0000C62D0000}"/>
    <cellStyle name="20% - Accent6 2 2 3 5 2 3" xfId="8732" xr:uid="{00000000-0005-0000-0000-0000C72D0000}"/>
    <cellStyle name="20% - Accent6 2 2 3 5 3" xfId="19567" xr:uid="{00000000-0005-0000-0000-0000C82D0000}"/>
    <cellStyle name="20% - Accent6 2 2 3 5 3 2" xfId="19562" xr:uid="{00000000-0005-0000-0000-0000C92D0000}"/>
    <cellStyle name="20% - Accent6 2 2 3 5 4" xfId="19161" xr:uid="{00000000-0005-0000-0000-0000CA2D0000}"/>
    <cellStyle name="20% - Accent6 2 2 3 6" xfId="34327" xr:uid="{00000000-0005-0000-0000-0000CB2D0000}"/>
    <cellStyle name="20% - Accent6 2 2 3 6 2" xfId="19557" xr:uid="{00000000-0005-0000-0000-0000CC2D0000}"/>
    <cellStyle name="20% - Accent6 2 2 3 6 2 2" xfId="11635" xr:uid="{00000000-0005-0000-0000-0000CD2D0000}"/>
    <cellStyle name="20% - Accent6 2 2 3 6 3" xfId="19553" xr:uid="{00000000-0005-0000-0000-0000CE2D0000}"/>
    <cellStyle name="20% - Accent6 2 2 3 7" xfId="19549" xr:uid="{00000000-0005-0000-0000-0000CF2D0000}"/>
    <cellStyle name="20% - Accent6 2 2 3 7 2" xfId="19547" xr:uid="{00000000-0005-0000-0000-0000D02D0000}"/>
    <cellStyle name="20% - Accent6 2 2 3 8" xfId="19727" xr:uid="{00000000-0005-0000-0000-0000D12D0000}"/>
    <cellStyle name="20% - Accent6 2 2 4" xfId="19544" xr:uid="{00000000-0005-0000-0000-0000D22D0000}"/>
    <cellStyle name="20% - Accent6 2 2 4 2" xfId="19543" xr:uid="{00000000-0005-0000-0000-0000D32D0000}"/>
    <cellStyle name="20% - Accent6 2 2 4 2 2" xfId="19541" xr:uid="{00000000-0005-0000-0000-0000D42D0000}"/>
    <cellStyle name="20% - Accent6 2 2 4 2 2 2" xfId="19538" xr:uid="{00000000-0005-0000-0000-0000D52D0000}"/>
    <cellStyle name="20% - Accent6 2 2 4 2 2 2 2" xfId="27153" xr:uid="{00000000-0005-0000-0000-0000D62D0000}"/>
    <cellStyle name="20% - Accent6 2 2 4 2 2 2 2 2" xfId="25426" xr:uid="{00000000-0005-0000-0000-0000D72D0000}"/>
    <cellStyle name="20% - Accent6 2 2 4 2 2 2 2 2 2" xfId="21270" xr:uid="{00000000-0005-0000-0000-0000D82D0000}"/>
    <cellStyle name="20% - Accent6 2 2 4 2 2 2 2 3" xfId="31976" xr:uid="{00000000-0005-0000-0000-0000D92D0000}"/>
    <cellStyle name="20% - Accent6 2 2 4 2 2 2 3" xfId="30784" xr:uid="{00000000-0005-0000-0000-0000DA2D0000}"/>
    <cellStyle name="20% - Accent6 2 2 4 2 2 2 3 2" xfId="30740" xr:uid="{00000000-0005-0000-0000-0000DB2D0000}"/>
    <cellStyle name="20% - Accent6 2 2 4 2 2 2 4" xfId="25911" xr:uid="{00000000-0005-0000-0000-0000DC2D0000}"/>
    <cellStyle name="20% - Accent6 2 2 4 2 2 3" xfId="24777" xr:uid="{00000000-0005-0000-0000-0000DD2D0000}"/>
    <cellStyle name="20% - Accent6 2 2 4 2 2 3 2" xfId="27047" xr:uid="{00000000-0005-0000-0000-0000DE2D0000}"/>
    <cellStyle name="20% - Accent6 2 2 4 2 2 3 2 2" xfId="32740" xr:uid="{00000000-0005-0000-0000-0000DF2D0000}"/>
    <cellStyle name="20% - Accent6 2 2 4 2 2 3 3" xfId="31081" xr:uid="{00000000-0005-0000-0000-0000E02D0000}"/>
    <cellStyle name="20% - Accent6 2 2 4 2 2 4" xfId="13567" xr:uid="{00000000-0005-0000-0000-0000E12D0000}"/>
    <cellStyle name="20% - Accent6 2 2 4 2 2 4 2" xfId="19129" xr:uid="{00000000-0005-0000-0000-0000E22D0000}"/>
    <cellStyle name="20% - Accent6 2 2 4 2 2 5" xfId="30990" xr:uid="{00000000-0005-0000-0000-0000E32D0000}"/>
    <cellStyle name="20% - Accent6 2 2 4 2 3" xfId="9506" xr:uid="{00000000-0005-0000-0000-0000E42D0000}"/>
    <cellStyle name="20% - Accent6 2 2 4 2 3 2" xfId="30565" xr:uid="{00000000-0005-0000-0000-0000E52D0000}"/>
    <cellStyle name="20% - Accent6 2 2 4 2 3 2 2" xfId="27032" xr:uid="{00000000-0005-0000-0000-0000E62D0000}"/>
    <cellStyle name="20% - Accent6 2 2 4 2 3 2 2 2" xfId="31595" xr:uid="{00000000-0005-0000-0000-0000E72D0000}"/>
    <cellStyle name="20% - Accent6 2 2 4 2 3 2 3" xfId="30695" xr:uid="{00000000-0005-0000-0000-0000E82D0000}"/>
    <cellStyle name="20% - Accent6 2 2 4 2 3 3" xfId="19532" xr:uid="{00000000-0005-0000-0000-0000E92D0000}"/>
    <cellStyle name="20% - Accent6 2 2 4 2 3 3 2" xfId="33210" xr:uid="{00000000-0005-0000-0000-0000EA2D0000}"/>
    <cellStyle name="20% - Accent6 2 2 4 2 3 4" xfId="19531" xr:uid="{00000000-0005-0000-0000-0000EB2D0000}"/>
    <cellStyle name="20% - Accent6 2 2 4 2 4" xfId="19530" xr:uid="{00000000-0005-0000-0000-0000EC2D0000}"/>
    <cellStyle name="20% - Accent6 2 2 4 2 4 2" xfId="19528" xr:uid="{00000000-0005-0000-0000-0000ED2D0000}"/>
    <cellStyle name="20% - Accent6 2 2 4 2 4 2 2" xfId="33997" xr:uid="{00000000-0005-0000-0000-0000EE2D0000}"/>
    <cellStyle name="20% - Accent6 2 2 4 2 4 3" xfId="19527" xr:uid="{00000000-0005-0000-0000-0000EF2D0000}"/>
    <cellStyle name="20% - Accent6 2 2 4 2 5" xfId="22221" xr:uid="{00000000-0005-0000-0000-0000F02D0000}"/>
    <cellStyle name="20% - Accent6 2 2 4 2 5 2" xfId="29182" xr:uid="{00000000-0005-0000-0000-0000F12D0000}"/>
    <cellStyle name="20% - Accent6 2 2 4 2 6" xfId="19521" xr:uid="{00000000-0005-0000-0000-0000F22D0000}"/>
    <cellStyle name="20% - Accent6 2 2 4 3" xfId="27599" xr:uid="{00000000-0005-0000-0000-0000F32D0000}"/>
    <cellStyle name="20% - Accent6 2 2 4 3 2" xfId="32769" xr:uid="{00000000-0005-0000-0000-0000F42D0000}"/>
    <cellStyle name="20% - Accent6 2 2 4 3 2 2" xfId="19519" xr:uid="{00000000-0005-0000-0000-0000F52D0000}"/>
    <cellStyle name="20% - Accent6 2 2 4 3 2 2 2" xfId="26996" xr:uid="{00000000-0005-0000-0000-0000F62D0000}"/>
    <cellStyle name="20% - Accent6 2 2 4 3 2 2 2 2" xfId="28558" xr:uid="{00000000-0005-0000-0000-0000F72D0000}"/>
    <cellStyle name="20% - Accent6 2 2 4 3 2 2 3" xfId="31044" xr:uid="{00000000-0005-0000-0000-0000F82D0000}"/>
    <cellStyle name="20% - Accent6 2 2 4 3 2 3" xfId="31359" xr:uid="{00000000-0005-0000-0000-0000F92D0000}"/>
    <cellStyle name="20% - Accent6 2 2 4 3 2 3 2" xfId="32304" xr:uid="{00000000-0005-0000-0000-0000FA2D0000}"/>
    <cellStyle name="20% - Accent6 2 2 4 3 2 4" xfId="32477" xr:uid="{00000000-0005-0000-0000-0000FB2D0000}"/>
    <cellStyle name="20% - Accent6 2 2 4 3 3" xfId="30558" xr:uid="{00000000-0005-0000-0000-0000FC2D0000}"/>
    <cellStyle name="20% - Accent6 2 2 4 3 3 2" xfId="19513" xr:uid="{00000000-0005-0000-0000-0000FD2D0000}"/>
    <cellStyle name="20% - Accent6 2 2 4 3 3 2 2" xfId="28518" xr:uid="{00000000-0005-0000-0000-0000FE2D0000}"/>
    <cellStyle name="20% - Accent6 2 2 4 3 3 3" xfId="23448" xr:uid="{00000000-0005-0000-0000-0000FF2D0000}"/>
    <cellStyle name="20% - Accent6 2 2 4 3 4" xfId="33735" xr:uid="{00000000-0005-0000-0000-0000002E0000}"/>
    <cellStyle name="20% - Accent6 2 2 4 3 4 2" xfId="19510" xr:uid="{00000000-0005-0000-0000-0000012E0000}"/>
    <cellStyle name="20% - Accent6 2 2 4 3 5" xfId="20499" xr:uid="{00000000-0005-0000-0000-0000022E0000}"/>
    <cellStyle name="20% - Accent6 2 2 4 4" xfId="31730" xr:uid="{00000000-0005-0000-0000-0000032E0000}"/>
    <cellStyle name="20% - Accent6 2 2 4 4 2" xfId="19505" xr:uid="{00000000-0005-0000-0000-0000042E0000}"/>
    <cellStyle name="20% - Accent6 2 2 4 4 2 2" xfId="14162" xr:uid="{00000000-0005-0000-0000-0000052E0000}"/>
    <cellStyle name="20% - Accent6 2 2 4 4 2 2 2" xfId="31719" xr:uid="{00000000-0005-0000-0000-0000062E0000}"/>
    <cellStyle name="20% - Accent6 2 2 4 4 2 3" xfId="8600" xr:uid="{00000000-0005-0000-0000-0000072E0000}"/>
    <cellStyle name="20% - Accent6 2 2 4 4 3" xfId="19501" xr:uid="{00000000-0005-0000-0000-0000082E0000}"/>
    <cellStyle name="20% - Accent6 2 2 4 4 3 2" xfId="8303" xr:uid="{00000000-0005-0000-0000-0000092E0000}"/>
    <cellStyle name="20% - Accent6 2 2 4 4 4" xfId="19499" xr:uid="{00000000-0005-0000-0000-00000A2E0000}"/>
    <cellStyle name="20% - Accent6 2 2 4 5" xfId="19497" xr:uid="{00000000-0005-0000-0000-00000B2E0000}"/>
    <cellStyle name="20% - Accent6 2 2 4 5 2" xfId="19496" xr:uid="{00000000-0005-0000-0000-00000C2E0000}"/>
    <cellStyle name="20% - Accent6 2 2 4 5 2 2" xfId="8245" xr:uid="{00000000-0005-0000-0000-00000D2E0000}"/>
    <cellStyle name="20% - Accent6 2 2 4 5 3" xfId="24719" xr:uid="{00000000-0005-0000-0000-00000E2E0000}"/>
    <cellStyle name="20% - Accent6 2 2 4 6" xfId="19493" xr:uid="{00000000-0005-0000-0000-00000F2E0000}"/>
    <cellStyle name="20% - Accent6 2 2 4 6 2" xfId="22901" xr:uid="{00000000-0005-0000-0000-0000102E0000}"/>
    <cellStyle name="20% - Accent6 2 2 4 7" xfId="19492" xr:uid="{00000000-0005-0000-0000-0000112E0000}"/>
    <cellStyle name="20% - Accent6 2 2 5" xfId="19487" xr:uid="{00000000-0005-0000-0000-0000122E0000}"/>
    <cellStyle name="20% - Accent6 2 2 5 2" xfId="22153" xr:uid="{00000000-0005-0000-0000-0000132E0000}"/>
    <cellStyle name="20% - Accent6 2 2 5 2 2" xfId="28245" xr:uid="{00000000-0005-0000-0000-0000142E0000}"/>
    <cellStyle name="20% - Accent6 2 2 5 2 2 2" xfId="19483" xr:uid="{00000000-0005-0000-0000-0000152E0000}"/>
    <cellStyle name="20% - Accent6 2 2 5 2 2 2 2" xfId="32481" xr:uid="{00000000-0005-0000-0000-0000162E0000}"/>
    <cellStyle name="20% - Accent6 2 2 5 2 2 2 2 2" xfId="26130" xr:uid="{00000000-0005-0000-0000-0000172E0000}"/>
    <cellStyle name="20% - Accent6 2 2 5 2 2 2 3" xfId="30233" xr:uid="{00000000-0005-0000-0000-0000182E0000}"/>
    <cellStyle name="20% - Accent6 2 2 5 2 2 3" xfId="19482" xr:uid="{00000000-0005-0000-0000-0000192E0000}"/>
    <cellStyle name="20% - Accent6 2 2 5 2 2 3 2" xfId="30091" xr:uid="{00000000-0005-0000-0000-00001A2E0000}"/>
    <cellStyle name="20% - Accent6 2 2 5 2 2 4" xfId="19481" xr:uid="{00000000-0005-0000-0000-00001B2E0000}"/>
    <cellStyle name="20% - Accent6 2 2 5 2 3" xfId="30475" xr:uid="{00000000-0005-0000-0000-00001C2E0000}"/>
    <cellStyle name="20% - Accent6 2 2 5 2 3 2" xfId="19480" xr:uid="{00000000-0005-0000-0000-00001D2E0000}"/>
    <cellStyle name="20% - Accent6 2 2 5 2 3 2 2" xfId="30062" xr:uid="{00000000-0005-0000-0000-00001E2E0000}"/>
    <cellStyle name="20% - Accent6 2 2 5 2 3 3" xfId="19479" xr:uid="{00000000-0005-0000-0000-00001F2E0000}"/>
    <cellStyle name="20% - Accent6 2 2 5 2 4" xfId="19478" xr:uid="{00000000-0005-0000-0000-0000202E0000}"/>
    <cellStyle name="20% - Accent6 2 2 5 2 4 2" xfId="19476" xr:uid="{00000000-0005-0000-0000-0000212E0000}"/>
    <cellStyle name="20% - Accent6 2 2 5 2 5" xfId="19471" xr:uid="{00000000-0005-0000-0000-0000222E0000}"/>
    <cellStyle name="20% - Accent6 2 2 5 3" xfId="33773" xr:uid="{00000000-0005-0000-0000-0000232E0000}"/>
    <cellStyle name="20% - Accent6 2 2 5 3 2" xfId="19469" xr:uid="{00000000-0005-0000-0000-0000242E0000}"/>
    <cellStyle name="20% - Accent6 2 2 5 3 2 2" xfId="18417" xr:uid="{00000000-0005-0000-0000-0000252E0000}"/>
    <cellStyle name="20% - Accent6 2 2 5 3 2 2 2" xfId="28728" xr:uid="{00000000-0005-0000-0000-0000262E0000}"/>
    <cellStyle name="20% - Accent6 2 2 5 3 2 3" xfId="18412" xr:uid="{00000000-0005-0000-0000-0000272E0000}"/>
    <cellStyle name="20% - Accent6 2 2 5 3 3" xfId="19468" xr:uid="{00000000-0005-0000-0000-0000282E0000}"/>
    <cellStyle name="20% - Accent6 2 2 5 3 3 2" xfId="18406" xr:uid="{00000000-0005-0000-0000-0000292E0000}"/>
    <cellStyle name="20% - Accent6 2 2 5 3 4" xfId="19467" xr:uid="{00000000-0005-0000-0000-00002A2E0000}"/>
    <cellStyle name="20% - Accent6 2 2 5 4" xfId="19465" xr:uid="{00000000-0005-0000-0000-00002B2E0000}"/>
    <cellStyle name="20% - Accent6 2 2 5 4 2" xfId="19464" xr:uid="{00000000-0005-0000-0000-00002C2E0000}"/>
    <cellStyle name="20% - Accent6 2 2 5 4 2 2" xfId="8130" xr:uid="{00000000-0005-0000-0000-00002D2E0000}"/>
    <cellStyle name="20% - Accent6 2 2 5 4 3" xfId="20120" xr:uid="{00000000-0005-0000-0000-00002E2E0000}"/>
    <cellStyle name="20% - Accent6 2 2 5 5" xfId="21013" xr:uid="{00000000-0005-0000-0000-00002F2E0000}"/>
    <cellStyle name="20% - Accent6 2 2 5 5 2" xfId="33010" xr:uid="{00000000-0005-0000-0000-0000302E0000}"/>
    <cellStyle name="20% - Accent6 2 2 5 6" xfId="19461" xr:uid="{00000000-0005-0000-0000-0000312E0000}"/>
    <cellStyle name="20% - Accent6 2 2 6" xfId="19460" xr:uid="{00000000-0005-0000-0000-0000322E0000}"/>
    <cellStyle name="20% - Accent6 2 2 6 2" xfId="19457" xr:uid="{00000000-0005-0000-0000-0000332E0000}"/>
    <cellStyle name="20% - Accent6 2 2 6 2 2" xfId="19453" xr:uid="{00000000-0005-0000-0000-0000342E0000}"/>
    <cellStyle name="20% - Accent6 2 2 6 2 2 2" xfId="19450" xr:uid="{00000000-0005-0000-0000-0000352E0000}"/>
    <cellStyle name="20% - Accent6 2 2 6 2 2 2 2" xfId="27060" xr:uid="{00000000-0005-0000-0000-0000362E0000}"/>
    <cellStyle name="20% - Accent6 2 2 6 2 2 3" xfId="33124" xr:uid="{00000000-0005-0000-0000-0000372E0000}"/>
    <cellStyle name="20% - Accent6 2 2 6 2 3" xfId="19448" xr:uid="{00000000-0005-0000-0000-0000382E0000}"/>
    <cellStyle name="20% - Accent6 2 2 6 2 3 2" xfId="19447" xr:uid="{00000000-0005-0000-0000-0000392E0000}"/>
    <cellStyle name="20% - Accent6 2 2 6 2 4" xfId="19446" xr:uid="{00000000-0005-0000-0000-00003A2E0000}"/>
    <cellStyle name="20% - Accent6 2 2 6 3" xfId="19444" xr:uid="{00000000-0005-0000-0000-00003B2E0000}"/>
    <cellStyle name="20% - Accent6 2 2 6 3 2" xfId="19443" xr:uid="{00000000-0005-0000-0000-00003C2E0000}"/>
    <cellStyle name="20% - Accent6 2 2 6 3 2 2" xfId="18368" xr:uid="{00000000-0005-0000-0000-00003D2E0000}"/>
    <cellStyle name="20% - Accent6 2 2 6 3 3" xfId="19442" xr:uid="{00000000-0005-0000-0000-00003E2E0000}"/>
    <cellStyle name="20% - Accent6 2 2 6 4" xfId="19441" xr:uid="{00000000-0005-0000-0000-00003F2E0000}"/>
    <cellStyle name="20% - Accent6 2 2 6 4 2" xfId="28992" xr:uid="{00000000-0005-0000-0000-0000402E0000}"/>
    <cellStyle name="20% - Accent6 2 2 6 5" xfId="19440" xr:uid="{00000000-0005-0000-0000-0000412E0000}"/>
    <cellStyle name="20% - Accent6 2 2 7" xfId="19439" xr:uid="{00000000-0005-0000-0000-0000422E0000}"/>
    <cellStyle name="20% - Accent6 2 2 7 2" xfId="23420" xr:uid="{00000000-0005-0000-0000-0000432E0000}"/>
    <cellStyle name="20% - Accent6 2 2 7 2 2" xfId="19438" xr:uid="{00000000-0005-0000-0000-0000442E0000}"/>
    <cellStyle name="20% - Accent6 2 2 7 2 2 2" xfId="19436" xr:uid="{00000000-0005-0000-0000-0000452E0000}"/>
    <cellStyle name="20% - Accent6 2 2 7 2 3" xfId="19435" xr:uid="{00000000-0005-0000-0000-0000462E0000}"/>
    <cellStyle name="20% - Accent6 2 2 7 3" xfId="19433" xr:uid="{00000000-0005-0000-0000-0000472E0000}"/>
    <cellStyle name="20% - Accent6 2 2 7 3 2" xfId="19431" xr:uid="{00000000-0005-0000-0000-0000482E0000}"/>
    <cellStyle name="20% - Accent6 2 2 7 4" xfId="7886" xr:uid="{00000000-0005-0000-0000-0000492E0000}"/>
    <cellStyle name="20% - Accent6 2 2 8" xfId="19430" xr:uid="{00000000-0005-0000-0000-00004A2E0000}"/>
    <cellStyle name="20% - Accent6 2 2 8 2" xfId="19429" xr:uid="{00000000-0005-0000-0000-00004B2E0000}"/>
    <cellStyle name="20% - Accent6 2 2 8 2 2" xfId="19427" xr:uid="{00000000-0005-0000-0000-00004C2E0000}"/>
    <cellStyle name="20% - Accent6 2 2 8 3" xfId="19421" xr:uid="{00000000-0005-0000-0000-00004D2E0000}"/>
    <cellStyle name="20% - Accent6 2 2 9" xfId="19417" xr:uid="{00000000-0005-0000-0000-00004E2E0000}"/>
    <cellStyle name="20% - Accent6 2 2 9 2" xfId="19415" xr:uid="{00000000-0005-0000-0000-00004F2E0000}"/>
    <cellStyle name="20% - Accent6 2 3" xfId="215" xr:uid="{00000000-0005-0000-0000-0000502E0000}"/>
    <cellStyle name="20% - Accent6 2 3 10" xfId="34545" xr:uid="{00000000-0005-0000-0000-0000512E0000}"/>
    <cellStyle name="20% - Accent6 2 3 11" xfId="19413" xr:uid="{00000000-0005-0000-0000-0000522E0000}"/>
    <cellStyle name="20% - Accent6 2 3 2" xfId="30886" xr:uid="{00000000-0005-0000-0000-0000532E0000}"/>
    <cellStyle name="20% - Accent6 2 3 2 2" xfId="19410" xr:uid="{00000000-0005-0000-0000-0000542E0000}"/>
    <cellStyle name="20% - Accent6 2 3 2 2 2" xfId="19408" xr:uid="{00000000-0005-0000-0000-0000552E0000}"/>
    <cellStyle name="20% - Accent6 2 3 2 2 2 2" xfId="26449" xr:uid="{00000000-0005-0000-0000-0000562E0000}"/>
    <cellStyle name="20% - Accent6 2 3 2 2 2 2 2" xfId="26984" xr:uid="{00000000-0005-0000-0000-0000572E0000}"/>
    <cellStyle name="20% - Accent6 2 3 2 2 2 2 2 2" xfId="6249" xr:uid="{00000000-0005-0000-0000-0000582E0000}"/>
    <cellStyle name="20% - Accent6 2 3 2 2 2 2 2 2 2" xfId="21054" xr:uid="{00000000-0005-0000-0000-0000592E0000}"/>
    <cellStyle name="20% - Accent6 2 3 2 2 2 2 2 2 2 2" xfId="19406" xr:uid="{00000000-0005-0000-0000-00005A2E0000}"/>
    <cellStyle name="20% - Accent6 2 3 2 2 2 2 2 2 3" xfId="14620" xr:uid="{00000000-0005-0000-0000-00005B2E0000}"/>
    <cellStyle name="20% - Accent6 2 3 2 2 2 2 2 3" xfId="14773" xr:uid="{00000000-0005-0000-0000-00005C2E0000}"/>
    <cellStyle name="20% - Accent6 2 3 2 2 2 2 2 3 2" xfId="21041" xr:uid="{00000000-0005-0000-0000-00005D2E0000}"/>
    <cellStyle name="20% - Accent6 2 3 2 2 2 2 2 4" xfId="24074" xr:uid="{00000000-0005-0000-0000-00005E2E0000}"/>
    <cellStyle name="20% - Accent6 2 3 2 2 2 2 3" xfId="27271" xr:uid="{00000000-0005-0000-0000-00005F2E0000}"/>
    <cellStyle name="20% - Accent6 2 3 2 2 2 2 3 2" xfId="22569" xr:uid="{00000000-0005-0000-0000-0000602E0000}"/>
    <cellStyle name="20% - Accent6 2 3 2 2 2 2 3 2 2" xfId="21032" xr:uid="{00000000-0005-0000-0000-0000612E0000}"/>
    <cellStyle name="20% - Accent6 2 3 2 2 2 2 3 3" xfId="25712" xr:uid="{00000000-0005-0000-0000-0000622E0000}"/>
    <cellStyle name="20% - Accent6 2 3 2 2 2 2 4" xfId="26633" xr:uid="{00000000-0005-0000-0000-0000632E0000}"/>
    <cellStyle name="20% - Accent6 2 3 2 2 2 2 4 2" xfId="22587" xr:uid="{00000000-0005-0000-0000-0000642E0000}"/>
    <cellStyle name="20% - Accent6 2 3 2 2 2 2 5" xfId="19404" xr:uid="{00000000-0005-0000-0000-0000652E0000}"/>
    <cellStyle name="20% - Accent6 2 3 2 2 2 3" xfId="19402" xr:uid="{00000000-0005-0000-0000-0000662E0000}"/>
    <cellStyle name="20% - Accent6 2 3 2 2 2 3 2" xfId="8500" xr:uid="{00000000-0005-0000-0000-0000672E0000}"/>
    <cellStyle name="20% - Accent6 2 3 2 2 2 3 2 2" xfId="22540" xr:uid="{00000000-0005-0000-0000-0000682E0000}"/>
    <cellStyle name="20% - Accent6 2 3 2 2 2 3 2 2 2" xfId="8380" xr:uid="{00000000-0005-0000-0000-0000692E0000}"/>
    <cellStyle name="20% - Accent6 2 3 2 2 2 3 2 3" xfId="24104" xr:uid="{00000000-0005-0000-0000-00006A2E0000}"/>
    <cellStyle name="20% - Accent6 2 3 2 2 2 3 3" xfId="17561" xr:uid="{00000000-0005-0000-0000-00006B2E0000}"/>
    <cellStyle name="20% - Accent6 2 3 2 2 2 3 3 2" xfId="22504" xr:uid="{00000000-0005-0000-0000-00006C2E0000}"/>
    <cellStyle name="20% - Accent6 2 3 2 2 2 3 4" xfId="19401" xr:uid="{00000000-0005-0000-0000-00006D2E0000}"/>
    <cellStyle name="20% - Accent6 2 3 2 2 2 4" xfId="19396" xr:uid="{00000000-0005-0000-0000-00006E2E0000}"/>
    <cellStyle name="20% - Accent6 2 3 2 2 2 4 2" xfId="33648" xr:uid="{00000000-0005-0000-0000-00006F2E0000}"/>
    <cellStyle name="20% - Accent6 2 3 2 2 2 4 2 2" xfId="22470" xr:uid="{00000000-0005-0000-0000-0000702E0000}"/>
    <cellStyle name="20% - Accent6 2 3 2 2 2 4 3" xfId="19394" xr:uid="{00000000-0005-0000-0000-0000712E0000}"/>
    <cellStyle name="20% - Accent6 2 3 2 2 2 5" xfId="19393" xr:uid="{00000000-0005-0000-0000-0000722E0000}"/>
    <cellStyle name="20% - Accent6 2 3 2 2 2 5 2" xfId="34392" xr:uid="{00000000-0005-0000-0000-0000732E0000}"/>
    <cellStyle name="20% - Accent6 2 3 2 2 2 6" xfId="19390" xr:uid="{00000000-0005-0000-0000-0000742E0000}"/>
    <cellStyle name="20% - Accent6 2 3 2 2 3" xfId="19389" xr:uid="{00000000-0005-0000-0000-0000752E0000}"/>
    <cellStyle name="20% - Accent6 2 3 2 2 3 2" xfId="19388" xr:uid="{00000000-0005-0000-0000-0000762E0000}"/>
    <cellStyle name="20% - Accent6 2 3 2 2 3 2 2" xfId="32465" xr:uid="{00000000-0005-0000-0000-0000772E0000}"/>
    <cellStyle name="20% - Accent6 2 3 2 2 3 2 2 2" xfId="22404" xr:uid="{00000000-0005-0000-0000-0000782E0000}"/>
    <cellStyle name="20% - Accent6 2 3 2 2 3 2 2 2 2" xfId="20977" xr:uid="{00000000-0005-0000-0000-0000792E0000}"/>
    <cellStyle name="20% - Accent6 2 3 2 2 3 2 2 3" xfId="25662" xr:uid="{00000000-0005-0000-0000-00007A2E0000}"/>
    <cellStyle name="20% - Accent6 2 3 2 2 3 2 3" xfId="31108" xr:uid="{00000000-0005-0000-0000-00007B2E0000}"/>
    <cellStyle name="20% - Accent6 2 3 2 2 3 2 3 2" xfId="22385" xr:uid="{00000000-0005-0000-0000-00007C2E0000}"/>
    <cellStyle name="20% - Accent6 2 3 2 2 3 2 4" xfId="19387" xr:uid="{00000000-0005-0000-0000-00007D2E0000}"/>
    <cellStyle name="20% - Accent6 2 3 2 2 3 3" xfId="19385" xr:uid="{00000000-0005-0000-0000-00007E2E0000}"/>
    <cellStyle name="20% - Accent6 2 3 2 2 3 3 2" xfId="19418" xr:uid="{00000000-0005-0000-0000-00007F2E0000}"/>
    <cellStyle name="20% - Accent6 2 3 2 2 3 3 2 2" xfId="13523" xr:uid="{00000000-0005-0000-0000-0000802E0000}"/>
    <cellStyle name="20% - Accent6 2 3 2 2 3 3 3" xfId="19384" xr:uid="{00000000-0005-0000-0000-0000812E0000}"/>
    <cellStyle name="20% - Accent6 2 3 2 2 3 4" xfId="19383" xr:uid="{00000000-0005-0000-0000-0000822E0000}"/>
    <cellStyle name="20% - Accent6 2 3 2 2 3 4 2" xfId="19382" xr:uid="{00000000-0005-0000-0000-0000832E0000}"/>
    <cellStyle name="20% - Accent6 2 3 2 2 3 5" xfId="22086" xr:uid="{00000000-0005-0000-0000-0000842E0000}"/>
    <cellStyle name="20% - Accent6 2 3 2 2 4" xfId="19381" xr:uid="{00000000-0005-0000-0000-0000852E0000}"/>
    <cellStyle name="20% - Accent6 2 3 2 2 4 2" xfId="19380" xr:uid="{00000000-0005-0000-0000-0000862E0000}"/>
    <cellStyle name="20% - Accent6 2 3 2 2 4 2 2" xfId="21012" xr:uid="{00000000-0005-0000-0000-0000872E0000}"/>
    <cellStyle name="20% - Accent6 2 3 2 2 4 2 2 2" xfId="19520" xr:uid="{00000000-0005-0000-0000-0000882E0000}"/>
    <cellStyle name="20% - Accent6 2 3 2 2 4 2 3" xfId="21572" xr:uid="{00000000-0005-0000-0000-0000892E0000}"/>
    <cellStyle name="20% - Accent6 2 3 2 2 4 3" xfId="19374" xr:uid="{00000000-0005-0000-0000-00008A2E0000}"/>
    <cellStyle name="20% - Accent6 2 3 2 2 4 3 2" xfId="21568" xr:uid="{00000000-0005-0000-0000-00008B2E0000}"/>
    <cellStyle name="20% - Accent6 2 3 2 2 4 4" xfId="21121" xr:uid="{00000000-0005-0000-0000-00008C2E0000}"/>
    <cellStyle name="20% - Accent6 2 3 2 2 5" xfId="20197" xr:uid="{00000000-0005-0000-0000-00008D2E0000}"/>
    <cellStyle name="20% - Accent6 2 3 2 2 5 2" xfId="26883" xr:uid="{00000000-0005-0000-0000-00008E2E0000}"/>
    <cellStyle name="20% - Accent6 2 3 2 2 5 2 2" xfId="21471" xr:uid="{00000000-0005-0000-0000-00008F2E0000}"/>
    <cellStyle name="20% - Accent6 2 3 2 2 5 3" xfId="20195" xr:uid="{00000000-0005-0000-0000-0000902E0000}"/>
    <cellStyle name="20% - Accent6 2 3 2 2 6" xfId="20191" xr:uid="{00000000-0005-0000-0000-0000912E0000}"/>
    <cellStyle name="20% - Accent6 2 3 2 2 6 2" xfId="19639" xr:uid="{00000000-0005-0000-0000-0000922E0000}"/>
    <cellStyle name="20% - Accent6 2 3 2 2 7" xfId="20189" xr:uid="{00000000-0005-0000-0000-0000932E0000}"/>
    <cellStyle name="20% - Accent6 2 3 2 3" xfId="20517" xr:uid="{00000000-0005-0000-0000-0000942E0000}"/>
    <cellStyle name="20% - Accent6 2 3 2 3 2" xfId="20103" xr:uid="{00000000-0005-0000-0000-0000952E0000}"/>
    <cellStyle name="20% - Accent6 2 3 2 3 2 2" xfId="20100" xr:uid="{00000000-0005-0000-0000-0000962E0000}"/>
    <cellStyle name="20% - Accent6 2 3 2 3 2 2 2" xfId="31900" xr:uid="{00000000-0005-0000-0000-0000972E0000}"/>
    <cellStyle name="20% - Accent6 2 3 2 3 2 2 2 2" xfId="20298" xr:uid="{00000000-0005-0000-0000-0000982E0000}"/>
    <cellStyle name="20% - Accent6 2 3 2 3 2 2 2 2 2" xfId="31213" xr:uid="{00000000-0005-0000-0000-0000992E0000}"/>
    <cellStyle name="20% - Accent6 2 3 2 3 2 2 2 3" xfId="26087" xr:uid="{00000000-0005-0000-0000-00009A2E0000}"/>
    <cellStyle name="20% - Accent6 2 3 2 3 2 2 3" xfId="31897" xr:uid="{00000000-0005-0000-0000-00009B2E0000}"/>
    <cellStyle name="20% - Accent6 2 3 2 3 2 2 3 2" xfId="26134" xr:uid="{00000000-0005-0000-0000-00009C2E0000}"/>
    <cellStyle name="20% - Accent6 2 3 2 3 2 2 4" xfId="23868" xr:uid="{00000000-0005-0000-0000-00009D2E0000}"/>
    <cellStyle name="20% - Accent6 2 3 2 3 2 3" xfId="19370" xr:uid="{00000000-0005-0000-0000-00009E2E0000}"/>
    <cellStyle name="20% - Accent6 2 3 2 3 2 3 2" xfId="31867" xr:uid="{00000000-0005-0000-0000-00009F2E0000}"/>
    <cellStyle name="20% - Accent6 2 3 2 3 2 3 2 2" xfId="26126" xr:uid="{00000000-0005-0000-0000-0000A02E0000}"/>
    <cellStyle name="20% - Accent6 2 3 2 3 2 3 3" xfId="23833" xr:uid="{00000000-0005-0000-0000-0000A12E0000}"/>
    <cellStyle name="20% - Accent6 2 3 2 3 2 4" xfId="19366" xr:uid="{00000000-0005-0000-0000-0000A22E0000}"/>
    <cellStyle name="20% - Accent6 2 3 2 3 2 4 2" xfId="23815" xr:uid="{00000000-0005-0000-0000-0000A32E0000}"/>
    <cellStyle name="20% - Accent6 2 3 2 3 2 5" xfId="19360" xr:uid="{00000000-0005-0000-0000-0000A42E0000}"/>
    <cellStyle name="20% - Accent6 2 3 2 3 3" xfId="19692" xr:uid="{00000000-0005-0000-0000-0000A52E0000}"/>
    <cellStyle name="20% - Accent6 2 3 2 3 3 2" xfId="19358" xr:uid="{00000000-0005-0000-0000-0000A62E0000}"/>
    <cellStyle name="20% - Accent6 2 3 2 3 3 2 2" xfId="32893" xr:uid="{00000000-0005-0000-0000-0000A72E0000}"/>
    <cellStyle name="20% - Accent6 2 3 2 3 3 2 2 2" xfId="8997" xr:uid="{00000000-0005-0000-0000-0000A82E0000}"/>
    <cellStyle name="20% - Accent6 2 3 2 3 3 2 3" xfId="23785" xr:uid="{00000000-0005-0000-0000-0000A92E0000}"/>
    <cellStyle name="20% - Accent6 2 3 2 3 3 3" xfId="19354" xr:uid="{00000000-0005-0000-0000-0000AA2E0000}"/>
    <cellStyle name="20% - Accent6 2 3 2 3 3 3 2" xfId="23779" xr:uid="{00000000-0005-0000-0000-0000AB2E0000}"/>
    <cellStyle name="20% - Accent6 2 3 2 3 3 4" xfId="19347" xr:uid="{00000000-0005-0000-0000-0000AC2E0000}"/>
    <cellStyle name="20% - Accent6 2 3 2 3 4" xfId="19345" xr:uid="{00000000-0005-0000-0000-0000AD2E0000}"/>
    <cellStyle name="20% - Accent6 2 3 2 3 4 2" xfId="19343" xr:uid="{00000000-0005-0000-0000-0000AE2E0000}"/>
    <cellStyle name="20% - Accent6 2 3 2 3 4 2 2" xfId="23749" xr:uid="{00000000-0005-0000-0000-0000AF2E0000}"/>
    <cellStyle name="20% - Accent6 2 3 2 3 4 3" xfId="19337" xr:uid="{00000000-0005-0000-0000-0000B02E0000}"/>
    <cellStyle name="20% - Accent6 2 3 2 3 5" xfId="19484" xr:uid="{00000000-0005-0000-0000-0000B12E0000}"/>
    <cellStyle name="20% - Accent6 2 3 2 3 5 2" xfId="20183" xr:uid="{00000000-0005-0000-0000-0000B22E0000}"/>
    <cellStyle name="20% - Accent6 2 3 2 3 6" xfId="19458" xr:uid="{00000000-0005-0000-0000-0000B32E0000}"/>
    <cellStyle name="20% - Accent6 2 3 2 4" xfId="19411" xr:uid="{00000000-0005-0000-0000-0000B42E0000}"/>
    <cellStyle name="20% - Accent6 2 3 2 4 2" xfId="30884" xr:uid="{00000000-0005-0000-0000-0000B52E0000}"/>
    <cellStyle name="20% - Accent6 2 3 2 4 2 2" xfId="19333" xr:uid="{00000000-0005-0000-0000-0000B62E0000}"/>
    <cellStyle name="20% - Accent6 2 3 2 4 2 2 2" xfId="33199" xr:uid="{00000000-0005-0000-0000-0000B72E0000}"/>
    <cellStyle name="20% - Accent6 2 3 2 4 2 2 2 2" xfId="17514" xr:uid="{00000000-0005-0000-0000-0000B82E0000}"/>
    <cellStyle name="20% - Accent6 2 3 2 4 2 2 3" xfId="23006" xr:uid="{00000000-0005-0000-0000-0000B92E0000}"/>
    <cellStyle name="20% - Accent6 2 3 2 4 2 3" xfId="19330" xr:uid="{00000000-0005-0000-0000-0000BA2E0000}"/>
    <cellStyle name="20% - Accent6 2 3 2 4 2 3 2" xfId="22989" xr:uid="{00000000-0005-0000-0000-0000BB2E0000}"/>
    <cellStyle name="20% - Accent6 2 3 2 4 2 4" xfId="19325" xr:uid="{00000000-0005-0000-0000-0000BC2E0000}"/>
    <cellStyle name="20% - Accent6 2 3 2 4 3" xfId="19304" xr:uid="{00000000-0005-0000-0000-0000BD2E0000}"/>
    <cellStyle name="20% - Accent6 2 3 2 4 3 2" xfId="29058" xr:uid="{00000000-0005-0000-0000-0000BE2E0000}"/>
    <cellStyle name="20% - Accent6 2 3 2 4 3 2 2" xfId="22962" xr:uid="{00000000-0005-0000-0000-0000BF2E0000}"/>
    <cellStyle name="20% - Accent6 2 3 2 4 3 3" xfId="24426" xr:uid="{00000000-0005-0000-0000-0000C02E0000}"/>
    <cellStyle name="20% - Accent6 2 3 2 4 4" xfId="7028" xr:uid="{00000000-0005-0000-0000-0000C12E0000}"/>
    <cellStyle name="20% - Accent6 2 3 2 4 4 2" xfId="25164" xr:uid="{00000000-0005-0000-0000-0000C22E0000}"/>
    <cellStyle name="20% - Accent6 2 3 2 4 5" xfId="7024" xr:uid="{00000000-0005-0000-0000-0000C32E0000}"/>
    <cellStyle name="20% - Accent6 2 3 2 5" xfId="18438" xr:uid="{00000000-0005-0000-0000-0000C42E0000}"/>
    <cellStyle name="20% - Accent6 2 3 2 5 2" xfId="19163" xr:uid="{00000000-0005-0000-0000-0000C52E0000}"/>
    <cellStyle name="20% - Accent6 2 3 2 5 2 2" xfId="19156" xr:uid="{00000000-0005-0000-0000-0000C62E0000}"/>
    <cellStyle name="20% - Accent6 2 3 2 5 2 2 2" xfId="22649" xr:uid="{00000000-0005-0000-0000-0000C72E0000}"/>
    <cellStyle name="20% - Accent6 2 3 2 5 2 3" xfId="19322" xr:uid="{00000000-0005-0000-0000-0000C82E0000}"/>
    <cellStyle name="20% - Accent6 2 3 2 5 3" xfId="19124" xr:uid="{00000000-0005-0000-0000-0000C92E0000}"/>
    <cellStyle name="20% - Accent6 2 3 2 5 3 2" xfId="19118" xr:uid="{00000000-0005-0000-0000-0000CA2E0000}"/>
    <cellStyle name="20% - Accent6 2 3 2 5 4" xfId="7022" xr:uid="{00000000-0005-0000-0000-0000CB2E0000}"/>
    <cellStyle name="20% - Accent6 2 3 2 6" xfId="18432" xr:uid="{00000000-0005-0000-0000-0000CC2E0000}"/>
    <cellStyle name="20% - Accent6 2 3 2 6 2" xfId="19320" xr:uid="{00000000-0005-0000-0000-0000CD2E0000}"/>
    <cellStyle name="20% - Accent6 2 3 2 6 2 2" xfId="19317" xr:uid="{00000000-0005-0000-0000-0000CE2E0000}"/>
    <cellStyle name="20% - Accent6 2 3 2 6 3" xfId="19315" xr:uid="{00000000-0005-0000-0000-0000CF2E0000}"/>
    <cellStyle name="20% - Accent6 2 3 2 7" xfId="19311" xr:uid="{00000000-0005-0000-0000-0000D02E0000}"/>
    <cellStyle name="20% - Accent6 2 3 2 7 2" xfId="19309" xr:uid="{00000000-0005-0000-0000-0000D12E0000}"/>
    <cellStyle name="20% - Accent6 2 3 2 8" xfId="33140" xr:uid="{00000000-0005-0000-0000-0000D22E0000}"/>
    <cellStyle name="20% - Accent6 2 3 3" xfId="19306" xr:uid="{00000000-0005-0000-0000-0000D32E0000}"/>
    <cellStyle name="20% - Accent6 2 3 3 2" xfId="12412" xr:uid="{00000000-0005-0000-0000-0000D42E0000}"/>
    <cellStyle name="20% - Accent6 2 3 3 2 2" xfId="19302" xr:uid="{00000000-0005-0000-0000-0000D52E0000}"/>
    <cellStyle name="20% - Accent6 2 3 3 2 2 2" xfId="23727" xr:uid="{00000000-0005-0000-0000-0000D62E0000}"/>
    <cellStyle name="20% - Accent6 2 3 3 2 2 2 2" xfId="30191" xr:uid="{00000000-0005-0000-0000-0000D72E0000}"/>
    <cellStyle name="20% - Accent6 2 3 3 2 2 2 2 2" xfId="32301" xr:uid="{00000000-0005-0000-0000-0000D82E0000}"/>
    <cellStyle name="20% - Accent6 2 3 3 2 2 2 2 2 2" xfId="20736" xr:uid="{00000000-0005-0000-0000-0000D92E0000}"/>
    <cellStyle name="20% - Accent6 2 3 3 2 2 2 2 3" xfId="29303" xr:uid="{00000000-0005-0000-0000-0000DA2E0000}"/>
    <cellStyle name="20% - Accent6 2 3 3 2 2 2 3" xfId="25871" xr:uid="{00000000-0005-0000-0000-0000DB2E0000}"/>
    <cellStyle name="20% - Accent6 2 3 3 2 2 2 3 2" xfId="28409" xr:uid="{00000000-0005-0000-0000-0000DC2E0000}"/>
    <cellStyle name="20% - Accent6 2 3 3 2 2 2 4" xfId="31491" xr:uid="{00000000-0005-0000-0000-0000DD2E0000}"/>
    <cellStyle name="20% - Accent6 2 3 3 2 2 3" xfId="19300" xr:uid="{00000000-0005-0000-0000-0000DE2E0000}"/>
    <cellStyle name="20% - Accent6 2 3 3 2 2 3 2" xfId="22834" xr:uid="{00000000-0005-0000-0000-0000DF2E0000}"/>
    <cellStyle name="20% - Accent6 2 3 3 2 2 3 2 2" xfId="32281" xr:uid="{00000000-0005-0000-0000-0000E02E0000}"/>
    <cellStyle name="20% - Accent6 2 3 3 2 2 3 3" xfId="19297" xr:uid="{00000000-0005-0000-0000-0000E12E0000}"/>
    <cellStyle name="20% - Accent6 2 3 3 2 2 4" xfId="13502" xr:uid="{00000000-0005-0000-0000-0000E22E0000}"/>
    <cellStyle name="20% - Accent6 2 3 3 2 2 4 2" xfId="19295" xr:uid="{00000000-0005-0000-0000-0000E32E0000}"/>
    <cellStyle name="20% - Accent6 2 3 3 2 2 5" xfId="33393" xr:uid="{00000000-0005-0000-0000-0000E42E0000}"/>
    <cellStyle name="20% - Accent6 2 3 3 2 3" xfId="19293" xr:uid="{00000000-0005-0000-0000-0000E52E0000}"/>
    <cellStyle name="20% - Accent6 2 3 3 2 3 2" xfId="19291" xr:uid="{00000000-0005-0000-0000-0000E62E0000}"/>
    <cellStyle name="20% - Accent6 2 3 3 2 3 2 2" xfId="28885" xr:uid="{00000000-0005-0000-0000-0000E72E0000}"/>
    <cellStyle name="20% - Accent6 2 3 3 2 3 2 2 2" xfId="32151" xr:uid="{00000000-0005-0000-0000-0000E82E0000}"/>
    <cellStyle name="20% - Accent6 2 3 3 2 3 2 3" xfId="19290" xr:uid="{00000000-0005-0000-0000-0000E92E0000}"/>
    <cellStyle name="20% - Accent6 2 3 3 2 3 3" xfId="19287" xr:uid="{00000000-0005-0000-0000-0000EA2E0000}"/>
    <cellStyle name="20% - Accent6 2 3 3 2 3 3 2" xfId="24133" xr:uid="{00000000-0005-0000-0000-0000EB2E0000}"/>
    <cellStyle name="20% - Accent6 2 3 3 2 3 4" xfId="7716" xr:uid="{00000000-0005-0000-0000-0000EC2E0000}"/>
    <cellStyle name="20% - Accent6 2 3 3 2 4" xfId="19286" xr:uid="{00000000-0005-0000-0000-0000ED2E0000}"/>
    <cellStyle name="20% - Accent6 2 3 3 2 4 2" xfId="12418" xr:uid="{00000000-0005-0000-0000-0000EE2E0000}"/>
    <cellStyle name="20% - Accent6 2 3 3 2 4 2 2" xfId="21319" xr:uid="{00000000-0005-0000-0000-0000EF2E0000}"/>
    <cellStyle name="20% - Accent6 2 3 3 2 4 3" xfId="19284" xr:uid="{00000000-0005-0000-0000-0000F02E0000}"/>
    <cellStyle name="20% - Accent6 2 3 3 2 5" xfId="28547" xr:uid="{00000000-0005-0000-0000-0000F12E0000}"/>
    <cellStyle name="20% - Accent6 2 3 3 2 5 2" xfId="20152" xr:uid="{00000000-0005-0000-0000-0000F22E0000}"/>
    <cellStyle name="20% - Accent6 2 3 3 2 6" xfId="20150" xr:uid="{00000000-0005-0000-0000-0000F32E0000}"/>
    <cellStyle name="20% - Accent6 2 3 3 3" xfId="19016" xr:uid="{00000000-0005-0000-0000-0000F42E0000}"/>
    <cellStyle name="20% - Accent6 2 3 3 3 2" xfId="19013" xr:uid="{00000000-0005-0000-0000-0000F52E0000}"/>
    <cellStyle name="20% - Accent6 2 3 3 3 2 2" xfId="19010" xr:uid="{00000000-0005-0000-0000-0000F62E0000}"/>
    <cellStyle name="20% - Accent6 2 3 3 3 2 2 2" xfId="28634" xr:uid="{00000000-0005-0000-0000-0000F72E0000}"/>
    <cellStyle name="20% - Accent6 2 3 3 3 2 2 2 2" xfId="25617" xr:uid="{00000000-0005-0000-0000-0000F82E0000}"/>
    <cellStyle name="20% - Accent6 2 3 3 3 2 2 3" xfId="21199" xr:uid="{00000000-0005-0000-0000-0000F92E0000}"/>
    <cellStyle name="20% - Accent6 2 3 3 3 2 3" xfId="28139" xr:uid="{00000000-0005-0000-0000-0000FA2E0000}"/>
    <cellStyle name="20% - Accent6 2 3 3 3 2 3 2" xfId="20477" xr:uid="{00000000-0005-0000-0000-0000FB2E0000}"/>
    <cellStyle name="20% - Accent6 2 3 3 3 2 4" xfId="26017" xr:uid="{00000000-0005-0000-0000-0000FC2E0000}"/>
    <cellStyle name="20% - Accent6 2 3 3 3 3" xfId="19282" xr:uid="{00000000-0005-0000-0000-0000FD2E0000}"/>
    <cellStyle name="20% - Accent6 2 3 3 3 3 2" xfId="18842" xr:uid="{00000000-0005-0000-0000-0000FE2E0000}"/>
    <cellStyle name="20% - Accent6 2 3 3 3 3 2 2" xfId="21155" xr:uid="{00000000-0005-0000-0000-0000FF2E0000}"/>
    <cellStyle name="20% - Accent6 2 3 3 3 3 3" xfId="27533" xr:uid="{00000000-0005-0000-0000-0000002F0000}"/>
    <cellStyle name="20% - Accent6 2 3 3 3 4" xfId="15294" xr:uid="{00000000-0005-0000-0000-0000012F0000}"/>
    <cellStyle name="20% - Accent6 2 3 3 3 4 2" xfId="19279" xr:uid="{00000000-0005-0000-0000-0000022F0000}"/>
    <cellStyle name="20% - Accent6 2 3 3 3 5" xfId="33253" xr:uid="{00000000-0005-0000-0000-0000032F0000}"/>
    <cellStyle name="20% - Accent6 2 3 3 4" xfId="19140" xr:uid="{00000000-0005-0000-0000-0000042F0000}"/>
    <cellStyle name="20% - Accent6 2 3 3 4 2" xfId="18727" xr:uid="{00000000-0005-0000-0000-0000052F0000}"/>
    <cellStyle name="20% - Accent6 2 3 3 4 2 2" xfId="18724" xr:uid="{00000000-0005-0000-0000-0000062F0000}"/>
    <cellStyle name="20% - Accent6 2 3 3 4 2 2 2" xfId="20621" xr:uid="{00000000-0005-0000-0000-0000072F0000}"/>
    <cellStyle name="20% - Accent6 2 3 3 4 2 3" xfId="24901" xr:uid="{00000000-0005-0000-0000-0000082F0000}"/>
    <cellStyle name="20% - Accent6 2 3 3 4 3" xfId="19275" xr:uid="{00000000-0005-0000-0000-0000092F0000}"/>
    <cellStyle name="20% - Accent6 2 3 3 4 3 2" xfId="7801" xr:uid="{00000000-0005-0000-0000-00000A2F0000}"/>
    <cellStyle name="20% - Accent6 2 3 3 4 4" xfId="7016" xr:uid="{00000000-0005-0000-0000-00000B2F0000}"/>
    <cellStyle name="20% - Accent6 2 3 3 5" xfId="19136" xr:uid="{00000000-0005-0000-0000-00000C2F0000}"/>
    <cellStyle name="20% - Accent6 2 3 3 5 2" xfId="18586" xr:uid="{00000000-0005-0000-0000-00000D2F0000}"/>
    <cellStyle name="20% - Accent6 2 3 3 5 2 2" xfId="7761" xr:uid="{00000000-0005-0000-0000-00000E2F0000}"/>
    <cellStyle name="20% - Accent6 2 3 3 5 3" xfId="19270" xr:uid="{00000000-0005-0000-0000-00000F2F0000}"/>
    <cellStyle name="20% - Accent6 2 3 3 6" xfId="19266" xr:uid="{00000000-0005-0000-0000-0000102F0000}"/>
    <cellStyle name="20% - Accent6 2 3 3 6 2" xfId="25924" xr:uid="{00000000-0005-0000-0000-0000112F0000}"/>
    <cellStyle name="20% - Accent6 2 3 3 7" xfId="19264" xr:uid="{00000000-0005-0000-0000-0000122F0000}"/>
    <cellStyle name="20% - Accent6 2 3 4" xfId="33543" xr:uid="{00000000-0005-0000-0000-0000132F0000}"/>
    <cellStyle name="20% - Accent6 2 3 4 2" xfId="25167" xr:uid="{00000000-0005-0000-0000-0000142F0000}"/>
    <cellStyle name="20% - Accent6 2 3 4 2 2" xfId="19261" xr:uid="{00000000-0005-0000-0000-0000152F0000}"/>
    <cellStyle name="20% - Accent6 2 3 4 2 2 2" xfId="30236" xr:uid="{00000000-0005-0000-0000-0000162F0000}"/>
    <cellStyle name="20% - Accent6 2 3 4 2 2 2 2" xfId="23744" xr:uid="{00000000-0005-0000-0000-0000172F0000}"/>
    <cellStyle name="20% - Accent6 2 3 4 2 2 2 2 2" xfId="24967" xr:uid="{00000000-0005-0000-0000-0000182F0000}"/>
    <cellStyle name="20% - Accent6 2 3 4 2 2 2 3" xfId="19260" xr:uid="{00000000-0005-0000-0000-0000192F0000}"/>
    <cellStyle name="20% - Accent6 2 3 4 2 2 3" xfId="19258" xr:uid="{00000000-0005-0000-0000-00001A2F0000}"/>
    <cellStyle name="20% - Accent6 2 3 4 2 2 3 2" xfId="19255" xr:uid="{00000000-0005-0000-0000-00001B2F0000}"/>
    <cellStyle name="20% - Accent6 2 3 4 2 2 4" xfId="29732" xr:uid="{00000000-0005-0000-0000-00001C2F0000}"/>
    <cellStyle name="20% - Accent6 2 3 4 2 3" xfId="19254" xr:uid="{00000000-0005-0000-0000-00001D2F0000}"/>
    <cellStyle name="20% - Accent6 2 3 4 2 3 2" xfId="19252" xr:uid="{00000000-0005-0000-0000-00001E2F0000}"/>
    <cellStyle name="20% - Accent6 2 3 4 2 3 2 2" xfId="24484" xr:uid="{00000000-0005-0000-0000-00001F2F0000}"/>
    <cellStyle name="20% - Accent6 2 3 4 2 3 3" xfId="19250" xr:uid="{00000000-0005-0000-0000-0000202F0000}"/>
    <cellStyle name="20% - Accent6 2 3 4 2 4" xfId="19247" xr:uid="{00000000-0005-0000-0000-0000212F0000}"/>
    <cellStyle name="20% - Accent6 2 3 4 2 4 2" xfId="19244" xr:uid="{00000000-0005-0000-0000-0000222F0000}"/>
    <cellStyle name="20% - Accent6 2 3 4 2 5" xfId="20129" xr:uid="{00000000-0005-0000-0000-0000232F0000}"/>
    <cellStyle name="20% - Accent6 2 3 4 3" xfId="18491" xr:uid="{00000000-0005-0000-0000-0000242F0000}"/>
    <cellStyle name="20% - Accent6 2 3 4 3 2" xfId="19238" xr:uid="{00000000-0005-0000-0000-0000252F0000}"/>
    <cellStyle name="20% - Accent6 2 3 4 3 2 2" xfId="18488" xr:uid="{00000000-0005-0000-0000-0000262F0000}"/>
    <cellStyle name="20% - Accent6 2 3 4 3 2 2 2" xfId="19231" xr:uid="{00000000-0005-0000-0000-0000272F0000}"/>
    <cellStyle name="20% - Accent6 2 3 4 3 2 3" xfId="22770" xr:uid="{00000000-0005-0000-0000-0000282F0000}"/>
    <cellStyle name="20% - Accent6 2 3 4 3 3" xfId="19227" xr:uid="{00000000-0005-0000-0000-0000292F0000}"/>
    <cellStyle name="20% - Accent6 2 3 4 3 3 2" xfId="19223" xr:uid="{00000000-0005-0000-0000-00002A2F0000}"/>
    <cellStyle name="20% - Accent6 2 3 4 3 4" xfId="19219" xr:uid="{00000000-0005-0000-0000-00002B2F0000}"/>
    <cellStyle name="20% - Accent6 2 3 4 4" xfId="19132" xr:uid="{00000000-0005-0000-0000-00002C2F0000}"/>
    <cellStyle name="20% - Accent6 2 3 4 4 2" xfId="19215" xr:uid="{00000000-0005-0000-0000-00002D2F0000}"/>
    <cellStyle name="20% - Accent6 2 3 4 4 2 2" xfId="20570" xr:uid="{00000000-0005-0000-0000-00002E2F0000}"/>
    <cellStyle name="20% - Accent6 2 3 4 4 3" xfId="19211" xr:uid="{00000000-0005-0000-0000-00002F2F0000}"/>
    <cellStyle name="20% - Accent6 2 3 4 5" xfId="18342" xr:uid="{00000000-0005-0000-0000-0000302F0000}"/>
    <cellStyle name="20% - Accent6 2 3 4 5 2" xfId="18339" xr:uid="{00000000-0005-0000-0000-0000312F0000}"/>
    <cellStyle name="20% - Accent6 2 3 4 6" xfId="19207" xr:uid="{00000000-0005-0000-0000-0000322F0000}"/>
    <cellStyle name="20% - Accent6 2 3 5" xfId="25156" xr:uid="{00000000-0005-0000-0000-0000332F0000}"/>
    <cellStyle name="20% - Accent6 2 3 5 2" xfId="19201" xr:uid="{00000000-0005-0000-0000-0000342F0000}"/>
    <cellStyle name="20% - Accent6 2 3 5 2 2" xfId="19195" xr:uid="{00000000-0005-0000-0000-0000352F0000}"/>
    <cellStyle name="20% - Accent6 2 3 5 2 2 2" xfId="19194" xr:uid="{00000000-0005-0000-0000-0000362F0000}"/>
    <cellStyle name="20% - Accent6 2 3 5 2 2 2 2" xfId="16830" xr:uid="{00000000-0005-0000-0000-0000372F0000}"/>
    <cellStyle name="20% - Accent6 2 3 5 2 2 3" xfId="19192" xr:uid="{00000000-0005-0000-0000-0000382F0000}"/>
    <cellStyle name="20% - Accent6 2 3 5 2 3" xfId="19191" xr:uid="{00000000-0005-0000-0000-0000392F0000}"/>
    <cellStyle name="20% - Accent6 2 3 5 2 3 2" xfId="19434" xr:uid="{00000000-0005-0000-0000-00003A2F0000}"/>
    <cellStyle name="20% - Accent6 2 3 5 2 4" xfId="19189" xr:uid="{00000000-0005-0000-0000-00003B2F0000}"/>
    <cellStyle name="20% - Accent6 2 3 5 3" xfId="17850" xr:uid="{00000000-0005-0000-0000-00003C2F0000}"/>
    <cellStyle name="20% - Accent6 2 3 5 3 2" xfId="19186" xr:uid="{00000000-0005-0000-0000-00003D2F0000}"/>
    <cellStyle name="20% - Accent6 2 3 5 3 2 2" xfId="18255" xr:uid="{00000000-0005-0000-0000-00003E2F0000}"/>
    <cellStyle name="20% - Accent6 2 3 5 3 3" xfId="25718" xr:uid="{00000000-0005-0000-0000-00003F2F0000}"/>
    <cellStyle name="20% - Accent6 2 3 5 4" xfId="18215" xr:uid="{00000000-0005-0000-0000-0000402F0000}"/>
    <cellStyle name="20% - Accent6 2 3 5 4 2" xfId="18212" xr:uid="{00000000-0005-0000-0000-0000412F0000}"/>
    <cellStyle name="20% - Accent6 2 3 5 5" xfId="18177" xr:uid="{00000000-0005-0000-0000-0000422F0000}"/>
    <cellStyle name="20% - Accent6 2 3 6" xfId="19182" xr:uid="{00000000-0005-0000-0000-0000432F0000}"/>
    <cellStyle name="20% - Accent6 2 3 6 2" xfId="19180" xr:uid="{00000000-0005-0000-0000-0000442F0000}"/>
    <cellStyle name="20% - Accent6 2 3 6 2 2" xfId="19178" xr:uid="{00000000-0005-0000-0000-0000452F0000}"/>
    <cellStyle name="20% - Accent6 2 3 6 2 2 2" xfId="19177" xr:uid="{00000000-0005-0000-0000-0000462F0000}"/>
    <cellStyle name="20% - Accent6 2 3 6 2 3" xfId="18643" xr:uid="{00000000-0005-0000-0000-0000472F0000}"/>
    <cellStyle name="20% - Accent6 2 3 6 3" xfId="18126" xr:uid="{00000000-0005-0000-0000-0000482F0000}"/>
    <cellStyle name="20% - Accent6 2 3 6 3 2" xfId="18121" xr:uid="{00000000-0005-0000-0000-0000492F0000}"/>
    <cellStyle name="20% - Accent6 2 3 6 4" xfId="18109" xr:uid="{00000000-0005-0000-0000-00004A2F0000}"/>
    <cellStyle name="20% - Accent6 2 3 7" xfId="24111" xr:uid="{00000000-0005-0000-0000-00004B2F0000}"/>
    <cellStyle name="20% - Accent6 2 3 7 2" xfId="19176" xr:uid="{00000000-0005-0000-0000-00004C2F0000}"/>
    <cellStyle name="20% - Accent6 2 3 7 2 2" xfId="19173" xr:uid="{00000000-0005-0000-0000-00004D2F0000}"/>
    <cellStyle name="20% - Accent6 2 3 7 3" xfId="19172" xr:uid="{00000000-0005-0000-0000-00004E2F0000}"/>
    <cellStyle name="20% - Accent6 2 3 8" xfId="24099" xr:uid="{00000000-0005-0000-0000-00004F2F0000}"/>
    <cellStyle name="20% - Accent6 2 3 8 2" xfId="19169" xr:uid="{00000000-0005-0000-0000-0000502F0000}"/>
    <cellStyle name="20% - Accent6 2 3 9" xfId="19167" xr:uid="{00000000-0005-0000-0000-0000512F0000}"/>
    <cellStyle name="20% - Accent6 2 4" xfId="19165" xr:uid="{00000000-0005-0000-0000-0000522F0000}"/>
    <cellStyle name="20% - Accent6 2 4 2" xfId="8883" xr:uid="{00000000-0005-0000-0000-0000532F0000}"/>
    <cellStyle name="20% - Accent6 2 4 2 2" xfId="19162" xr:uid="{00000000-0005-0000-0000-0000542F0000}"/>
    <cellStyle name="20% - Accent6 2 4 2 2 2" xfId="23629" xr:uid="{00000000-0005-0000-0000-0000552F0000}"/>
    <cellStyle name="20% - Accent6 2 4 2 2 2 2" xfId="21077" xr:uid="{00000000-0005-0000-0000-0000562F0000}"/>
    <cellStyle name="20% - Accent6 2 4 2 2 2 2 2" xfId="21074" xr:uid="{00000000-0005-0000-0000-0000572F0000}"/>
    <cellStyle name="20% - Accent6 2 4 2 2 2 2 2 2" xfId="21071" xr:uid="{00000000-0005-0000-0000-0000582F0000}"/>
    <cellStyle name="20% - Accent6 2 4 2 2 2 2 2 2 2" xfId="20538" xr:uid="{00000000-0005-0000-0000-0000592F0000}"/>
    <cellStyle name="20% - Accent6 2 4 2 2 2 2 2 3" xfId="12789" xr:uid="{00000000-0005-0000-0000-00005A2F0000}"/>
    <cellStyle name="20% - Accent6 2 4 2 2 2 2 3" xfId="21068" xr:uid="{00000000-0005-0000-0000-00005B2F0000}"/>
    <cellStyle name="20% - Accent6 2 4 2 2 2 2 3 2" xfId="28534" xr:uid="{00000000-0005-0000-0000-00005C2F0000}"/>
    <cellStyle name="20% - Accent6 2 4 2 2 2 2 4" xfId="27834" xr:uid="{00000000-0005-0000-0000-00005D2F0000}"/>
    <cellStyle name="20% - Accent6 2 4 2 2 2 3" xfId="21065" xr:uid="{00000000-0005-0000-0000-00005E2F0000}"/>
    <cellStyle name="20% - Accent6 2 4 2 2 2 3 2" xfId="17622" xr:uid="{00000000-0005-0000-0000-00005F2F0000}"/>
    <cellStyle name="20% - Accent6 2 4 2 2 2 3 2 2" xfId="33635" xr:uid="{00000000-0005-0000-0000-0000602F0000}"/>
    <cellStyle name="20% - Accent6 2 4 2 2 2 3 3" xfId="10377" xr:uid="{00000000-0005-0000-0000-0000612F0000}"/>
    <cellStyle name="20% - Accent6 2 4 2 2 2 4" xfId="22965" xr:uid="{00000000-0005-0000-0000-0000622F0000}"/>
    <cellStyle name="20% - Accent6 2 4 2 2 2 4 2" xfId="10368" xr:uid="{00000000-0005-0000-0000-0000632F0000}"/>
    <cellStyle name="20% - Accent6 2 4 2 2 2 5" xfId="22945" xr:uid="{00000000-0005-0000-0000-0000642F0000}"/>
    <cellStyle name="20% - Accent6 2 4 2 2 3" xfId="23622" xr:uid="{00000000-0005-0000-0000-0000652F0000}"/>
    <cellStyle name="20% - Accent6 2 4 2 2 3 2" xfId="21027" xr:uid="{00000000-0005-0000-0000-0000662F0000}"/>
    <cellStyle name="20% - Accent6 2 4 2 2 3 2 2" xfId="21023" xr:uid="{00000000-0005-0000-0000-0000672F0000}"/>
    <cellStyle name="20% - Accent6 2 4 2 2 3 2 2 2" xfId="28146" xr:uid="{00000000-0005-0000-0000-0000682F0000}"/>
    <cellStyle name="20% - Accent6 2 4 2 2 3 2 3" xfId="30725" xr:uid="{00000000-0005-0000-0000-0000692F0000}"/>
    <cellStyle name="20% - Accent6 2 4 2 2 3 3" xfId="21020" xr:uid="{00000000-0005-0000-0000-00006A2F0000}"/>
    <cellStyle name="20% - Accent6 2 4 2 2 3 3 2" xfId="12023" xr:uid="{00000000-0005-0000-0000-00006B2F0000}"/>
    <cellStyle name="20% - Accent6 2 4 2 2 3 4" xfId="22644" xr:uid="{00000000-0005-0000-0000-00006C2F0000}"/>
    <cellStyle name="20% - Accent6 2 4 2 2 4" xfId="23618" xr:uid="{00000000-0005-0000-0000-00006D2F0000}"/>
    <cellStyle name="20% - Accent6 2 4 2 2 4 2" xfId="21000" xr:uid="{00000000-0005-0000-0000-00006E2F0000}"/>
    <cellStyle name="20% - Accent6 2 4 2 2 4 2 2" xfId="30436" xr:uid="{00000000-0005-0000-0000-00006F2F0000}"/>
    <cellStyle name="20% - Accent6 2 4 2 2 4 3" xfId="22552" xr:uid="{00000000-0005-0000-0000-0000702F0000}"/>
    <cellStyle name="20% - Accent6 2 4 2 2 5" xfId="19155" xr:uid="{00000000-0005-0000-0000-0000712F0000}"/>
    <cellStyle name="20% - Accent6 2 4 2 2 5 2" xfId="22413" xr:uid="{00000000-0005-0000-0000-0000722F0000}"/>
    <cellStyle name="20% - Accent6 2 4 2 2 6" xfId="19150" xr:uid="{00000000-0005-0000-0000-0000732F0000}"/>
    <cellStyle name="20% - Accent6 2 4 2 3" xfId="25569" xr:uid="{00000000-0005-0000-0000-0000742F0000}"/>
    <cellStyle name="20% - Accent6 2 4 2 3 2" xfId="25063" xr:uid="{00000000-0005-0000-0000-0000752F0000}"/>
    <cellStyle name="20% - Accent6 2 4 2 3 2 2" xfId="17029" xr:uid="{00000000-0005-0000-0000-0000762F0000}"/>
    <cellStyle name="20% - Accent6 2 4 2 3 2 2 2" xfId="20979" xr:uid="{00000000-0005-0000-0000-0000772F0000}"/>
    <cellStyle name="20% - Accent6 2 4 2 3 2 2 2 2" xfId="22546" xr:uid="{00000000-0005-0000-0000-0000782F0000}"/>
    <cellStyle name="20% - Accent6 2 4 2 3 2 2 3" xfId="33986" xr:uid="{00000000-0005-0000-0000-0000792F0000}"/>
    <cellStyle name="20% - Accent6 2 4 2 3 2 3" xfId="14483" xr:uid="{00000000-0005-0000-0000-00007A2F0000}"/>
    <cellStyle name="20% - Accent6 2 4 2 3 2 3 2" xfId="10316" xr:uid="{00000000-0005-0000-0000-00007B2F0000}"/>
    <cellStyle name="20% - Accent6 2 4 2 3 2 4" xfId="14479" xr:uid="{00000000-0005-0000-0000-00007C2F0000}"/>
    <cellStyle name="20% - Accent6 2 4 2 3 3" xfId="23612" xr:uid="{00000000-0005-0000-0000-00007D2F0000}"/>
    <cellStyle name="20% - Accent6 2 4 2 3 3 2" xfId="20460" xr:uid="{00000000-0005-0000-0000-00007E2F0000}"/>
    <cellStyle name="20% - Accent6 2 4 2 3 3 2 2" xfId="29955" xr:uid="{00000000-0005-0000-0000-00007F2F0000}"/>
    <cellStyle name="20% - Accent6 2 4 2 3 3 3" xfId="20414" xr:uid="{00000000-0005-0000-0000-0000802F0000}"/>
    <cellStyle name="20% - Accent6 2 4 2 3 4" xfId="14472" xr:uid="{00000000-0005-0000-0000-0000812F0000}"/>
    <cellStyle name="20% - Accent6 2 4 2 3 4 2" xfId="20306" xr:uid="{00000000-0005-0000-0000-0000822F0000}"/>
    <cellStyle name="20% - Accent6 2 4 2 3 5" xfId="14470" xr:uid="{00000000-0005-0000-0000-0000832F0000}"/>
    <cellStyle name="20% - Accent6 2 4 2 4" xfId="14468" xr:uid="{00000000-0005-0000-0000-0000842F0000}"/>
    <cellStyle name="20% - Accent6 2 4 2 4 2" xfId="23602" xr:uid="{00000000-0005-0000-0000-0000852F0000}"/>
    <cellStyle name="20% - Accent6 2 4 2 4 2 2" xfId="17930" xr:uid="{00000000-0005-0000-0000-0000862F0000}"/>
    <cellStyle name="20% - Accent6 2 4 2 4 2 2 2" xfId="29615" xr:uid="{00000000-0005-0000-0000-0000872F0000}"/>
    <cellStyle name="20% - Accent6 2 4 2 4 2 3" xfId="14465" xr:uid="{00000000-0005-0000-0000-0000882F0000}"/>
    <cellStyle name="20% - Accent6 2 4 2 4 3" xfId="14462" xr:uid="{00000000-0005-0000-0000-0000892F0000}"/>
    <cellStyle name="20% - Accent6 2 4 2 4 3 2" xfId="17918" xr:uid="{00000000-0005-0000-0000-00008A2F0000}"/>
    <cellStyle name="20% - Accent6 2 4 2 4 4" xfId="6959" xr:uid="{00000000-0005-0000-0000-00008B2F0000}"/>
    <cellStyle name="20% - Accent6 2 4 2 5" xfId="14460" xr:uid="{00000000-0005-0000-0000-00008C2F0000}"/>
    <cellStyle name="20% - Accent6 2 4 2 5 2" xfId="19131" xr:uid="{00000000-0005-0000-0000-00008D2F0000}"/>
    <cellStyle name="20% - Accent6 2 4 2 5 2 2" xfId="14456" xr:uid="{00000000-0005-0000-0000-00008E2F0000}"/>
    <cellStyle name="20% - Accent6 2 4 2 5 3" xfId="14454" xr:uid="{00000000-0005-0000-0000-00008F2F0000}"/>
    <cellStyle name="20% - Accent6 2 4 2 6" xfId="14452" xr:uid="{00000000-0005-0000-0000-0000902F0000}"/>
    <cellStyle name="20% - Accent6 2 4 2 6 2" xfId="14450" xr:uid="{00000000-0005-0000-0000-0000912F0000}"/>
    <cellStyle name="20% - Accent6 2 4 2 7" xfId="19127" xr:uid="{00000000-0005-0000-0000-0000922F0000}"/>
    <cellStyle name="20% - Accent6 2 4 3" xfId="8880" xr:uid="{00000000-0005-0000-0000-0000932F0000}"/>
    <cellStyle name="20% - Accent6 2 4 3 2" xfId="19122" xr:uid="{00000000-0005-0000-0000-0000942F0000}"/>
    <cellStyle name="20% - Accent6 2 4 3 2 2" xfId="29973" xr:uid="{00000000-0005-0000-0000-0000952F0000}"/>
    <cellStyle name="20% - Accent6 2 4 3 2 2 2" xfId="19117" xr:uid="{00000000-0005-0000-0000-0000962F0000}"/>
    <cellStyle name="20% - Accent6 2 4 3 2 2 2 2" xfId="27307" xr:uid="{00000000-0005-0000-0000-0000972F0000}"/>
    <cellStyle name="20% - Accent6 2 4 3 2 2 2 2 2" xfId="19110" xr:uid="{00000000-0005-0000-0000-0000982F0000}"/>
    <cellStyle name="20% - Accent6 2 4 3 2 2 2 3" xfId="23011" xr:uid="{00000000-0005-0000-0000-0000992F0000}"/>
    <cellStyle name="20% - Accent6 2 4 3 2 2 3" xfId="19109" xr:uid="{00000000-0005-0000-0000-00009A2F0000}"/>
    <cellStyle name="20% - Accent6 2 4 3 2 2 3 2" xfId="26526" xr:uid="{00000000-0005-0000-0000-00009B2F0000}"/>
    <cellStyle name="20% - Accent6 2 4 3 2 2 4" xfId="32532" xr:uid="{00000000-0005-0000-0000-00009C2F0000}"/>
    <cellStyle name="20% - Accent6 2 4 3 2 3" xfId="32244" xr:uid="{00000000-0005-0000-0000-00009D2F0000}"/>
    <cellStyle name="20% - Accent6 2 4 3 2 3 2" xfId="20907" xr:uid="{00000000-0005-0000-0000-00009E2F0000}"/>
    <cellStyle name="20% - Accent6 2 4 3 2 3 2 2" xfId="26516" xr:uid="{00000000-0005-0000-0000-00009F2F0000}"/>
    <cellStyle name="20% - Accent6 2 4 3 2 3 3" xfId="32453" xr:uid="{00000000-0005-0000-0000-0000A02F0000}"/>
    <cellStyle name="20% - Accent6 2 4 3 2 4" xfId="28144" xr:uid="{00000000-0005-0000-0000-0000A12F0000}"/>
    <cellStyle name="20% - Accent6 2 4 3 2 4 2" xfId="33278" xr:uid="{00000000-0005-0000-0000-0000A22F0000}"/>
    <cellStyle name="20% - Accent6 2 4 3 2 5" xfId="19106" xr:uid="{00000000-0005-0000-0000-0000A32F0000}"/>
    <cellStyle name="20% - Accent6 2 4 3 3" xfId="14447" xr:uid="{00000000-0005-0000-0000-0000A42F0000}"/>
    <cellStyle name="20% - Accent6 2 4 3 3 2" xfId="23591" xr:uid="{00000000-0005-0000-0000-0000A52F0000}"/>
    <cellStyle name="20% - Accent6 2 4 3 3 2 2" xfId="14445" xr:uid="{00000000-0005-0000-0000-0000A62F0000}"/>
    <cellStyle name="20% - Accent6 2 4 3 3 2 2 2" xfId="24941" xr:uid="{00000000-0005-0000-0000-0000A72F0000}"/>
    <cellStyle name="20% - Accent6 2 4 3 3 2 3" xfId="14443" xr:uid="{00000000-0005-0000-0000-0000A82F0000}"/>
    <cellStyle name="20% - Accent6 2 4 3 3 3" xfId="14441" xr:uid="{00000000-0005-0000-0000-0000A92F0000}"/>
    <cellStyle name="20% - Accent6 2 4 3 3 3 2" xfId="27361" xr:uid="{00000000-0005-0000-0000-0000AA2F0000}"/>
    <cellStyle name="20% - Accent6 2 4 3 3 4" xfId="19104" xr:uid="{00000000-0005-0000-0000-0000AB2F0000}"/>
    <cellStyle name="20% - Accent6 2 4 3 4" xfId="14439" xr:uid="{00000000-0005-0000-0000-0000AC2F0000}"/>
    <cellStyle name="20% - Accent6 2 4 3 4 2" xfId="14437" xr:uid="{00000000-0005-0000-0000-0000AD2F0000}"/>
    <cellStyle name="20% - Accent6 2 4 3 4 2 2" xfId="10138" xr:uid="{00000000-0005-0000-0000-0000AE2F0000}"/>
    <cellStyle name="20% - Accent6 2 4 3 4 3" xfId="14435" xr:uid="{00000000-0005-0000-0000-0000AF2F0000}"/>
    <cellStyle name="20% - Accent6 2 4 3 5" xfId="14433" xr:uid="{00000000-0005-0000-0000-0000B02F0000}"/>
    <cellStyle name="20% - Accent6 2 4 3 5 2" xfId="14431" xr:uid="{00000000-0005-0000-0000-0000B12F0000}"/>
    <cellStyle name="20% - Accent6 2 4 3 6" xfId="14429" xr:uid="{00000000-0005-0000-0000-0000B22F0000}"/>
    <cellStyle name="20% - Accent6 2 4 4" xfId="25153" xr:uid="{00000000-0005-0000-0000-0000B32F0000}"/>
    <cellStyle name="20% - Accent6 2 4 4 2" xfId="19100" xr:uid="{00000000-0005-0000-0000-0000B42F0000}"/>
    <cellStyle name="20% - Accent6 2 4 4 2 2" xfId="23580" xr:uid="{00000000-0005-0000-0000-0000B52F0000}"/>
    <cellStyle name="20% - Accent6 2 4 4 2 2 2" xfId="20862" xr:uid="{00000000-0005-0000-0000-0000B62F0000}"/>
    <cellStyle name="20% - Accent6 2 4 4 2 2 2 2" xfId="5617" xr:uid="{00000000-0005-0000-0000-0000B72F0000}"/>
    <cellStyle name="20% - Accent6 2 4 4 2 2 3" xfId="9398" xr:uid="{00000000-0005-0000-0000-0000B82F0000}"/>
    <cellStyle name="20% - Accent6 2 4 4 2 3" xfId="19095" xr:uid="{00000000-0005-0000-0000-0000B92F0000}"/>
    <cellStyle name="20% - Accent6 2 4 4 2 3 2" xfId="33843" xr:uid="{00000000-0005-0000-0000-0000BA2F0000}"/>
    <cellStyle name="20% - Accent6 2 4 4 2 4" xfId="19094" xr:uid="{00000000-0005-0000-0000-0000BB2F0000}"/>
    <cellStyle name="20% - Accent6 2 4 4 3" xfId="14427" xr:uid="{00000000-0005-0000-0000-0000BC2F0000}"/>
    <cellStyle name="20% - Accent6 2 4 4 3 2" xfId="14425" xr:uid="{00000000-0005-0000-0000-0000BD2F0000}"/>
    <cellStyle name="20% - Accent6 2 4 4 3 2 2" xfId="14423" xr:uid="{00000000-0005-0000-0000-0000BE2F0000}"/>
    <cellStyle name="20% - Accent6 2 4 4 3 3" xfId="14421" xr:uid="{00000000-0005-0000-0000-0000BF2F0000}"/>
    <cellStyle name="20% - Accent6 2 4 4 4" xfId="14419" xr:uid="{00000000-0005-0000-0000-0000C02F0000}"/>
    <cellStyle name="20% - Accent6 2 4 4 4 2" xfId="14416" xr:uid="{00000000-0005-0000-0000-0000C12F0000}"/>
    <cellStyle name="20% - Accent6 2 4 4 5" xfId="14414" xr:uid="{00000000-0005-0000-0000-0000C22F0000}"/>
    <cellStyle name="20% - Accent6 2 4 5" xfId="19087" xr:uid="{00000000-0005-0000-0000-0000C32F0000}"/>
    <cellStyle name="20% - Accent6 2 4 5 2" xfId="19085" xr:uid="{00000000-0005-0000-0000-0000C42F0000}"/>
    <cellStyle name="20% - Accent6 2 4 5 2 2" xfId="19083" xr:uid="{00000000-0005-0000-0000-0000C52F0000}"/>
    <cellStyle name="20% - Accent6 2 4 5 2 2 2" xfId="21790" xr:uid="{00000000-0005-0000-0000-0000C62F0000}"/>
    <cellStyle name="20% - Accent6 2 4 5 2 3" xfId="19079" xr:uid="{00000000-0005-0000-0000-0000C72F0000}"/>
    <cellStyle name="20% - Accent6 2 4 5 3" xfId="19078" xr:uid="{00000000-0005-0000-0000-0000C82F0000}"/>
    <cellStyle name="20% - Accent6 2 4 5 3 2" xfId="14410" xr:uid="{00000000-0005-0000-0000-0000C92F0000}"/>
    <cellStyle name="20% - Accent6 2 4 5 4" xfId="14407" xr:uid="{00000000-0005-0000-0000-0000CA2F0000}"/>
    <cellStyle name="20% - Accent6 2 4 6" xfId="19073" xr:uid="{00000000-0005-0000-0000-0000CB2F0000}"/>
    <cellStyle name="20% - Accent6 2 4 6 2" xfId="19070" xr:uid="{00000000-0005-0000-0000-0000CC2F0000}"/>
    <cellStyle name="20% - Accent6 2 4 6 2 2" xfId="19069" xr:uid="{00000000-0005-0000-0000-0000CD2F0000}"/>
    <cellStyle name="20% - Accent6 2 4 6 3" xfId="19068" xr:uid="{00000000-0005-0000-0000-0000CE2F0000}"/>
    <cellStyle name="20% - Accent6 2 4 7" xfId="24095" xr:uid="{00000000-0005-0000-0000-0000CF2F0000}"/>
    <cellStyle name="20% - Accent6 2 4 7 2" xfId="19064" xr:uid="{00000000-0005-0000-0000-0000D02F0000}"/>
    <cellStyle name="20% - Accent6 2 4 8" xfId="19062" xr:uid="{00000000-0005-0000-0000-0000D12F0000}"/>
    <cellStyle name="20% - Accent6 2 4 9" xfId="34767" xr:uid="{00000000-0005-0000-0000-0000D22F0000}"/>
    <cellStyle name="20% - Accent6 2 5" xfId="34093" xr:uid="{00000000-0005-0000-0000-0000D32F0000}"/>
    <cellStyle name="20% - Accent6 2 5 2" xfId="28326" xr:uid="{00000000-0005-0000-0000-0000D42F0000}"/>
    <cellStyle name="20% - Accent6 2 5 2 2" xfId="32930" xr:uid="{00000000-0005-0000-0000-0000D52F0000}"/>
    <cellStyle name="20% - Accent6 2 5 2 2 2" xfId="23543" xr:uid="{00000000-0005-0000-0000-0000D62F0000}"/>
    <cellStyle name="20% - Accent6 2 5 2 2 2 2" xfId="20915" xr:uid="{00000000-0005-0000-0000-0000D72F0000}"/>
    <cellStyle name="20% - Accent6 2 5 2 2 2 2 2" xfId="16575" xr:uid="{00000000-0005-0000-0000-0000D82F0000}"/>
    <cellStyle name="20% - Accent6 2 5 2 2 2 2 2 2" xfId="29444" xr:uid="{00000000-0005-0000-0000-0000D92F0000}"/>
    <cellStyle name="20% - Accent6 2 5 2 2 2 2 3" xfId="32345" xr:uid="{00000000-0005-0000-0000-0000DA2F0000}"/>
    <cellStyle name="20% - Accent6 2 5 2 2 2 3" xfId="21004" xr:uid="{00000000-0005-0000-0000-0000DB2F0000}"/>
    <cellStyle name="20% - Accent6 2 5 2 2 2 3 2" xfId="27244" xr:uid="{00000000-0005-0000-0000-0000DC2F0000}"/>
    <cellStyle name="20% - Accent6 2 5 2 2 2 4" xfId="20906" xr:uid="{00000000-0005-0000-0000-0000DD2F0000}"/>
    <cellStyle name="20% - Accent6 2 5 2 2 3" xfId="23538" xr:uid="{00000000-0005-0000-0000-0000DE2F0000}"/>
    <cellStyle name="20% - Accent6 2 5 2 2 3 2" xfId="20727" xr:uid="{00000000-0005-0000-0000-0000DF2F0000}"/>
    <cellStyle name="20% - Accent6 2 5 2 2 3 2 2" xfId="27194" xr:uid="{00000000-0005-0000-0000-0000E02F0000}"/>
    <cellStyle name="20% - Accent6 2 5 2 2 3 3" xfId="20093" xr:uid="{00000000-0005-0000-0000-0000E12F0000}"/>
    <cellStyle name="20% - Accent6 2 5 2 2 4" xfId="20900" xr:uid="{00000000-0005-0000-0000-0000E22F0000}"/>
    <cellStyle name="20% - Accent6 2 5 2 2 4 2" xfId="20091" xr:uid="{00000000-0005-0000-0000-0000E32F0000}"/>
    <cellStyle name="20% - Accent6 2 5 2 2 5" xfId="20895" xr:uid="{00000000-0005-0000-0000-0000E42F0000}"/>
    <cellStyle name="20% - Accent6 2 5 2 3" xfId="29948" xr:uid="{00000000-0005-0000-0000-0000E52F0000}"/>
    <cellStyle name="20% - Accent6 2 5 2 3 2" xfId="28902" xr:uid="{00000000-0005-0000-0000-0000E62F0000}"/>
    <cellStyle name="20% - Accent6 2 5 2 3 2 2" xfId="16098" xr:uid="{00000000-0005-0000-0000-0000E72F0000}"/>
    <cellStyle name="20% - Accent6 2 5 2 3 2 2 2" xfId="31556" xr:uid="{00000000-0005-0000-0000-0000E82F0000}"/>
    <cellStyle name="20% - Accent6 2 5 2 3 2 3" xfId="14368" xr:uid="{00000000-0005-0000-0000-0000E92F0000}"/>
    <cellStyle name="20% - Accent6 2 5 2 3 3" xfId="14366" xr:uid="{00000000-0005-0000-0000-0000EA2F0000}"/>
    <cellStyle name="20% - Accent6 2 5 2 3 3 2" xfId="20563" xr:uid="{00000000-0005-0000-0000-0000EB2F0000}"/>
    <cellStyle name="20% - Accent6 2 5 2 3 4" xfId="14364" xr:uid="{00000000-0005-0000-0000-0000EC2F0000}"/>
    <cellStyle name="20% - Accent6 2 5 2 4" xfId="14362" xr:uid="{00000000-0005-0000-0000-0000ED2F0000}"/>
    <cellStyle name="20% - Accent6 2 5 2 4 2" xfId="14359" xr:uid="{00000000-0005-0000-0000-0000EE2F0000}"/>
    <cellStyle name="20% - Accent6 2 5 2 4 2 2" xfId="16713" xr:uid="{00000000-0005-0000-0000-0000EF2F0000}"/>
    <cellStyle name="20% - Accent6 2 5 2 4 3" xfId="14357" xr:uid="{00000000-0005-0000-0000-0000F02F0000}"/>
    <cellStyle name="20% - Accent6 2 5 2 5" xfId="14355" xr:uid="{00000000-0005-0000-0000-0000F12F0000}"/>
    <cellStyle name="20% - Accent6 2 5 2 5 2" xfId="14350" xr:uid="{00000000-0005-0000-0000-0000F22F0000}"/>
    <cellStyle name="20% - Accent6 2 5 2 6" xfId="9897" xr:uid="{00000000-0005-0000-0000-0000F32F0000}"/>
    <cellStyle name="20% - Accent6 2 5 3" xfId="33919" xr:uid="{00000000-0005-0000-0000-0000F42F0000}"/>
    <cellStyle name="20% - Accent6 2 5 3 2" xfId="29613" xr:uid="{00000000-0005-0000-0000-0000F52F0000}"/>
    <cellStyle name="20% - Accent6 2 5 3 2 2" xfId="23531" xr:uid="{00000000-0005-0000-0000-0000F62F0000}"/>
    <cellStyle name="20% - Accent6 2 5 3 2 2 2" xfId="20858" xr:uid="{00000000-0005-0000-0000-0000F72F0000}"/>
    <cellStyle name="20% - Accent6 2 5 3 2 2 2 2" xfId="26171" xr:uid="{00000000-0005-0000-0000-0000F82F0000}"/>
    <cellStyle name="20% - Accent6 2 5 3 2 2 3" xfId="20852" xr:uid="{00000000-0005-0000-0000-0000F92F0000}"/>
    <cellStyle name="20% - Accent6 2 5 3 2 3" xfId="20847" xr:uid="{00000000-0005-0000-0000-0000FA2F0000}"/>
    <cellStyle name="20% - Accent6 2 5 3 2 3 2" xfId="20065" xr:uid="{00000000-0005-0000-0000-0000FB2F0000}"/>
    <cellStyle name="20% - Accent6 2 5 3 2 4" xfId="20839" xr:uid="{00000000-0005-0000-0000-0000FC2F0000}"/>
    <cellStyle name="20% - Accent6 2 5 3 3" xfId="14347" xr:uid="{00000000-0005-0000-0000-0000FD2F0000}"/>
    <cellStyle name="20% - Accent6 2 5 3 3 2" xfId="14344" xr:uid="{00000000-0005-0000-0000-0000FE2F0000}"/>
    <cellStyle name="20% - Accent6 2 5 3 3 2 2" xfId="14342" xr:uid="{00000000-0005-0000-0000-0000FF2F0000}"/>
    <cellStyle name="20% - Accent6 2 5 3 3 3" xfId="14339" xr:uid="{00000000-0005-0000-0000-000000300000}"/>
    <cellStyle name="20% - Accent6 2 5 3 4" xfId="14337" xr:uid="{00000000-0005-0000-0000-000001300000}"/>
    <cellStyle name="20% - Accent6 2 5 3 4 2" xfId="14335" xr:uid="{00000000-0005-0000-0000-000002300000}"/>
    <cellStyle name="20% - Accent6 2 5 3 5" xfId="20986" xr:uid="{00000000-0005-0000-0000-000003300000}"/>
    <cellStyle name="20% - Accent6 2 5 4" xfId="32389" xr:uid="{00000000-0005-0000-0000-000004300000}"/>
    <cellStyle name="20% - Accent6 2 5 4 2" xfId="19060" xr:uid="{00000000-0005-0000-0000-000005300000}"/>
    <cellStyle name="20% - Accent6 2 5 4 2 2" xfId="20811" xr:uid="{00000000-0005-0000-0000-000006300000}"/>
    <cellStyle name="20% - Accent6 2 5 4 2 2 2" xfId="21462" xr:uid="{00000000-0005-0000-0000-000007300000}"/>
    <cellStyle name="20% - Accent6 2 5 4 2 3" xfId="20806" xr:uid="{00000000-0005-0000-0000-000008300000}"/>
    <cellStyle name="20% - Accent6 2 5 4 3" xfId="14333" xr:uid="{00000000-0005-0000-0000-000009300000}"/>
    <cellStyle name="20% - Accent6 2 5 4 3 2" xfId="14330" xr:uid="{00000000-0005-0000-0000-00000A300000}"/>
    <cellStyle name="20% - Accent6 2 5 4 4" xfId="14328" xr:uid="{00000000-0005-0000-0000-00000B300000}"/>
    <cellStyle name="20% - Accent6 2 5 5" xfId="34019" xr:uid="{00000000-0005-0000-0000-00000C300000}"/>
    <cellStyle name="20% - Accent6 2 5 5 2" xfId="19054" xr:uid="{00000000-0005-0000-0000-00000D300000}"/>
    <cellStyle name="20% - Accent6 2 5 5 2 2" xfId="20788" xr:uid="{00000000-0005-0000-0000-00000E300000}"/>
    <cellStyle name="20% - Accent6 2 5 5 3" xfId="14324" xr:uid="{00000000-0005-0000-0000-00000F300000}"/>
    <cellStyle name="20% - Accent6 2 5 6" xfId="32803" xr:uid="{00000000-0005-0000-0000-000010300000}"/>
    <cellStyle name="20% - Accent6 2 5 6 2" xfId="19044" xr:uid="{00000000-0005-0000-0000-000011300000}"/>
    <cellStyle name="20% - Accent6 2 5 7" xfId="19038" xr:uid="{00000000-0005-0000-0000-000012300000}"/>
    <cellStyle name="20% - Accent6 2 5 8" xfId="34957" xr:uid="{00000000-0005-0000-0000-000013300000}"/>
    <cellStyle name="20% - Accent6 2 6" xfId="27908" xr:uid="{00000000-0005-0000-0000-000014300000}"/>
    <cellStyle name="20% - Accent6 2 6 2" xfId="33785" xr:uid="{00000000-0005-0000-0000-000015300000}"/>
    <cellStyle name="20% - Accent6 2 6 2 2" xfId="32444" xr:uid="{00000000-0005-0000-0000-000016300000}"/>
    <cellStyle name="20% - Accent6 2 6 2 2 2" xfId="26989" xr:uid="{00000000-0005-0000-0000-000017300000}"/>
    <cellStyle name="20% - Accent6 2 6 2 2 2 2" xfId="21831" xr:uid="{00000000-0005-0000-0000-000018300000}"/>
    <cellStyle name="20% - Accent6 2 6 2 2 2 2 2" xfId="7014" xr:uid="{00000000-0005-0000-0000-000019300000}"/>
    <cellStyle name="20% - Accent6 2 6 2 2 2 3" xfId="21823" xr:uid="{00000000-0005-0000-0000-00001A300000}"/>
    <cellStyle name="20% - Accent6 2 6 2 2 3" xfId="25393" xr:uid="{00000000-0005-0000-0000-00001B300000}"/>
    <cellStyle name="20% - Accent6 2 6 2 2 3 2" xfId="20038" xr:uid="{00000000-0005-0000-0000-00001C300000}"/>
    <cellStyle name="20% - Accent6 2 6 2 2 4" xfId="25379" xr:uid="{00000000-0005-0000-0000-00001D300000}"/>
    <cellStyle name="20% - Accent6 2 6 2 3" xfId="14300" xr:uid="{00000000-0005-0000-0000-00001E300000}"/>
    <cellStyle name="20% - Accent6 2 6 2 3 2" xfId="14551" xr:uid="{00000000-0005-0000-0000-00001F300000}"/>
    <cellStyle name="20% - Accent6 2 6 2 3 2 2" xfId="14293" xr:uid="{00000000-0005-0000-0000-000020300000}"/>
    <cellStyle name="20% - Accent6 2 6 2 3 3" xfId="14545" xr:uid="{00000000-0005-0000-0000-000021300000}"/>
    <cellStyle name="20% - Accent6 2 6 2 4" xfId="14290" xr:uid="{00000000-0005-0000-0000-000022300000}"/>
    <cellStyle name="20% - Accent6 2 6 2 4 2" xfId="14532" xr:uid="{00000000-0005-0000-0000-000023300000}"/>
    <cellStyle name="20% - Accent6 2 6 2 5" xfId="9886" xr:uid="{00000000-0005-0000-0000-000024300000}"/>
    <cellStyle name="20% - Accent6 2 6 3" xfId="20023" xr:uid="{00000000-0005-0000-0000-000025300000}"/>
    <cellStyle name="20% - Accent6 2 6 3 2" xfId="19036" xr:uid="{00000000-0005-0000-0000-000026300000}"/>
    <cellStyle name="20% - Accent6 2 6 3 2 2" xfId="9226" xr:uid="{00000000-0005-0000-0000-000027300000}"/>
    <cellStyle name="20% - Accent6 2 6 3 2 2 2" xfId="26938" xr:uid="{00000000-0005-0000-0000-000028300000}"/>
    <cellStyle name="20% - Accent6 2 6 3 2 3" xfId="5460" xr:uid="{00000000-0005-0000-0000-000029300000}"/>
    <cellStyle name="20% - Accent6 2 6 3 3" xfId="9218" xr:uid="{00000000-0005-0000-0000-00002A300000}"/>
    <cellStyle name="20% - Accent6 2 6 3 3 2" xfId="5684" xr:uid="{00000000-0005-0000-0000-00002B300000}"/>
    <cellStyle name="20% - Accent6 2 6 3 4" xfId="5658" xr:uid="{00000000-0005-0000-0000-00002C300000}"/>
    <cellStyle name="20% - Accent6 2 6 4" xfId="10657" xr:uid="{00000000-0005-0000-0000-00002D300000}"/>
    <cellStyle name="20% - Accent6 2 6 4 2" xfId="10651" xr:uid="{00000000-0005-0000-0000-00002E300000}"/>
    <cellStyle name="20% - Accent6 2 6 4 2 2" xfId="6178" xr:uid="{00000000-0005-0000-0000-00002F300000}"/>
    <cellStyle name="20% - Accent6 2 6 4 3" xfId="10645" xr:uid="{00000000-0005-0000-0000-000030300000}"/>
    <cellStyle name="20% - Accent6 2 6 5" xfId="10638" xr:uid="{00000000-0005-0000-0000-000031300000}"/>
    <cellStyle name="20% - Accent6 2 6 5 2" xfId="10635" xr:uid="{00000000-0005-0000-0000-000032300000}"/>
    <cellStyle name="20% - Accent6 2 6 6" xfId="10631" xr:uid="{00000000-0005-0000-0000-000033300000}"/>
    <cellStyle name="20% - Accent6 2 6 7" xfId="35162" xr:uid="{00000000-0005-0000-0000-000034300000}"/>
    <cellStyle name="20% - Accent6 2 7" xfId="33248" xr:uid="{00000000-0005-0000-0000-000035300000}"/>
    <cellStyle name="20% - Accent6 2 7 2" xfId="29603" xr:uid="{00000000-0005-0000-0000-000036300000}"/>
    <cellStyle name="20% - Accent6 2 7 2 2" xfId="19031" xr:uid="{00000000-0005-0000-0000-000037300000}"/>
    <cellStyle name="20% - Accent6 2 7 2 2 2" xfId="26119" xr:uid="{00000000-0005-0000-0000-000038300000}"/>
    <cellStyle name="20% - Accent6 2 7 2 2 2 2" xfId="20901" xr:uid="{00000000-0005-0000-0000-000039300000}"/>
    <cellStyle name="20% - Accent6 2 7 2 2 3" xfId="25266" xr:uid="{00000000-0005-0000-0000-00003A300000}"/>
    <cellStyle name="20% - Accent6 2 7 2 3" xfId="14261" xr:uid="{00000000-0005-0000-0000-00003B300000}"/>
    <cellStyle name="20% - Accent6 2 7 2 3 2" xfId="14477" xr:uid="{00000000-0005-0000-0000-00003C300000}"/>
    <cellStyle name="20% - Accent6 2 7 2 4" xfId="14256" xr:uid="{00000000-0005-0000-0000-00003D300000}"/>
    <cellStyle name="20% - Accent6 2 7 3" xfId="14558" xr:uid="{00000000-0005-0000-0000-00003E300000}"/>
    <cellStyle name="20% - Accent6 2 7 3 2" xfId="9215" xr:uid="{00000000-0005-0000-0000-00003F300000}"/>
    <cellStyle name="20% - Accent6 2 7 3 2 2" xfId="5457" xr:uid="{00000000-0005-0000-0000-000040300000}"/>
    <cellStyle name="20% - Accent6 2 7 3 3" xfId="5454" xr:uid="{00000000-0005-0000-0000-000041300000}"/>
    <cellStyle name="20% - Accent6 2 7 4" xfId="10624" xr:uid="{00000000-0005-0000-0000-000042300000}"/>
    <cellStyle name="20% - Accent6 2 7 4 2" xfId="10620" xr:uid="{00000000-0005-0000-0000-000043300000}"/>
    <cellStyle name="20% - Accent6 2 7 5" xfId="10616" xr:uid="{00000000-0005-0000-0000-000044300000}"/>
    <cellStyle name="20% - Accent6 2 7 6" xfId="35391" xr:uid="{00000000-0005-0000-0000-000045300000}"/>
    <cellStyle name="20% - Accent6 2 8" xfId="34237" xr:uid="{00000000-0005-0000-0000-000046300000}"/>
    <cellStyle name="20% - Accent6 2 8 2" xfId="30713" xr:uid="{00000000-0005-0000-0000-000047300000}"/>
    <cellStyle name="20% - Accent6 2 8 2 2" xfId="19028" xr:uid="{00000000-0005-0000-0000-000048300000}"/>
    <cellStyle name="20% - Accent6 2 8 2 2 2" xfId="15759" xr:uid="{00000000-0005-0000-0000-000049300000}"/>
    <cellStyle name="20% - Accent6 2 8 2 3" xfId="19027" xr:uid="{00000000-0005-0000-0000-00004A300000}"/>
    <cellStyle name="20% - Accent6 2 8 3" xfId="9211" xr:uid="{00000000-0005-0000-0000-00004B300000}"/>
    <cellStyle name="20% - Accent6 2 8 3 2" xfId="6745" xr:uid="{00000000-0005-0000-0000-00004C300000}"/>
    <cellStyle name="20% - Accent6 2 8 4" xfId="10612" xr:uid="{00000000-0005-0000-0000-00004D300000}"/>
    <cellStyle name="20% - Accent6 2 8 5" xfId="36263" xr:uid="{00000000-0005-0000-0000-00004E300000}"/>
    <cellStyle name="20% - Accent6 2 9" xfId="31182" xr:uid="{00000000-0005-0000-0000-00004F300000}"/>
    <cellStyle name="20% - Accent6 2 9 2" xfId="7083" xr:uid="{00000000-0005-0000-0000-000050300000}"/>
    <cellStyle name="20% - Accent6 2 9 2 2" xfId="19023" xr:uid="{00000000-0005-0000-0000-000051300000}"/>
    <cellStyle name="20% - Accent6 2 9 3" xfId="5451" xr:uid="{00000000-0005-0000-0000-000052300000}"/>
    <cellStyle name="20% - Accent6 2 9 4" xfId="36549" xr:uid="{00000000-0005-0000-0000-000053300000}"/>
    <cellStyle name="20% - Accent6 20" xfId="35713" xr:uid="{00000000-0005-0000-0000-000054300000}"/>
    <cellStyle name="20% - Accent6 20 2" xfId="36882" xr:uid="{00000000-0005-0000-0000-000055300000}"/>
    <cellStyle name="20% - Accent6 20 3" xfId="37773" xr:uid="{00000000-0005-0000-0000-000056300000}"/>
    <cellStyle name="20% - Accent6 21" xfId="35732" xr:uid="{00000000-0005-0000-0000-000057300000}"/>
    <cellStyle name="20% - Accent6 21 2" xfId="36902" xr:uid="{00000000-0005-0000-0000-000058300000}"/>
    <cellStyle name="20% - Accent6 21 3" xfId="37793" xr:uid="{00000000-0005-0000-0000-000059300000}"/>
    <cellStyle name="20% - Accent6 22" xfId="35751" xr:uid="{00000000-0005-0000-0000-00005A300000}"/>
    <cellStyle name="20% - Accent6 22 2" xfId="36922" xr:uid="{00000000-0005-0000-0000-00005B300000}"/>
    <cellStyle name="20% - Accent6 22 3" xfId="37813" xr:uid="{00000000-0005-0000-0000-00005C300000}"/>
    <cellStyle name="20% - Accent6 23" xfId="35771" xr:uid="{00000000-0005-0000-0000-00005D300000}"/>
    <cellStyle name="20% - Accent6 23 2" xfId="36941" xr:uid="{00000000-0005-0000-0000-00005E300000}"/>
    <cellStyle name="20% - Accent6 23 3" xfId="37833" xr:uid="{00000000-0005-0000-0000-00005F300000}"/>
    <cellStyle name="20% - Accent6 24" xfId="35791" xr:uid="{00000000-0005-0000-0000-000060300000}"/>
    <cellStyle name="20% - Accent6 24 2" xfId="36960" xr:uid="{00000000-0005-0000-0000-000061300000}"/>
    <cellStyle name="20% - Accent6 24 3" xfId="37853" xr:uid="{00000000-0005-0000-0000-000062300000}"/>
    <cellStyle name="20% - Accent6 25" xfId="35810" xr:uid="{00000000-0005-0000-0000-000063300000}"/>
    <cellStyle name="20% - Accent6 25 2" xfId="36980" xr:uid="{00000000-0005-0000-0000-000064300000}"/>
    <cellStyle name="20% - Accent6 25 3" xfId="37873" xr:uid="{00000000-0005-0000-0000-000065300000}"/>
    <cellStyle name="20% - Accent6 26" xfId="35829" xr:uid="{00000000-0005-0000-0000-000066300000}"/>
    <cellStyle name="20% - Accent6 26 2" xfId="37000" xr:uid="{00000000-0005-0000-0000-000067300000}"/>
    <cellStyle name="20% - Accent6 26 3" xfId="37893" xr:uid="{00000000-0005-0000-0000-000068300000}"/>
    <cellStyle name="20% - Accent6 27" xfId="35848" xr:uid="{00000000-0005-0000-0000-000069300000}"/>
    <cellStyle name="20% - Accent6 27 2" xfId="37020" xr:uid="{00000000-0005-0000-0000-00006A300000}"/>
    <cellStyle name="20% - Accent6 27 3" xfId="37913" xr:uid="{00000000-0005-0000-0000-00006B300000}"/>
    <cellStyle name="20% - Accent6 28" xfId="35867" xr:uid="{00000000-0005-0000-0000-00006C300000}"/>
    <cellStyle name="20% - Accent6 28 2" xfId="37040" xr:uid="{00000000-0005-0000-0000-00006D300000}"/>
    <cellStyle name="20% - Accent6 28 3" xfId="37933" xr:uid="{00000000-0005-0000-0000-00006E300000}"/>
    <cellStyle name="20% - Accent6 29" xfId="35876" xr:uid="{00000000-0005-0000-0000-00006F300000}"/>
    <cellStyle name="20% - Accent6 29 2" xfId="37048" xr:uid="{00000000-0005-0000-0000-000070300000}"/>
    <cellStyle name="20% - Accent6 29 3" xfId="37942" xr:uid="{00000000-0005-0000-0000-000071300000}"/>
    <cellStyle name="20% - Accent6 3" xfId="113" xr:uid="{00000000-0005-0000-0000-000072300000}"/>
    <cellStyle name="20% - Accent6 3 10" xfId="19019" xr:uid="{00000000-0005-0000-0000-000073300000}"/>
    <cellStyle name="20% - Accent6 3 10 2" xfId="37453" xr:uid="{00000000-0005-0000-0000-000074300000}"/>
    <cellStyle name="20% - Accent6 3 11" xfId="34467" xr:uid="{00000000-0005-0000-0000-000075300000}"/>
    <cellStyle name="20% - Accent6 3 12" xfId="20464" xr:uid="{00000000-0005-0000-0000-000076300000}"/>
    <cellStyle name="20% - Accent6 3 2" xfId="174" xr:uid="{00000000-0005-0000-0000-000077300000}"/>
    <cellStyle name="20% - Accent6 3 2 10" xfId="34517" xr:uid="{00000000-0005-0000-0000-000078300000}"/>
    <cellStyle name="20% - Accent6 3 2 11" xfId="19018" xr:uid="{00000000-0005-0000-0000-000079300000}"/>
    <cellStyle name="20% - Accent6 3 2 2" xfId="19015" xr:uid="{00000000-0005-0000-0000-00007A300000}"/>
    <cellStyle name="20% - Accent6 3 2 2 2" xfId="19012" xr:uid="{00000000-0005-0000-0000-00007B300000}"/>
    <cellStyle name="20% - Accent6 3 2 2 2 2" xfId="19009" xr:uid="{00000000-0005-0000-0000-00007C300000}"/>
    <cellStyle name="20% - Accent6 3 2 2 2 2 2" xfId="20493" xr:uid="{00000000-0005-0000-0000-00007D300000}"/>
    <cellStyle name="20% - Accent6 3 2 2 2 2 2 2" xfId="30716" xr:uid="{00000000-0005-0000-0000-00007E300000}"/>
    <cellStyle name="20% - Accent6 3 2 2 2 2 2 2 2" xfId="22296" xr:uid="{00000000-0005-0000-0000-00007F300000}"/>
    <cellStyle name="20% - Accent6 3 2 2 2 2 2 2 2 2" xfId="20017" xr:uid="{00000000-0005-0000-0000-000080300000}"/>
    <cellStyle name="20% - Accent6 3 2 2 2 2 2 2 2 2 2" xfId="19979" xr:uid="{00000000-0005-0000-0000-000081300000}"/>
    <cellStyle name="20% - Accent6 3 2 2 2 2 2 2 2 3" xfId="20012" xr:uid="{00000000-0005-0000-0000-000082300000}"/>
    <cellStyle name="20% - Accent6 3 2 2 2 2 2 2 3" xfId="20524" xr:uid="{00000000-0005-0000-0000-000083300000}"/>
    <cellStyle name="20% - Accent6 3 2 2 2 2 2 2 3 2" xfId="19997" xr:uid="{00000000-0005-0000-0000-000084300000}"/>
    <cellStyle name="20% - Accent6 3 2 2 2 2 2 2 4" xfId="19007" xr:uid="{00000000-0005-0000-0000-000085300000}"/>
    <cellStyle name="20% - Accent6 3 2 2 2 2 2 3" xfId="17743" xr:uid="{00000000-0005-0000-0000-000086300000}"/>
    <cellStyle name="20% - Accent6 3 2 2 2 2 2 3 2" xfId="20515" xr:uid="{00000000-0005-0000-0000-000087300000}"/>
    <cellStyle name="20% - Accent6 3 2 2 2 2 2 3 2 2" xfId="24102" xr:uid="{00000000-0005-0000-0000-000088300000}"/>
    <cellStyle name="20% - Accent6 3 2 2 2 2 2 3 3" xfId="19003" xr:uid="{00000000-0005-0000-0000-000089300000}"/>
    <cellStyle name="20% - Accent6 3 2 2 2 2 2 4" xfId="19000" xr:uid="{00000000-0005-0000-0000-00008A300000}"/>
    <cellStyle name="20% - Accent6 3 2 2 2 2 2 4 2" xfId="27330" xr:uid="{00000000-0005-0000-0000-00008B300000}"/>
    <cellStyle name="20% - Accent6 3 2 2 2 2 2 5" xfId="18998" xr:uid="{00000000-0005-0000-0000-00008C300000}"/>
    <cellStyle name="20% - Accent6 3 2 2 2 2 3" xfId="18997" xr:uid="{00000000-0005-0000-0000-00008D300000}"/>
    <cellStyle name="20% - Accent6 3 2 2 2 2 3 2" xfId="17739" xr:uid="{00000000-0005-0000-0000-00008E300000}"/>
    <cellStyle name="20% - Accent6 3 2 2 2 2 3 2 2" xfId="20504" xr:uid="{00000000-0005-0000-0000-00008F300000}"/>
    <cellStyle name="20% - Accent6 3 2 2 2 2 3 2 2 2" xfId="18497" xr:uid="{00000000-0005-0000-0000-000090300000}"/>
    <cellStyle name="20% - Accent6 3 2 2 2 2 3 2 3" xfId="18995" xr:uid="{00000000-0005-0000-0000-000091300000}"/>
    <cellStyle name="20% - Accent6 3 2 2 2 2 3 3" xfId="18992" xr:uid="{00000000-0005-0000-0000-000092300000}"/>
    <cellStyle name="20% - Accent6 3 2 2 2 2 3 3 2" xfId="18990" xr:uid="{00000000-0005-0000-0000-000093300000}"/>
    <cellStyle name="20% - Accent6 3 2 2 2 2 3 4" xfId="18987" xr:uid="{00000000-0005-0000-0000-000094300000}"/>
    <cellStyle name="20% - Accent6 3 2 2 2 2 4" xfId="18986" xr:uid="{00000000-0005-0000-0000-000095300000}"/>
    <cellStyle name="20% - Accent6 3 2 2 2 2 4 2" xfId="18985" xr:uid="{00000000-0005-0000-0000-000096300000}"/>
    <cellStyle name="20% - Accent6 3 2 2 2 2 4 2 2" xfId="18981" xr:uid="{00000000-0005-0000-0000-000097300000}"/>
    <cellStyle name="20% - Accent6 3 2 2 2 2 4 3" xfId="33890" xr:uid="{00000000-0005-0000-0000-000098300000}"/>
    <cellStyle name="20% - Accent6 3 2 2 2 2 5" xfId="15688" xr:uid="{00000000-0005-0000-0000-000099300000}"/>
    <cellStyle name="20% - Accent6 3 2 2 2 2 5 2" xfId="18979" xr:uid="{00000000-0005-0000-0000-00009A300000}"/>
    <cellStyle name="20% - Accent6 3 2 2 2 2 6" xfId="15685" xr:uid="{00000000-0005-0000-0000-00009B300000}"/>
    <cellStyle name="20% - Accent6 3 2 2 2 3" xfId="23182" xr:uid="{00000000-0005-0000-0000-00009C300000}"/>
    <cellStyle name="20% - Accent6 3 2 2 2 3 2" xfId="18974" xr:uid="{00000000-0005-0000-0000-00009D300000}"/>
    <cellStyle name="20% - Accent6 3 2 2 2 3 2 2" xfId="17716" xr:uid="{00000000-0005-0000-0000-00009E300000}"/>
    <cellStyle name="20% - Accent6 3 2 2 2 3 2 2 2" xfId="32181" xr:uid="{00000000-0005-0000-0000-00009F300000}"/>
    <cellStyle name="20% - Accent6 3 2 2 2 3 2 2 2 2" xfId="7310" xr:uid="{00000000-0005-0000-0000-0000A0300000}"/>
    <cellStyle name="20% - Accent6 3 2 2 2 3 2 2 3" xfId="18972" xr:uid="{00000000-0005-0000-0000-0000A1300000}"/>
    <cellStyle name="20% - Accent6 3 2 2 2 3 2 3" xfId="14918" xr:uid="{00000000-0005-0000-0000-0000A2300000}"/>
    <cellStyle name="20% - Accent6 3 2 2 2 3 2 3 2" xfId="18970" xr:uid="{00000000-0005-0000-0000-0000A3300000}"/>
    <cellStyle name="20% - Accent6 3 2 2 2 3 2 4" xfId="14912" xr:uid="{00000000-0005-0000-0000-0000A4300000}"/>
    <cellStyle name="20% - Accent6 3 2 2 2 3 3" xfId="18968" xr:uid="{00000000-0005-0000-0000-0000A5300000}"/>
    <cellStyle name="20% - Accent6 3 2 2 2 3 3 2" xfId="18967" xr:uid="{00000000-0005-0000-0000-0000A6300000}"/>
    <cellStyle name="20% - Accent6 3 2 2 2 3 3 2 2" xfId="18963" xr:uid="{00000000-0005-0000-0000-0000A7300000}"/>
    <cellStyle name="20% - Accent6 3 2 2 2 3 3 3" xfId="25060" xr:uid="{00000000-0005-0000-0000-0000A8300000}"/>
    <cellStyle name="20% - Accent6 3 2 2 2 3 4" xfId="18961" xr:uid="{00000000-0005-0000-0000-0000A9300000}"/>
    <cellStyle name="20% - Accent6 3 2 2 2 3 4 2" xfId="18959" xr:uid="{00000000-0005-0000-0000-0000AA300000}"/>
    <cellStyle name="20% - Accent6 3 2 2 2 3 5" xfId="17875" xr:uid="{00000000-0005-0000-0000-0000AB300000}"/>
    <cellStyle name="20% - Accent6 3 2 2 2 4" xfId="23180" xr:uid="{00000000-0005-0000-0000-0000AC300000}"/>
    <cellStyle name="20% - Accent6 3 2 2 2 4 2" xfId="18953" xr:uid="{00000000-0005-0000-0000-0000AD300000}"/>
    <cellStyle name="20% - Accent6 3 2 2 2 4 2 2" xfId="18948" xr:uid="{00000000-0005-0000-0000-0000AE300000}"/>
    <cellStyle name="20% - Accent6 3 2 2 2 4 2 2 2" xfId="18946" xr:uid="{00000000-0005-0000-0000-0000AF300000}"/>
    <cellStyle name="20% - Accent6 3 2 2 2 4 2 3" xfId="14881" xr:uid="{00000000-0005-0000-0000-0000B0300000}"/>
    <cellStyle name="20% - Accent6 3 2 2 2 4 3" xfId="18940" xr:uid="{00000000-0005-0000-0000-0000B1300000}"/>
    <cellStyle name="20% - Accent6 3 2 2 2 4 3 2" xfId="18938" xr:uid="{00000000-0005-0000-0000-0000B2300000}"/>
    <cellStyle name="20% - Accent6 3 2 2 2 4 4" xfId="20098" xr:uid="{00000000-0005-0000-0000-0000B3300000}"/>
    <cellStyle name="20% - Accent6 3 2 2 2 5" xfId="32139" xr:uid="{00000000-0005-0000-0000-0000B4300000}"/>
    <cellStyle name="20% - Accent6 3 2 2 2 5 2" xfId="19494" xr:uid="{00000000-0005-0000-0000-0000B5300000}"/>
    <cellStyle name="20% - Accent6 3 2 2 2 5 2 2" xfId="18937" xr:uid="{00000000-0005-0000-0000-0000B6300000}"/>
    <cellStyle name="20% - Accent6 3 2 2 2 5 3" xfId="20598" xr:uid="{00000000-0005-0000-0000-0000B7300000}"/>
    <cellStyle name="20% - Accent6 3 2 2 2 6" xfId="33854" xr:uid="{00000000-0005-0000-0000-0000B8300000}"/>
    <cellStyle name="20% - Accent6 3 2 2 2 6 2" xfId="20593" xr:uid="{00000000-0005-0000-0000-0000B9300000}"/>
    <cellStyle name="20% - Accent6 3 2 2 2 7" xfId="18934" xr:uid="{00000000-0005-0000-0000-0000BA300000}"/>
    <cellStyle name="20% - Accent6 3 2 2 3" xfId="31700" xr:uid="{00000000-0005-0000-0000-0000BB300000}"/>
    <cellStyle name="20% - Accent6 3 2 2 3 2" xfId="31694" xr:uid="{00000000-0005-0000-0000-0000BC300000}"/>
    <cellStyle name="20% - Accent6 3 2 2 3 2 2" xfId="27447" xr:uid="{00000000-0005-0000-0000-0000BD300000}"/>
    <cellStyle name="20% - Accent6 3 2 2 3 2 2 2" xfId="17670" xr:uid="{00000000-0005-0000-0000-0000BE300000}"/>
    <cellStyle name="20% - Accent6 3 2 2 3 2 2 2 2" xfId="20438" xr:uid="{00000000-0005-0000-0000-0000BF300000}"/>
    <cellStyle name="20% - Accent6 3 2 2 3 2 2 2 2 2" xfId="7595" xr:uid="{00000000-0005-0000-0000-0000C0300000}"/>
    <cellStyle name="20% - Accent6 3 2 2 3 2 2 2 3" xfId="18931" xr:uid="{00000000-0005-0000-0000-0000C1300000}"/>
    <cellStyle name="20% - Accent6 3 2 2 3 2 2 3" xfId="18929" xr:uid="{00000000-0005-0000-0000-0000C2300000}"/>
    <cellStyle name="20% - Accent6 3 2 2 3 2 2 3 2" xfId="18923" xr:uid="{00000000-0005-0000-0000-0000C3300000}"/>
    <cellStyle name="20% - Accent6 3 2 2 3 2 2 4" xfId="18921" xr:uid="{00000000-0005-0000-0000-0000C4300000}"/>
    <cellStyle name="20% - Accent6 3 2 2 3 2 3" xfId="30433" xr:uid="{00000000-0005-0000-0000-0000C5300000}"/>
    <cellStyle name="20% - Accent6 3 2 2 3 2 3 2" xfId="18933" xr:uid="{00000000-0005-0000-0000-0000C6300000}"/>
    <cellStyle name="20% - Accent6 3 2 2 3 2 3 2 2" xfId="22891" xr:uid="{00000000-0005-0000-0000-0000C7300000}"/>
    <cellStyle name="20% - Accent6 3 2 2 3 2 3 3" xfId="18913" xr:uid="{00000000-0005-0000-0000-0000C8300000}"/>
    <cellStyle name="20% - Accent6 3 2 2 3 2 4" xfId="22748" xr:uid="{00000000-0005-0000-0000-0000C9300000}"/>
    <cellStyle name="20% - Accent6 3 2 2 3 2 4 2" xfId="9497" xr:uid="{00000000-0005-0000-0000-0000CA300000}"/>
    <cellStyle name="20% - Accent6 3 2 2 3 2 5" xfId="27431" xr:uid="{00000000-0005-0000-0000-0000CB300000}"/>
    <cellStyle name="20% - Accent6 3 2 2 3 3" xfId="31680" xr:uid="{00000000-0005-0000-0000-0000CC300000}"/>
    <cellStyle name="20% - Accent6 3 2 2 3 3 2" xfId="18908" xr:uid="{00000000-0005-0000-0000-0000CD300000}"/>
    <cellStyle name="20% - Accent6 3 2 2 3 3 2 2" xfId="18905" xr:uid="{00000000-0005-0000-0000-0000CE300000}"/>
    <cellStyle name="20% - Accent6 3 2 2 3 3 2 2 2" xfId="24376" xr:uid="{00000000-0005-0000-0000-0000CF300000}"/>
    <cellStyle name="20% - Accent6 3 2 2 3 3 2 3" xfId="14801" xr:uid="{00000000-0005-0000-0000-0000D0300000}"/>
    <cellStyle name="20% - Accent6 3 2 2 3 3 3" xfId="29707" xr:uid="{00000000-0005-0000-0000-0000D1300000}"/>
    <cellStyle name="20% - Accent6 3 2 2 3 3 3 2" xfId="18899" xr:uid="{00000000-0005-0000-0000-0000D2300000}"/>
    <cellStyle name="20% - Accent6 3 2 2 3 3 4" xfId="20258" xr:uid="{00000000-0005-0000-0000-0000D3300000}"/>
    <cellStyle name="20% - Accent6 3 2 2 3 4" xfId="18898" xr:uid="{00000000-0005-0000-0000-0000D4300000}"/>
    <cellStyle name="20% - Accent6 3 2 2 3 4 2" xfId="18897" xr:uid="{00000000-0005-0000-0000-0000D5300000}"/>
    <cellStyle name="20% - Accent6 3 2 2 3 4 2 2" xfId="18892" xr:uid="{00000000-0005-0000-0000-0000D6300000}"/>
    <cellStyle name="20% - Accent6 3 2 2 3 4 3" xfId="26142" xr:uid="{00000000-0005-0000-0000-0000D7300000}"/>
    <cellStyle name="20% - Accent6 3 2 2 3 5" xfId="33665" xr:uid="{00000000-0005-0000-0000-0000D8300000}"/>
    <cellStyle name="20% - Accent6 3 2 2 3 5 2" xfId="20580" xr:uid="{00000000-0005-0000-0000-0000D9300000}"/>
    <cellStyle name="20% - Accent6 3 2 2 3 6" xfId="20445" xr:uid="{00000000-0005-0000-0000-0000DA300000}"/>
    <cellStyle name="20% - Accent6 3 2 2 4" xfId="31673" xr:uid="{00000000-0005-0000-0000-0000DB300000}"/>
    <cellStyle name="20% - Accent6 3 2 2 4 2" xfId="31662" xr:uid="{00000000-0005-0000-0000-0000DC300000}"/>
    <cellStyle name="20% - Accent6 3 2 2 4 2 2" xfId="18891" xr:uid="{00000000-0005-0000-0000-0000DD300000}"/>
    <cellStyle name="20% - Accent6 3 2 2 4 2 2 2" xfId="18888" xr:uid="{00000000-0005-0000-0000-0000DE300000}"/>
    <cellStyle name="20% - Accent6 3 2 2 4 2 2 2 2" xfId="18887" xr:uid="{00000000-0005-0000-0000-0000DF300000}"/>
    <cellStyle name="20% - Accent6 3 2 2 4 2 2 3" xfId="18883" xr:uid="{00000000-0005-0000-0000-0000E0300000}"/>
    <cellStyle name="20% - Accent6 3 2 2 4 2 3" xfId="27225" xr:uid="{00000000-0005-0000-0000-0000E1300000}"/>
    <cellStyle name="20% - Accent6 3 2 2 4 2 3 2" xfId="24383" xr:uid="{00000000-0005-0000-0000-0000E2300000}"/>
    <cellStyle name="20% - Accent6 3 2 2 4 2 4" xfId="27409" xr:uid="{00000000-0005-0000-0000-0000E3300000}"/>
    <cellStyle name="20% - Accent6 3 2 2 4 3" xfId="31485" xr:uid="{00000000-0005-0000-0000-0000E4300000}"/>
    <cellStyle name="20% - Accent6 3 2 2 4 3 2" xfId="29663" xr:uid="{00000000-0005-0000-0000-0000E5300000}"/>
    <cellStyle name="20% - Accent6 3 2 2 4 3 2 2" xfId="18878" xr:uid="{00000000-0005-0000-0000-0000E6300000}"/>
    <cellStyle name="20% - Accent6 3 2 2 4 3 3" xfId="27403" xr:uid="{00000000-0005-0000-0000-0000E7300000}"/>
    <cellStyle name="20% - Accent6 3 2 2 4 4" xfId="18877" xr:uid="{00000000-0005-0000-0000-0000E8300000}"/>
    <cellStyle name="20% - Accent6 3 2 2 4 4 2" xfId="18876" xr:uid="{00000000-0005-0000-0000-0000E9300000}"/>
    <cellStyle name="20% - Accent6 3 2 2 4 5" xfId="20436" xr:uid="{00000000-0005-0000-0000-0000EA300000}"/>
    <cellStyle name="20% - Accent6 3 2 2 5" xfId="31658" xr:uid="{00000000-0005-0000-0000-0000EB300000}"/>
    <cellStyle name="20% - Accent6 3 2 2 5 2" xfId="18874" xr:uid="{00000000-0005-0000-0000-0000EC300000}"/>
    <cellStyle name="20% - Accent6 3 2 2 5 2 2" xfId="18872" xr:uid="{00000000-0005-0000-0000-0000ED300000}"/>
    <cellStyle name="20% - Accent6 3 2 2 5 2 2 2" xfId="18869" xr:uid="{00000000-0005-0000-0000-0000EE300000}"/>
    <cellStyle name="20% - Accent6 3 2 2 5 2 3" xfId="27397" xr:uid="{00000000-0005-0000-0000-0000EF300000}"/>
    <cellStyle name="20% - Accent6 3 2 2 5 3" xfId="18866" xr:uid="{00000000-0005-0000-0000-0000F0300000}"/>
    <cellStyle name="20% - Accent6 3 2 2 5 3 2" xfId="18865" xr:uid="{00000000-0005-0000-0000-0000F1300000}"/>
    <cellStyle name="20% - Accent6 3 2 2 5 4" xfId="18863" xr:uid="{00000000-0005-0000-0000-0000F2300000}"/>
    <cellStyle name="20% - Accent6 3 2 2 6" xfId="18859" xr:uid="{00000000-0005-0000-0000-0000F3300000}"/>
    <cellStyle name="20% - Accent6 3 2 2 6 2" xfId="18858" xr:uid="{00000000-0005-0000-0000-0000F4300000}"/>
    <cellStyle name="20% - Accent6 3 2 2 6 2 2" xfId="18856" xr:uid="{00000000-0005-0000-0000-0000F5300000}"/>
    <cellStyle name="20% - Accent6 3 2 2 6 3" xfId="18854" xr:uid="{00000000-0005-0000-0000-0000F6300000}"/>
    <cellStyle name="20% - Accent6 3 2 2 7" xfId="18852" xr:uid="{00000000-0005-0000-0000-0000F7300000}"/>
    <cellStyle name="20% - Accent6 3 2 2 7 2" xfId="18851" xr:uid="{00000000-0005-0000-0000-0000F8300000}"/>
    <cellStyle name="20% - Accent6 3 2 2 8" xfId="18849" xr:uid="{00000000-0005-0000-0000-0000F9300000}"/>
    <cellStyle name="20% - Accent6 3 2 3" xfId="27161" xr:uid="{00000000-0005-0000-0000-0000FA300000}"/>
    <cellStyle name="20% - Accent6 3 2 3 2" xfId="18845" xr:uid="{00000000-0005-0000-0000-0000FB300000}"/>
    <cellStyle name="20% - Accent6 3 2 3 2 2" xfId="18841" xr:uid="{00000000-0005-0000-0000-0000FC300000}"/>
    <cellStyle name="20% - Accent6 3 2 3 2 2 2" xfId="18837" xr:uid="{00000000-0005-0000-0000-0000FD300000}"/>
    <cellStyle name="20% - Accent6 3 2 3 2 2 2 2" xfId="17604" xr:uid="{00000000-0005-0000-0000-0000FE300000}"/>
    <cellStyle name="20% - Accent6 3 2 3 2 2 2 2 2" xfId="20342" xr:uid="{00000000-0005-0000-0000-0000FF300000}"/>
    <cellStyle name="20% - Accent6 3 2 3 2 2 2 2 2 2" xfId="22403" xr:uid="{00000000-0005-0000-0000-000000310000}"/>
    <cellStyle name="20% - Accent6 3 2 3 2 2 2 2 3" xfId="18834" xr:uid="{00000000-0005-0000-0000-000001310000}"/>
    <cellStyle name="20% - Accent6 3 2 3 2 2 2 3" xfId="32171" xr:uid="{00000000-0005-0000-0000-000002310000}"/>
    <cellStyle name="20% - Accent6 3 2 3 2 2 2 3 2" xfId="18828" xr:uid="{00000000-0005-0000-0000-000003310000}"/>
    <cellStyle name="20% - Accent6 3 2 3 2 2 2 4" xfId="18819" xr:uid="{00000000-0005-0000-0000-000004310000}"/>
    <cellStyle name="20% - Accent6 3 2 3 2 2 3" xfId="20533" xr:uid="{00000000-0005-0000-0000-000005310000}"/>
    <cellStyle name="20% - Accent6 3 2 3 2 2 3 2" xfId="32752" xr:uid="{00000000-0005-0000-0000-000006310000}"/>
    <cellStyle name="20% - Accent6 3 2 3 2 2 3 2 2" xfId="34083" xr:uid="{00000000-0005-0000-0000-000007310000}"/>
    <cellStyle name="20% - Accent6 3 2 3 2 2 3 3" xfId="21342" xr:uid="{00000000-0005-0000-0000-000008310000}"/>
    <cellStyle name="20% - Accent6 3 2 3 2 2 4" xfId="6432" xr:uid="{00000000-0005-0000-0000-000009310000}"/>
    <cellStyle name="20% - Accent6 3 2 3 2 2 4 2" xfId="21335" xr:uid="{00000000-0005-0000-0000-00000A310000}"/>
    <cellStyle name="20% - Accent6 3 2 3 2 2 5" xfId="15643" xr:uid="{00000000-0005-0000-0000-00000B310000}"/>
    <cellStyle name="20% - Accent6 3 2 3 2 3" xfId="23174" xr:uid="{00000000-0005-0000-0000-00000C310000}"/>
    <cellStyle name="20% - Accent6 3 2 3 2 3 2" xfId="18818" xr:uid="{00000000-0005-0000-0000-00000D310000}"/>
    <cellStyle name="20% - Accent6 3 2 3 2 3 2 2" xfId="32735" xr:uid="{00000000-0005-0000-0000-00000E310000}"/>
    <cellStyle name="20% - Accent6 3 2 3 2 3 2 2 2" xfId="18817" xr:uid="{00000000-0005-0000-0000-00000F310000}"/>
    <cellStyle name="20% - Accent6 3 2 3 2 3 2 3" xfId="14384" xr:uid="{00000000-0005-0000-0000-000010310000}"/>
    <cellStyle name="20% - Accent6 3 2 3 2 3 3" xfId="18814" xr:uid="{00000000-0005-0000-0000-000011310000}"/>
    <cellStyle name="20% - Accent6 3 2 3 2 3 3 2" xfId="21317" xr:uid="{00000000-0005-0000-0000-000012310000}"/>
    <cellStyle name="20% - Accent6 3 2 3 2 3 4" xfId="18813" xr:uid="{00000000-0005-0000-0000-000013310000}"/>
    <cellStyle name="20% - Accent6 3 2 3 2 4" xfId="18811" xr:uid="{00000000-0005-0000-0000-000014310000}"/>
    <cellStyle name="20% - Accent6 3 2 3 2 4 2" xfId="18810" xr:uid="{00000000-0005-0000-0000-000015310000}"/>
    <cellStyle name="20% - Accent6 3 2 3 2 4 2 2" xfId="18809" xr:uid="{00000000-0005-0000-0000-000016310000}"/>
    <cellStyle name="20% - Accent6 3 2 3 2 4 3" xfId="18808" xr:uid="{00000000-0005-0000-0000-000017310000}"/>
    <cellStyle name="20% - Accent6 3 2 3 2 5" xfId="32012" xr:uid="{00000000-0005-0000-0000-000018310000}"/>
    <cellStyle name="20% - Accent6 3 2 3 2 5 2" xfId="18494" xr:uid="{00000000-0005-0000-0000-000019310000}"/>
    <cellStyle name="20% - Accent6 3 2 3 2 6" xfId="18806" xr:uid="{00000000-0005-0000-0000-00001A310000}"/>
    <cellStyle name="20% - Accent6 3 2 3 3" xfId="27535" xr:uid="{00000000-0005-0000-0000-00001B310000}"/>
    <cellStyle name="20% - Accent6 3 2 3 3 2" xfId="21511" xr:uid="{00000000-0005-0000-0000-00001C310000}"/>
    <cellStyle name="20% - Accent6 3 2 3 3 2 2" xfId="18805" xr:uid="{00000000-0005-0000-0000-00001D310000}"/>
    <cellStyle name="20% - Accent6 3 2 3 3 2 2 2" xfId="27540" xr:uid="{00000000-0005-0000-0000-00001E310000}"/>
    <cellStyle name="20% - Accent6 3 2 3 3 2 2 2 2" xfId="18803" xr:uid="{00000000-0005-0000-0000-00001F310000}"/>
    <cellStyle name="20% - Accent6 3 2 3 3 2 2 3" xfId="18801" xr:uid="{00000000-0005-0000-0000-000020310000}"/>
    <cellStyle name="20% - Accent6 3 2 3 3 2 3" xfId="26287" xr:uid="{00000000-0005-0000-0000-000021310000}"/>
    <cellStyle name="20% - Accent6 3 2 3 3 2 3 2" xfId="21182" xr:uid="{00000000-0005-0000-0000-000022310000}"/>
    <cellStyle name="20% - Accent6 3 2 3 3 2 4" xfId="27359" xr:uid="{00000000-0005-0000-0000-000023310000}"/>
    <cellStyle name="20% - Accent6 3 2 3 3 3" xfId="18796" xr:uid="{00000000-0005-0000-0000-000024310000}"/>
    <cellStyle name="20% - Accent6 3 2 3 3 3 2" xfId="18794" xr:uid="{00000000-0005-0000-0000-000025310000}"/>
    <cellStyle name="20% - Accent6 3 2 3 3 3 2 2" xfId="18791" xr:uid="{00000000-0005-0000-0000-000026310000}"/>
    <cellStyle name="20% - Accent6 3 2 3 3 3 3" xfId="32596" xr:uid="{00000000-0005-0000-0000-000027310000}"/>
    <cellStyle name="20% - Accent6 3 2 3 3 4" xfId="20756" xr:uid="{00000000-0005-0000-0000-000028310000}"/>
    <cellStyle name="20% - Accent6 3 2 3 3 4 2" xfId="18788" xr:uid="{00000000-0005-0000-0000-000029310000}"/>
    <cellStyle name="20% - Accent6 3 2 3 3 5" xfId="20747" xr:uid="{00000000-0005-0000-0000-00002A310000}"/>
    <cellStyle name="20% - Accent6 3 2 3 4" xfId="31629" xr:uid="{00000000-0005-0000-0000-00002B310000}"/>
    <cellStyle name="20% - Accent6 3 2 3 4 2" xfId="18786" xr:uid="{00000000-0005-0000-0000-00002C310000}"/>
    <cellStyle name="20% - Accent6 3 2 3 4 2 2" xfId="18785" xr:uid="{00000000-0005-0000-0000-00002D310000}"/>
    <cellStyle name="20% - Accent6 3 2 3 4 2 2 2" xfId="22211" xr:uid="{00000000-0005-0000-0000-00002E310000}"/>
    <cellStyle name="20% - Accent6 3 2 3 4 2 3" xfId="26581" xr:uid="{00000000-0005-0000-0000-00002F310000}"/>
    <cellStyle name="20% - Accent6 3 2 3 4 3" xfId="18781" xr:uid="{00000000-0005-0000-0000-000030310000}"/>
    <cellStyle name="20% - Accent6 3 2 3 4 3 2" xfId="6917" xr:uid="{00000000-0005-0000-0000-000031310000}"/>
    <cellStyle name="20% - Accent6 3 2 3 4 4" xfId="27117" xr:uid="{00000000-0005-0000-0000-000032310000}"/>
    <cellStyle name="20% - Accent6 3 2 3 5" xfId="18780" xr:uid="{00000000-0005-0000-0000-000033310000}"/>
    <cellStyle name="20% - Accent6 3 2 3 5 2" xfId="28422" xr:uid="{00000000-0005-0000-0000-000034310000}"/>
    <cellStyle name="20% - Accent6 3 2 3 5 2 2" xfId="6808" xr:uid="{00000000-0005-0000-0000-000035310000}"/>
    <cellStyle name="20% - Accent6 3 2 3 5 3" xfId="32681" xr:uid="{00000000-0005-0000-0000-000036310000}"/>
    <cellStyle name="20% - Accent6 3 2 3 6" xfId="18776" xr:uid="{00000000-0005-0000-0000-000037310000}"/>
    <cellStyle name="20% - Accent6 3 2 3 6 2" xfId="28405" xr:uid="{00000000-0005-0000-0000-000038310000}"/>
    <cellStyle name="20% - Accent6 3 2 3 7" xfId="18775" xr:uid="{00000000-0005-0000-0000-000039310000}"/>
    <cellStyle name="20% - Accent6 3 2 4" xfId="27150" xr:uid="{00000000-0005-0000-0000-00003A310000}"/>
    <cellStyle name="20% - Accent6 3 2 4 2" xfId="19867" xr:uid="{00000000-0005-0000-0000-00003B310000}"/>
    <cellStyle name="20% - Accent6 3 2 4 2 2" xfId="18774" xr:uid="{00000000-0005-0000-0000-00003C310000}"/>
    <cellStyle name="20% - Accent6 3 2 4 2 2 2" xfId="7632" xr:uid="{00000000-0005-0000-0000-00003D310000}"/>
    <cellStyle name="20% - Accent6 3 2 4 2 2 2 2" xfId="26634" xr:uid="{00000000-0005-0000-0000-00003E310000}"/>
    <cellStyle name="20% - Accent6 3 2 4 2 2 2 2 2" xfId="17978" xr:uid="{00000000-0005-0000-0000-00003F310000}"/>
    <cellStyle name="20% - Accent6 3 2 4 2 2 2 3" xfId="19403" xr:uid="{00000000-0005-0000-0000-000040310000}"/>
    <cellStyle name="20% - Accent6 3 2 4 2 2 3" xfId="7617" xr:uid="{00000000-0005-0000-0000-000041310000}"/>
    <cellStyle name="20% - Accent6 3 2 4 2 2 3 2" xfId="19400" xr:uid="{00000000-0005-0000-0000-000042310000}"/>
    <cellStyle name="20% - Accent6 3 2 4 2 2 4" xfId="7603" xr:uid="{00000000-0005-0000-0000-000043310000}"/>
    <cellStyle name="20% - Accent6 3 2 4 2 3" xfId="18770" xr:uid="{00000000-0005-0000-0000-000044310000}"/>
    <cellStyle name="20% - Accent6 3 2 4 2 3 2" xfId="7414" xr:uid="{00000000-0005-0000-0000-000045310000}"/>
    <cellStyle name="20% - Accent6 3 2 4 2 3 2 2" xfId="19386" xr:uid="{00000000-0005-0000-0000-000046310000}"/>
    <cellStyle name="20% - Accent6 3 2 4 2 3 3" xfId="7394" xr:uid="{00000000-0005-0000-0000-000047310000}"/>
    <cellStyle name="20% - Accent6 3 2 4 2 4" xfId="18767" xr:uid="{00000000-0005-0000-0000-000048310000}"/>
    <cellStyle name="20% - Accent6 3 2 4 2 4 2" xfId="7254" xr:uid="{00000000-0005-0000-0000-000049310000}"/>
    <cellStyle name="20% - Accent6 3 2 4 2 5" xfId="18765" xr:uid="{00000000-0005-0000-0000-00004A310000}"/>
    <cellStyle name="20% - Accent6 3 2 4 3" xfId="31619" xr:uid="{00000000-0005-0000-0000-00004B310000}"/>
    <cellStyle name="20% - Accent6 3 2 4 3 2" xfId="18764" xr:uid="{00000000-0005-0000-0000-00004C310000}"/>
    <cellStyle name="20% - Accent6 3 2 4 3 2 2" xfId="7920" xr:uid="{00000000-0005-0000-0000-00004D310000}"/>
    <cellStyle name="20% - Accent6 3 2 4 3 2 2 2" xfId="23867" xr:uid="{00000000-0005-0000-0000-00004E310000}"/>
    <cellStyle name="20% - Accent6 3 2 4 3 2 3" xfId="6097" xr:uid="{00000000-0005-0000-0000-00004F310000}"/>
    <cellStyle name="20% - Accent6 3 2 4 3 3" xfId="18761" xr:uid="{00000000-0005-0000-0000-000050310000}"/>
    <cellStyle name="20% - Accent6 3 2 4 3 3 2" xfId="5987" xr:uid="{00000000-0005-0000-0000-000051310000}"/>
    <cellStyle name="20% - Accent6 3 2 4 3 4" xfId="20742" xr:uid="{00000000-0005-0000-0000-000052310000}"/>
    <cellStyle name="20% - Accent6 3 2 4 4" xfId="18760" xr:uid="{00000000-0005-0000-0000-000053310000}"/>
    <cellStyle name="20% - Accent6 3 2 4 4 2" xfId="18759" xr:uid="{00000000-0005-0000-0000-000054310000}"/>
    <cellStyle name="20% - Accent6 3 2 4 4 2 2" xfId="6620" xr:uid="{00000000-0005-0000-0000-000055310000}"/>
    <cellStyle name="20% - Accent6 3 2 4 4 3" xfId="18758" xr:uid="{00000000-0005-0000-0000-000056310000}"/>
    <cellStyle name="20% - Accent6 3 2 4 5" xfId="18757" xr:uid="{00000000-0005-0000-0000-000057310000}"/>
    <cellStyle name="20% - Accent6 3 2 4 5 2" xfId="32645" xr:uid="{00000000-0005-0000-0000-000058310000}"/>
    <cellStyle name="20% - Accent6 3 2 4 6" xfId="18756" xr:uid="{00000000-0005-0000-0000-000059310000}"/>
    <cellStyle name="20% - Accent6 3 2 5" xfId="33256" xr:uid="{00000000-0005-0000-0000-00005A310000}"/>
    <cellStyle name="20% - Accent6 3 2 5 2" xfId="18755" xr:uid="{00000000-0005-0000-0000-00005B310000}"/>
    <cellStyle name="20% - Accent6 3 2 5 2 2" xfId="13360" xr:uid="{00000000-0005-0000-0000-00005C310000}"/>
    <cellStyle name="20% - Accent6 3 2 5 2 2 2" xfId="19368" xr:uid="{00000000-0005-0000-0000-00005D310000}"/>
    <cellStyle name="20% - Accent6 3 2 5 2 2 2 2" xfId="31490" xr:uid="{00000000-0005-0000-0000-00005E310000}"/>
    <cellStyle name="20% - Accent6 3 2 5 2 2 3" xfId="19363" xr:uid="{00000000-0005-0000-0000-00005F310000}"/>
    <cellStyle name="20% - Accent6 3 2 5 2 3" xfId="18747" xr:uid="{00000000-0005-0000-0000-000060310000}"/>
    <cellStyle name="20% - Accent6 3 2 5 2 3 2" xfId="19349" xr:uid="{00000000-0005-0000-0000-000061310000}"/>
    <cellStyle name="20% - Accent6 3 2 5 2 4" xfId="18745" xr:uid="{00000000-0005-0000-0000-000062310000}"/>
    <cellStyle name="20% - Accent6 3 2 5 3" xfId="18742" xr:uid="{00000000-0005-0000-0000-000063310000}"/>
    <cellStyle name="20% - Accent6 3 2 5 3 2" xfId="19971" xr:uid="{00000000-0005-0000-0000-000064310000}"/>
    <cellStyle name="20% - Accent6 3 2 5 3 2 2" xfId="19327" xr:uid="{00000000-0005-0000-0000-000065310000}"/>
    <cellStyle name="20% - Accent6 3 2 5 3 3" xfId="19968" xr:uid="{00000000-0005-0000-0000-000066310000}"/>
    <cellStyle name="20% - Accent6 3 2 5 4" xfId="18738" xr:uid="{00000000-0005-0000-0000-000067310000}"/>
    <cellStyle name="20% - Accent6 3 2 5 4 2" xfId="19959" xr:uid="{00000000-0005-0000-0000-000068310000}"/>
    <cellStyle name="20% - Accent6 3 2 5 5" xfId="18735" xr:uid="{00000000-0005-0000-0000-000069310000}"/>
    <cellStyle name="20% - Accent6 3 2 6" xfId="33242" xr:uid="{00000000-0005-0000-0000-00006A310000}"/>
    <cellStyle name="20% - Accent6 3 2 6 2" xfId="21836" xr:uid="{00000000-0005-0000-0000-00006B310000}"/>
    <cellStyle name="20% - Accent6 3 2 6 2 2" xfId="33545" xr:uid="{00000000-0005-0000-0000-00006C310000}"/>
    <cellStyle name="20% - Accent6 3 2 6 2 2 2" xfId="31651" xr:uid="{00000000-0005-0000-0000-00006D310000}"/>
    <cellStyle name="20% - Accent6 3 2 6 2 3" xfId="33540" xr:uid="{00000000-0005-0000-0000-00006E310000}"/>
    <cellStyle name="20% - Accent6 3 2 6 3" xfId="21830" xr:uid="{00000000-0005-0000-0000-00006F310000}"/>
    <cellStyle name="20% - Accent6 3 2 6 3 2" xfId="33532" xr:uid="{00000000-0005-0000-0000-000070310000}"/>
    <cellStyle name="20% - Accent6 3 2 6 4" xfId="21822" xr:uid="{00000000-0005-0000-0000-000071310000}"/>
    <cellStyle name="20% - Accent6 3 2 7" xfId="27261" xr:uid="{00000000-0005-0000-0000-000072310000}"/>
    <cellStyle name="20% - Accent6 3 2 7 2" xfId="7071" xr:uid="{00000000-0005-0000-0000-000073310000}"/>
    <cellStyle name="20% - Accent6 3 2 7 2 2" xfId="31862" xr:uid="{00000000-0005-0000-0000-000074310000}"/>
    <cellStyle name="20% - Accent6 3 2 7 3" xfId="7785" xr:uid="{00000000-0005-0000-0000-000075310000}"/>
    <cellStyle name="20% - Accent6 3 2 8" xfId="26067" xr:uid="{00000000-0005-0000-0000-000076310000}"/>
    <cellStyle name="20% - Accent6 3 2 8 2" xfId="7781" xr:uid="{00000000-0005-0000-0000-000077310000}"/>
    <cellStyle name="20% - Accent6 3 2 9" xfId="18731" xr:uid="{00000000-0005-0000-0000-000078310000}"/>
    <cellStyle name="20% - Accent6 3 3" xfId="235" xr:uid="{00000000-0005-0000-0000-000079310000}"/>
    <cellStyle name="20% - Accent6 3 3 10" xfId="19143" xr:uid="{00000000-0005-0000-0000-00007A310000}"/>
    <cellStyle name="20% - Accent6 3 3 2" xfId="18729" xr:uid="{00000000-0005-0000-0000-00007B310000}"/>
    <cellStyle name="20% - Accent6 3 3 2 2" xfId="18726" xr:uid="{00000000-0005-0000-0000-00007C310000}"/>
    <cellStyle name="20% - Accent6 3 3 2 2 2" xfId="18721" xr:uid="{00000000-0005-0000-0000-00007D310000}"/>
    <cellStyle name="20% - Accent6 3 3 2 2 2 2" xfId="18718" xr:uid="{00000000-0005-0000-0000-00007E310000}"/>
    <cellStyle name="20% - Accent6 3 3 2 2 2 2 2" xfId="18716" xr:uid="{00000000-0005-0000-0000-00007F310000}"/>
    <cellStyle name="20% - Accent6 3 3 2 2 2 2 2 2" xfId="18713" xr:uid="{00000000-0005-0000-0000-000080310000}"/>
    <cellStyle name="20% - Accent6 3 3 2 2 2 2 2 2 2" xfId="26627" xr:uid="{00000000-0005-0000-0000-000081310000}"/>
    <cellStyle name="20% - Accent6 3 3 2 2 2 2 2 3" xfId="27049" xr:uid="{00000000-0005-0000-0000-000082310000}"/>
    <cellStyle name="20% - Accent6 3 3 2 2 2 2 3" xfId="24471" xr:uid="{00000000-0005-0000-0000-000083310000}"/>
    <cellStyle name="20% - Accent6 3 3 2 2 2 2 3 2" xfId="18708" xr:uid="{00000000-0005-0000-0000-000084310000}"/>
    <cellStyle name="20% - Accent6 3 3 2 2 2 2 4" xfId="18703" xr:uid="{00000000-0005-0000-0000-000085310000}"/>
    <cellStyle name="20% - Accent6 3 3 2 2 2 3" xfId="32921" xr:uid="{00000000-0005-0000-0000-000086310000}"/>
    <cellStyle name="20% - Accent6 3 3 2 2 2 3 2" xfId="30521" xr:uid="{00000000-0005-0000-0000-000087310000}"/>
    <cellStyle name="20% - Accent6 3 3 2 2 2 3 2 2" xfId="18697" xr:uid="{00000000-0005-0000-0000-000088310000}"/>
    <cellStyle name="20% - Accent6 3 3 2 2 2 3 3" xfId="18693" xr:uid="{00000000-0005-0000-0000-000089310000}"/>
    <cellStyle name="20% - Accent6 3 3 2 2 2 4" xfId="21621" xr:uid="{00000000-0005-0000-0000-00008A310000}"/>
    <cellStyle name="20% - Accent6 3 3 2 2 2 4 2" xfId="18691" xr:uid="{00000000-0005-0000-0000-00008B310000}"/>
    <cellStyle name="20% - Accent6 3 3 2 2 2 5" xfId="13759" xr:uid="{00000000-0005-0000-0000-00008C310000}"/>
    <cellStyle name="20% - Accent6 3 3 2 2 3" xfId="23164" xr:uid="{00000000-0005-0000-0000-00008D310000}"/>
    <cellStyle name="20% - Accent6 3 3 2 2 3 2" xfId="18689" xr:uid="{00000000-0005-0000-0000-00008E310000}"/>
    <cellStyle name="20% - Accent6 3 3 2 2 3 2 2" xfId="18688" xr:uid="{00000000-0005-0000-0000-00008F310000}"/>
    <cellStyle name="20% - Accent6 3 3 2 2 3 2 2 2" xfId="30817" xr:uid="{00000000-0005-0000-0000-000090310000}"/>
    <cellStyle name="20% - Accent6 3 3 2 2 3 2 3" xfId="9022" xr:uid="{00000000-0005-0000-0000-000091310000}"/>
    <cellStyle name="20% - Accent6 3 3 2 2 3 3" xfId="32866" xr:uid="{00000000-0005-0000-0000-000092310000}"/>
    <cellStyle name="20% - Accent6 3 3 2 2 3 3 2" xfId="18687" xr:uid="{00000000-0005-0000-0000-000093310000}"/>
    <cellStyle name="20% - Accent6 3 3 2 2 3 4" xfId="18158" xr:uid="{00000000-0005-0000-0000-000094310000}"/>
    <cellStyle name="20% - Accent6 3 3 2 2 4" xfId="18685" xr:uid="{00000000-0005-0000-0000-000095310000}"/>
    <cellStyle name="20% - Accent6 3 3 2 2 4 2" xfId="29016" xr:uid="{00000000-0005-0000-0000-000096310000}"/>
    <cellStyle name="20% - Accent6 3 3 2 2 4 2 2" xfId="19449" xr:uid="{00000000-0005-0000-0000-000097310000}"/>
    <cellStyle name="20% - Accent6 3 3 2 2 4 3" xfId="18684" xr:uid="{00000000-0005-0000-0000-000098310000}"/>
    <cellStyle name="20% - Accent6 3 3 2 2 5" xfId="33514" xr:uid="{00000000-0005-0000-0000-000099310000}"/>
    <cellStyle name="20% - Accent6 3 3 2 2 5 2" xfId="24402" xr:uid="{00000000-0005-0000-0000-00009A310000}"/>
    <cellStyle name="20% - Accent6 3 3 2 2 6" xfId="24390" xr:uid="{00000000-0005-0000-0000-00009B310000}"/>
    <cellStyle name="20% - Accent6 3 3 2 3" xfId="14171" xr:uid="{00000000-0005-0000-0000-00009C310000}"/>
    <cellStyle name="20% - Accent6 3 3 2 3 2" xfId="14169" xr:uid="{00000000-0005-0000-0000-00009D310000}"/>
    <cellStyle name="20% - Accent6 3 3 2 3 2 2" xfId="14167" xr:uid="{00000000-0005-0000-0000-00009E310000}"/>
    <cellStyle name="20% - Accent6 3 3 2 3 2 2 2" xfId="19052" xr:uid="{00000000-0005-0000-0000-00009F310000}"/>
    <cellStyle name="20% - Accent6 3 3 2 3 2 2 2 2" xfId="18681" xr:uid="{00000000-0005-0000-0000-0000A0310000}"/>
    <cellStyle name="20% - Accent6 3 3 2 3 2 2 3" xfId="19048" xr:uid="{00000000-0005-0000-0000-0000A1310000}"/>
    <cellStyle name="20% - Accent6 3 3 2 3 2 3" xfId="14164" xr:uid="{00000000-0005-0000-0000-0000A2310000}"/>
    <cellStyle name="20% - Accent6 3 3 2 3 2 3 2" xfId="19039" xr:uid="{00000000-0005-0000-0000-0000A3310000}"/>
    <cellStyle name="20% - Accent6 3 3 2 3 2 4" xfId="14156" xr:uid="{00000000-0005-0000-0000-0000A4310000}"/>
    <cellStyle name="20% - Accent6 3 3 2 3 3" xfId="14147" xr:uid="{00000000-0005-0000-0000-0000A5310000}"/>
    <cellStyle name="20% - Accent6 3 3 2 3 3 2" xfId="18676" xr:uid="{00000000-0005-0000-0000-0000A6310000}"/>
    <cellStyle name="20% - Accent6 3 3 2 3 3 2 2" xfId="19032" xr:uid="{00000000-0005-0000-0000-0000A7310000}"/>
    <cellStyle name="20% - Accent6 3 3 2 3 3 3" xfId="26211" xr:uid="{00000000-0005-0000-0000-0000A8310000}"/>
    <cellStyle name="20% - Accent6 3 3 2 3 4" xfId="14145" xr:uid="{00000000-0005-0000-0000-0000A9310000}"/>
    <cellStyle name="20% - Accent6 3 3 2 3 4 2" xfId="18670" xr:uid="{00000000-0005-0000-0000-0000AA310000}"/>
    <cellStyle name="20% - Accent6 3 3 2 3 5" xfId="14143" xr:uid="{00000000-0005-0000-0000-0000AB310000}"/>
    <cellStyle name="20% - Accent6 3 3 2 4" xfId="14141" xr:uid="{00000000-0005-0000-0000-0000AC310000}"/>
    <cellStyle name="20% - Accent6 3 3 2 4 2" xfId="14139" xr:uid="{00000000-0005-0000-0000-0000AD310000}"/>
    <cellStyle name="20% - Accent6 3 3 2 4 2 2" xfId="14137" xr:uid="{00000000-0005-0000-0000-0000AE310000}"/>
    <cellStyle name="20% - Accent6 3 3 2 4 2 2 2" xfId="18665" xr:uid="{00000000-0005-0000-0000-0000AF310000}"/>
    <cellStyle name="20% - Accent6 3 3 2 4 2 3" xfId="14135" xr:uid="{00000000-0005-0000-0000-0000B0310000}"/>
    <cellStyle name="20% - Accent6 3 3 2 4 3" xfId="14132" xr:uid="{00000000-0005-0000-0000-0000B1310000}"/>
    <cellStyle name="20% - Accent6 3 3 2 4 3 2" xfId="26196" xr:uid="{00000000-0005-0000-0000-0000B2310000}"/>
    <cellStyle name="20% - Accent6 3 3 2 4 4" xfId="6856" xr:uid="{00000000-0005-0000-0000-0000B3310000}"/>
    <cellStyle name="20% - Accent6 3 3 2 5" xfId="14130" xr:uid="{00000000-0005-0000-0000-0000B4310000}"/>
    <cellStyle name="20% - Accent6 3 3 2 5 2" xfId="15577" xr:uid="{00000000-0005-0000-0000-0000B5310000}"/>
    <cellStyle name="20% - Accent6 3 3 2 5 2 2" xfId="14128" xr:uid="{00000000-0005-0000-0000-0000B6310000}"/>
    <cellStyle name="20% - Accent6 3 3 2 5 3" xfId="14126" xr:uid="{00000000-0005-0000-0000-0000B7310000}"/>
    <cellStyle name="20% - Accent6 3 3 2 6" xfId="14124" xr:uid="{00000000-0005-0000-0000-0000B8310000}"/>
    <cellStyle name="20% - Accent6 3 3 2 6 2" xfId="14122" xr:uid="{00000000-0005-0000-0000-0000B9310000}"/>
    <cellStyle name="20% - Accent6 3 3 2 7" xfId="18650" xr:uid="{00000000-0005-0000-0000-0000BA310000}"/>
    <cellStyle name="20% - Accent6 3 3 3" xfId="28563" xr:uid="{00000000-0005-0000-0000-0000BB310000}"/>
    <cellStyle name="20% - Accent6 3 3 3 2" xfId="18648" xr:uid="{00000000-0005-0000-0000-0000BC310000}"/>
    <cellStyle name="20% - Accent6 3 3 3 2 2" xfId="12879" xr:uid="{00000000-0005-0000-0000-0000BD310000}"/>
    <cellStyle name="20% - Accent6 3 3 3 2 2 2" xfId="18646" xr:uid="{00000000-0005-0000-0000-0000BE310000}"/>
    <cellStyle name="20% - Accent6 3 3 3 2 2 2 2" xfId="18645" xr:uid="{00000000-0005-0000-0000-0000BF310000}"/>
    <cellStyle name="20% - Accent6 3 3 3 2 2 2 2 2" xfId="18644" xr:uid="{00000000-0005-0000-0000-0000C0310000}"/>
    <cellStyle name="20% - Accent6 3 3 3 2 2 2 3" xfId="18641" xr:uid="{00000000-0005-0000-0000-0000C1310000}"/>
    <cellStyle name="20% - Accent6 3 3 3 2 2 3" xfId="27371" xr:uid="{00000000-0005-0000-0000-0000C2310000}"/>
    <cellStyle name="20% - Accent6 3 3 3 2 2 3 2" xfId="19190" xr:uid="{00000000-0005-0000-0000-0000C3310000}"/>
    <cellStyle name="20% - Accent6 3 3 3 2 2 4" xfId="33222" xr:uid="{00000000-0005-0000-0000-0000C4310000}"/>
    <cellStyle name="20% - Accent6 3 3 3 2 3" xfId="18639" xr:uid="{00000000-0005-0000-0000-0000C5310000}"/>
    <cellStyle name="20% - Accent6 3 3 3 2 3 2" xfId="18638" xr:uid="{00000000-0005-0000-0000-0000C6310000}"/>
    <cellStyle name="20% - Accent6 3 3 3 2 3 2 2" xfId="18637" xr:uid="{00000000-0005-0000-0000-0000C7310000}"/>
    <cellStyle name="20% - Accent6 3 3 3 2 3 3" xfId="18635" xr:uid="{00000000-0005-0000-0000-0000C8310000}"/>
    <cellStyle name="20% - Accent6 3 3 3 2 4" xfId="18634" xr:uid="{00000000-0005-0000-0000-0000C9310000}"/>
    <cellStyle name="20% - Accent6 3 3 3 2 4 2" xfId="20108" xr:uid="{00000000-0005-0000-0000-0000CA310000}"/>
    <cellStyle name="20% - Accent6 3 3 3 2 5" xfId="24372" xr:uid="{00000000-0005-0000-0000-0000CB310000}"/>
    <cellStyle name="20% - Accent6 3 3 3 3" xfId="7443" xr:uid="{00000000-0005-0000-0000-0000CC310000}"/>
    <cellStyle name="20% - Accent6 3 3 3 3 2" xfId="14118" xr:uid="{00000000-0005-0000-0000-0000CD310000}"/>
    <cellStyle name="20% - Accent6 3 3 3 3 2 2" xfId="14116" xr:uid="{00000000-0005-0000-0000-0000CE310000}"/>
    <cellStyle name="20% - Accent6 3 3 3 3 2 2 2" xfId="18630" xr:uid="{00000000-0005-0000-0000-0000CF310000}"/>
    <cellStyle name="20% - Accent6 3 3 3 3 2 3" xfId="14113" xr:uid="{00000000-0005-0000-0000-0000D0310000}"/>
    <cellStyle name="20% - Accent6 3 3 3 3 3" xfId="14111" xr:uid="{00000000-0005-0000-0000-0000D1310000}"/>
    <cellStyle name="20% - Accent6 3 3 3 3 3 2" xfId="18626" xr:uid="{00000000-0005-0000-0000-0000D2310000}"/>
    <cellStyle name="20% - Accent6 3 3 3 3 4" xfId="20734" xr:uid="{00000000-0005-0000-0000-0000D3310000}"/>
    <cellStyle name="20% - Accent6 3 3 3 4" xfId="14109" xr:uid="{00000000-0005-0000-0000-0000D4310000}"/>
    <cellStyle name="20% - Accent6 3 3 3 4 2" xfId="15141" xr:uid="{00000000-0005-0000-0000-0000D5310000}"/>
    <cellStyle name="20% - Accent6 3 3 3 4 2 2" xfId="15636" xr:uid="{00000000-0005-0000-0000-0000D6310000}"/>
    <cellStyle name="20% - Accent6 3 3 3 4 3" xfId="14107" xr:uid="{00000000-0005-0000-0000-0000D7310000}"/>
    <cellStyle name="20% - Accent6 3 3 3 5" xfId="14104" xr:uid="{00000000-0005-0000-0000-0000D8310000}"/>
    <cellStyle name="20% - Accent6 3 3 3 5 2" xfId="14102" xr:uid="{00000000-0005-0000-0000-0000D9310000}"/>
    <cellStyle name="20% - Accent6 3 3 3 6" xfId="14099" xr:uid="{00000000-0005-0000-0000-0000DA310000}"/>
    <cellStyle name="20% - Accent6 3 3 4" xfId="25758" xr:uid="{00000000-0005-0000-0000-0000DB310000}"/>
    <cellStyle name="20% - Accent6 3 3 4 2" xfId="18624" xr:uid="{00000000-0005-0000-0000-0000DC310000}"/>
    <cellStyle name="20% - Accent6 3 3 4 2 2" xfId="22447" xr:uid="{00000000-0005-0000-0000-0000DD310000}"/>
    <cellStyle name="20% - Accent6 3 3 4 2 2 2" xfId="18623" xr:uid="{00000000-0005-0000-0000-0000DE310000}"/>
    <cellStyle name="20% - Accent6 3 3 4 2 2 2 2" xfId="27836" xr:uid="{00000000-0005-0000-0000-0000DF310000}"/>
    <cellStyle name="20% - Accent6 3 3 4 2 2 3" xfId="18621" xr:uid="{00000000-0005-0000-0000-0000E0310000}"/>
    <cellStyle name="20% - Accent6 3 3 4 2 3" xfId="27939" xr:uid="{00000000-0005-0000-0000-0000E1310000}"/>
    <cellStyle name="20% - Accent6 3 3 4 2 3 2" xfId="18619" xr:uid="{00000000-0005-0000-0000-0000E2310000}"/>
    <cellStyle name="20% - Accent6 3 3 4 2 4" xfId="18617" xr:uid="{00000000-0005-0000-0000-0000E3310000}"/>
    <cellStyle name="20% - Accent6 3 3 4 3" xfId="14096" xr:uid="{00000000-0005-0000-0000-0000E4310000}"/>
    <cellStyle name="20% - Accent6 3 3 4 3 2" xfId="14094" xr:uid="{00000000-0005-0000-0000-0000E5310000}"/>
    <cellStyle name="20% - Accent6 3 3 4 3 2 2" xfId="14091" xr:uid="{00000000-0005-0000-0000-0000E6310000}"/>
    <cellStyle name="20% - Accent6 3 3 4 3 3" xfId="14088" xr:uid="{00000000-0005-0000-0000-0000E7310000}"/>
    <cellStyle name="20% - Accent6 3 3 4 4" xfId="14084" xr:uid="{00000000-0005-0000-0000-0000E8310000}"/>
    <cellStyle name="20% - Accent6 3 3 4 4 2" xfId="14082" xr:uid="{00000000-0005-0000-0000-0000E9310000}"/>
    <cellStyle name="20% - Accent6 3 3 4 5" xfId="14079" xr:uid="{00000000-0005-0000-0000-0000EA310000}"/>
    <cellStyle name="20% - Accent6 3 3 5" xfId="33239" xr:uid="{00000000-0005-0000-0000-0000EB310000}"/>
    <cellStyle name="20% - Accent6 3 3 5 2" xfId="18613" xr:uid="{00000000-0005-0000-0000-0000EC310000}"/>
    <cellStyle name="20% - Accent6 3 3 5 2 2" xfId="18607" xr:uid="{00000000-0005-0000-0000-0000ED310000}"/>
    <cellStyle name="20% - Accent6 3 3 5 2 2 2" xfId="17678" xr:uid="{00000000-0005-0000-0000-0000EE310000}"/>
    <cellStyle name="20% - Accent6 3 3 5 2 3" xfId="18605" xr:uid="{00000000-0005-0000-0000-0000EF310000}"/>
    <cellStyle name="20% - Accent6 3 3 5 3" xfId="18603" xr:uid="{00000000-0005-0000-0000-0000F0310000}"/>
    <cellStyle name="20% - Accent6 3 3 5 3 2" xfId="22352" xr:uid="{00000000-0005-0000-0000-0000F1310000}"/>
    <cellStyle name="20% - Accent6 3 3 5 4" xfId="14076" xr:uid="{00000000-0005-0000-0000-0000F2310000}"/>
    <cellStyle name="20% - Accent6 3 3 6" xfId="18595" xr:uid="{00000000-0005-0000-0000-0000F3310000}"/>
    <cellStyle name="20% - Accent6 3 3 6 2" xfId="21690" xr:uid="{00000000-0005-0000-0000-0000F4310000}"/>
    <cellStyle name="20% - Accent6 3 3 6 2 2" xfId="24742" xr:uid="{00000000-0005-0000-0000-0000F5310000}"/>
    <cellStyle name="20% - Accent6 3 3 6 3" xfId="21687" xr:uid="{00000000-0005-0000-0000-0000F6310000}"/>
    <cellStyle name="20% - Accent6 3 3 7" xfId="26064" xr:uid="{00000000-0005-0000-0000-0000F7310000}"/>
    <cellStyle name="20% - Accent6 3 3 7 2" xfId="30531" xr:uid="{00000000-0005-0000-0000-0000F8310000}"/>
    <cellStyle name="20% - Accent6 3 3 8" xfId="18591" xr:uid="{00000000-0005-0000-0000-0000F9310000}"/>
    <cellStyle name="20% - Accent6 3 3 9" xfId="34559" xr:uid="{00000000-0005-0000-0000-0000FA310000}"/>
    <cellStyle name="20% - Accent6 3 4" xfId="19139" xr:uid="{00000000-0005-0000-0000-0000FB310000}"/>
    <cellStyle name="20% - Accent6 3 4 2" xfId="18590" xr:uid="{00000000-0005-0000-0000-0000FC310000}"/>
    <cellStyle name="20% - Accent6 3 4 2 2" xfId="18585" xr:uid="{00000000-0005-0000-0000-0000FD310000}"/>
    <cellStyle name="20% - Accent6 3 4 2 2 2" xfId="23419" xr:uid="{00000000-0005-0000-0000-0000FE310000}"/>
    <cellStyle name="20% - Accent6 3 4 2 2 2 2" xfId="18583" xr:uid="{00000000-0005-0000-0000-0000FF310000}"/>
    <cellStyle name="20% - Accent6 3 4 2 2 2 2 2" xfId="20547" xr:uid="{00000000-0005-0000-0000-000000320000}"/>
    <cellStyle name="20% - Accent6 3 4 2 2 2 2 2 2" xfId="16245" xr:uid="{00000000-0005-0000-0000-000001320000}"/>
    <cellStyle name="20% - Accent6 3 4 2 2 2 2 3" xfId="18580" xr:uid="{00000000-0005-0000-0000-000002320000}"/>
    <cellStyle name="20% - Accent6 3 4 2 2 2 3" xfId="20544" xr:uid="{00000000-0005-0000-0000-000003320000}"/>
    <cellStyle name="20% - Accent6 3 4 2 2 2 3 2" xfId="18577" xr:uid="{00000000-0005-0000-0000-000004320000}"/>
    <cellStyle name="20% - Accent6 3 4 2 2 2 4" xfId="18573" xr:uid="{00000000-0005-0000-0000-000005320000}"/>
    <cellStyle name="20% - Accent6 3 4 2 2 3" xfId="23415" xr:uid="{00000000-0005-0000-0000-000006320000}"/>
    <cellStyle name="20% - Accent6 3 4 2 2 3 2" xfId="18572" xr:uid="{00000000-0005-0000-0000-000007320000}"/>
    <cellStyle name="20% - Accent6 3 4 2 2 3 2 2" xfId="13661" xr:uid="{00000000-0005-0000-0000-000008320000}"/>
    <cellStyle name="20% - Accent6 3 4 2 2 3 3" xfId="18569" xr:uid="{00000000-0005-0000-0000-000009320000}"/>
    <cellStyle name="20% - Accent6 3 4 2 2 4" xfId="18568" xr:uid="{00000000-0005-0000-0000-00000A320000}"/>
    <cellStyle name="20% - Accent6 3 4 2 2 4 2" xfId="18566" xr:uid="{00000000-0005-0000-0000-00000B320000}"/>
    <cellStyle name="20% - Accent6 3 4 2 2 5" xfId="24058" xr:uid="{00000000-0005-0000-0000-00000C320000}"/>
    <cellStyle name="20% - Accent6 3 4 2 3" xfId="14037" xr:uid="{00000000-0005-0000-0000-00000D320000}"/>
    <cellStyle name="20% - Accent6 3 4 2 3 2" xfId="22127" xr:uid="{00000000-0005-0000-0000-00000E320000}"/>
    <cellStyle name="20% - Accent6 3 4 2 3 2 2" xfId="14034" xr:uid="{00000000-0005-0000-0000-00000F320000}"/>
    <cellStyle name="20% - Accent6 3 4 2 3 2 2 2" xfId="24229" xr:uid="{00000000-0005-0000-0000-000010320000}"/>
    <cellStyle name="20% - Accent6 3 4 2 3 2 3" xfId="14032" xr:uid="{00000000-0005-0000-0000-000011320000}"/>
    <cellStyle name="20% - Accent6 3 4 2 3 3" xfId="14028" xr:uid="{00000000-0005-0000-0000-000012320000}"/>
    <cellStyle name="20% - Accent6 3 4 2 3 3 2" xfId="18557" xr:uid="{00000000-0005-0000-0000-000013320000}"/>
    <cellStyle name="20% - Accent6 3 4 2 3 4" xfId="14026" xr:uid="{00000000-0005-0000-0000-000014320000}"/>
    <cellStyle name="20% - Accent6 3 4 2 4" xfId="14024" xr:uid="{00000000-0005-0000-0000-000015320000}"/>
    <cellStyle name="20% - Accent6 3 4 2 4 2" xfId="14022" xr:uid="{00000000-0005-0000-0000-000016320000}"/>
    <cellStyle name="20% - Accent6 3 4 2 4 2 2" xfId="14020" xr:uid="{00000000-0005-0000-0000-000017320000}"/>
    <cellStyle name="20% - Accent6 3 4 2 4 3" xfId="14017" xr:uid="{00000000-0005-0000-0000-000018320000}"/>
    <cellStyle name="20% - Accent6 3 4 2 5" xfId="14015" xr:uid="{00000000-0005-0000-0000-000019320000}"/>
    <cellStyle name="20% - Accent6 3 4 2 5 2" xfId="14013" xr:uid="{00000000-0005-0000-0000-00001A320000}"/>
    <cellStyle name="20% - Accent6 3 4 2 6" xfId="14011" xr:uid="{00000000-0005-0000-0000-00001B320000}"/>
    <cellStyle name="20% - Accent6 3 4 3" xfId="25751" xr:uid="{00000000-0005-0000-0000-00001C320000}"/>
    <cellStyle name="20% - Accent6 3 4 3 2" xfId="18548" xr:uid="{00000000-0005-0000-0000-00001D320000}"/>
    <cellStyle name="20% - Accent6 3 4 3 2 2" xfId="23385" xr:uid="{00000000-0005-0000-0000-00001E320000}"/>
    <cellStyle name="20% - Accent6 3 4 3 2 2 2" xfId="18546" xr:uid="{00000000-0005-0000-0000-00001F320000}"/>
    <cellStyle name="20% - Accent6 3 4 3 2 2 2 2" xfId="18513" xr:uid="{00000000-0005-0000-0000-000020320000}"/>
    <cellStyle name="20% - Accent6 3 4 3 2 2 3" xfId="18543" xr:uid="{00000000-0005-0000-0000-000021320000}"/>
    <cellStyle name="20% - Accent6 3 4 3 2 3" xfId="7628" xr:uid="{00000000-0005-0000-0000-000022320000}"/>
    <cellStyle name="20% - Accent6 3 4 3 2 3 2" xfId="13673" xr:uid="{00000000-0005-0000-0000-000023320000}"/>
    <cellStyle name="20% - Accent6 3 4 3 2 4" xfId="13671" xr:uid="{00000000-0005-0000-0000-000024320000}"/>
    <cellStyle name="20% - Accent6 3 4 3 3" xfId="14006" xr:uid="{00000000-0005-0000-0000-000025320000}"/>
    <cellStyle name="20% - Accent6 3 4 3 3 2" xfId="14004" xr:uid="{00000000-0005-0000-0000-000026320000}"/>
    <cellStyle name="20% - Accent6 3 4 3 3 2 2" xfId="14002" xr:uid="{00000000-0005-0000-0000-000027320000}"/>
    <cellStyle name="20% - Accent6 3 4 3 3 3" xfId="14000" xr:uid="{00000000-0005-0000-0000-000028320000}"/>
    <cellStyle name="20% - Accent6 3 4 3 4" xfId="13998" xr:uid="{00000000-0005-0000-0000-000029320000}"/>
    <cellStyle name="20% - Accent6 3 4 3 4 2" xfId="13996" xr:uid="{00000000-0005-0000-0000-00002A320000}"/>
    <cellStyle name="20% - Accent6 3 4 3 5" xfId="13994" xr:uid="{00000000-0005-0000-0000-00002B320000}"/>
    <cellStyle name="20% - Accent6 3 4 4" xfId="25745" xr:uid="{00000000-0005-0000-0000-00002C320000}"/>
    <cellStyle name="20% - Accent6 3 4 4 2" xfId="18538" xr:uid="{00000000-0005-0000-0000-00002D320000}"/>
    <cellStyle name="20% - Accent6 3 4 4 2 2" xfId="18536" xr:uid="{00000000-0005-0000-0000-00002E320000}"/>
    <cellStyle name="20% - Accent6 3 4 4 2 2 2" xfId="20068" xr:uid="{00000000-0005-0000-0000-00002F320000}"/>
    <cellStyle name="20% - Accent6 3 4 4 2 3" xfId="18533" xr:uid="{00000000-0005-0000-0000-000030320000}"/>
    <cellStyle name="20% - Accent6 3 4 4 3" xfId="13992" xr:uid="{00000000-0005-0000-0000-000031320000}"/>
    <cellStyle name="20% - Accent6 3 4 4 3 2" xfId="13990" xr:uid="{00000000-0005-0000-0000-000032320000}"/>
    <cellStyle name="20% - Accent6 3 4 4 4" xfId="13987" xr:uid="{00000000-0005-0000-0000-000033320000}"/>
    <cellStyle name="20% - Accent6 3 4 5" xfId="18526" xr:uid="{00000000-0005-0000-0000-000034320000}"/>
    <cellStyle name="20% - Accent6 3 4 5 2" xfId="18524" xr:uid="{00000000-0005-0000-0000-000035320000}"/>
    <cellStyle name="20% - Accent6 3 4 5 2 2" xfId="18519" xr:uid="{00000000-0005-0000-0000-000036320000}"/>
    <cellStyle name="20% - Accent6 3 4 5 3" xfId="13984" xr:uid="{00000000-0005-0000-0000-000037320000}"/>
    <cellStyle name="20% - Accent6 3 4 6" xfId="13257" xr:uid="{00000000-0005-0000-0000-000038320000}"/>
    <cellStyle name="20% - Accent6 3 4 6 2" xfId="21604" xr:uid="{00000000-0005-0000-0000-000039320000}"/>
    <cellStyle name="20% - Accent6 3 4 7" xfId="13254" xr:uid="{00000000-0005-0000-0000-00003A320000}"/>
    <cellStyle name="20% - Accent6 3 4 8" xfId="34781" xr:uid="{00000000-0005-0000-0000-00003B320000}"/>
    <cellStyle name="20% - Accent6 3 5" xfId="25935" xr:uid="{00000000-0005-0000-0000-00003C320000}"/>
    <cellStyle name="20% - Accent6 3 5 2" xfId="33980" xr:uid="{00000000-0005-0000-0000-00003D320000}"/>
    <cellStyle name="20% - Accent6 3 5 2 2" xfId="18136" xr:uid="{00000000-0005-0000-0000-00003E320000}"/>
    <cellStyle name="20% - Accent6 3 5 2 2 2" xfId="18128" xr:uid="{00000000-0005-0000-0000-00003F320000}"/>
    <cellStyle name="20% - Accent6 3 5 2 2 2 2" xfId="18123" xr:uid="{00000000-0005-0000-0000-000040320000}"/>
    <cellStyle name="20% - Accent6 3 5 2 2 2 2 2" xfId="21332" xr:uid="{00000000-0005-0000-0000-000041320000}"/>
    <cellStyle name="20% - Accent6 3 5 2 2 2 3" xfId="32260" xr:uid="{00000000-0005-0000-0000-000042320000}"/>
    <cellStyle name="20% - Accent6 3 5 2 2 3" xfId="18111" xr:uid="{00000000-0005-0000-0000-000043320000}"/>
    <cellStyle name="20% - Accent6 3 5 2 2 3 2" xfId="18106" xr:uid="{00000000-0005-0000-0000-000044320000}"/>
    <cellStyle name="20% - Accent6 3 5 2 2 4" xfId="18098" xr:uid="{00000000-0005-0000-0000-000045320000}"/>
    <cellStyle name="20% - Accent6 3 5 2 3" xfId="13964" xr:uid="{00000000-0005-0000-0000-000046320000}"/>
    <cellStyle name="20% - Accent6 3 5 2 3 2" xfId="13961" xr:uid="{00000000-0005-0000-0000-000047320000}"/>
    <cellStyle name="20% - Accent6 3 5 2 3 2 2" xfId="18088" xr:uid="{00000000-0005-0000-0000-000048320000}"/>
    <cellStyle name="20% - Accent6 3 5 2 3 3" xfId="13959" xr:uid="{00000000-0005-0000-0000-000049320000}"/>
    <cellStyle name="20% - Accent6 3 5 2 4" xfId="13957" xr:uid="{00000000-0005-0000-0000-00004A320000}"/>
    <cellStyle name="20% - Accent6 3 5 2 4 2" xfId="13955" xr:uid="{00000000-0005-0000-0000-00004B320000}"/>
    <cellStyle name="20% - Accent6 3 5 2 5" xfId="9852" xr:uid="{00000000-0005-0000-0000-00004C320000}"/>
    <cellStyle name="20% - Accent6 3 5 3" xfId="25741" xr:uid="{00000000-0005-0000-0000-00004D320000}"/>
    <cellStyle name="20% - Accent6 3 5 3 2" xfId="18029" xr:uid="{00000000-0005-0000-0000-00004E320000}"/>
    <cellStyle name="20% - Accent6 3 5 3 2 2" xfId="27484" xr:uid="{00000000-0005-0000-0000-00004F320000}"/>
    <cellStyle name="20% - Accent6 3 5 3 2 2 2" xfId="33914" xr:uid="{00000000-0005-0000-0000-000050320000}"/>
    <cellStyle name="20% - Accent6 3 5 3 2 3" xfId="33677" xr:uid="{00000000-0005-0000-0000-000051320000}"/>
    <cellStyle name="20% - Accent6 3 5 3 3" xfId="13953" xr:uid="{00000000-0005-0000-0000-000052320000}"/>
    <cellStyle name="20% - Accent6 3 5 3 3 2" xfId="16820" xr:uid="{00000000-0005-0000-0000-000053320000}"/>
    <cellStyle name="20% - Accent6 3 5 3 4" xfId="13951" xr:uid="{00000000-0005-0000-0000-000054320000}"/>
    <cellStyle name="20% - Accent6 3 5 4" xfId="34053" xr:uid="{00000000-0005-0000-0000-000055320000}"/>
    <cellStyle name="20% - Accent6 3 5 4 2" xfId="18509" xr:uid="{00000000-0005-0000-0000-000056320000}"/>
    <cellStyle name="20% - Accent6 3 5 4 2 2" xfId="33646" xr:uid="{00000000-0005-0000-0000-000057320000}"/>
    <cellStyle name="20% - Accent6 3 5 4 3" xfId="13949" xr:uid="{00000000-0005-0000-0000-000058320000}"/>
    <cellStyle name="20% - Accent6 3 5 5" xfId="33984" xr:uid="{00000000-0005-0000-0000-000059320000}"/>
    <cellStyle name="20% - Accent6 3 5 5 2" xfId="18663" xr:uid="{00000000-0005-0000-0000-00005A320000}"/>
    <cellStyle name="20% - Accent6 3 5 6" xfId="13229" xr:uid="{00000000-0005-0000-0000-00005B320000}"/>
    <cellStyle name="20% - Accent6 3 5 7" xfId="34976" xr:uid="{00000000-0005-0000-0000-00005C320000}"/>
    <cellStyle name="20% - Accent6 3 6" xfId="32655" xr:uid="{00000000-0005-0000-0000-00005D320000}"/>
    <cellStyle name="20% - Accent6 3 6 2" xfId="21525" xr:uid="{00000000-0005-0000-0000-00005E320000}"/>
    <cellStyle name="20% - Accent6 3 6 2 2" xfId="18505" xr:uid="{00000000-0005-0000-0000-00005F320000}"/>
    <cellStyle name="20% - Accent6 3 6 2 2 2" xfId="27507" xr:uid="{00000000-0005-0000-0000-000060320000}"/>
    <cellStyle name="20% - Accent6 3 6 2 2 2 2" xfId="22254" xr:uid="{00000000-0005-0000-0000-000061320000}"/>
    <cellStyle name="20% - Accent6 3 6 2 2 3" xfId="32905" xr:uid="{00000000-0005-0000-0000-000062320000}"/>
    <cellStyle name="20% - Accent6 3 6 2 3" xfId="13928" xr:uid="{00000000-0005-0000-0000-000063320000}"/>
    <cellStyle name="20% - Accent6 3 6 2 3 2" xfId="14395" xr:uid="{00000000-0005-0000-0000-000064320000}"/>
    <cellStyle name="20% - Accent6 3 6 2 4" xfId="13926" xr:uid="{00000000-0005-0000-0000-000065320000}"/>
    <cellStyle name="20% - Accent6 3 6 3" xfId="9206" xr:uid="{00000000-0005-0000-0000-000066320000}"/>
    <cellStyle name="20% - Accent6 3 6 3 2" xfId="18502" xr:uid="{00000000-0005-0000-0000-000067320000}"/>
    <cellStyle name="20% - Accent6 3 6 3 2 2" xfId="5448" xr:uid="{00000000-0005-0000-0000-000068320000}"/>
    <cellStyle name="20% - Accent6 3 6 3 3" xfId="5445" xr:uid="{00000000-0005-0000-0000-000069320000}"/>
    <cellStyle name="20% - Accent6 3 6 4" xfId="7574" xr:uid="{00000000-0005-0000-0000-00006A320000}"/>
    <cellStyle name="20% - Accent6 3 6 4 2" xfId="10594" xr:uid="{00000000-0005-0000-0000-00006B320000}"/>
    <cellStyle name="20% - Accent6 3 6 5" xfId="6142" xr:uid="{00000000-0005-0000-0000-00006C320000}"/>
    <cellStyle name="20% - Accent6 3 6 6" xfId="35181" xr:uid="{00000000-0005-0000-0000-00006D320000}"/>
    <cellStyle name="20% - Accent6 3 7" xfId="31791" xr:uid="{00000000-0005-0000-0000-00006E320000}"/>
    <cellStyle name="20% - Accent6 3 7 2" xfId="26255" xr:uid="{00000000-0005-0000-0000-00006F320000}"/>
    <cellStyle name="20% - Accent6 3 7 2 2" xfId="25126" xr:uid="{00000000-0005-0000-0000-000070320000}"/>
    <cellStyle name="20% - Accent6 3 7 2 2 2" xfId="25578" xr:uid="{00000000-0005-0000-0000-000071320000}"/>
    <cellStyle name="20% - Accent6 3 7 2 3" xfId="14154" xr:uid="{00000000-0005-0000-0000-000072320000}"/>
    <cellStyle name="20% - Accent6 3 7 3" xfId="7568" xr:uid="{00000000-0005-0000-0000-000073320000}"/>
    <cellStyle name="20% - Accent6 3 7 3 2" xfId="5443" xr:uid="{00000000-0005-0000-0000-000074320000}"/>
    <cellStyle name="20% - Accent6 3 7 4" xfId="6136" xr:uid="{00000000-0005-0000-0000-000075320000}"/>
    <cellStyle name="20% - Accent6 3 7 5" xfId="35410" xr:uid="{00000000-0005-0000-0000-000076320000}"/>
    <cellStyle name="20% - Accent6 3 8" xfId="31755" xr:uid="{00000000-0005-0000-0000-000077320000}"/>
    <cellStyle name="20% - Accent6 3 8 2" xfId="26232" xr:uid="{00000000-0005-0000-0000-000078320000}"/>
    <cellStyle name="20% - Accent6 3 8 2 2" xfId="26370" xr:uid="{00000000-0005-0000-0000-000079320000}"/>
    <cellStyle name="20% - Accent6 3 8 3" xfId="5440" xr:uid="{00000000-0005-0000-0000-00007A320000}"/>
    <cellStyle name="20% - Accent6 3 8 4" xfId="36282" xr:uid="{00000000-0005-0000-0000-00007B320000}"/>
    <cellStyle name="20% - Accent6 3 9" xfId="31059" xr:uid="{00000000-0005-0000-0000-00007C320000}"/>
    <cellStyle name="20% - Accent6 3 9 2" xfId="6623" xr:uid="{00000000-0005-0000-0000-00007D320000}"/>
    <cellStyle name="20% - Accent6 3 9 3" xfId="36568" xr:uid="{00000000-0005-0000-0000-00007E320000}"/>
    <cellStyle name="20% - Accent6 30" xfId="35907" xr:uid="{00000000-0005-0000-0000-00007F320000}"/>
    <cellStyle name="20% - Accent6 30 2" xfId="37079" xr:uid="{00000000-0005-0000-0000-000080320000}"/>
    <cellStyle name="20% - Accent6 30 3" xfId="37974" xr:uid="{00000000-0005-0000-0000-000081320000}"/>
    <cellStyle name="20% - Accent6 31" xfId="35927" xr:uid="{00000000-0005-0000-0000-000082320000}"/>
    <cellStyle name="20% - Accent6 31 2" xfId="37098" xr:uid="{00000000-0005-0000-0000-000083320000}"/>
    <cellStyle name="20% - Accent6 31 3" xfId="37994" xr:uid="{00000000-0005-0000-0000-000084320000}"/>
    <cellStyle name="20% - Accent6 32" xfId="35947" xr:uid="{00000000-0005-0000-0000-000085320000}"/>
    <cellStyle name="20% - Accent6 32 2" xfId="37117" xr:uid="{00000000-0005-0000-0000-000086320000}"/>
    <cellStyle name="20% - Accent6 32 3" xfId="38014" xr:uid="{00000000-0005-0000-0000-000087320000}"/>
    <cellStyle name="20% - Accent6 33" xfId="35967" xr:uid="{00000000-0005-0000-0000-000088320000}"/>
    <cellStyle name="20% - Accent6 33 2" xfId="37136" xr:uid="{00000000-0005-0000-0000-000089320000}"/>
    <cellStyle name="20% - Accent6 33 3" xfId="38034" xr:uid="{00000000-0005-0000-0000-00008A320000}"/>
    <cellStyle name="20% - Accent6 34" xfId="35987" xr:uid="{00000000-0005-0000-0000-00008B320000}"/>
    <cellStyle name="20% - Accent6 34 2" xfId="37156" xr:uid="{00000000-0005-0000-0000-00008C320000}"/>
    <cellStyle name="20% - Accent6 34 3" xfId="38054" xr:uid="{00000000-0005-0000-0000-00008D320000}"/>
    <cellStyle name="20% - Accent6 35" xfId="36007" xr:uid="{00000000-0005-0000-0000-00008E320000}"/>
    <cellStyle name="20% - Accent6 35 2" xfId="37176" xr:uid="{00000000-0005-0000-0000-00008F320000}"/>
    <cellStyle name="20% - Accent6 35 3" xfId="38074" xr:uid="{00000000-0005-0000-0000-000090320000}"/>
    <cellStyle name="20% - Accent6 36" xfId="36027" xr:uid="{00000000-0005-0000-0000-000091320000}"/>
    <cellStyle name="20% - Accent6 36 2" xfId="37196" xr:uid="{00000000-0005-0000-0000-000092320000}"/>
    <cellStyle name="20% - Accent6 36 3" xfId="38094" xr:uid="{00000000-0005-0000-0000-000093320000}"/>
    <cellStyle name="20% - Accent6 37" xfId="36047" xr:uid="{00000000-0005-0000-0000-000094320000}"/>
    <cellStyle name="20% - Accent6 37 2" xfId="37216" xr:uid="{00000000-0005-0000-0000-000095320000}"/>
    <cellStyle name="20% - Accent6 37 3" xfId="38114" xr:uid="{00000000-0005-0000-0000-000096320000}"/>
    <cellStyle name="20% - Accent6 38" xfId="36067" xr:uid="{00000000-0005-0000-0000-000097320000}"/>
    <cellStyle name="20% - Accent6 38 2" xfId="37236" xr:uid="{00000000-0005-0000-0000-000098320000}"/>
    <cellStyle name="20% - Accent6 38 3" xfId="38134" xr:uid="{00000000-0005-0000-0000-000099320000}"/>
    <cellStyle name="20% - Accent6 39" xfId="36087" xr:uid="{00000000-0005-0000-0000-00009A320000}"/>
    <cellStyle name="20% - Accent6 39 2" xfId="37256" xr:uid="{00000000-0005-0000-0000-00009B320000}"/>
    <cellStyle name="20% - Accent6 39 3" xfId="38154" xr:uid="{00000000-0005-0000-0000-00009C320000}"/>
    <cellStyle name="20% - Accent6 4" xfId="132" xr:uid="{00000000-0005-0000-0000-00009D320000}"/>
    <cellStyle name="20% - Accent6 4 10" xfId="34486" xr:uid="{00000000-0005-0000-0000-00009E320000}"/>
    <cellStyle name="20% - Accent6 4 11" xfId="18496" xr:uid="{00000000-0005-0000-0000-00009F320000}"/>
    <cellStyle name="20% - Accent6 4 2" xfId="255" xr:uid="{00000000-0005-0000-0000-0000A0320000}"/>
    <cellStyle name="20% - Accent6 4 2 10" xfId="18493" xr:uid="{00000000-0005-0000-0000-0000A1320000}"/>
    <cellStyle name="20% - Accent6 4 2 2" xfId="24528" xr:uid="{00000000-0005-0000-0000-0000A2320000}"/>
    <cellStyle name="20% - Accent6 4 2 2 2" xfId="18490" xr:uid="{00000000-0005-0000-0000-0000A3320000}"/>
    <cellStyle name="20% - Accent6 4 2 2 2 2" xfId="18486" xr:uid="{00000000-0005-0000-0000-0000A4320000}"/>
    <cellStyle name="20% - Accent6 4 2 2 2 2 2" xfId="18484" xr:uid="{00000000-0005-0000-0000-0000A5320000}"/>
    <cellStyle name="20% - Accent6 4 2 2 2 2 2 2" xfId="17497" xr:uid="{00000000-0005-0000-0000-0000A6320000}"/>
    <cellStyle name="20% - Accent6 4 2 2 2 2 2 2 2" xfId="18475" xr:uid="{00000000-0005-0000-0000-0000A7320000}"/>
    <cellStyle name="20% - Accent6 4 2 2 2 2 2 2 2 2" xfId="31328" xr:uid="{00000000-0005-0000-0000-0000A8320000}"/>
    <cellStyle name="20% - Accent6 4 2 2 2 2 2 2 3" xfId="24535" xr:uid="{00000000-0005-0000-0000-0000A9320000}"/>
    <cellStyle name="20% - Accent6 4 2 2 2 2 2 3" xfId="18471" xr:uid="{00000000-0005-0000-0000-0000AA320000}"/>
    <cellStyle name="20% - Accent6 4 2 2 2 2 2 3 2" xfId="18469" xr:uid="{00000000-0005-0000-0000-0000AB320000}"/>
    <cellStyle name="20% - Accent6 4 2 2 2 2 2 4" xfId="18464" xr:uid="{00000000-0005-0000-0000-0000AC320000}"/>
    <cellStyle name="20% - Accent6 4 2 2 2 2 3" xfId="18463" xr:uid="{00000000-0005-0000-0000-0000AD320000}"/>
    <cellStyle name="20% - Accent6 4 2 2 2 2 3 2" xfId="18462" xr:uid="{00000000-0005-0000-0000-0000AE320000}"/>
    <cellStyle name="20% - Accent6 4 2 2 2 2 3 2 2" xfId="18459" xr:uid="{00000000-0005-0000-0000-0000AF320000}"/>
    <cellStyle name="20% - Accent6 4 2 2 2 2 3 3" xfId="18455" xr:uid="{00000000-0005-0000-0000-0000B0320000}"/>
    <cellStyle name="20% - Accent6 4 2 2 2 2 4" xfId="18454" xr:uid="{00000000-0005-0000-0000-0000B1320000}"/>
    <cellStyle name="20% - Accent6 4 2 2 2 2 4 2" xfId="18453" xr:uid="{00000000-0005-0000-0000-0000B2320000}"/>
    <cellStyle name="20% - Accent6 4 2 2 2 2 5" xfId="18450" xr:uid="{00000000-0005-0000-0000-0000B3320000}"/>
    <cellStyle name="20% - Accent6 4 2 2 2 3" xfId="23131" xr:uid="{00000000-0005-0000-0000-0000B4320000}"/>
    <cellStyle name="20% - Accent6 4 2 2 2 3 2" xfId="18449" xr:uid="{00000000-0005-0000-0000-0000B5320000}"/>
    <cellStyle name="20% - Accent6 4 2 2 2 3 2 2" xfId="18448" xr:uid="{00000000-0005-0000-0000-0000B6320000}"/>
    <cellStyle name="20% - Accent6 4 2 2 2 3 2 2 2" xfId="13237" xr:uid="{00000000-0005-0000-0000-0000B7320000}"/>
    <cellStyle name="20% - Accent6 4 2 2 2 3 2 3" xfId="18444" xr:uid="{00000000-0005-0000-0000-0000B8320000}"/>
    <cellStyle name="20% - Accent6 4 2 2 2 3 3" xfId="34178" xr:uid="{00000000-0005-0000-0000-0000B9320000}"/>
    <cellStyle name="20% - Accent6 4 2 2 2 3 3 2" xfId="18442" xr:uid="{00000000-0005-0000-0000-0000BA320000}"/>
    <cellStyle name="20% - Accent6 4 2 2 2 3 4" xfId="18441" xr:uid="{00000000-0005-0000-0000-0000BB320000}"/>
    <cellStyle name="20% - Accent6 4 2 2 2 4" xfId="18440" xr:uid="{00000000-0005-0000-0000-0000BC320000}"/>
    <cellStyle name="20% - Accent6 4 2 2 2 4 2" xfId="18439" xr:uid="{00000000-0005-0000-0000-0000BD320000}"/>
    <cellStyle name="20% - Accent6 4 2 2 2 4 2 2" xfId="18550" xr:uid="{00000000-0005-0000-0000-0000BE320000}"/>
    <cellStyle name="20% - Accent6 4 2 2 2 4 3" xfId="18434" xr:uid="{00000000-0005-0000-0000-0000BF320000}"/>
    <cellStyle name="20% - Accent6 4 2 2 2 5" xfId="28527" xr:uid="{00000000-0005-0000-0000-0000C0320000}"/>
    <cellStyle name="20% - Accent6 4 2 2 2 5 2" xfId="19273" xr:uid="{00000000-0005-0000-0000-0000C1320000}"/>
    <cellStyle name="20% - Accent6 4 2 2 2 6" xfId="28519" xr:uid="{00000000-0005-0000-0000-0000C2320000}"/>
    <cellStyle name="20% - Accent6 4 2 2 3" xfId="31582" xr:uid="{00000000-0005-0000-0000-0000C3320000}"/>
    <cellStyle name="20% - Accent6 4 2 2 3 2" xfId="22732" xr:uid="{00000000-0005-0000-0000-0000C4320000}"/>
    <cellStyle name="20% - Accent6 4 2 2 3 2 2" xfId="18429" xr:uid="{00000000-0005-0000-0000-0000C5320000}"/>
    <cellStyle name="20% - Accent6 4 2 2 3 2 2 2" xfId="18427" xr:uid="{00000000-0005-0000-0000-0000C6320000}"/>
    <cellStyle name="20% - Accent6 4 2 2 3 2 2 2 2" xfId="19426" xr:uid="{00000000-0005-0000-0000-0000C7320000}"/>
    <cellStyle name="20% - Accent6 4 2 2 3 2 2 3" xfId="18423" xr:uid="{00000000-0005-0000-0000-0000C8320000}"/>
    <cellStyle name="20% - Accent6 4 2 2 3 2 3" xfId="27152" xr:uid="{00000000-0005-0000-0000-0000C9320000}"/>
    <cellStyle name="20% - Accent6 4 2 2 3 2 3 2" xfId="22205" xr:uid="{00000000-0005-0000-0000-0000CA320000}"/>
    <cellStyle name="20% - Accent6 4 2 2 3 2 4" xfId="30785" xr:uid="{00000000-0005-0000-0000-0000CB320000}"/>
    <cellStyle name="20% - Accent6 4 2 2 3 3" xfId="18418" xr:uid="{00000000-0005-0000-0000-0000CC320000}"/>
    <cellStyle name="20% - Accent6 4 2 2 3 3 2" xfId="18711" xr:uid="{00000000-0005-0000-0000-0000CD320000}"/>
    <cellStyle name="20% - Accent6 4 2 2 3 3 2 2" xfId="18415" xr:uid="{00000000-0005-0000-0000-0000CE320000}"/>
    <cellStyle name="20% - Accent6 4 2 2 3 3 3" xfId="27048" xr:uid="{00000000-0005-0000-0000-0000CF320000}"/>
    <cellStyle name="20% - Accent6 4 2 2 3 4" xfId="18413" xr:uid="{00000000-0005-0000-0000-0000D0320000}"/>
    <cellStyle name="20% - Accent6 4 2 2 3 4 2" xfId="18706" xr:uid="{00000000-0005-0000-0000-0000D1320000}"/>
    <cellStyle name="20% - Accent6 4 2 2 3 5" xfId="20382" xr:uid="{00000000-0005-0000-0000-0000D2320000}"/>
    <cellStyle name="20% - Accent6 4 2 2 4" xfId="31385" xr:uid="{00000000-0005-0000-0000-0000D3320000}"/>
    <cellStyle name="20% - Accent6 4 2 2 4 2" xfId="8035" xr:uid="{00000000-0005-0000-0000-0000D4320000}"/>
    <cellStyle name="20% - Accent6 4 2 2 4 2 2" xfId="8033" xr:uid="{00000000-0005-0000-0000-0000D5320000}"/>
    <cellStyle name="20% - Accent6 4 2 2 4 2 2 2" xfId="18407" xr:uid="{00000000-0005-0000-0000-0000D6320000}"/>
    <cellStyle name="20% - Accent6 4 2 2 4 2 3" xfId="27034" xr:uid="{00000000-0005-0000-0000-0000D7320000}"/>
    <cellStyle name="20% - Accent6 4 2 2 4 3" xfId="8031" xr:uid="{00000000-0005-0000-0000-0000D8320000}"/>
    <cellStyle name="20% - Accent6 4 2 2 4 3 2" xfId="18694" xr:uid="{00000000-0005-0000-0000-0000D9320000}"/>
    <cellStyle name="20% - Accent6 4 2 2 4 4" xfId="18405" xr:uid="{00000000-0005-0000-0000-0000DA320000}"/>
    <cellStyle name="20% - Accent6 4 2 2 5" xfId="18401" xr:uid="{00000000-0005-0000-0000-0000DB320000}"/>
    <cellStyle name="20% - Accent6 4 2 2 5 2" xfId="8027" xr:uid="{00000000-0005-0000-0000-0000DC320000}"/>
    <cellStyle name="20% - Accent6 4 2 2 5 2 2" xfId="18396" xr:uid="{00000000-0005-0000-0000-0000DD320000}"/>
    <cellStyle name="20% - Accent6 4 2 2 5 3" xfId="18480" xr:uid="{00000000-0005-0000-0000-0000DE320000}"/>
    <cellStyle name="20% - Accent6 4 2 2 6" xfId="18395" xr:uid="{00000000-0005-0000-0000-0000DF320000}"/>
    <cellStyle name="20% - Accent6 4 2 2 6 2" xfId="18392" xr:uid="{00000000-0005-0000-0000-0000E0320000}"/>
    <cellStyle name="20% - Accent6 4 2 2 7" xfId="18386" xr:uid="{00000000-0005-0000-0000-0000E1320000}"/>
    <cellStyle name="20% - Accent6 4 2 3" xfId="27129" xr:uid="{00000000-0005-0000-0000-0000E2320000}"/>
    <cellStyle name="20% - Accent6 4 2 3 2" xfId="24261" xr:uid="{00000000-0005-0000-0000-0000E3320000}"/>
    <cellStyle name="20% - Accent6 4 2 3 2 2" xfId="26202" xr:uid="{00000000-0005-0000-0000-0000E4320000}"/>
    <cellStyle name="20% - Accent6 4 2 3 2 2 2" xfId="30860" xr:uid="{00000000-0005-0000-0000-0000E5320000}"/>
    <cellStyle name="20% - Accent6 4 2 3 2 2 2 2" xfId="18627" xr:uid="{00000000-0005-0000-0000-0000E6320000}"/>
    <cellStyle name="20% - Accent6 4 2 3 2 2 2 2 2" xfId="28489" xr:uid="{00000000-0005-0000-0000-0000E7320000}"/>
    <cellStyle name="20% - Accent6 4 2 3 2 2 2 3" xfId="34263" xr:uid="{00000000-0005-0000-0000-0000E8320000}"/>
    <cellStyle name="20% - Accent6 4 2 3 2 2 3" xfId="30117" xr:uid="{00000000-0005-0000-0000-0000E9320000}"/>
    <cellStyle name="20% - Accent6 4 2 3 2 2 3 2" xfId="30848" xr:uid="{00000000-0005-0000-0000-0000EA320000}"/>
    <cellStyle name="20% - Accent6 4 2 3 2 2 4" xfId="31346" xr:uid="{00000000-0005-0000-0000-0000EB320000}"/>
    <cellStyle name="20% - Accent6 4 2 3 2 3" xfId="28370" xr:uid="{00000000-0005-0000-0000-0000EC320000}"/>
    <cellStyle name="20% - Accent6 4 2 3 2 3 2" xfId="30842" xr:uid="{00000000-0005-0000-0000-0000ED320000}"/>
    <cellStyle name="20% - Accent6 4 2 3 2 3 2 2" xfId="30840" xr:uid="{00000000-0005-0000-0000-0000EE320000}"/>
    <cellStyle name="20% - Accent6 4 2 3 2 3 3" xfId="31333" xr:uid="{00000000-0005-0000-0000-0000EF320000}"/>
    <cellStyle name="20% - Accent6 4 2 3 2 4" xfId="29391" xr:uid="{00000000-0005-0000-0000-0000F0320000}"/>
    <cellStyle name="20% - Accent6 4 2 3 2 4 2" xfId="18655" xr:uid="{00000000-0005-0000-0000-0000F1320000}"/>
    <cellStyle name="20% - Accent6 4 2 3 2 5" xfId="26219" xr:uid="{00000000-0005-0000-0000-0000F2320000}"/>
    <cellStyle name="20% - Accent6 4 2 3 3" xfId="6910" xr:uid="{00000000-0005-0000-0000-0000F3320000}"/>
    <cellStyle name="20% - Accent6 4 2 3 3 2" xfId="21469" xr:uid="{00000000-0005-0000-0000-0000F4320000}"/>
    <cellStyle name="20% - Accent6 4 2 3 3 2 2" xfId="26924" xr:uid="{00000000-0005-0000-0000-0000F5320000}"/>
    <cellStyle name="20% - Accent6 4 2 3 3 2 2 2" xfId="20773" xr:uid="{00000000-0005-0000-0000-0000F6320000}"/>
    <cellStyle name="20% - Accent6 4 2 3 3 2 3" xfId="26998" xr:uid="{00000000-0005-0000-0000-0000F7320000}"/>
    <cellStyle name="20% - Accent6 4 2 3 3 3" xfId="19463" xr:uid="{00000000-0005-0000-0000-0000F8320000}"/>
    <cellStyle name="20% - Accent6 4 2 3 3 3 2" xfId="30816" xr:uid="{00000000-0005-0000-0000-0000F9320000}"/>
    <cellStyle name="20% - Accent6 4 2 3 3 4" xfId="30347" xr:uid="{00000000-0005-0000-0000-0000FA320000}"/>
    <cellStyle name="20% - Accent6 4 2 3 4" xfId="26191" xr:uid="{00000000-0005-0000-0000-0000FB320000}"/>
    <cellStyle name="20% - Accent6 4 2 3 4 2" xfId="8020" xr:uid="{00000000-0005-0000-0000-0000FC320000}"/>
    <cellStyle name="20% - Accent6 4 2 3 4 2 2" xfId="22215" xr:uid="{00000000-0005-0000-0000-0000FD320000}"/>
    <cellStyle name="20% - Accent6 4 2 3 4 3" xfId="28512" xr:uid="{00000000-0005-0000-0000-0000FE320000}"/>
    <cellStyle name="20% - Accent6 4 2 3 5" xfId="27208" xr:uid="{00000000-0005-0000-0000-0000FF320000}"/>
    <cellStyle name="20% - Accent6 4 2 3 5 2" xfId="28462" xr:uid="{00000000-0005-0000-0000-000000330000}"/>
    <cellStyle name="20% - Accent6 4 2 3 6" xfId="30801" xr:uid="{00000000-0005-0000-0000-000001330000}"/>
    <cellStyle name="20% - Accent6 4 2 4" xfId="30957" xr:uid="{00000000-0005-0000-0000-000002330000}"/>
    <cellStyle name="20% - Accent6 4 2 4 2" xfId="7431" xr:uid="{00000000-0005-0000-0000-000003330000}"/>
    <cellStyle name="20% - Accent6 4 2 4 2 2" xfId="26167" xr:uid="{00000000-0005-0000-0000-000004330000}"/>
    <cellStyle name="20% - Accent6 4 2 4 2 2 2" xfId="31744" xr:uid="{00000000-0005-0000-0000-000005330000}"/>
    <cellStyle name="20% - Accent6 4 2 4 2 2 2 2" xfId="18701" xr:uid="{00000000-0005-0000-0000-000006330000}"/>
    <cellStyle name="20% - Accent6 4 2 4 2 2 3" xfId="23633" xr:uid="{00000000-0005-0000-0000-000007330000}"/>
    <cellStyle name="20% - Accent6 4 2 4 2 3" xfId="30645" xr:uid="{00000000-0005-0000-0000-000008330000}"/>
    <cellStyle name="20% - Accent6 4 2 4 2 3 2" xfId="30641" xr:uid="{00000000-0005-0000-0000-000009330000}"/>
    <cellStyle name="20% - Accent6 4 2 4 2 4" xfId="19638" xr:uid="{00000000-0005-0000-0000-00000A330000}"/>
    <cellStyle name="20% - Accent6 4 2 4 3" xfId="26162" xr:uid="{00000000-0005-0000-0000-00000B330000}"/>
    <cellStyle name="20% - Accent6 4 2 4 3 2" xfId="30630" xr:uid="{00000000-0005-0000-0000-00000C330000}"/>
    <cellStyle name="20% - Accent6 4 2 4 3 2 2" xfId="30628" xr:uid="{00000000-0005-0000-0000-00000D330000}"/>
    <cellStyle name="20% - Accent6 4 2 4 3 3" xfId="30625" xr:uid="{00000000-0005-0000-0000-00000E330000}"/>
    <cellStyle name="20% - Accent6 4 2 4 4" xfId="30619" xr:uid="{00000000-0005-0000-0000-00000F330000}"/>
    <cellStyle name="20% - Accent6 4 2 4 4 2" xfId="24696" xr:uid="{00000000-0005-0000-0000-000010330000}"/>
    <cellStyle name="20% - Accent6 4 2 4 5" xfId="30614" xr:uid="{00000000-0005-0000-0000-000011330000}"/>
    <cellStyle name="20% - Accent6 4 2 5" xfId="21344" xr:uid="{00000000-0005-0000-0000-000012330000}"/>
    <cellStyle name="20% - Accent6 4 2 5 2" xfId="26150" xr:uid="{00000000-0005-0000-0000-000013330000}"/>
    <cellStyle name="20% - Accent6 4 2 5 2 2" xfId="30511" xr:uid="{00000000-0005-0000-0000-000014330000}"/>
    <cellStyle name="20% - Accent6 4 2 5 2 2 2" xfId="24593" xr:uid="{00000000-0005-0000-0000-000015330000}"/>
    <cellStyle name="20% - Accent6 4 2 5 2 3" xfId="30507" xr:uid="{00000000-0005-0000-0000-000016330000}"/>
    <cellStyle name="20% - Accent6 4 2 5 3" xfId="30498" xr:uid="{00000000-0005-0000-0000-000017330000}"/>
    <cellStyle name="20% - Accent6 4 2 5 3 2" xfId="30495" xr:uid="{00000000-0005-0000-0000-000018330000}"/>
    <cellStyle name="20% - Accent6 4 2 5 4" xfId="30490" xr:uid="{00000000-0005-0000-0000-000019330000}"/>
    <cellStyle name="20% - Accent6 4 2 6" xfId="18383" xr:uid="{00000000-0005-0000-0000-00001A330000}"/>
    <cellStyle name="20% - Accent6 4 2 6 2" xfId="31034" xr:uid="{00000000-0005-0000-0000-00001B330000}"/>
    <cellStyle name="20% - Accent6 4 2 6 2 2" xfId="30459" xr:uid="{00000000-0005-0000-0000-00001C330000}"/>
    <cellStyle name="20% - Accent6 4 2 6 3" xfId="30456" xr:uid="{00000000-0005-0000-0000-00001D330000}"/>
    <cellStyle name="20% - Accent6 4 2 7" xfId="26057" xr:uid="{00000000-0005-0000-0000-00001E330000}"/>
    <cellStyle name="20% - Accent6 4 2 7 2" xfId="23476" xr:uid="{00000000-0005-0000-0000-00001F330000}"/>
    <cellStyle name="20% - Accent6 4 2 8" xfId="18382" xr:uid="{00000000-0005-0000-0000-000020330000}"/>
    <cellStyle name="20% - Accent6 4 2 9" xfId="34573" xr:uid="{00000000-0005-0000-0000-000021330000}"/>
    <cellStyle name="20% - Accent6 4 3" xfId="19134" xr:uid="{00000000-0005-0000-0000-000022330000}"/>
    <cellStyle name="20% - Accent6 4 3 2" xfId="24512" xr:uid="{00000000-0005-0000-0000-000023330000}"/>
    <cellStyle name="20% - Accent6 4 3 2 2" xfId="26391" xr:uid="{00000000-0005-0000-0000-000024330000}"/>
    <cellStyle name="20% - Accent6 4 3 2 2 2" xfId="18380" xr:uid="{00000000-0005-0000-0000-000025330000}"/>
    <cellStyle name="20% - Accent6 4 3 2 2 2 2" xfId="18070" xr:uid="{00000000-0005-0000-0000-000026330000}"/>
    <cellStyle name="20% - Accent6 4 3 2 2 2 2 2" xfId="26801" xr:uid="{00000000-0005-0000-0000-000027330000}"/>
    <cellStyle name="20% - Accent6 4 3 2 2 2 2 2 2" xfId="26570" xr:uid="{00000000-0005-0000-0000-000028330000}"/>
    <cellStyle name="20% - Accent6 4 3 2 2 2 2 3" xfId="31091" xr:uid="{00000000-0005-0000-0000-000029330000}"/>
    <cellStyle name="20% - Accent6 4 3 2 2 2 3" xfId="28895" xr:uid="{00000000-0005-0000-0000-00002A330000}"/>
    <cellStyle name="20% - Accent6 4 3 2 2 2 3 2" xfId="31024" xr:uid="{00000000-0005-0000-0000-00002B330000}"/>
    <cellStyle name="20% - Accent6 4 3 2 2 2 4" xfId="18064" xr:uid="{00000000-0005-0000-0000-00002C330000}"/>
    <cellStyle name="20% - Accent6 4 3 2 2 3" xfId="18379" xr:uid="{00000000-0005-0000-0000-00002D330000}"/>
    <cellStyle name="20% - Accent6 4 3 2 2 3 2" xfId="18378" xr:uid="{00000000-0005-0000-0000-00002E330000}"/>
    <cellStyle name="20% - Accent6 4 3 2 2 3 2 2" xfId="31003" xr:uid="{00000000-0005-0000-0000-00002F330000}"/>
    <cellStyle name="20% - Accent6 4 3 2 2 3 3" xfId="18376" xr:uid="{00000000-0005-0000-0000-000030330000}"/>
    <cellStyle name="20% - Accent6 4 3 2 2 4" xfId="18374" xr:uid="{00000000-0005-0000-0000-000031330000}"/>
    <cellStyle name="20% - Accent6 4 3 2 2 4 2" xfId="18373" xr:uid="{00000000-0005-0000-0000-000032330000}"/>
    <cellStyle name="20% - Accent6 4 3 2 2 5" xfId="33110" xr:uid="{00000000-0005-0000-0000-000033330000}"/>
    <cellStyle name="20% - Accent6 4 3 2 3" xfId="30491" xr:uid="{00000000-0005-0000-0000-000034330000}"/>
    <cellStyle name="20% - Accent6 4 3 2 3 2" xfId="13867" xr:uid="{00000000-0005-0000-0000-000035330000}"/>
    <cellStyle name="20% - Accent6 4 3 2 3 2 2" xfId="18371" xr:uid="{00000000-0005-0000-0000-000036330000}"/>
    <cellStyle name="20% - Accent6 4 3 2 3 2 2 2" xfId="27808" xr:uid="{00000000-0005-0000-0000-000037330000}"/>
    <cellStyle name="20% - Accent6 4 3 2 3 2 3" xfId="17187" xr:uid="{00000000-0005-0000-0000-000038330000}"/>
    <cellStyle name="20% - Accent6 4 3 2 3 3" xfId="13864" xr:uid="{00000000-0005-0000-0000-000039330000}"/>
    <cellStyle name="20% - Accent6 4 3 2 3 3 2" xfId="18678" xr:uid="{00000000-0005-0000-0000-00003A330000}"/>
    <cellStyle name="20% - Accent6 4 3 2 3 4" xfId="13861" xr:uid="{00000000-0005-0000-0000-00003B330000}"/>
    <cellStyle name="20% - Accent6 4 3 2 4" xfId="18367" xr:uid="{00000000-0005-0000-0000-00003C330000}"/>
    <cellStyle name="20% - Accent6 4 3 2 4 2" xfId="13859" xr:uid="{00000000-0005-0000-0000-00003D330000}"/>
    <cellStyle name="20% - Accent6 4 3 2 4 2 2" xfId="17181" xr:uid="{00000000-0005-0000-0000-00003E330000}"/>
    <cellStyle name="20% - Accent6 4 3 2 4 3" xfId="13854" xr:uid="{00000000-0005-0000-0000-00003F330000}"/>
    <cellStyle name="20% - Accent6 4 3 2 5" xfId="18365" xr:uid="{00000000-0005-0000-0000-000040330000}"/>
    <cellStyle name="20% - Accent6 4 3 2 5 2" xfId="13852" xr:uid="{00000000-0005-0000-0000-000041330000}"/>
    <cellStyle name="20% - Accent6 4 3 2 6" xfId="18357" xr:uid="{00000000-0005-0000-0000-000042330000}"/>
    <cellStyle name="20% - Accent6 4 3 3" xfId="25733" xr:uid="{00000000-0005-0000-0000-000043330000}"/>
    <cellStyle name="20% - Accent6 4 3 3 2" xfId="24198" xr:uid="{00000000-0005-0000-0000-000044330000}"/>
    <cellStyle name="20% - Accent6 4 3 3 2 2" xfId="26137" xr:uid="{00000000-0005-0000-0000-000045330000}"/>
    <cellStyle name="20% - Accent6 4 3 3 2 2 2" xfId="30260" xr:uid="{00000000-0005-0000-0000-000046330000}"/>
    <cellStyle name="20% - Accent6 4 3 3 2 2 2 2" xfId="11351" xr:uid="{00000000-0005-0000-0000-000047330000}"/>
    <cellStyle name="20% - Accent6 4 3 3 2 2 3" xfId="30256" xr:uid="{00000000-0005-0000-0000-000048330000}"/>
    <cellStyle name="20% - Accent6 4 3 3 2 3" xfId="30249" xr:uid="{00000000-0005-0000-0000-000049330000}"/>
    <cellStyle name="20% - Accent6 4 3 3 2 3 2" xfId="17574" xr:uid="{00000000-0005-0000-0000-00004A330000}"/>
    <cellStyle name="20% - Accent6 4 3 3 2 4" xfId="33152" xr:uid="{00000000-0005-0000-0000-00004B330000}"/>
    <cellStyle name="20% - Accent6 4 3 3 3" xfId="23651" xr:uid="{00000000-0005-0000-0000-00004C330000}"/>
    <cellStyle name="20% - Accent6 4 3 3 3 2" xfId="13850" xr:uid="{00000000-0005-0000-0000-00004D330000}"/>
    <cellStyle name="20% - Accent6 4 3 3 3 2 2" xfId="30240" xr:uid="{00000000-0005-0000-0000-00004E330000}"/>
    <cellStyle name="20% - Accent6 4 3 3 3 3" xfId="13846" xr:uid="{00000000-0005-0000-0000-00004F330000}"/>
    <cellStyle name="20% - Accent6 4 3 3 4" xfId="30231" xr:uid="{00000000-0005-0000-0000-000050330000}"/>
    <cellStyle name="20% - Accent6 4 3 3 4 2" xfId="13843" xr:uid="{00000000-0005-0000-0000-000051330000}"/>
    <cellStyle name="20% - Accent6 4 3 3 5" xfId="28625" xr:uid="{00000000-0005-0000-0000-000052330000}"/>
    <cellStyle name="20% - Accent6 4 3 4" xfId="25731" xr:uid="{00000000-0005-0000-0000-000053330000}"/>
    <cellStyle name="20% - Accent6 4 3 4 2" xfId="30099" xr:uid="{00000000-0005-0000-0000-000054330000}"/>
    <cellStyle name="20% - Accent6 4 3 4 2 2" xfId="30594" xr:uid="{00000000-0005-0000-0000-000055330000}"/>
    <cellStyle name="20% - Accent6 4 3 4 2 2 2" xfId="30096" xr:uid="{00000000-0005-0000-0000-000056330000}"/>
    <cellStyle name="20% - Accent6 4 3 4 2 3" xfId="30772" xr:uid="{00000000-0005-0000-0000-000057330000}"/>
    <cellStyle name="20% - Accent6 4 3 4 3" xfId="30089" xr:uid="{00000000-0005-0000-0000-000058330000}"/>
    <cellStyle name="20% - Accent6 4 3 4 3 2" xfId="13840" xr:uid="{00000000-0005-0000-0000-000059330000}"/>
    <cellStyle name="20% - Accent6 4 3 4 4" xfId="30083" xr:uid="{00000000-0005-0000-0000-00005A330000}"/>
    <cellStyle name="20% - Accent6 4 3 5" xfId="18350" xr:uid="{00000000-0005-0000-0000-00005B330000}"/>
    <cellStyle name="20% - Accent6 4 3 5 2" xfId="29999" xr:uid="{00000000-0005-0000-0000-00005C330000}"/>
    <cellStyle name="20% - Accent6 4 3 5 2 2" xfId="30578" xr:uid="{00000000-0005-0000-0000-00005D330000}"/>
    <cellStyle name="20% - Accent6 4 3 5 3" xfId="29985" xr:uid="{00000000-0005-0000-0000-00005E330000}"/>
    <cellStyle name="20% - Accent6 4 3 6" xfId="18345" xr:uid="{00000000-0005-0000-0000-00005F330000}"/>
    <cellStyle name="20% - Accent6 4 3 6 2" xfId="29954" xr:uid="{00000000-0005-0000-0000-000060330000}"/>
    <cellStyle name="20% - Accent6 4 3 7" xfId="18344" xr:uid="{00000000-0005-0000-0000-000061330000}"/>
    <cellStyle name="20% - Accent6 4 3 8" xfId="34794" xr:uid="{00000000-0005-0000-0000-000062330000}"/>
    <cellStyle name="20% - Accent6 4 4" xfId="15782" xr:uid="{00000000-0005-0000-0000-000063330000}"/>
    <cellStyle name="20% - Accent6 4 4 2" xfId="18341" xr:uid="{00000000-0005-0000-0000-000064330000}"/>
    <cellStyle name="20% - Accent6 4 4 2 2" xfId="18338" xr:uid="{00000000-0005-0000-0000-000065330000}"/>
    <cellStyle name="20% - Accent6 4 4 2 2 2" xfId="23295" xr:uid="{00000000-0005-0000-0000-000066330000}"/>
    <cellStyle name="20% - Accent6 4 4 2 2 2 2" xfId="18337" xr:uid="{00000000-0005-0000-0000-000067330000}"/>
    <cellStyle name="20% - Accent6 4 4 2 2 2 2 2" xfId="30341" xr:uid="{00000000-0005-0000-0000-000068330000}"/>
    <cellStyle name="20% - Accent6 4 4 2 2 2 3" xfId="18333" xr:uid="{00000000-0005-0000-0000-000069330000}"/>
    <cellStyle name="20% - Accent6 4 4 2 2 3" xfId="18331" xr:uid="{00000000-0005-0000-0000-00006A330000}"/>
    <cellStyle name="20% - Accent6 4 4 2 2 3 2" xfId="18328" xr:uid="{00000000-0005-0000-0000-00006B330000}"/>
    <cellStyle name="20% - Accent6 4 4 2 2 4" xfId="22844" xr:uid="{00000000-0005-0000-0000-00006C330000}"/>
    <cellStyle name="20% - Accent6 4 4 2 3" xfId="18326" xr:uid="{00000000-0005-0000-0000-00006D330000}"/>
    <cellStyle name="20% - Accent6 4 4 2 3 2" xfId="13824" xr:uid="{00000000-0005-0000-0000-00006E330000}"/>
    <cellStyle name="20% - Accent6 4 4 2 3 2 2" xfId="16391" xr:uid="{00000000-0005-0000-0000-00006F330000}"/>
    <cellStyle name="20% - Accent6 4 4 2 3 3" xfId="13822" xr:uid="{00000000-0005-0000-0000-000070330000}"/>
    <cellStyle name="20% - Accent6 4 4 2 4" xfId="18317" xr:uid="{00000000-0005-0000-0000-000071330000}"/>
    <cellStyle name="20% - Accent6 4 4 2 4 2" xfId="13820" xr:uid="{00000000-0005-0000-0000-000072330000}"/>
    <cellStyle name="20% - Accent6 4 4 2 5" xfId="18313" xr:uid="{00000000-0005-0000-0000-000073330000}"/>
    <cellStyle name="20% - Accent6 4 4 3" xfId="25725" xr:uid="{00000000-0005-0000-0000-000074330000}"/>
    <cellStyle name="20% - Accent6 4 4 3 2" xfId="30071" xr:uid="{00000000-0005-0000-0000-000075330000}"/>
    <cellStyle name="20% - Accent6 4 4 3 2 2" xfId="29759" xr:uid="{00000000-0005-0000-0000-000076330000}"/>
    <cellStyle name="20% - Accent6 4 4 3 2 2 2" xfId="25050" xr:uid="{00000000-0005-0000-0000-000077330000}"/>
    <cellStyle name="20% - Accent6 4 4 3 2 3" xfId="29750" xr:uid="{00000000-0005-0000-0000-000078330000}"/>
    <cellStyle name="20% - Accent6 4 4 3 3" xfId="30059" xr:uid="{00000000-0005-0000-0000-000079330000}"/>
    <cellStyle name="20% - Accent6 4 4 3 3 2" xfId="13818" xr:uid="{00000000-0005-0000-0000-00007A330000}"/>
    <cellStyle name="20% - Accent6 4 4 3 4" xfId="29741" xr:uid="{00000000-0005-0000-0000-00007B330000}"/>
    <cellStyle name="20% - Accent6 4 4 4" xfId="18308" xr:uid="{00000000-0005-0000-0000-00007C330000}"/>
    <cellStyle name="20% - Accent6 4 4 4 2" xfId="30046" xr:uid="{00000000-0005-0000-0000-00007D330000}"/>
    <cellStyle name="20% - Accent6 4 4 4 2 2" xfId="30536" xr:uid="{00000000-0005-0000-0000-00007E330000}"/>
    <cellStyle name="20% - Accent6 4 4 4 3" xfId="29649" xr:uid="{00000000-0005-0000-0000-00007F330000}"/>
    <cellStyle name="20% - Accent6 4 4 5" xfId="18306" xr:uid="{00000000-0005-0000-0000-000080330000}"/>
    <cellStyle name="20% - Accent6 4 4 5 2" xfId="32170" xr:uid="{00000000-0005-0000-0000-000081330000}"/>
    <cellStyle name="20% - Accent6 4 4 6" xfId="13169" xr:uid="{00000000-0005-0000-0000-000082330000}"/>
    <cellStyle name="20% - Accent6 4 4 7" xfId="34995" xr:uid="{00000000-0005-0000-0000-000083330000}"/>
    <cellStyle name="20% - Accent6 4 5" xfId="33851" xr:uid="{00000000-0005-0000-0000-000084330000}"/>
    <cellStyle name="20% - Accent6 4 5 2" xfId="31145" xr:uid="{00000000-0005-0000-0000-000085330000}"/>
    <cellStyle name="20% - Accent6 4 5 2 2" xfId="18305" xr:uid="{00000000-0005-0000-0000-000086330000}"/>
    <cellStyle name="20% - Accent6 4 5 2 2 2" xfId="27489" xr:uid="{00000000-0005-0000-0000-000087330000}"/>
    <cellStyle name="20% - Accent6 4 5 2 2 2 2" xfId="32592" xr:uid="{00000000-0005-0000-0000-000088330000}"/>
    <cellStyle name="20% - Accent6 4 5 2 2 3" xfId="31532" xr:uid="{00000000-0005-0000-0000-000089330000}"/>
    <cellStyle name="20% - Accent6 4 5 2 3" xfId="24371" xr:uid="{00000000-0005-0000-0000-00008A330000}"/>
    <cellStyle name="20% - Accent6 4 5 2 3 2" xfId="13809" xr:uid="{00000000-0005-0000-0000-00008B330000}"/>
    <cellStyle name="20% - Accent6 4 5 2 4" xfId="18302" xr:uid="{00000000-0005-0000-0000-00008C330000}"/>
    <cellStyle name="20% - Accent6 4 5 3" xfId="33080" xr:uid="{00000000-0005-0000-0000-00008D330000}"/>
    <cellStyle name="20% - Accent6 4 5 3 2" xfId="30023" xr:uid="{00000000-0005-0000-0000-00008E330000}"/>
    <cellStyle name="20% - Accent6 4 5 3 2 2" xfId="29483" xr:uid="{00000000-0005-0000-0000-00008F330000}"/>
    <cellStyle name="20% - Accent6 4 5 3 3" xfId="29473" xr:uid="{00000000-0005-0000-0000-000090330000}"/>
    <cellStyle name="20% - Accent6 4 5 4" xfId="32749" xr:uid="{00000000-0005-0000-0000-000091330000}"/>
    <cellStyle name="20% - Accent6 4 5 4 2" xfId="29417" xr:uid="{00000000-0005-0000-0000-000092330000}"/>
    <cellStyle name="20% - Accent6 4 5 5" xfId="32397" xr:uid="{00000000-0005-0000-0000-000093330000}"/>
    <cellStyle name="20% - Accent6 4 5 6" xfId="35200" xr:uid="{00000000-0005-0000-0000-000094330000}"/>
    <cellStyle name="20% - Accent6 4 6" xfId="30798" xr:uid="{00000000-0005-0000-0000-000095330000}"/>
    <cellStyle name="20% - Accent6 4 6 2" xfId="30789" xr:uid="{00000000-0005-0000-0000-000096330000}"/>
    <cellStyle name="20% - Accent6 4 6 2 2" xfId="14246" xr:uid="{00000000-0005-0000-0000-000097330000}"/>
    <cellStyle name="20% - Accent6 4 6 2 2 2" xfId="24910" xr:uid="{00000000-0005-0000-0000-000098330000}"/>
    <cellStyle name="20% - Accent6 4 6 2 3" xfId="18296" xr:uid="{00000000-0005-0000-0000-000099330000}"/>
    <cellStyle name="20% - Accent6 4 6 3" xfId="9197" xr:uid="{00000000-0005-0000-0000-00009A330000}"/>
    <cellStyle name="20% - Accent6 4 6 3 2" xfId="23108" xr:uid="{00000000-0005-0000-0000-00009B330000}"/>
    <cellStyle name="20% - Accent6 4 6 4" xfId="10576" xr:uid="{00000000-0005-0000-0000-00009C330000}"/>
    <cellStyle name="20% - Accent6 4 6 5" xfId="35429" xr:uid="{00000000-0005-0000-0000-00009D330000}"/>
    <cellStyle name="20% - Accent6 4 7" xfId="32255" xr:uid="{00000000-0005-0000-0000-00009E330000}"/>
    <cellStyle name="20% - Accent6 4 7 2" xfId="26173" xr:uid="{00000000-0005-0000-0000-00009F330000}"/>
    <cellStyle name="20% - Accent6 4 7 2 2" xfId="23098" xr:uid="{00000000-0005-0000-0000-0000A0330000}"/>
    <cellStyle name="20% - Accent6 4 7 3" xfId="5433" xr:uid="{00000000-0005-0000-0000-0000A1330000}"/>
    <cellStyle name="20% - Accent6 4 7 4" xfId="36301" xr:uid="{00000000-0005-0000-0000-0000A2330000}"/>
    <cellStyle name="20% - Accent6 4 8" xfId="32896" xr:uid="{00000000-0005-0000-0000-0000A3330000}"/>
    <cellStyle name="20% - Accent6 4 8 2" xfId="27216" xr:uid="{00000000-0005-0000-0000-0000A4330000}"/>
    <cellStyle name="20% - Accent6 4 8 3" xfId="36587" xr:uid="{00000000-0005-0000-0000-0000A5330000}"/>
    <cellStyle name="20% - Accent6 4 9" xfId="18287" xr:uid="{00000000-0005-0000-0000-0000A6330000}"/>
    <cellStyle name="20% - Accent6 4 9 2" xfId="37472" xr:uid="{00000000-0005-0000-0000-0000A7330000}"/>
    <cellStyle name="20% - Accent6 40" xfId="36107" xr:uid="{00000000-0005-0000-0000-0000A8330000}"/>
    <cellStyle name="20% - Accent6 40 2" xfId="37276" xr:uid="{00000000-0005-0000-0000-0000A9330000}"/>
    <cellStyle name="20% - Accent6 40 3" xfId="38174" xr:uid="{00000000-0005-0000-0000-0000AA330000}"/>
    <cellStyle name="20% - Accent6 41" xfId="36127" xr:uid="{00000000-0005-0000-0000-0000AB330000}"/>
    <cellStyle name="20% - Accent6 41 2" xfId="37296" xr:uid="{00000000-0005-0000-0000-0000AC330000}"/>
    <cellStyle name="20% - Accent6 41 3" xfId="38194" xr:uid="{00000000-0005-0000-0000-0000AD330000}"/>
    <cellStyle name="20% - Accent6 42" xfId="36147" xr:uid="{00000000-0005-0000-0000-0000AE330000}"/>
    <cellStyle name="20% - Accent6 42 2" xfId="37316" xr:uid="{00000000-0005-0000-0000-0000AF330000}"/>
    <cellStyle name="20% - Accent6 42 3" xfId="38214" xr:uid="{00000000-0005-0000-0000-0000B0330000}"/>
    <cellStyle name="20% - Accent6 43" xfId="36167" xr:uid="{00000000-0005-0000-0000-0000B1330000}"/>
    <cellStyle name="20% - Accent6 43 2" xfId="37336" xr:uid="{00000000-0005-0000-0000-0000B2330000}"/>
    <cellStyle name="20% - Accent6 43 3" xfId="38234" xr:uid="{00000000-0005-0000-0000-0000B3330000}"/>
    <cellStyle name="20% - Accent6 44" xfId="36187" xr:uid="{00000000-0005-0000-0000-0000B4330000}"/>
    <cellStyle name="20% - Accent6 44 2" xfId="37356" xr:uid="{00000000-0005-0000-0000-0000B5330000}"/>
    <cellStyle name="20% - Accent6 44 3" xfId="38254" xr:uid="{00000000-0005-0000-0000-0000B6330000}"/>
    <cellStyle name="20% - Accent6 45" xfId="36207" xr:uid="{00000000-0005-0000-0000-0000B7330000}"/>
    <cellStyle name="20% - Accent6 45 2" xfId="37376" xr:uid="{00000000-0005-0000-0000-0000B8330000}"/>
    <cellStyle name="20% - Accent6 45 3" xfId="38274" xr:uid="{00000000-0005-0000-0000-0000B9330000}"/>
    <cellStyle name="20% - Accent6 46" xfId="36227" xr:uid="{00000000-0005-0000-0000-0000BA330000}"/>
    <cellStyle name="20% - Accent6 46 2" xfId="37394" xr:uid="{00000000-0005-0000-0000-0000BB330000}"/>
    <cellStyle name="20% - Accent6 46 3" xfId="38294" xr:uid="{00000000-0005-0000-0000-0000BC330000}"/>
    <cellStyle name="20% - Accent6 47" xfId="36528" xr:uid="{00000000-0005-0000-0000-0000BD330000}"/>
    <cellStyle name="20% - Accent6 48" xfId="37413" xr:uid="{00000000-0005-0000-0000-0000BE330000}"/>
    <cellStyle name="20% - Accent6 5" xfId="275" xr:uid="{00000000-0005-0000-0000-0000BF330000}"/>
    <cellStyle name="20% - Accent6 5 10" xfId="18286" xr:uid="{00000000-0005-0000-0000-0000C0330000}"/>
    <cellStyle name="20% - Accent6 5 2" xfId="24324" xr:uid="{00000000-0005-0000-0000-0000C1330000}"/>
    <cellStyle name="20% - Accent6 5 2 2" xfId="24488" xr:uid="{00000000-0005-0000-0000-0000C2330000}"/>
    <cellStyle name="20% - Accent6 5 2 2 2" xfId="18283" xr:uid="{00000000-0005-0000-0000-0000C3330000}"/>
    <cellStyle name="20% - Accent6 5 2 2 2 2" xfId="18282" xr:uid="{00000000-0005-0000-0000-0000C4330000}"/>
    <cellStyle name="20% - Accent6 5 2 2 2 2 2" xfId="18281" xr:uid="{00000000-0005-0000-0000-0000C5330000}"/>
    <cellStyle name="20% - Accent6 5 2 2 2 2 2 2" xfId="34082" xr:uid="{00000000-0005-0000-0000-0000C6330000}"/>
    <cellStyle name="20% - Accent6 5 2 2 2 2 2 2 2" xfId="18279" xr:uid="{00000000-0005-0000-0000-0000C7330000}"/>
    <cellStyle name="20% - Accent6 5 2 2 2 2 2 3" xfId="33689" xr:uid="{00000000-0005-0000-0000-0000C8330000}"/>
    <cellStyle name="20% - Accent6 5 2 2 2 2 3" xfId="32378" xr:uid="{00000000-0005-0000-0000-0000C9330000}"/>
    <cellStyle name="20% - Accent6 5 2 2 2 2 3 2" xfId="13283" xr:uid="{00000000-0005-0000-0000-0000CA330000}"/>
    <cellStyle name="20% - Accent6 5 2 2 2 2 4" xfId="18278" xr:uid="{00000000-0005-0000-0000-0000CB330000}"/>
    <cellStyle name="20% - Accent6 5 2 2 2 3" xfId="18276" xr:uid="{00000000-0005-0000-0000-0000CC330000}"/>
    <cellStyle name="20% - Accent6 5 2 2 2 3 2" xfId="18275" xr:uid="{00000000-0005-0000-0000-0000CD330000}"/>
    <cellStyle name="20% - Accent6 5 2 2 2 3 2 2" xfId="27827" xr:uid="{00000000-0005-0000-0000-0000CE330000}"/>
    <cellStyle name="20% - Accent6 5 2 2 2 3 3" xfId="18272" xr:uid="{00000000-0005-0000-0000-0000CF330000}"/>
    <cellStyle name="20% - Accent6 5 2 2 2 4" xfId="18268" xr:uid="{00000000-0005-0000-0000-0000D0330000}"/>
    <cellStyle name="20% - Accent6 5 2 2 2 4 2" xfId="27120" xr:uid="{00000000-0005-0000-0000-0000D1330000}"/>
    <cellStyle name="20% - Accent6 5 2 2 2 5" xfId="26841" xr:uid="{00000000-0005-0000-0000-0000D2330000}"/>
    <cellStyle name="20% - Accent6 5 2 2 3" xfId="5682" xr:uid="{00000000-0005-0000-0000-0000D3330000}"/>
    <cellStyle name="20% - Accent6 5 2 2 3 2" xfId="5680" xr:uid="{00000000-0005-0000-0000-0000D4330000}"/>
    <cellStyle name="20% - Accent6 5 2 2 3 2 2" xfId="18264" xr:uid="{00000000-0005-0000-0000-0000D5330000}"/>
    <cellStyle name="20% - Accent6 5 2 2 3 2 2 2" xfId="18261" xr:uid="{00000000-0005-0000-0000-0000D6330000}"/>
    <cellStyle name="20% - Accent6 5 2 2 3 2 3" xfId="23743" xr:uid="{00000000-0005-0000-0000-0000D7330000}"/>
    <cellStyle name="20% - Accent6 5 2 2 3 3" xfId="18256" xr:uid="{00000000-0005-0000-0000-0000D8330000}"/>
    <cellStyle name="20% - Accent6 5 2 2 3 3 2" xfId="18642" xr:uid="{00000000-0005-0000-0000-0000D9330000}"/>
    <cellStyle name="20% - Accent6 5 2 2 3 4" xfId="18251" xr:uid="{00000000-0005-0000-0000-0000DA330000}"/>
    <cellStyle name="20% - Accent6 5 2 2 4" xfId="18246" xr:uid="{00000000-0005-0000-0000-0000DB330000}"/>
    <cellStyle name="20% - Accent6 5 2 2 4 2" xfId="18244" xr:uid="{00000000-0005-0000-0000-0000DC330000}"/>
    <cellStyle name="20% - Accent6 5 2 2 4 2 2" xfId="22077" xr:uid="{00000000-0005-0000-0000-0000DD330000}"/>
    <cellStyle name="20% - Accent6 5 2 2 4 3" xfId="18240" xr:uid="{00000000-0005-0000-0000-0000DE330000}"/>
    <cellStyle name="20% - Accent6 5 2 2 5" xfId="18238" xr:uid="{00000000-0005-0000-0000-0000DF330000}"/>
    <cellStyle name="20% - Accent6 5 2 2 5 2" xfId="18234" xr:uid="{00000000-0005-0000-0000-0000E0330000}"/>
    <cellStyle name="20% - Accent6 5 2 2 6" xfId="18229" xr:uid="{00000000-0005-0000-0000-0000E1330000}"/>
    <cellStyle name="20% - Accent6 5 2 3" xfId="25720" xr:uid="{00000000-0005-0000-0000-0000E2330000}"/>
    <cellStyle name="20% - Accent6 5 2 3 2" xfId="24119" xr:uid="{00000000-0005-0000-0000-0000E3330000}"/>
    <cellStyle name="20% - Accent6 5 2 3 2 2" xfId="25988" xr:uid="{00000000-0005-0000-0000-0000E4330000}"/>
    <cellStyle name="20% - Accent6 5 2 3 2 2 2" xfId="29104" xr:uid="{00000000-0005-0000-0000-0000E5330000}"/>
    <cellStyle name="20% - Accent6 5 2 3 2 2 2 2" xfId="26888" xr:uid="{00000000-0005-0000-0000-0000E6330000}"/>
    <cellStyle name="20% - Accent6 5 2 3 2 2 3" xfId="29098" xr:uid="{00000000-0005-0000-0000-0000E7330000}"/>
    <cellStyle name="20% - Accent6 5 2 3 2 3" xfId="29094" xr:uid="{00000000-0005-0000-0000-0000E8330000}"/>
    <cellStyle name="20% - Accent6 5 2 3 2 3 2" xfId="29090" xr:uid="{00000000-0005-0000-0000-0000E9330000}"/>
    <cellStyle name="20% - Accent6 5 2 3 2 4" xfId="29087" xr:uid="{00000000-0005-0000-0000-0000EA330000}"/>
    <cellStyle name="20% - Accent6 5 2 3 3" xfId="30778" xr:uid="{00000000-0005-0000-0000-0000EB330000}"/>
    <cellStyle name="20% - Accent6 5 2 3 3 2" xfId="29076" xr:uid="{00000000-0005-0000-0000-0000EC330000}"/>
    <cellStyle name="20% - Accent6 5 2 3 3 2 2" xfId="24293" xr:uid="{00000000-0005-0000-0000-0000ED330000}"/>
    <cellStyle name="20% - Accent6 5 2 3 3 3" xfId="11132" xr:uid="{00000000-0005-0000-0000-0000EE330000}"/>
    <cellStyle name="20% - Accent6 5 2 3 4" xfId="31026" xr:uid="{00000000-0005-0000-0000-0000EF330000}"/>
    <cellStyle name="20% - Accent6 5 2 3 4 2" xfId="26052" xr:uid="{00000000-0005-0000-0000-0000F0330000}"/>
    <cellStyle name="20% - Accent6 5 2 3 5" xfId="29049" xr:uid="{00000000-0005-0000-0000-0000F1330000}"/>
    <cellStyle name="20% - Accent6 5 2 4" xfId="25714" xr:uid="{00000000-0005-0000-0000-0000F2330000}"/>
    <cellStyle name="20% - Accent6 5 2 4 2" xfId="28973" xr:uid="{00000000-0005-0000-0000-0000F3330000}"/>
    <cellStyle name="20% - Accent6 5 2 4 2 2" xfId="17982" xr:uid="{00000000-0005-0000-0000-0000F4330000}"/>
    <cellStyle name="20% - Accent6 5 2 4 2 2 2" xfId="20559" xr:uid="{00000000-0005-0000-0000-0000F5330000}"/>
    <cellStyle name="20% - Accent6 5 2 4 2 3" xfId="28963" xr:uid="{00000000-0005-0000-0000-0000F6330000}"/>
    <cellStyle name="20% - Accent6 5 2 4 3" xfId="28957" xr:uid="{00000000-0005-0000-0000-0000F7330000}"/>
    <cellStyle name="20% - Accent6 5 2 4 3 2" xfId="28943" xr:uid="{00000000-0005-0000-0000-0000F8330000}"/>
    <cellStyle name="20% - Accent6 5 2 4 4" xfId="28935" xr:uid="{00000000-0005-0000-0000-0000F9330000}"/>
    <cellStyle name="20% - Accent6 5 2 5" xfId="18225" xr:uid="{00000000-0005-0000-0000-0000FA330000}"/>
    <cellStyle name="20% - Accent6 5 2 5 2" xfId="28892" xr:uid="{00000000-0005-0000-0000-0000FB330000}"/>
    <cellStyle name="20% - Accent6 5 2 5 2 2" xfId="29432" xr:uid="{00000000-0005-0000-0000-0000FC330000}"/>
    <cellStyle name="20% - Accent6 5 2 5 3" xfId="28886" xr:uid="{00000000-0005-0000-0000-0000FD330000}"/>
    <cellStyle name="20% - Accent6 5 2 6" xfId="18223" xr:uid="{00000000-0005-0000-0000-0000FE330000}"/>
    <cellStyle name="20% - Accent6 5 2 6 2" xfId="28860" xr:uid="{00000000-0005-0000-0000-0000FF330000}"/>
    <cellStyle name="20% - Accent6 5 2 7" xfId="18221" xr:uid="{00000000-0005-0000-0000-000000340000}"/>
    <cellStyle name="20% - Accent6 5 2 8" xfId="34812" xr:uid="{00000000-0005-0000-0000-000001340000}"/>
    <cellStyle name="20% - Accent6 5 3" xfId="18218" xr:uid="{00000000-0005-0000-0000-000002340000}"/>
    <cellStyle name="20% - Accent6 5 3 2" xfId="18214" xr:uid="{00000000-0005-0000-0000-000003340000}"/>
    <cellStyle name="20% - Accent6 5 3 2 2" xfId="19331" xr:uid="{00000000-0005-0000-0000-000004340000}"/>
    <cellStyle name="20% - Accent6 5 3 2 2 2" xfId="24304" xr:uid="{00000000-0005-0000-0000-000005340000}"/>
    <cellStyle name="20% - Accent6 5 3 2 2 2 2" xfId="18211" xr:uid="{00000000-0005-0000-0000-000006340000}"/>
    <cellStyle name="20% - Accent6 5 3 2 2 2 2 2" xfId="29184" xr:uid="{00000000-0005-0000-0000-000007340000}"/>
    <cellStyle name="20% - Accent6 5 3 2 2 2 3" xfId="27716" xr:uid="{00000000-0005-0000-0000-000008340000}"/>
    <cellStyle name="20% - Accent6 5 3 2 2 3" xfId="24300" xr:uid="{00000000-0005-0000-0000-000009340000}"/>
    <cellStyle name="20% - Accent6 5 3 2 2 3 2" xfId="18207" xr:uid="{00000000-0005-0000-0000-00000A340000}"/>
    <cellStyle name="20% - Accent6 5 3 2 2 4" xfId="18202" xr:uid="{00000000-0005-0000-0000-00000B340000}"/>
    <cellStyle name="20% - Accent6 5 3 2 3" xfId="5673" xr:uid="{00000000-0005-0000-0000-00000C340000}"/>
    <cellStyle name="20% - Accent6 5 3 2 3 2" xfId="13784" xr:uid="{00000000-0005-0000-0000-00000D340000}"/>
    <cellStyle name="20% - Accent6 5 3 2 3 2 2" xfId="14985" xr:uid="{00000000-0005-0000-0000-00000E340000}"/>
    <cellStyle name="20% - Accent6 5 3 2 3 3" xfId="13779" xr:uid="{00000000-0005-0000-0000-00000F340000}"/>
    <cellStyle name="20% - Accent6 5 3 2 4" xfId="18199" xr:uid="{00000000-0005-0000-0000-000010340000}"/>
    <cellStyle name="20% - Accent6 5 3 2 4 2" xfId="13777" xr:uid="{00000000-0005-0000-0000-000011340000}"/>
    <cellStyle name="20% - Accent6 5 3 2 5" xfId="18192" xr:uid="{00000000-0005-0000-0000-000012340000}"/>
    <cellStyle name="20% - Accent6 5 3 3" xfId="25709" xr:uid="{00000000-0005-0000-0000-000013340000}"/>
    <cellStyle name="20% - Accent6 5 3 3 2" xfId="23186" xr:uid="{00000000-0005-0000-0000-000014340000}"/>
    <cellStyle name="20% - Accent6 5 3 3 2 2" xfId="28744" xr:uid="{00000000-0005-0000-0000-000015340000}"/>
    <cellStyle name="20% - Accent6 5 3 3 2 2 2" xfId="28741" xr:uid="{00000000-0005-0000-0000-000016340000}"/>
    <cellStyle name="20% - Accent6 5 3 3 2 3" xfId="28735" xr:uid="{00000000-0005-0000-0000-000017340000}"/>
    <cellStyle name="20% - Accent6 5 3 3 3" xfId="25252" xr:uid="{00000000-0005-0000-0000-000018340000}"/>
    <cellStyle name="20% - Accent6 5 3 3 3 2" xfId="28716" xr:uid="{00000000-0005-0000-0000-000019340000}"/>
    <cellStyle name="20% - Accent6 5 3 3 4" xfId="28491" xr:uid="{00000000-0005-0000-0000-00001A340000}"/>
    <cellStyle name="20% - Accent6 5 3 4" xfId="18186" xr:uid="{00000000-0005-0000-0000-00001B340000}"/>
    <cellStyle name="20% - Accent6 5 3 4 2" xfId="25231" xr:uid="{00000000-0005-0000-0000-00001C340000}"/>
    <cellStyle name="20% - Accent6 5 3 4 2 2" xfId="23661" xr:uid="{00000000-0005-0000-0000-00001D340000}"/>
    <cellStyle name="20% - Accent6 5 3 4 3" xfId="28482" xr:uid="{00000000-0005-0000-0000-00001E340000}"/>
    <cellStyle name="20% - Accent6 5 3 5" xfId="18183" xr:uid="{00000000-0005-0000-0000-00001F340000}"/>
    <cellStyle name="20% - Accent6 5 3 5 2" xfId="32122" xr:uid="{00000000-0005-0000-0000-000020340000}"/>
    <cellStyle name="20% - Accent6 5 3 6" xfId="18181" xr:uid="{00000000-0005-0000-0000-000021340000}"/>
    <cellStyle name="20% - Accent6 5 3 7" xfId="35014" xr:uid="{00000000-0005-0000-0000-000022340000}"/>
    <cellStyle name="20% - Accent6 5 4" xfId="18179" xr:uid="{00000000-0005-0000-0000-000023340000}"/>
    <cellStyle name="20% - Accent6 5 4 2" xfId="23649" xr:uid="{00000000-0005-0000-0000-000024340000}"/>
    <cellStyle name="20% - Accent6 5 4 2 2" xfId="11641" xr:uid="{00000000-0005-0000-0000-000025340000}"/>
    <cellStyle name="20% - Accent6 5 4 2 2 2" xfId="24242" xr:uid="{00000000-0005-0000-0000-000026340000}"/>
    <cellStyle name="20% - Accent6 5 4 2 2 2 2" xfId="18176" xr:uid="{00000000-0005-0000-0000-000027340000}"/>
    <cellStyle name="20% - Accent6 5 4 2 2 3" xfId="21116" xr:uid="{00000000-0005-0000-0000-000028340000}"/>
    <cellStyle name="20% - Accent6 5 4 2 3" xfId="18173" xr:uid="{00000000-0005-0000-0000-000029340000}"/>
    <cellStyle name="20% - Accent6 5 4 2 3 2" xfId="13765" xr:uid="{00000000-0005-0000-0000-00002A340000}"/>
    <cellStyle name="20% - Accent6 5 4 2 4" xfId="15199" xr:uid="{00000000-0005-0000-0000-00002B340000}"/>
    <cellStyle name="20% - Accent6 5 4 3" xfId="18164" xr:uid="{00000000-0005-0000-0000-00002C340000}"/>
    <cellStyle name="20% - Accent6 5 4 3 2" xfId="13377" xr:uid="{00000000-0005-0000-0000-00002D340000}"/>
    <cellStyle name="20% - Accent6 5 4 3 2 2" xfId="28579" xr:uid="{00000000-0005-0000-0000-00002E340000}"/>
    <cellStyle name="20% - Accent6 5 4 3 3" xfId="7892" xr:uid="{00000000-0005-0000-0000-00002F340000}"/>
    <cellStyle name="20% - Accent6 5 4 4" xfId="18163" xr:uid="{00000000-0005-0000-0000-000030340000}"/>
    <cellStyle name="20% - Accent6 5 4 4 2" xfId="8004" xr:uid="{00000000-0005-0000-0000-000031340000}"/>
    <cellStyle name="20% - Accent6 5 4 5" xfId="18161" xr:uid="{00000000-0005-0000-0000-000032340000}"/>
    <cellStyle name="20% - Accent6 5 4 6" xfId="35220" xr:uid="{00000000-0005-0000-0000-000033340000}"/>
    <cellStyle name="20% - Accent6 5 5" xfId="33546" xr:uid="{00000000-0005-0000-0000-000034340000}"/>
    <cellStyle name="20% - Accent6 5 5 2" xfId="32999" xr:uid="{00000000-0005-0000-0000-000035340000}"/>
    <cellStyle name="20% - Accent6 5 5 2 2" xfId="18159" xr:uid="{00000000-0005-0000-0000-000036340000}"/>
    <cellStyle name="20% - Accent6 5 5 2 2 2" xfId="30394" xr:uid="{00000000-0005-0000-0000-000037340000}"/>
    <cellStyle name="20% - Accent6 5 5 2 3" xfId="21906" xr:uid="{00000000-0005-0000-0000-000038340000}"/>
    <cellStyle name="20% - Accent6 5 5 3" xfId="29378" xr:uid="{00000000-0005-0000-0000-000039340000}"/>
    <cellStyle name="20% - Accent6 5 5 3 2" xfId="29365" xr:uid="{00000000-0005-0000-0000-00003A340000}"/>
    <cellStyle name="20% - Accent6 5 5 4" xfId="31259" xr:uid="{00000000-0005-0000-0000-00003B340000}"/>
    <cellStyle name="20% - Accent6 5 5 5" xfId="35449" xr:uid="{00000000-0005-0000-0000-00003C340000}"/>
    <cellStyle name="20% - Accent6 5 6" xfId="24791" xr:uid="{00000000-0005-0000-0000-00003D340000}"/>
    <cellStyle name="20% - Accent6 5 6 2" xfId="32332" xr:uid="{00000000-0005-0000-0000-00003E340000}"/>
    <cellStyle name="20% - Accent6 5 6 2 2" xfId="18152" xr:uid="{00000000-0005-0000-0000-00003F340000}"/>
    <cellStyle name="20% - Accent6 5 6 3" xfId="5430" xr:uid="{00000000-0005-0000-0000-000040340000}"/>
    <cellStyle name="20% - Accent6 5 6 4" xfId="36321" xr:uid="{00000000-0005-0000-0000-000041340000}"/>
    <cellStyle name="20% - Accent6 5 7" xfId="32231" xr:uid="{00000000-0005-0000-0000-000042340000}"/>
    <cellStyle name="20% - Accent6 5 7 2" xfId="18143" xr:uid="{00000000-0005-0000-0000-000043340000}"/>
    <cellStyle name="20% - Accent6 5 7 3" xfId="36607" xr:uid="{00000000-0005-0000-0000-000044340000}"/>
    <cellStyle name="20% - Accent6 5 8" xfId="18140" xr:uid="{00000000-0005-0000-0000-000045340000}"/>
    <cellStyle name="20% - Accent6 5 8 2" xfId="37492" xr:uid="{00000000-0005-0000-0000-000046340000}"/>
    <cellStyle name="20% - Accent6 5 9" xfId="34587" xr:uid="{00000000-0005-0000-0000-000047340000}"/>
    <cellStyle name="20% - Accent6 6" xfId="295" xr:uid="{00000000-0005-0000-0000-000048340000}"/>
    <cellStyle name="20% - Accent6 6 2" xfId="18132" xr:uid="{00000000-0005-0000-0000-000049340000}"/>
    <cellStyle name="20% - Accent6 6 2 2" xfId="18125" xr:uid="{00000000-0005-0000-0000-00004A340000}"/>
    <cellStyle name="20% - Accent6 6 2 2 2" xfId="32990" xr:uid="{00000000-0005-0000-0000-00004B340000}"/>
    <cellStyle name="20% - Accent6 6 2 2 2 2" xfId="31130" xr:uid="{00000000-0005-0000-0000-00004C340000}"/>
    <cellStyle name="20% - Accent6 6 2 2 2 2 2" xfId="27887" xr:uid="{00000000-0005-0000-0000-00004D340000}"/>
    <cellStyle name="20% - Accent6 6 2 2 2 2 2 2" xfId="22779" xr:uid="{00000000-0005-0000-0000-00004E340000}"/>
    <cellStyle name="20% - Accent6 6 2 2 2 2 3" xfId="27875" xr:uid="{00000000-0005-0000-0000-00004F340000}"/>
    <cellStyle name="20% - Accent6 6 2 2 2 3" xfId="27866" xr:uid="{00000000-0005-0000-0000-000050340000}"/>
    <cellStyle name="20% - Accent6 6 2 2 2 3 2" xfId="27863" xr:uid="{00000000-0005-0000-0000-000051340000}"/>
    <cellStyle name="20% - Accent6 6 2 2 2 4" xfId="31398" xr:uid="{00000000-0005-0000-0000-000052340000}"/>
    <cellStyle name="20% - Accent6 6 2 2 3" xfId="15538" xr:uid="{00000000-0005-0000-0000-000053340000}"/>
    <cellStyle name="20% - Accent6 6 2 2 3 2" xfId="13895" xr:uid="{00000000-0005-0000-0000-000054340000}"/>
    <cellStyle name="20% - Accent6 6 2 2 3 2 2" xfId="23038" xr:uid="{00000000-0005-0000-0000-000055340000}"/>
    <cellStyle name="20% - Accent6 6 2 2 3 3" xfId="22450" xr:uid="{00000000-0005-0000-0000-000056340000}"/>
    <cellStyle name="20% - Accent6 6 2 2 4" xfId="26366" xr:uid="{00000000-0005-0000-0000-000057340000}"/>
    <cellStyle name="20% - Accent6 6 2 2 4 2" xfId="22113" xr:uid="{00000000-0005-0000-0000-000058340000}"/>
    <cellStyle name="20% - Accent6 6 2 2 5" xfId="27826" xr:uid="{00000000-0005-0000-0000-000059340000}"/>
    <cellStyle name="20% - Accent6 6 2 3" xfId="32261" xr:uid="{00000000-0005-0000-0000-00005A340000}"/>
    <cellStyle name="20% - Accent6 6 2 3 2" xfId="23191" xr:uid="{00000000-0005-0000-0000-00005B340000}"/>
    <cellStyle name="20% - Accent6 6 2 3 2 2" xfId="27793" xr:uid="{00000000-0005-0000-0000-00005C340000}"/>
    <cellStyle name="20% - Accent6 6 2 3 2 2 2" xfId="28353" xr:uid="{00000000-0005-0000-0000-00005D340000}"/>
    <cellStyle name="20% - Accent6 6 2 3 2 3" xfId="27788" xr:uid="{00000000-0005-0000-0000-00005E340000}"/>
    <cellStyle name="20% - Accent6 6 2 3 3" xfId="15533" xr:uid="{00000000-0005-0000-0000-00005F340000}"/>
    <cellStyle name="20% - Accent6 6 2 3 3 2" xfId="27763" xr:uid="{00000000-0005-0000-0000-000060340000}"/>
    <cellStyle name="20% - Accent6 6 2 3 4" xfId="23370" xr:uid="{00000000-0005-0000-0000-000061340000}"/>
    <cellStyle name="20% - Accent6 6 2 4" xfId="18120" xr:uid="{00000000-0005-0000-0000-000062340000}"/>
    <cellStyle name="20% - Accent6 6 2 4 2" xfId="27736" xr:uid="{00000000-0005-0000-0000-000063340000}"/>
    <cellStyle name="20% - Accent6 6 2 4 2 2" xfId="33054" xr:uid="{00000000-0005-0000-0000-000064340000}"/>
    <cellStyle name="20% - Accent6 6 2 4 3" xfId="21055" xr:uid="{00000000-0005-0000-0000-000065340000}"/>
    <cellStyle name="20% - Accent6 6 2 5" xfId="33696" xr:uid="{00000000-0005-0000-0000-000066340000}"/>
    <cellStyle name="20% - Accent6 6 2 5 2" xfId="7844" xr:uid="{00000000-0005-0000-0000-000067340000}"/>
    <cellStyle name="20% - Accent6 6 2 6" xfId="18118" xr:uid="{00000000-0005-0000-0000-000068340000}"/>
    <cellStyle name="20% - Accent6 6 2 7" xfId="34831" xr:uid="{00000000-0005-0000-0000-000069340000}"/>
    <cellStyle name="20% - Accent6 6 3" xfId="18113" xr:uid="{00000000-0005-0000-0000-00006A340000}"/>
    <cellStyle name="20% - Accent6 6 3 2" xfId="18108" xr:uid="{00000000-0005-0000-0000-00006B340000}"/>
    <cellStyle name="20% - Accent6 6 3 2 2" xfId="30303" xr:uid="{00000000-0005-0000-0000-00006C340000}"/>
    <cellStyle name="20% - Accent6 6 3 2 2 2" xfId="33304" xr:uid="{00000000-0005-0000-0000-00006D340000}"/>
    <cellStyle name="20% - Accent6 6 3 2 2 2 2" xfId="33609" xr:uid="{00000000-0005-0000-0000-00006E340000}"/>
    <cellStyle name="20% - Accent6 6 3 2 2 3" xfId="27337" xr:uid="{00000000-0005-0000-0000-00006F340000}"/>
    <cellStyle name="20% - Accent6 6 3 2 3" xfId="15511" xr:uid="{00000000-0005-0000-0000-000070340000}"/>
    <cellStyle name="20% - Accent6 6 3 2 3 2" xfId="13732" xr:uid="{00000000-0005-0000-0000-000071340000}"/>
    <cellStyle name="20% - Accent6 6 3 2 4" xfId="28249" xr:uid="{00000000-0005-0000-0000-000072340000}"/>
    <cellStyle name="20% - Accent6 6 3 3" xfId="18105" xr:uid="{00000000-0005-0000-0000-000073340000}"/>
    <cellStyle name="20% - Accent6 6 3 3 2" xfId="23169" xr:uid="{00000000-0005-0000-0000-000074340000}"/>
    <cellStyle name="20% - Accent6 6 3 3 2 2" xfId="27315" xr:uid="{00000000-0005-0000-0000-000075340000}"/>
    <cellStyle name="20% - Accent6 6 3 3 3" xfId="21423" xr:uid="{00000000-0005-0000-0000-000076340000}"/>
    <cellStyle name="20% - Accent6 6 3 4" xfId="18104" xr:uid="{00000000-0005-0000-0000-000077340000}"/>
    <cellStyle name="20% - Accent6 6 3 4 2" xfId="7839" xr:uid="{00000000-0005-0000-0000-000078340000}"/>
    <cellStyle name="20% - Accent6 6 3 5" xfId="18103" xr:uid="{00000000-0005-0000-0000-000079340000}"/>
    <cellStyle name="20% - Accent6 6 3 6" xfId="35033" xr:uid="{00000000-0005-0000-0000-00007A340000}"/>
    <cellStyle name="20% - Accent6 6 4" xfId="18099" xr:uid="{00000000-0005-0000-0000-00007B340000}"/>
    <cellStyle name="20% - Accent6 6 4 2" xfId="19151" xr:uid="{00000000-0005-0000-0000-00007C340000}"/>
    <cellStyle name="20% - Accent6 6 4 2 2" xfId="22412" xr:uid="{00000000-0005-0000-0000-00007D340000}"/>
    <cellStyle name="20% - Accent6 6 4 2 2 2" xfId="22407" xr:uid="{00000000-0005-0000-0000-00007E340000}"/>
    <cellStyle name="20% - Accent6 6 4 2 3" xfId="22361" xr:uid="{00000000-0005-0000-0000-00007F340000}"/>
    <cellStyle name="20% - Accent6 6 4 3" xfId="19148" xr:uid="{00000000-0005-0000-0000-000080340000}"/>
    <cellStyle name="20% - Accent6 6 4 3 2" xfId="7837" xr:uid="{00000000-0005-0000-0000-000081340000}"/>
    <cellStyle name="20% - Accent6 6 4 4" xfId="18097" xr:uid="{00000000-0005-0000-0000-000082340000}"/>
    <cellStyle name="20% - Accent6 6 4 5" xfId="35239" xr:uid="{00000000-0005-0000-0000-000083340000}"/>
    <cellStyle name="20% - Accent6 6 5" xfId="29899" xr:uid="{00000000-0005-0000-0000-000084340000}"/>
    <cellStyle name="20% - Accent6 6 5 2" xfId="32302" xr:uid="{00000000-0005-0000-0000-000085340000}"/>
    <cellStyle name="20% - Accent6 6 5 2 2" xfId="7678" xr:uid="{00000000-0005-0000-0000-000086340000}"/>
    <cellStyle name="20% - Accent6 6 5 3" xfId="6073" xr:uid="{00000000-0005-0000-0000-000087340000}"/>
    <cellStyle name="20% - Accent6 6 5 4" xfId="35468" xr:uid="{00000000-0005-0000-0000-000088340000}"/>
    <cellStyle name="20% - Accent6 6 6" xfId="32011" xr:uid="{00000000-0005-0000-0000-000089340000}"/>
    <cellStyle name="20% - Accent6 6 6 2" xfId="18944" xr:uid="{00000000-0005-0000-0000-00008A340000}"/>
    <cellStyle name="20% - Accent6 6 6 3" xfId="36340" xr:uid="{00000000-0005-0000-0000-00008B340000}"/>
    <cellStyle name="20% - Accent6 6 7" xfId="18093" xr:uid="{00000000-0005-0000-0000-00008C340000}"/>
    <cellStyle name="20% - Accent6 6 7 2" xfId="36626" xr:uid="{00000000-0005-0000-0000-00008D340000}"/>
    <cellStyle name="20% - Accent6 6 8" xfId="34601" xr:uid="{00000000-0005-0000-0000-00008E340000}"/>
    <cellStyle name="20% - Accent6 6 9" xfId="18138" xr:uid="{00000000-0005-0000-0000-00008F340000}"/>
    <cellStyle name="20% - Accent6 7" xfId="315" xr:uid="{00000000-0005-0000-0000-000090340000}"/>
    <cellStyle name="20% - Accent6 7 2" xfId="9719" xr:uid="{00000000-0005-0000-0000-000091340000}"/>
    <cellStyle name="20% - Accent6 7 2 2" xfId="18091" xr:uid="{00000000-0005-0000-0000-000092340000}"/>
    <cellStyle name="20% - Accent6 7 2 2 2" xfId="20059" xr:uid="{00000000-0005-0000-0000-000093340000}"/>
    <cellStyle name="20% - Accent6 7 2 2 2 2" xfId="34195" xr:uid="{00000000-0005-0000-0000-000094340000}"/>
    <cellStyle name="20% - Accent6 7 2 2 2 2 2" xfId="27545" xr:uid="{00000000-0005-0000-0000-000095340000}"/>
    <cellStyle name="20% - Accent6 7 2 2 2 3" xfId="18086" xr:uid="{00000000-0005-0000-0000-000096340000}"/>
    <cellStyle name="20% - Accent6 7 2 2 3" xfId="15500" xr:uid="{00000000-0005-0000-0000-000097340000}"/>
    <cellStyle name="20% - Accent6 7 2 2 3 2" xfId="18085" xr:uid="{00000000-0005-0000-0000-000098340000}"/>
    <cellStyle name="20% - Accent6 7 2 2 4" xfId="18082" xr:uid="{00000000-0005-0000-0000-000099340000}"/>
    <cellStyle name="20% - Accent6 7 2 3" xfId="18075" xr:uid="{00000000-0005-0000-0000-00009A340000}"/>
    <cellStyle name="20% - Accent6 7 2 3 2" xfId="28075" xr:uid="{00000000-0005-0000-0000-00009B340000}"/>
    <cellStyle name="20% - Accent6 7 2 3 2 2" xfId="28070" xr:uid="{00000000-0005-0000-0000-00009C340000}"/>
    <cellStyle name="20% - Accent6 7 2 3 3" xfId="28063" xr:uid="{00000000-0005-0000-0000-00009D340000}"/>
    <cellStyle name="20% - Accent6 7 2 4" xfId="8916" xr:uid="{00000000-0005-0000-0000-00009E340000}"/>
    <cellStyle name="20% - Accent6 7 2 4 2" xfId="13118" xr:uid="{00000000-0005-0000-0000-00009F340000}"/>
    <cellStyle name="20% - Accent6 7 2 5" xfId="14577" xr:uid="{00000000-0005-0000-0000-0000A0340000}"/>
    <cellStyle name="20% - Accent6 7 2 6" xfId="34850" xr:uid="{00000000-0005-0000-0000-0000A1340000}"/>
    <cellStyle name="20% - Accent6 7 3" xfId="9715" xr:uid="{00000000-0005-0000-0000-0000A2340000}"/>
    <cellStyle name="20% - Accent6 7 3 2" xfId="31864" xr:uid="{00000000-0005-0000-0000-0000A3340000}"/>
    <cellStyle name="20% - Accent6 7 3 2 2" xfId="30286" xr:uid="{00000000-0005-0000-0000-0000A4340000}"/>
    <cellStyle name="20% - Accent6 7 3 2 2 2" xfId="33108" xr:uid="{00000000-0005-0000-0000-0000A5340000}"/>
    <cellStyle name="20% - Accent6 7 3 2 3" xfId="22189" xr:uid="{00000000-0005-0000-0000-0000A6340000}"/>
    <cellStyle name="20% - Accent6 7 3 3" xfId="18072" xr:uid="{00000000-0005-0000-0000-0000A7340000}"/>
    <cellStyle name="20% - Accent6 7 3 3 2" xfId="7816" xr:uid="{00000000-0005-0000-0000-0000A8340000}"/>
    <cellStyle name="20% - Accent6 7 3 4" xfId="14570" xr:uid="{00000000-0005-0000-0000-0000A9340000}"/>
    <cellStyle name="20% - Accent6 7 3 5" xfId="35052" xr:uid="{00000000-0005-0000-0000-0000AA340000}"/>
    <cellStyle name="20% - Accent6 7 4" xfId="18071" xr:uid="{00000000-0005-0000-0000-0000AB340000}"/>
    <cellStyle name="20% - Accent6 7 4 2" xfId="19105" xr:uid="{00000000-0005-0000-0000-0000AC340000}"/>
    <cellStyle name="20% - Accent6 7 4 2 2" xfId="18831" xr:uid="{00000000-0005-0000-0000-0000AD340000}"/>
    <cellStyle name="20% - Accent6 7 4 3" xfId="18067" xr:uid="{00000000-0005-0000-0000-0000AE340000}"/>
    <cellStyle name="20% - Accent6 7 4 4" xfId="35259" xr:uid="{00000000-0005-0000-0000-0000AF340000}"/>
    <cellStyle name="20% - Accent6 7 5" xfId="28894" xr:uid="{00000000-0005-0000-0000-0000B0340000}"/>
    <cellStyle name="20% - Accent6 7 5 2" xfId="18066" xr:uid="{00000000-0005-0000-0000-0000B1340000}"/>
    <cellStyle name="20% - Accent6 7 5 3" xfId="35488" xr:uid="{00000000-0005-0000-0000-0000B2340000}"/>
    <cellStyle name="20% - Accent6 7 6" xfId="18065" xr:uid="{00000000-0005-0000-0000-0000B3340000}"/>
    <cellStyle name="20% - Accent6 7 6 2" xfId="36360" xr:uid="{00000000-0005-0000-0000-0000B4340000}"/>
    <cellStyle name="20% - Accent6 7 7" xfId="34615" xr:uid="{00000000-0005-0000-0000-0000B5340000}"/>
    <cellStyle name="20% - Accent6 7 8" xfId="9722" xr:uid="{00000000-0005-0000-0000-0000B6340000}"/>
    <cellStyle name="20% - Accent6 7 8 2" xfId="37518" xr:uid="{00000000-0005-0000-0000-0000B7340000}"/>
    <cellStyle name="20% - Accent6 8" xfId="335" xr:uid="{00000000-0005-0000-0000-0000B8340000}"/>
    <cellStyle name="20% - Accent6 8 2" xfId="9707" xr:uid="{00000000-0005-0000-0000-0000B9340000}"/>
    <cellStyle name="20% - Accent6 8 2 2" xfId="18062" xr:uid="{00000000-0005-0000-0000-0000BA340000}"/>
    <cellStyle name="20% - Accent6 8 2 2 2" xfId="19992" xr:uid="{00000000-0005-0000-0000-0000BB340000}"/>
    <cellStyle name="20% - Accent6 8 2 2 2 2" xfId="19717" xr:uid="{00000000-0005-0000-0000-0000BC340000}"/>
    <cellStyle name="20% - Accent6 8 2 2 3" xfId="18060" xr:uid="{00000000-0005-0000-0000-0000BD340000}"/>
    <cellStyle name="20% - Accent6 8 2 3" xfId="18048" xr:uid="{00000000-0005-0000-0000-0000BE340000}"/>
    <cellStyle name="20% - Accent6 8 2 3 2" xfId="7810" xr:uid="{00000000-0005-0000-0000-0000BF340000}"/>
    <cellStyle name="20% - Accent6 8 2 4" xfId="14562" xr:uid="{00000000-0005-0000-0000-0000C0340000}"/>
    <cellStyle name="20% - Accent6 8 2 5" xfId="34869" xr:uid="{00000000-0005-0000-0000-0000C1340000}"/>
    <cellStyle name="20% - Accent6 8 3" xfId="28787" xr:uid="{00000000-0005-0000-0000-0000C2340000}"/>
    <cellStyle name="20% - Accent6 8 3 2" xfId="18046" xr:uid="{00000000-0005-0000-0000-0000C3340000}"/>
    <cellStyle name="20% - Accent6 8 3 2 2" xfId="32916" xr:uid="{00000000-0005-0000-0000-0000C4340000}"/>
    <cellStyle name="20% - Accent6 8 3 3" xfId="18045" xr:uid="{00000000-0005-0000-0000-0000C5340000}"/>
    <cellStyle name="20% - Accent6 8 3 4" xfId="35071" xr:uid="{00000000-0005-0000-0000-0000C6340000}"/>
    <cellStyle name="20% - Accent6 8 4" xfId="18377" xr:uid="{00000000-0005-0000-0000-0000C7340000}"/>
    <cellStyle name="20% - Accent6 8 4 2" xfId="18044" xr:uid="{00000000-0005-0000-0000-0000C8340000}"/>
    <cellStyle name="20% - Accent6 8 4 3" xfId="35278" xr:uid="{00000000-0005-0000-0000-0000C9340000}"/>
    <cellStyle name="20% - Accent6 8 5" xfId="18375" xr:uid="{00000000-0005-0000-0000-0000CA340000}"/>
    <cellStyle name="20% - Accent6 8 5 2" xfId="35507" xr:uid="{00000000-0005-0000-0000-0000CB340000}"/>
    <cellStyle name="20% - Accent6 8 6" xfId="34629" xr:uid="{00000000-0005-0000-0000-0000CC340000}"/>
    <cellStyle name="20% - Accent6 8 7" xfId="9712" xr:uid="{00000000-0005-0000-0000-0000CD340000}"/>
    <cellStyle name="20% - Accent6 8 7 2" xfId="36652" xr:uid="{00000000-0005-0000-0000-0000CE340000}"/>
    <cellStyle name="20% - Accent6 8 8" xfId="37537" xr:uid="{00000000-0005-0000-0000-0000CF340000}"/>
    <cellStyle name="20% - Accent6 9" xfId="355" xr:uid="{00000000-0005-0000-0000-0000D0340000}"/>
    <cellStyle name="20% - Accent6 9 2" xfId="18043" xr:uid="{00000000-0005-0000-0000-0000D1340000}"/>
    <cellStyle name="20% - Accent6 9 2 2" xfId="18041" xr:uid="{00000000-0005-0000-0000-0000D2340000}"/>
    <cellStyle name="20% - Accent6 9 2 2 2" xfId="18040" xr:uid="{00000000-0005-0000-0000-0000D3340000}"/>
    <cellStyle name="20% - Accent6 9 2 3" xfId="18035" xr:uid="{00000000-0005-0000-0000-0000D4340000}"/>
    <cellStyle name="20% - Accent6 9 2 4" xfId="34889" xr:uid="{00000000-0005-0000-0000-0000D5340000}"/>
    <cellStyle name="20% - Accent6 9 3" xfId="13520" xr:uid="{00000000-0005-0000-0000-0000D6340000}"/>
    <cellStyle name="20% - Accent6 9 3 2" xfId="18034" xr:uid="{00000000-0005-0000-0000-0000D7340000}"/>
    <cellStyle name="20% - Accent6 9 3 3" xfId="35090" xr:uid="{00000000-0005-0000-0000-0000D8340000}"/>
    <cellStyle name="20% - Accent6 9 4" xfId="18372" xr:uid="{00000000-0005-0000-0000-0000D9340000}"/>
    <cellStyle name="20% - Accent6 9 4 2" xfId="35298" xr:uid="{00000000-0005-0000-0000-0000DA340000}"/>
    <cellStyle name="20% - Accent6 9 5" xfId="34643" xr:uid="{00000000-0005-0000-0000-0000DB340000}"/>
    <cellStyle name="20% - Accent6 9 6" xfId="17887" xr:uid="{00000000-0005-0000-0000-0000DC340000}"/>
    <cellStyle name="20% - Accent6 9 6 2" xfId="36386" xr:uid="{00000000-0005-0000-0000-0000DD340000}"/>
    <cellStyle name="20% - Accent6 9 7" xfId="36672" xr:uid="{00000000-0005-0000-0000-0000DE340000}"/>
    <cellStyle name="20% - Accent6 9 8" xfId="37557" xr:uid="{00000000-0005-0000-0000-0000DF340000}"/>
    <cellStyle name="40% - Accent1" xfId="24" builtinId="31" customBuiltin="1"/>
    <cellStyle name="40% - Accent1 10" xfId="179" xr:uid="{00000000-0005-0000-0000-0000E1340000}"/>
    <cellStyle name="40% - Accent1 10 2" xfId="18027" xr:uid="{00000000-0005-0000-0000-0000E2340000}"/>
    <cellStyle name="40% - Accent1 10 2 2" xfId="18022" xr:uid="{00000000-0005-0000-0000-0000E3340000}"/>
    <cellStyle name="40% - Accent1 10 2 3" xfId="34893" xr:uid="{00000000-0005-0000-0000-0000E4340000}"/>
    <cellStyle name="40% - Accent1 10 3" xfId="18018" xr:uid="{00000000-0005-0000-0000-0000E5340000}"/>
    <cellStyle name="40% - Accent1 10 3 2" xfId="35095" xr:uid="{00000000-0005-0000-0000-0000E6340000}"/>
    <cellStyle name="40% - Accent1 10 4" xfId="34521" xr:uid="{00000000-0005-0000-0000-0000E7340000}"/>
    <cellStyle name="40% - Accent1 10 5" xfId="18033" xr:uid="{00000000-0005-0000-0000-0000E8340000}"/>
    <cellStyle name="40% - Accent1 10 5 2" xfId="35518" xr:uid="{00000000-0005-0000-0000-0000E9340000}"/>
    <cellStyle name="40% - Accent1 10 6" xfId="36391" xr:uid="{00000000-0005-0000-0000-0000EA340000}"/>
    <cellStyle name="40% - Accent1 10 7" xfId="36677" xr:uid="{00000000-0005-0000-0000-0000EB340000}"/>
    <cellStyle name="40% - Accent1 10 8" xfId="37562" xr:uid="{00000000-0005-0000-0000-0000EC340000}"/>
    <cellStyle name="40% - Accent1 11" xfId="18011" xr:uid="{00000000-0005-0000-0000-0000ED340000}"/>
    <cellStyle name="40% - Accent1 11 2" xfId="18008" xr:uid="{00000000-0005-0000-0000-0000EE340000}"/>
    <cellStyle name="40% - Accent1 11 2 2" xfId="35114" xr:uid="{00000000-0005-0000-0000-0000EF340000}"/>
    <cellStyle name="40% - Accent1 11 3" xfId="34691" xr:uid="{00000000-0005-0000-0000-0000F0340000}"/>
    <cellStyle name="40% - Accent1 11 4" xfId="35538" xr:uid="{00000000-0005-0000-0000-0000F1340000}"/>
    <cellStyle name="40% - Accent1 11 5" xfId="36411" xr:uid="{00000000-0005-0000-0000-0000F2340000}"/>
    <cellStyle name="40% - Accent1 11 6" xfId="36697" xr:uid="{00000000-0005-0000-0000-0000F3340000}"/>
    <cellStyle name="40% - Accent1 11 7" xfId="37582" xr:uid="{00000000-0005-0000-0000-0000F4340000}"/>
    <cellStyle name="40% - Accent1 12" xfId="26589" xr:uid="{00000000-0005-0000-0000-0000F5340000}"/>
    <cellStyle name="40% - Accent1 12 2" xfId="34704" xr:uid="{00000000-0005-0000-0000-0000F6340000}"/>
    <cellStyle name="40% - Accent1 12 3" xfId="35317" xr:uid="{00000000-0005-0000-0000-0000F7340000}"/>
    <cellStyle name="40% - Accent1 12 4" xfId="35557" xr:uid="{00000000-0005-0000-0000-0000F8340000}"/>
    <cellStyle name="40% - Accent1 12 5" xfId="36430" xr:uid="{00000000-0005-0000-0000-0000F9340000}"/>
    <cellStyle name="40% - Accent1 12 6" xfId="36716" xr:uid="{00000000-0005-0000-0000-0000FA340000}"/>
    <cellStyle name="40% - Accent1 12 7" xfId="37601" xr:uid="{00000000-0005-0000-0000-0000FB340000}"/>
    <cellStyle name="40% - Accent1 13" xfId="23039" xr:uid="{00000000-0005-0000-0000-0000FC340000}"/>
    <cellStyle name="40% - Accent1 13 2" xfId="34732" xr:uid="{00000000-0005-0000-0000-0000FD340000}"/>
    <cellStyle name="40% - Accent1 13 3" xfId="35576" xr:uid="{00000000-0005-0000-0000-0000FE340000}"/>
    <cellStyle name="40% - Accent1 13 4" xfId="36451" xr:uid="{00000000-0005-0000-0000-0000FF340000}"/>
    <cellStyle name="40% - Accent1 13 5" xfId="36737" xr:uid="{00000000-0005-0000-0000-000000350000}"/>
    <cellStyle name="40% - Accent1 13 6" xfId="37622" xr:uid="{00000000-0005-0000-0000-000001350000}"/>
    <cellStyle name="40% - Accent1 14" xfId="19111" xr:uid="{00000000-0005-0000-0000-000002350000}"/>
    <cellStyle name="40% - Accent1 14 2" xfId="34922" xr:uid="{00000000-0005-0000-0000-000003350000}"/>
    <cellStyle name="40% - Accent1 14 3" xfId="36760" xr:uid="{00000000-0005-0000-0000-000004350000}"/>
    <cellStyle name="40% - Accent1 14 4" xfId="37645" xr:uid="{00000000-0005-0000-0000-000005350000}"/>
    <cellStyle name="40% - Accent1 15" xfId="34653" xr:uid="{00000000-0005-0000-0000-000006350000}"/>
    <cellStyle name="40% - Accent1 15 2" xfId="36476" xr:uid="{00000000-0005-0000-0000-000007350000}"/>
    <cellStyle name="40% - Accent1 15 3" xfId="36774" xr:uid="{00000000-0005-0000-0000-000008350000}"/>
    <cellStyle name="40% - Accent1 15 4" xfId="37662" xr:uid="{00000000-0005-0000-0000-000009350000}"/>
    <cellStyle name="40% - Accent1 16" xfId="35356" xr:uid="{00000000-0005-0000-0000-00000A350000}"/>
    <cellStyle name="40% - Accent1 16 2" xfId="36494" xr:uid="{00000000-0005-0000-0000-00000B350000}"/>
    <cellStyle name="40% - Accent1 16 3" xfId="36792" xr:uid="{00000000-0005-0000-0000-00000C350000}"/>
    <cellStyle name="40% - Accent1 16 4" xfId="37681" xr:uid="{00000000-0005-0000-0000-00000D350000}"/>
    <cellStyle name="40% - Accent1 17" xfId="35643" xr:uid="{00000000-0005-0000-0000-00000E350000}"/>
    <cellStyle name="40% - Accent1 17 2" xfId="36811" xr:uid="{00000000-0005-0000-0000-00000F350000}"/>
    <cellStyle name="40% - Accent1 17 3" xfId="37701" xr:uid="{00000000-0005-0000-0000-000010350000}"/>
    <cellStyle name="40% - Accent1 18" xfId="35661" xr:uid="{00000000-0005-0000-0000-000011350000}"/>
    <cellStyle name="40% - Accent1 18 2" xfId="36830" xr:uid="{00000000-0005-0000-0000-000012350000}"/>
    <cellStyle name="40% - Accent1 18 3" xfId="37720" xr:uid="{00000000-0005-0000-0000-000013350000}"/>
    <cellStyle name="40% - Accent1 19" xfId="35680" xr:uid="{00000000-0005-0000-0000-000014350000}"/>
    <cellStyle name="40% - Accent1 19 2" xfId="36849" xr:uid="{00000000-0005-0000-0000-000015350000}"/>
    <cellStyle name="40% - Accent1 19 3" xfId="37739" xr:uid="{00000000-0005-0000-0000-000016350000}"/>
    <cellStyle name="40% - Accent1 2" xfId="79" xr:uid="{00000000-0005-0000-0000-000017350000}"/>
    <cellStyle name="40% - Accent1 2 10" xfId="18003" xr:uid="{00000000-0005-0000-0000-000018350000}"/>
    <cellStyle name="40% - Accent1 2 10 2" xfId="7657" xr:uid="{00000000-0005-0000-0000-000019350000}"/>
    <cellStyle name="40% - Accent1 2 10 3" xfId="37420" xr:uid="{00000000-0005-0000-0000-00001A350000}"/>
    <cellStyle name="40% - Accent1 2 11" xfId="18001" xr:uid="{00000000-0005-0000-0000-00001B350000}"/>
    <cellStyle name="40% - Accent1 2 12" xfId="34439" xr:uid="{00000000-0005-0000-0000-00001C350000}"/>
    <cellStyle name="40% - Accent1 2 13" xfId="21646" xr:uid="{00000000-0005-0000-0000-00001D350000}"/>
    <cellStyle name="40% - Accent1 2 2" xfId="140" xr:uid="{00000000-0005-0000-0000-00001E350000}"/>
    <cellStyle name="40% - Accent1 2 2 10" xfId="18529" xr:uid="{00000000-0005-0000-0000-00001F350000}"/>
    <cellStyle name="40% - Accent1 2 2 11" xfId="34494" xr:uid="{00000000-0005-0000-0000-000020350000}"/>
    <cellStyle name="40% - Accent1 2 2 12" xfId="18228" xr:uid="{00000000-0005-0000-0000-000021350000}"/>
    <cellStyle name="40% - Accent1 2 2 2" xfId="17998" xr:uid="{00000000-0005-0000-0000-000022350000}"/>
    <cellStyle name="40% - Accent1 2 2 2 2" xfId="29190" xr:uid="{00000000-0005-0000-0000-000023350000}"/>
    <cellStyle name="40% - Accent1 2 2 2 2 2" xfId="32738" xr:uid="{00000000-0005-0000-0000-000024350000}"/>
    <cellStyle name="40% - Accent1 2 2 2 2 2 2" xfId="32394" xr:uid="{00000000-0005-0000-0000-000025350000}"/>
    <cellStyle name="40% - Accent1 2 2 2 2 2 2 2" xfId="18977" xr:uid="{00000000-0005-0000-0000-000026350000}"/>
    <cellStyle name="40% - Accent1 2 2 2 2 2 2 2 2" xfId="17996" xr:uid="{00000000-0005-0000-0000-000027350000}"/>
    <cellStyle name="40% - Accent1 2 2 2 2 2 2 2 2 2" xfId="18927" xr:uid="{00000000-0005-0000-0000-000028350000}"/>
    <cellStyle name="40% - Accent1 2 2 2 2 2 2 2 2 2 2" xfId="18352" xr:uid="{00000000-0005-0000-0000-000029350000}"/>
    <cellStyle name="40% - Accent1 2 2 2 2 2 2 2 2 2 2 2" xfId="17992" xr:uid="{00000000-0005-0000-0000-00002A350000}"/>
    <cellStyle name="40% - Accent1 2 2 2 2 2 2 2 2 2 3" xfId="26170" xr:uid="{00000000-0005-0000-0000-00002B350000}"/>
    <cellStyle name="40% - Accent1 2 2 2 2 2 2 2 2 3" xfId="18919" xr:uid="{00000000-0005-0000-0000-00002C350000}"/>
    <cellStyle name="40% - Accent1 2 2 2 2 2 2 2 2 3 2" xfId="28700" xr:uid="{00000000-0005-0000-0000-00002D350000}"/>
    <cellStyle name="40% - Accent1 2 2 2 2 2 2 2 2 4" xfId="17985" xr:uid="{00000000-0005-0000-0000-00002E350000}"/>
    <cellStyle name="40% - Accent1 2 2 2 2 2 2 2 3" xfId="27201" xr:uid="{00000000-0005-0000-0000-00002F350000}"/>
    <cellStyle name="40% - Accent1 2 2 2 2 2 2 2 3 2" xfId="13553" xr:uid="{00000000-0005-0000-0000-000030350000}"/>
    <cellStyle name="40% - Accent1 2 2 2 2 2 2 2 3 2 2" xfId="29330" xr:uid="{00000000-0005-0000-0000-000031350000}"/>
    <cellStyle name="40% - Accent1 2 2 2 2 2 2 2 3 3" xfId="13548" xr:uid="{00000000-0005-0000-0000-000032350000}"/>
    <cellStyle name="40% - Accent1 2 2 2 2 2 2 2 4" xfId="30970" xr:uid="{00000000-0005-0000-0000-000033350000}"/>
    <cellStyle name="40% - Accent1 2 2 2 2 2 2 2 4 2" xfId="13533" xr:uid="{00000000-0005-0000-0000-000034350000}"/>
    <cellStyle name="40% - Accent1 2 2 2 2 2 2 2 5" xfId="17970" xr:uid="{00000000-0005-0000-0000-000035350000}"/>
    <cellStyle name="40% - Accent1 2 2 2 2 2 2 3" xfId="17968" xr:uid="{00000000-0005-0000-0000-000036350000}"/>
    <cellStyle name="40% - Accent1 2 2 2 2 2 2 3 2" xfId="33607" xr:uid="{00000000-0005-0000-0000-000037350000}"/>
    <cellStyle name="40% - Accent1 2 2 2 2 2 2 3 2 2" xfId="18903" xr:uid="{00000000-0005-0000-0000-000038350000}"/>
    <cellStyle name="40% - Accent1 2 2 2 2 2 2 3 2 2 2" xfId="27369" xr:uid="{00000000-0005-0000-0000-000039350000}"/>
    <cellStyle name="40% - Accent1 2 2 2 2 2 2 3 2 3" xfId="17965" xr:uid="{00000000-0005-0000-0000-00003A350000}"/>
    <cellStyle name="40% - Accent1 2 2 2 2 2 2 3 3" xfId="30299" xr:uid="{00000000-0005-0000-0000-00003B350000}"/>
    <cellStyle name="40% - Accent1 2 2 2 2 2 2 3 3 2" xfId="13453" xr:uid="{00000000-0005-0000-0000-00003C350000}"/>
    <cellStyle name="40% - Accent1 2 2 2 2 2 2 3 4" xfId="27142" xr:uid="{00000000-0005-0000-0000-00003D350000}"/>
    <cellStyle name="40% - Accent1 2 2 2 2 2 2 4" xfId="17956" xr:uid="{00000000-0005-0000-0000-00003E350000}"/>
    <cellStyle name="40% - Accent1 2 2 2 2 2 2 4 2" xfId="25144" xr:uid="{00000000-0005-0000-0000-00003F350000}"/>
    <cellStyle name="40% - Accent1 2 2 2 2 2 2 4 2 2" xfId="17955" xr:uid="{00000000-0005-0000-0000-000040350000}"/>
    <cellStyle name="40% - Accent1 2 2 2 2 2 2 4 3" xfId="9281" xr:uid="{00000000-0005-0000-0000-000041350000}"/>
    <cellStyle name="40% - Accent1 2 2 2 2 2 2 5" xfId="17950" xr:uid="{00000000-0005-0000-0000-000042350000}"/>
    <cellStyle name="40% - Accent1 2 2 2 2 2 2 5 2" xfId="25134" xr:uid="{00000000-0005-0000-0000-000043350000}"/>
    <cellStyle name="40% - Accent1 2 2 2 2 2 2 6" xfId="33008" xr:uid="{00000000-0005-0000-0000-000044350000}"/>
    <cellStyle name="40% - Accent1 2 2 2 2 2 3" xfId="17949" xr:uid="{00000000-0005-0000-0000-000045350000}"/>
    <cellStyle name="40% - Accent1 2 2 2 2 2 3 2" xfId="17948" xr:uid="{00000000-0005-0000-0000-000046350000}"/>
    <cellStyle name="40% - Accent1 2 2 2 2 2 3 2 2" xfId="17947" xr:uid="{00000000-0005-0000-0000-000047350000}"/>
    <cellStyle name="40% - Accent1 2 2 2 2 2 3 2 2 2" xfId="18881" xr:uid="{00000000-0005-0000-0000-000048350000}"/>
    <cellStyle name="40% - Accent1 2 2 2 2 2 3 2 2 2 2" xfId="31428" xr:uid="{00000000-0005-0000-0000-000049350000}"/>
    <cellStyle name="40% - Accent1 2 2 2 2 2 3 2 2 3" xfId="17942" xr:uid="{00000000-0005-0000-0000-00004A350000}"/>
    <cellStyle name="40% - Accent1 2 2 2 2 2 3 2 3" xfId="33788" xr:uid="{00000000-0005-0000-0000-00004B350000}"/>
    <cellStyle name="40% - Accent1 2 2 2 2 2 3 2 3 2" xfId="17938" xr:uid="{00000000-0005-0000-0000-00004C350000}"/>
    <cellStyle name="40% - Accent1 2 2 2 2 2 3 2 4" xfId="17934" xr:uid="{00000000-0005-0000-0000-00004D350000}"/>
    <cellStyle name="40% - Accent1 2 2 2 2 2 3 3" xfId="23995" xr:uid="{00000000-0005-0000-0000-00004E350000}"/>
    <cellStyle name="40% - Accent1 2 2 2 2 2 3 3 2" xfId="25123" xr:uid="{00000000-0005-0000-0000-00004F350000}"/>
    <cellStyle name="40% - Accent1 2 2 2 2 2 3 3 2 2" xfId="31453" xr:uid="{00000000-0005-0000-0000-000050350000}"/>
    <cellStyle name="40% - Accent1 2 2 2 2 2 3 3 3" xfId="25116" xr:uid="{00000000-0005-0000-0000-000051350000}"/>
    <cellStyle name="40% - Accent1 2 2 2 2 2 3 4" xfId="23992" xr:uid="{00000000-0005-0000-0000-000052350000}"/>
    <cellStyle name="40% - Accent1 2 2 2 2 2 3 4 2" xfId="26615" xr:uid="{00000000-0005-0000-0000-000053350000}"/>
    <cellStyle name="40% - Accent1 2 2 2 2 2 3 5" xfId="17933" xr:uid="{00000000-0005-0000-0000-000054350000}"/>
    <cellStyle name="40% - Accent1 2 2 2 2 2 4" xfId="20352" xr:uid="{00000000-0005-0000-0000-000055350000}"/>
    <cellStyle name="40% - Accent1 2 2 2 2 2 4 2" xfId="17932" xr:uid="{00000000-0005-0000-0000-000056350000}"/>
    <cellStyle name="40% - Accent1 2 2 2 2 2 4 2 2" xfId="24848" xr:uid="{00000000-0005-0000-0000-000057350000}"/>
    <cellStyle name="40% - Accent1 2 2 2 2 2 4 2 2 2" xfId="17929" xr:uid="{00000000-0005-0000-0000-000058350000}"/>
    <cellStyle name="40% - Accent1 2 2 2 2 2 4 2 3" xfId="17924" xr:uid="{00000000-0005-0000-0000-000059350000}"/>
    <cellStyle name="40% - Accent1 2 2 2 2 2 4 3" xfId="14464" xr:uid="{00000000-0005-0000-0000-00005A350000}"/>
    <cellStyle name="40% - Accent1 2 2 2 2 2 4 3 2" xfId="25114" xr:uid="{00000000-0005-0000-0000-00005B350000}"/>
    <cellStyle name="40% - Accent1 2 2 2 2 2 4 4" xfId="17923" xr:uid="{00000000-0005-0000-0000-00005C350000}"/>
    <cellStyle name="40% - Accent1 2 2 2 2 2 5" xfId="20348" xr:uid="{00000000-0005-0000-0000-00005D350000}"/>
    <cellStyle name="40% - Accent1 2 2 2 2 2 5 2" xfId="17919" xr:uid="{00000000-0005-0000-0000-00005E350000}"/>
    <cellStyle name="40% - Accent1 2 2 2 2 2 5 2 2" xfId="33067" xr:uid="{00000000-0005-0000-0000-00005F350000}"/>
    <cellStyle name="40% - Accent1 2 2 2 2 2 5 3" xfId="17916" xr:uid="{00000000-0005-0000-0000-000060350000}"/>
    <cellStyle name="40% - Accent1 2 2 2 2 2 6" xfId="17914" xr:uid="{00000000-0005-0000-0000-000061350000}"/>
    <cellStyle name="40% - Accent1 2 2 2 2 2 6 2" xfId="17911" xr:uid="{00000000-0005-0000-0000-000062350000}"/>
    <cellStyle name="40% - Accent1 2 2 2 2 2 7" xfId="17907" xr:uid="{00000000-0005-0000-0000-000063350000}"/>
    <cellStyle name="40% - Accent1 2 2 2 2 3" xfId="32117" xr:uid="{00000000-0005-0000-0000-000064350000}"/>
    <cellStyle name="40% - Accent1 2 2 2 2 3 2" xfId="17906" xr:uid="{00000000-0005-0000-0000-000065350000}"/>
    <cellStyle name="40% - Accent1 2 2 2 2 3 2 2" xfId="17904" xr:uid="{00000000-0005-0000-0000-000066350000}"/>
    <cellStyle name="40% - Accent1 2 2 2 2 3 2 2 2" xfId="17903" xr:uid="{00000000-0005-0000-0000-000067350000}"/>
    <cellStyle name="40% - Accent1 2 2 2 2 3 2 2 2 2" xfId="18797" xr:uid="{00000000-0005-0000-0000-000068350000}"/>
    <cellStyle name="40% - Accent1 2 2 2 2 3 2 2 2 2 2" xfId="14106" xr:uid="{00000000-0005-0000-0000-000069350000}"/>
    <cellStyle name="40% - Accent1 2 2 2 2 3 2 2 2 3" xfId="17900" xr:uid="{00000000-0005-0000-0000-00006A350000}"/>
    <cellStyle name="40% - Accent1 2 2 2 2 3 2 2 3" xfId="30285" xr:uid="{00000000-0005-0000-0000-00006B350000}"/>
    <cellStyle name="40% - Accent1 2 2 2 2 3 2 2 3 2" xfId="13067" xr:uid="{00000000-0005-0000-0000-00006C350000}"/>
    <cellStyle name="40% - Accent1 2 2 2 2 3 2 2 4" xfId="17898" xr:uid="{00000000-0005-0000-0000-00006D350000}"/>
    <cellStyle name="40% - Accent1 2 2 2 2 3 2 3" xfId="28839" xr:uid="{00000000-0005-0000-0000-00006E350000}"/>
    <cellStyle name="40% - Accent1 2 2 2 2 3 2 3 2" xfId="32403" xr:uid="{00000000-0005-0000-0000-00006F350000}"/>
    <cellStyle name="40% - Accent1 2 2 2 2 3 2 3 2 2" xfId="17897" xr:uid="{00000000-0005-0000-0000-000070350000}"/>
    <cellStyle name="40% - Accent1 2 2 2 2 3 2 3 3" xfId="33035" xr:uid="{00000000-0005-0000-0000-000071350000}"/>
    <cellStyle name="40% - Accent1 2 2 2 2 3 2 4" xfId="18517" xr:uid="{00000000-0005-0000-0000-000072350000}"/>
    <cellStyle name="40% - Accent1 2 2 2 2 3 2 4 2" xfId="34011" xr:uid="{00000000-0005-0000-0000-000073350000}"/>
    <cellStyle name="40% - Accent1 2 2 2 2 3 2 5" xfId="26035" xr:uid="{00000000-0005-0000-0000-000074350000}"/>
    <cellStyle name="40% - Accent1 2 2 2 2 3 3" xfId="17896" xr:uid="{00000000-0005-0000-0000-000075350000}"/>
    <cellStyle name="40% - Accent1 2 2 2 2 3 3 2" xfId="17894" xr:uid="{00000000-0005-0000-0000-000076350000}"/>
    <cellStyle name="40% - Accent1 2 2 2 2 3 3 2 2" xfId="17893" xr:uid="{00000000-0005-0000-0000-000077350000}"/>
    <cellStyle name="40% - Accent1 2 2 2 2 3 3 2 2 2" xfId="22204" xr:uid="{00000000-0005-0000-0000-000078350000}"/>
    <cellStyle name="40% - Accent1 2 2 2 2 3 3 2 3" xfId="17891" xr:uid="{00000000-0005-0000-0000-000079350000}"/>
    <cellStyle name="40% - Accent1 2 2 2 2 3 3 3" xfId="33073" xr:uid="{00000000-0005-0000-0000-00007A350000}"/>
    <cellStyle name="40% - Accent1 2 2 2 2 3 3 3 2" xfId="34275" xr:uid="{00000000-0005-0000-0000-00007B350000}"/>
    <cellStyle name="40% - Accent1 2 2 2 2 3 3 4" xfId="14393" xr:uid="{00000000-0005-0000-0000-00007C350000}"/>
    <cellStyle name="40% - Accent1 2 2 2 2 3 4" xfId="20341" xr:uid="{00000000-0005-0000-0000-00007D350000}"/>
    <cellStyle name="40% - Accent1 2 2 2 2 3 4 2" xfId="14457" xr:uid="{00000000-0005-0000-0000-00007E350000}"/>
    <cellStyle name="40% - Accent1 2 2 2 2 3 4 2 2" xfId="17890" xr:uid="{00000000-0005-0000-0000-00007F350000}"/>
    <cellStyle name="40% - Accent1 2 2 2 2 3 4 3" xfId="30849" xr:uid="{00000000-0005-0000-0000-000080350000}"/>
    <cellStyle name="40% - Accent1 2 2 2 2 3 5" xfId="18832" xr:uid="{00000000-0005-0000-0000-000081350000}"/>
    <cellStyle name="40% - Accent1 2 2 2 2 3 5 2" xfId="17889" xr:uid="{00000000-0005-0000-0000-000082350000}"/>
    <cellStyle name="40% - Accent1 2 2 2 2 3 6" xfId="17885" xr:uid="{00000000-0005-0000-0000-000083350000}"/>
    <cellStyle name="40% - Accent1 2 2 2 2 4" xfId="27523" xr:uid="{00000000-0005-0000-0000-000084350000}"/>
    <cellStyle name="40% - Accent1 2 2 2 2 4 2" xfId="17884" xr:uid="{00000000-0005-0000-0000-000085350000}"/>
    <cellStyle name="40% - Accent1 2 2 2 2 4 2 2" xfId="17879" xr:uid="{00000000-0005-0000-0000-000086350000}"/>
    <cellStyle name="40% - Accent1 2 2 2 2 4 2 2 2" xfId="31369" xr:uid="{00000000-0005-0000-0000-000087350000}"/>
    <cellStyle name="40% - Accent1 2 2 2 2 4 2 2 2 2" xfId="17878" xr:uid="{00000000-0005-0000-0000-000088350000}"/>
    <cellStyle name="40% - Accent1 2 2 2 2 4 2 2 3" xfId="30971" xr:uid="{00000000-0005-0000-0000-000089350000}"/>
    <cellStyle name="40% - Accent1 2 2 2 2 4 2 3" xfId="26008" xr:uid="{00000000-0005-0000-0000-00008A350000}"/>
    <cellStyle name="40% - Accent1 2 2 2 2 4 2 3 2" xfId="31342" xr:uid="{00000000-0005-0000-0000-00008B350000}"/>
    <cellStyle name="40% - Accent1 2 2 2 2 4 2 4" xfId="26003" xr:uid="{00000000-0005-0000-0000-00008C350000}"/>
    <cellStyle name="40% - Accent1 2 2 2 2 4 3" xfId="17874" xr:uid="{00000000-0005-0000-0000-00008D350000}"/>
    <cellStyle name="40% - Accent1 2 2 2 2 4 3 2" xfId="17872" xr:uid="{00000000-0005-0000-0000-00008E350000}"/>
    <cellStyle name="40% - Accent1 2 2 2 2 4 3 2 2" xfId="31196" xr:uid="{00000000-0005-0000-0000-00008F350000}"/>
    <cellStyle name="40% - Accent1 2 2 2 2 4 3 3" xfId="28514" xr:uid="{00000000-0005-0000-0000-000090350000}"/>
    <cellStyle name="40% - Accent1 2 2 2 2 4 4" xfId="18826" xr:uid="{00000000-0005-0000-0000-000091350000}"/>
    <cellStyle name="40% - Accent1 2 2 2 2 4 4 2" xfId="17871" xr:uid="{00000000-0005-0000-0000-000092350000}"/>
    <cellStyle name="40% - Accent1 2 2 2 2 4 5" xfId="17870" xr:uid="{00000000-0005-0000-0000-000093350000}"/>
    <cellStyle name="40% - Accent1 2 2 2 2 5" xfId="27515" xr:uid="{00000000-0005-0000-0000-000094350000}"/>
    <cellStyle name="40% - Accent1 2 2 2 2 5 2" xfId="17867" xr:uid="{00000000-0005-0000-0000-000095350000}"/>
    <cellStyle name="40% - Accent1 2 2 2 2 5 2 2" xfId="31781" xr:uid="{00000000-0005-0000-0000-000096350000}"/>
    <cellStyle name="40% - Accent1 2 2 2 2 5 2 2 2" xfId="30670" xr:uid="{00000000-0005-0000-0000-000097350000}"/>
    <cellStyle name="40% - Accent1 2 2 2 2 5 2 3" xfId="25976" xr:uid="{00000000-0005-0000-0000-000098350000}"/>
    <cellStyle name="40% - Accent1 2 2 2 2 5 3" xfId="26241" xr:uid="{00000000-0005-0000-0000-000099350000}"/>
    <cellStyle name="40% - Accent1 2 2 2 2 5 3 2" xfId="23594" xr:uid="{00000000-0005-0000-0000-00009A350000}"/>
    <cellStyle name="40% - Accent1 2 2 2 2 5 4" xfId="26234" xr:uid="{00000000-0005-0000-0000-00009B350000}"/>
    <cellStyle name="40% - Accent1 2 2 2 2 6" xfId="17865" xr:uid="{00000000-0005-0000-0000-00009C350000}"/>
    <cellStyle name="40% - Accent1 2 2 2 2 6 2" xfId="17864" xr:uid="{00000000-0005-0000-0000-00009D350000}"/>
    <cellStyle name="40% - Accent1 2 2 2 2 6 2 2" xfId="20237" xr:uid="{00000000-0005-0000-0000-00009E350000}"/>
    <cellStyle name="40% - Accent1 2 2 2 2 6 3" xfId="26227" xr:uid="{00000000-0005-0000-0000-00009F350000}"/>
    <cellStyle name="40% - Accent1 2 2 2 2 7" xfId="17861" xr:uid="{00000000-0005-0000-0000-0000A0350000}"/>
    <cellStyle name="40% - Accent1 2 2 2 2 7 2" xfId="23572" xr:uid="{00000000-0005-0000-0000-0000A1350000}"/>
    <cellStyle name="40% - Accent1 2 2 2 2 8" xfId="20815" xr:uid="{00000000-0005-0000-0000-0000A2350000}"/>
    <cellStyle name="40% - Accent1 2 2 2 3" xfId="31242" xr:uid="{00000000-0005-0000-0000-0000A3350000}"/>
    <cellStyle name="40% - Accent1 2 2 2 3 2" xfId="32729" xr:uid="{00000000-0005-0000-0000-0000A4350000}"/>
    <cellStyle name="40% - Accent1 2 2 2 3 2 2" xfId="31389" xr:uid="{00000000-0005-0000-0000-0000A5350000}"/>
    <cellStyle name="40% - Accent1 2 2 2 3 2 2 2" xfId="10168" xr:uid="{00000000-0005-0000-0000-0000A6350000}"/>
    <cellStyle name="40% - Accent1 2 2 2 3 2 2 2 2" xfId="17854" xr:uid="{00000000-0005-0000-0000-0000A7350000}"/>
    <cellStyle name="40% - Accent1 2 2 2 3 2 2 2 2 2" xfId="19045" xr:uid="{00000000-0005-0000-0000-0000A8350000}"/>
    <cellStyle name="40% - Accent1 2 2 2 3 2 2 2 2 2 2" xfId="17851" xr:uid="{00000000-0005-0000-0000-0000A9350000}"/>
    <cellStyle name="40% - Accent1 2 2 2 3 2 2 2 2 3" xfId="17847" xr:uid="{00000000-0005-0000-0000-0000AA350000}"/>
    <cellStyle name="40% - Accent1 2 2 2 3 2 2 2 3" xfId="30132" xr:uid="{00000000-0005-0000-0000-0000AB350000}"/>
    <cellStyle name="40% - Accent1 2 2 2 3 2 2 2 3 2" xfId="17845" xr:uid="{00000000-0005-0000-0000-0000AC350000}"/>
    <cellStyle name="40% - Accent1 2 2 2 3 2 2 2 4" xfId="17844" xr:uid="{00000000-0005-0000-0000-0000AD350000}"/>
    <cellStyle name="40% - Accent1 2 2 2 3 2 2 3" xfId="17837" xr:uid="{00000000-0005-0000-0000-0000AE350000}"/>
    <cellStyle name="40% - Accent1 2 2 2 3 2 2 3 2" xfId="22397" xr:uid="{00000000-0005-0000-0000-0000AF350000}"/>
    <cellStyle name="40% - Accent1 2 2 2 3 2 2 3 2 2" xfId="34234" xr:uid="{00000000-0005-0000-0000-0000B0350000}"/>
    <cellStyle name="40% - Accent1 2 2 2 3 2 2 3 3" xfId="33818" xr:uid="{00000000-0005-0000-0000-0000B1350000}"/>
    <cellStyle name="40% - Accent1 2 2 2 3 2 2 4" xfId="17834" xr:uid="{00000000-0005-0000-0000-0000B2350000}"/>
    <cellStyle name="40% - Accent1 2 2 2 3 2 2 4 2" xfId="22384" xr:uid="{00000000-0005-0000-0000-0000B3350000}"/>
    <cellStyle name="40% - Accent1 2 2 2 3 2 2 5" xfId="12423" xr:uid="{00000000-0005-0000-0000-0000B4350000}"/>
    <cellStyle name="40% - Accent1 2 2 2 3 2 3" xfId="18622" xr:uid="{00000000-0005-0000-0000-0000B5350000}"/>
    <cellStyle name="40% - Accent1 2 2 2 3 2 3 2" xfId="10149" xr:uid="{00000000-0005-0000-0000-0000B6350000}"/>
    <cellStyle name="40% - Accent1 2 2 2 3 2 3 2 2" xfId="19974" xr:uid="{00000000-0005-0000-0000-0000B7350000}"/>
    <cellStyle name="40% - Accent1 2 2 2 3 2 3 2 2 2" xfId="17830" xr:uid="{00000000-0005-0000-0000-0000B8350000}"/>
    <cellStyle name="40% - Accent1 2 2 2 3 2 3 2 3" xfId="19953" xr:uid="{00000000-0005-0000-0000-0000B9350000}"/>
    <cellStyle name="40% - Accent1 2 2 2 3 2 3 3" xfId="31171" xr:uid="{00000000-0005-0000-0000-0000BA350000}"/>
    <cellStyle name="40% - Accent1 2 2 2 3 2 3 3 2" xfId="22349" xr:uid="{00000000-0005-0000-0000-0000BB350000}"/>
    <cellStyle name="40% - Accent1 2 2 2 3 2 3 4" xfId="31168" xr:uid="{00000000-0005-0000-0000-0000BC350000}"/>
    <cellStyle name="40% - Accent1 2 2 2 3 2 4" xfId="18620" xr:uid="{00000000-0005-0000-0000-0000BD350000}"/>
    <cellStyle name="40% - Accent1 2 2 2 3 2 4 2" xfId="10137" xr:uid="{00000000-0005-0000-0000-0000BE350000}"/>
    <cellStyle name="40% - Accent1 2 2 2 3 2 4 2 2" xfId="19828" xr:uid="{00000000-0005-0000-0000-0000BF350000}"/>
    <cellStyle name="40% - Accent1 2 2 2 3 2 4 3" xfId="31163" xr:uid="{00000000-0005-0000-0000-0000C0350000}"/>
    <cellStyle name="40% - Accent1 2 2 2 3 2 5" xfId="22939" xr:uid="{00000000-0005-0000-0000-0000C1350000}"/>
    <cellStyle name="40% - Accent1 2 2 2 3 2 5 2" xfId="30385" xr:uid="{00000000-0005-0000-0000-0000C2350000}"/>
    <cellStyle name="40% - Accent1 2 2 2 3 2 6" xfId="33859" xr:uid="{00000000-0005-0000-0000-0000C3350000}"/>
    <cellStyle name="40% - Accent1 2 2 2 3 3" xfId="27897" xr:uid="{00000000-0005-0000-0000-0000C4350000}"/>
    <cellStyle name="40% - Accent1 2 2 2 3 3 2" xfId="28952" xr:uid="{00000000-0005-0000-0000-0000C5350000}"/>
    <cellStyle name="40% - Accent1 2 2 2 3 3 2 2" xfId="10118" xr:uid="{00000000-0005-0000-0000-0000C6350000}"/>
    <cellStyle name="40% - Accent1 2 2 2 3 3 2 2 2" xfId="17829" xr:uid="{00000000-0005-0000-0000-0000C7350000}"/>
    <cellStyle name="40% - Accent1 2 2 2 3 3 2 2 2 2" xfId="17827" xr:uid="{00000000-0005-0000-0000-0000C8350000}"/>
    <cellStyle name="40% - Accent1 2 2 2 3 3 2 2 3" xfId="17826" xr:uid="{00000000-0005-0000-0000-0000C9350000}"/>
    <cellStyle name="40% - Accent1 2 2 2 3 3 2 3" xfId="25897" xr:uid="{00000000-0005-0000-0000-0000CA350000}"/>
    <cellStyle name="40% - Accent1 2 2 2 3 3 2 3 2" xfId="22266" xr:uid="{00000000-0005-0000-0000-0000CB350000}"/>
    <cellStyle name="40% - Accent1 2 2 2 3 3 2 4" xfId="25885" xr:uid="{00000000-0005-0000-0000-0000CC350000}"/>
    <cellStyle name="40% - Accent1 2 2 2 3 3 3" xfId="18618" xr:uid="{00000000-0005-0000-0000-0000CD350000}"/>
    <cellStyle name="40% - Accent1 2 2 2 3 3 3 2" xfId="15135" xr:uid="{00000000-0005-0000-0000-0000CE350000}"/>
    <cellStyle name="40% - Accent1 2 2 2 3 3 3 2 2" xfId="19641" xr:uid="{00000000-0005-0000-0000-0000CF350000}"/>
    <cellStyle name="40% - Accent1 2 2 2 3 3 3 3" xfId="31858" xr:uid="{00000000-0005-0000-0000-0000D0350000}"/>
    <cellStyle name="40% - Accent1 2 2 2 3 3 4" xfId="22936" xr:uid="{00000000-0005-0000-0000-0000D1350000}"/>
    <cellStyle name="40% - Accent1 2 2 2 3 3 4 2" xfId="31842" xr:uid="{00000000-0005-0000-0000-0000D2350000}"/>
    <cellStyle name="40% - Accent1 2 2 2 3 3 5" xfId="33688" xr:uid="{00000000-0005-0000-0000-0000D3350000}"/>
    <cellStyle name="40% - Accent1 2 2 2 3 4" xfId="30924" xr:uid="{00000000-0005-0000-0000-0000D4350000}"/>
    <cellStyle name="40% - Accent1 2 2 2 3 4 2" xfId="29562" xr:uid="{00000000-0005-0000-0000-0000D5350000}"/>
    <cellStyle name="40% - Accent1 2 2 2 3 4 2 2" xfId="10096" xr:uid="{00000000-0005-0000-0000-0000D6350000}"/>
    <cellStyle name="40% - Accent1 2 2 2 3 4 2 2 2" xfId="30583" xr:uid="{00000000-0005-0000-0000-0000D7350000}"/>
    <cellStyle name="40% - Accent1 2 2 2 3 4 2 3" xfId="25873" xr:uid="{00000000-0005-0000-0000-0000D8350000}"/>
    <cellStyle name="40% - Accent1 2 2 2 3 4 3" xfId="30899" xr:uid="{00000000-0005-0000-0000-0000D9350000}"/>
    <cellStyle name="40% - Accent1 2 2 2 3 4 3 2" xfId="32228" xr:uid="{00000000-0005-0000-0000-0000DA350000}"/>
    <cellStyle name="40% - Accent1 2 2 2 3 4 4" xfId="32938" xr:uid="{00000000-0005-0000-0000-0000DB350000}"/>
    <cellStyle name="40% - Accent1 2 2 2 3 5" xfId="30316" xr:uid="{00000000-0005-0000-0000-0000DC350000}"/>
    <cellStyle name="40% - Accent1 2 2 2 3 5 2" xfId="31817" xr:uid="{00000000-0005-0000-0000-0000DD350000}"/>
    <cellStyle name="40% - Accent1 2 2 2 3 5 2 2" xfId="23427" xr:uid="{00000000-0005-0000-0000-0000DE350000}"/>
    <cellStyle name="40% - Accent1 2 2 2 3 5 3" xfId="33451" xr:uid="{00000000-0005-0000-0000-0000DF350000}"/>
    <cellStyle name="40% - Accent1 2 2 2 3 6" xfId="17822" xr:uid="{00000000-0005-0000-0000-0000E0350000}"/>
    <cellStyle name="40% - Accent1 2 2 2 3 6 2" xfId="28924" xr:uid="{00000000-0005-0000-0000-0000E1350000}"/>
    <cellStyle name="40% - Accent1 2 2 2 3 7" xfId="17819" xr:uid="{00000000-0005-0000-0000-0000E2350000}"/>
    <cellStyle name="40% - Accent1 2 2 2 4" xfId="23857" xr:uid="{00000000-0005-0000-0000-0000E3350000}"/>
    <cellStyle name="40% - Accent1 2 2 2 4 2" xfId="27699" xr:uid="{00000000-0005-0000-0000-0000E4350000}"/>
    <cellStyle name="40% - Accent1 2 2 2 4 2 2" xfId="22387" xr:uid="{00000000-0005-0000-0000-0000E5350000}"/>
    <cellStyle name="40% - Accent1 2 2 2 4 2 2 2" xfId="10029" xr:uid="{00000000-0005-0000-0000-0000E6350000}"/>
    <cellStyle name="40% - Accent1 2 2 2 4 2 2 2 2" xfId="17818" xr:uid="{00000000-0005-0000-0000-0000E7350000}"/>
    <cellStyle name="40% - Accent1 2 2 2 4 2 2 2 2 2" xfId="17815" xr:uid="{00000000-0005-0000-0000-0000E8350000}"/>
    <cellStyle name="40% - Accent1 2 2 2 4 2 2 2 3" xfId="17814" xr:uid="{00000000-0005-0000-0000-0000E9350000}"/>
    <cellStyle name="40% - Accent1 2 2 2 4 2 2 3" xfId="26916" xr:uid="{00000000-0005-0000-0000-0000EA350000}"/>
    <cellStyle name="40% - Accent1 2 2 2 4 2 2 3 2" xfId="20204" xr:uid="{00000000-0005-0000-0000-0000EB350000}"/>
    <cellStyle name="40% - Accent1 2 2 2 4 2 2 4" xfId="28380" xr:uid="{00000000-0005-0000-0000-0000EC350000}"/>
    <cellStyle name="40% - Accent1 2 2 2 4 2 3" xfId="14090" xr:uid="{00000000-0005-0000-0000-0000ED350000}"/>
    <cellStyle name="40% - Accent1 2 2 2 4 2 3 2" xfId="10017" xr:uid="{00000000-0005-0000-0000-0000EE350000}"/>
    <cellStyle name="40% - Accent1 2 2 2 4 2 3 2 2" xfId="19378" xr:uid="{00000000-0005-0000-0000-0000EF350000}"/>
    <cellStyle name="40% - Accent1 2 2 2 4 2 3 3" xfId="23488" xr:uid="{00000000-0005-0000-0000-0000F0350000}"/>
    <cellStyle name="40% - Accent1 2 2 2 4 2 4" xfId="27945" xr:uid="{00000000-0005-0000-0000-0000F1350000}"/>
    <cellStyle name="40% - Accent1 2 2 2 4 2 4 2" xfId="27791" xr:uid="{00000000-0005-0000-0000-0000F2350000}"/>
    <cellStyle name="40% - Accent1 2 2 2 4 2 5" xfId="25967" xr:uid="{00000000-0005-0000-0000-0000F3350000}"/>
    <cellStyle name="40% - Accent1 2 2 2 4 3" xfId="27695" xr:uid="{00000000-0005-0000-0000-0000F4350000}"/>
    <cellStyle name="40% - Accent1 2 2 2 4 3 2" xfId="22334" xr:uid="{00000000-0005-0000-0000-0000F5350000}"/>
    <cellStyle name="40% - Accent1 2 2 2 4 3 2 2" xfId="9997" xr:uid="{00000000-0005-0000-0000-0000F6350000}"/>
    <cellStyle name="40% - Accent1 2 2 2 4 3 2 2 2" xfId="17810" xr:uid="{00000000-0005-0000-0000-0000F7350000}"/>
    <cellStyle name="40% - Accent1 2 2 2 4 3 2 3" xfId="28296" xr:uid="{00000000-0005-0000-0000-0000F8350000}"/>
    <cellStyle name="40% - Accent1 2 2 2 4 3 3" xfId="27842" xr:uid="{00000000-0005-0000-0000-0000F9350000}"/>
    <cellStyle name="40% - Accent1 2 2 2 4 3 3 2" xfId="27749" xr:uid="{00000000-0005-0000-0000-0000FA350000}"/>
    <cellStyle name="40% - Accent1 2 2 2 4 3 4" xfId="27825" xr:uid="{00000000-0005-0000-0000-0000FB350000}"/>
    <cellStyle name="40% - Accent1 2 2 2 4 4" xfId="30304" xr:uid="{00000000-0005-0000-0000-0000FC350000}"/>
    <cellStyle name="40% - Accent1 2 2 2 4 4 2" xfId="27777" xr:uid="{00000000-0005-0000-0000-0000FD350000}"/>
    <cellStyle name="40% - Accent1 2 2 2 4 4 2 2" xfId="28273" xr:uid="{00000000-0005-0000-0000-0000FE350000}"/>
    <cellStyle name="40% - Accent1 2 2 2 4 4 3" xfId="28347" xr:uid="{00000000-0005-0000-0000-0000FF350000}"/>
    <cellStyle name="40% - Accent1 2 2 2 4 5" xfId="27483" xr:uid="{00000000-0005-0000-0000-000000360000}"/>
    <cellStyle name="40% - Accent1 2 2 2 4 5 2" xfId="27728" xr:uid="{00000000-0005-0000-0000-000001360000}"/>
    <cellStyle name="40% - Accent1 2 2 2 4 6" xfId="33775" xr:uid="{00000000-0005-0000-0000-000002360000}"/>
    <cellStyle name="40% - Accent1 2 2 2 5" xfId="23853" xr:uid="{00000000-0005-0000-0000-000003360000}"/>
    <cellStyle name="40% - Accent1 2 2 2 5 2" xfId="6172" xr:uid="{00000000-0005-0000-0000-000004360000}"/>
    <cellStyle name="40% - Accent1 2 2 2 5 2 2" xfId="17001" xr:uid="{00000000-0005-0000-0000-000005360000}"/>
    <cellStyle name="40% - Accent1 2 2 2 5 2 2 2" xfId="9956" xr:uid="{00000000-0005-0000-0000-000006360000}"/>
    <cellStyle name="40% - Accent1 2 2 2 5 2 2 2 2" xfId="33342" xr:uid="{00000000-0005-0000-0000-000007360000}"/>
    <cellStyle name="40% - Accent1 2 2 2 5 2 2 3" xfId="28225" xr:uid="{00000000-0005-0000-0000-000008360000}"/>
    <cellStyle name="40% - Accent1 2 2 2 5 2 3" xfId="16997" xr:uid="{00000000-0005-0000-0000-000009360000}"/>
    <cellStyle name="40% - Accent1 2 2 2 5 2 3 2" xfId="27325" xr:uid="{00000000-0005-0000-0000-00000A360000}"/>
    <cellStyle name="40% - Accent1 2 2 2 5 2 4" xfId="27385" xr:uid="{00000000-0005-0000-0000-00000B360000}"/>
    <cellStyle name="40% - Accent1 2 2 2 5 3" xfId="6170" xr:uid="{00000000-0005-0000-0000-00000C360000}"/>
    <cellStyle name="40% - Accent1 2 2 2 5 3 2" xfId="16984" xr:uid="{00000000-0005-0000-0000-00000D360000}"/>
    <cellStyle name="40% - Accent1 2 2 2 5 3 2 2" xfId="22437" xr:uid="{00000000-0005-0000-0000-00000E360000}"/>
    <cellStyle name="40% - Accent1 2 2 2 5 3 3" xfId="26253" xr:uid="{00000000-0005-0000-0000-00000F360000}"/>
    <cellStyle name="40% - Accent1 2 2 2 5 4" xfId="6168" xr:uid="{00000000-0005-0000-0000-000010360000}"/>
    <cellStyle name="40% - Accent1 2 2 2 5 4 2" xfId="28203" xr:uid="{00000000-0005-0000-0000-000011360000}"/>
    <cellStyle name="40% - Accent1 2 2 2 5 5" xfId="17804" xr:uid="{00000000-0005-0000-0000-000012360000}"/>
    <cellStyle name="40% - Accent1 2 2 2 6" xfId="17803" xr:uid="{00000000-0005-0000-0000-000013360000}"/>
    <cellStyle name="40% - Accent1 2 2 2 6 2" xfId="17798" xr:uid="{00000000-0005-0000-0000-000014360000}"/>
    <cellStyle name="40% - Accent1 2 2 2 6 2 2" xfId="17862" xr:uid="{00000000-0005-0000-0000-000015360000}"/>
    <cellStyle name="40% - Accent1 2 2 2 6 2 2 2" xfId="20919" xr:uid="{00000000-0005-0000-0000-000016360000}"/>
    <cellStyle name="40% - Accent1 2 2 2 6 2 3" xfId="22475" xr:uid="{00000000-0005-0000-0000-000017360000}"/>
    <cellStyle name="40% - Accent1 2 2 2 6 3" xfId="17859" xr:uid="{00000000-0005-0000-0000-000018360000}"/>
    <cellStyle name="40% - Accent1 2 2 2 6 3 2" xfId="22358" xr:uid="{00000000-0005-0000-0000-000019360000}"/>
    <cellStyle name="40% - Accent1 2 2 2 6 4" xfId="23275" xr:uid="{00000000-0005-0000-0000-00001A360000}"/>
    <cellStyle name="40% - Accent1 2 2 2 7" xfId="17795" xr:uid="{00000000-0005-0000-0000-00001B360000}"/>
    <cellStyle name="40% - Accent1 2 2 2 7 2" xfId="17790" xr:uid="{00000000-0005-0000-0000-00001C360000}"/>
    <cellStyle name="40% - Accent1 2 2 2 7 2 2" xfId="20273" xr:uid="{00000000-0005-0000-0000-00001D360000}"/>
    <cellStyle name="40% - Accent1 2 2 2 7 3" xfId="23269" xr:uid="{00000000-0005-0000-0000-00001E360000}"/>
    <cellStyle name="40% - Accent1 2 2 2 8" xfId="17787" xr:uid="{00000000-0005-0000-0000-00001F360000}"/>
    <cellStyle name="40% - Accent1 2 2 2 8 2" xfId="23266" xr:uid="{00000000-0005-0000-0000-000020360000}"/>
    <cellStyle name="40% - Accent1 2 2 2 9" xfId="23494" xr:uid="{00000000-0005-0000-0000-000021360000}"/>
    <cellStyle name="40% - Accent1 2 2 3" xfId="21294" xr:uid="{00000000-0005-0000-0000-000022360000}"/>
    <cellStyle name="40% - Accent1 2 2 3 2" xfId="20647" xr:uid="{00000000-0005-0000-0000-000023360000}"/>
    <cellStyle name="40% - Accent1 2 2 3 2 2" xfId="32725" xr:uid="{00000000-0005-0000-0000-000024360000}"/>
    <cellStyle name="40% - Accent1 2 2 3 2 2 2" xfId="17781" xr:uid="{00000000-0005-0000-0000-000025360000}"/>
    <cellStyle name="40% - Accent1 2 2 3 2 2 2 2" xfId="17778" xr:uid="{00000000-0005-0000-0000-000026360000}"/>
    <cellStyle name="40% - Accent1 2 2 3 2 2 2 2 2" xfId="17776" xr:uid="{00000000-0005-0000-0000-000027360000}"/>
    <cellStyle name="40% - Accent1 2 2 3 2 2 2 2 2 2" xfId="18420" xr:uid="{00000000-0005-0000-0000-000028360000}"/>
    <cellStyle name="40% - Accent1 2 2 3 2 2 2 2 2 2 2" xfId="17771" xr:uid="{00000000-0005-0000-0000-000029360000}"/>
    <cellStyle name="40% - Accent1 2 2 3 2 2 2 2 2 3" xfId="17770" xr:uid="{00000000-0005-0000-0000-00002A360000}"/>
    <cellStyle name="40% - Accent1 2 2 3 2 2 2 2 3" xfId="25129" xr:uid="{00000000-0005-0000-0000-00002B360000}"/>
    <cellStyle name="40% - Accent1 2 2 3 2 2 2 2 3 2" xfId="17768" xr:uid="{00000000-0005-0000-0000-00002C360000}"/>
    <cellStyle name="40% - Accent1 2 2 3 2 2 2 2 4" xfId="25120" xr:uid="{00000000-0005-0000-0000-00002D360000}"/>
    <cellStyle name="40% - Accent1 2 2 3 2 2 2 3" xfId="17767" xr:uid="{00000000-0005-0000-0000-00002E360000}"/>
    <cellStyle name="40% - Accent1 2 2 3 2 2 2 3 2" xfId="31249" xr:uid="{00000000-0005-0000-0000-00002F360000}"/>
    <cellStyle name="40% - Accent1 2 2 3 2 2 2 3 2 2" xfId="17766" xr:uid="{00000000-0005-0000-0000-000030360000}"/>
    <cellStyle name="40% - Accent1 2 2 3 2 2 2 3 3" xfId="26618" xr:uid="{00000000-0005-0000-0000-000031360000}"/>
    <cellStyle name="40% - Accent1 2 2 3 2 2 2 4" xfId="17764" xr:uid="{00000000-0005-0000-0000-000032360000}"/>
    <cellStyle name="40% - Accent1 2 2 3 2 2 2 4 2" xfId="31500" xr:uid="{00000000-0005-0000-0000-000033360000}"/>
    <cellStyle name="40% - Accent1 2 2 3 2 2 2 5" xfId="17763" xr:uid="{00000000-0005-0000-0000-000034360000}"/>
    <cellStyle name="40% - Accent1 2 2 3 2 2 3" xfId="17762" xr:uid="{00000000-0005-0000-0000-000035360000}"/>
    <cellStyle name="40% - Accent1 2 2 3 2 2 3 2" xfId="17761" xr:uid="{00000000-0005-0000-0000-000036360000}"/>
    <cellStyle name="40% - Accent1 2 2 3 2 2 3 2 2" xfId="17760" xr:uid="{00000000-0005-0000-0000-000037360000}"/>
    <cellStyle name="40% - Accent1 2 2 3 2 2 3 2 2 2" xfId="17756" xr:uid="{00000000-0005-0000-0000-000038360000}"/>
    <cellStyle name="40% - Accent1 2 2 3 2 2 3 2 3" xfId="17755" xr:uid="{00000000-0005-0000-0000-000039360000}"/>
    <cellStyle name="40% - Accent1 2 2 3 2 2 3 3" xfId="23890" xr:uid="{00000000-0005-0000-0000-00003A360000}"/>
    <cellStyle name="40% - Accent1 2 2 3 2 2 3 3 2" xfId="28396" xr:uid="{00000000-0005-0000-0000-00003B360000}"/>
    <cellStyle name="40% - Accent1 2 2 3 2 2 3 4" xfId="17752" xr:uid="{00000000-0005-0000-0000-00003C360000}"/>
    <cellStyle name="40% - Accent1 2 2 3 2 2 4" xfId="22638" xr:uid="{00000000-0005-0000-0000-00003D360000}"/>
    <cellStyle name="40% - Accent1 2 2 3 2 2 4 2" xfId="16712" xr:uid="{00000000-0005-0000-0000-00003E360000}"/>
    <cellStyle name="40% - Accent1 2 2 3 2 2 4 2 2" xfId="17750" xr:uid="{00000000-0005-0000-0000-00003F360000}"/>
    <cellStyle name="40% - Accent1 2 2 3 2 2 4 3" xfId="17745" xr:uid="{00000000-0005-0000-0000-000040360000}"/>
    <cellStyle name="40% - Accent1 2 2 3 2 2 5" xfId="17742" xr:uid="{00000000-0005-0000-0000-000041360000}"/>
    <cellStyle name="40% - Accent1 2 2 3 2 2 5 2" xfId="17740" xr:uid="{00000000-0005-0000-0000-000042360000}"/>
    <cellStyle name="40% - Accent1 2 2 3 2 2 6" xfId="30446" xr:uid="{00000000-0005-0000-0000-000043360000}"/>
    <cellStyle name="40% - Accent1 2 2 3 2 3" xfId="27480" xr:uid="{00000000-0005-0000-0000-000044360000}"/>
    <cellStyle name="40% - Accent1 2 2 3 2 3 2" xfId="27594" xr:uid="{00000000-0005-0000-0000-000045360000}"/>
    <cellStyle name="40% - Accent1 2 2 3 2 3 2 2" xfId="17736" xr:uid="{00000000-0005-0000-0000-000046360000}"/>
    <cellStyle name="40% - Accent1 2 2 3 2 3 2 2 2" xfId="17734" xr:uid="{00000000-0005-0000-0000-000047360000}"/>
    <cellStyle name="40% - Accent1 2 2 3 2 3 2 2 2 2" xfId="17731" xr:uid="{00000000-0005-0000-0000-000048360000}"/>
    <cellStyle name="40% - Accent1 2 2 3 2 3 2 2 3" xfId="17730" xr:uid="{00000000-0005-0000-0000-000049360000}"/>
    <cellStyle name="40% - Accent1 2 2 3 2 3 2 3" xfId="26079" xr:uid="{00000000-0005-0000-0000-00004A360000}"/>
    <cellStyle name="40% - Accent1 2 2 3 2 3 2 3 2" xfId="27918" xr:uid="{00000000-0005-0000-0000-00004B360000}"/>
    <cellStyle name="40% - Accent1 2 2 3 2 3 2 4" xfId="25565" xr:uid="{00000000-0005-0000-0000-00004C360000}"/>
    <cellStyle name="40% - Accent1 2 2 3 2 3 3" xfId="17726" xr:uid="{00000000-0005-0000-0000-00004D360000}"/>
    <cellStyle name="40% - Accent1 2 2 3 2 3 3 2" xfId="17721" xr:uid="{00000000-0005-0000-0000-00004E360000}"/>
    <cellStyle name="40% - Accent1 2 2 3 2 3 3 2 2" xfId="17720" xr:uid="{00000000-0005-0000-0000-00004F360000}"/>
    <cellStyle name="40% - Accent1 2 2 3 2 3 3 3" xfId="30014" xr:uid="{00000000-0005-0000-0000-000050360000}"/>
    <cellStyle name="40% - Accent1 2 2 3 2 3 4" xfId="18816" xr:uid="{00000000-0005-0000-0000-000051360000}"/>
    <cellStyle name="40% - Accent1 2 2 3 2 3 4 2" xfId="17717" xr:uid="{00000000-0005-0000-0000-000052360000}"/>
    <cellStyle name="40% - Accent1 2 2 3 2 3 5" xfId="17714" xr:uid="{00000000-0005-0000-0000-000053360000}"/>
    <cellStyle name="40% - Accent1 2 2 3 2 4" xfId="21860" xr:uid="{00000000-0005-0000-0000-000054360000}"/>
    <cellStyle name="40% - Accent1 2 2 3 2 4 2" xfId="17713" xr:uid="{00000000-0005-0000-0000-000055360000}"/>
    <cellStyle name="40% - Accent1 2 2 3 2 4 2 2" xfId="17707" xr:uid="{00000000-0005-0000-0000-000056360000}"/>
    <cellStyle name="40% - Accent1 2 2 3 2 4 2 2 2" xfId="22804" xr:uid="{00000000-0005-0000-0000-000057360000}"/>
    <cellStyle name="40% - Accent1 2 2 3 2 4 2 3" xfId="25538" xr:uid="{00000000-0005-0000-0000-000058360000}"/>
    <cellStyle name="40% - Accent1 2 2 3 2 4 3" xfId="17706" xr:uid="{00000000-0005-0000-0000-000059360000}"/>
    <cellStyle name="40% - Accent1 2 2 3 2 4 3 2" xfId="17705" xr:uid="{00000000-0005-0000-0000-00005A360000}"/>
    <cellStyle name="40% - Accent1 2 2 3 2 4 4" xfId="17704" xr:uid="{00000000-0005-0000-0000-00005B360000}"/>
    <cellStyle name="40% - Accent1 2 2 3 2 5" xfId="17703" xr:uid="{00000000-0005-0000-0000-00005C360000}"/>
    <cellStyle name="40% - Accent1 2 2 3 2 5 2" xfId="17702" xr:uid="{00000000-0005-0000-0000-00005D360000}"/>
    <cellStyle name="40% - Accent1 2 2 3 2 5 2 2" xfId="23217" xr:uid="{00000000-0005-0000-0000-00005E360000}"/>
    <cellStyle name="40% - Accent1 2 2 3 2 5 3" xfId="8561" xr:uid="{00000000-0005-0000-0000-00005F360000}"/>
    <cellStyle name="40% - Accent1 2 2 3 2 6" xfId="17698" xr:uid="{00000000-0005-0000-0000-000060360000}"/>
    <cellStyle name="40% - Accent1 2 2 3 2 6 2" xfId="6901" xr:uid="{00000000-0005-0000-0000-000061360000}"/>
    <cellStyle name="40% - Accent1 2 2 3 2 7" xfId="17697" xr:uid="{00000000-0005-0000-0000-000062360000}"/>
    <cellStyle name="40% - Accent1 2 2 3 3" xfId="20374" xr:uid="{00000000-0005-0000-0000-000063360000}"/>
    <cellStyle name="40% - Accent1 2 2 3 3 2" xfId="27809" xr:uid="{00000000-0005-0000-0000-000064360000}"/>
    <cellStyle name="40% - Accent1 2 2 3 3 2 2" xfId="17696" xr:uid="{00000000-0005-0000-0000-000065360000}"/>
    <cellStyle name="40% - Accent1 2 2 3 3 2 2 2" xfId="9858" xr:uid="{00000000-0005-0000-0000-000066360000}"/>
    <cellStyle name="40% - Accent1 2 2 3 3 2 2 2 2" xfId="17694" xr:uid="{00000000-0005-0000-0000-000067360000}"/>
    <cellStyle name="40% - Accent1 2 2 3 3 2 2 2 2 2" xfId="17727" xr:uid="{00000000-0005-0000-0000-000068360000}"/>
    <cellStyle name="40% - Accent1 2 2 3 3 2 2 2 3" xfId="17691" xr:uid="{00000000-0005-0000-0000-000069360000}"/>
    <cellStyle name="40% - Accent1 2 2 3 3 2 2 3" xfId="17687" xr:uid="{00000000-0005-0000-0000-00006A360000}"/>
    <cellStyle name="40% - Accent1 2 2 3 3 2 2 3 2" xfId="32150" xr:uid="{00000000-0005-0000-0000-00006B360000}"/>
    <cellStyle name="40% - Accent1 2 2 3 3 2 2 4" xfId="17683" xr:uid="{00000000-0005-0000-0000-00006C360000}"/>
    <cellStyle name="40% - Accent1 2 2 3 3 2 3" xfId="17679" xr:uid="{00000000-0005-0000-0000-00006D360000}"/>
    <cellStyle name="40% - Accent1 2 2 3 3 2 3 2" xfId="9835" xr:uid="{00000000-0005-0000-0000-00006E360000}"/>
    <cellStyle name="40% - Accent1 2 2 3 3 2 3 2 2" xfId="18951" xr:uid="{00000000-0005-0000-0000-00006F360000}"/>
    <cellStyle name="40% - Accent1 2 2 3 3 2 3 3" xfId="17676" xr:uid="{00000000-0005-0000-0000-000070360000}"/>
    <cellStyle name="40% - Accent1 2 2 3 3 2 4" xfId="17674" xr:uid="{00000000-0005-0000-0000-000071360000}"/>
    <cellStyle name="40% - Accent1 2 2 3 3 2 4 2" xfId="17672" xr:uid="{00000000-0005-0000-0000-000072360000}"/>
    <cellStyle name="40% - Accent1 2 2 3 3 2 5" xfId="17669" xr:uid="{00000000-0005-0000-0000-000073360000}"/>
    <cellStyle name="40% - Accent1 2 2 3 3 3" xfId="27799" xr:uid="{00000000-0005-0000-0000-000074360000}"/>
    <cellStyle name="40% - Accent1 2 2 3 3 3 2" xfId="17665" xr:uid="{00000000-0005-0000-0000-000075360000}"/>
    <cellStyle name="40% - Accent1 2 2 3 3 3 2 2" xfId="9809" xr:uid="{00000000-0005-0000-0000-000076360000}"/>
    <cellStyle name="40% - Accent1 2 2 3 3 3 2 2 2" xfId="17661" xr:uid="{00000000-0005-0000-0000-000077360000}"/>
    <cellStyle name="40% - Accent1 2 2 3 3 3 2 3" xfId="27611" xr:uid="{00000000-0005-0000-0000-000078360000}"/>
    <cellStyle name="40% - Accent1 2 2 3 3 3 3" xfId="17657" xr:uid="{00000000-0005-0000-0000-000079360000}"/>
    <cellStyle name="40% - Accent1 2 2 3 3 3 3 2" xfId="34310" xr:uid="{00000000-0005-0000-0000-00007A360000}"/>
    <cellStyle name="40% - Accent1 2 2 3 3 3 4" xfId="18259" xr:uid="{00000000-0005-0000-0000-00007B360000}"/>
    <cellStyle name="40% - Accent1 2 2 3 3 4" xfId="22836" xr:uid="{00000000-0005-0000-0000-00007C360000}"/>
    <cellStyle name="40% - Accent1 2 2 3 3 4 2" xfId="17655" xr:uid="{00000000-0005-0000-0000-00007D360000}"/>
    <cellStyle name="40% - Accent1 2 2 3 3 4 2 2" xfId="21535" xr:uid="{00000000-0005-0000-0000-00007E360000}"/>
    <cellStyle name="40% - Accent1 2 2 3 3 4 3" xfId="29044" xr:uid="{00000000-0005-0000-0000-00007F360000}"/>
    <cellStyle name="40% - Accent1 2 2 3 3 5" xfId="17653" xr:uid="{00000000-0005-0000-0000-000080360000}"/>
    <cellStyle name="40% - Accent1 2 2 3 3 5 2" xfId="17652" xr:uid="{00000000-0005-0000-0000-000081360000}"/>
    <cellStyle name="40% - Accent1 2 2 3 3 6" xfId="13947" xr:uid="{00000000-0005-0000-0000-000082360000}"/>
    <cellStyle name="40% - Accent1 2 2 3 4" xfId="23847" xr:uid="{00000000-0005-0000-0000-000083360000}"/>
    <cellStyle name="40% - Accent1 2 2 3 4 2" xfId="27785" xr:uid="{00000000-0005-0000-0000-000084360000}"/>
    <cellStyle name="40% - Accent1 2 2 3 4 2 2" xfId="20085" xr:uid="{00000000-0005-0000-0000-000085360000}"/>
    <cellStyle name="40% - Accent1 2 2 3 4 2 2 2" xfId="9752" xr:uid="{00000000-0005-0000-0000-000086360000}"/>
    <cellStyle name="40% - Accent1 2 2 3 4 2 2 2 2" xfId="17647" xr:uid="{00000000-0005-0000-0000-000087360000}"/>
    <cellStyle name="40% - Accent1 2 2 3 4 2 2 3" xfId="28311" xr:uid="{00000000-0005-0000-0000-000088360000}"/>
    <cellStyle name="40% - Accent1 2 2 3 4 2 3" xfId="20076" xr:uid="{00000000-0005-0000-0000-000089360000}"/>
    <cellStyle name="40% - Accent1 2 2 3 4 2 3 2" xfId="28079" xr:uid="{00000000-0005-0000-0000-00008A360000}"/>
    <cellStyle name="40% - Accent1 2 2 3 4 2 4" xfId="17641" xr:uid="{00000000-0005-0000-0000-00008B360000}"/>
    <cellStyle name="40% - Accent1 2 2 3 4 3" xfId="17636" xr:uid="{00000000-0005-0000-0000-00008C360000}"/>
    <cellStyle name="40% - Accent1 2 2 3 4 3 2" xfId="20044" xr:uid="{00000000-0005-0000-0000-00008D360000}"/>
    <cellStyle name="40% - Accent1 2 2 3 4 3 2 2" xfId="28032" xr:uid="{00000000-0005-0000-0000-00008E360000}"/>
    <cellStyle name="40% - Accent1 2 2 3 4 3 3" xfId="18077" xr:uid="{00000000-0005-0000-0000-00008F360000}"/>
    <cellStyle name="40% - Accent1 2 2 3 4 4" xfId="13615" xr:uid="{00000000-0005-0000-0000-000090360000}"/>
    <cellStyle name="40% - Accent1 2 2 3 4 4 2" xfId="28060" xr:uid="{00000000-0005-0000-0000-000091360000}"/>
    <cellStyle name="40% - Accent1 2 2 3 4 5" xfId="17625" xr:uid="{00000000-0005-0000-0000-000092360000}"/>
    <cellStyle name="40% - Accent1 2 2 3 5" xfId="34352" xr:uid="{00000000-0005-0000-0000-000093360000}"/>
    <cellStyle name="40% - Accent1 2 2 3 5 2" xfId="6126" xr:uid="{00000000-0005-0000-0000-000094360000}"/>
    <cellStyle name="40% - Accent1 2 2 3 5 2 2" xfId="5425" xr:uid="{00000000-0005-0000-0000-000095360000}"/>
    <cellStyle name="40% - Accent1 2 2 3 5 2 2 2" xfId="28012" xr:uid="{00000000-0005-0000-0000-000096360000}"/>
    <cellStyle name="40% - Accent1 2 2 3 5 2 3" xfId="25906" xr:uid="{00000000-0005-0000-0000-000097360000}"/>
    <cellStyle name="40% - Accent1 2 2 3 5 3" xfId="16440" xr:uid="{00000000-0005-0000-0000-000098360000}"/>
    <cellStyle name="40% - Accent1 2 2 3 5 3 2" xfId="33090" xr:uid="{00000000-0005-0000-0000-000099360000}"/>
    <cellStyle name="40% - Accent1 2 2 3 5 4" xfId="17621" xr:uid="{00000000-0005-0000-0000-00009A360000}"/>
    <cellStyle name="40% - Accent1 2 2 3 6" xfId="21637" xr:uid="{00000000-0005-0000-0000-00009B360000}"/>
    <cellStyle name="40% - Accent1 2 2 3 6 2" xfId="5373" xr:uid="{00000000-0005-0000-0000-00009C360000}"/>
    <cellStyle name="40% - Accent1 2 2 3 6 2 2" xfId="24125" xr:uid="{00000000-0005-0000-0000-00009D360000}"/>
    <cellStyle name="40% - Accent1 2 2 3 6 3" xfId="16743" xr:uid="{00000000-0005-0000-0000-00009E360000}"/>
    <cellStyle name="40% - Accent1 2 2 3 7" xfId="17619" xr:uid="{00000000-0005-0000-0000-00009F360000}"/>
    <cellStyle name="40% - Accent1 2 2 3 7 2" xfId="16738" xr:uid="{00000000-0005-0000-0000-0000A0360000}"/>
    <cellStyle name="40% - Accent1 2 2 3 8" xfId="22576" xr:uid="{00000000-0005-0000-0000-0000A1360000}"/>
    <cellStyle name="40% - Accent1 2 2 4" xfId="18424" xr:uid="{00000000-0005-0000-0000-0000A2360000}"/>
    <cellStyle name="40% - Accent1 2 2 4 2" xfId="20646" xr:uid="{00000000-0005-0000-0000-0000A3360000}"/>
    <cellStyle name="40% - Accent1 2 2 4 2 2" xfId="27469" xr:uid="{00000000-0005-0000-0000-0000A4360000}"/>
    <cellStyle name="40% - Accent1 2 2 4 2 2 2" xfId="16946" xr:uid="{00000000-0005-0000-0000-0000A5360000}"/>
    <cellStyle name="40% - Accent1 2 2 4 2 2 2 2" xfId="8984" xr:uid="{00000000-0005-0000-0000-0000A6360000}"/>
    <cellStyle name="40% - Accent1 2 2 4 2 2 2 2 2" xfId="10450" xr:uid="{00000000-0005-0000-0000-0000A7360000}"/>
    <cellStyle name="40% - Accent1 2 2 4 2 2 2 2 2 2" xfId="17613" xr:uid="{00000000-0005-0000-0000-0000A8360000}"/>
    <cellStyle name="40% - Accent1 2 2 4 2 2 2 2 3" xfId="12759" xr:uid="{00000000-0005-0000-0000-0000A9360000}"/>
    <cellStyle name="40% - Accent1 2 2 4 2 2 2 3" xfId="27506" xr:uid="{00000000-0005-0000-0000-0000AA360000}"/>
    <cellStyle name="40% - Accent1 2 2 4 2 2 2 3 2" xfId="29642" xr:uid="{00000000-0005-0000-0000-0000AB360000}"/>
    <cellStyle name="40% - Accent1 2 2 4 2 2 2 4" xfId="27502" xr:uid="{00000000-0005-0000-0000-0000AC360000}"/>
    <cellStyle name="40% - Accent1 2 2 4 2 2 3" xfId="17882" xr:uid="{00000000-0005-0000-0000-0000AD360000}"/>
    <cellStyle name="40% - Accent1 2 2 4 2 2 3 2" xfId="17612" xr:uid="{00000000-0005-0000-0000-0000AE360000}"/>
    <cellStyle name="40% - Accent1 2 2 4 2 2 3 2 2" xfId="17611" xr:uid="{00000000-0005-0000-0000-0000AF360000}"/>
    <cellStyle name="40% - Accent1 2 2 4 2 2 3 3" xfId="27499" xr:uid="{00000000-0005-0000-0000-0000B0360000}"/>
    <cellStyle name="40% - Accent1 2 2 4 2 2 4" xfId="17609" xr:uid="{00000000-0005-0000-0000-0000B1360000}"/>
    <cellStyle name="40% - Accent1 2 2 4 2 2 4 2" xfId="17605" xr:uid="{00000000-0005-0000-0000-0000B2360000}"/>
    <cellStyle name="40% - Accent1 2 2 4 2 2 5" xfId="18823" xr:uid="{00000000-0005-0000-0000-0000B3360000}"/>
    <cellStyle name="40% - Accent1 2 2 4 2 3" xfId="20842" xr:uid="{00000000-0005-0000-0000-0000B4360000}"/>
    <cellStyle name="40% - Accent1 2 2 4 2 3 2" xfId="16903" xr:uid="{00000000-0005-0000-0000-0000B5360000}"/>
    <cellStyle name="40% - Accent1 2 2 4 2 3 2 2" xfId="17600" xr:uid="{00000000-0005-0000-0000-0000B6360000}"/>
    <cellStyle name="40% - Accent1 2 2 4 2 3 2 2 2" xfId="17599" xr:uid="{00000000-0005-0000-0000-0000B7360000}"/>
    <cellStyle name="40% - Accent1 2 2 4 2 3 2 3" xfId="25261" xr:uid="{00000000-0005-0000-0000-0000B8360000}"/>
    <cellStyle name="40% - Accent1 2 2 4 2 3 3" xfId="17597" xr:uid="{00000000-0005-0000-0000-0000B9360000}"/>
    <cellStyle name="40% - Accent1 2 2 4 2 3 3 2" xfId="17593" xr:uid="{00000000-0005-0000-0000-0000BA360000}"/>
    <cellStyle name="40% - Accent1 2 2 4 2 3 4" xfId="17591" xr:uid="{00000000-0005-0000-0000-0000BB360000}"/>
    <cellStyle name="40% - Accent1 2 2 4 2 4" xfId="17588" xr:uid="{00000000-0005-0000-0000-0000BC360000}"/>
    <cellStyle name="40% - Accent1 2 2 4 2 4 2" xfId="16886" xr:uid="{00000000-0005-0000-0000-0000BD360000}"/>
    <cellStyle name="40% - Accent1 2 2 4 2 4 2 2" xfId="17581" xr:uid="{00000000-0005-0000-0000-0000BE360000}"/>
    <cellStyle name="40% - Accent1 2 2 4 2 4 3" xfId="17580" xr:uid="{00000000-0005-0000-0000-0000BF360000}"/>
    <cellStyle name="40% - Accent1 2 2 4 2 5" xfId="31873" xr:uid="{00000000-0005-0000-0000-0000C0360000}"/>
    <cellStyle name="40% - Accent1 2 2 4 2 5 2" xfId="29264" xr:uid="{00000000-0005-0000-0000-0000C1360000}"/>
    <cellStyle name="40% - Accent1 2 2 4 2 6" xfId="33351" xr:uid="{00000000-0005-0000-0000-0000C2360000}"/>
    <cellStyle name="40% - Accent1 2 2 4 3" xfId="19684" xr:uid="{00000000-0005-0000-0000-0000C3360000}"/>
    <cellStyle name="40% - Accent1 2 2 4 3 2" xfId="27746" xr:uid="{00000000-0005-0000-0000-0000C4360000}"/>
    <cellStyle name="40% - Accent1 2 2 4 3 2 2" xfId="17578" xr:uid="{00000000-0005-0000-0000-0000C5360000}"/>
    <cellStyle name="40% - Accent1 2 2 4 3 2 2 2" xfId="9656" xr:uid="{00000000-0005-0000-0000-0000C6360000}"/>
    <cellStyle name="40% - Accent1 2 2 4 3 2 2 2 2" xfId="17922" xr:uid="{00000000-0005-0000-0000-0000C7360000}"/>
    <cellStyle name="40% - Accent1 2 2 4 3 2 2 3" xfId="12652" xr:uid="{00000000-0005-0000-0000-0000C8360000}"/>
    <cellStyle name="40% - Accent1 2 2 4 3 2 3" xfId="17571" xr:uid="{00000000-0005-0000-0000-0000C9360000}"/>
    <cellStyle name="40% - Accent1 2 2 4 3 2 3 2" xfId="17568" xr:uid="{00000000-0005-0000-0000-0000CA360000}"/>
    <cellStyle name="40% - Accent1 2 2 4 3 2 4" xfId="17565" xr:uid="{00000000-0005-0000-0000-0000CB360000}"/>
    <cellStyle name="40% - Accent1 2 2 4 3 3" xfId="17559" xr:uid="{00000000-0005-0000-0000-0000CC360000}"/>
    <cellStyle name="40% - Accent1 2 2 4 3 3 2" xfId="17553" xr:uid="{00000000-0005-0000-0000-0000CD360000}"/>
    <cellStyle name="40% - Accent1 2 2 4 3 3 2 2" xfId="12595" xr:uid="{00000000-0005-0000-0000-0000CE360000}"/>
    <cellStyle name="40% - Accent1 2 2 4 3 3 3" xfId="17546" xr:uid="{00000000-0005-0000-0000-0000CF360000}"/>
    <cellStyle name="40% - Accent1 2 2 4 3 4" xfId="17543" xr:uid="{00000000-0005-0000-0000-0000D0360000}"/>
    <cellStyle name="40% - Accent1 2 2 4 3 4 2" xfId="17538" xr:uid="{00000000-0005-0000-0000-0000D1360000}"/>
    <cellStyle name="40% - Accent1 2 2 4 3 5" xfId="30931" xr:uid="{00000000-0005-0000-0000-0000D2360000}"/>
    <cellStyle name="40% - Accent1 2 2 4 4" xfId="17535" xr:uid="{00000000-0005-0000-0000-0000D3360000}"/>
    <cellStyle name="40% - Accent1 2 2 4 4 2" xfId="17531" xr:uid="{00000000-0005-0000-0000-0000D4360000}"/>
    <cellStyle name="40% - Accent1 2 2 4 4 2 2" xfId="20007" xr:uid="{00000000-0005-0000-0000-0000D5360000}"/>
    <cellStyle name="40% - Accent1 2 2 4 4 2 2 2" xfId="26382" xr:uid="{00000000-0005-0000-0000-0000D6360000}"/>
    <cellStyle name="40% - Accent1 2 2 4 4 2 3" xfId="17529" xr:uid="{00000000-0005-0000-0000-0000D7360000}"/>
    <cellStyle name="40% - Accent1 2 2 4 4 3" xfId="17524" xr:uid="{00000000-0005-0000-0000-0000D8360000}"/>
    <cellStyle name="40% - Accent1 2 2 4 4 3 2" xfId="18053" xr:uid="{00000000-0005-0000-0000-0000D9360000}"/>
    <cellStyle name="40% - Accent1 2 2 4 4 4" xfId="17520" xr:uid="{00000000-0005-0000-0000-0000DA360000}"/>
    <cellStyle name="40% - Accent1 2 2 4 5" xfId="17515" xr:uid="{00000000-0005-0000-0000-0000DB360000}"/>
    <cellStyle name="40% - Accent1 2 2 4 5 2" xfId="6100" xr:uid="{00000000-0005-0000-0000-0000DC360000}"/>
    <cellStyle name="40% - Accent1 2 2 4 5 2 2" xfId="32016" xr:uid="{00000000-0005-0000-0000-0000DD360000}"/>
    <cellStyle name="40% - Accent1 2 2 4 5 3" xfId="27993" xr:uid="{00000000-0005-0000-0000-0000DE360000}"/>
    <cellStyle name="40% - Accent1 2 2 4 6" xfId="7806" xr:uid="{00000000-0005-0000-0000-0000DF360000}"/>
    <cellStyle name="40% - Accent1 2 2 4 6 2" xfId="17506" xr:uid="{00000000-0005-0000-0000-0000E0360000}"/>
    <cellStyle name="40% - Accent1 2 2 4 7" xfId="17503" xr:uid="{00000000-0005-0000-0000-0000E1360000}"/>
    <cellStyle name="40% - Accent1 2 2 5" xfId="21282" xr:uid="{00000000-0005-0000-0000-0000E2360000}"/>
    <cellStyle name="40% - Accent1 2 2 5 2" xfId="19573" xr:uid="{00000000-0005-0000-0000-0000E3360000}"/>
    <cellStyle name="40% - Accent1 2 2 5 2 2" xfId="27451" xr:uid="{00000000-0005-0000-0000-0000E4360000}"/>
    <cellStyle name="40% - Accent1 2 2 5 2 2 2" xfId="16267" xr:uid="{00000000-0005-0000-0000-0000E5360000}"/>
    <cellStyle name="40% - Accent1 2 2 5 2 2 2 2" xfId="17499" xr:uid="{00000000-0005-0000-0000-0000E6360000}"/>
    <cellStyle name="40% - Accent1 2 2 5 2 2 2 2 2" xfId="17498" xr:uid="{00000000-0005-0000-0000-0000E7360000}"/>
    <cellStyle name="40% - Accent1 2 2 5 2 2 2 3" xfId="27340" xr:uid="{00000000-0005-0000-0000-0000E8360000}"/>
    <cellStyle name="40% - Accent1 2 2 5 2 2 3" xfId="17711" xr:uid="{00000000-0005-0000-0000-0000E9360000}"/>
    <cellStyle name="40% - Accent1 2 2 5 2 2 3 2" xfId="18779" xr:uid="{00000000-0005-0000-0000-0000EA360000}"/>
    <cellStyle name="40% - Accent1 2 2 5 2 2 4" xfId="17495" xr:uid="{00000000-0005-0000-0000-0000EB360000}"/>
    <cellStyle name="40% - Accent1 2 2 5 2 3" xfId="17492" xr:uid="{00000000-0005-0000-0000-0000EC360000}"/>
    <cellStyle name="40% - Accent1 2 2 5 2 3 2" xfId="16251" xr:uid="{00000000-0005-0000-0000-0000ED360000}"/>
    <cellStyle name="40% - Accent1 2 2 5 2 3 2 2" xfId="17487" xr:uid="{00000000-0005-0000-0000-0000EE360000}"/>
    <cellStyle name="40% - Accent1 2 2 5 2 3 3" xfId="17699" xr:uid="{00000000-0005-0000-0000-0000EF360000}"/>
    <cellStyle name="40% - Accent1 2 2 5 2 4" xfId="17486" xr:uid="{00000000-0005-0000-0000-0000F0360000}"/>
    <cellStyle name="40% - Accent1 2 2 5 2 4 2" xfId="16237" xr:uid="{00000000-0005-0000-0000-0000F1360000}"/>
    <cellStyle name="40% - Accent1 2 2 5 2 5" xfId="28745" xr:uid="{00000000-0005-0000-0000-0000F2360000}"/>
    <cellStyle name="40% - Accent1 2 2 5 3" xfId="19680" xr:uid="{00000000-0005-0000-0000-0000F3360000}"/>
    <cellStyle name="40% - Accent1 2 2 5 3 2" xfId="17481" xr:uid="{00000000-0005-0000-0000-0000F4360000}"/>
    <cellStyle name="40% - Accent1 2 2 5 3 2 2" xfId="20739" xr:uid="{00000000-0005-0000-0000-0000F5360000}"/>
    <cellStyle name="40% - Accent1 2 2 5 3 2 2 2" xfId="17479" xr:uid="{00000000-0005-0000-0000-0000F6360000}"/>
    <cellStyle name="40% - Accent1 2 2 5 3 2 3" xfId="17476" xr:uid="{00000000-0005-0000-0000-0000F7360000}"/>
    <cellStyle name="40% - Accent1 2 2 5 3 3" xfId="17473" xr:uid="{00000000-0005-0000-0000-0000F8360000}"/>
    <cellStyle name="40% - Accent1 2 2 5 3 3 2" xfId="21136" xr:uid="{00000000-0005-0000-0000-0000F9360000}"/>
    <cellStyle name="40% - Accent1 2 2 5 3 4" xfId="19795" xr:uid="{00000000-0005-0000-0000-0000FA360000}"/>
    <cellStyle name="40% - Accent1 2 2 5 4" xfId="19677" xr:uid="{00000000-0005-0000-0000-0000FB360000}"/>
    <cellStyle name="40% - Accent1 2 2 5 4 2" xfId="17467" xr:uid="{00000000-0005-0000-0000-0000FC360000}"/>
    <cellStyle name="40% - Accent1 2 2 5 4 2 2" xfId="17466" xr:uid="{00000000-0005-0000-0000-0000FD360000}"/>
    <cellStyle name="40% - Accent1 2 2 5 4 3" xfId="17463" xr:uid="{00000000-0005-0000-0000-0000FE360000}"/>
    <cellStyle name="40% - Accent1 2 2 5 5" xfId="24142" xr:uid="{00000000-0005-0000-0000-0000FF360000}"/>
    <cellStyle name="40% - Accent1 2 2 5 5 2" xfId="22609" xr:uid="{00000000-0005-0000-0000-000000370000}"/>
    <cellStyle name="40% - Accent1 2 2 5 6" xfId="24131" xr:uid="{00000000-0005-0000-0000-000001370000}"/>
    <cellStyle name="40% - Accent1 2 2 6" xfId="19565" xr:uid="{00000000-0005-0000-0000-000002370000}"/>
    <cellStyle name="40% - Accent1 2 2 6 2" xfId="19559" xr:uid="{00000000-0005-0000-0000-000003370000}"/>
    <cellStyle name="40% - Accent1 2 2 6 2 2" xfId="17461" xr:uid="{00000000-0005-0000-0000-000004370000}"/>
    <cellStyle name="40% - Accent1 2 2 6 2 2 2" xfId="15911" xr:uid="{00000000-0005-0000-0000-000005370000}"/>
    <cellStyle name="40% - Accent1 2 2 6 2 2 2 2" xfId="17460" xr:uid="{00000000-0005-0000-0000-000006370000}"/>
    <cellStyle name="40% - Accent1 2 2 6 2 2 3" xfId="17584" xr:uid="{00000000-0005-0000-0000-000007370000}"/>
    <cellStyle name="40% - Accent1 2 2 6 2 3" xfId="19775" xr:uid="{00000000-0005-0000-0000-000008370000}"/>
    <cellStyle name="40% - Accent1 2 2 6 2 3 2" xfId="15900" xr:uid="{00000000-0005-0000-0000-000009370000}"/>
    <cellStyle name="40% - Accent1 2 2 6 2 4" xfId="21483" xr:uid="{00000000-0005-0000-0000-00000A370000}"/>
    <cellStyle name="40% - Accent1 2 2 6 3" xfId="24349" xr:uid="{00000000-0005-0000-0000-00000B370000}"/>
    <cellStyle name="40% - Accent1 2 2 6 3 2" xfId="17459" xr:uid="{00000000-0005-0000-0000-00000C370000}"/>
    <cellStyle name="40% - Accent1 2 2 6 3 2 2" xfId="17457" xr:uid="{00000000-0005-0000-0000-00000D370000}"/>
    <cellStyle name="40% - Accent1 2 2 6 3 3" xfId="19455" xr:uid="{00000000-0005-0000-0000-00000E370000}"/>
    <cellStyle name="40% - Accent1 2 2 6 4" xfId="22191" xr:uid="{00000000-0005-0000-0000-00000F370000}"/>
    <cellStyle name="40% - Accent1 2 2 6 4 2" xfId="17782" xr:uid="{00000000-0005-0000-0000-000010370000}"/>
    <cellStyle name="40% - Accent1 2 2 6 5" xfId="17455" xr:uid="{00000000-0005-0000-0000-000011370000}"/>
    <cellStyle name="40% - Accent1 2 2 7" xfId="19159" xr:uid="{00000000-0005-0000-0000-000012370000}"/>
    <cellStyle name="40% - Accent1 2 2 7 2" xfId="23628" xr:uid="{00000000-0005-0000-0000-000013370000}"/>
    <cellStyle name="40% - Accent1 2 2 7 2 2" xfId="21076" xr:uid="{00000000-0005-0000-0000-000014370000}"/>
    <cellStyle name="40% - Accent1 2 2 7 2 2 2" xfId="15768" xr:uid="{00000000-0005-0000-0000-000015370000}"/>
    <cellStyle name="40% - Accent1 2 2 7 2 3" xfId="19199" xr:uid="{00000000-0005-0000-0000-000016370000}"/>
    <cellStyle name="40% - Accent1 2 2 7 3" xfId="23621" xr:uid="{00000000-0005-0000-0000-000017370000}"/>
    <cellStyle name="40% - Accent1 2 2 7 3 2" xfId="21026" xr:uid="{00000000-0005-0000-0000-000018370000}"/>
    <cellStyle name="40% - Accent1 2 2 7 4" xfId="23617" xr:uid="{00000000-0005-0000-0000-000019370000}"/>
    <cellStyle name="40% - Accent1 2 2 8" xfId="32384" xr:uid="{00000000-0005-0000-0000-00001A370000}"/>
    <cellStyle name="40% - Accent1 2 2 8 2" xfId="32060" xr:uid="{00000000-0005-0000-0000-00001B370000}"/>
    <cellStyle name="40% - Accent1 2 2 8 2 2" xfId="20764" xr:uid="{00000000-0005-0000-0000-00001C370000}"/>
    <cellStyle name="40% - Accent1 2 2 8 3" xfId="23610" xr:uid="{00000000-0005-0000-0000-00001D370000}"/>
    <cellStyle name="40% - Accent1 2 2 9" xfId="29269" xr:uid="{00000000-0005-0000-0000-00001E370000}"/>
    <cellStyle name="40% - Accent1 2 2 9 2" xfId="23600" xr:uid="{00000000-0005-0000-0000-00001F370000}"/>
    <cellStyle name="40% - Accent1 2 3" xfId="201" xr:uid="{00000000-0005-0000-0000-000020370000}"/>
    <cellStyle name="40% - Accent1 2 3 10" xfId="34536" xr:uid="{00000000-0005-0000-0000-000021370000}"/>
    <cellStyle name="40% - Accent1 2 3 11" xfId="17452" xr:uid="{00000000-0005-0000-0000-000022370000}"/>
    <cellStyle name="40% - Accent1 2 3 2" xfId="17451" xr:uid="{00000000-0005-0000-0000-000023370000}"/>
    <cellStyle name="40% - Accent1 2 3 2 2" xfId="17446" xr:uid="{00000000-0005-0000-0000-000024370000}"/>
    <cellStyle name="40% - Accent1 2 3 2 2 2" xfId="17445" xr:uid="{00000000-0005-0000-0000-000025370000}"/>
    <cellStyle name="40% - Accent1 2 3 2 2 2 2" xfId="17444" xr:uid="{00000000-0005-0000-0000-000026370000}"/>
    <cellStyle name="40% - Accent1 2 3 2 2 2 2 2" xfId="17443" xr:uid="{00000000-0005-0000-0000-000027370000}"/>
    <cellStyle name="40% - Accent1 2 3 2 2 2 2 2 2" xfId="29009" xr:uid="{00000000-0005-0000-0000-000028370000}"/>
    <cellStyle name="40% - Accent1 2 3 2 2 2 2 2 2 2" xfId="25684" xr:uid="{00000000-0005-0000-0000-000029370000}"/>
    <cellStyle name="40% - Accent1 2 3 2 2 2 2 2 2 2 2" xfId="24052" xr:uid="{00000000-0005-0000-0000-00002A370000}"/>
    <cellStyle name="40% - Accent1 2 3 2 2 2 2 2 2 3" xfId="17442" xr:uid="{00000000-0005-0000-0000-00002B370000}"/>
    <cellStyle name="40% - Accent1 2 3 2 2 2 2 2 3" xfId="17439" xr:uid="{00000000-0005-0000-0000-00002C370000}"/>
    <cellStyle name="40% - Accent1 2 3 2 2 2 2 2 3 2" xfId="27488" xr:uid="{00000000-0005-0000-0000-00002D370000}"/>
    <cellStyle name="40% - Accent1 2 3 2 2 2 2 2 4" xfId="17438" xr:uid="{00000000-0005-0000-0000-00002E370000}"/>
    <cellStyle name="40% - Accent1 2 3 2 2 2 2 3" xfId="17436" xr:uid="{00000000-0005-0000-0000-00002F370000}"/>
    <cellStyle name="40% - Accent1 2 3 2 2 2 2 3 2" xfId="17435" xr:uid="{00000000-0005-0000-0000-000030370000}"/>
    <cellStyle name="40% - Accent1 2 3 2 2 2 2 3 2 2" xfId="17434" xr:uid="{00000000-0005-0000-0000-000031370000}"/>
    <cellStyle name="40% - Accent1 2 3 2 2 2 2 3 3" xfId="17430" xr:uid="{00000000-0005-0000-0000-000032370000}"/>
    <cellStyle name="40% - Accent1 2 3 2 2 2 2 4" xfId="17429" xr:uid="{00000000-0005-0000-0000-000033370000}"/>
    <cellStyle name="40% - Accent1 2 3 2 2 2 2 4 2" xfId="17425" xr:uid="{00000000-0005-0000-0000-000034370000}"/>
    <cellStyle name="40% - Accent1 2 3 2 2 2 2 5" xfId="17423" xr:uid="{00000000-0005-0000-0000-000035370000}"/>
    <cellStyle name="40% - Accent1 2 3 2 2 2 3" xfId="17420" xr:uid="{00000000-0005-0000-0000-000036370000}"/>
    <cellStyle name="40% - Accent1 2 3 2 2 2 3 2" xfId="17419" xr:uid="{00000000-0005-0000-0000-000037370000}"/>
    <cellStyle name="40% - Accent1 2 3 2 2 2 3 2 2" xfId="17418" xr:uid="{00000000-0005-0000-0000-000038370000}"/>
    <cellStyle name="40% - Accent1 2 3 2 2 2 3 2 2 2" xfId="17417" xr:uid="{00000000-0005-0000-0000-000039370000}"/>
    <cellStyle name="40% - Accent1 2 3 2 2 2 3 2 3" xfId="17416" xr:uid="{00000000-0005-0000-0000-00003A370000}"/>
    <cellStyle name="40% - Accent1 2 3 2 2 2 3 3" xfId="17415" xr:uid="{00000000-0005-0000-0000-00003B370000}"/>
    <cellStyle name="40% - Accent1 2 3 2 2 2 3 3 2" xfId="17414" xr:uid="{00000000-0005-0000-0000-00003C370000}"/>
    <cellStyle name="40% - Accent1 2 3 2 2 2 3 4" xfId="17413" xr:uid="{00000000-0005-0000-0000-00003D370000}"/>
    <cellStyle name="40% - Accent1 2 3 2 2 2 4" xfId="20546" xr:uid="{00000000-0005-0000-0000-00003E370000}"/>
    <cellStyle name="40% - Accent1 2 3 2 2 2 4 2" xfId="14019" xr:uid="{00000000-0005-0000-0000-00003F370000}"/>
    <cellStyle name="40% - Accent1 2 3 2 2 2 4 2 2" xfId="17411" xr:uid="{00000000-0005-0000-0000-000040370000}"/>
    <cellStyle name="40% - Accent1 2 3 2 2 2 4 3" xfId="23255" xr:uid="{00000000-0005-0000-0000-000041370000}"/>
    <cellStyle name="40% - Accent1 2 3 2 2 2 5" xfId="18578" xr:uid="{00000000-0005-0000-0000-000042370000}"/>
    <cellStyle name="40% - Accent1 2 3 2 2 2 5 2" xfId="23087" xr:uid="{00000000-0005-0000-0000-000043370000}"/>
    <cellStyle name="40% - Accent1 2 3 2 2 2 6" xfId="20587" xr:uid="{00000000-0005-0000-0000-000044370000}"/>
    <cellStyle name="40% - Accent1 2 3 2 2 3" xfId="17410" xr:uid="{00000000-0005-0000-0000-000045370000}"/>
    <cellStyle name="40% - Accent1 2 3 2 2 3 2" xfId="17406" xr:uid="{00000000-0005-0000-0000-000046370000}"/>
    <cellStyle name="40% - Accent1 2 3 2 2 3 2 2" xfId="17404" xr:uid="{00000000-0005-0000-0000-000047370000}"/>
    <cellStyle name="40% - Accent1 2 3 2 2 3 2 2 2" xfId="17403" xr:uid="{00000000-0005-0000-0000-000048370000}"/>
    <cellStyle name="40% - Accent1 2 3 2 2 3 2 2 2 2" xfId="17402" xr:uid="{00000000-0005-0000-0000-000049370000}"/>
    <cellStyle name="40% - Accent1 2 3 2 2 3 2 2 3" xfId="17399" xr:uid="{00000000-0005-0000-0000-00004A370000}"/>
    <cellStyle name="40% - Accent1 2 3 2 2 3 2 3" xfId="17398" xr:uid="{00000000-0005-0000-0000-00004B370000}"/>
    <cellStyle name="40% - Accent1 2 3 2 2 3 2 3 2" xfId="17397" xr:uid="{00000000-0005-0000-0000-00004C370000}"/>
    <cellStyle name="40% - Accent1 2 3 2 2 3 2 4" xfId="17396" xr:uid="{00000000-0005-0000-0000-00004D370000}"/>
    <cellStyle name="40% - Accent1 2 3 2 2 3 3" xfId="17392" xr:uid="{00000000-0005-0000-0000-00004E370000}"/>
    <cellStyle name="40% - Accent1 2 3 2 2 3 3 2" xfId="17390" xr:uid="{00000000-0005-0000-0000-00004F370000}"/>
    <cellStyle name="40% - Accent1 2 3 2 2 3 3 2 2" xfId="17389" xr:uid="{00000000-0005-0000-0000-000050370000}"/>
    <cellStyle name="40% - Accent1 2 3 2 2 3 3 3" xfId="17388" xr:uid="{00000000-0005-0000-0000-000051370000}"/>
    <cellStyle name="40% - Accent1 2 3 2 2 3 4" xfId="18575" xr:uid="{00000000-0005-0000-0000-000052370000}"/>
    <cellStyle name="40% - Accent1 2 3 2 2 3 4 2" xfId="22774" xr:uid="{00000000-0005-0000-0000-000053370000}"/>
    <cellStyle name="40% - Accent1 2 3 2 2 3 5" xfId="20585" xr:uid="{00000000-0005-0000-0000-000054370000}"/>
    <cellStyle name="40% - Accent1 2 3 2 2 4" xfId="17387" xr:uid="{00000000-0005-0000-0000-000055370000}"/>
    <cellStyle name="40% - Accent1 2 3 2 2 4 2" xfId="17381" xr:uid="{00000000-0005-0000-0000-000056370000}"/>
    <cellStyle name="40% - Accent1 2 3 2 2 4 2 2" xfId="17378" xr:uid="{00000000-0005-0000-0000-000057370000}"/>
    <cellStyle name="40% - Accent1 2 3 2 2 4 2 2 2" xfId="17375" xr:uid="{00000000-0005-0000-0000-000058370000}"/>
    <cellStyle name="40% - Accent1 2 3 2 2 4 2 3" xfId="23294" xr:uid="{00000000-0005-0000-0000-000059370000}"/>
    <cellStyle name="40% - Accent1 2 3 2 2 4 3" xfId="17374" xr:uid="{00000000-0005-0000-0000-00005A370000}"/>
    <cellStyle name="40% - Accent1 2 3 2 2 4 3 2" xfId="17366" xr:uid="{00000000-0005-0000-0000-00005B370000}"/>
    <cellStyle name="40% - Accent1 2 3 2 2 4 4" xfId="20583" xr:uid="{00000000-0005-0000-0000-00005C370000}"/>
    <cellStyle name="40% - Accent1 2 3 2 2 5" xfId="17365" xr:uid="{00000000-0005-0000-0000-00005D370000}"/>
    <cellStyle name="40% - Accent1 2 3 2 2 5 2" xfId="17360" xr:uid="{00000000-0005-0000-0000-00005E370000}"/>
    <cellStyle name="40% - Accent1 2 3 2 2 5 2 2" xfId="17357" xr:uid="{00000000-0005-0000-0000-00005F370000}"/>
    <cellStyle name="40% - Accent1 2 3 2 2 5 3" xfId="17356" xr:uid="{00000000-0005-0000-0000-000060370000}"/>
    <cellStyle name="40% - Accent1 2 3 2 2 6" xfId="17352" xr:uid="{00000000-0005-0000-0000-000061370000}"/>
    <cellStyle name="40% - Accent1 2 3 2 2 6 2" xfId="17347" xr:uid="{00000000-0005-0000-0000-000062370000}"/>
    <cellStyle name="40% - Accent1 2 3 2 2 7" xfId="17345" xr:uid="{00000000-0005-0000-0000-000063370000}"/>
    <cellStyle name="40% - Accent1 2 3 2 3" xfId="17344" xr:uid="{00000000-0005-0000-0000-000064370000}"/>
    <cellStyle name="40% - Accent1 2 3 2 3 2" xfId="17342" xr:uid="{00000000-0005-0000-0000-000065370000}"/>
    <cellStyle name="40% - Accent1 2 3 2 3 2 2" xfId="17341" xr:uid="{00000000-0005-0000-0000-000066370000}"/>
    <cellStyle name="40% - Accent1 2 3 2 3 2 2 2" xfId="17340" xr:uid="{00000000-0005-0000-0000-000067370000}"/>
    <cellStyle name="40% - Accent1 2 3 2 3 2 2 2 2" xfId="27851" xr:uid="{00000000-0005-0000-0000-000068370000}"/>
    <cellStyle name="40% - Accent1 2 3 2 3 2 2 2 2 2" xfId="22797" xr:uid="{00000000-0005-0000-0000-000069370000}"/>
    <cellStyle name="40% - Accent1 2 3 2 3 2 2 2 3" xfId="10400" xr:uid="{00000000-0005-0000-0000-00006A370000}"/>
    <cellStyle name="40% - Accent1 2 3 2 3 2 2 3" xfId="17337" xr:uid="{00000000-0005-0000-0000-00006B370000}"/>
    <cellStyle name="40% - Accent1 2 3 2 3 2 2 3 2" xfId="31589" xr:uid="{00000000-0005-0000-0000-00006C370000}"/>
    <cellStyle name="40% - Accent1 2 3 2 3 2 2 4" xfId="17335" xr:uid="{00000000-0005-0000-0000-00006D370000}"/>
    <cellStyle name="40% - Accent1 2 3 2 3 2 3" xfId="20067" xr:uid="{00000000-0005-0000-0000-00006E370000}"/>
    <cellStyle name="40% - Accent1 2 3 2 3 2 3 2" xfId="9480" xr:uid="{00000000-0005-0000-0000-00006F370000}"/>
    <cellStyle name="40% - Accent1 2 3 2 3 2 3 2 2" xfId="31105" xr:uid="{00000000-0005-0000-0000-000070370000}"/>
    <cellStyle name="40% - Accent1 2 3 2 3 2 3 3" xfId="17333" xr:uid="{00000000-0005-0000-0000-000071370000}"/>
    <cellStyle name="40% - Accent1 2 3 2 3 2 4" xfId="19298" xr:uid="{00000000-0005-0000-0000-000072370000}"/>
    <cellStyle name="40% - Accent1 2 3 2 3 2 4 2" xfId="6052" xr:uid="{00000000-0005-0000-0000-000073370000}"/>
    <cellStyle name="40% - Accent1 2 3 2 3 2 5" xfId="20577" xr:uid="{00000000-0005-0000-0000-000074370000}"/>
    <cellStyle name="40% - Accent1 2 3 2 3 3" xfId="24285" xr:uid="{00000000-0005-0000-0000-000075370000}"/>
    <cellStyle name="40% - Accent1 2 3 2 3 3 2" xfId="23639" xr:uid="{00000000-0005-0000-0000-000076370000}"/>
    <cellStyle name="40% - Accent1 2 3 2 3 3 2 2" xfId="25727" xr:uid="{00000000-0005-0000-0000-000077370000}"/>
    <cellStyle name="40% - Accent1 2 3 2 3 3 2 2 2" xfId="30423" xr:uid="{00000000-0005-0000-0000-000078370000}"/>
    <cellStyle name="40% - Accent1 2 3 2 3 3 2 3" xfId="21146" xr:uid="{00000000-0005-0000-0000-000079370000}"/>
    <cellStyle name="40% - Accent1 2 3 2 3 3 3" xfId="30656" xr:uid="{00000000-0005-0000-0000-00007A370000}"/>
    <cellStyle name="40% - Accent1 2 3 2 3 3 3 2" xfId="13058" xr:uid="{00000000-0005-0000-0000-00007B370000}"/>
    <cellStyle name="40% - Accent1 2 3 2 3 3 4" xfId="20575" xr:uid="{00000000-0005-0000-0000-00007C370000}"/>
    <cellStyle name="40% - Accent1 2 3 2 3 4" xfId="17331" xr:uid="{00000000-0005-0000-0000-00007D370000}"/>
    <cellStyle name="40% - Accent1 2 3 2 3 4 2" xfId="17327" xr:uid="{00000000-0005-0000-0000-00007E370000}"/>
    <cellStyle name="40% - Accent1 2 3 2 3 4 2 2" xfId="25076" xr:uid="{00000000-0005-0000-0000-00007F370000}"/>
    <cellStyle name="40% - Accent1 2 3 2 3 4 3" xfId="17324" xr:uid="{00000000-0005-0000-0000-000080370000}"/>
    <cellStyle name="40% - Accent1 2 3 2 3 5" xfId="32872" xr:uid="{00000000-0005-0000-0000-000081370000}"/>
    <cellStyle name="40% - Accent1 2 3 2 3 5 2" xfId="17321" xr:uid="{00000000-0005-0000-0000-000082370000}"/>
    <cellStyle name="40% - Accent1 2 3 2 3 6" xfId="17316" xr:uid="{00000000-0005-0000-0000-000083370000}"/>
    <cellStyle name="40% - Accent1 2 3 2 4" xfId="17315" xr:uid="{00000000-0005-0000-0000-000084370000}"/>
    <cellStyle name="40% - Accent1 2 3 2 4 2" xfId="17314" xr:uid="{00000000-0005-0000-0000-000085370000}"/>
    <cellStyle name="40% - Accent1 2 3 2 4 2 2" xfId="32648" xr:uid="{00000000-0005-0000-0000-000086370000}"/>
    <cellStyle name="40% - Accent1 2 3 2 4 2 2 2" xfId="14896" xr:uid="{00000000-0005-0000-0000-000087370000}"/>
    <cellStyle name="40% - Accent1 2 3 2 4 2 2 2 2" xfId="25118" xr:uid="{00000000-0005-0000-0000-000088370000}"/>
    <cellStyle name="40% - Accent1 2 3 2 4 2 2 3" xfId="17313" xr:uid="{00000000-0005-0000-0000-000089370000}"/>
    <cellStyle name="40% - Accent1 2 3 2 4 2 3" xfId="30400" xr:uid="{00000000-0005-0000-0000-00008A370000}"/>
    <cellStyle name="40% - Accent1 2 3 2 4 2 3 2" xfId="14870" xr:uid="{00000000-0005-0000-0000-00008B370000}"/>
    <cellStyle name="40% - Accent1 2 3 2 4 2 4" xfId="27366" xr:uid="{00000000-0005-0000-0000-00008C370000}"/>
    <cellStyle name="40% - Accent1 2 3 2 4 3" xfId="17311" xr:uid="{00000000-0005-0000-0000-00008D370000}"/>
    <cellStyle name="40% - Accent1 2 3 2 4 3 2" xfId="34113" xr:uid="{00000000-0005-0000-0000-00008E370000}"/>
    <cellStyle name="40% - Accent1 2 3 2 4 3 2 2" xfId="17367" xr:uid="{00000000-0005-0000-0000-00008F370000}"/>
    <cellStyle name="40% - Accent1 2 3 2 4 3 3" xfId="32608" xr:uid="{00000000-0005-0000-0000-000090370000}"/>
    <cellStyle name="40% - Accent1 2 3 2 4 4" xfId="17309" xr:uid="{00000000-0005-0000-0000-000091370000}"/>
    <cellStyle name="40% - Accent1 2 3 2 4 4 2" xfId="32589" xr:uid="{00000000-0005-0000-0000-000092370000}"/>
    <cellStyle name="40% - Accent1 2 3 2 4 5" xfId="17307" xr:uid="{00000000-0005-0000-0000-000093370000}"/>
    <cellStyle name="40% - Accent1 2 3 2 5" xfId="17306" xr:uid="{00000000-0005-0000-0000-000094370000}"/>
    <cellStyle name="40% - Accent1 2 3 2 5 2" xfId="11396" xr:uid="{00000000-0005-0000-0000-000095370000}"/>
    <cellStyle name="40% - Accent1 2 3 2 5 2 2" xfId="14852" xr:uid="{00000000-0005-0000-0000-000096370000}"/>
    <cellStyle name="40% - Accent1 2 3 2 5 2 2 2" xfId="14373" xr:uid="{00000000-0005-0000-0000-000097370000}"/>
    <cellStyle name="40% - Accent1 2 3 2 5 2 3" xfId="26920" xr:uid="{00000000-0005-0000-0000-000098370000}"/>
    <cellStyle name="40% - Accent1 2 3 2 5 3" xfId="11389" xr:uid="{00000000-0005-0000-0000-000099370000}"/>
    <cellStyle name="40% - Accent1 2 3 2 5 3 2" xfId="29499" xr:uid="{00000000-0005-0000-0000-00009A370000}"/>
    <cellStyle name="40% - Accent1 2 3 2 5 4" xfId="17303" xr:uid="{00000000-0005-0000-0000-00009B370000}"/>
    <cellStyle name="40% - Accent1 2 3 2 6" xfId="24254" xr:uid="{00000000-0005-0000-0000-00009C370000}"/>
    <cellStyle name="40% - Accent1 2 3 2 6 2" xfId="17348" xr:uid="{00000000-0005-0000-0000-00009D370000}"/>
    <cellStyle name="40% - Accent1 2 3 2 6 2 2" xfId="23968" xr:uid="{00000000-0005-0000-0000-00009E370000}"/>
    <cellStyle name="40% - Accent1 2 3 2 6 3" xfId="30220" xr:uid="{00000000-0005-0000-0000-00009F370000}"/>
    <cellStyle name="40% - Accent1 2 3 2 7" xfId="24248" xr:uid="{00000000-0005-0000-0000-0000A0370000}"/>
    <cellStyle name="40% - Accent1 2 3 2 7 2" xfId="23100" xr:uid="{00000000-0005-0000-0000-0000A1370000}"/>
    <cellStyle name="40% - Accent1 2 3 2 8" xfId="23095" xr:uid="{00000000-0005-0000-0000-0000A2370000}"/>
    <cellStyle name="40% - Accent1 2 3 3" xfId="27460" xr:uid="{00000000-0005-0000-0000-0000A3370000}"/>
    <cellStyle name="40% - Accent1 2 3 3 2" xfId="17302" xr:uid="{00000000-0005-0000-0000-0000A4370000}"/>
    <cellStyle name="40% - Accent1 2 3 3 2 2" xfId="17301" xr:uid="{00000000-0005-0000-0000-0000A5370000}"/>
    <cellStyle name="40% - Accent1 2 3 3 2 2 2" xfId="17300" xr:uid="{00000000-0005-0000-0000-0000A6370000}"/>
    <cellStyle name="40% - Accent1 2 3 3 2 2 2 2" xfId="8800" xr:uid="{00000000-0005-0000-0000-0000A7370000}"/>
    <cellStyle name="40% - Accent1 2 3 3 2 2 2 2 2" xfId="30526" xr:uid="{00000000-0005-0000-0000-0000A8370000}"/>
    <cellStyle name="40% - Accent1 2 3 3 2 2 2 2 2 2" xfId="24636" xr:uid="{00000000-0005-0000-0000-0000A9370000}"/>
    <cellStyle name="40% - Accent1 2 3 3 2 2 2 2 3" xfId="20003" xr:uid="{00000000-0005-0000-0000-0000AA370000}"/>
    <cellStyle name="40% - Accent1 2 3 3 2 2 2 3" xfId="17299" xr:uid="{00000000-0005-0000-0000-0000AB370000}"/>
    <cellStyle name="40% - Accent1 2 3 3 2 2 2 3 2" xfId="17298" xr:uid="{00000000-0005-0000-0000-0000AC370000}"/>
    <cellStyle name="40% - Accent1 2 3 3 2 2 2 4" xfId="17293" xr:uid="{00000000-0005-0000-0000-0000AD370000}"/>
    <cellStyle name="40% - Accent1 2 3 3 2 2 3" xfId="17291" xr:uid="{00000000-0005-0000-0000-0000AE370000}"/>
    <cellStyle name="40% - Accent1 2 3 3 2 2 3 2" xfId="17290" xr:uid="{00000000-0005-0000-0000-0000AF370000}"/>
    <cellStyle name="40% - Accent1 2 3 3 2 2 3 2 2" xfId="17289" xr:uid="{00000000-0005-0000-0000-0000B0370000}"/>
    <cellStyle name="40% - Accent1 2 3 3 2 2 3 3" xfId="17285" xr:uid="{00000000-0005-0000-0000-0000B1370000}"/>
    <cellStyle name="40% - Accent1 2 3 3 2 2 4" xfId="24226" xr:uid="{00000000-0005-0000-0000-0000B2370000}"/>
    <cellStyle name="40% - Accent1 2 3 3 2 2 4 2" xfId="18714" xr:uid="{00000000-0005-0000-0000-0000B3370000}"/>
    <cellStyle name="40% - Accent1 2 3 3 2 2 5" xfId="22315" xr:uid="{00000000-0005-0000-0000-0000B4370000}"/>
    <cellStyle name="40% - Accent1 2 3 3 2 3" xfId="17284" xr:uid="{00000000-0005-0000-0000-0000B5370000}"/>
    <cellStyle name="40% - Accent1 2 3 3 2 3 2" xfId="17279" xr:uid="{00000000-0005-0000-0000-0000B6370000}"/>
    <cellStyle name="40% - Accent1 2 3 3 2 3 2 2" xfId="17276" xr:uid="{00000000-0005-0000-0000-0000B7370000}"/>
    <cellStyle name="40% - Accent1 2 3 3 2 3 2 2 2" xfId="17275" xr:uid="{00000000-0005-0000-0000-0000B8370000}"/>
    <cellStyle name="40% - Accent1 2 3 3 2 3 2 3" xfId="17272" xr:uid="{00000000-0005-0000-0000-0000B9370000}"/>
    <cellStyle name="40% - Accent1 2 3 3 2 3 3" xfId="17271" xr:uid="{00000000-0005-0000-0000-0000BA370000}"/>
    <cellStyle name="40% - Accent1 2 3 3 2 3 3 2" xfId="17268" xr:uid="{00000000-0005-0000-0000-0000BB370000}"/>
    <cellStyle name="40% - Accent1 2 3 3 2 3 4" xfId="30851" xr:uid="{00000000-0005-0000-0000-0000BC370000}"/>
    <cellStyle name="40% - Accent1 2 3 3 2 4" xfId="17267" xr:uid="{00000000-0005-0000-0000-0000BD370000}"/>
    <cellStyle name="40% - Accent1 2 3 3 2 4 2" xfId="9320" xr:uid="{00000000-0005-0000-0000-0000BE370000}"/>
    <cellStyle name="40% - Accent1 2 3 3 2 4 2 2" xfId="17257" xr:uid="{00000000-0005-0000-0000-0000BF370000}"/>
    <cellStyle name="40% - Accent1 2 3 3 2 4 3" xfId="9315" xr:uid="{00000000-0005-0000-0000-0000C0370000}"/>
    <cellStyle name="40% - Accent1 2 3 3 2 5" xfId="17256" xr:uid="{00000000-0005-0000-0000-0000C1370000}"/>
    <cellStyle name="40% - Accent1 2 3 3 2 5 2" xfId="10862" xr:uid="{00000000-0005-0000-0000-0000C2370000}"/>
    <cellStyle name="40% - Accent1 2 3 3 2 6" xfId="17252" xr:uid="{00000000-0005-0000-0000-0000C3370000}"/>
    <cellStyle name="40% - Accent1 2 3 3 3" xfId="17251" xr:uid="{00000000-0005-0000-0000-0000C4370000}"/>
    <cellStyle name="40% - Accent1 2 3 3 3 2" xfId="34144" xr:uid="{00000000-0005-0000-0000-0000C5370000}"/>
    <cellStyle name="40% - Accent1 2 3 3 3 2 2" xfId="26453" xr:uid="{00000000-0005-0000-0000-0000C6370000}"/>
    <cellStyle name="40% - Accent1 2 3 3 3 2 2 2" xfId="16875" xr:uid="{00000000-0005-0000-0000-0000C7370000}"/>
    <cellStyle name="40% - Accent1 2 3 3 3 2 2 2 2" xfId="17250" xr:uid="{00000000-0005-0000-0000-0000C8370000}"/>
    <cellStyle name="40% - Accent1 2 3 3 3 2 2 3" xfId="17243" xr:uid="{00000000-0005-0000-0000-0000C9370000}"/>
    <cellStyle name="40% - Accent1 2 3 3 3 2 3" xfId="31123" xr:uid="{00000000-0005-0000-0000-0000CA370000}"/>
    <cellStyle name="40% - Accent1 2 3 3 3 2 3 2" xfId="16842" xr:uid="{00000000-0005-0000-0000-0000CB370000}"/>
    <cellStyle name="40% - Accent1 2 3 3 3 2 4" xfId="32909" xr:uid="{00000000-0005-0000-0000-0000CC370000}"/>
    <cellStyle name="40% - Accent1 2 3 3 3 3" xfId="22597" xr:uid="{00000000-0005-0000-0000-0000CD370000}"/>
    <cellStyle name="40% - Accent1 2 3 3 3 3 2" xfId="17241" xr:uid="{00000000-0005-0000-0000-0000CE370000}"/>
    <cellStyle name="40% - Accent1 2 3 3 3 3 2 2" xfId="16227" xr:uid="{00000000-0005-0000-0000-0000CF370000}"/>
    <cellStyle name="40% - Accent1 2 3 3 3 3 3" xfId="17237" xr:uid="{00000000-0005-0000-0000-0000D0370000}"/>
    <cellStyle name="40% - Accent1 2 3 3 3 4" xfId="17236" xr:uid="{00000000-0005-0000-0000-0000D1370000}"/>
    <cellStyle name="40% - Accent1 2 3 3 3 4 2" xfId="9283" xr:uid="{00000000-0005-0000-0000-0000D2370000}"/>
    <cellStyle name="40% - Accent1 2 3 3 3 5" xfId="17230" xr:uid="{00000000-0005-0000-0000-0000D3370000}"/>
    <cellStyle name="40% - Accent1 2 3 3 4" xfId="25349" xr:uid="{00000000-0005-0000-0000-0000D4370000}"/>
    <cellStyle name="40% - Accent1 2 3 3 4 2" xfId="22591" xr:uid="{00000000-0005-0000-0000-0000D5370000}"/>
    <cellStyle name="40% - Accent1 2 3 3 4 2 2" xfId="32372" xr:uid="{00000000-0005-0000-0000-0000D6370000}"/>
    <cellStyle name="40% - Accent1 2 3 3 4 2 2 2" xfId="14720" xr:uid="{00000000-0005-0000-0000-0000D7370000}"/>
    <cellStyle name="40% - Accent1 2 3 3 4 2 3" xfId="28394" xr:uid="{00000000-0005-0000-0000-0000D8370000}"/>
    <cellStyle name="40% - Accent1 2 3 3 4 3" xfId="32706" xr:uid="{00000000-0005-0000-0000-0000D9370000}"/>
    <cellStyle name="40% - Accent1 2 3 3 4 3 2" xfId="24928" xr:uid="{00000000-0005-0000-0000-0000DA370000}"/>
    <cellStyle name="40% - Accent1 2 3 3 4 4" xfId="17228" xr:uid="{00000000-0005-0000-0000-0000DB370000}"/>
    <cellStyle name="40% - Accent1 2 3 3 5" xfId="17226" xr:uid="{00000000-0005-0000-0000-0000DC370000}"/>
    <cellStyle name="40% - Accent1 2 3 3 5 2" xfId="11357" xr:uid="{00000000-0005-0000-0000-0000DD370000}"/>
    <cellStyle name="40% - Accent1 2 3 3 5 2 2" xfId="29339" xr:uid="{00000000-0005-0000-0000-0000DE370000}"/>
    <cellStyle name="40% - Accent1 2 3 3 5 3" xfId="17225" xr:uid="{00000000-0005-0000-0000-0000DF370000}"/>
    <cellStyle name="40% - Accent1 2 3 3 6" xfId="18039" xr:uid="{00000000-0005-0000-0000-0000E0370000}"/>
    <cellStyle name="40% - Accent1 2 3 3 6 2" xfId="20354" xr:uid="{00000000-0005-0000-0000-0000E1370000}"/>
    <cellStyle name="40% - Accent1 2 3 3 7" xfId="23089" xr:uid="{00000000-0005-0000-0000-0000E2370000}"/>
    <cellStyle name="40% - Accent1 2 3 4" xfId="17224" xr:uid="{00000000-0005-0000-0000-0000E3370000}"/>
    <cellStyle name="40% - Accent1 2 3 4 2" xfId="17222" xr:uid="{00000000-0005-0000-0000-0000E4370000}"/>
    <cellStyle name="40% - Accent1 2 3 4 2 2" xfId="31520" xr:uid="{00000000-0005-0000-0000-0000E5370000}"/>
    <cellStyle name="40% - Accent1 2 3 4 2 2 2" xfId="14804" xr:uid="{00000000-0005-0000-0000-0000E6370000}"/>
    <cellStyle name="40% - Accent1 2 3 4 2 2 2 2" xfId="17221" xr:uid="{00000000-0005-0000-0000-0000E7370000}"/>
    <cellStyle name="40% - Accent1 2 3 4 2 2 2 2 2" xfId="17218" xr:uid="{00000000-0005-0000-0000-0000E8370000}"/>
    <cellStyle name="40% - Accent1 2 3 4 2 2 2 3" xfId="17214" xr:uid="{00000000-0005-0000-0000-0000E9370000}"/>
    <cellStyle name="40% - Accent1 2 3 4 2 2 3" xfId="17211" xr:uid="{00000000-0005-0000-0000-0000EA370000}"/>
    <cellStyle name="40% - Accent1 2 3 4 2 2 3 2" xfId="17208" xr:uid="{00000000-0005-0000-0000-0000EB370000}"/>
    <cellStyle name="40% - Accent1 2 3 4 2 2 4" xfId="17371" xr:uid="{00000000-0005-0000-0000-0000EC370000}"/>
    <cellStyle name="40% - Accent1 2 3 4 2 3" xfId="29202" xr:uid="{00000000-0005-0000-0000-0000ED370000}"/>
    <cellStyle name="40% - Accent1 2 3 4 2 3 2" xfId="14767" xr:uid="{00000000-0005-0000-0000-0000EE370000}"/>
    <cellStyle name="40% - Accent1 2 3 4 2 3 2 2" xfId="17202" xr:uid="{00000000-0005-0000-0000-0000EF370000}"/>
    <cellStyle name="40% - Accent1 2 3 4 2 3 3" xfId="17199" xr:uid="{00000000-0005-0000-0000-0000F0370000}"/>
    <cellStyle name="40% - Accent1 2 3 4 2 4" xfId="33530" xr:uid="{00000000-0005-0000-0000-0000F1370000}"/>
    <cellStyle name="40% - Accent1 2 3 4 2 4 2" xfId="9251" xr:uid="{00000000-0005-0000-0000-0000F2370000}"/>
    <cellStyle name="40% - Accent1 2 3 4 2 5" xfId="17197" xr:uid="{00000000-0005-0000-0000-0000F3370000}"/>
    <cellStyle name="40% - Accent1 2 3 4 3" xfId="20377" xr:uid="{00000000-0005-0000-0000-0000F4370000}"/>
    <cellStyle name="40% - Accent1 2 3 4 3 2" xfId="22573" xr:uid="{00000000-0005-0000-0000-0000F5370000}"/>
    <cellStyle name="40% - Accent1 2 3 4 3 2 2" xfId="17196" xr:uid="{00000000-0005-0000-0000-0000F6370000}"/>
    <cellStyle name="40% - Accent1 2 3 4 3 2 2 2" xfId="6300" xr:uid="{00000000-0005-0000-0000-0000F7370000}"/>
    <cellStyle name="40% - Accent1 2 3 4 3 2 3" xfId="17193" xr:uid="{00000000-0005-0000-0000-0000F8370000}"/>
    <cellStyle name="40% - Accent1 2 3 4 3 3" xfId="33761" xr:uid="{00000000-0005-0000-0000-0000F9370000}"/>
    <cellStyle name="40% - Accent1 2 3 4 3 3 2" xfId="14702" xr:uid="{00000000-0005-0000-0000-0000FA370000}"/>
    <cellStyle name="40% - Accent1 2 3 4 3 4" xfId="17189" xr:uid="{00000000-0005-0000-0000-0000FB370000}"/>
    <cellStyle name="40% - Accent1 2 3 4 4" xfId="20367" xr:uid="{00000000-0005-0000-0000-0000FC370000}"/>
    <cellStyle name="40% - Accent1 2 3 4 4 2" xfId="26889" xr:uid="{00000000-0005-0000-0000-0000FD370000}"/>
    <cellStyle name="40% - Accent1 2 3 4 4 2 2" xfId="32335" xr:uid="{00000000-0005-0000-0000-0000FE370000}"/>
    <cellStyle name="40% - Accent1 2 3 4 4 3" xfId="26887" xr:uid="{00000000-0005-0000-0000-0000FF370000}"/>
    <cellStyle name="40% - Accent1 2 3 4 5" xfId="17186" xr:uid="{00000000-0005-0000-0000-000000380000}"/>
    <cellStyle name="40% - Accent1 2 3 4 5 2" xfId="26882" xr:uid="{00000000-0005-0000-0000-000001380000}"/>
    <cellStyle name="40% - Accent1 2 3 4 6" xfId="23084" xr:uid="{00000000-0005-0000-0000-000002380000}"/>
    <cellStyle name="40% - Accent1 2 3 5" xfId="19555" xr:uid="{00000000-0005-0000-0000-000003380000}"/>
    <cellStyle name="40% - Accent1 2 3 5 2" xfId="19554" xr:uid="{00000000-0005-0000-0000-000004380000}"/>
    <cellStyle name="40% - Accent1 2 3 5 2 2" xfId="22829" xr:uid="{00000000-0005-0000-0000-000005380000}"/>
    <cellStyle name="40% - Accent1 2 3 5 2 2 2" xfId="14308" xr:uid="{00000000-0005-0000-0000-000006380000}"/>
    <cellStyle name="40% - Accent1 2 3 5 2 2 2 2" xfId="21097" xr:uid="{00000000-0005-0000-0000-000007380000}"/>
    <cellStyle name="40% - Accent1 2 3 5 2 2 3" xfId="17260" xr:uid="{00000000-0005-0000-0000-000008380000}"/>
    <cellStyle name="40% - Accent1 2 3 5 2 3" xfId="19742" xr:uid="{00000000-0005-0000-0000-000009380000}"/>
    <cellStyle name="40% - Accent1 2 3 5 2 3 2" xfId="14291" xr:uid="{00000000-0005-0000-0000-00000A380000}"/>
    <cellStyle name="40% - Accent1 2 3 5 2 4" xfId="17185" xr:uid="{00000000-0005-0000-0000-00000B380000}"/>
    <cellStyle name="40% - Accent1 2 3 5 3" xfId="20363" xr:uid="{00000000-0005-0000-0000-00000C380000}"/>
    <cellStyle name="40% - Accent1 2 3 5 3 2" xfId="26400" xr:uid="{00000000-0005-0000-0000-00000D380000}"/>
    <cellStyle name="40% - Accent1 2 3 5 3 2 2" xfId="14269" xr:uid="{00000000-0005-0000-0000-00000E380000}"/>
    <cellStyle name="40% - Accent1 2 3 5 3 3" xfId="17184" xr:uid="{00000000-0005-0000-0000-00000F380000}"/>
    <cellStyle name="40% - Accent1 2 3 5 4" xfId="10478" xr:uid="{00000000-0005-0000-0000-000010380000}"/>
    <cellStyle name="40% - Accent1 2 3 5 4 2" xfId="24833" xr:uid="{00000000-0005-0000-0000-000011380000}"/>
    <cellStyle name="40% - Accent1 2 3 5 5" xfId="8387" xr:uid="{00000000-0005-0000-0000-000012380000}"/>
    <cellStyle name="40% - Accent1 2 3 6" xfId="19550" xr:uid="{00000000-0005-0000-0000-000013380000}"/>
    <cellStyle name="40% - Accent1 2 3 6 2" xfId="17180" xr:uid="{00000000-0005-0000-0000-000014380000}"/>
    <cellStyle name="40% - Accent1 2 3 6 2 2" xfId="23049" xr:uid="{00000000-0005-0000-0000-000015380000}"/>
    <cellStyle name="40% - Accent1 2 3 6 2 2 2" xfId="13935" xr:uid="{00000000-0005-0000-0000-000016380000}"/>
    <cellStyle name="40% - Accent1 2 3 6 2 3" xfId="17179" xr:uid="{00000000-0005-0000-0000-000017380000}"/>
    <cellStyle name="40% - Accent1 2 3 6 3" xfId="17176" xr:uid="{00000000-0005-0000-0000-000018380000}"/>
    <cellStyle name="40% - Accent1 2 3 6 3 2" xfId="17175" xr:uid="{00000000-0005-0000-0000-000019380000}"/>
    <cellStyle name="40% - Accent1 2 3 6 4" xfId="8359" xr:uid="{00000000-0005-0000-0000-00001A380000}"/>
    <cellStyle name="40% - Accent1 2 3 7" xfId="19120" xr:uid="{00000000-0005-0000-0000-00001B380000}"/>
    <cellStyle name="40% - Accent1 2 3 7 2" xfId="29972" xr:uid="{00000000-0005-0000-0000-00001C380000}"/>
    <cellStyle name="40% - Accent1 2 3 7 2 2" xfId="19112" xr:uid="{00000000-0005-0000-0000-00001D380000}"/>
    <cellStyle name="40% - Accent1 2 3 7 3" xfId="32243" xr:uid="{00000000-0005-0000-0000-00001E380000}"/>
    <cellStyle name="40% - Accent1 2 3 8" xfId="21470" xr:uid="{00000000-0005-0000-0000-00001F380000}"/>
    <cellStyle name="40% - Accent1 2 3 8 2" xfId="23589" xr:uid="{00000000-0005-0000-0000-000020380000}"/>
    <cellStyle name="40% - Accent1 2 3 9" xfId="19228" xr:uid="{00000000-0005-0000-0000-000021380000}"/>
    <cellStyle name="40% - Accent1 2 4" xfId="18871" xr:uid="{00000000-0005-0000-0000-000022380000}"/>
    <cellStyle name="40% - Accent1 2 4 2" xfId="17173" xr:uid="{00000000-0005-0000-0000-000023380000}"/>
    <cellStyle name="40% - Accent1 2 4 2 2" xfId="17170" xr:uid="{00000000-0005-0000-0000-000024380000}"/>
    <cellStyle name="40% - Accent1 2 4 2 2 2" xfId="19205" xr:uid="{00000000-0005-0000-0000-000025380000}"/>
    <cellStyle name="40% - Accent1 2 4 2 2 2 2" xfId="25264" xr:uid="{00000000-0005-0000-0000-000026380000}"/>
    <cellStyle name="40% - Accent1 2 4 2 2 2 2 2" xfId="17169" xr:uid="{00000000-0005-0000-0000-000027380000}"/>
    <cellStyle name="40% - Accent1 2 4 2 2 2 2 2 2" xfId="17168" xr:uid="{00000000-0005-0000-0000-000028380000}"/>
    <cellStyle name="40% - Accent1 2 4 2 2 2 2 2 2 2" xfId="23340" xr:uid="{00000000-0005-0000-0000-000029380000}"/>
    <cellStyle name="40% - Accent1 2 4 2 2 2 2 2 3" xfId="17167" xr:uid="{00000000-0005-0000-0000-00002A380000}"/>
    <cellStyle name="40% - Accent1 2 4 2 2 2 2 3" xfId="17166" xr:uid="{00000000-0005-0000-0000-00002B380000}"/>
    <cellStyle name="40% - Accent1 2 4 2 2 2 2 3 2" xfId="17165" xr:uid="{00000000-0005-0000-0000-00002C380000}"/>
    <cellStyle name="40% - Accent1 2 4 2 2 2 2 4" xfId="17164" xr:uid="{00000000-0005-0000-0000-00002D380000}"/>
    <cellStyle name="40% - Accent1 2 4 2 2 2 3" xfId="17162" xr:uid="{00000000-0005-0000-0000-00002E380000}"/>
    <cellStyle name="40% - Accent1 2 4 2 2 2 3 2" xfId="28400" xr:uid="{00000000-0005-0000-0000-00002F380000}"/>
    <cellStyle name="40% - Accent1 2 4 2 2 2 3 2 2" xfId="28953" xr:uid="{00000000-0005-0000-0000-000030380000}"/>
    <cellStyle name="40% - Accent1 2 4 2 2 2 3 3" xfId="18456" xr:uid="{00000000-0005-0000-0000-000031380000}"/>
    <cellStyle name="40% - Accent1 2 4 2 2 2 4" xfId="18512" xr:uid="{00000000-0005-0000-0000-000032380000}"/>
    <cellStyle name="40% - Accent1 2 4 2 2 2 4 2" xfId="20351" xr:uid="{00000000-0005-0000-0000-000033380000}"/>
    <cellStyle name="40% - Accent1 2 4 2 2 2 5" xfId="24388" xr:uid="{00000000-0005-0000-0000-000034380000}"/>
    <cellStyle name="40% - Accent1 2 4 2 2 3" xfId="17159" xr:uid="{00000000-0005-0000-0000-000035380000}"/>
    <cellStyle name="40% - Accent1 2 4 2 2 3 2" xfId="17155" xr:uid="{00000000-0005-0000-0000-000036380000}"/>
    <cellStyle name="40% - Accent1 2 4 2 2 3 2 2" xfId="17150" xr:uid="{00000000-0005-0000-0000-000037380000}"/>
    <cellStyle name="40% - Accent1 2 4 2 2 3 2 2 2" xfId="17149" xr:uid="{00000000-0005-0000-0000-000038380000}"/>
    <cellStyle name="40% - Accent1 2 4 2 2 3 2 3" xfId="31427" xr:uid="{00000000-0005-0000-0000-000039380000}"/>
    <cellStyle name="40% - Accent1 2 4 2 2 3 3" xfId="17148" xr:uid="{00000000-0005-0000-0000-00003A380000}"/>
    <cellStyle name="40% - Accent1 2 4 2 2 3 3 2" xfId="15061" xr:uid="{00000000-0005-0000-0000-00003B380000}"/>
    <cellStyle name="40% - Accent1 2 4 2 2 3 4" xfId="18508" xr:uid="{00000000-0005-0000-0000-00003C380000}"/>
    <cellStyle name="40% - Accent1 2 4 2 2 4" xfId="17142" xr:uid="{00000000-0005-0000-0000-00003D380000}"/>
    <cellStyle name="40% - Accent1 2 4 2 2 4 2" xfId="17137" xr:uid="{00000000-0005-0000-0000-00003E380000}"/>
    <cellStyle name="40% - Accent1 2 4 2 2 4 2 2" xfId="17133" xr:uid="{00000000-0005-0000-0000-00003F380000}"/>
    <cellStyle name="40% - Accent1 2 4 2 2 4 3" xfId="17132" xr:uid="{00000000-0005-0000-0000-000040380000}"/>
    <cellStyle name="40% - Accent1 2 4 2 2 5" xfId="17125" xr:uid="{00000000-0005-0000-0000-000041380000}"/>
    <cellStyle name="40% - Accent1 2 4 2 2 5 2" xfId="17120" xr:uid="{00000000-0005-0000-0000-000042380000}"/>
    <cellStyle name="40% - Accent1 2 4 2 2 6" xfId="18978" xr:uid="{00000000-0005-0000-0000-000043380000}"/>
    <cellStyle name="40% - Accent1 2 4 2 3" xfId="17116" xr:uid="{00000000-0005-0000-0000-000044380000}"/>
    <cellStyle name="40% - Accent1 2 4 2 3 2" xfId="17114" xr:uid="{00000000-0005-0000-0000-000045380000}"/>
    <cellStyle name="40% - Accent1 2 4 2 3 2 2" xfId="17113" xr:uid="{00000000-0005-0000-0000-000046380000}"/>
    <cellStyle name="40% - Accent1 2 4 2 3 2 2 2" xfId="17111" xr:uid="{00000000-0005-0000-0000-000047380000}"/>
    <cellStyle name="40% - Accent1 2 4 2 3 2 2 2 2" xfId="17109" xr:uid="{00000000-0005-0000-0000-000048380000}"/>
    <cellStyle name="40% - Accent1 2 4 2 3 2 2 3" xfId="17106" xr:uid="{00000000-0005-0000-0000-000049380000}"/>
    <cellStyle name="40% - Accent1 2 4 2 3 2 3" xfId="30524" xr:uid="{00000000-0005-0000-0000-00004A380000}"/>
    <cellStyle name="40% - Accent1 2 4 2 3 2 3 2" xfId="28231" xr:uid="{00000000-0005-0000-0000-00004B380000}"/>
    <cellStyle name="40% - Accent1 2 4 2 3 2 4" xfId="18500" xr:uid="{00000000-0005-0000-0000-00004C380000}"/>
    <cellStyle name="40% - Accent1 2 4 2 3 3" xfId="17104" xr:uid="{00000000-0005-0000-0000-00004D380000}"/>
    <cellStyle name="40% - Accent1 2 4 2 3 3 2" xfId="17102" xr:uid="{00000000-0005-0000-0000-00004E380000}"/>
    <cellStyle name="40% - Accent1 2 4 2 3 3 2 2" xfId="6486" xr:uid="{00000000-0005-0000-0000-00004F380000}"/>
    <cellStyle name="40% - Accent1 2 4 2 3 3 3" xfId="17097" xr:uid="{00000000-0005-0000-0000-000050380000}"/>
    <cellStyle name="40% - Accent1 2 4 2 3 4" xfId="17094" xr:uid="{00000000-0005-0000-0000-000051380000}"/>
    <cellStyle name="40% - Accent1 2 4 2 3 4 2" xfId="17091" xr:uid="{00000000-0005-0000-0000-000052380000}"/>
    <cellStyle name="40% - Accent1 2 4 2 3 5" xfId="33500" xr:uid="{00000000-0005-0000-0000-000053380000}"/>
    <cellStyle name="40% - Accent1 2 4 2 4" xfId="17088" xr:uid="{00000000-0005-0000-0000-000054380000}"/>
    <cellStyle name="40% - Accent1 2 4 2 4 2" xfId="23184" xr:uid="{00000000-0005-0000-0000-000055380000}"/>
    <cellStyle name="40% - Accent1 2 4 2 4 2 2" xfId="34267" xr:uid="{00000000-0005-0000-0000-000056380000}"/>
    <cellStyle name="40% - Accent1 2 4 2 4 2 2 2" xfId="17086" xr:uid="{00000000-0005-0000-0000-000057380000}"/>
    <cellStyle name="40% - Accent1 2 4 2 4 2 3" xfId="28337" xr:uid="{00000000-0005-0000-0000-000058380000}"/>
    <cellStyle name="40% - Accent1 2 4 2 4 3" xfId="17084" xr:uid="{00000000-0005-0000-0000-000059380000}"/>
    <cellStyle name="40% - Accent1 2 4 2 4 3 2" xfId="31966" xr:uid="{00000000-0005-0000-0000-00005A380000}"/>
    <cellStyle name="40% - Accent1 2 4 2 4 4" xfId="17081" xr:uid="{00000000-0005-0000-0000-00005B380000}"/>
    <cellStyle name="40% - Accent1 2 4 2 5" xfId="17079" xr:uid="{00000000-0005-0000-0000-00005C380000}"/>
    <cellStyle name="40% - Accent1 2 4 2 5 2" xfId="17077" xr:uid="{00000000-0005-0000-0000-00005D380000}"/>
    <cellStyle name="40% - Accent1 2 4 2 5 2 2" xfId="29494" xr:uid="{00000000-0005-0000-0000-00005E380000}"/>
    <cellStyle name="40% - Accent1 2 4 2 5 3" xfId="17070" xr:uid="{00000000-0005-0000-0000-00005F380000}"/>
    <cellStyle name="40% - Accent1 2 4 2 6" xfId="28586" xr:uid="{00000000-0005-0000-0000-000060380000}"/>
    <cellStyle name="40% - Accent1 2 4 2 6 2" xfId="22983" xr:uid="{00000000-0005-0000-0000-000061380000}"/>
    <cellStyle name="40% - Accent1 2 4 2 7" xfId="22977" xr:uid="{00000000-0005-0000-0000-000062380000}"/>
    <cellStyle name="40% - Accent1 2 4 3" xfId="17068" xr:uid="{00000000-0005-0000-0000-000063380000}"/>
    <cellStyle name="40% - Accent1 2 4 3 2" xfId="17066" xr:uid="{00000000-0005-0000-0000-000064380000}"/>
    <cellStyle name="40% - Accent1 2 4 3 2 2" xfId="17065" xr:uid="{00000000-0005-0000-0000-000065380000}"/>
    <cellStyle name="40% - Accent1 2 4 3 2 2 2" xfId="11651" xr:uid="{00000000-0005-0000-0000-000066380000}"/>
    <cellStyle name="40% - Accent1 2 4 3 2 2 2 2" xfId="27669" xr:uid="{00000000-0005-0000-0000-000067380000}"/>
    <cellStyle name="40% - Accent1 2 4 3 2 2 2 2 2" xfId="17062" xr:uid="{00000000-0005-0000-0000-000068380000}"/>
    <cellStyle name="40% - Accent1 2 4 3 2 2 2 3" xfId="26145" xr:uid="{00000000-0005-0000-0000-000069380000}"/>
    <cellStyle name="40% - Accent1 2 4 3 2 2 3" xfId="17061" xr:uid="{00000000-0005-0000-0000-00006A380000}"/>
    <cellStyle name="40% - Accent1 2 4 3 2 2 3 2" xfId="20552" xr:uid="{00000000-0005-0000-0000-00006B380000}"/>
    <cellStyle name="40% - Accent1 2 4 3 2 2 4" xfId="30022" xr:uid="{00000000-0005-0000-0000-00006C380000}"/>
    <cellStyle name="40% - Accent1 2 4 3 2 3" xfId="17057" xr:uid="{00000000-0005-0000-0000-00006D380000}"/>
    <cellStyle name="40% - Accent1 2 4 3 2 3 2" xfId="17054" xr:uid="{00000000-0005-0000-0000-00006E380000}"/>
    <cellStyle name="40% - Accent1 2 4 3 2 3 2 2" xfId="5323" xr:uid="{00000000-0005-0000-0000-00006F380000}"/>
    <cellStyle name="40% - Accent1 2 4 3 2 3 3" xfId="17048" xr:uid="{00000000-0005-0000-0000-000070380000}"/>
    <cellStyle name="40% - Accent1 2 4 3 2 4" xfId="17044" xr:uid="{00000000-0005-0000-0000-000071380000}"/>
    <cellStyle name="40% - Accent1 2 4 3 2 4 2" xfId="9157" xr:uid="{00000000-0005-0000-0000-000072380000}"/>
    <cellStyle name="40% - Accent1 2 4 3 2 5" xfId="17040" xr:uid="{00000000-0005-0000-0000-000073380000}"/>
    <cellStyle name="40% - Accent1 2 4 3 3" xfId="17039" xr:uid="{00000000-0005-0000-0000-000074380000}"/>
    <cellStyle name="40% - Accent1 2 4 3 3 2" xfId="23700" xr:uid="{00000000-0005-0000-0000-000075380000}"/>
    <cellStyle name="40% - Accent1 2 4 3 3 2 2" xfId="17037" xr:uid="{00000000-0005-0000-0000-000076380000}"/>
    <cellStyle name="40% - Accent1 2 4 3 3 2 2 2" xfId="23584" xr:uid="{00000000-0005-0000-0000-000077380000}"/>
    <cellStyle name="40% - Accent1 2 4 3 3 2 3" xfId="22870" xr:uid="{00000000-0005-0000-0000-000078380000}"/>
    <cellStyle name="40% - Accent1 2 4 3 3 3" xfId="17034" xr:uid="{00000000-0005-0000-0000-000079380000}"/>
    <cellStyle name="40% - Accent1 2 4 3 3 3 2" xfId="17031" xr:uid="{00000000-0005-0000-0000-00007A380000}"/>
    <cellStyle name="40% - Accent1 2 4 3 3 4" xfId="17025" xr:uid="{00000000-0005-0000-0000-00007B380000}"/>
    <cellStyle name="40% - Accent1 2 4 3 4" xfId="17024" xr:uid="{00000000-0005-0000-0000-00007C380000}"/>
    <cellStyle name="40% - Accent1 2 4 3 4 2" xfId="34378" xr:uid="{00000000-0005-0000-0000-00007D380000}"/>
    <cellStyle name="40% - Accent1 2 4 3 4 2 2" xfId="31740" xr:uid="{00000000-0005-0000-0000-00007E380000}"/>
    <cellStyle name="40% - Accent1 2 4 3 4 3" xfId="17022" xr:uid="{00000000-0005-0000-0000-00007F380000}"/>
    <cellStyle name="40% - Accent1 2 4 3 5" xfId="17019" xr:uid="{00000000-0005-0000-0000-000080380000}"/>
    <cellStyle name="40% - Accent1 2 4 3 5 2" xfId="17017" xr:uid="{00000000-0005-0000-0000-000081380000}"/>
    <cellStyle name="40% - Accent1 2 4 3 6" xfId="22973" xr:uid="{00000000-0005-0000-0000-000082380000}"/>
    <cellStyle name="40% - Accent1 2 4 4" xfId="17015" xr:uid="{00000000-0005-0000-0000-000083380000}"/>
    <cellStyle name="40% - Accent1 2 4 4 2" xfId="17014" xr:uid="{00000000-0005-0000-0000-000084380000}"/>
    <cellStyle name="40% - Accent1 2 4 4 2 2" xfId="29157" xr:uid="{00000000-0005-0000-0000-000085380000}"/>
    <cellStyle name="40% - Accent1 2 4 4 2 2 2" xfId="14283" xr:uid="{00000000-0005-0000-0000-000086380000}"/>
    <cellStyle name="40% - Accent1 2 4 4 2 2 2 2" xfId="20254" xr:uid="{00000000-0005-0000-0000-000087380000}"/>
    <cellStyle name="40% - Accent1 2 4 4 2 2 3" xfId="17012" xr:uid="{00000000-0005-0000-0000-000088380000}"/>
    <cellStyle name="40% - Accent1 2 4 4 2 3" xfId="29153" xr:uid="{00000000-0005-0000-0000-000089380000}"/>
    <cellStyle name="40% - Accent1 2 4 4 2 3 2" xfId="14248" xr:uid="{00000000-0005-0000-0000-00008A380000}"/>
    <cellStyle name="40% - Accent1 2 4 4 2 4" xfId="33734" xr:uid="{00000000-0005-0000-0000-00008B380000}"/>
    <cellStyle name="40% - Accent1 2 4 4 3" xfId="20359" xr:uid="{00000000-0005-0000-0000-00008C380000}"/>
    <cellStyle name="40% - Accent1 2 4 4 3 2" xfId="29144" xr:uid="{00000000-0005-0000-0000-00008D380000}"/>
    <cellStyle name="40% - Accent1 2 4 4 3 2 2" xfId="13921" xr:uid="{00000000-0005-0000-0000-00008E380000}"/>
    <cellStyle name="40% - Accent1 2 4 4 3 3" xfId="33872" xr:uid="{00000000-0005-0000-0000-00008F380000}"/>
    <cellStyle name="40% - Accent1 2 4 4 4" xfId="17003" xr:uid="{00000000-0005-0000-0000-000090380000}"/>
    <cellStyle name="40% - Accent1 2 4 4 4 2" xfId="30612" xr:uid="{00000000-0005-0000-0000-000091380000}"/>
    <cellStyle name="40% - Accent1 2 4 4 5" xfId="17000" xr:uid="{00000000-0005-0000-0000-000092380000}"/>
    <cellStyle name="40% - Accent1 2 4 5" xfId="19545" xr:uid="{00000000-0005-0000-0000-000093380000}"/>
    <cellStyle name="40% - Accent1 2 4 5 2" xfId="16996" xr:uid="{00000000-0005-0000-0000-000094380000}"/>
    <cellStyle name="40% - Accent1 2 4 5 2 2" xfId="22740" xr:uid="{00000000-0005-0000-0000-000095380000}"/>
    <cellStyle name="40% - Accent1 2 4 5 2 2 2" xfId="12275" xr:uid="{00000000-0005-0000-0000-000096380000}"/>
    <cellStyle name="40% - Accent1 2 4 5 2 3" xfId="16991" xr:uid="{00000000-0005-0000-0000-000097380000}"/>
    <cellStyle name="40% - Accent1 2 4 5 3" xfId="16990" xr:uid="{00000000-0005-0000-0000-000098380000}"/>
    <cellStyle name="40% - Accent1 2 4 5 3 2" xfId="16986" xr:uid="{00000000-0005-0000-0000-000099380000}"/>
    <cellStyle name="40% - Accent1 2 4 5 4" xfId="8296" xr:uid="{00000000-0005-0000-0000-00009A380000}"/>
    <cellStyle name="40% - Accent1 2 4 6" xfId="27559" xr:uid="{00000000-0005-0000-0000-00009B380000}"/>
    <cellStyle name="40% - Accent1 2 4 6 2" xfId="16982" xr:uid="{00000000-0005-0000-0000-00009C380000}"/>
    <cellStyle name="40% - Accent1 2 4 6 2 2" xfId="18827" xr:uid="{00000000-0005-0000-0000-00009D380000}"/>
    <cellStyle name="40% - Accent1 2 4 6 3" xfId="16980" xr:uid="{00000000-0005-0000-0000-00009E380000}"/>
    <cellStyle name="40% - Accent1 2 4 7" xfId="19099" xr:uid="{00000000-0005-0000-0000-00009F380000}"/>
    <cellStyle name="40% - Accent1 2 4 7 2" xfId="23579" xr:uid="{00000000-0005-0000-0000-0000A0380000}"/>
    <cellStyle name="40% - Accent1 2 4 8" xfId="19091" xr:uid="{00000000-0005-0000-0000-0000A1380000}"/>
    <cellStyle name="40% - Accent1 2 4 9" xfId="34753" xr:uid="{00000000-0005-0000-0000-0000A2380000}"/>
    <cellStyle name="40% - Accent1 2 5" xfId="27395" xr:uid="{00000000-0005-0000-0000-0000A3380000}"/>
    <cellStyle name="40% - Accent1 2 5 2" xfId="16978" xr:uid="{00000000-0005-0000-0000-0000A4380000}"/>
    <cellStyle name="40% - Accent1 2 5 2 2" xfId="16977" xr:uid="{00000000-0005-0000-0000-0000A5380000}"/>
    <cellStyle name="40% - Accent1 2 5 2 2 2" xfId="16975" xr:uid="{00000000-0005-0000-0000-0000A6380000}"/>
    <cellStyle name="40% - Accent1 2 5 2 2 2 2" xfId="29626" xr:uid="{00000000-0005-0000-0000-0000A7380000}"/>
    <cellStyle name="40% - Accent1 2 5 2 2 2 2 2" xfId="16973" xr:uid="{00000000-0005-0000-0000-0000A8380000}"/>
    <cellStyle name="40% - Accent1 2 5 2 2 2 2 2 2" xfId="16970" xr:uid="{00000000-0005-0000-0000-0000A9380000}"/>
    <cellStyle name="40% - Accent1 2 5 2 2 2 2 3" xfId="16965" xr:uid="{00000000-0005-0000-0000-0000AA380000}"/>
    <cellStyle name="40% - Accent1 2 5 2 2 2 3" xfId="32343" xr:uid="{00000000-0005-0000-0000-0000AB380000}"/>
    <cellStyle name="40% - Accent1 2 5 2 2 2 3 2" xfId="16963" xr:uid="{00000000-0005-0000-0000-0000AC380000}"/>
    <cellStyle name="40% - Accent1 2 5 2 2 2 4" xfId="16962" xr:uid="{00000000-0005-0000-0000-0000AD380000}"/>
    <cellStyle name="40% - Accent1 2 5 2 2 3" xfId="16960" xr:uid="{00000000-0005-0000-0000-0000AE380000}"/>
    <cellStyle name="40% - Accent1 2 5 2 2 3 2" xfId="27242" xr:uid="{00000000-0005-0000-0000-0000AF380000}"/>
    <cellStyle name="40% - Accent1 2 5 2 2 3 2 2" xfId="16959" xr:uid="{00000000-0005-0000-0000-0000B0380000}"/>
    <cellStyle name="40% - Accent1 2 5 2 2 3 3" xfId="24161" xr:uid="{00000000-0005-0000-0000-0000B1380000}"/>
    <cellStyle name="40% - Accent1 2 5 2 2 4" xfId="16958" xr:uid="{00000000-0005-0000-0000-0000B2380000}"/>
    <cellStyle name="40% - Accent1 2 5 2 2 4 2" xfId="16953" xr:uid="{00000000-0005-0000-0000-0000B3380000}"/>
    <cellStyle name="40% - Accent1 2 5 2 2 5" xfId="16949" xr:uid="{00000000-0005-0000-0000-0000B4380000}"/>
    <cellStyle name="40% - Accent1 2 5 2 3" xfId="16947" xr:uid="{00000000-0005-0000-0000-0000B5380000}"/>
    <cellStyle name="40% - Accent1 2 5 2 3 2" xfId="16944" xr:uid="{00000000-0005-0000-0000-0000B6380000}"/>
    <cellStyle name="40% - Accent1 2 5 2 3 2 2" xfId="27193" xr:uid="{00000000-0005-0000-0000-0000B7380000}"/>
    <cellStyle name="40% - Accent1 2 5 2 3 2 2 2" xfId="10613" xr:uid="{00000000-0005-0000-0000-0000B8380000}"/>
    <cellStyle name="40% - Accent1 2 5 2 3 2 3" xfId="16942" xr:uid="{00000000-0005-0000-0000-0000B9380000}"/>
    <cellStyle name="40% - Accent1 2 5 2 3 3" xfId="16940" xr:uid="{00000000-0005-0000-0000-0000BA380000}"/>
    <cellStyle name="40% - Accent1 2 5 2 3 3 2" xfId="16938" xr:uid="{00000000-0005-0000-0000-0000BB380000}"/>
    <cellStyle name="40% - Accent1 2 5 2 3 4" xfId="16937" xr:uid="{00000000-0005-0000-0000-0000BC380000}"/>
    <cellStyle name="40% - Accent1 2 5 2 4" xfId="17883" xr:uid="{00000000-0005-0000-0000-0000BD380000}"/>
    <cellStyle name="40% - Accent1 2 5 2 4 2" xfId="16936" xr:uid="{00000000-0005-0000-0000-0000BE380000}"/>
    <cellStyle name="40% - Accent1 2 5 2 4 2 2" xfId="34312" xr:uid="{00000000-0005-0000-0000-0000BF380000}"/>
    <cellStyle name="40% - Accent1 2 5 2 4 3" xfId="16933" xr:uid="{00000000-0005-0000-0000-0000C0380000}"/>
    <cellStyle name="40% - Accent1 2 5 2 5" xfId="17608" xr:uid="{00000000-0005-0000-0000-0000C1380000}"/>
    <cellStyle name="40% - Accent1 2 5 2 5 2" xfId="12145" xr:uid="{00000000-0005-0000-0000-0000C2380000}"/>
    <cellStyle name="40% - Accent1 2 5 2 6" xfId="18824" xr:uid="{00000000-0005-0000-0000-0000C3380000}"/>
    <cellStyle name="40% - Accent1 2 5 3" xfId="16930" xr:uid="{00000000-0005-0000-0000-0000C4380000}"/>
    <cellStyle name="40% - Accent1 2 5 3 2" xfId="16929" xr:uid="{00000000-0005-0000-0000-0000C5380000}"/>
    <cellStyle name="40% - Accent1 2 5 3 2 2" xfId="16926" xr:uid="{00000000-0005-0000-0000-0000C6380000}"/>
    <cellStyle name="40% - Accent1 2 5 3 2 2 2" xfId="31555" xr:uid="{00000000-0005-0000-0000-0000C7380000}"/>
    <cellStyle name="40% - Accent1 2 5 3 2 2 2 2" xfId="31431" xr:uid="{00000000-0005-0000-0000-0000C8380000}"/>
    <cellStyle name="40% - Accent1 2 5 3 2 2 3" xfId="16920" xr:uid="{00000000-0005-0000-0000-0000C9380000}"/>
    <cellStyle name="40% - Accent1 2 5 3 2 3" xfId="16914" xr:uid="{00000000-0005-0000-0000-0000CA380000}"/>
    <cellStyle name="40% - Accent1 2 5 3 2 3 2" xfId="16910" xr:uid="{00000000-0005-0000-0000-0000CB380000}"/>
    <cellStyle name="40% - Accent1 2 5 3 2 4" xfId="16907" xr:uid="{00000000-0005-0000-0000-0000CC380000}"/>
    <cellStyle name="40% - Accent1 2 5 3 3" xfId="16904" xr:uid="{00000000-0005-0000-0000-0000CD380000}"/>
    <cellStyle name="40% - Accent1 2 5 3 3 2" xfId="16902" xr:uid="{00000000-0005-0000-0000-0000CE380000}"/>
    <cellStyle name="40% - Accent1 2 5 3 3 2 2" xfId="16899" xr:uid="{00000000-0005-0000-0000-0000CF380000}"/>
    <cellStyle name="40% - Accent1 2 5 3 3 3" xfId="16898" xr:uid="{00000000-0005-0000-0000-0000D0380000}"/>
    <cellStyle name="40% - Accent1 2 5 3 4" xfId="17596" xr:uid="{00000000-0005-0000-0000-0000D1380000}"/>
    <cellStyle name="40% - Accent1 2 5 3 4 2" xfId="16895" xr:uid="{00000000-0005-0000-0000-0000D2380000}"/>
    <cellStyle name="40% - Accent1 2 5 3 5" xfId="17590" xr:uid="{00000000-0005-0000-0000-0000D3380000}"/>
    <cellStyle name="40% - Accent1 2 5 4" xfId="16892" xr:uid="{00000000-0005-0000-0000-0000D4380000}"/>
    <cellStyle name="40% - Accent1 2 5 4 2" xfId="16891" xr:uid="{00000000-0005-0000-0000-0000D5380000}"/>
    <cellStyle name="40% - Accent1 2 5 4 2 2" xfId="22270" xr:uid="{00000000-0005-0000-0000-0000D6380000}"/>
    <cellStyle name="40% - Accent1 2 5 4 2 2 2" xfId="10386" xr:uid="{00000000-0005-0000-0000-0000D7380000}"/>
    <cellStyle name="40% - Accent1 2 5 4 2 3" xfId="16890" xr:uid="{00000000-0005-0000-0000-0000D8380000}"/>
    <cellStyle name="40% - Accent1 2 5 4 3" xfId="16887" xr:uid="{00000000-0005-0000-0000-0000D9380000}"/>
    <cellStyle name="40% - Accent1 2 5 4 3 2" xfId="16885" xr:uid="{00000000-0005-0000-0000-0000DA380000}"/>
    <cellStyle name="40% - Accent1 2 5 4 4" xfId="17579" xr:uid="{00000000-0005-0000-0000-0000DB380000}"/>
    <cellStyle name="40% - Accent1 2 5 5" xfId="27557" xr:uid="{00000000-0005-0000-0000-0000DC380000}"/>
    <cellStyle name="40% - Accent1 2 5 5 2" xfId="34027" xr:uid="{00000000-0005-0000-0000-0000DD380000}"/>
    <cellStyle name="40% - Accent1 2 5 5 2 2" xfId="12406" xr:uid="{00000000-0005-0000-0000-0000DE380000}"/>
    <cellStyle name="40% - Accent1 2 5 5 3" xfId="29265" xr:uid="{00000000-0005-0000-0000-0000DF380000}"/>
    <cellStyle name="40% - Accent1 2 5 6" xfId="16881" xr:uid="{00000000-0005-0000-0000-0000E0380000}"/>
    <cellStyle name="40% - Accent1 2 5 6 2" xfId="29358" xr:uid="{00000000-0005-0000-0000-0000E1380000}"/>
    <cellStyle name="40% - Accent1 2 5 7" xfId="6441" xr:uid="{00000000-0005-0000-0000-0000E2380000}"/>
    <cellStyle name="40% - Accent1 2 5 8" xfId="34943" xr:uid="{00000000-0005-0000-0000-0000E3380000}"/>
    <cellStyle name="40% - Accent1 2 6" xfId="10572" xr:uid="{00000000-0005-0000-0000-0000E4380000}"/>
    <cellStyle name="40% - Accent1 2 6 2" xfId="16874" xr:uid="{00000000-0005-0000-0000-0000E5380000}"/>
    <cellStyle name="40% - Accent1 2 6 2 2" xfId="16873" xr:uid="{00000000-0005-0000-0000-0000E6380000}"/>
    <cellStyle name="40% - Accent1 2 6 2 2 2" xfId="16870" xr:uid="{00000000-0005-0000-0000-0000E7380000}"/>
    <cellStyle name="40% - Accent1 2 6 2 2 2 2" xfId="26169" xr:uid="{00000000-0005-0000-0000-0000E8380000}"/>
    <cellStyle name="40% - Accent1 2 6 2 2 2 2 2" xfId="24776" xr:uid="{00000000-0005-0000-0000-0000E9380000}"/>
    <cellStyle name="40% - Accent1 2 6 2 2 2 3" xfId="26095" xr:uid="{00000000-0005-0000-0000-0000EA380000}"/>
    <cellStyle name="40% - Accent1 2 6 2 2 3" xfId="16869" xr:uid="{00000000-0005-0000-0000-0000EB380000}"/>
    <cellStyle name="40% - Accent1 2 6 2 2 3 2" xfId="16864" xr:uid="{00000000-0005-0000-0000-0000EC380000}"/>
    <cellStyle name="40% - Accent1 2 6 2 2 4" xfId="16862" xr:uid="{00000000-0005-0000-0000-0000ED380000}"/>
    <cellStyle name="40% - Accent1 2 6 2 3" xfId="17577" xr:uid="{00000000-0005-0000-0000-0000EE380000}"/>
    <cellStyle name="40% - Accent1 2 6 2 3 2" xfId="24087" xr:uid="{00000000-0005-0000-0000-0000EF380000}"/>
    <cellStyle name="40% - Accent1 2 6 2 3 2 2" xfId="27219" xr:uid="{00000000-0005-0000-0000-0000F0380000}"/>
    <cellStyle name="40% - Accent1 2 6 2 3 3" xfId="33942" xr:uid="{00000000-0005-0000-0000-0000F1380000}"/>
    <cellStyle name="40% - Accent1 2 6 2 4" xfId="17570" xr:uid="{00000000-0005-0000-0000-0000F2380000}"/>
    <cellStyle name="40% - Accent1 2 6 2 4 2" xfId="30796" xr:uid="{00000000-0005-0000-0000-0000F3380000}"/>
    <cellStyle name="40% - Accent1 2 6 2 5" xfId="17563" xr:uid="{00000000-0005-0000-0000-0000F4380000}"/>
    <cellStyle name="40% - Accent1 2 6 3" xfId="31637" xr:uid="{00000000-0005-0000-0000-0000F5380000}"/>
    <cellStyle name="40% - Accent1 2 6 3 2" xfId="31199" xr:uid="{00000000-0005-0000-0000-0000F6380000}"/>
    <cellStyle name="40% - Accent1 2 6 3 2 2" xfId="16860" xr:uid="{00000000-0005-0000-0000-0000F7380000}"/>
    <cellStyle name="40% - Accent1 2 6 3 2 2 2" xfId="16858" xr:uid="{00000000-0005-0000-0000-0000F8380000}"/>
    <cellStyle name="40% - Accent1 2 6 3 2 3" xfId="16857" xr:uid="{00000000-0005-0000-0000-0000F9380000}"/>
    <cellStyle name="40% - Accent1 2 6 3 3" xfId="17552" xr:uid="{00000000-0005-0000-0000-0000FA380000}"/>
    <cellStyle name="40% - Accent1 2 6 3 3 2" xfId="33171" xr:uid="{00000000-0005-0000-0000-0000FB380000}"/>
    <cellStyle name="40% - Accent1 2 6 3 4" xfId="17544" xr:uid="{00000000-0005-0000-0000-0000FC380000}"/>
    <cellStyle name="40% - Accent1 2 6 4" xfId="16853" xr:uid="{00000000-0005-0000-0000-0000FD380000}"/>
    <cellStyle name="40% - Accent1 2 6 4 2" xfId="34063" xr:uid="{00000000-0005-0000-0000-0000FE380000}"/>
    <cellStyle name="40% - Accent1 2 6 4 2 2" xfId="16852" xr:uid="{00000000-0005-0000-0000-0000FF380000}"/>
    <cellStyle name="40% - Accent1 2 6 4 3" xfId="17537" xr:uid="{00000000-0005-0000-0000-000000390000}"/>
    <cellStyle name="40% - Accent1 2 6 5" xfId="16848" xr:uid="{00000000-0005-0000-0000-000001390000}"/>
    <cellStyle name="40% - Accent1 2 6 5 2" xfId="30431" xr:uid="{00000000-0005-0000-0000-000002390000}"/>
    <cellStyle name="40% - Accent1 2 6 6" xfId="16844" xr:uid="{00000000-0005-0000-0000-000003390000}"/>
    <cellStyle name="40% - Accent1 2 6 7" xfId="35148" xr:uid="{00000000-0005-0000-0000-000004390000}"/>
    <cellStyle name="40% - Accent1 2 7" xfId="16841" xr:uid="{00000000-0005-0000-0000-000005390000}"/>
    <cellStyle name="40% - Accent1 2 7 2" xfId="33484" xr:uid="{00000000-0005-0000-0000-000006390000}"/>
    <cellStyle name="40% - Accent1 2 7 2 2" xfId="33691" xr:uid="{00000000-0005-0000-0000-000007390000}"/>
    <cellStyle name="40% - Accent1 2 7 2 2 2" xfId="34075" xr:uid="{00000000-0005-0000-0000-000008390000}"/>
    <cellStyle name="40% - Accent1 2 7 2 2 2 2" xfId="6800" xr:uid="{00000000-0005-0000-0000-000009390000}"/>
    <cellStyle name="40% - Accent1 2 7 2 2 3" xfId="34124" xr:uid="{00000000-0005-0000-0000-00000A390000}"/>
    <cellStyle name="40% - Accent1 2 7 2 3" xfId="20006" xr:uid="{00000000-0005-0000-0000-00000B390000}"/>
    <cellStyle name="40% - Accent1 2 7 2 3 2" xfId="30546" xr:uid="{00000000-0005-0000-0000-00000C390000}"/>
    <cellStyle name="40% - Accent1 2 7 2 4" xfId="17528" xr:uid="{00000000-0005-0000-0000-00000D390000}"/>
    <cellStyle name="40% - Accent1 2 7 3" xfId="32416" xr:uid="{00000000-0005-0000-0000-00000E390000}"/>
    <cellStyle name="40% - Accent1 2 7 3 2" xfId="32098" xr:uid="{00000000-0005-0000-0000-00000F390000}"/>
    <cellStyle name="40% - Accent1 2 7 3 2 2" xfId="34046" xr:uid="{00000000-0005-0000-0000-000010390000}"/>
    <cellStyle name="40% - Accent1 2 7 3 3" xfId="18051" xr:uid="{00000000-0005-0000-0000-000011390000}"/>
    <cellStyle name="40% - Accent1 2 7 4" xfId="25559" xr:uid="{00000000-0005-0000-0000-000012390000}"/>
    <cellStyle name="40% - Accent1 2 7 4 2" xfId="33739" xr:uid="{00000000-0005-0000-0000-000013390000}"/>
    <cellStyle name="40% - Accent1 2 7 5" xfId="29219" xr:uid="{00000000-0005-0000-0000-000014390000}"/>
    <cellStyle name="40% - Accent1 2 7 6" xfId="35377" xr:uid="{00000000-0005-0000-0000-000015390000}"/>
    <cellStyle name="40% - Accent1 2 8" xfId="16840" xr:uid="{00000000-0005-0000-0000-000016390000}"/>
    <cellStyle name="40% - Accent1 2 8 2" xfId="25417" xr:uid="{00000000-0005-0000-0000-000017390000}"/>
    <cellStyle name="40% - Accent1 2 8 2 2" xfId="33547" xr:uid="{00000000-0005-0000-0000-000018390000}"/>
    <cellStyle name="40% - Accent1 2 8 2 2 2" xfId="6047" xr:uid="{00000000-0005-0000-0000-000019390000}"/>
    <cellStyle name="40% - Accent1 2 8 2 3" xfId="32017" xr:uid="{00000000-0005-0000-0000-00001A390000}"/>
    <cellStyle name="40% - Accent1 2 8 3" xfId="29905" xr:uid="{00000000-0005-0000-0000-00001B390000}"/>
    <cellStyle name="40% - Accent1 2 8 3 2" xfId="29900" xr:uid="{00000000-0005-0000-0000-00001C390000}"/>
    <cellStyle name="40% - Accent1 2 8 4" xfId="29576" xr:uid="{00000000-0005-0000-0000-00001D390000}"/>
    <cellStyle name="40% - Accent1 2 8 5" xfId="36249" xr:uid="{00000000-0005-0000-0000-00001E390000}"/>
    <cellStyle name="40% - Accent1 2 9" xfId="27055" xr:uid="{00000000-0005-0000-0000-00001F390000}"/>
    <cellStyle name="40% - Accent1 2 9 2" xfId="25404" xr:uid="{00000000-0005-0000-0000-000020390000}"/>
    <cellStyle name="40% - Accent1 2 9 2 2" xfId="25067" xr:uid="{00000000-0005-0000-0000-000021390000}"/>
    <cellStyle name="40% - Accent1 2 9 3" xfId="33024" xr:uid="{00000000-0005-0000-0000-000022390000}"/>
    <cellStyle name="40% - Accent1 2 9 4" xfId="36535" xr:uid="{00000000-0005-0000-0000-000023390000}"/>
    <cellStyle name="40% - Accent1 20" xfId="35699" xr:uid="{00000000-0005-0000-0000-000024390000}"/>
    <cellStyle name="40% - Accent1 20 2" xfId="36868" xr:uid="{00000000-0005-0000-0000-000025390000}"/>
    <cellStyle name="40% - Accent1 20 3" xfId="37759" xr:uid="{00000000-0005-0000-0000-000026390000}"/>
    <cellStyle name="40% - Accent1 21" xfId="35718" xr:uid="{00000000-0005-0000-0000-000027390000}"/>
    <cellStyle name="40% - Accent1 21 2" xfId="36888" xr:uid="{00000000-0005-0000-0000-000028390000}"/>
    <cellStyle name="40% - Accent1 21 3" xfId="37779" xr:uid="{00000000-0005-0000-0000-000029390000}"/>
    <cellStyle name="40% - Accent1 22" xfId="35737" xr:uid="{00000000-0005-0000-0000-00002A390000}"/>
    <cellStyle name="40% - Accent1 22 2" xfId="36908" xr:uid="{00000000-0005-0000-0000-00002B390000}"/>
    <cellStyle name="40% - Accent1 22 3" xfId="37799" xr:uid="{00000000-0005-0000-0000-00002C390000}"/>
    <cellStyle name="40% - Accent1 23" xfId="35757" xr:uid="{00000000-0005-0000-0000-00002D390000}"/>
    <cellStyle name="40% - Accent1 23 2" xfId="36927" xr:uid="{00000000-0005-0000-0000-00002E390000}"/>
    <cellStyle name="40% - Accent1 23 3" xfId="37819" xr:uid="{00000000-0005-0000-0000-00002F390000}"/>
    <cellStyle name="40% - Accent1 24" xfId="35777" xr:uid="{00000000-0005-0000-0000-000030390000}"/>
    <cellStyle name="40% - Accent1 24 2" xfId="36946" xr:uid="{00000000-0005-0000-0000-000031390000}"/>
    <cellStyle name="40% - Accent1 24 3" xfId="37839" xr:uid="{00000000-0005-0000-0000-000032390000}"/>
    <cellStyle name="40% - Accent1 25" xfId="35796" xr:uid="{00000000-0005-0000-0000-000033390000}"/>
    <cellStyle name="40% - Accent1 25 2" xfId="36966" xr:uid="{00000000-0005-0000-0000-000034390000}"/>
    <cellStyle name="40% - Accent1 25 3" xfId="37859" xr:uid="{00000000-0005-0000-0000-000035390000}"/>
    <cellStyle name="40% - Accent1 26" xfId="35815" xr:uid="{00000000-0005-0000-0000-000036390000}"/>
    <cellStyle name="40% - Accent1 26 2" xfId="36986" xr:uid="{00000000-0005-0000-0000-000037390000}"/>
    <cellStyle name="40% - Accent1 26 3" xfId="37879" xr:uid="{00000000-0005-0000-0000-000038390000}"/>
    <cellStyle name="40% - Accent1 27" xfId="35834" xr:uid="{00000000-0005-0000-0000-000039390000}"/>
    <cellStyle name="40% - Accent1 27 2" xfId="37006" xr:uid="{00000000-0005-0000-0000-00003A390000}"/>
    <cellStyle name="40% - Accent1 27 3" xfId="37899" xr:uid="{00000000-0005-0000-0000-00003B390000}"/>
    <cellStyle name="40% - Accent1 28" xfId="35853" xr:uid="{00000000-0005-0000-0000-00003C390000}"/>
    <cellStyle name="40% - Accent1 28 2" xfId="37026" xr:uid="{00000000-0005-0000-0000-00003D390000}"/>
    <cellStyle name="40% - Accent1 28 3" xfId="37919" xr:uid="{00000000-0005-0000-0000-00003E390000}"/>
    <cellStyle name="40% - Accent1 29" xfId="35877" xr:uid="{00000000-0005-0000-0000-00003F390000}"/>
    <cellStyle name="40% - Accent1 29 2" xfId="37049" xr:uid="{00000000-0005-0000-0000-000040390000}"/>
    <cellStyle name="40% - Accent1 29 3" xfId="37943" xr:uid="{00000000-0005-0000-0000-000041390000}"/>
    <cellStyle name="40% - Accent1 3" xfId="99" xr:uid="{00000000-0005-0000-0000-000042390000}"/>
    <cellStyle name="40% - Accent1 3 10" xfId="16838" xr:uid="{00000000-0005-0000-0000-000043390000}"/>
    <cellStyle name="40% - Accent1 3 10 2" xfId="37439" xr:uid="{00000000-0005-0000-0000-000044390000}"/>
    <cellStyle name="40% - Accent1 3 11" xfId="34453" xr:uid="{00000000-0005-0000-0000-000045390000}"/>
    <cellStyle name="40% - Accent1 3 12" xfId="30319" xr:uid="{00000000-0005-0000-0000-000046390000}"/>
    <cellStyle name="40% - Accent1 3 2" xfId="160" xr:uid="{00000000-0005-0000-0000-000047390000}"/>
    <cellStyle name="40% - Accent1 3 2 10" xfId="34508" xr:uid="{00000000-0005-0000-0000-000048390000}"/>
    <cellStyle name="40% - Accent1 3 2 11" xfId="16837" xr:uid="{00000000-0005-0000-0000-000049390000}"/>
    <cellStyle name="40% - Accent1 3 2 2" xfId="27319" xr:uid="{00000000-0005-0000-0000-00004A390000}"/>
    <cellStyle name="40% - Accent1 3 2 2 2" xfId="16836" xr:uid="{00000000-0005-0000-0000-00004B390000}"/>
    <cellStyle name="40% - Accent1 3 2 2 2 2" xfId="16835" xr:uid="{00000000-0005-0000-0000-00004C390000}"/>
    <cellStyle name="40% - Accent1 3 2 2 2 2 2" xfId="16834" xr:uid="{00000000-0005-0000-0000-00004D390000}"/>
    <cellStyle name="40% - Accent1 3 2 2 2 2 2 2" xfId="6448" xr:uid="{00000000-0005-0000-0000-00004E390000}"/>
    <cellStyle name="40% - Accent1 3 2 2 2 2 2 2 2" xfId="16833" xr:uid="{00000000-0005-0000-0000-00004F390000}"/>
    <cellStyle name="40% - Accent1 3 2 2 2 2 2 2 2 2" xfId="16831" xr:uid="{00000000-0005-0000-0000-000050390000}"/>
    <cellStyle name="40% - Accent1 3 2 2 2 2 2 2 2 2 2" xfId="16829" xr:uid="{00000000-0005-0000-0000-000051390000}"/>
    <cellStyle name="40% - Accent1 3 2 2 2 2 2 2 2 3" xfId="16827" xr:uid="{00000000-0005-0000-0000-000052390000}"/>
    <cellStyle name="40% - Accent1 3 2 2 2 2 2 2 3" xfId="24763" xr:uid="{00000000-0005-0000-0000-000053390000}"/>
    <cellStyle name="40% - Accent1 3 2 2 2 2 2 2 3 2" xfId="29772" xr:uid="{00000000-0005-0000-0000-000054390000}"/>
    <cellStyle name="40% - Accent1 3 2 2 2 2 2 2 4" xfId="8207" xr:uid="{00000000-0005-0000-0000-000055390000}"/>
    <cellStyle name="40% - Accent1 3 2 2 2 2 2 3" xfId="6444" xr:uid="{00000000-0005-0000-0000-000056390000}"/>
    <cellStyle name="40% - Accent1 3 2 2 2 2 2 3 2" xfId="16825" xr:uid="{00000000-0005-0000-0000-000057390000}"/>
    <cellStyle name="40% - Accent1 3 2 2 2 2 2 3 2 2" xfId="16824" xr:uid="{00000000-0005-0000-0000-000058390000}"/>
    <cellStyle name="40% - Accent1 3 2 2 2 2 2 3 3" xfId="8201" xr:uid="{00000000-0005-0000-0000-000059390000}"/>
    <cellStyle name="40% - Accent1 3 2 2 2 2 2 4" xfId="16506" xr:uid="{00000000-0005-0000-0000-00005A390000}"/>
    <cellStyle name="40% - Accent1 3 2 2 2 2 2 4 2" xfId="16819" xr:uid="{00000000-0005-0000-0000-00005B390000}"/>
    <cellStyle name="40% - Accent1 3 2 2 2 2 2 5" xfId="16818" xr:uid="{00000000-0005-0000-0000-00005C390000}"/>
    <cellStyle name="40% - Accent1 3 2 2 2 2 3" xfId="16817" xr:uid="{00000000-0005-0000-0000-00005D390000}"/>
    <cellStyle name="40% - Accent1 3 2 2 2 2 3 2" xfId="16816" xr:uid="{00000000-0005-0000-0000-00005E390000}"/>
    <cellStyle name="40% - Accent1 3 2 2 2 2 3 2 2" xfId="16814" xr:uid="{00000000-0005-0000-0000-00005F390000}"/>
    <cellStyle name="40% - Accent1 3 2 2 2 2 3 2 2 2" xfId="16811" xr:uid="{00000000-0005-0000-0000-000060390000}"/>
    <cellStyle name="40% - Accent1 3 2 2 2 2 3 2 3" xfId="16810" xr:uid="{00000000-0005-0000-0000-000061390000}"/>
    <cellStyle name="40% - Accent1 3 2 2 2 2 3 3" xfId="10564" xr:uid="{00000000-0005-0000-0000-000062390000}"/>
    <cellStyle name="40% - Accent1 3 2 2 2 2 3 3 2" xfId="16805" xr:uid="{00000000-0005-0000-0000-000063390000}"/>
    <cellStyle name="40% - Accent1 3 2 2 2 2 3 4" xfId="16804" xr:uid="{00000000-0005-0000-0000-000064390000}"/>
    <cellStyle name="40% - Accent1 3 2 2 2 2 4" xfId="16803" xr:uid="{00000000-0005-0000-0000-000065390000}"/>
    <cellStyle name="40% - Accent1 3 2 2 2 2 4 2" xfId="10546" xr:uid="{00000000-0005-0000-0000-000066390000}"/>
    <cellStyle name="40% - Accent1 3 2 2 2 2 4 2 2" xfId="16796" xr:uid="{00000000-0005-0000-0000-000067390000}"/>
    <cellStyle name="40% - Accent1 3 2 2 2 2 4 3" xfId="16795" xr:uid="{00000000-0005-0000-0000-000068390000}"/>
    <cellStyle name="40% - Accent1 3 2 2 2 2 5" xfId="16791" xr:uid="{00000000-0005-0000-0000-000069390000}"/>
    <cellStyle name="40% - Accent1 3 2 2 2 2 5 2" xfId="12361" xr:uid="{00000000-0005-0000-0000-00006A390000}"/>
    <cellStyle name="40% - Accent1 3 2 2 2 2 6" xfId="16787" xr:uid="{00000000-0005-0000-0000-00006B390000}"/>
    <cellStyle name="40% - Accent1 3 2 2 2 3" xfId="16782" xr:uid="{00000000-0005-0000-0000-00006C390000}"/>
    <cellStyle name="40% - Accent1 3 2 2 2 3 2" xfId="16781" xr:uid="{00000000-0005-0000-0000-00006D390000}"/>
    <cellStyle name="40% - Accent1 3 2 2 2 3 2 2" xfId="6397" xr:uid="{00000000-0005-0000-0000-00006E390000}"/>
    <cellStyle name="40% - Accent1 3 2 2 2 3 2 2 2" xfId="16778" xr:uid="{00000000-0005-0000-0000-00006F390000}"/>
    <cellStyle name="40% - Accent1 3 2 2 2 3 2 2 2 2" xfId="32972" xr:uid="{00000000-0005-0000-0000-000070390000}"/>
    <cellStyle name="40% - Accent1 3 2 2 2 3 2 2 3" xfId="8188" xr:uid="{00000000-0005-0000-0000-000071390000}"/>
    <cellStyle name="40% - Accent1 3 2 2 2 3 2 3" xfId="6394" xr:uid="{00000000-0005-0000-0000-000072390000}"/>
    <cellStyle name="40% - Accent1 3 2 2 2 3 2 3 2" xfId="16777" xr:uid="{00000000-0005-0000-0000-000073390000}"/>
    <cellStyle name="40% - Accent1 3 2 2 2 3 2 4" xfId="16775" xr:uid="{00000000-0005-0000-0000-000074390000}"/>
    <cellStyle name="40% - Accent1 3 2 2 2 3 3" xfId="20057" xr:uid="{00000000-0005-0000-0000-000075390000}"/>
    <cellStyle name="40% - Accent1 3 2 2 2 3 3 2" xfId="10481" xr:uid="{00000000-0005-0000-0000-000076390000}"/>
    <cellStyle name="40% - Accent1 3 2 2 2 3 3 2 2" xfId="16773" xr:uid="{00000000-0005-0000-0000-000077390000}"/>
    <cellStyle name="40% - Accent1 3 2 2 2 3 3 3" xfId="16772" xr:uid="{00000000-0005-0000-0000-000078390000}"/>
    <cellStyle name="40% - Accent1 3 2 2 2 3 4" xfId="20050" xr:uid="{00000000-0005-0000-0000-000079390000}"/>
    <cellStyle name="40% - Accent1 3 2 2 2 3 4 2" xfId="12355" xr:uid="{00000000-0005-0000-0000-00007A390000}"/>
    <cellStyle name="40% - Accent1 3 2 2 2 3 5" xfId="18081" xr:uid="{00000000-0005-0000-0000-00007B390000}"/>
    <cellStyle name="40% - Accent1 3 2 2 2 4" xfId="16770" xr:uid="{00000000-0005-0000-0000-00007C390000}"/>
    <cellStyle name="40% - Accent1 3 2 2 2 4 2" xfId="16769" xr:uid="{00000000-0005-0000-0000-00007D390000}"/>
    <cellStyle name="40% - Accent1 3 2 2 2 4 2 2" xfId="19895" xr:uid="{00000000-0005-0000-0000-00007E390000}"/>
    <cellStyle name="40% - Accent1 3 2 2 2 4 2 2 2" xfId="6063" xr:uid="{00000000-0005-0000-0000-00007F390000}"/>
    <cellStyle name="40% - Accent1 3 2 2 2 4 2 3" xfId="23615" xr:uid="{00000000-0005-0000-0000-000080390000}"/>
    <cellStyle name="40% - Accent1 3 2 2 2 4 3" xfId="28073" xr:uid="{00000000-0005-0000-0000-000081390000}"/>
    <cellStyle name="40% - Accent1 3 2 2 2 4 3 2" xfId="23609" xr:uid="{00000000-0005-0000-0000-000082390000}"/>
    <cellStyle name="40% - Accent1 3 2 2 2 4 4" xfId="23910" xr:uid="{00000000-0005-0000-0000-000083390000}"/>
    <cellStyle name="40% - Accent1 3 2 2 2 5" xfId="16765" xr:uid="{00000000-0005-0000-0000-000084390000}"/>
    <cellStyle name="40% - Accent1 3 2 2 2 5 2" xfId="16764" xr:uid="{00000000-0005-0000-0000-000085390000}"/>
    <cellStyle name="40% - Accent1 3 2 2 2 5 2 2" xfId="32242" xr:uid="{00000000-0005-0000-0000-000086390000}"/>
    <cellStyle name="40% - Accent1 3 2 2 2 5 3" xfId="28031" xr:uid="{00000000-0005-0000-0000-000087390000}"/>
    <cellStyle name="40% - Accent1 3 2 2 2 6" xfId="16761" xr:uid="{00000000-0005-0000-0000-000088390000}"/>
    <cellStyle name="40% - Accent1 3 2 2 2 6 2" xfId="16760" xr:uid="{00000000-0005-0000-0000-000089390000}"/>
    <cellStyle name="40% - Accent1 3 2 2 2 7" xfId="16755" xr:uid="{00000000-0005-0000-0000-00008A390000}"/>
    <cellStyle name="40% - Accent1 3 2 2 3" xfId="12630" xr:uid="{00000000-0005-0000-0000-00008B390000}"/>
    <cellStyle name="40% - Accent1 3 2 2 3 2" xfId="11333" xr:uid="{00000000-0005-0000-0000-00008C390000}"/>
    <cellStyle name="40% - Accent1 3 2 2 3 2 2" xfId="16752" xr:uid="{00000000-0005-0000-0000-00008D390000}"/>
    <cellStyle name="40% - Accent1 3 2 2 3 2 2 2" xfId="9078" xr:uid="{00000000-0005-0000-0000-00008E390000}"/>
    <cellStyle name="40% - Accent1 3 2 2 3 2 2 2 2" xfId="16747" xr:uid="{00000000-0005-0000-0000-00008F390000}"/>
    <cellStyle name="40% - Accent1 3 2 2 3 2 2 2 2 2" xfId="16746" xr:uid="{00000000-0005-0000-0000-000090390000}"/>
    <cellStyle name="40% - Accent1 3 2 2 3 2 2 2 3" xfId="8081" xr:uid="{00000000-0005-0000-0000-000091390000}"/>
    <cellStyle name="40% - Accent1 3 2 2 3 2 2 3" xfId="5375" xr:uid="{00000000-0005-0000-0000-000092390000}"/>
    <cellStyle name="40% - Accent1 3 2 2 3 2 2 3 2" xfId="17343" xr:uid="{00000000-0005-0000-0000-000093390000}"/>
    <cellStyle name="40% - Accent1 3 2 2 3 2 2 4" xfId="16744" xr:uid="{00000000-0005-0000-0000-000094390000}"/>
    <cellStyle name="40% - Accent1 3 2 2 3 2 3" xfId="30095" xr:uid="{00000000-0005-0000-0000-000095390000}"/>
    <cellStyle name="40% - Accent1 3 2 2 3 2 3 2" xfId="9912" xr:uid="{00000000-0005-0000-0000-000096390000}"/>
    <cellStyle name="40% - Accent1 3 2 2 3 2 3 2 2" xfId="16740" xr:uid="{00000000-0005-0000-0000-000097390000}"/>
    <cellStyle name="40% - Accent1 3 2 2 3 2 3 3" xfId="16739" xr:uid="{00000000-0005-0000-0000-000098390000}"/>
    <cellStyle name="40% - Accent1 3 2 2 3 2 4" xfId="23425" xr:uid="{00000000-0005-0000-0000-000099390000}"/>
    <cellStyle name="40% - Accent1 3 2 2 3 2 4 2" xfId="12335" xr:uid="{00000000-0005-0000-0000-00009A390000}"/>
    <cellStyle name="40% - Accent1 3 2 2 3 2 5" xfId="16735" xr:uid="{00000000-0005-0000-0000-00009B390000}"/>
    <cellStyle name="40% - Accent1 3 2 2 3 3" xfId="30097" xr:uid="{00000000-0005-0000-0000-00009C390000}"/>
    <cellStyle name="40% - Accent1 3 2 2 3 3 2" xfId="16732" xr:uid="{00000000-0005-0000-0000-00009D390000}"/>
    <cellStyle name="40% - Accent1 3 2 2 3 3 2 2" xfId="27665" xr:uid="{00000000-0005-0000-0000-00009E390000}"/>
    <cellStyle name="40% - Accent1 3 2 2 3 3 2 2 2" xfId="16729" xr:uid="{00000000-0005-0000-0000-00009F390000}"/>
    <cellStyle name="40% - Accent1 3 2 2 3 3 2 3" xfId="17505" xr:uid="{00000000-0005-0000-0000-0000A0390000}"/>
    <cellStyle name="40% - Accent1 3 2 2 3 3 3" xfId="27913" xr:uid="{00000000-0005-0000-0000-0000A1390000}"/>
    <cellStyle name="40% - Accent1 3 2 2 3 3 3 2" xfId="24231" xr:uid="{00000000-0005-0000-0000-0000A2390000}"/>
    <cellStyle name="40% - Accent1 3 2 2 3 3 4" xfId="23410" xr:uid="{00000000-0005-0000-0000-0000A3390000}"/>
    <cellStyle name="40% - Accent1 3 2 2 3 4" xfId="16727" xr:uid="{00000000-0005-0000-0000-0000A4390000}"/>
    <cellStyle name="40% - Accent1 3 2 2 3 4 2" xfId="16726" xr:uid="{00000000-0005-0000-0000-0000A5390000}"/>
    <cellStyle name="40% - Accent1 3 2 2 3 4 2 2" xfId="23535" xr:uid="{00000000-0005-0000-0000-0000A6390000}"/>
    <cellStyle name="40% - Accent1 3 2 2 3 4 3" xfId="28000" xr:uid="{00000000-0005-0000-0000-0000A7390000}"/>
    <cellStyle name="40% - Accent1 3 2 2 3 5" xfId="16723" xr:uid="{00000000-0005-0000-0000-0000A8390000}"/>
    <cellStyle name="40% - Accent1 3 2 2 3 5 2" xfId="16722" xr:uid="{00000000-0005-0000-0000-0000A9390000}"/>
    <cellStyle name="40% - Accent1 3 2 2 3 6" xfId="16719" xr:uid="{00000000-0005-0000-0000-0000AA390000}"/>
    <cellStyle name="40% - Accent1 3 2 2 4" xfId="12623" xr:uid="{00000000-0005-0000-0000-0000AB390000}"/>
    <cellStyle name="40% - Accent1 3 2 2 4 2" xfId="16718" xr:uid="{00000000-0005-0000-0000-0000AC390000}"/>
    <cellStyle name="40% - Accent1 3 2 2 4 2 2" xfId="20892" xr:uid="{00000000-0005-0000-0000-0000AD390000}"/>
    <cellStyle name="40% - Accent1 3 2 2 4 2 2 2" xfId="16717" xr:uid="{00000000-0005-0000-0000-0000AE390000}"/>
    <cellStyle name="40% - Accent1 3 2 2 4 2 2 2 2" xfId="16711" xr:uid="{00000000-0005-0000-0000-0000AF390000}"/>
    <cellStyle name="40% - Accent1 3 2 2 4 2 2 3" xfId="20355" xr:uid="{00000000-0005-0000-0000-0000B0390000}"/>
    <cellStyle name="40% - Accent1 3 2 2 4 2 3" xfId="29443" xr:uid="{00000000-0005-0000-0000-0000B1390000}"/>
    <cellStyle name="40% - Accent1 3 2 2 4 2 3 2" xfId="16710" xr:uid="{00000000-0005-0000-0000-0000B2390000}"/>
    <cellStyle name="40% - Accent1 3 2 2 4 2 4" xfId="23395" xr:uid="{00000000-0005-0000-0000-0000B3390000}"/>
    <cellStyle name="40% - Accent1 3 2 2 4 3" xfId="16707" xr:uid="{00000000-0005-0000-0000-0000B4390000}"/>
    <cellStyle name="40% - Accent1 3 2 2 4 3 2" xfId="29404" xr:uid="{00000000-0005-0000-0000-0000B5390000}"/>
    <cellStyle name="40% - Accent1 3 2 2 4 3 2 2" xfId="27076" xr:uid="{00000000-0005-0000-0000-0000B6390000}"/>
    <cellStyle name="40% - Accent1 3 2 2 4 3 3" xfId="30271" xr:uid="{00000000-0005-0000-0000-0000B7390000}"/>
    <cellStyle name="40% - Accent1 3 2 2 4 4" xfId="16706" xr:uid="{00000000-0005-0000-0000-0000B8390000}"/>
    <cellStyle name="40% - Accent1 3 2 2 4 4 2" xfId="29394" xr:uid="{00000000-0005-0000-0000-0000B9390000}"/>
    <cellStyle name="40% - Accent1 3 2 2 4 5" xfId="16705" xr:uid="{00000000-0005-0000-0000-0000BA390000}"/>
    <cellStyle name="40% - Accent1 3 2 2 5" xfId="16704" xr:uid="{00000000-0005-0000-0000-0000BB390000}"/>
    <cellStyle name="40% - Accent1 3 2 2 5 2" xfId="16703" xr:uid="{00000000-0005-0000-0000-0000BC390000}"/>
    <cellStyle name="40% - Accent1 3 2 2 5 2 2" xfId="30212" xr:uid="{00000000-0005-0000-0000-0000BD390000}"/>
    <cellStyle name="40% - Accent1 3 2 2 5 2 2 2" xfId="16702" xr:uid="{00000000-0005-0000-0000-0000BE390000}"/>
    <cellStyle name="40% - Accent1 3 2 2 5 2 3" xfId="23433" xr:uid="{00000000-0005-0000-0000-0000BF390000}"/>
    <cellStyle name="40% - Accent1 3 2 2 5 3" xfId="16701" xr:uid="{00000000-0005-0000-0000-0000C0390000}"/>
    <cellStyle name="40% - Accent1 3 2 2 5 3 2" xfId="30179" xr:uid="{00000000-0005-0000-0000-0000C1390000}"/>
    <cellStyle name="40% - Accent1 3 2 2 5 4" xfId="16700" xr:uid="{00000000-0005-0000-0000-0000C2390000}"/>
    <cellStyle name="40% - Accent1 3 2 2 6" xfId="24215" xr:uid="{00000000-0005-0000-0000-0000C3390000}"/>
    <cellStyle name="40% - Accent1 3 2 2 6 2" xfId="31022" xr:uid="{00000000-0005-0000-0000-0000C4390000}"/>
    <cellStyle name="40% - Accent1 3 2 2 6 2 2" xfId="30750" xr:uid="{00000000-0005-0000-0000-0000C5390000}"/>
    <cellStyle name="40% - Accent1 3 2 2 6 3" xfId="25511" xr:uid="{00000000-0005-0000-0000-0000C6390000}"/>
    <cellStyle name="40% - Accent1 3 2 2 7" xfId="24209" xr:uid="{00000000-0005-0000-0000-0000C7390000}"/>
    <cellStyle name="40% - Accent1 3 2 2 7 2" xfId="25501" xr:uid="{00000000-0005-0000-0000-0000C8390000}"/>
    <cellStyle name="40% - Accent1 3 2 2 8" xfId="23157" xr:uid="{00000000-0005-0000-0000-0000C9390000}"/>
    <cellStyle name="40% - Accent1 3 2 3" xfId="11112" xr:uid="{00000000-0005-0000-0000-0000CA390000}"/>
    <cellStyle name="40% - Accent1 3 2 3 2" xfId="16699" xr:uid="{00000000-0005-0000-0000-0000CB390000}"/>
    <cellStyle name="40% - Accent1 3 2 3 2 2" xfId="18155" xr:uid="{00000000-0005-0000-0000-0000CC390000}"/>
    <cellStyle name="40% - Accent1 3 2 3 2 2 2" xfId="16697" xr:uid="{00000000-0005-0000-0000-0000CD390000}"/>
    <cellStyle name="40% - Accent1 3 2 3 2 2 2 2" xfId="16695" xr:uid="{00000000-0005-0000-0000-0000CE390000}"/>
    <cellStyle name="40% - Accent1 3 2 3 2 2 2 2 2" xfId="16692" xr:uid="{00000000-0005-0000-0000-0000CF390000}"/>
    <cellStyle name="40% - Accent1 3 2 3 2 2 2 2 2 2" xfId="34362" xr:uid="{00000000-0005-0000-0000-0000D0390000}"/>
    <cellStyle name="40% - Accent1 3 2 3 2 2 2 2 3" xfId="16690" xr:uid="{00000000-0005-0000-0000-0000D1390000}"/>
    <cellStyle name="40% - Accent1 3 2 3 2 2 2 3" xfId="6773" xr:uid="{00000000-0005-0000-0000-0000D2390000}"/>
    <cellStyle name="40% - Accent1 3 2 3 2 2 2 3 2" xfId="16685" xr:uid="{00000000-0005-0000-0000-0000D3390000}"/>
    <cellStyle name="40% - Accent1 3 2 3 2 2 2 4" xfId="16682" xr:uid="{00000000-0005-0000-0000-0000D4390000}"/>
    <cellStyle name="40% - Accent1 3 2 3 2 2 3" xfId="16679" xr:uid="{00000000-0005-0000-0000-0000D5390000}"/>
    <cellStyle name="40% - Accent1 3 2 3 2 2 3 2" xfId="16677" xr:uid="{00000000-0005-0000-0000-0000D6390000}"/>
    <cellStyle name="40% - Accent1 3 2 3 2 2 3 2 2" xfId="16674" xr:uid="{00000000-0005-0000-0000-0000D7390000}"/>
    <cellStyle name="40% - Accent1 3 2 3 2 2 3 3" xfId="16672" xr:uid="{00000000-0005-0000-0000-0000D8390000}"/>
    <cellStyle name="40% - Accent1 3 2 3 2 2 4" xfId="16670" xr:uid="{00000000-0005-0000-0000-0000D9390000}"/>
    <cellStyle name="40% - Accent1 3 2 3 2 2 4 2" xfId="16127" xr:uid="{00000000-0005-0000-0000-0000DA390000}"/>
    <cellStyle name="40% - Accent1 3 2 3 2 2 5" xfId="16666" xr:uid="{00000000-0005-0000-0000-0000DB390000}"/>
    <cellStyle name="40% - Accent1 3 2 3 2 3" xfId="21903" xr:uid="{00000000-0005-0000-0000-0000DC390000}"/>
    <cellStyle name="40% - Accent1 3 2 3 2 3 2" xfId="16662" xr:uid="{00000000-0005-0000-0000-0000DD390000}"/>
    <cellStyle name="40% - Accent1 3 2 3 2 3 2 2" xfId="6733" xr:uid="{00000000-0005-0000-0000-0000DE390000}"/>
    <cellStyle name="40% - Accent1 3 2 3 2 3 2 2 2" xfId="16658" xr:uid="{00000000-0005-0000-0000-0000DF390000}"/>
    <cellStyle name="40% - Accent1 3 2 3 2 3 2 3" xfId="16655" xr:uid="{00000000-0005-0000-0000-0000E0390000}"/>
    <cellStyle name="40% - Accent1 3 2 3 2 3 3" xfId="19991" xr:uid="{00000000-0005-0000-0000-0000E1390000}"/>
    <cellStyle name="40% - Accent1 3 2 3 2 3 3 2" xfId="16653" xr:uid="{00000000-0005-0000-0000-0000E2390000}"/>
    <cellStyle name="40% - Accent1 3 2 3 2 3 4" xfId="18059" xr:uid="{00000000-0005-0000-0000-0000E3390000}"/>
    <cellStyle name="40% - Accent1 3 2 3 2 4" xfId="16652" xr:uid="{00000000-0005-0000-0000-0000E4390000}"/>
    <cellStyle name="40% - Accent1 3 2 3 2 4 2" xfId="16650" xr:uid="{00000000-0005-0000-0000-0000E5390000}"/>
    <cellStyle name="40% - Accent1 3 2 3 2 4 2 2" xfId="23414" xr:uid="{00000000-0005-0000-0000-0000E6390000}"/>
    <cellStyle name="40% - Accent1 3 2 3 2 4 3" xfId="21457" xr:uid="{00000000-0005-0000-0000-0000E7390000}"/>
    <cellStyle name="40% - Accent1 3 2 3 2 5" xfId="16647" xr:uid="{00000000-0005-0000-0000-0000E8390000}"/>
    <cellStyle name="40% - Accent1 3 2 3 2 5 2" xfId="16645" xr:uid="{00000000-0005-0000-0000-0000E9390000}"/>
    <cellStyle name="40% - Accent1 3 2 3 2 6" xfId="16642" xr:uid="{00000000-0005-0000-0000-0000EA390000}"/>
    <cellStyle name="40% - Accent1 3 2 3 3" xfId="13941" xr:uid="{00000000-0005-0000-0000-0000EB390000}"/>
    <cellStyle name="40% - Accent1 3 2 3 3 2" xfId="22037" xr:uid="{00000000-0005-0000-0000-0000EC390000}"/>
    <cellStyle name="40% - Accent1 3 2 3 3 2 2" xfId="22219" xr:uid="{00000000-0005-0000-0000-0000ED390000}"/>
    <cellStyle name="40% - Accent1 3 2 3 3 2 2 2" xfId="6548" xr:uid="{00000000-0005-0000-0000-0000EE390000}"/>
    <cellStyle name="40% - Accent1 3 2 3 3 2 2 2 2" xfId="16640" xr:uid="{00000000-0005-0000-0000-0000EF390000}"/>
    <cellStyle name="40% - Accent1 3 2 3 3 2 2 3" xfId="21402" xr:uid="{00000000-0005-0000-0000-0000F0390000}"/>
    <cellStyle name="40% - Accent1 3 2 3 3 2 3" xfId="20496" xr:uid="{00000000-0005-0000-0000-0000F1390000}"/>
    <cellStyle name="40% - Accent1 3 2 3 3 2 3 2" xfId="23978" xr:uid="{00000000-0005-0000-0000-0000F2390000}"/>
    <cellStyle name="40% - Accent1 3 2 3 3 2 4" xfId="16637" xr:uid="{00000000-0005-0000-0000-0000F3390000}"/>
    <cellStyle name="40% - Accent1 3 2 3 3 3" xfId="20488" xr:uid="{00000000-0005-0000-0000-0000F4390000}"/>
    <cellStyle name="40% - Accent1 3 2 3 3 3 2" xfId="20484" xr:uid="{00000000-0005-0000-0000-0000F5390000}"/>
    <cellStyle name="40% - Accent1 3 2 3 3 3 2 2" xfId="20212" xr:uid="{00000000-0005-0000-0000-0000F6390000}"/>
    <cellStyle name="40% - Accent1 3 2 3 3 3 3" xfId="21432" xr:uid="{00000000-0005-0000-0000-0000F7390000}"/>
    <cellStyle name="40% - Accent1 3 2 3 3 4" xfId="20480" xr:uid="{00000000-0005-0000-0000-0000F8390000}"/>
    <cellStyle name="40% - Accent1 3 2 3 3 4 2" xfId="16633" xr:uid="{00000000-0005-0000-0000-0000F9390000}"/>
    <cellStyle name="40% - Accent1 3 2 3 3 5" xfId="16630" xr:uid="{00000000-0005-0000-0000-0000FA390000}"/>
    <cellStyle name="40% - Accent1 3 2 3 4" xfId="16627" xr:uid="{00000000-0005-0000-0000-0000FB390000}"/>
    <cellStyle name="40% - Accent1 3 2 3 4 2" xfId="29214" xr:uid="{00000000-0005-0000-0000-0000FC390000}"/>
    <cellStyle name="40% - Accent1 3 2 3 4 2 2" xfId="28815" xr:uid="{00000000-0005-0000-0000-0000FD390000}"/>
    <cellStyle name="40% - Accent1 3 2 3 4 2 2 2" xfId="16625" xr:uid="{00000000-0005-0000-0000-0000FE390000}"/>
    <cellStyle name="40% - Accent1 3 2 3 4 2 3" xfId="21426" xr:uid="{00000000-0005-0000-0000-0000FF390000}"/>
    <cellStyle name="40% - Accent1 3 2 3 4 3" xfId="21420" xr:uid="{00000000-0005-0000-0000-0000003A0000}"/>
    <cellStyle name="40% - Accent1 3 2 3 4 3 2" xfId="21416" xr:uid="{00000000-0005-0000-0000-0000013A0000}"/>
    <cellStyle name="40% - Accent1 3 2 3 4 4" xfId="16624" xr:uid="{00000000-0005-0000-0000-0000023A0000}"/>
    <cellStyle name="40% - Accent1 3 2 3 5" xfId="16622" xr:uid="{00000000-0005-0000-0000-0000033A0000}"/>
    <cellStyle name="40% - Accent1 3 2 3 5 2" xfId="21410" xr:uid="{00000000-0005-0000-0000-0000043A0000}"/>
    <cellStyle name="40% - Accent1 3 2 3 5 2 2" xfId="21407" xr:uid="{00000000-0005-0000-0000-0000053A0000}"/>
    <cellStyle name="40% - Accent1 3 2 3 5 3" xfId="16620" xr:uid="{00000000-0005-0000-0000-0000063A0000}"/>
    <cellStyle name="40% - Accent1 3 2 3 6" xfId="21404" xr:uid="{00000000-0005-0000-0000-0000073A0000}"/>
    <cellStyle name="40% - Accent1 3 2 3 6 2" xfId="21401" xr:uid="{00000000-0005-0000-0000-0000083A0000}"/>
    <cellStyle name="40% - Accent1 3 2 3 7" xfId="26718" xr:uid="{00000000-0005-0000-0000-0000093A0000}"/>
    <cellStyle name="40% - Accent1 3 2 4" xfId="16617" xr:uid="{00000000-0005-0000-0000-00000A3A0000}"/>
    <cellStyle name="40% - Accent1 3 2 4 2" xfId="16616" xr:uid="{00000000-0005-0000-0000-00000B3A0000}"/>
    <cellStyle name="40% - Accent1 3 2 4 2 2" xfId="18149" xr:uid="{00000000-0005-0000-0000-00000C3A0000}"/>
    <cellStyle name="40% - Accent1 3 2 4 2 2 2" xfId="16614" xr:uid="{00000000-0005-0000-0000-00000D3A0000}"/>
    <cellStyle name="40% - Accent1 3 2 4 2 2 2 2" xfId="17428" xr:uid="{00000000-0005-0000-0000-00000E3A0000}"/>
    <cellStyle name="40% - Accent1 3 2 4 2 2 2 2 2" xfId="10822" xr:uid="{00000000-0005-0000-0000-00000F3A0000}"/>
    <cellStyle name="40% - Accent1 3 2 4 2 2 2 3" xfId="17422" xr:uid="{00000000-0005-0000-0000-0000103A0000}"/>
    <cellStyle name="40% - Accent1 3 2 4 2 2 3" xfId="16608" xr:uid="{00000000-0005-0000-0000-0000113A0000}"/>
    <cellStyle name="40% - Accent1 3 2 4 2 2 3 2" xfId="17412" xr:uid="{00000000-0005-0000-0000-0000123A0000}"/>
    <cellStyle name="40% - Accent1 3 2 4 2 2 4" xfId="16606" xr:uid="{00000000-0005-0000-0000-0000133A0000}"/>
    <cellStyle name="40% - Accent1 3 2 4 2 3" xfId="16601" xr:uid="{00000000-0005-0000-0000-0000143A0000}"/>
    <cellStyle name="40% - Accent1 3 2 4 2 3 2" xfId="16599" xr:uid="{00000000-0005-0000-0000-0000153A0000}"/>
    <cellStyle name="40% - Accent1 3 2 4 2 3 2 2" xfId="17394" xr:uid="{00000000-0005-0000-0000-0000163A0000}"/>
    <cellStyle name="40% - Accent1 3 2 4 2 3 3" xfId="18038" xr:uid="{00000000-0005-0000-0000-0000173A0000}"/>
    <cellStyle name="40% - Accent1 3 2 4 2 4" xfId="16596" xr:uid="{00000000-0005-0000-0000-0000183A0000}"/>
    <cellStyle name="40% - Accent1 3 2 4 2 4 2" xfId="16590" xr:uid="{00000000-0005-0000-0000-0000193A0000}"/>
    <cellStyle name="40% - Accent1 3 2 4 2 5" xfId="16586" xr:uid="{00000000-0005-0000-0000-00001A3A0000}"/>
    <cellStyle name="40% - Accent1 3 2 4 3" xfId="18145" xr:uid="{00000000-0005-0000-0000-00001B3A0000}"/>
    <cellStyle name="40% - Accent1 3 2 4 3 2" xfId="20427" xr:uid="{00000000-0005-0000-0000-00001C3A0000}"/>
    <cellStyle name="40% - Accent1 3 2 4 3 2 2" xfId="30140" xr:uid="{00000000-0005-0000-0000-00001D3A0000}"/>
    <cellStyle name="40% - Accent1 3 2 4 3 2 2 2" xfId="10205" xr:uid="{00000000-0005-0000-0000-00001E3A0000}"/>
    <cellStyle name="40% - Accent1 3 2 4 3 2 3" xfId="16583" xr:uid="{00000000-0005-0000-0000-00001F3A0000}"/>
    <cellStyle name="40% - Accent1 3 2 4 3 3" xfId="20422" xr:uid="{00000000-0005-0000-0000-0000203A0000}"/>
    <cellStyle name="40% - Accent1 3 2 4 3 3 2" xfId="16581" xr:uid="{00000000-0005-0000-0000-0000213A0000}"/>
    <cellStyle name="40% - Accent1 3 2 4 3 4" xfId="16578" xr:uid="{00000000-0005-0000-0000-0000223A0000}"/>
    <cellStyle name="40% - Accent1 3 2 4 4" xfId="19658" xr:uid="{00000000-0005-0000-0000-0000233A0000}"/>
    <cellStyle name="40% - Accent1 3 2 4 4 2" xfId="25913" xr:uid="{00000000-0005-0000-0000-0000243A0000}"/>
    <cellStyle name="40% - Accent1 3 2 4 4 2 2" xfId="21373" xr:uid="{00000000-0005-0000-0000-0000253A0000}"/>
    <cellStyle name="40% - Accent1 3 2 4 4 3" xfId="16573" xr:uid="{00000000-0005-0000-0000-0000263A0000}"/>
    <cellStyle name="40% - Accent1 3 2 4 5" xfId="16569" xr:uid="{00000000-0005-0000-0000-0000273A0000}"/>
    <cellStyle name="40% - Accent1 3 2 4 5 2" xfId="26878" xr:uid="{00000000-0005-0000-0000-0000283A0000}"/>
    <cellStyle name="40% - Accent1 3 2 4 6" xfId="21371" xr:uid="{00000000-0005-0000-0000-0000293A0000}"/>
    <cellStyle name="40% - Accent1 3 2 5" xfId="19495" xr:uid="{00000000-0005-0000-0000-00002A3A0000}"/>
    <cellStyle name="40% - Accent1 3 2 5 2" xfId="18141" xr:uid="{00000000-0005-0000-0000-00002B3A0000}"/>
    <cellStyle name="40% - Accent1 3 2 5 2 2" xfId="16566" xr:uid="{00000000-0005-0000-0000-00002C3A0000}"/>
    <cellStyle name="40% - Accent1 3 2 5 2 2 2" xfId="16564" xr:uid="{00000000-0005-0000-0000-00002D3A0000}"/>
    <cellStyle name="40% - Accent1 3 2 5 2 2 2 2" xfId="17292" xr:uid="{00000000-0005-0000-0000-00002E3A0000}"/>
    <cellStyle name="40% - Accent1 3 2 5 2 2 3" xfId="16562" xr:uid="{00000000-0005-0000-0000-00002F3A0000}"/>
    <cellStyle name="40% - Accent1 3 2 5 2 3" xfId="20311" xr:uid="{00000000-0005-0000-0000-0000303A0000}"/>
    <cellStyle name="40% - Accent1 3 2 5 2 3 2" xfId="16560" xr:uid="{00000000-0005-0000-0000-0000313A0000}"/>
    <cellStyle name="40% - Accent1 3 2 5 2 4" xfId="16557" xr:uid="{00000000-0005-0000-0000-0000323A0000}"/>
    <cellStyle name="40% - Accent1 3 2 5 3" xfId="10998" xr:uid="{00000000-0005-0000-0000-0000333A0000}"/>
    <cellStyle name="40% - Accent1 3 2 5 3 2" xfId="20407" xr:uid="{00000000-0005-0000-0000-0000343A0000}"/>
    <cellStyle name="40% - Accent1 3 2 5 3 2 2" xfId="15183" xr:uid="{00000000-0005-0000-0000-0000353A0000}"/>
    <cellStyle name="40% - Accent1 3 2 5 3 3" xfId="16554" xr:uid="{00000000-0005-0000-0000-0000363A0000}"/>
    <cellStyle name="40% - Accent1 3 2 5 4" xfId="16551" xr:uid="{00000000-0005-0000-0000-0000373A0000}"/>
    <cellStyle name="40% - Accent1 3 2 5 4 2" xfId="16549" xr:uid="{00000000-0005-0000-0000-0000383A0000}"/>
    <cellStyle name="40% - Accent1 3 2 5 5" xfId="16547" xr:uid="{00000000-0005-0000-0000-0000393A0000}"/>
    <cellStyle name="40% - Accent1 3 2 6" xfId="20597" xr:uid="{00000000-0005-0000-0000-00003A3A0000}"/>
    <cellStyle name="40% - Accent1 3 2 6 2" xfId="24975" xr:uid="{00000000-0005-0000-0000-00003B3A0000}"/>
    <cellStyle name="40% - Accent1 3 2 6 2 2" xfId="33282" xr:uid="{00000000-0005-0000-0000-00003C3A0000}"/>
    <cellStyle name="40% - Accent1 3 2 6 2 2 2" xfId="16543" xr:uid="{00000000-0005-0000-0000-00003D3A0000}"/>
    <cellStyle name="40% - Accent1 3 2 6 2 3" xfId="21338" xr:uid="{00000000-0005-0000-0000-00003E3A0000}"/>
    <cellStyle name="40% - Accent1 3 2 6 3" xfId="21333" xr:uid="{00000000-0005-0000-0000-00003F3A0000}"/>
    <cellStyle name="40% - Accent1 3 2 6 3 2" xfId="21328" xr:uid="{00000000-0005-0000-0000-0000403A0000}"/>
    <cellStyle name="40% - Accent1 3 2 6 4" xfId="21325" xr:uid="{00000000-0005-0000-0000-0000413A0000}"/>
    <cellStyle name="40% - Accent1 3 2 7" xfId="33658" xr:uid="{00000000-0005-0000-0000-0000423A0000}"/>
    <cellStyle name="40% - Accent1 3 2 7 2" xfId="21315" xr:uid="{00000000-0005-0000-0000-0000433A0000}"/>
    <cellStyle name="40% - Accent1 3 2 7 2 2" xfId="20911" xr:uid="{00000000-0005-0000-0000-0000443A0000}"/>
    <cellStyle name="40% - Accent1 3 2 7 3" xfId="21312" xr:uid="{00000000-0005-0000-0000-0000453A0000}"/>
    <cellStyle name="40% - Accent1 3 2 8" xfId="33767" xr:uid="{00000000-0005-0000-0000-0000463A0000}"/>
    <cellStyle name="40% - Accent1 3 2 8 2" xfId="21307" xr:uid="{00000000-0005-0000-0000-0000473A0000}"/>
    <cellStyle name="40% - Accent1 3 2 9" xfId="24424" xr:uid="{00000000-0005-0000-0000-0000483A0000}"/>
    <cellStyle name="40% - Accent1 3 3" xfId="221" xr:uid="{00000000-0005-0000-0000-0000493A0000}"/>
    <cellStyle name="40% - Accent1 3 3 10" xfId="16541" xr:uid="{00000000-0005-0000-0000-00004A3A0000}"/>
    <cellStyle name="40% - Accent1 3 3 2" xfId="16540" xr:uid="{00000000-0005-0000-0000-00004B3A0000}"/>
    <cellStyle name="40% - Accent1 3 3 2 2" xfId="16539" xr:uid="{00000000-0005-0000-0000-00004C3A0000}"/>
    <cellStyle name="40% - Accent1 3 3 2 2 2" xfId="16538" xr:uid="{00000000-0005-0000-0000-00004D3A0000}"/>
    <cellStyle name="40% - Accent1 3 3 2 2 2 2" xfId="16536" xr:uid="{00000000-0005-0000-0000-00004E3A0000}"/>
    <cellStyle name="40% - Accent1 3 3 2 2 2 2 2" xfId="16535" xr:uid="{00000000-0005-0000-0000-00004F3A0000}"/>
    <cellStyle name="40% - Accent1 3 3 2 2 2 2 2 2" xfId="24138" xr:uid="{00000000-0005-0000-0000-0000503A0000}"/>
    <cellStyle name="40% - Accent1 3 3 2 2 2 2 2 2 2" xfId="16532" xr:uid="{00000000-0005-0000-0000-0000513A0000}"/>
    <cellStyle name="40% - Accent1 3 3 2 2 2 2 2 3" xfId="6532" xr:uid="{00000000-0005-0000-0000-0000523A0000}"/>
    <cellStyle name="40% - Accent1 3 3 2 2 2 2 3" xfId="16531" xr:uid="{00000000-0005-0000-0000-0000533A0000}"/>
    <cellStyle name="40% - Accent1 3 3 2 2 2 2 3 2" xfId="20785" xr:uid="{00000000-0005-0000-0000-0000543A0000}"/>
    <cellStyle name="40% - Accent1 3 3 2 2 2 2 4" xfId="16529" xr:uid="{00000000-0005-0000-0000-0000553A0000}"/>
    <cellStyle name="40% - Accent1 3 3 2 2 2 3" xfId="16526" xr:uid="{00000000-0005-0000-0000-0000563A0000}"/>
    <cellStyle name="40% - Accent1 3 3 2 2 2 3 2" xfId="30018" xr:uid="{00000000-0005-0000-0000-0000573A0000}"/>
    <cellStyle name="40% - Accent1 3 3 2 2 2 3 2 2" xfId="20676" xr:uid="{00000000-0005-0000-0000-0000583A0000}"/>
    <cellStyle name="40% - Accent1 3 3 2 2 2 3 3" xfId="29465" xr:uid="{00000000-0005-0000-0000-0000593A0000}"/>
    <cellStyle name="40% - Accent1 3 3 2 2 2 4" xfId="23317" xr:uid="{00000000-0005-0000-0000-00005A3A0000}"/>
    <cellStyle name="40% - Accent1 3 3 2 2 2 4 2" xfId="29413" xr:uid="{00000000-0005-0000-0000-00005B3A0000}"/>
    <cellStyle name="40% - Accent1 3 3 2 2 2 5" xfId="16525" xr:uid="{00000000-0005-0000-0000-00005C3A0000}"/>
    <cellStyle name="40% - Accent1 3 3 2 2 3" xfId="23679" xr:uid="{00000000-0005-0000-0000-00005D3A0000}"/>
    <cellStyle name="40% - Accent1 3 3 2 2 3 2" xfId="16521" xr:uid="{00000000-0005-0000-0000-00005E3A0000}"/>
    <cellStyle name="40% - Accent1 3 3 2 2 3 2 2" xfId="16519" xr:uid="{00000000-0005-0000-0000-00005F3A0000}"/>
    <cellStyle name="40% - Accent1 3 3 2 2 3 2 2 2" xfId="33023" xr:uid="{00000000-0005-0000-0000-0000603A0000}"/>
    <cellStyle name="40% - Accent1 3 3 2 2 3 2 3" xfId="16517" xr:uid="{00000000-0005-0000-0000-0000613A0000}"/>
    <cellStyle name="40% - Accent1 3 3 2 2 3 3" xfId="16516" xr:uid="{00000000-0005-0000-0000-0000623A0000}"/>
    <cellStyle name="40% - Accent1 3 3 2 2 3 3 2" xfId="29309" xr:uid="{00000000-0005-0000-0000-0000633A0000}"/>
    <cellStyle name="40% - Accent1 3 3 2 2 3 4" xfId="16515" xr:uid="{00000000-0005-0000-0000-0000643A0000}"/>
    <cellStyle name="40% - Accent1 3 3 2 2 4" xfId="16512" xr:uid="{00000000-0005-0000-0000-0000653A0000}"/>
    <cellStyle name="40% - Accent1 3 3 2 2 4 2" xfId="16508" xr:uid="{00000000-0005-0000-0000-0000663A0000}"/>
    <cellStyle name="40% - Accent1 3 3 2 2 4 2 2" xfId="16504" xr:uid="{00000000-0005-0000-0000-0000673A0000}"/>
    <cellStyle name="40% - Accent1 3 3 2 2 4 3" xfId="16502" xr:uid="{00000000-0005-0000-0000-0000683A0000}"/>
    <cellStyle name="40% - Accent1 3 3 2 2 5" xfId="16501" xr:uid="{00000000-0005-0000-0000-0000693A0000}"/>
    <cellStyle name="40% - Accent1 3 3 2 2 5 2" xfId="16496" xr:uid="{00000000-0005-0000-0000-00006A3A0000}"/>
    <cellStyle name="40% - Accent1 3 3 2 2 6" xfId="16494" xr:uid="{00000000-0005-0000-0000-00006B3A0000}"/>
    <cellStyle name="40% - Accent1 3 3 2 3" xfId="12619" xr:uid="{00000000-0005-0000-0000-00006C3A0000}"/>
    <cellStyle name="40% - Accent1 3 3 2 3 2" xfId="16493" xr:uid="{00000000-0005-0000-0000-00006D3A0000}"/>
    <cellStyle name="40% - Accent1 3 3 2 3 2 2" xfId="16492" xr:uid="{00000000-0005-0000-0000-00006E3A0000}"/>
    <cellStyle name="40% - Accent1 3 3 2 3 2 2 2" xfId="16490" xr:uid="{00000000-0005-0000-0000-00006F3A0000}"/>
    <cellStyle name="40% - Accent1 3 3 2 3 2 2 2 2" xfId="14833" xr:uid="{00000000-0005-0000-0000-0000703A0000}"/>
    <cellStyle name="40% - Accent1 3 3 2 3 2 2 3" xfId="16486" xr:uid="{00000000-0005-0000-0000-0000713A0000}"/>
    <cellStyle name="40% - Accent1 3 3 2 3 2 3" xfId="30107" xr:uid="{00000000-0005-0000-0000-0000723A0000}"/>
    <cellStyle name="40% - Accent1 3 3 2 3 2 3 2" xfId="23188" xr:uid="{00000000-0005-0000-0000-0000733A0000}"/>
    <cellStyle name="40% - Accent1 3 3 2 3 2 4" xfId="16484" xr:uid="{00000000-0005-0000-0000-0000743A0000}"/>
    <cellStyle name="40% - Accent1 3 3 2 3 3" xfId="16481" xr:uid="{00000000-0005-0000-0000-0000753A0000}"/>
    <cellStyle name="40% - Accent1 3 3 2 3 3 2" xfId="5665" xr:uid="{00000000-0005-0000-0000-0000763A0000}"/>
    <cellStyle name="40% - Accent1 3 3 2 3 3 2 2" xfId="29914" xr:uid="{00000000-0005-0000-0000-0000773A0000}"/>
    <cellStyle name="40% - Accent1 3 3 2 3 3 3" xfId="16479" xr:uid="{00000000-0005-0000-0000-0000783A0000}"/>
    <cellStyle name="40% - Accent1 3 3 2 3 4" xfId="16478" xr:uid="{00000000-0005-0000-0000-0000793A0000}"/>
    <cellStyle name="40% - Accent1 3 3 2 3 4 2" xfId="16475" xr:uid="{00000000-0005-0000-0000-00007A3A0000}"/>
    <cellStyle name="40% - Accent1 3 3 2 3 5" xfId="16474" xr:uid="{00000000-0005-0000-0000-00007B3A0000}"/>
    <cellStyle name="40% - Accent1 3 3 2 4" xfId="16473" xr:uid="{00000000-0005-0000-0000-00007C3A0000}"/>
    <cellStyle name="40% - Accent1 3 3 2 4 2" xfId="16472" xr:uid="{00000000-0005-0000-0000-00007D3A0000}"/>
    <cellStyle name="40% - Accent1 3 3 2 4 2 2" xfId="29141" xr:uid="{00000000-0005-0000-0000-00007E3A0000}"/>
    <cellStyle name="40% - Accent1 3 3 2 4 2 2 2" xfId="16471" xr:uid="{00000000-0005-0000-0000-00007F3A0000}"/>
    <cellStyle name="40% - Accent1 3 3 2 4 2 3" xfId="28254" xr:uid="{00000000-0005-0000-0000-0000803A0000}"/>
    <cellStyle name="40% - Accent1 3 3 2 4 3" xfId="16470" xr:uid="{00000000-0005-0000-0000-0000813A0000}"/>
    <cellStyle name="40% - Accent1 3 3 2 4 3 2" xfId="29110" xr:uid="{00000000-0005-0000-0000-0000823A0000}"/>
    <cellStyle name="40% - Accent1 3 3 2 4 4" xfId="16469" xr:uid="{00000000-0005-0000-0000-0000833A0000}"/>
    <cellStyle name="40% - Accent1 3 3 2 5" xfId="16468" xr:uid="{00000000-0005-0000-0000-0000843A0000}"/>
    <cellStyle name="40% - Accent1 3 3 2 5 2" xfId="16466" xr:uid="{00000000-0005-0000-0000-0000853A0000}"/>
    <cellStyle name="40% - Accent1 3 3 2 5 2 2" xfId="25418" xr:uid="{00000000-0005-0000-0000-0000863A0000}"/>
    <cellStyle name="40% - Accent1 3 3 2 5 3" xfId="16465" xr:uid="{00000000-0005-0000-0000-0000873A0000}"/>
    <cellStyle name="40% - Accent1 3 3 2 6" xfId="32459" xr:uid="{00000000-0005-0000-0000-0000883A0000}"/>
    <cellStyle name="40% - Accent1 3 3 2 6 2" xfId="25216" xr:uid="{00000000-0005-0000-0000-0000893A0000}"/>
    <cellStyle name="40% - Accent1 3 3 2 7" xfId="33316" xr:uid="{00000000-0005-0000-0000-00008A3A0000}"/>
    <cellStyle name="40% - Accent1 3 3 3" xfId="16464" xr:uid="{00000000-0005-0000-0000-00008B3A0000}"/>
    <cellStyle name="40% - Accent1 3 3 3 2" xfId="16462" xr:uid="{00000000-0005-0000-0000-00008C3A0000}"/>
    <cellStyle name="40% - Accent1 3 3 3 2 2" xfId="20210" xr:uid="{00000000-0005-0000-0000-00008D3A0000}"/>
    <cellStyle name="40% - Accent1 3 3 3 2 2 2" xfId="16460" xr:uid="{00000000-0005-0000-0000-00008E3A0000}"/>
    <cellStyle name="40% - Accent1 3 3 3 2 2 2 2" xfId="6976" xr:uid="{00000000-0005-0000-0000-00008F3A0000}"/>
    <cellStyle name="40% - Accent1 3 3 3 2 2 2 2 2" xfId="16458" xr:uid="{00000000-0005-0000-0000-0000903A0000}"/>
    <cellStyle name="40% - Accent1 3 3 3 2 2 2 3" xfId="16456" xr:uid="{00000000-0005-0000-0000-0000913A0000}"/>
    <cellStyle name="40% - Accent1 3 3 3 2 2 3" xfId="16454" xr:uid="{00000000-0005-0000-0000-0000923A0000}"/>
    <cellStyle name="40% - Accent1 3 3 3 2 2 3 2" xfId="28791" xr:uid="{00000000-0005-0000-0000-0000933A0000}"/>
    <cellStyle name="40% - Accent1 3 3 3 2 2 4" xfId="16452" xr:uid="{00000000-0005-0000-0000-0000943A0000}"/>
    <cellStyle name="40% - Accent1 3 3 3 2 3" xfId="16447" xr:uid="{00000000-0005-0000-0000-0000953A0000}"/>
    <cellStyle name="40% - Accent1 3 3 3 2 3 2" xfId="16443" xr:uid="{00000000-0005-0000-0000-0000963A0000}"/>
    <cellStyle name="40% - Accent1 3 3 3 2 3 2 2" xfId="31757" xr:uid="{00000000-0005-0000-0000-0000973A0000}"/>
    <cellStyle name="40% - Accent1 3 3 3 2 3 3" xfId="16438" xr:uid="{00000000-0005-0000-0000-0000983A0000}"/>
    <cellStyle name="40% - Accent1 3 3 3 2 4" xfId="16436" xr:uid="{00000000-0005-0000-0000-0000993A0000}"/>
    <cellStyle name="40% - Accent1 3 3 3 2 4 2" xfId="6335" xr:uid="{00000000-0005-0000-0000-00009A3A0000}"/>
    <cellStyle name="40% - Accent1 3 3 3 2 5" xfId="16430" xr:uid="{00000000-0005-0000-0000-00009B3A0000}"/>
    <cellStyle name="40% - Accent1 3 3 3 3" xfId="16428" xr:uid="{00000000-0005-0000-0000-00009C3A0000}"/>
    <cellStyle name="40% - Accent1 3 3 3 3 2" xfId="20333" xr:uid="{00000000-0005-0000-0000-00009D3A0000}"/>
    <cellStyle name="40% - Accent1 3 3 3 3 2 2" xfId="20329" xr:uid="{00000000-0005-0000-0000-00009E3A0000}"/>
    <cellStyle name="40% - Accent1 3 3 3 3 2 2 2" xfId="16426" xr:uid="{00000000-0005-0000-0000-00009F3A0000}"/>
    <cellStyle name="40% - Accent1 3 3 3 3 2 3" xfId="16425" xr:uid="{00000000-0005-0000-0000-0000A03A0000}"/>
    <cellStyle name="40% - Accent1 3 3 3 3 3" xfId="20322" xr:uid="{00000000-0005-0000-0000-0000A13A0000}"/>
    <cellStyle name="40% - Accent1 3 3 3 3 3 2" xfId="16421" xr:uid="{00000000-0005-0000-0000-0000A23A0000}"/>
    <cellStyle name="40% - Accent1 3 3 3 3 4" xfId="16417" xr:uid="{00000000-0005-0000-0000-0000A33A0000}"/>
    <cellStyle name="40% - Accent1 3 3 3 4" xfId="16415" xr:uid="{00000000-0005-0000-0000-0000A43A0000}"/>
    <cellStyle name="40% - Accent1 3 3 3 4 2" xfId="21220" xr:uid="{00000000-0005-0000-0000-0000A53A0000}"/>
    <cellStyle name="40% - Accent1 3 3 3 4 2 2" xfId="24391" xr:uid="{00000000-0005-0000-0000-0000A63A0000}"/>
    <cellStyle name="40% - Accent1 3 3 3 4 3" xfId="16413" xr:uid="{00000000-0005-0000-0000-0000A73A0000}"/>
    <cellStyle name="40% - Accent1 3 3 3 5" xfId="16411" xr:uid="{00000000-0005-0000-0000-0000A83A0000}"/>
    <cellStyle name="40% - Accent1 3 3 3 5 2" xfId="16409" xr:uid="{00000000-0005-0000-0000-0000A93A0000}"/>
    <cellStyle name="40% - Accent1 3 3 3 6" xfId="19669" xr:uid="{00000000-0005-0000-0000-0000AA3A0000}"/>
    <cellStyle name="40% - Accent1 3 3 4" xfId="16407" xr:uid="{00000000-0005-0000-0000-0000AB3A0000}"/>
    <cellStyle name="40% - Accent1 3 3 4 2" xfId="16406" xr:uid="{00000000-0005-0000-0000-0000AC3A0000}"/>
    <cellStyle name="40% - Accent1 3 3 4 2 2" xfId="29035" xr:uid="{00000000-0005-0000-0000-0000AD3A0000}"/>
    <cellStyle name="40% - Accent1 3 3 4 2 2 2" xfId="15159" xr:uid="{00000000-0005-0000-0000-0000AE3A0000}"/>
    <cellStyle name="40% - Accent1 3 3 4 2 2 2 2" xfId="17163" xr:uid="{00000000-0005-0000-0000-0000AF3A0000}"/>
    <cellStyle name="40% - Accent1 3 3 4 2 2 3" xfId="16404" xr:uid="{00000000-0005-0000-0000-0000B03A0000}"/>
    <cellStyle name="40% - Accent1 3 3 4 2 3" xfId="28852" xr:uid="{00000000-0005-0000-0000-0000B13A0000}"/>
    <cellStyle name="40% - Accent1 3 3 4 2 3 2" xfId="16402" xr:uid="{00000000-0005-0000-0000-0000B23A0000}"/>
    <cellStyle name="40% - Accent1 3 3 4 2 4" xfId="16400" xr:uid="{00000000-0005-0000-0000-0000B33A0000}"/>
    <cellStyle name="40% - Accent1 3 3 4 3" xfId="20995" xr:uid="{00000000-0005-0000-0000-0000B43A0000}"/>
    <cellStyle name="40% - Accent1 3 3 4 3 2" xfId="20287" xr:uid="{00000000-0005-0000-0000-0000B53A0000}"/>
    <cellStyle name="40% - Accent1 3 3 4 3 2 2" xfId="16397" xr:uid="{00000000-0005-0000-0000-0000B63A0000}"/>
    <cellStyle name="40% - Accent1 3 3 4 3 3" xfId="16394" xr:uid="{00000000-0005-0000-0000-0000B73A0000}"/>
    <cellStyle name="40% - Accent1 3 3 4 4" xfId="16390" xr:uid="{00000000-0005-0000-0000-0000B83A0000}"/>
    <cellStyle name="40% - Accent1 3 3 4 4 2" xfId="21195" xr:uid="{00000000-0005-0000-0000-0000B93A0000}"/>
    <cellStyle name="40% - Accent1 3 3 4 5" xfId="16388" xr:uid="{00000000-0005-0000-0000-0000BA3A0000}"/>
    <cellStyle name="40% - Accent1 3 3 5" xfId="20592" xr:uid="{00000000-0005-0000-0000-0000BB3A0000}"/>
    <cellStyle name="40% - Accent1 3 3 5 2" xfId="16385" xr:uid="{00000000-0005-0000-0000-0000BC3A0000}"/>
    <cellStyle name="40% - Accent1 3 3 5 2 2" xfId="25690" xr:uid="{00000000-0005-0000-0000-0000BD3A0000}"/>
    <cellStyle name="40% - Accent1 3 3 5 2 2 2" xfId="23862" xr:uid="{00000000-0005-0000-0000-0000BE3A0000}"/>
    <cellStyle name="40% - Accent1 3 3 5 2 3" xfId="16383" xr:uid="{00000000-0005-0000-0000-0000BF3A0000}"/>
    <cellStyle name="40% - Accent1 3 3 5 3" xfId="16381" xr:uid="{00000000-0005-0000-0000-0000C03A0000}"/>
    <cellStyle name="40% - Accent1 3 3 5 3 2" xfId="16379" xr:uid="{00000000-0005-0000-0000-0000C13A0000}"/>
    <cellStyle name="40% - Accent1 3 3 5 4" xfId="8167" xr:uid="{00000000-0005-0000-0000-0000C23A0000}"/>
    <cellStyle name="40% - Accent1 3 3 6" xfId="25376" xr:uid="{00000000-0005-0000-0000-0000C33A0000}"/>
    <cellStyle name="40% - Accent1 3 3 6 2" xfId="21178" xr:uid="{00000000-0005-0000-0000-0000C43A0000}"/>
    <cellStyle name="40% - Accent1 3 3 6 2 2" xfId="21173" xr:uid="{00000000-0005-0000-0000-0000C53A0000}"/>
    <cellStyle name="40% - Accent1 3 3 6 3" xfId="21170" xr:uid="{00000000-0005-0000-0000-0000C63A0000}"/>
    <cellStyle name="40% - Accent1 3 3 7" xfId="34107" xr:uid="{00000000-0005-0000-0000-0000C73A0000}"/>
    <cellStyle name="40% - Accent1 3 3 7 2" xfId="21161" xr:uid="{00000000-0005-0000-0000-0000C83A0000}"/>
    <cellStyle name="40% - Accent1 3 3 8" xfId="24419" xr:uid="{00000000-0005-0000-0000-0000C93A0000}"/>
    <cellStyle name="40% - Accent1 3 3 9" xfId="34550" xr:uid="{00000000-0005-0000-0000-0000CA3A0000}"/>
    <cellStyle name="40% - Accent1 3 4" xfId="18864" xr:uid="{00000000-0005-0000-0000-0000CB3A0000}"/>
    <cellStyle name="40% - Accent1 3 4 2" xfId="16377" xr:uid="{00000000-0005-0000-0000-0000CC3A0000}"/>
    <cellStyle name="40% - Accent1 3 4 2 2" xfId="16376" xr:uid="{00000000-0005-0000-0000-0000CD3A0000}"/>
    <cellStyle name="40% - Accent1 3 4 2 2 2" xfId="16375" xr:uid="{00000000-0005-0000-0000-0000CE3A0000}"/>
    <cellStyle name="40% - Accent1 3 4 2 2 2 2" xfId="24544" xr:uid="{00000000-0005-0000-0000-0000CF3A0000}"/>
    <cellStyle name="40% - Accent1 3 4 2 2 2 2 2" xfId="18549" xr:uid="{00000000-0005-0000-0000-0000D03A0000}"/>
    <cellStyle name="40% - Accent1 3 4 2 2 2 2 2 2" xfId="5491" xr:uid="{00000000-0005-0000-0000-0000D13A0000}"/>
    <cellStyle name="40% - Accent1 3 4 2 2 2 2 3" xfId="16374" xr:uid="{00000000-0005-0000-0000-0000D23A0000}"/>
    <cellStyle name="40% - Accent1 3 4 2 2 2 3" xfId="16371" xr:uid="{00000000-0005-0000-0000-0000D33A0000}"/>
    <cellStyle name="40% - Accent1 3 4 2 2 2 3 2" xfId="16369" xr:uid="{00000000-0005-0000-0000-0000D43A0000}"/>
    <cellStyle name="40% - Accent1 3 4 2 2 2 4" xfId="16368" xr:uid="{00000000-0005-0000-0000-0000D53A0000}"/>
    <cellStyle name="40% - Accent1 3 4 2 2 3" xfId="16365" xr:uid="{00000000-0005-0000-0000-0000D63A0000}"/>
    <cellStyle name="40% - Accent1 3 4 2 2 3 2" xfId="16364" xr:uid="{00000000-0005-0000-0000-0000D73A0000}"/>
    <cellStyle name="40% - Accent1 3 4 2 2 3 2 2" xfId="16360" xr:uid="{00000000-0005-0000-0000-0000D83A0000}"/>
    <cellStyle name="40% - Accent1 3 4 2 2 3 3" xfId="16359" xr:uid="{00000000-0005-0000-0000-0000D93A0000}"/>
    <cellStyle name="40% - Accent1 3 4 2 2 4" xfId="16358" xr:uid="{00000000-0005-0000-0000-0000DA3A0000}"/>
    <cellStyle name="40% - Accent1 3 4 2 2 4 2" xfId="16355" xr:uid="{00000000-0005-0000-0000-0000DB3A0000}"/>
    <cellStyle name="40% - Accent1 3 4 2 2 5" xfId="16354" xr:uid="{00000000-0005-0000-0000-0000DC3A0000}"/>
    <cellStyle name="40% - Accent1 3 4 2 3" xfId="16353" xr:uid="{00000000-0005-0000-0000-0000DD3A0000}"/>
    <cellStyle name="40% - Accent1 3 4 2 3 2" xfId="16351" xr:uid="{00000000-0005-0000-0000-0000DE3A0000}"/>
    <cellStyle name="40% - Accent1 3 4 2 3 2 2" xfId="17856" xr:uid="{00000000-0005-0000-0000-0000DF3A0000}"/>
    <cellStyle name="40% - Accent1 3 4 2 3 2 2 2" xfId="16349" xr:uid="{00000000-0005-0000-0000-0000E03A0000}"/>
    <cellStyle name="40% - Accent1 3 4 2 3 2 3" xfId="17835" xr:uid="{00000000-0005-0000-0000-0000E13A0000}"/>
    <cellStyle name="40% - Accent1 3 4 2 3 3" xfId="16347" xr:uid="{00000000-0005-0000-0000-0000E23A0000}"/>
    <cellStyle name="40% - Accent1 3 4 2 3 3 2" xfId="31178" xr:uid="{00000000-0005-0000-0000-0000E33A0000}"/>
    <cellStyle name="40% - Accent1 3 4 2 3 4" xfId="16345" xr:uid="{00000000-0005-0000-0000-0000E43A0000}"/>
    <cellStyle name="40% - Accent1 3 4 2 4" xfId="16344" xr:uid="{00000000-0005-0000-0000-0000E53A0000}"/>
    <cellStyle name="40% - Accent1 3 4 2 4 2" xfId="16343" xr:uid="{00000000-0005-0000-0000-0000E63A0000}"/>
    <cellStyle name="40% - Accent1 3 4 2 4 2 2" xfId="28381" xr:uid="{00000000-0005-0000-0000-0000E73A0000}"/>
    <cellStyle name="40% - Accent1 3 4 2 4 3" xfId="16340" xr:uid="{00000000-0005-0000-0000-0000E83A0000}"/>
    <cellStyle name="40% - Accent1 3 4 2 5" xfId="16339" xr:uid="{00000000-0005-0000-0000-0000E93A0000}"/>
    <cellStyle name="40% - Accent1 3 4 2 5 2" xfId="16338" xr:uid="{00000000-0005-0000-0000-0000EA3A0000}"/>
    <cellStyle name="40% - Accent1 3 4 2 6" xfId="33113" xr:uid="{00000000-0005-0000-0000-0000EB3A0000}"/>
    <cellStyle name="40% - Accent1 3 4 3" xfId="16337" xr:uid="{00000000-0005-0000-0000-0000EC3A0000}"/>
    <cellStyle name="40% - Accent1 3 4 3 2" xfId="16336" xr:uid="{00000000-0005-0000-0000-0000ED3A0000}"/>
    <cellStyle name="40% - Accent1 3 4 3 2 2" xfId="16334" xr:uid="{00000000-0005-0000-0000-0000EE3A0000}"/>
    <cellStyle name="40% - Accent1 3 4 3 2 2 2" xfId="16332" xr:uid="{00000000-0005-0000-0000-0000EF3A0000}"/>
    <cellStyle name="40% - Accent1 3 4 3 2 2 2 2" xfId="20379" xr:uid="{00000000-0005-0000-0000-0000F03A0000}"/>
    <cellStyle name="40% - Accent1 3 4 3 2 2 3" xfId="16330" xr:uid="{00000000-0005-0000-0000-0000F13A0000}"/>
    <cellStyle name="40% - Accent1 3 4 3 2 3" xfId="16328" xr:uid="{00000000-0005-0000-0000-0000F23A0000}"/>
    <cellStyle name="40% - Accent1 3 4 3 2 3 2" xfId="16326" xr:uid="{00000000-0005-0000-0000-0000F33A0000}"/>
    <cellStyle name="40% - Accent1 3 4 3 2 4" xfId="16324" xr:uid="{00000000-0005-0000-0000-0000F43A0000}"/>
    <cellStyle name="40% - Accent1 3 4 3 3" xfId="16322" xr:uid="{00000000-0005-0000-0000-0000F53A0000}"/>
    <cellStyle name="40% - Accent1 3 4 3 3 2" xfId="20229" xr:uid="{00000000-0005-0000-0000-0000F63A0000}"/>
    <cellStyle name="40% - Accent1 3 4 3 3 2 2" xfId="23333" xr:uid="{00000000-0005-0000-0000-0000F73A0000}"/>
    <cellStyle name="40% - Accent1 3 4 3 3 3" xfId="16319" xr:uid="{00000000-0005-0000-0000-0000F83A0000}"/>
    <cellStyle name="40% - Accent1 3 4 3 4" xfId="16317" xr:uid="{00000000-0005-0000-0000-0000F93A0000}"/>
    <cellStyle name="40% - Accent1 3 4 3 4 2" xfId="16315" xr:uid="{00000000-0005-0000-0000-0000FA3A0000}"/>
    <cellStyle name="40% - Accent1 3 4 3 5" xfId="16312" xr:uid="{00000000-0005-0000-0000-0000FB3A0000}"/>
    <cellStyle name="40% - Accent1 3 4 4" xfId="16310" xr:uid="{00000000-0005-0000-0000-0000FC3A0000}"/>
    <cellStyle name="40% - Accent1 3 4 4 2" xfId="16308" xr:uid="{00000000-0005-0000-0000-0000FD3A0000}"/>
    <cellStyle name="40% - Accent1 3 4 4 2 2" xfId="28995" xr:uid="{00000000-0005-0000-0000-0000FE3A0000}"/>
    <cellStyle name="40% - Accent1 3 4 4 2 2 2" xfId="16306" xr:uid="{00000000-0005-0000-0000-0000FF3A0000}"/>
    <cellStyle name="40% - Accent1 3 4 4 2 3" xfId="16303" xr:uid="{00000000-0005-0000-0000-0000003B0000}"/>
    <cellStyle name="40% - Accent1 3 4 4 3" xfId="16300" xr:uid="{00000000-0005-0000-0000-0000013B0000}"/>
    <cellStyle name="40% - Accent1 3 4 4 3 2" xfId="16297" xr:uid="{00000000-0005-0000-0000-0000023B0000}"/>
    <cellStyle name="40% - Accent1 3 4 4 4" xfId="16294" xr:uid="{00000000-0005-0000-0000-0000033B0000}"/>
    <cellStyle name="40% - Accent1 3 4 5" xfId="28429" xr:uid="{00000000-0005-0000-0000-0000043B0000}"/>
    <cellStyle name="40% - Accent1 3 4 5 2" xfId="16292" xr:uid="{00000000-0005-0000-0000-0000053B0000}"/>
    <cellStyle name="40% - Accent1 3 4 5 2 2" xfId="16289" xr:uid="{00000000-0005-0000-0000-0000063B0000}"/>
    <cellStyle name="40% - Accent1 3 4 5 3" xfId="16285" xr:uid="{00000000-0005-0000-0000-0000073B0000}"/>
    <cellStyle name="40% - Accent1 3 4 6" xfId="16281" xr:uid="{00000000-0005-0000-0000-0000083B0000}"/>
    <cellStyle name="40% - Accent1 3 4 6 2" xfId="21144" xr:uid="{00000000-0005-0000-0000-0000093B0000}"/>
    <cellStyle name="40% - Accent1 3 4 7" xfId="19057" xr:uid="{00000000-0005-0000-0000-00000A3B0000}"/>
    <cellStyle name="40% - Accent1 3 4 8" xfId="34772" xr:uid="{00000000-0005-0000-0000-00000B3B0000}"/>
    <cellStyle name="40% - Accent1 3 5" xfId="16279" xr:uid="{00000000-0005-0000-0000-00000C3B0000}"/>
    <cellStyle name="40% - Accent1 3 5 2" xfId="16278" xr:uid="{00000000-0005-0000-0000-00000D3B0000}"/>
    <cellStyle name="40% - Accent1 3 5 2 2" xfId="24272" xr:uid="{00000000-0005-0000-0000-00000E3B0000}"/>
    <cellStyle name="40% - Accent1 3 5 2 2 2" xfId="16277" xr:uid="{00000000-0005-0000-0000-00000F3B0000}"/>
    <cellStyle name="40% - Accent1 3 5 2 2 2 2" xfId="33419" xr:uid="{00000000-0005-0000-0000-0000103B0000}"/>
    <cellStyle name="40% - Accent1 3 5 2 2 2 2 2" xfId="16276" xr:uid="{00000000-0005-0000-0000-0000113B0000}"/>
    <cellStyle name="40% - Accent1 3 5 2 2 2 3" xfId="16273" xr:uid="{00000000-0005-0000-0000-0000123B0000}"/>
    <cellStyle name="40% - Accent1 3 5 2 2 3" xfId="16271" xr:uid="{00000000-0005-0000-0000-0000133B0000}"/>
    <cellStyle name="40% - Accent1 3 5 2 2 3 2" xfId="16270" xr:uid="{00000000-0005-0000-0000-0000143B0000}"/>
    <cellStyle name="40% - Accent1 3 5 2 2 4" xfId="16269" xr:uid="{00000000-0005-0000-0000-0000153B0000}"/>
    <cellStyle name="40% - Accent1 3 5 2 3" xfId="16268" xr:uid="{00000000-0005-0000-0000-0000163B0000}"/>
    <cellStyle name="40% - Accent1 3 5 2 3 2" xfId="16266" xr:uid="{00000000-0005-0000-0000-0000173B0000}"/>
    <cellStyle name="40% - Accent1 3 5 2 3 2 2" xfId="20095" xr:uid="{00000000-0005-0000-0000-0000183B0000}"/>
    <cellStyle name="40% - Accent1 3 5 2 3 3" xfId="16262" xr:uid="{00000000-0005-0000-0000-0000193B0000}"/>
    <cellStyle name="40% - Accent1 3 5 2 4" xfId="17712" xr:uid="{00000000-0005-0000-0000-00001A3B0000}"/>
    <cellStyle name="40% - Accent1 3 5 2 4 2" xfId="16261" xr:uid="{00000000-0005-0000-0000-00001B3B0000}"/>
    <cellStyle name="40% - Accent1 3 5 2 5" xfId="17494" xr:uid="{00000000-0005-0000-0000-00001C3B0000}"/>
    <cellStyle name="40% - Accent1 3 5 3" xfId="16260" xr:uid="{00000000-0005-0000-0000-00001D3B0000}"/>
    <cellStyle name="40% - Accent1 3 5 3 2" xfId="16259" xr:uid="{00000000-0005-0000-0000-00001E3B0000}"/>
    <cellStyle name="40% - Accent1 3 5 3 2 2" xfId="30340" xr:uid="{00000000-0005-0000-0000-00001F3B0000}"/>
    <cellStyle name="40% - Accent1 3 5 3 2 2 2" xfId="16257" xr:uid="{00000000-0005-0000-0000-0000203B0000}"/>
    <cellStyle name="40% - Accent1 3 5 3 2 3" xfId="13213" xr:uid="{00000000-0005-0000-0000-0000213B0000}"/>
    <cellStyle name="40% - Accent1 3 5 3 3" xfId="16253" xr:uid="{00000000-0005-0000-0000-0000223B0000}"/>
    <cellStyle name="40% - Accent1 3 5 3 3 2" xfId="16250" xr:uid="{00000000-0005-0000-0000-0000233B0000}"/>
    <cellStyle name="40% - Accent1 3 5 3 4" xfId="17701" xr:uid="{00000000-0005-0000-0000-0000243B0000}"/>
    <cellStyle name="40% - Accent1 3 5 4" xfId="16247" xr:uid="{00000000-0005-0000-0000-0000253B0000}"/>
    <cellStyle name="40% - Accent1 3 5 4 2" xfId="16246" xr:uid="{00000000-0005-0000-0000-0000263B0000}"/>
    <cellStyle name="40% - Accent1 3 5 4 2 2" xfId="16243" xr:uid="{00000000-0005-0000-0000-0000273B0000}"/>
    <cellStyle name="40% - Accent1 3 5 4 3" xfId="16239" xr:uid="{00000000-0005-0000-0000-0000283B0000}"/>
    <cellStyle name="40% - Accent1 3 5 5" xfId="16236" xr:uid="{00000000-0005-0000-0000-0000293B0000}"/>
    <cellStyle name="40% - Accent1 3 5 5 2" xfId="32298" xr:uid="{00000000-0005-0000-0000-00002A3B0000}"/>
    <cellStyle name="40% - Accent1 3 5 6" xfId="16231" xr:uid="{00000000-0005-0000-0000-00002B3B0000}"/>
    <cellStyle name="40% - Accent1 3 5 7" xfId="34962" xr:uid="{00000000-0005-0000-0000-00002C3B0000}"/>
    <cellStyle name="40% - Accent1 3 6" xfId="16226" xr:uid="{00000000-0005-0000-0000-00002D3B0000}"/>
    <cellStyle name="40% - Accent1 3 6 2" xfId="16225" xr:uid="{00000000-0005-0000-0000-00002E3B0000}"/>
    <cellStyle name="40% - Accent1 3 6 2 2" xfId="27815" xr:uid="{00000000-0005-0000-0000-00002F3B0000}"/>
    <cellStyle name="40% - Accent1 3 6 2 2 2" xfId="16224" xr:uid="{00000000-0005-0000-0000-0000303B0000}"/>
    <cellStyle name="40% - Accent1 3 6 2 2 2 2" xfId="31448" xr:uid="{00000000-0005-0000-0000-0000313B0000}"/>
    <cellStyle name="40% - Accent1 3 6 2 2 3" xfId="16223" xr:uid="{00000000-0005-0000-0000-0000323B0000}"/>
    <cellStyle name="40% - Accent1 3 6 2 3" xfId="20738" xr:uid="{00000000-0005-0000-0000-0000333B0000}"/>
    <cellStyle name="40% - Accent1 3 6 2 3 2" xfId="33462" xr:uid="{00000000-0005-0000-0000-0000343B0000}"/>
    <cellStyle name="40% - Accent1 3 6 2 4" xfId="17475" xr:uid="{00000000-0005-0000-0000-0000353B0000}"/>
    <cellStyle name="40% - Accent1 3 6 3" xfId="16221" xr:uid="{00000000-0005-0000-0000-0000363B0000}"/>
    <cellStyle name="40% - Accent1 3 6 3 2" xfId="21141" xr:uid="{00000000-0005-0000-0000-0000373B0000}"/>
    <cellStyle name="40% - Accent1 3 6 3 2 2" xfId="16218" xr:uid="{00000000-0005-0000-0000-0000383B0000}"/>
    <cellStyle name="40% - Accent1 3 6 3 3" xfId="21135" xr:uid="{00000000-0005-0000-0000-0000393B0000}"/>
    <cellStyle name="40% - Accent1 3 6 4" xfId="16215" xr:uid="{00000000-0005-0000-0000-00003A3B0000}"/>
    <cellStyle name="40% - Accent1 3 6 4 2" xfId="16214" xr:uid="{00000000-0005-0000-0000-00003B3B0000}"/>
    <cellStyle name="40% - Accent1 3 6 5" xfId="16212" xr:uid="{00000000-0005-0000-0000-00003C3B0000}"/>
    <cellStyle name="40% - Accent1 3 6 6" xfId="35167" xr:uid="{00000000-0005-0000-0000-00003D3B0000}"/>
    <cellStyle name="40% - Accent1 3 7" xfId="16210" xr:uid="{00000000-0005-0000-0000-00003E3B0000}"/>
    <cellStyle name="40% - Accent1 3 7 2" xfId="26665" xr:uid="{00000000-0005-0000-0000-00003F3B0000}"/>
    <cellStyle name="40% - Accent1 3 7 2 2" xfId="25111" xr:uid="{00000000-0005-0000-0000-0000403B0000}"/>
    <cellStyle name="40% - Accent1 3 7 2 2 2" xfId="33588" xr:uid="{00000000-0005-0000-0000-0000413B0000}"/>
    <cellStyle name="40% - Accent1 3 7 2 3" xfId="17465" xr:uid="{00000000-0005-0000-0000-0000423B0000}"/>
    <cellStyle name="40% - Accent1 3 7 3" xfId="31138" xr:uid="{00000000-0005-0000-0000-0000433B0000}"/>
    <cellStyle name="40% - Accent1 3 7 3 2" xfId="21130" xr:uid="{00000000-0005-0000-0000-0000443B0000}"/>
    <cellStyle name="40% - Accent1 3 7 4" xfId="31088" xr:uid="{00000000-0005-0000-0000-0000453B0000}"/>
    <cellStyle name="40% - Accent1 3 7 5" xfId="35396" xr:uid="{00000000-0005-0000-0000-0000463B0000}"/>
    <cellStyle name="40% - Accent1 3 8" xfId="32127" xr:uid="{00000000-0005-0000-0000-0000473B0000}"/>
    <cellStyle name="40% - Accent1 3 8 2" xfId="25384" xr:uid="{00000000-0005-0000-0000-0000483B0000}"/>
    <cellStyle name="40% - Accent1 3 8 2 2" xfId="22293" xr:uid="{00000000-0005-0000-0000-0000493B0000}"/>
    <cellStyle name="40% - Accent1 3 8 3" xfId="32521" xr:uid="{00000000-0005-0000-0000-00004A3B0000}"/>
    <cellStyle name="40% - Accent1 3 8 4" xfId="36268" xr:uid="{00000000-0005-0000-0000-00004B3B0000}"/>
    <cellStyle name="40% - Accent1 3 9" xfId="28770" xr:uid="{00000000-0005-0000-0000-00004C3B0000}"/>
    <cellStyle name="40% - Accent1 3 9 2" xfId="9224" xr:uid="{00000000-0005-0000-0000-00004D3B0000}"/>
    <cellStyle name="40% - Accent1 3 9 3" xfId="36554" xr:uid="{00000000-0005-0000-0000-00004E3B0000}"/>
    <cellStyle name="40% - Accent1 30" xfId="35893" xr:uid="{00000000-0005-0000-0000-00004F3B0000}"/>
    <cellStyle name="40% - Accent1 30 2" xfId="37065" xr:uid="{00000000-0005-0000-0000-0000503B0000}"/>
    <cellStyle name="40% - Accent1 30 3" xfId="37960" xr:uid="{00000000-0005-0000-0000-0000513B0000}"/>
    <cellStyle name="40% - Accent1 31" xfId="35913" xr:uid="{00000000-0005-0000-0000-0000523B0000}"/>
    <cellStyle name="40% - Accent1 31 2" xfId="37084" xr:uid="{00000000-0005-0000-0000-0000533B0000}"/>
    <cellStyle name="40% - Accent1 31 3" xfId="37980" xr:uid="{00000000-0005-0000-0000-0000543B0000}"/>
    <cellStyle name="40% - Accent1 32" xfId="35933" xr:uid="{00000000-0005-0000-0000-0000553B0000}"/>
    <cellStyle name="40% - Accent1 32 2" xfId="37103" xr:uid="{00000000-0005-0000-0000-0000563B0000}"/>
    <cellStyle name="40% - Accent1 32 3" xfId="38000" xr:uid="{00000000-0005-0000-0000-0000573B0000}"/>
    <cellStyle name="40% - Accent1 33" xfId="35953" xr:uid="{00000000-0005-0000-0000-0000583B0000}"/>
    <cellStyle name="40% - Accent1 33 2" xfId="37122" xr:uid="{00000000-0005-0000-0000-0000593B0000}"/>
    <cellStyle name="40% - Accent1 33 3" xfId="38020" xr:uid="{00000000-0005-0000-0000-00005A3B0000}"/>
    <cellStyle name="40% - Accent1 34" xfId="35973" xr:uid="{00000000-0005-0000-0000-00005B3B0000}"/>
    <cellStyle name="40% - Accent1 34 2" xfId="37142" xr:uid="{00000000-0005-0000-0000-00005C3B0000}"/>
    <cellStyle name="40% - Accent1 34 3" xfId="38040" xr:uid="{00000000-0005-0000-0000-00005D3B0000}"/>
    <cellStyle name="40% - Accent1 35" xfId="35993" xr:uid="{00000000-0005-0000-0000-00005E3B0000}"/>
    <cellStyle name="40% - Accent1 35 2" xfId="37162" xr:uid="{00000000-0005-0000-0000-00005F3B0000}"/>
    <cellStyle name="40% - Accent1 35 3" xfId="38060" xr:uid="{00000000-0005-0000-0000-0000603B0000}"/>
    <cellStyle name="40% - Accent1 36" xfId="36013" xr:uid="{00000000-0005-0000-0000-0000613B0000}"/>
    <cellStyle name="40% - Accent1 36 2" xfId="37182" xr:uid="{00000000-0005-0000-0000-0000623B0000}"/>
    <cellStyle name="40% - Accent1 36 3" xfId="38080" xr:uid="{00000000-0005-0000-0000-0000633B0000}"/>
    <cellStyle name="40% - Accent1 37" xfId="36033" xr:uid="{00000000-0005-0000-0000-0000643B0000}"/>
    <cellStyle name="40% - Accent1 37 2" xfId="37202" xr:uid="{00000000-0005-0000-0000-0000653B0000}"/>
    <cellStyle name="40% - Accent1 37 3" xfId="38100" xr:uid="{00000000-0005-0000-0000-0000663B0000}"/>
    <cellStyle name="40% - Accent1 38" xfId="36053" xr:uid="{00000000-0005-0000-0000-0000673B0000}"/>
    <cellStyle name="40% - Accent1 38 2" xfId="37222" xr:uid="{00000000-0005-0000-0000-0000683B0000}"/>
    <cellStyle name="40% - Accent1 38 3" xfId="38120" xr:uid="{00000000-0005-0000-0000-0000693B0000}"/>
    <cellStyle name="40% - Accent1 39" xfId="36073" xr:uid="{00000000-0005-0000-0000-00006A3B0000}"/>
    <cellStyle name="40% - Accent1 39 2" xfId="37242" xr:uid="{00000000-0005-0000-0000-00006B3B0000}"/>
    <cellStyle name="40% - Accent1 39 3" xfId="38140" xr:uid="{00000000-0005-0000-0000-00006C3B0000}"/>
    <cellStyle name="40% - Accent1 4" xfId="118" xr:uid="{00000000-0005-0000-0000-00006D3B0000}"/>
    <cellStyle name="40% - Accent1 4 10" xfId="34472" xr:uid="{00000000-0005-0000-0000-00006E3B0000}"/>
    <cellStyle name="40% - Accent1 4 11" xfId="30308" xr:uid="{00000000-0005-0000-0000-00006F3B0000}"/>
    <cellStyle name="40% - Accent1 4 2" xfId="241" xr:uid="{00000000-0005-0000-0000-0000703B0000}"/>
    <cellStyle name="40% - Accent1 4 2 10" xfId="16207" xr:uid="{00000000-0005-0000-0000-0000713B0000}"/>
    <cellStyle name="40% - Accent1 4 2 2" xfId="16206" xr:uid="{00000000-0005-0000-0000-0000723B0000}"/>
    <cellStyle name="40% - Accent1 4 2 2 2" xfId="16204" xr:uid="{00000000-0005-0000-0000-0000733B0000}"/>
    <cellStyle name="40% - Accent1 4 2 2 2 2" xfId="16202" xr:uid="{00000000-0005-0000-0000-0000743B0000}"/>
    <cellStyle name="40% - Accent1 4 2 2 2 2 2" xfId="16201" xr:uid="{00000000-0005-0000-0000-0000753B0000}"/>
    <cellStyle name="40% - Accent1 4 2 2 2 2 2 2" xfId="32073" xr:uid="{00000000-0005-0000-0000-0000763B0000}"/>
    <cellStyle name="40% - Accent1 4 2 2 2 2 2 2 2" xfId="16196" xr:uid="{00000000-0005-0000-0000-0000773B0000}"/>
    <cellStyle name="40% - Accent1 4 2 2 2 2 2 2 2 2" xfId="16195" xr:uid="{00000000-0005-0000-0000-0000783B0000}"/>
    <cellStyle name="40% - Accent1 4 2 2 2 2 2 2 3" xfId="21593" xr:uid="{00000000-0005-0000-0000-0000793B0000}"/>
    <cellStyle name="40% - Accent1 4 2 2 2 2 2 3" xfId="31220" xr:uid="{00000000-0005-0000-0000-00007A3B0000}"/>
    <cellStyle name="40% - Accent1 4 2 2 2 2 2 3 2" xfId="16193" xr:uid="{00000000-0005-0000-0000-00007B3B0000}"/>
    <cellStyle name="40% - Accent1 4 2 2 2 2 2 4" xfId="16192" xr:uid="{00000000-0005-0000-0000-00007C3B0000}"/>
    <cellStyle name="40% - Accent1 4 2 2 2 2 3" xfId="17449" xr:uid="{00000000-0005-0000-0000-00007D3B0000}"/>
    <cellStyle name="40% - Accent1 4 2 2 2 2 3 2" xfId="34216" xr:uid="{00000000-0005-0000-0000-00007E3B0000}"/>
    <cellStyle name="40% - Accent1 4 2 2 2 2 3 2 2" xfId="28182" xr:uid="{00000000-0005-0000-0000-00007F3B0000}"/>
    <cellStyle name="40% - Accent1 4 2 2 2 2 3 3" xfId="16189" xr:uid="{00000000-0005-0000-0000-0000803B0000}"/>
    <cellStyle name="40% - Accent1 4 2 2 2 2 4" xfId="19525" xr:uid="{00000000-0005-0000-0000-0000813B0000}"/>
    <cellStyle name="40% - Accent1 4 2 2 2 2 4 2" xfId="9761" xr:uid="{00000000-0005-0000-0000-0000823B0000}"/>
    <cellStyle name="40% - Accent1 4 2 2 2 2 5" xfId="16185" xr:uid="{00000000-0005-0000-0000-0000833B0000}"/>
    <cellStyle name="40% - Accent1 4 2 2 2 3" xfId="30390" xr:uid="{00000000-0005-0000-0000-0000843B0000}"/>
    <cellStyle name="40% - Accent1 4 2 2 2 3 2" xfId="16181" xr:uid="{00000000-0005-0000-0000-0000853B0000}"/>
    <cellStyle name="40% - Accent1 4 2 2 2 3 2 2" xfId="32496" xr:uid="{00000000-0005-0000-0000-0000863B0000}"/>
    <cellStyle name="40% - Accent1 4 2 2 2 3 2 2 2" xfId="16179" xr:uid="{00000000-0005-0000-0000-0000873B0000}"/>
    <cellStyle name="40% - Accent1 4 2 2 2 3 2 3" xfId="16178" xr:uid="{00000000-0005-0000-0000-0000883B0000}"/>
    <cellStyle name="40% - Accent1 4 2 2 2 3 3" xfId="29084" xr:uid="{00000000-0005-0000-0000-0000893B0000}"/>
    <cellStyle name="40% - Accent1 4 2 2 2 3 3 2" xfId="16175" xr:uid="{00000000-0005-0000-0000-00008A3B0000}"/>
    <cellStyle name="40% - Accent1 4 2 2 2 3 4" xfId="16172" xr:uid="{00000000-0005-0000-0000-00008B3B0000}"/>
    <cellStyle name="40% - Accent1 4 2 2 2 4" xfId="16167" xr:uid="{00000000-0005-0000-0000-00008C3B0000}"/>
    <cellStyle name="40% - Accent1 4 2 2 2 4 2" xfId="16166" xr:uid="{00000000-0005-0000-0000-00008D3B0000}"/>
    <cellStyle name="40% - Accent1 4 2 2 2 4 2 2" xfId="16165" xr:uid="{00000000-0005-0000-0000-00008E3B0000}"/>
    <cellStyle name="40% - Accent1 4 2 2 2 4 3" xfId="16164" xr:uid="{00000000-0005-0000-0000-00008F3B0000}"/>
    <cellStyle name="40% - Accent1 4 2 2 2 5" xfId="26397" xr:uid="{00000000-0005-0000-0000-0000903B0000}"/>
    <cellStyle name="40% - Accent1 4 2 2 2 5 2" xfId="16162" xr:uid="{00000000-0005-0000-0000-0000913B0000}"/>
    <cellStyle name="40% - Accent1 4 2 2 2 6" xfId="26392" xr:uid="{00000000-0005-0000-0000-0000923B0000}"/>
    <cellStyle name="40% - Accent1 4 2 2 3" xfId="12599" xr:uid="{00000000-0005-0000-0000-0000933B0000}"/>
    <cellStyle name="40% - Accent1 4 2 2 3 2" xfId="16161" xr:uid="{00000000-0005-0000-0000-0000943B0000}"/>
    <cellStyle name="40% - Accent1 4 2 2 3 2 2" xfId="16160" xr:uid="{00000000-0005-0000-0000-0000953B0000}"/>
    <cellStyle name="40% - Accent1 4 2 2 3 2 2 2" xfId="24898" xr:uid="{00000000-0005-0000-0000-0000963B0000}"/>
    <cellStyle name="40% - Accent1 4 2 2 3 2 2 2 2" xfId="16155" xr:uid="{00000000-0005-0000-0000-0000973B0000}"/>
    <cellStyle name="40% - Accent1 4 2 2 3 2 2 3" xfId="16153" xr:uid="{00000000-0005-0000-0000-0000983B0000}"/>
    <cellStyle name="40% - Accent1 4 2 2 3 2 3" xfId="19508" xr:uid="{00000000-0005-0000-0000-0000993B0000}"/>
    <cellStyle name="40% - Accent1 4 2 2 3 2 3 2" xfId="16146" xr:uid="{00000000-0005-0000-0000-00009A3B0000}"/>
    <cellStyle name="40% - Accent1 4 2 2 3 2 4" xfId="16751" xr:uid="{00000000-0005-0000-0000-00009B3B0000}"/>
    <cellStyle name="40% - Accent1 4 2 2 3 3" xfId="16142" xr:uid="{00000000-0005-0000-0000-00009C3B0000}"/>
    <cellStyle name="40% - Accent1 4 2 2 3 3 2" xfId="16141" xr:uid="{00000000-0005-0000-0000-00009D3B0000}"/>
    <cellStyle name="40% - Accent1 4 2 2 3 3 2 2" xfId="33698" xr:uid="{00000000-0005-0000-0000-00009E3B0000}"/>
    <cellStyle name="40% - Accent1 4 2 2 3 3 3" xfId="16140" xr:uid="{00000000-0005-0000-0000-00009F3B0000}"/>
    <cellStyle name="40% - Accent1 4 2 2 3 4" xfId="16138" xr:uid="{00000000-0005-0000-0000-0000A03B0000}"/>
    <cellStyle name="40% - Accent1 4 2 2 3 4 2" xfId="16135" xr:uid="{00000000-0005-0000-0000-0000A13B0000}"/>
    <cellStyle name="40% - Accent1 4 2 2 3 5" xfId="26389" xr:uid="{00000000-0005-0000-0000-0000A23B0000}"/>
    <cellStyle name="40% - Accent1 4 2 2 4" xfId="16133" xr:uid="{00000000-0005-0000-0000-0000A33B0000}"/>
    <cellStyle name="40% - Accent1 4 2 2 4 2" xfId="16132" xr:uid="{00000000-0005-0000-0000-0000A43B0000}"/>
    <cellStyle name="40% - Accent1 4 2 2 4 2 2" xfId="32988" xr:uid="{00000000-0005-0000-0000-0000A53B0000}"/>
    <cellStyle name="40% - Accent1 4 2 2 4 2 2 2" xfId="16131" xr:uid="{00000000-0005-0000-0000-0000A63B0000}"/>
    <cellStyle name="40% - Accent1 4 2 2 4 2 3" xfId="26427" xr:uid="{00000000-0005-0000-0000-0000A73B0000}"/>
    <cellStyle name="40% - Accent1 4 2 2 4 3" xfId="16126" xr:uid="{00000000-0005-0000-0000-0000A83B0000}"/>
    <cellStyle name="40% - Accent1 4 2 2 4 3 2" xfId="29518" xr:uid="{00000000-0005-0000-0000-0000A93B0000}"/>
    <cellStyle name="40% - Accent1 4 2 2 4 4" xfId="16125" xr:uid="{00000000-0005-0000-0000-0000AA3B0000}"/>
    <cellStyle name="40% - Accent1 4 2 2 5" xfId="16124" xr:uid="{00000000-0005-0000-0000-0000AB3B0000}"/>
    <cellStyle name="40% - Accent1 4 2 2 5 2" xfId="16123" xr:uid="{00000000-0005-0000-0000-0000AC3B0000}"/>
    <cellStyle name="40% - Accent1 4 2 2 5 2 2" xfId="24936" xr:uid="{00000000-0005-0000-0000-0000AD3B0000}"/>
    <cellStyle name="40% - Accent1 4 2 2 5 3" xfId="16122" xr:uid="{00000000-0005-0000-0000-0000AE3B0000}"/>
    <cellStyle name="40% - Accent1 4 2 2 6" xfId="22702" xr:uid="{00000000-0005-0000-0000-0000AF3B0000}"/>
    <cellStyle name="40% - Accent1 4 2 2 6 2" xfId="32877" xr:uid="{00000000-0005-0000-0000-0000B03B0000}"/>
    <cellStyle name="40% - Accent1 4 2 2 7" xfId="22696" xr:uid="{00000000-0005-0000-0000-0000B13B0000}"/>
    <cellStyle name="40% - Accent1 4 2 3" xfId="16121" xr:uid="{00000000-0005-0000-0000-0000B23B0000}"/>
    <cellStyle name="40% - Accent1 4 2 3 2" xfId="16119" xr:uid="{00000000-0005-0000-0000-0000B33B0000}"/>
    <cellStyle name="40% - Accent1 4 2 3 2 2" xfId="32162" xr:uid="{00000000-0005-0000-0000-0000B43B0000}"/>
    <cellStyle name="40% - Accent1 4 2 3 2 2 2" xfId="16116" xr:uid="{00000000-0005-0000-0000-0000B53B0000}"/>
    <cellStyle name="40% - Accent1 4 2 3 2 2 2 2" xfId="31929" xr:uid="{00000000-0005-0000-0000-0000B63B0000}"/>
    <cellStyle name="40% - Accent1 4 2 3 2 2 2 2 2" xfId="16113" xr:uid="{00000000-0005-0000-0000-0000B73B0000}"/>
    <cellStyle name="40% - Accent1 4 2 3 2 2 2 3" xfId="16111" xr:uid="{00000000-0005-0000-0000-0000B83B0000}"/>
    <cellStyle name="40% - Accent1 4 2 3 2 2 3" xfId="19475" xr:uid="{00000000-0005-0000-0000-0000B93B0000}"/>
    <cellStyle name="40% - Accent1 4 2 3 2 2 3 2" xfId="16107" xr:uid="{00000000-0005-0000-0000-0000BA3B0000}"/>
    <cellStyle name="40% - Accent1 4 2 3 2 2 4" xfId="16103" xr:uid="{00000000-0005-0000-0000-0000BB3B0000}"/>
    <cellStyle name="40% - Accent1 4 2 3 2 3" xfId="16097" xr:uid="{00000000-0005-0000-0000-0000BC3B0000}"/>
    <cellStyle name="40% - Accent1 4 2 3 2 3 2" xfId="20950" xr:uid="{00000000-0005-0000-0000-0000BD3B0000}"/>
    <cellStyle name="40% - Accent1 4 2 3 2 3 2 2" xfId="16095" xr:uid="{00000000-0005-0000-0000-0000BE3B0000}"/>
    <cellStyle name="40% - Accent1 4 2 3 2 3 3" xfId="20714" xr:uid="{00000000-0005-0000-0000-0000BF3B0000}"/>
    <cellStyle name="40% - Accent1 4 2 3 2 4" xfId="16092" xr:uid="{00000000-0005-0000-0000-0000C03B0000}"/>
    <cellStyle name="40% - Accent1 4 2 3 2 4 2" xfId="20711" xr:uid="{00000000-0005-0000-0000-0000C13B0000}"/>
    <cellStyle name="40% - Accent1 4 2 3 2 5" xfId="26386" xr:uid="{00000000-0005-0000-0000-0000C23B0000}"/>
    <cellStyle name="40% - Accent1 4 2 3 3" xfId="16090" xr:uid="{00000000-0005-0000-0000-0000C33B0000}"/>
    <cellStyle name="40% - Accent1 4 2 3 3 2" xfId="18400" xr:uid="{00000000-0005-0000-0000-0000C43B0000}"/>
    <cellStyle name="40% - Accent1 4 2 3 3 2 2" xfId="18398" xr:uid="{00000000-0005-0000-0000-0000C53B0000}"/>
    <cellStyle name="40% - Accent1 4 2 3 3 2 2 2" xfId="16088" xr:uid="{00000000-0005-0000-0000-0000C63B0000}"/>
    <cellStyle name="40% - Accent1 4 2 3 3 2 3" xfId="18479" xr:uid="{00000000-0005-0000-0000-0000C73B0000}"/>
    <cellStyle name="40% - Accent1 4 2 3 3 3" xfId="18394" xr:uid="{00000000-0005-0000-0000-0000C83B0000}"/>
    <cellStyle name="40% - Accent1 4 2 3 3 3 2" xfId="18388" xr:uid="{00000000-0005-0000-0000-0000C93B0000}"/>
    <cellStyle name="40% - Accent1 4 2 3 3 4" xfId="18385" xr:uid="{00000000-0005-0000-0000-0000CA3B0000}"/>
    <cellStyle name="40% - Accent1 4 2 3 4" xfId="16083" xr:uid="{00000000-0005-0000-0000-0000CB3B0000}"/>
    <cellStyle name="40% - Accent1 4 2 3 4 2" xfId="20705" xr:uid="{00000000-0005-0000-0000-0000CC3B0000}"/>
    <cellStyle name="40% - Accent1 4 2 3 4 2 2" xfId="20702" xr:uid="{00000000-0005-0000-0000-0000CD3B0000}"/>
    <cellStyle name="40% - Accent1 4 2 3 4 3" xfId="20699" xr:uid="{00000000-0005-0000-0000-0000CE3B0000}"/>
    <cellStyle name="40% - Accent1 4 2 3 5" xfId="16081" xr:uid="{00000000-0005-0000-0000-0000CF3B0000}"/>
    <cellStyle name="40% - Accent1 4 2 3 5 2" xfId="20695" xr:uid="{00000000-0005-0000-0000-0000D03B0000}"/>
    <cellStyle name="40% - Accent1 4 2 3 6" xfId="20692" xr:uid="{00000000-0005-0000-0000-0000D13B0000}"/>
    <cellStyle name="40% - Accent1 4 2 4" xfId="16079" xr:uid="{00000000-0005-0000-0000-0000D23B0000}"/>
    <cellStyle name="40% - Accent1 4 2 4 2" xfId="30643" xr:uid="{00000000-0005-0000-0000-0000D33B0000}"/>
    <cellStyle name="40% - Accent1 4 2 4 2 2" xfId="22954" xr:uid="{00000000-0005-0000-0000-0000D43B0000}"/>
    <cellStyle name="40% - Accent1 4 2 4 2 2 2" xfId="16077" xr:uid="{00000000-0005-0000-0000-0000D53B0000}"/>
    <cellStyle name="40% - Accent1 4 2 4 2 2 2 2" xfId="16528" xr:uid="{00000000-0005-0000-0000-0000D63B0000}"/>
    <cellStyle name="40% - Accent1 4 2 4 2 2 3" xfId="16074" xr:uid="{00000000-0005-0000-0000-0000D73B0000}"/>
    <cellStyle name="40% - Accent1 4 2 4 2 3" xfId="16071" xr:uid="{00000000-0005-0000-0000-0000D83B0000}"/>
    <cellStyle name="40% - Accent1 4 2 4 2 3 2" xfId="27266" xr:uid="{00000000-0005-0000-0000-0000D93B0000}"/>
    <cellStyle name="40% - Accent1 4 2 4 2 4" xfId="16069" xr:uid="{00000000-0005-0000-0000-0000DA3B0000}"/>
    <cellStyle name="40% - Accent1 4 2 4 3" xfId="19636" xr:uid="{00000000-0005-0000-0000-0000DB3B0000}"/>
    <cellStyle name="40% - Accent1 4 2 4 3 2" xfId="18362" xr:uid="{00000000-0005-0000-0000-0000DC3B0000}"/>
    <cellStyle name="40% - Accent1 4 2 4 3 2 2" xfId="18359" xr:uid="{00000000-0005-0000-0000-0000DD3B0000}"/>
    <cellStyle name="40% - Accent1 4 2 4 3 3" xfId="18354" xr:uid="{00000000-0005-0000-0000-0000DE3B0000}"/>
    <cellStyle name="40% - Accent1 4 2 4 4" xfId="16066" xr:uid="{00000000-0005-0000-0000-0000DF3B0000}"/>
    <cellStyle name="40% - Accent1 4 2 4 4 2" xfId="29023" xr:uid="{00000000-0005-0000-0000-0000E03B0000}"/>
    <cellStyle name="40% - Accent1 4 2 4 5" xfId="16064" xr:uid="{00000000-0005-0000-0000-0000E13B0000}"/>
    <cellStyle name="40% - Accent1 4 2 5" xfId="20579" xr:uid="{00000000-0005-0000-0000-0000E23B0000}"/>
    <cellStyle name="40% - Accent1 4 2 5 2" xfId="30623" xr:uid="{00000000-0005-0000-0000-0000E33B0000}"/>
    <cellStyle name="40% - Accent1 4 2 5 2 2" xfId="16061" xr:uid="{00000000-0005-0000-0000-0000E43B0000}"/>
    <cellStyle name="40% - Accent1 4 2 5 2 2 2" xfId="16059" xr:uid="{00000000-0005-0000-0000-0000E53B0000}"/>
    <cellStyle name="40% - Accent1 4 2 5 2 3" xfId="16057" xr:uid="{00000000-0005-0000-0000-0000E63B0000}"/>
    <cellStyle name="40% - Accent1 4 2 5 3" xfId="16055" xr:uid="{00000000-0005-0000-0000-0000E73B0000}"/>
    <cellStyle name="40% - Accent1 4 2 5 3 2" xfId="18310" xr:uid="{00000000-0005-0000-0000-0000E83B0000}"/>
    <cellStyle name="40% - Accent1 4 2 5 4" xfId="20684" xr:uid="{00000000-0005-0000-0000-0000E93B0000}"/>
    <cellStyle name="40% - Accent1 4 2 6" xfId="16053" xr:uid="{00000000-0005-0000-0000-0000EA3B0000}"/>
    <cellStyle name="40% - Accent1 4 2 6 2" xfId="20677" xr:uid="{00000000-0005-0000-0000-0000EB3B0000}"/>
    <cellStyle name="40% - Accent1 4 2 6 2 2" xfId="22053" xr:uid="{00000000-0005-0000-0000-0000EC3B0000}"/>
    <cellStyle name="40% - Accent1 4 2 6 3" xfId="20670" xr:uid="{00000000-0005-0000-0000-0000ED3B0000}"/>
    <cellStyle name="40% - Accent1 4 2 7" xfId="34078" xr:uid="{00000000-0005-0000-0000-0000EE3B0000}"/>
    <cellStyle name="40% - Accent1 4 2 7 2" xfId="20660" xr:uid="{00000000-0005-0000-0000-0000EF3B0000}"/>
    <cellStyle name="40% - Accent1 4 2 8" xfId="24408" xr:uid="{00000000-0005-0000-0000-0000F03B0000}"/>
    <cellStyle name="40% - Accent1 4 2 9" xfId="34564" xr:uid="{00000000-0005-0000-0000-0000F13B0000}"/>
    <cellStyle name="40% - Accent1 4 3" xfId="16052" xr:uid="{00000000-0005-0000-0000-0000F23B0000}"/>
    <cellStyle name="40% - Accent1 4 3 2" xfId="16051" xr:uid="{00000000-0005-0000-0000-0000F33B0000}"/>
    <cellStyle name="40% - Accent1 4 3 2 2" xfId="16050" xr:uid="{00000000-0005-0000-0000-0000F43B0000}"/>
    <cellStyle name="40% - Accent1 4 3 2 2 2" xfId="16049" xr:uid="{00000000-0005-0000-0000-0000F53B0000}"/>
    <cellStyle name="40% - Accent1 4 3 2 2 2 2" xfId="16047" xr:uid="{00000000-0005-0000-0000-0000F63B0000}"/>
    <cellStyle name="40% - Accent1 4 3 2 2 2 2 2" xfId="29079" xr:uid="{00000000-0005-0000-0000-0000F73B0000}"/>
    <cellStyle name="40% - Accent1 4 3 2 2 2 2 2 2" xfId="25328" xr:uid="{00000000-0005-0000-0000-0000F83B0000}"/>
    <cellStyle name="40% - Accent1 4 3 2 2 2 2 3" xfId="29069" xr:uid="{00000000-0005-0000-0000-0000F93B0000}"/>
    <cellStyle name="40% - Accent1 4 3 2 2 2 3" xfId="19240" xr:uid="{00000000-0005-0000-0000-0000FA3B0000}"/>
    <cellStyle name="40% - Accent1 4 3 2 2 2 3 2" xfId="29056" xr:uid="{00000000-0005-0000-0000-0000FB3B0000}"/>
    <cellStyle name="40% - Accent1 4 3 2 2 2 4" xfId="23118" xr:uid="{00000000-0005-0000-0000-0000FC3B0000}"/>
    <cellStyle name="40% - Accent1 4 3 2 2 3" xfId="16045" xr:uid="{00000000-0005-0000-0000-0000FD3B0000}"/>
    <cellStyle name="40% - Accent1 4 3 2 2 3 2" xfId="16042" xr:uid="{00000000-0005-0000-0000-0000FE3B0000}"/>
    <cellStyle name="40% - Accent1 4 3 2 2 3 2 2" xfId="28947" xr:uid="{00000000-0005-0000-0000-0000FF3B0000}"/>
    <cellStyle name="40% - Accent1 4 3 2 2 3 3" xfId="23774" xr:uid="{00000000-0005-0000-0000-0000003C0000}"/>
    <cellStyle name="40% - Accent1 4 3 2 2 4" xfId="16040" xr:uid="{00000000-0005-0000-0000-0000013C0000}"/>
    <cellStyle name="40% - Accent1 4 3 2 2 4 2" xfId="16036" xr:uid="{00000000-0005-0000-0000-0000023C0000}"/>
    <cellStyle name="40% - Accent1 4 3 2 2 5" xfId="26380" xr:uid="{00000000-0005-0000-0000-0000033C0000}"/>
    <cellStyle name="40% - Accent1 4 3 2 3" xfId="16035" xr:uid="{00000000-0005-0000-0000-0000043C0000}"/>
    <cellStyle name="40% - Accent1 4 3 2 3 2" xfId="16034" xr:uid="{00000000-0005-0000-0000-0000053C0000}"/>
    <cellStyle name="40% - Accent1 4 3 2 3 2 2" xfId="5400" xr:uid="{00000000-0005-0000-0000-0000063C0000}"/>
    <cellStyle name="40% - Accent1 4 3 2 3 2 2 2" xfId="28722" xr:uid="{00000000-0005-0000-0000-0000073C0000}"/>
    <cellStyle name="40% - Accent1 4 3 2 3 2 3" xfId="7992" xr:uid="{00000000-0005-0000-0000-0000083C0000}"/>
    <cellStyle name="40% - Accent1 4 3 2 3 3" xfId="31938" xr:uid="{00000000-0005-0000-0000-0000093C0000}"/>
    <cellStyle name="40% - Accent1 4 3 2 3 3 2" xfId="16031" xr:uid="{00000000-0005-0000-0000-00000A3C0000}"/>
    <cellStyle name="40% - Accent1 4 3 2 3 4" xfId="16030" xr:uid="{00000000-0005-0000-0000-00000B3C0000}"/>
    <cellStyle name="40% - Accent1 4 3 2 4" xfId="16029" xr:uid="{00000000-0005-0000-0000-00000C3C0000}"/>
    <cellStyle name="40% - Accent1 4 3 2 4 2" xfId="16027" xr:uid="{00000000-0005-0000-0000-00000D3C0000}"/>
    <cellStyle name="40% - Accent1 4 3 2 4 2 2" xfId="26337" xr:uid="{00000000-0005-0000-0000-00000E3C0000}"/>
    <cellStyle name="40% - Accent1 4 3 2 4 3" xfId="16025" xr:uid="{00000000-0005-0000-0000-00000F3C0000}"/>
    <cellStyle name="40% - Accent1 4 3 2 5" xfId="16024" xr:uid="{00000000-0005-0000-0000-0000103C0000}"/>
    <cellStyle name="40% - Accent1 4 3 2 5 2" xfId="16023" xr:uid="{00000000-0005-0000-0000-0000113C0000}"/>
    <cellStyle name="40% - Accent1 4 3 2 6" xfId="22558" xr:uid="{00000000-0005-0000-0000-0000123C0000}"/>
    <cellStyle name="40% - Accent1 4 3 3" xfId="16022" xr:uid="{00000000-0005-0000-0000-0000133C0000}"/>
    <cellStyle name="40% - Accent1 4 3 3 2" xfId="16021" xr:uid="{00000000-0005-0000-0000-0000143C0000}"/>
    <cellStyle name="40% - Accent1 4 3 3 2 2" xfId="16017" xr:uid="{00000000-0005-0000-0000-0000153C0000}"/>
    <cellStyle name="40% - Accent1 4 3 3 2 2 2" xfId="16013" xr:uid="{00000000-0005-0000-0000-0000163C0000}"/>
    <cellStyle name="40% - Accent1 4 3 3 2 2 2 2" xfId="27768" xr:uid="{00000000-0005-0000-0000-0000173C0000}"/>
    <cellStyle name="40% - Accent1 4 3 3 2 2 3" xfId="16011" xr:uid="{00000000-0005-0000-0000-0000183C0000}"/>
    <cellStyle name="40% - Accent1 4 3 3 2 3" xfId="16007" xr:uid="{00000000-0005-0000-0000-0000193C0000}"/>
    <cellStyle name="40% - Accent1 4 3 3 2 3 2" xfId="20633" xr:uid="{00000000-0005-0000-0000-00001A3C0000}"/>
    <cellStyle name="40% - Accent1 4 3 3 2 4" xfId="16005" xr:uid="{00000000-0005-0000-0000-00001B3C0000}"/>
    <cellStyle name="40% - Accent1 4 3 3 3" xfId="16003" xr:uid="{00000000-0005-0000-0000-00001C3C0000}"/>
    <cellStyle name="40% - Accent1 4 3 3 3 2" xfId="18237" xr:uid="{00000000-0005-0000-0000-00001D3C0000}"/>
    <cellStyle name="40% - Accent1 4 3 3 3 2 2" xfId="18232" xr:uid="{00000000-0005-0000-0000-00001E3C0000}"/>
    <cellStyle name="40% - Accent1 4 3 3 3 3" xfId="18227" xr:uid="{00000000-0005-0000-0000-00001F3C0000}"/>
    <cellStyle name="40% - Accent1 4 3 3 4" xfId="15999" xr:uid="{00000000-0005-0000-0000-0000203C0000}"/>
    <cellStyle name="40% - Accent1 4 3 3 4 2" xfId="20624" xr:uid="{00000000-0005-0000-0000-0000213C0000}"/>
    <cellStyle name="40% - Accent1 4 3 3 5" xfId="15997" xr:uid="{00000000-0005-0000-0000-0000223C0000}"/>
    <cellStyle name="40% - Accent1 4 3 4" xfId="15995" xr:uid="{00000000-0005-0000-0000-0000233C0000}"/>
    <cellStyle name="40% - Accent1 4 3 4 2" xfId="30505" xr:uid="{00000000-0005-0000-0000-0000243C0000}"/>
    <cellStyle name="40% - Accent1 4 3 4 2 2" xfId="26102" xr:uid="{00000000-0005-0000-0000-0000253C0000}"/>
    <cellStyle name="40% - Accent1 4 3 4 2 2 2" xfId="15992" xr:uid="{00000000-0005-0000-0000-0000263C0000}"/>
    <cellStyle name="40% - Accent1 4 3 4 2 3" xfId="7877" xr:uid="{00000000-0005-0000-0000-0000273C0000}"/>
    <cellStyle name="40% - Accent1 4 3 4 3" xfId="15990" xr:uid="{00000000-0005-0000-0000-0000283C0000}"/>
    <cellStyle name="40% - Accent1 4 3 4 3 2" xfId="18189" xr:uid="{00000000-0005-0000-0000-0000293C0000}"/>
    <cellStyle name="40% - Accent1 4 3 4 4" xfId="15988" xr:uid="{00000000-0005-0000-0000-00002A3C0000}"/>
    <cellStyle name="40% - Accent1 4 3 5" xfId="25325" xr:uid="{00000000-0005-0000-0000-00002B3C0000}"/>
    <cellStyle name="40% - Accent1 4 3 5 2" xfId="15986" xr:uid="{00000000-0005-0000-0000-00002C3C0000}"/>
    <cellStyle name="40% - Accent1 4 3 5 2 2" xfId="15984" xr:uid="{00000000-0005-0000-0000-00002D3C0000}"/>
    <cellStyle name="40% - Accent1 4 3 5 3" xfId="15982" xr:uid="{00000000-0005-0000-0000-00002E3C0000}"/>
    <cellStyle name="40% - Accent1 4 3 6" xfId="30561" xr:uid="{00000000-0005-0000-0000-00002F3C0000}"/>
    <cellStyle name="40% - Accent1 4 3 6 2" xfId="20609" xr:uid="{00000000-0005-0000-0000-0000303C0000}"/>
    <cellStyle name="40% - Accent1 4 3 7" xfId="19033" xr:uid="{00000000-0005-0000-0000-0000313C0000}"/>
    <cellStyle name="40% - Accent1 4 3 8" xfId="34785" xr:uid="{00000000-0005-0000-0000-0000323C0000}"/>
    <cellStyle name="40% - Accent1 4 4" xfId="6728" xr:uid="{00000000-0005-0000-0000-0000333C0000}"/>
    <cellStyle name="40% - Accent1 4 4 2" xfId="15980" xr:uid="{00000000-0005-0000-0000-0000343C0000}"/>
    <cellStyle name="40% - Accent1 4 4 2 2" xfId="11580" xr:uid="{00000000-0005-0000-0000-0000353C0000}"/>
    <cellStyle name="40% - Accent1 4 4 2 2 2" xfId="15977" xr:uid="{00000000-0005-0000-0000-0000363C0000}"/>
    <cellStyle name="40% - Accent1 4 4 2 2 2 2" xfId="15975" xr:uid="{00000000-0005-0000-0000-0000373C0000}"/>
    <cellStyle name="40% - Accent1 4 4 2 2 2 2 2" xfId="30131" xr:uid="{00000000-0005-0000-0000-0000383C0000}"/>
    <cellStyle name="40% - Accent1 4 4 2 2 2 3" xfId="15974" xr:uid="{00000000-0005-0000-0000-0000393C0000}"/>
    <cellStyle name="40% - Accent1 4 4 2 2 3" xfId="8710" xr:uid="{00000000-0005-0000-0000-00003A3C0000}"/>
    <cellStyle name="40% - Accent1 4 4 2 2 3 2" xfId="15972" xr:uid="{00000000-0005-0000-0000-00003B3C0000}"/>
    <cellStyle name="40% - Accent1 4 4 2 2 4" xfId="34390" xr:uid="{00000000-0005-0000-0000-00003C3C0000}"/>
    <cellStyle name="40% - Accent1 4 4 2 3" xfId="15971" xr:uid="{00000000-0005-0000-0000-00003D3C0000}"/>
    <cellStyle name="40% - Accent1 4 4 2 3 2" xfId="15969" xr:uid="{00000000-0005-0000-0000-00003E3C0000}"/>
    <cellStyle name="40% - Accent1 4 4 2 3 2 2" xfId="17338" xr:uid="{00000000-0005-0000-0000-00003F3C0000}"/>
    <cellStyle name="40% - Accent1 4 4 2 3 3" xfId="15966" xr:uid="{00000000-0005-0000-0000-0000403C0000}"/>
    <cellStyle name="40% - Accent1 4 4 2 4" xfId="15965" xr:uid="{00000000-0005-0000-0000-0000413C0000}"/>
    <cellStyle name="40% - Accent1 4 4 2 4 2" xfId="15962" xr:uid="{00000000-0005-0000-0000-0000423C0000}"/>
    <cellStyle name="40% - Accent1 4 4 2 5" xfId="15958" xr:uid="{00000000-0005-0000-0000-0000433C0000}"/>
    <cellStyle name="40% - Accent1 4 4 3" xfId="15955" xr:uid="{00000000-0005-0000-0000-0000443C0000}"/>
    <cellStyle name="40% - Accent1 4 4 3 2" xfId="15954" xr:uid="{00000000-0005-0000-0000-0000453C0000}"/>
    <cellStyle name="40% - Accent1 4 4 3 2 2" xfId="15949" xr:uid="{00000000-0005-0000-0000-0000463C0000}"/>
    <cellStyle name="40% - Accent1 4 4 3 2 2 2" xfId="22787" xr:uid="{00000000-0005-0000-0000-0000473C0000}"/>
    <cellStyle name="40% - Accent1 4 4 3 2 3" xfId="15947" xr:uid="{00000000-0005-0000-0000-0000483C0000}"/>
    <cellStyle name="40% - Accent1 4 4 3 3" xfId="15945" xr:uid="{00000000-0005-0000-0000-0000493C0000}"/>
    <cellStyle name="40% - Accent1 4 4 3 3 2" xfId="22780" xr:uid="{00000000-0005-0000-0000-00004A3C0000}"/>
    <cellStyle name="40% - Accent1 4 4 3 4" xfId="15943" xr:uid="{00000000-0005-0000-0000-00004B3C0000}"/>
    <cellStyle name="40% - Accent1 4 4 4" xfId="15939" xr:uid="{00000000-0005-0000-0000-00004C3C0000}"/>
    <cellStyle name="40% - Accent1 4 4 4 2" xfId="15936" xr:uid="{00000000-0005-0000-0000-00004D3C0000}"/>
    <cellStyle name="40% - Accent1 4 4 4 2 2" xfId="15934" xr:uid="{00000000-0005-0000-0000-00004E3C0000}"/>
    <cellStyle name="40% - Accent1 4 4 4 3" xfId="15930" xr:uid="{00000000-0005-0000-0000-00004F3C0000}"/>
    <cellStyle name="40% - Accent1 4 4 5" xfId="15928" xr:uid="{00000000-0005-0000-0000-0000503C0000}"/>
    <cellStyle name="40% - Accent1 4 4 5 2" xfId="15926" xr:uid="{00000000-0005-0000-0000-0000513C0000}"/>
    <cellStyle name="40% - Accent1 4 4 6" xfId="30542" xr:uid="{00000000-0005-0000-0000-0000523C0000}"/>
    <cellStyle name="40% - Accent1 4 4 7" xfId="34981" xr:uid="{00000000-0005-0000-0000-0000533C0000}"/>
    <cellStyle name="40% - Accent1 4 5" xfId="15923" xr:uid="{00000000-0005-0000-0000-0000543C0000}"/>
    <cellStyle name="40% - Accent1 4 5 2" xfId="15922" xr:uid="{00000000-0005-0000-0000-0000553C0000}"/>
    <cellStyle name="40% - Accent1 4 5 2 2" xfId="15921" xr:uid="{00000000-0005-0000-0000-0000563C0000}"/>
    <cellStyle name="40% - Accent1 4 5 2 2 2" xfId="15916" xr:uid="{00000000-0005-0000-0000-0000573C0000}"/>
    <cellStyle name="40% - Accent1 4 5 2 2 2 2" xfId="15915" xr:uid="{00000000-0005-0000-0000-0000583C0000}"/>
    <cellStyle name="40% - Accent1 4 5 2 2 3" xfId="15914" xr:uid="{00000000-0005-0000-0000-0000593C0000}"/>
    <cellStyle name="40% - Accent1 4 5 2 3" xfId="15912" xr:uid="{00000000-0005-0000-0000-00005A3C0000}"/>
    <cellStyle name="40% - Accent1 4 5 2 3 2" xfId="15908" xr:uid="{00000000-0005-0000-0000-00005B3C0000}"/>
    <cellStyle name="40% - Accent1 4 5 2 4" xfId="17585" xr:uid="{00000000-0005-0000-0000-00005C3C0000}"/>
    <cellStyle name="40% - Accent1 4 5 3" xfId="15907" xr:uid="{00000000-0005-0000-0000-00005D3C0000}"/>
    <cellStyle name="40% - Accent1 4 5 3 2" xfId="15906" xr:uid="{00000000-0005-0000-0000-00005E3C0000}"/>
    <cellStyle name="40% - Accent1 4 5 3 2 2" xfId="16785" xr:uid="{00000000-0005-0000-0000-00005F3C0000}"/>
    <cellStyle name="40% - Accent1 4 5 3 3" xfId="15902" xr:uid="{00000000-0005-0000-0000-0000603C0000}"/>
    <cellStyle name="40% - Accent1 4 5 4" xfId="15898" xr:uid="{00000000-0005-0000-0000-0000613C0000}"/>
    <cellStyle name="40% - Accent1 4 5 4 2" xfId="15897" xr:uid="{00000000-0005-0000-0000-0000623C0000}"/>
    <cellStyle name="40% - Accent1 4 5 5" xfId="15895" xr:uid="{00000000-0005-0000-0000-0000633C0000}"/>
    <cellStyle name="40% - Accent1 4 5 6" xfId="35186" xr:uid="{00000000-0005-0000-0000-0000643C0000}"/>
    <cellStyle name="40% - Accent1 4 6" xfId="15893" xr:uid="{00000000-0005-0000-0000-0000653C0000}"/>
    <cellStyle name="40% - Accent1 4 6 2" xfId="10920" xr:uid="{00000000-0005-0000-0000-0000663C0000}"/>
    <cellStyle name="40% - Accent1 4 6 2 2" xfId="15892" xr:uid="{00000000-0005-0000-0000-0000673C0000}"/>
    <cellStyle name="40% - Accent1 4 6 2 2 2" xfId="8948" xr:uid="{00000000-0005-0000-0000-0000683C0000}"/>
    <cellStyle name="40% - Accent1 4 6 2 3" xfId="17456" xr:uid="{00000000-0005-0000-0000-0000693C0000}"/>
    <cellStyle name="40% - Accent1 4 6 3" xfId="33019" xr:uid="{00000000-0005-0000-0000-00006A3C0000}"/>
    <cellStyle name="40% - Accent1 4 6 3 2" xfId="15889" xr:uid="{00000000-0005-0000-0000-00006B3C0000}"/>
    <cellStyle name="40% - Accent1 4 6 4" xfId="15887" xr:uid="{00000000-0005-0000-0000-00006C3C0000}"/>
    <cellStyle name="40% - Accent1 4 6 5" xfId="35415" xr:uid="{00000000-0005-0000-0000-00006D3C0000}"/>
    <cellStyle name="40% - Accent1 4 7" xfId="15885" xr:uid="{00000000-0005-0000-0000-00006E3C0000}"/>
    <cellStyle name="40% - Accent1 4 7 2" xfId="32694" xr:uid="{00000000-0005-0000-0000-00006F3C0000}"/>
    <cellStyle name="40% - Accent1 4 7 2 2" xfId="33315" xr:uid="{00000000-0005-0000-0000-0000703C0000}"/>
    <cellStyle name="40% - Accent1 4 7 3" xfId="29289" xr:uid="{00000000-0005-0000-0000-0000713C0000}"/>
    <cellStyle name="40% - Accent1 4 7 4" xfId="36287" xr:uid="{00000000-0005-0000-0000-0000723C0000}"/>
    <cellStyle name="40% - Accent1 4 8" xfId="32414" xr:uid="{00000000-0005-0000-0000-0000733C0000}"/>
    <cellStyle name="40% - Accent1 4 8 2" xfId="32101" xr:uid="{00000000-0005-0000-0000-0000743C0000}"/>
    <cellStyle name="40% - Accent1 4 8 3" xfId="36573" xr:uid="{00000000-0005-0000-0000-0000753C0000}"/>
    <cellStyle name="40% - Accent1 4 9" xfId="32091" xr:uid="{00000000-0005-0000-0000-0000763C0000}"/>
    <cellStyle name="40% - Accent1 4 9 2" xfId="37458" xr:uid="{00000000-0005-0000-0000-0000773C0000}"/>
    <cellStyle name="40% - Accent1 40" xfId="36093" xr:uid="{00000000-0005-0000-0000-0000783C0000}"/>
    <cellStyle name="40% - Accent1 40 2" xfId="37262" xr:uid="{00000000-0005-0000-0000-0000793C0000}"/>
    <cellStyle name="40% - Accent1 40 3" xfId="38160" xr:uid="{00000000-0005-0000-0000-00007A3C0000}"/>
    <cellStyle name="40% - Accent1 41" xfId="36113" xr:uid="{00000000-0005-0000-0000-00007B3C0000}"/>
    <cellStyle name="40% - Accent1 41 2" xfId="37282" xr:uid="{00000000-0005-0000-0000-00007C3C0000}"/>
    <cellStyle name="40% - Accent1 41 3" xfId="38180" xr:uid="{00000000-0005-0000-0000-00007D3C0000}"/>
    <cellStyle name="40% - Accent1 42" xfId="36133" xr:uid="{00000000-0005-0000-0000-00007E3C0000}"/>
    <cellStyle name="40% - Accent1 42 2" xfId="37302" xr:uid="{00000000-0005-0000-0000-00007F3C0000}"/>
    <cellStyle name="40% - Accent1 42 3" xfId="38200" xr:uid="{00000000-0005-0000-0000-0000803C0000}"/>
    <cellStyle name="40% - Accent1 43" xfId="36153" xr:uid="{00000000-0005-0000-0000-0000813C0000}"/>
    <cellStyle name="40% - Accent1 43 2" xfId="37322" xr:uid="{00000000-0005-0000-0000-0000823C0000}"/>
    <cellStyle name="40% - Accent1 43 3" xfId="38220" xr:uid="{00000000-0005-0000-0000-0000833C0000}"/>
    <cellStyle name="40% - Accent1 44" xfId="36173" xr:uid="{00000000-0005-0000-0000-0000843C0000}"/>
    <cellStyle name="40% - Accent1 44 2" xfId="37342" xr:uid="{00000000-0005-0000-0000-0000853C0000}"/>
    <cellStyle name="40% - Accent1 44 3" xfId="38240" xr:uid="{00000000-0005-0000-0000-0000863C0000}"/>
    <cellStyle name="40% - Accent1 45" xfId="36193" xr:uid="{00000000-0005-0000-0000-0000873C0000}"/>
    <cellStyle name="40% - Accent1 45 2" xfId="37362" xr:uid="{00000000-0005-0000-0000-0000883C0000}"/>
    <cellStyle name="40% - Accent1 45 3" xfId="38260" xr:uid="{00000000-0005-0000-0000-0000893C0000}"/>
    <cellStyle name="40% - Accent1 46" xfId="36213" xr:uid="{00000000-0005-0000-0000-00008A3C0000}"/>
    <cellStyle name="40% - Accent1 46 2" xfId="37380" xr:uid="{00000000-0005-0000-0000-00008B3C0000}"/>
    <cellStyle name="40% - Accent1 46 3" xfId="38280" xr:uid="{00000000-0005-0000-0000-00008C3C0000}"/>
    <cellStyle name="40% - Accent1 47" xfId="36514" xr:uid="{00000000-0005-0000-0000-00008D3C0000}"/>
    <cellStyle name="40% - Accent1 48" xfId="37399" xr:uid="{00000000-0005-0000-0000-00008E3C0000}"/>
    <cellStyle name="40% - Accent1 5" xfId="261" xr:uid="{00000000-0005-0000-0000-00008F3C0000}"/>
    <cellStyle name="40% - Accent1 5 10" xfId="28907" xr:uid="{00000000-0005-0000-0000-0000903C0000}"/>
    <cellStyle name="40% - Accent1 5 2" xfId="15884" xr:uid="{00000000-0005-0000-0000-0000913C0000}"/>
    <cellStyle name="40% - Accent1 5 2 2" xfId="15882" xr:uid="{00000000-0005-0000-0000-0000923C0000}"/>
    <cellStyle name="40% - Accent1 5 2 2 2" xfId="29574" xr:uid="{00000000-0005-0000-0000-0000933C0000}"/>
    <cellStyle name="40% - Accent1 5 2 2 2 2" xfId="29572" xr:uid="{00000000-0005-0000-0000-0000943C0000}"/>
    <cellStyle name="40% - Accent1 5 2 2 2 2 2" xfId="15880" xr:uid="{00000000-0005-0000-0000-0000953C0000}"/>
    <cellStyle name="40% - Accent1 5 2 2 2 2 2 2" xfId="14827" xr:uid="{00000000-0005-0000-0000-0000963C0000}"/>
    <cellStyle name="40% - Accent1 5 2 2 2 2 2 2 2" xfId="30237" xr:uid="{00000000-0005-0000-0000-0000973C0000}"/>
    <cellStyle name="40% - Accent1 5 2 2 2 2 2 3" xfId="15878" xr:uid="{00000000-0005-0000-0000-0000983C0000}"/>
    <cellStyle name="40% - Accent1 5 2 2 2 2 3" xfId="18766" xr:uid="{00000000-0005-0000-0000-0000993C0000}"/>
    <cellStyle name="40% - Accent1 5 2 2 2 2 3 2" xfId="15875" xr:uid="{00000000-0005-0000-0000-00009A3C0000}"/>
    <cellStyle name="40% - Accent1 5 2 2 2 2 4" xfId="15874" xr:uid="{00000000-0005-0000-0000-00009B3C0000}"/>
    <cellStyle name="40% - Accent1 5 2 2 2 3" xfId="32269" xr:uid="{00000000-0005-0000-0000-00009C3C0000}"/>
    <cellStyle name="40% - Accent1 5 2 2 2 3 2" xfId="32262" xr:uid="{00000000-0005-0000-0000-00009D3C0000}"/>
    <cellStyle name="40% - Accent1 5 2 2 2 3 2 2" xfId="15871" xr:uid="{00000000-0005-0000-0000-00009E3C0000}"/>
    <cellStyle name="40% - Accent1 5 2 2 2 3 3" xfId="28171" xr:uid="{00000000-0005-0000-0000-00009F3C0000}"/>
    <cellStyle name="40% - Accent1 5 2 2 2 4" xfId="33700" xr:uid="{00000000-0005-0000-0000-0000A03C0000}"/>
    <cellStyle name="40% - Accent1 5 2 2 2 4 2" xfId="28150" xr:uid="{00000000-0005-0000-0000-0000A13C0000}"/>
    <cellStyle name="40% - Accent1 5 2 2 2 5" xfId="28129" xr:uid="{00000000-0005-0000-0000-0000A23C0000}"/>
    <cellStyle name="40% - Accent1 5 2 2 3" xfId="31112" xr:uid="{00000000-0005-0000-0000-0000A33C0000}"/>
    <cellStyle name="40% - Accent1 5 2 2 3 2" xfId="10327" xr:uid="{00000000-0005-0000-0000-0000A43C0000}"/>
    <cellStyle name="40% - Accent1 5 2 2 3 2 2" xfId="10325" xr:uid="{00000000-0005-0000-0000-0000A53C0000}"/>
    <cellStyle name="40% - Accent1 5 2 2 3 2 2 2" xfId="33938" xr:uid="{00000000-0005-0000-0000-0000A63C0000}"/>
    <cellStyle name="40% - Accent1 5 2 2 3 2 3" xfId="15870" xr:uid="{00000000-0005-0000-0000-0000A73C0000}"/>
    <cellStyle name="40% - Accent1 5 2 2 3 3" xfId="10323" xr:uid="{00000000-0005-0000-0000-0000A83C0000}"/>
    <cellStyle name="40% - Accent1 5 2 2 3 3 2" xfId="31277" xr:uid="{00000000-0005-0000-0000-0000A93C0000}"/>
    <cellStyle name="40% - Accent1 5 2 2 3 4" xfId="28115" xr:uid="{00000000-0005-0000-0000-0000AA3C0000}"/>
    <cellStyle name="40% - Accent1 5 2 2 4" xfId="15869" xr:uid="{00000000-0005-0000-0000-0000AB3C0000}"/>
    <cellStyle name="40% - Accent1 5 2 2 4 2" xfId="10312" xr:uid="{00000000-0005-0000-0000-0000AC3C0000}"/>
    <cellStyle name="40% - Accent1 5 2 2 4 2 2" xfId="24829" xr:uid="{00000000-0005-0000-0000-0000AD3C0000}"/>
    <cellStyle name="40% - Accent1 5 2 2 4 3" xfId="17951" xr:uid="{00000000-0005-0000-0000-0000AE3C0000}"/>
    <cellStyle name="40% - Accent1 5 2 2 5" xfId="15868" xr:uid="{00000000-0005-0000-0000-0000AF3C0000}"/>
    <cellStyle name="40% - Accent1 5 2 2 5 2" xfId="15867" xr:uid="{00000000-0005-0000-0000-0000B03C0000}"/>
    <cellStyle name="40% - Accent1 5 2 2 6" xfId="22426" xr:uid="{00000000-0005-0000-0000-0000B13C0000}"/>
    <cellStyle name="40% - Accent1 5 2 3" xfId="15866" xr:uid="{00000000-0005-0000-0000-0000B23C0000}"/>
    <cellStyle name="40% - Accent1 5 2 3 2" xfId="31102" xr:uid="{00000000-0005-0000-0000-0000B33C0000}"/>
    <cellStyle name="40% - Accent1 5 2 3 2 2" xfId="15864" xr:uid="{00000000-0005-0000-0000-0000B43C0000}"/>
    <cellStyle name="40% - Accent1 5 2 3 2 2 2" xfId="28256" xr:uid="{00000000-0005-0000-0000-0000B53C0000}"/>
    <cellStyle name="40% - Accent1 5 2 3 2 2 2 2" xfId="30353" xr:uid="{00000000-0005-0000-0000-0000B63C0000}"/>
    <cellStyle name="40% - Accent1 5 2 3 2 2 3" xfId="20448" xr:uid="{00000000-0005-0000-0000-0000B73C0000}"/>
    <cellStyle name="40% - Accent1 5 2 3 2 3" xfId="32129" xr:uid="{00000000-0005-0000-0000-0000B83C0000}"/>
    <cellStyle name="40% - Accent1 5 2 3 2 3 2" xfId="20440" xr:uid="{00000000-0005-0000-0000-0000B93C0000}"/>
    <cellStyle name="40% - Accent1 5 2 3 2 4" xfId="20432" xr:uid="{00000000-0005-0000-0000-0000BA3C0000}"/>
    <cellStyle name="40% - Accent1 5 2 3 3" xfId="15861" xr:uid="{00000000-0005-0000-0000-0000BB3C0000}"/>
    <cellStyle name="40% - Accent1 5 2 3 3 2" xfId="10303" xr:uid="{00000000-0005-0000-0000-0000BC3C0000}"/>
    <cellStyle name="40% - Accent1 5 2 3 3 2 2" xfId="20749" xr:uid="{00000000-0005-0000-0000-0000BD3C0000}"/>
    <cellStyle name="40% - Accent1 5 2 3 3 3" xfId="20430" xr:uid="{00000000-0005-0000-0000-0000BE3C0000}"/>
    <cellStyle name="40% - Accent1 5 2 3 4" xfId="20428" xr:uid="{00000000-0005-0000-0000-0000BF3C0000}"/>
    <cellStyle name="40% - Accent1 5 2 3 4 2" xfId="15859" xr:uid="{00000000-0005-0000-0000-0000C03C0000}"/>
    <cellStyle name="40% - Accent1 5 2 3 5" xfId="20423" xr:uid="{00000000-0005-0000-0000-0000C13C0000}"/>
    <cellStyle name="40% - Accent1 5 2 4" xfId="15857" xr:uid="{00000000-0005-0000-0000-0000C23C0000}"/>
    <cellStyle name="40% - Accent1 5 2 4 2" xfId="24796" xr:uid="{00000000-0005-0000-0000-0000C33C0000}"/>
    <cellStyle name="40% - Accent1 5 2 4 2 2" xfId="15855" xr:uid="{00000000-0005-0000-0000-0000C43C0000}"/>
    <cellStyle name="40% - Accent1 5 2 4 2 2 2" xfId="23739" xr:uid="{00000000-0005-0000-0000-0000C53C0000}"/>
    <cellStyle name="40% - Accent1 5 2 4 2 3" xfId="33347" xr:uid="{00000000-0005-0000-0000-0000C63C0000}"/>
    <cellStyle name="40% - Accent1 5 2 4 3" xfId="15851" xr:uid="{00000000-0005-0000-0000-0000C73C0000}"/>
    <cellStyle name="40% - Accent1 5 2 4 3 2" xfId="15848" xr:uid="{00000000-0005-0000-0000-0000C83C0000}"/>
    <cellStyle name="40% - Accent1 5 2 4 4" xfId="25914" xr:uid="{00000000-0005-0000-0000-0000C93C0000}"/>
    <cellStyle name="40% - Accent1 5 2 5" xfId="15846" xr:uid="{00000000-0005-0000-0000-0000CA3C0000}"/>
    <cellStyle name="40% - Accent1 5 2 5 2" xfId="15845" xr:uid="{00000000-0005-0000-0000-0000CB3C0000}"/>
    <cellStyle name="40% - Accent1 5 2 5 2 2" xfId="15842" xr:uid="{00000000-0005-0000-0000-0000CC3C0000}"/>
    <cellStyle name="40% - Accent1 5 2 5 3" xfId="15840" xr:uid="{00000000-0005-0000-0000-0000CD3C0000}"/>
    <cellStyle name="40% - Accent1 5 2 6" xfId="15838" xr:uid="{00000000-0005-0000-0000-0000CE3C0000}"/>
    <cellStyle name="40% - Accent1 5 2 6 2" xfId="26726" xr:uid="{00000000-0005-0000-0000-0000CF3C0000}"/>
    <cellStyle name="40% - Accent1 5 2 7" xfId="19029" xr:uid="{00000000-0005-0000-0000-0000D03C0000}"/>
    <cellStyle name="40% - Accent1 5 2 8" xfId="34798" xr:uid="{00000000-0005-0000-0000-0000D13C0000}"/>
    <cellStyle name="40% - Accent1 5 3" xfId="26272" xr:uid="{00000000-0005-0000-0000-0000D23C0000}"/>
    <cellStyle name="40% - Accent1 5 3 2" xfId="24489" xr:uid="{00000000-0005-0000-0000-0000D33C0000}"/>
    <cellStyle name="40% - Accent1 5 3 2 2" xfId="31083" xr:uid="{00000000-0005-0000-0000-0000D43C0000}"/>
    <cellStyle name="40% - Accent1 5 3 2 2 2" xfId="15837" xr:uid="{00000000-0005-0000-0000-0000D53C0000}"/>
    <cellStyle name="40% - Accent1 5 3 2 2 2 2" xfId="15834" xr:uid="{00000000-0005-0000-0000-0000D63C0000}"/>
    <cellStyle name="40% - Accent1 5 3 2 2 2 2 2" xfId="15833" xr:uid="{00000000-0005-0000-0000-0000D73C0000}"/>
    <cellStyle name="40% - Accent1 5 3 2 2 2 3" xfId="15830" xr:uid="{00000000-0005-0000-0000-0000D83C0000}"/>
    <cellStyle name="40% - Accent1 5 3 2 2 3" xfId="33585" xr:uid="{00000000-0005-0000-0000-0000D93C0000}"/>
    <cellStyle name="40% - Accent1 5 3 2 2 3 2" xfId="25497" xr:uid="{00000000-0005-0000-0000-0000DA3C0000}"/>
    <cellStyle name="40% - Accent1 5 3 2 2 4" xfId="32818" xr:uid="{00000000-0005-0000-0000-0000DB3C0000}"/>
    <cellStyle name="40% - Accent1 5 3 2 3" xfId="15829" xr:uid="{00000000-0005-0000-0000-0000DC3C0000}"/>
    <cellStyle name="40% - Accent1 5 3 2 3 2" xfId="10285" xr:uid="{00000000-0005-0000-0000-0000DD3C0000}"/>
    <cellStyle name="40% - Accent1 5 3 2 3 2 2" xfId="15827" xr:uid="{00000000-0005-0000-0000-0000DE3C0000}"/>
    <cellStyle name="40% - Accent1 5 3 2 3 3" xfId="33357" xr:uid="{00000000-0005-0000-0000-0000DF3C0000}"/>
    <cellStyle name="40% - Accent1 5 3 2 4" xfId="15826" xr:uid="{00000000-0005-0000-0000-0000E03C0000}"/>
    <cellStyle name="40% - Accent1 5 3 2 4 2" xfId="15825" xr:uid="{00000000-0005-0000-0000-0000E13C0000}"/>
    <cellStyle name="40% - Accent1 5 3 2 5" xfId="27800" xr:uid="{00000000-0005-0000-0000-0000E23C0000}"/>
    <cellStyle name="40% - Accent1 5 3 3" xfId="32618" xr:uid="{00000000-0005-0000-0000-0000E33C0000}"/>
    <cellStyle name="40% - Accent1 5 3 3 2" xfId="15824" xr:uid="{00000000-0005-0000-0000-0000E43C0000}"/>
    <cellStyle name="40% - Accent1 5 3 3 2 2" xfId="15820" xr:uid="{00000000-0005-0000-0000-0000E53C0000}"/>
    <cellStyle name="40% - Accent1 5 3 3 2 2 2" xfId="19533" xr:uid="{00000000-0005-0000-0000-0000E63C0000}"/>
    <cellStyle name="40% - Accent1 5 3 3 2 3" xfId="28505" xr:uid="{00000000-0005-0000-0000-0000E73C0000}"/>
    <cellStyle name="40% - Accent1 5 3 3 3" xfId="9915" xr:uid="{00000000-0005-0000-0000-0000E83C0000}"/>
    <cellStyle name="40% - Accent1 5 3 3 3 2" xfId="15817" xr:uid="{00000000-0005-0000-0000-0000E93C0000}"/>
    <cellStyle name="40% - Accent1 5 3 3 4" xfId="20408" xr:uid="{00000000-0005-0000-0000-0000EA3C0000}"/>
    <cellStyle name="40% - Accent1 5 3 4" xfId="15815" xr:uid="{00000000-0005-0000-0000-0000EB3C0000}"/>
    <cellStyle name="40% - Accent1 5 3 4 2" xfId="15812" xr:uid="{00000000-0005-0000-0000-0000EC3C0000}"/>
    <cellStyle name="40% - Accent1 5 3 4 2 2" xfId="15808" xr:uid="{00000000-0005-0000-0000-0000ED3C0000}"/>
    <cellStyle name="40% - Accent1 5 3 4 3" xfId="15806" xr:uid="{00000000-0005-0000-0000-0000EE3C0000}"/>
    <cellStyle name="40% - Accent1 5 3 5" xfId="15803" xr:uid="{00000000-0005-0000-0000-0000EF3C0000}"/>
    <cellStyle name="40% - Accent1 5 3 5 2" xfId="15802" xr:uid="{00000000-0005-0000-0000-0000F03C0000}"/>
    <cellStyle name="40% - Accent1 5 3 6" xfId="30534" xr:uid="{00000000-0005-0000-0000-0000F13C0000}"/>
    <cellStyle name="40% - Accent1 5 3 7" xfId="35000" xr:uid="{00000000-0005-0000-0000-0000F23C0000}"/>
    <cellStyle name="40% - Accent1 5 4" xfId="32640" xr:uid="{00000000-0005-0000-0000-0000F33C0000}"/>
    <cellStyle name="40% - Accent1 5 4 2" xfId="24845" xr:uid="{00000000-0005-0000-0000-0000F43C0000}"/>
    <cellStyle name="40% - Accent1 5 4 2 2" xfId="15798" xr:uid="{00000000-0005-0000-0000-0000F53C0000}"/>
    <cellStyle name="40% - Accent1 5 4 2 2 2" xfId="15795" xr:uid="{00000000-0005-0000-0000-0000F63C0000}"/>
    <cellStyle name="40% - Accent1 5 4 2 2 2 2" xfId="8895" xr:uid="{00000000-0005-0000-0000-0000F73C0000}"/>
    <cellStyle name="40% - Accent1 5 4 2 2 3" xfId="22694" xr:uid="{00000000-0005-0000-0000-0000F83C0000}"/>
    <cellStyle name="40% - Accent1 5 4 2 3" xfId="15793" xr:uid="{00000000-0005-0000-0000-0000F93C0000}"/>
    <cellStyle name="40% - Accent1 5 4 2 3 2" xfId="15792" xr:uid="{00000000-0005-0000-0000-0000FA3C0000}"/>
    <cellStyle name="40% - Accent1 5 4 2 4" xfId="15790" xr:uid="{00000000-0005-0000-0000-0000FB3C0000}"/>
    <cellStyle name="40% - Accent1 5 4 3" xfId="32689" xr:uid="{00000000-0005-0000-0000-0000FC3C0000}"/>
    <cellStyle name="40% - Accent1 5 4 3 2" xfId="15785" xr:uid="{00000000-0005-0000-0000-0000FD3C0000}"/>
    <cellStyle name="40% - Accent1 5 4 3 2 2" xfId="15783" xr:uid="{00000000-0005-0000-0000-0000FE3C0000}"/>
    <cellStyle name="40% - Accent1 5 4 3 3" xfId="15780" xr:uid="{00000000-0005-0000-0000-0000FF3C0000}"/>
    <cellStyle name="40% - Accent1 5 4 4" xfId="15778" xr:uid="{00000000-0005-0000-0000-0000003D0000}"/>
    <cellStyle name="40% - Accent1 5 4 4 2" xfId="31015" xr:uid="{00000000-0005-0000-0000-0000013D0000}"/>
    <cellStyle name="40% - Accent1 5 4 5" xfId="15777" xr:uid="{00000000-0005-0000-0000-0000023D0000}"/>
    <cellStyle name="40% - Accent1 5 4 6" xfId="35206" xr:uid="{00000000-0005-0000-0000-0000033D0000}"/>
    <cellStyle name="40% - Accent1 5 5" xfId="32155" xr:uid="{00000000-0005-0000-0000-0000043D0000}"/>
    <cellStyle name="40% - Accent1 5 5 2" xfId="27633" xr:uid="{00000000-0005-0000-0000-0000053D0000}"/>
    <cellStyle name="40% - Accent1 5 5 2 2" xfId="15774" xr:uid="{00000000-0005-0000-0000-0000063D0000}"/>
    <cellStyle name="40% - Accent1 5 5 2 2 2" xfId="15770" xr:uid="{00000000-0005-0000-0000-0000073D0000}"/>
    <cellStyle name="40% - Accent1 5 5 2 3" xfId="15769" xr:uid="{00000000-0005-0000-0000-0000083D0000}"/>
    <cellStyle name="40% - Accent1 5 5 3" xfId="15767" xr:uid="{00000000-0005-0000-0000-0000093D0000}"/>
    <cellStyle name="40% - Accent1 5 5 3 2" xfId="15762" xr:uid="{00000000-0005-0000-0000-00000A3D0000}"/>
    <cellStyle name="40% - Accent1 5 5 4" xfId="15760" xr:uid="{00000000-0005-0000-0000-00000B3D0000}"/>
    <cellStyle name="40% - Accent1 5 5 5" xfId="35435" xr:uid="{00000000-0005-0000-0000-00000C3D0000}"/>
    <cellStyle name="40% - Accent1 5 6" xfId="15758" xr:uid="{00000000-0005-0000-0000-00000D3D0000}"/>
    <cellStyle name="40% - Accent1 5 6 2" xfId="18409" xr:uid="{00000000-0005-0000-0000-00000E3D0000}"/>
    <cellStyle name="40% - Accent1 5 6 2 2" xfId="15756" xr:uid="{00000000-0005-0000-0000-00000F3D0000}"/>
    <cellStyle name="40% - Accent1 5 6 3" xfId="15755" xr:uid="{00000000-0005-0000-0000-0000103D0000}"/>
    <cellStyle name="40% - Accent1 5 6 4" xfId="36307" xr:uid="{00000000-0005-0000-0000-0000113D0000}"/>
    <cellStyle name="40% - Accent1 5 7" xfId="15752" xr:uid="{00000000-0005-0000-0000-0000123D0000}"/>
    <cellStyle name="40% - Accent1 5 7 2" xfId="18402" xr:uid="{00000000-0005-0000-0000-0000133D0000}"/>
    <cellStyle name="40% - Accent1 5 7 3" xfId="36593" xr:uid="{00000000-0005-0000-0000-0000143D0000}"/>
    <cellStyle name="40% - Accent1 5 8" xfId="26532" xr:uid="{00000000-0005-0000-0000-0000153D0000}"/>
    <cellStyle name="40% - Accent1 5 8 2" xfId="37478" xr:uid="{00000000-0005-0000-0000-0000163D0000}"/>
    <cellStyle name="40% - Accent1 5 9" xfId="34578" xr:uid="{00000000-0005-0000-0000-0000173D0000}"/>
    <cellStyle name="40% - Accent1 6" xfId="281" xr:uid="{00000000-0005-0000-0000-0000183D0000}"/>
    <cellStyle name="40% - Accent1 6 2" xfId="33800" xr:uid="{00000000-0005-0000-0000-0000193D0000}"/>
    <cellStyle name="40% - Accent1 6 2 2" xfId="15750" xr:uid="{00000000-0005-0000-0000-00001A3D0000}"/>
    <cellStyle name="40% - Accent1 6 2 2 2" xfId="31056" xr:uid="{00000000-0005-0000-0000-00001B3D0000}"/>
    <cellStyle name="40% - Accent1 6 2 2 2 2" xfId="16174" xr:uid="{00000000-0005-0000-0000-00001C3D0000}"/>
    <cellStyle name="40% - Accent1 6 2 2 2 2 2" xfId="16229" xr:uid="{00000000-0005-0000-0000-00001D3D0000}"/>
    <cellStyle name="40% - Accent1 6 2 2 2 2 2 2" xfId="15748" xr:uid="{00000000-0005-0000-0000-00001E3D0000}"/>
    <cellStyle name="40% - Accent1 6 2 2 2 2 3" xfId="18360" xr:uid="{00000000-0005-0000-0000-00001F3D0000}"/>
    <cellStyle name="40% - Accent1 6 2 2 2 3" xfId="15747" xr:uid="{00000000-0005-0000-0000-0000203D0000}"/>
    <cellStyle name="40% - Accent1 6 2 2 2 3 2" xfId="30229" xr:uid="{00000000-0005-0000-0000-0000213D0000}"/>
    <cellStyle name="40% - Accent1 6 2 2 2 4" xfId="15746" xr:uid="{00000000-0005-0000-0000-0000223D0000}"/>
    <cellStyle name="40% - Accent1 6 2 2 3" xfId="15745" xr:uid="{00000000-0005-0000-0000-0000233D0000}"/>
    <cellStyle name="40% - Accent1 6 2 2 3 2" xfId="9543" xr:uid="{00000000-0005-0000-0000-0000243D0000}"/>
    <cellStyle name="40% - Accent1 6 2 2 3 2 2" xfId="18315" xr:uid="{00000000-0005-0000-0000-0000253D0000}"/>
    <cellStyle name="40% - Accent1 6 2 2 3 3" xfId="15743" xr:uid="{00000000-0005-0000-0000-0000263D0000}"/>
    <cellStyle name="40% - Accent1 6 2 2 4" xfId="15742" xr:uid="{00000000-0005-0000-0000-0000273D0000}"/>
    <cellStyle name="40% - Accent1 6 2 2 4 2" xfId="15741" xr:uid="{00000000-0005-0000-0000-0000283D0000}"/>
    <cellStyle name="40% - Accent1 6 2 2 5" xfId="15740" xr:uid="{00000000-0005-0000-0000-0000293D0000}"/>
    <cellStyle name="40% - Accent1 6 2 3" xfId="15739" xr:uid="{00000000-0005-0000-0000-00002A3D0000}"/>
    <cellStyle name="40% - Accent1 6 2 3 2" xfId="15737" xr:uid="{00000000-0005-0000-0000-00002B3D0000}"/>
    <cellStyle name="40% - Accent1 6 2 3 2 2" xfId="15732" xr:uid="{00000000-0005-0000-0000-00002C3D0000}"/>
    <cellStyle name="40% - Accent1 6 2 3 2 2 2" xfId="18196" xr:uid="{00000000-0005-0000-0000-00002D3D0000}"/>
    <cellStyle name="40% - Accent1 6 2 3 2 3" xfId="15730" xr:uid="{00000000-0005-0000-0000-00002E3D0000}"/>
    <cellStyle name="40% - Accent1 6 2 3 3" xfId="15728" xr:uid="{00000000-0005-0000-0000-00002F3D0000}"/>
    <cellStyle name="40% - Accent1 6 2 3 3 2" xfId="15726" xr:uid="{00000000-0005-0000-0000-0000303D0000}"/>
    <cellStyle name="40% - Accent1 6 2 3 4" xfId="20288" xr:uid="{00000000-0005-0000-0000-0000313D0000}"/>
    <cellStyle name="40% - Accent1 6 2 4" xfId="15724" xr:uid="{00000000-0005-0000-0000-0000323D0000}"/>
    <cellStyle name="40% - Accent1 6 2 4 2" xfId="15722" xr:uid="{00000000-0005-0000-0000-0000333D0000}"/>
    <cellStyle name="40% - Accent1 6 2 4 2 2" xfId="15719" xr:uid="{00000000-0005-0000-0000-0000343D0000}"/>
    <cellStyle name="40% - Accent1 6 2 4 3" xfId="15717" xr:uid="{00000000-0005-0000-0000-0000353D0000}"/>
    <cellStyle name="40% - Accent1 6 2 5" xfId="32014" xr:uid="{00000000-0005-0000-0000-0000363D0000}"/>
    <cellStyle name="40% - Accent1 6 2 5 2" xfId="15715" xr:uid="{00000000-0005-0000-0000-0000373D0000}"/>
    <cellStyle name="40% - Accent1 6 2 6" xfId="15712" xr:uid="{00000000-0005-0000-0000-0000383D0000}"/>
    <cellStyle name="40% - Accent1 6 2 7" xfId="34817" xr:uid="{00000000-0005-0000-0000-0000393D0000}"/>
    <cellStyle name="40% - Accent1 6 3" xfId="30745" xr:uid="{00000000-0005-0000-0000-00003A3D0000}"/>
    <cellStyle name="40% - Accent1 6 3 2" xfId="32226" xr:uid="{00000000-0005-0000-0000-00003B3D0000}"/>
    <cellStyle name="40% - Accent1 6 3 2 2" xfId="15711" xr:uid="{00000000-0005-0000-0000-00003C3D0000}"/>
    <cellStyle name="40% - Accent1 6 3 2 2 2" xfId="24877" xr:uid="{00000000-0005-0000-0000-00003D3D0000}"/>
    <cellStyle name="40% - Accent1 6 3 2 2 2 2" xfId="15708" xr:uid="{00000000-0005-0000-0000-00003E3D0000}"/>
    <cellStyle name="40% - Accent1 6 3 2 2 3" xfId="15707" xr:uid="{00000000-0005-0000-0000-00003F3D0000}"/>
    <cellStyle name="40% - Accent1 6 3 2 3" xfId="15706" xr:uid="{00000000-0005-0000-0000-0000403D0000}"/>
    <cellStyle name="40% - Accent1 6 3 2 3 2" xfId="15705" xr:uid="{00000000-0005-0000-0000-0000413D0000}"/>
    <cellStyle name="40% - Accent1 6 3 2 4" xfId="15704" xr:uid="{00000000-0005-0000-0000-0000423D0000}"/>
    <cellStyle name="40% - Accent1 6 3 3" xfId="15703" xr:uid="{00000000-0005-0000-0000-0000433D0000}"/>
    <cellStyle name="40% - Accent1 6 3 3 2" xfId="15702" xr:uid="{00000000-0005-0000-0000-0000443D0000}"/>
    <cellStyle name="40% - Accent1 6 3 3 2 2" xfId="15700" xr:uid="{00000000-0005-0000-0000-0000453D0000}"/>
    <cellStyle name="40% - Accent1 6 3 3 3" xfId="15697" xr:uid="{00000000-0005-0000-0000-0000463D0000}"/>
    <cellStyle name="40% - Accent1 6 3 4" xfId="15695" xr:uid="{00000000-0005-0000-0000-0000473D0000}"/>
    <cellStyle name="40% - Accent1 6 3 4 2" xfId="15694" xr:uid="{00000000-0005-0000-0000-0000483D0000}"/>
    <cellStyle name="40% - Accent1 6 3 5" xfId="15690" xr:uid="{00000000-0005-0000-0000-0000493D0000}"/>
    <cellStyle name="40% - Accent1 6 3 6" xfId="35019" xr:uid="{00000000-0005-0000-0000-00004A3D0000}"/>
    <cellStyle name="40% - Accent1 6 4" xfId="32604" xr:uid="{00000000-0005-0000-0000-00004B3D0000}"/>
    <cellStyle name="40% - Accent1 6 4 2" xfId="30889" xr:uid="{00000000-0005-0000-0000-00004C3D0000}"/>
    <cellStyle name="40% - Accent1 6 4 2 2" xfId="15689" xr:uid="{00000000-0005-0000-0000-00004D3D0000}"/>
    <cellStyle name="40% - Accent1 6 4 2 2 2" xfId="15687" xr:uid="{00000000-0005-0000-0000-00004E3D0000}"/>
    <cellStyle name="40% - Accent1 6 4 2 3" xfId="15686" xr:uid="{00000000-0005-0000-0000-00004F3D0000}"/>
    <cellStyle name="40% - Accent1 6 4 3" xfId="15684" xr:uid="{00000000-0005-0000-0000-0000503D0000}"/>
    <cellStyle name="40% - Accent1 6 4 3 2" xfId="17877" xr:uid="{00000000-0005-0000-0000-0000513D0000}"/>
    <cellStyle name="40% - Accent1 6 4 4" xfId="15683" xr:uid="{00000000-0005-0000-0000-0000523D0000}"/>
    <cellStyle name="40% - Accent1 6 4 5" xfId="35225" xr:uid="{00000000-0005-0000-0000-0000533D0000}"/>
    <cellStyle name="40% - Accent1 6 5" xfId="15682" xr:uid="{00000000-0005-0000-0000-0000543D0000}"/>
    <cellStyle name="40% - Accent1 6 5 2" xfId="15681" xr:uid="{00000000-0005-0000-0000-0000553D0000}"/>
    <cellStyle name="40% - Accent1 6 5 2 2" xfId="27430" xr:uid="{00000000-0005-0000-0000-0000563D0000}"/>
    <cellStyle name="40% - Accent1 6 5 3" xfId="15680" xr:uid="{00000000-0005-0000-0000-0000573D0000}"/>
    <cellStyle name="40% - Accent1 6 5 4" xfId="35454" xr:uid="{00000000-0005-0000-0000-0000583D0000}"/>
    <cellStyle name="40% - Accent1 6 6" xfId="15679" xr:uid="{00000000-0005-0000-0000-0000593D0000}"/>
    <cellStyle name="40% - Accent1 6 6 2" xfId="15677" xr:uid="{00000000-0005-0000-0000-00005A3D0000}"/>
    <cellStyle name="40% - Accent1 6 6 3" xfId="36326" xr:uid="{00000000-0005-0000-0000-00005B3D0000}"/>
    <cellStyle name="40% - Accent1 6 7" xfId="15674" xr:uid="{00000000-0005-0000-0000-00005C3D0000}"/>
    <cellStyle name="40% - Accent1 6 7 2" xfId="36612" xr:uid="{00000000-0005-0000-0000-00005D3D0000}"/>
    <cellStyle name="40% - Accent1 6 8" xfId="34592" xr:uid="{00000000-0005-0000-0000-00005E3D0000}"/>
    <cellStyle name="40% - Accent1 6 9" xfId="15931" xr:uid="{00000000-0005-0000-0000-00005F3D0000}"/>
    <cellStyle name="40% - Accent1 7" xfId="301" xr:uid="{00000000-0005-0000-0000-0000603D0000}"/>
    <cellStyle name="40% - Accent1 7 2" xfId="30129" xr:uid="{00000000-0005-0000-0000-0000613D0000}"/>
    <cellStyle name="40% - Accent1 7 2 2" xfId="15671" xr:uid="{00000000-0005-0000-0000-0000623D0000}"/>
    <cellStyle name="40% - Accent1 7 2 2 2" xfId="15670" xr:uid="{00000000-0005-0000-0000-0000633D0000}"/>
    <cellStyle name="40% - Accent1 7 2 2 2 2" xfId="8062" xr:uid="{00000000-0005-0000-0000-0000643D0000}"/>
    <cellStyle name="40% - Accent1 7 2 2 2 2 2" xfId="15666" xr:uid="{00000000-0005-0000-0000-0000653D0000}"/>
    <cellStyle name="40% - Accent1 7 2 2 2 3" xfId="15665" xr:uid="{00000000-0005-0000-0000-0000663D0000}"/>
    <cellStyle name="40% - Accent1 7 2 2 3" xfId="15664" xr:uid="{00000000-0005-0000-0000-0000673D0000}"/>
    <cellStyle name="40% - Accent1 7 2 2 3 2" xfId="21058" xr:uid="{00000000-0005-0000-0000-0000683D0000}"/>
    <cellStyle name="40% - Accent1 7 2 2 4" xfId="15663" xr:uid="{00000000-0005-0000-0000-0000693D0000}"/>
    <cellStyle name="40% - Accent1 7 2 3" xfId="15662" xr:uid="{00000000-0005-0000-0000-00006A3D0000}"/>
    <cellStyle name="40% - Accent1 7 2 3 2" xfId="15661" xr:uid="{00000000-0005-0000-0000-00006B3D0000}"/>
    <cellStyle name="40% - Accent1 7 2 3 2 2" xfId="15659" xr:uid="{00000000-0005-0000-0000-00006C3D0000}"/>
    <cellStyle name="40% - Accent1 7 2 3 3" xfId="15657" xr:uid="{00000000-0005-0000-0000-00006D3D0000}"/>
    <cellStyle name="40% - Accent1 7 2 4" xfId="15655" xr:uid="{00000000-0005-0000-0000-00006E3D0000}"/>
    <cellStyle name="40% - Accent1 7 2 4 2" xfId="30159" xr:uid="{00000000-0005-0000-0000-00006F3D0000}"/>
    <cellStyle name="40% - Accent1 7 2 5" xfId="15654" xr:uid="{00000000-0005-0000-0000-0000703D0000}"/>
    <cellStyle name="40% - Accent1 7 2 6" xfId="34836" xr:uid="{00000000-0005-0000-0000-0000713D0000}"/>
    <cellStyle name="40% - Accent1 7 3" xfId="17839" xr:uid="{00000000-0005-0000-0000-0000723D0000}"/>
    <cellStyle name="40% - Accent1 7 3 2" xfId="15653" xr:uid="{00000000-0005-0000-0000-0000733D0000}"/>
    <cellStyle name="40% - Accent1 7 3 2 2" xfId="10235" xr:uid="{00000000-0005-0000-0000-0000743D0000}"/>
    <cellStyle name="40% - Accent1 7 3 2 2 2" xfId="15652" xr:uid="{00000000-0005-0000-0000-0000753D0000}"/>
    <cellStyle name="40% - Accent1 7 3 2 3" xfId="15650" xr:uid="{00000000-0005-0000-0000-0000763D0000}"/>
    <cellStyle name="40% - Accent1 7 3 3" xfId="25657" xr:uid="{00000000-0005-0000-0000-0000773D0000}"/>
    <cellStyle name="40% - Accent1 7 3 3 2" xfId="15649" xr:uid="{00000000-0005-0000-0000-0000783D0000}"/>
    <cellStyle name="40% - Accent1 7 3 4" xfId="25028" xr:uid="{00000000-0005-0000-0000-0000793D0000}"/>
    <cellStyle name="40% - Accent1 7 3 5" xfId="35038" xr:uid="{00000000-0005-0000-0000-00007A3D0000}"/>
    <cellStyle name="40% - Accent1 7 4" xfId="15647" xr:uid="{00000000-0005-0000-0000-00007B3D0000}"/>
    <cellStyle name="40% - Accent1 7 4 2" xfId="15645" xr:uid="{00000000-0005-0000-0000-00007C3D0000}"/>
    <cellStyle name="40% - Accent1 7 4 2 2" xfId="15644" xr:uid="{00000000-0005-0000-0000-00007D3D0000}"/>
    <cellStyle name="40% - Accent1 7 4 3" xfId="25015" xr:uid="{00000000-0005-0000-0000-00007E3D0000}"/>
    <cellStyle name="40% - Accent1 7 4 4" xfId="35245" xr:uid="{00000000-0005-0000-0000-00007F3D0000}"/>
    <cellStyle name="40% - Accent1 7 5" xfId="15642" xr:uid="{00000000-0005-0000-0000-0000803D0000}"/>
    <cellStyle name="40% - Accent1 7 5 2" xfId="15640" xr:uid="{00000000-0005-0000-0000-0000813D0000}"/>
    <cellStyle name="40% - Accent1 7 5 3" xfId="35474" xr:uid="{00000000-0005-0000-0000-0000823D0000}"/>
    <cellStyle name="40% - Accent1 7 6" xfId="15639" xr:uid="{00000000-0005-0000-0000-0000833D0000}"/>
    <cellStyle name="40% - Accent1 7 6 2" xfId="36346" xr:uid="{00000000-0005-0000-0000-0000843D0000}"/>
    <cellStyle name="40% - Accent1 7 7" xfId="34606" xr:uid="{00000000-0005-0000-0000-0000853D0000}"/>
    <cellStyle name="40% - Accent1 7 8" xfId="15672" xr:uid="{00000000-0005-0000-0000-0000863D0000}"/>
    <cellStyle name="40% - Accent1 7 8 2" xfId="37504" xr:uid="{00000000-0005-0000-0000-0000873D0000}"/>
    <cellStyle name="40% - Accent1 8" xfId="321" xr:uid="{00000000-0005-0000-0000-0000883D0000}"/>
    <cellStyle name="40% - Accent1 8 2" xfId="33816" xr:uid="{00000000-0005-0000-0000-0000893D0000}"/>
    <cellStyle name="40% - Accent1 8 2 2" xfId="10069" xr:uid="{00000000-0005-0000-0000-00008A3D0000}"/>
    <cellStyle name="40% - Accent1 8 2 2 2" xfId="15633" xr:uid="{00000000-0005-0000-0000-00008B3D0000}"/>
    <cellStyle name="40% - Accent1 8 2 2 2 2" xfId="15627" xr:uid="{00000000-0005-0000-0000-00008C3D0000}"/>
    <cellStyle name="40% - Accent1 8 2 2 3" xfId="15625" xr:uid="{00000000-0005-0000-0000-00008D3D0000}"/>
    <cellStyle name="40% - Accent1 8 2 3" xfId="15623" xr:uid="{00000000-0005-0000-0000-00008E3D0000}"/>
    <cellStyle name="40% - Accent1 8 2 3 2" xfId="15622" xr:uid="{00000000-0005-0000-0000-00008F3D0000}"/>
    <cellStyle name="40% - Accent1 8 2 4" xfId="15619" xr:uid="{00000000-0005-0000-0000-0000903D0000}"/>
    <cellStyle name="40% - Accent1 8 2 5" xfId="34855" xr:uid="{00000000-0005-0000-0000-0000913D0000}"/>
    <cellStyle name="40% - Accent1 8 3" xfId="15617" xr:uid="{00000000-0005-0000-0000-0000923D0000}"/>
    <cellStyle name="40% - Accent1 8 3 2" xfId="15614" xr:uid="{00000000-0005-0000-0000-0000933D0000}"/>
    <cellStyle name="40% - Accent1 8 3 2 2" xfId="15612" xr:uid="{00000000-0005-0000-0000-0000943D0000}"/>
    <cellStyle name="40% - Accent1 8 3 3" xfId="25632" xr:uid="{00000000-0005-0000-0000-0000953D0000}"/>
    <cellStyle name="40% - Accent1 8 3 4" xfId="35057" xr:uid="{00000000-0005-0000-0000-0000963D0000}"/>
    <cellStyle name="40% - Accent1 8 4" xfId="27090" xr:uid="{00000000-0005-0000-0000-0000973D0000}"/>
    <cellStyle name="40% - Accent1 8 4 2" xfId="15610" xr:uid="{00000000-0005-0000-0000-0000983D0000}"/>
    <cellStyle name="40% - Accent1 8 4 3" xfId="35264" xr:uid="{00000000-0005-0000-0000-0000993D0000}"/>
    <cellStyle name="40% - Accent1 8 5" xfId="19972" xr:uid="{00000000-0005-0000-0000-00009A3D0000}"/>
    <cellStyle name="40% - Accent1 8 5 2" xfId="35493" xr:uid="{00000000-0005-0000-0000-00009B3D0000}"/>
    <cellStyle name="40% - Accent1 8 6" xfId="34620" xr:uid="{00000000-0005-0000-0000-00009C3D0000}"/>
    <cellStyle name="40% - Accent1 8 7" xfId="15634" xr:uid="{00000000-0005-0000-0000-00009D3D0000}"/>
    <cellStyle name="40% - Accent1 8 7 2" xfId="36638" xr:uid="{00000000-0005-0000-0000-00009E3D0000}"/>
    <cellStyle name="40% - Accent1 8 8" xfId="37523" xr:uid="{00000000-0005-0000-0000-00009F3D0000}"/>
    <cellStyle name="40% - Accent1 9" xfId="341" xr:uid="{00000000-0005-0000-0000-0000A03D0000}"/>
    <cellStyle name="40% - Accent1 9 2" xfId="32474" xr:uid="{00000000-0005-0000-0000-0000A13D0000}"/>
    <cellStyle name="40% - Accent1 9 2 2" xfId="30428" xr:uid="{00000000-0005-0000-0000-0000A23D0000}"/>
    <cellStyle name="40% - Accent1 9 2 2 2" xfId="15606" xr:uid="{00000000-0005-0000-0000-0000A33D0000}"/>
    <cellStyle name="40% - Accent1 9 2 3" xfId="15599" xr:uid="{00000000-0005-0000-0000-0000A43D0000}"/>
    <cellStyle name="40% - Accent1 9 2 4" xfId="34875" xr:uid="{00000000-0005-0000-0000-0000A53D0000}"/>
    <cellStyle name="40% - Accent1 9 3" xfId="15598" xr:uid="{00000000-0005-0000-0000-0000A63D0000}"/>
    <cellStyle name="40% - Accent1 9 3 2" xfId="15594" xr:uid="{00000000-0005-0000-0000-0000A73D0000}"/>
    <cellStyle name="40% - Accent1 9 3 3" xfId="35076" xr:uid="{00000000-0005-0000-0000-0000A83D0000}"/>
    <cellStyle name="40% - Accent1 9 4" xfId="27086" xr:uid="{00000000-0005-0000-0000-0000A93D0000}"/>
    <cellStyle name="40% - Accent1 9 4 2" xfId="35284" xr:uid="{00000000-0005-0000-0000-0000AA3D0000}"/>
    <cellStyle name="40% - Accent1 9 5" xfId="34634" xr:uid="{00000000-0005-0000-0000-0000AB3D0000}"/>
    <cellStyle name="40% - Accent1 9 6" xfId="15608" xr:uid="{00000000-0005-0000-0000-0000AC3D0000}"/>
    <cellStyle name="40% - Accent1 9 6 2" xfId="36372" xr:uid="{00000000-0005-0000-0000-0000AD3D0000}"/>
    <cellStyle name="40% - Accent1 9 7" xfId="36658" xr:uid="{00000000-0005-0000-0000-0000AE3D0000}"/>
    <cellStyle name="40% - Accent1 9 8" xfId="37543" xr:uid="{00000000-0005-0000-0000-0000AF3D0000}"/>
    <cellStyle name="40% - Accent2" xfId="28" builtinId="35" customBuiltin="1"/>
    <cellStyle name="40% - Accent2 10" xfId="182" xr:uid="{00000000-0005-0000-0000-0000B13D0000}"/>
    <cellStyle name="40% - Accent2 10 2" xfId="7366" xr:uid="{00000000-0005-0000-0000-0000B23D0000}"/>
    <cellStyle name="40% - Accent2 10 2 2" xfId="6896" xr:uid="{00000000-0005-0000-0000-0000B33D0000}"/>
    <cellStyle name="40% - Accent2 10 2 3" xfId="34896" xr:uid="{00000000-0005-0000-0000-0000B43D0000}"/>
    <cellStyle name="40% - Accent2 10 3" xfId="33418" xr:uid="{00000000-0005-0000-0000-0000B53D0000}"/>
    <cellStyle name="40% - Accent2 10 3 2" xfId="35098" xr:uid="{00000000-0005-0000-0000-0000B63D0000}"/>
    <cellStyle name="40% - Accent2 10 4" xfId="34523" xr:uid="{00000000-0005-0000-0000-0000B73D0000}"/>
    <cellStyle name="40% - Accent2 10 5" xfId="26657" xr:uid="{00000000-0005-0000-0000-0000B83D0000}"/>
    <cellStyle name="40% - Accent2 10 5 2" xfId="35521" xr:uid="{00000000-0005-0000-0000-0000B93D0000}"/>
    <cellStyle name="40% - Accent2 10 6" xfId="36394" xr:uid="{00000000-0005-0000-0000-0000BA3D0000}"/>
    <cellStyle name="40% - Accent2 10 7" xfId="36680" xr:uid="{00000000-0005-0000-0000-0000BB3D0000}"/>
    <cellStyle name="40% - Accent2 10 8" xfId="37565" xr:uid="{00000000-0005-0000-0000-0000BC3D0000}"/>
    <cellStyle name="40% - Accent2 11" xfId="19241" xr:uid="{00000000-0005-0000-0000-0000BD3D0000}"/>
    <cellStyle name="40% - Accent2 11 2" xfId="15592" xr:uid="{00000000-0005-0000-0000-0000BE3D0000}"/>
    <cellStyle name="40% - Accent2 11 2 2" xfId="35117" xr:uid="{00000000-0005-0000-0000-0000BF3D0000}"/>
    <cellStyle name="40% - Accent2 11 3" xfId="34693" xr:uid="{00000000-0005-0000-0000-0000C03D0000}"/>
    <cellStyle name="40% - Accent2 11 4" xfId="35541" xr:uid="{00000000-0005-0000-0000-0000C13D0000}"/>
    <cellStyle name="40% - Accent2 11 5" xfId="36414" xr:uid="{00000000-0005-0000-0000-0000C23D0000}"/>
    <cellStyle name="40% - Accent2 11 6" xfId="36700" xr:uid="{00000000-0005-0000-0000-0000C33D0000}"/>
    <cellStyle name="40% - Accent2 11 7" xfId="37585" xr:uid="{00000000-0005-0000-0000-0000C43D0000}"/>
    <cellStyle name="40% - Accent2 12" xfId="15589" xr:uid="{00000000-0005-0000-0000-0000C53D0000}"/>
    <cellStyle name="40% - Accent2 12 2" xfId="34707" xr:uid="{00000000-0005-0000-0000-0000C63D0000}"/>
    <cellStyle name="40% - Accent2 12 3" xfId="35320" xr:uid="{00000000-0005-0000-0000-0000C73D0000}"/>
    <cellStyle name="40% - Accent2 12 4" xfId="35560" xr:uid="{00000000-0005-0000-0000-0000C83D0000}"/>
    <cellStyle name="40% - Accent2 12 5" xfId="36433" xr:uid="{00000000-0005-0000-0000-0000C93D0000}"/>
    <cellStyle name="40% - Accent2 12 6" xfId="36719" xr:uid="{00000000-0005-0000-0000-0000CA3D0000}"/>
    <cellStyle name="40% - Accent2 12 7" xfId="37604" xr:uid="{00000000-0005-0000-0000-0000CB3D0000}"/>
    <cellStyle name="40% - Accent2 13" xfId="15586" xr:uid="{00000000-0005-0000-0000-0000CC3D0000}"/>
    <cellStyle name="40% - Accent2 13 2" xfId="34735" xr:uid="{00000000-0005-0000-0000-0000CD3D0000}"/>
    <cellStyle name="40% - Accent2 13 3" xfId="35579" xr:uid="{00000000-0005-0000-0000-0000CE3D0000}"/>
    <cellStyle name="40% - Accent2 13 4" xfId="36454" xr:uid="{00000000-0005-0000-0000-0000CF3D0000}"/>
    <cellStyle name="40% - Accent2 13 5" xfId="36740" xr:uid="{00000000-0005-0000-0000-0000D03D0000}"/>
    <cellStyle name="40% - Accent2 13 6" xfId="37625" xr:uid="{00000000-0005-0000-0000-0000D13D0000}"/>
    <cellStyle name="40% - Accent2 14" xfId="15584" xr:uid="{00000000-0005-0000-0000-0000D23D0000}"/>
    <cellStyle name="40% - Accent2 14 2" xfId="34925" xr:uid="{00000000-0005-0000-0000-0000D33D0000}"/>
    <cellStyle name="40% - Accent2 14 3" xfId="36761" xr:uid="{00000000-0005-0000-0000-0000D43D0000}"/>
    <cellStyle name="40% - Accent2 14 4" xfId="37646" xr:uid="{00000000-0005-0000-0000-0000D53D0000}"/>
    <cellStyle name="40% - Accent2 15" xfId="34654" xr:uid="{00000000-0005-0000-0000-0000D63D0000}"/>
    <cellStyle name="40% - Accent2 15 2" xfId="36479" xr:uid="{00000000-0005-0000-0000-0000D73D0000}"/>
    <cellStyle name="40% - Accent2 15 3" xfId="36777" xr:uid="{00000000-0005-0000-0000-0000D83D0000}"/>
    <cellStyle name="40% - Accent2 15 4" xfId="37665" xr:uid="{00000000-0005-0000-0000-0000D93D0000}"/>
    <cellStyle name="40% - Accent2 16" xfId="35359" xr:uid="{00000000-0005-0000-0000-0000DA3D0000}"/>
    <cellStyle name="40% - Accent2 16 2" xfId="36497" xr:uid="{00000000-0005-0000-0000-0000DB3D0000}"/>
    <cellStyle name="40% - Accent2 16 3" xfId="36795" xr:uid="{00000000-0005-0000-0000-0000DC3D0000}"/>
    <cellStyle name="40% - Accent2 16 4" xfId="37684" xr:uid="{00000000-0005-0000-0000-0000DD3D0000}"/>
    <cellStyle name="40% - Accent2 17" xfId="35646" xr:uid="{00000000-0005-0000-0000-0000DE3D0000}"/>
    <cellStyle name="40% - Accent2 17 2" xfId="36814" xr:uid="{00000000-0005-0000-0000-0000DF3D0000}"/>
    <cellStyle name="40% - Accent2 17 3" xfId="37704" xr:uid="{00000000-0005-0000-0000-0000E03D0000}"/>
    <cellStyle name="40% - Accent2 18" xfId="35664" xr:uid="{00000000-0005-0000-0000-0000E13D0000}"/>
    <cellStyle name="40% - Accent2 18 2" xfId="36833" xr:uid="{00000000-0005-0000-0000-0000E23D0000}"/>
    <cellStyle name="40% - Accent2 18 3" xfId="37723" xr:uid="{00000000-0005-0000-0000-0000E33D0000}"/>
    <cellStyle name="40% - Accent2 19" xfId="35683" xr:uid="{00000000-0005-0000-0000-0000E43D0000}"/>
    <cellStyle name="40% - Accent2 19 2" xfId="36852" xr:uid="{00000000-0005-0000-0000-0000E53D0000}"/>
    <cellStyle name="40% - Accent2 19 3" xfId="37742" xr:uid="{00000000-0005-0000-0000-0000E63D0000}"/>
    <cellStyle name="40% - Accent2 2" xfId="82" xr:uid="{00000000-0005-0000-0000-0000E73D0000}"/>
    <cellStyle name="40% - Accent2 2 10" xfId="22617" xr:uid="{00000000-0005-0000-0000-0000E83D0000}"/>
    <cellStyle name="40% - Accent2 2 10 2" xfId="24318" xr:uid="{00000000-0005-0000-0000-0000E93D0000}"/>
    <cellStyle name="40% - Accent2 2 10 3" xfId="37423" xr:uid="{00000000-0005-0000-0000-0000EA3D0000}"/>
    <cellStyle name="40% - Accent2 2 11" xfId="29660" xr:uid="{00000000-0005-0000-0000-0000EB3D0000}"/>
    <cellStyle name="40% - Accent2 2 12" xfId="34441" xr:uid="{00000000-0005-0000-0000-0000EC3D0000}"/>
    <cellStyle name="40% - Accent2 2 13" xfId="15582" xr:uid="{00000000-0005-0000-0000-0000ED3D0000}"/>
    <cellStyle name="40% - Accent2 2 2" xfId="143" xr:uid="{00000000-0005-0000-0000-0000EE3D0000}"/>
    <cellStyle name="40% - Accent2 2 2 10" xfId="15579" xr:uid="{00000000-0005-0000-0000-0000EF3D0000}"/>
    <cellStyle name="40% - Accent2 2 2 11" xfId="34496" xr:uid="{00000000-0005-0000-0000-0000F03D0000}"/>
    <cellStyle name="40% - Accent2 2 2 12" xfId="15581" xr:uid="{00000000-0005-0000-0000-0000F13D0000}"/>
    <cellStyle name="40% - Accent2 2 2 2" xfId="15576" xr:uid="{00000000-0005-0000-0000-0000F23D0000}"/>
    <cellStyle name="40% - Accent2 2 2 2 2" xfId="15575" xr:uid="{00000000-0005-0000-0000-0000F33D0000}"/>
    <cellStyle name="40% - Accent2 2 2 2 2 2" xfId="15574" xr:uid="{00000000-0005-0000-0000-0000F43D0000}"/>
    <cellStyle name="40% - Accent2 2 2 2 2 2 2" xfId="18531" xr:uid="{00000000-0005-0000-0000-0000F53D0000}"/>
    <cellStyle name="40% - Accent2 2 2 2 2 2 2 2" xfId="23731" xr:uid="{00000000-0005-0000-0000-0000F63D0000}"/>
    <cellStyle name="40% - Accent2 2 2 2 2 2 2 2 2" xfId="12580" xr:uid="{00000000-0005-0000-0000-0000F73D0000}"/>
    <cellStyle name="40% - Accent2 2 2 2 2 2 2 2 2 2" xfId="15125" xr:uid="{00000000-0005-0000-0000-0000F83D0000}"/>
    <cellStyle name="40% - Accent2 2 2 2 2 2 2 2 2 2 2" xfId="15573" xr:uid="{00000000-0005-0000-0000-0000F93D0000}"/>
    <cellStyle name="40% - Accent2 2 2 2 2 2 2 2 2 2 2 2" xfId="15571" xr:uid="{00000000-0005-0000-0000-0000FA3D0000}"/>
    <cellStyle name="40% - Accent2 2 2 2 2 2 2 2 2 2 3" xfId="15570" xr:uid="{00000000-0005-0000-0000-0000FB3D0000}"/>
    <cellStyle name="40% - Accent2 2 2 2 2 2 2 2 2 3" xfId="15567" xr:uid="{00000000-0005-0000-0000-0000FC3D0000}"/>
    <cellStyle name="40% - Accent2 2 2 2 2 2 2 2 2 3 2" xfId="14236" xr:uid="{00000000-0005-0000-0000-0000FD3D0000}"/>
    <cellStyle name="40% - Accent2 2 2 2 2 2 2 2 2 4" xfId="30469" xr:uid="{00000000-0005-0000-0000-0000FE3D0000}"/>
    <cellStyle name="40% - Accent2 2 2 2 2 2 2 2 3" xfId="15565" xr:uid="{00000000-0005-0000-0000-0000FF3D0000}"/>
    <cellStyle name="40% - Accent2 2 2 2 2 2 2 2 3 2" xfId="15563" xr:uid="{00000000-0005-0000-0000-0000003E0000}"/>
    <cellStyle name="40% - Accent2 2 2 2 2 2 2 2 3 2 2" xfId="15560" xr:uid="{00000000-0005-0000-0000-0000013E0000}"/>
    <cellStyle name="40% - Accent2 2 2 2 2 2 2 2 3 3" xfId="15557" xr:uid="{00000000-0005-0000-0000-0000023E0000}"/>
    <cellStyle name="40% - Accent2 2 2 2 2 2 2 2 4" xfId="15554" xr:uid="{00000000-0005-0000-0000-0000033E0000}"/>
    <cellStyle name="40% - Accent2 2 2 2 2 2 2 2 4 2" xfId="15553" xr:uid="{00000000-0005-0000-0000-0000043E0000}"/>
    <cellStyle name="40% - Accent2 2 2 2 2 2 2 2 5" xfId="15550" xr:uid="{00000000-0005-0000-0000-0000053E0000}"/>
    <cellStyle name="40% - Accent2 2 2 2 2 2 2 3" xfId="14951" xr:uid="{00000000-0005-0000-0000-0000063E0000}"/>
    <cellStyle name="40% - Accent2 2 2 2 2 2 2 3 2" xfId="15549" xr:uid="{00000000-0005-0000-0000-0000073E0000}"/>
    <cellStyle name="40% - Accent2 2 2 2 2 2 2 3 2 2" xfId="15548" xr:uid="{00000000-0005-0000-0000-0000083E0000}"/>
    <cellStyle name="40% - Accent2 2 2 2 2 2 2 3 2 2 2" xfId="15547" xr:uid="{00000000-0005-0000-0000-0000093E0000}"/>
    <cellStyle name="40% - Accent2 2 2 2 2 2 2 3 2 3" xfId="15545" xr:uid="{00000000-0005-0000-0000-00000A3E0000}"/>
    <cellStyle name="40% - Accent2 2 2 2 2 2 2 3 3" xfId="15544" xr:uid="{00000000-0005-0000-0000-00000B3E0000}"/>
    <cellStyle name="40% - Accent2 2 2 2 2 2 2 3 3 2" xfId="15543" xr:uid="{00000000-0005-0000-0000-00000C3E0000}"/>
    <cellStyle name="40% - Accent2 2 2 2 2 2 2 3 4" xfId="15540" xr:uid="{00000000-0005-0000-0000-00000D3E0000}"/>
    <cellStyle name="40% - Accent2 2 2 2 2 2 2 4" xfId="14920" xr:uid="{00000000-0005-0000-0000-00000E3E0000}"/>
    <cellStyle name="40% - Accent2 2 2 2 2 2 2 4 2" xfId="15539" xr:uid="{00000000-0005-0000-0000-00000F3E0000}"/>
    <cellStyle name="40% - Accent2 2 2 2 2 2 2 4 2 2" xfId="15536" xr:uid="{00000000-0005-0000-0000-0000103E0000}"/>
    <cellStyle name="40% - Accent2 2 2 2 2 2 2 4 3" xfId="26367" xr:uid="{00000000-0005-0000-0000-0000113E0000}"/>
    <cellStyle name="40% - Accent2 2 2 2 2 2 2 5" xfId="14907" xr:uid="{00000000-0005-0000-0000-0000123E0000}"/>
    <cellStyle name="40% - Accent2 2 2 2 2 2 2 5 2" xfId="15535" xr:uid="{00000000-0005-0000-0000-0000133E0000}"/>
    <cellStyle name="40% - Accent2 2 2 2 2 2 2 6" xfId="14900" xr:uid="{00000000-0005-0000-0000-0000143E0000}"/>
    <cellStyle name="40% - Accent2 2 2 2 2 2 3" xfId="15532" xr:uid="{00000000-0005-0000-0000-0000153E0000}"/>
    <cellStyle name="40% - Accent2 2 2 2 2 2 3 2" xfId="31797" xr:uid="{00000000-0005-0000-0000-0000163E0000}"/>
    <cellStyle name="40% - Accent2 2 2 2 2 2 3 2 2" xfId="27570" xr:uid="{00000000-0005-0000-0000-0000173E0000}"/>
    <cellStyle name="40% - Accent2 2 2 2 2 2 3 2 2 2" xfId="15531" xr:uid="{00000000-0005-0000-0000-0000183E0000}"/>
    <cellStyle name="40% - Accent2 2 2 2 2 2 3 2 2 2 2" xfId="32366" xr:uid="{00000000-0005-0000-0000-0000193E0000}"/>
    <cellStyle name="40% - Accent2 2 2 2 2 2 3 2 2 3" xfId="15528" xr:uid="{00000000-0005-0000-0000-00001A3E0000}"/>
    <cellStyle name="40% - Accent2 2 2 2 2 2 3 2 3" xfId="15525" xr:uid="{00000000-0005-0000-0000-00001B3E0000}"/>
    <cellStyle name="40% - Accent2 2 2 2 2 2 3 2 3 2" xfId="15523" xr:uid="{00000000-0005-0000-0000-00001C3E0000}"/>
    <cellStyle name="40% - Accent2 2 2 2 2 2 3 2 4" xfId="15517" xr:uid="{00000000-0005-0000-0000-00001D3E0000}"/>
    <cellStyle name="40% - Accent2 2 2 2 2 2 3 3" xfId="25585" xr:uid="{00000000-0005-0000-0000-00001E3E0000}"/>
    <cellStyle name="40% - Accent2 2 2 2 2 2 3 3 2" xfId="13745" xr:uid="{00000000-0005-0000-0000-00001F3E0000}"/>
    <cellStyle name="40% - Accent2 2 2 2 2 2 3 3 2 2" xfId="15516" xr:uid="{00000000-0005-0000-0000-0000203E0000}"/>
    <cellStyle name="40% - Accent2 2 2 2 2 2 3 3 3" xfId="13738" xr:uid="{00000000-0005-0000-0000-0000213E0000}"/>
    <cellStyle name="40% - Accent2 2 2 2 2 2 3 4" xfId="14883" xr:uid="{00000000-0005-0000-0000-0000223E0000}"/>
    <cellStyle name="40% - Accent2 2 2 2 2 2 3 4 2" xfId="15513" xr:uid="{00000000-0005-0000-0000-0000233E0000}"/>
    <cellStyle name="40% - Accent2 2 2 2 2 2 3 5" xfId="14876" xr:uid="{00000000-0005-0000-0000-0000243E0000}"/>
    <cellStyle name="40% - Accent2 2 2 2 2 2 4" xfId="16924" xr:uid="{00000000-0005-0000-0000-0000253E0000}"/>
    <cellStyle name="40% - Accent2 2 2 2 2 2 4 2" xfId="33092" xr:uid="{00000000-0005-0000-0000-0000263E0000}"/>
    <cellStyle name="40% - Accent2 2 2 2 2 2 4 2 2" xfId="27144" xr:uid="{00000000-0005-0000-0000-0000273E0000}"/>
    <cellStyle name="40% - Accent2 2 2 2 2 2 4 2 2 2" xfId="28533" xr:uid="{00000000-0005-0000-0000-0000283E0000}"/>
    <cellStyle name="40% - Accent2 2 2 2 2 2 4 2 3" xfId="15510" xr:uid="{00000000-0005-0000-0000-0000293E0000}"/>
    <cellStyle name="40% - Accent2 2 2 2 2 2 4 3" xfId="14866" xr:uid="{00000000-0005-0000-0000-00002A3E0000}"/>
    <cellStyle name="40% - Accent2 2 2 2 2 2 4 3 2" xfId="13726" xr:uid="{00000000-0005-0000-0000-00002B3E0000}"/>
    <cellStyle name="40% - Accent2 2 2 2 2 2 4 4" xfId="14859" xr:uid="{00000000-0005-0000-0000-00002C3E0000}"/>
    <cellStyle name="40% - Accent2 2 2 2 2 2 5" xfId="16912" xr:uid="{00000000-0005-0000-0000-00002D3E0000}"/>
    <cellStyle name="40% - Accent2 2 2 2 2 2 5 2" xfId="31233" xr:uid="{00000000-0005-0000-0000-00002E3E0000}"/>
    <cellStyle name="40% - Accent2 2 2 2 2 2 5 2 2" xfId="17999" xr:uid="{00000000-0005-0000-0000-00002F3E0000}"/>
    <cellStyle name="40% - Accent2 2 2 2 2 2 5 3" xfId="14846" xr:uid="{00000000-0005-0000-0000-0000303E0000}"/>
    <cellStyle name="40% - Accent2 2 2 2 2 2 6" xfId="16905" xr:uid="{00000000-0005-0000-0000-0000313E0000}"/>
    <cellStyle name="40% - Accent2 2 2 2 2 2 6 2" xfId="29530" xr:uid="{00000000-0005-0000-0000-0000323E0000}"/>
    <cellStyle name="40% - Accent2 2 2 2 2 2 7" xfId="15508" xr:uid="{00000000-0005-0000-0000-0000333E0000}"/>
    <cellStyle name="40% - Accent2 2 2 2 2 3" xfId="15507" xr:uid="{00000000-0005-0000-0000-0000343E0000}"/>
    <cellStyle name="40% - Accent2 2 2 2 2 3 2" xfId="33489" xr:uid="{00000000-0005-0000-0000-0000353E0000}"/>
    <cellStyle name="40% - Accent2 2 2 2 2 3 2 2" xfId="32455" xr:uid="{00000000-0005-0000-0000-0000363E0000}"/>
    <cellStyle name="40% - Accent2 2 2 2 2 3 2 2 2" xfId="15506" xr:uid="{00000000-0005-0000-0000-0000373E0000}"/>
    <cellStyle name="40% - Accent2 2 2 2 2 3 2 2 2 2" xfId="23431" xr:uid="{00000000-0005-0000-0000-0000383E0000}"/>
    <cellStyle name="40% - Accent2 2 2 2 2 3 2 2 2 2 2" xfId="23422" xr:uid="{00000000-0005-0000-0000-0000393E0000}"/>
    <cellStyle name="40% - Accent2 2 2 2 2 3 2 2 2 3" xfId="25860" xr:uid="{00000000-0005-0000-0000-00003A3E0000}"/>
    <cellStyle name="40% - Accent2 2 2 2 2 3 2 2 3" xfId="15505" xr:uid="{00000000-0005-0000-0000-00003B3E0000}"/>
    <cellStyle name="40% - Accent2 2 2 2 2 3 2 2 3 2" xfId="23398" xr:uid="{00000000-0005-0000-0000-00003C3E0000}"/>
    <cellStyle name="40% - Accent2 2 2 2 2 3 2 2 4" xfId="15504" xr:uid="{00000000-0005-0000-0000-00003D3E0000}"/>
    <cellStyle name="40% - Accent2 2 2 2 2 3 2 3" xfId="14821" xr:uid="{00000000-0005-0000-0000-00003E3E0000}"/>
    <cellStyle name="40% - Accent2 2 2 2 2 3 2 3 2" xfId="15503" xr:uid="{00000000-0005-0000-0000-00003F3E0000}"/>
    <cellStyle name="40% - Accent2 2 2 2 2 3 2 3 2 2" xfId="30136" xr:uid="{00000000-0005-0000-0000-0000403E0000}"/>
    <cellStyle name="40% - Accent2 2 2 2 2 3 2 3 3" xfId="15502" xr:uid="{00000000-0005-0000-0000-0000413E0000}"/>
    <cellStyle name="40% - Accent2 2 2 2 2 3 2 4" xfId="14803" xr:uid="{00000000-0005-0000-0000-0000423E0000}"/>
    <cellStyle name="40% - Accent2 2 2 2 2 3 2 4 2" xfId="15501" xr:uid="{00000000-0005-0000-0000-0000433E0000}"/>
    <cellStyle name="40% - Accent2 2 2 2 2 3 2 5" xfId="17209" xr:uid="{00000000-0005-0000-0000-0000443E0000}"/>
    <cellStyle name="40% - Accent2 2 2 2 2 3 3" xfId="22280" xr:uid="{00000000-0005-0000-0000-0000453E0000}"/>
    <cellStyle name="40% - Accent2 2 2 2 2 3 3 2" xfId="32699" xr:uid="{00000000-0005-0000-0000-0000463E0000}"/>
    <cellStyle name="40% - Accent2 2 2 2 2 3 3 2 2" xfId="15499" xr:uid="{00000000-0005-0000-0000-0000473E0000}"/>
    <cellStyle name="40% - Accent2 2 2 2 2 3 3 2 2 2" xfId="27888" xr:uid="{00000000-0005-0000-0000-0000483E0000}"/>
    <cellStyle name="40% - Accent2 2 2 2 2 3 3 2 3" xfId="16971" xr:uid="{00000000-0005-0000-0000-0000493E0000}"/>
    <cellStyle name="40% - Accent2 2 2 2 2 3 3 3" xfId="14790" xr:uid="{00000000-0005-0000-0000-00004A3E0000}"/>
    <cellStyle name="40% - Accent2 2 2 2 2 3 3 3 2" xfId="13710" xr:uid="{00000000-0005-0000-0000-00004B3E0000}"/>
    <cellStyle name="40% - Accent2 2 2 2 2 3 3 4" xfId="14766" xr:uid="{00000000-0005-0000-0000-00004C3E0000}"/>
    <cellStyle name="40% - Accent2 2 2 2 2 3 4" xfId="16900" xr:uid="{00000000-0005-0000-0000-00004D3E0000}"/>
    <cellStyle name="40% - Accent2 2 2 2 2 3 4 2" xfId="9266" xr:uid="{00000000-0005-0000-0000-00004E3E0000}"/>
    <cellStyle name="40% - Accent2 2 2 2 2 3 4 2 2" xfId="15498" xr:uid="{00000000-0005-0000-0000-00004F3E0000}"/>
    <cellStyle name="40% - Accent2 2 2 2 2 3 4 3" xfId="9258" xr:uid="{00000000-0005-0000-0000-0000503E0000}"/>
    <cellStyle name="40% - Accent2 2 2 2 2 3 5" xfId="16896" xr:uid="{00000000-0005-0000-0000-0000513E0000}"/>
    <cellStyle name="40% - Accent2 2 2 2 2 3 5 2" xfId="10736" xr:uid="{00000000-0005-0000-0000-0000523E0000}"/>
    <cellStyle name="40% - Accent2 2 2 2 2 3 6" xfId="15497" xr:uid="{00000000-0005-0000-0000-0000533E0000}"/>
    <cellStyle name="40% - Accent2 2 2 2 2 4" xfId="15495" xr:uid="{00000000-0005-0000-0000-0000543E0000}"/>
    <cellStyle name="40% - Accent2 2 2 2 2 4 2" xfId="22277" xr:uid="{00000000-0005-0000-0000-0000553E0000}"/>
    <cellStyle name="40% - Accent2 2 2 2 2 4 2 2" xfId="32982" xr:uid="{00000000-0005-0000-0000-0000563E0000}"/>
    <cellStyle name="40% - Accent2 2 2 2 2 4 2 2 2" xfId="15494" xr:uid="{00000000-0005-0000-0000-0000573E0000}"/>
    <cellStyle name="40% - Accent2 2 2 2 2 4 2 2 2 2" xfId="23140" xr:uid="{00000000-0005-0000-0000-0000583E0000}"/>
    <cellStyle name="40% - Accent2 2 2 2 2 4 2 2 3" xfId="15493" xr:uid="{00000000-0005-0000-0000-0000593E0000}"/>
    <cellStyle name="40% - Accent2 2 2 2 2 4 2 3" xfId="14715" xr:uid="{00000000-0005-0000-0000-00005A3E0000}"/>
    <cellStyle name="40% - Accent2 2 2 2 2 4 2 3 2" xfId="15492" xr:uid="{00000000-0005-0000-0000-00005B3E0000}"/>
    <cellStyle name="40% - Accent2 2 2 2 2 4 2 4" xfId="17194" xr:uid="{00000000-0005-0000-0000-00005C3E0000}"/>
    <cellStyle name="40% - Accent2 2 2 2 2 4 3" xfId="15491" xr:uid="{00000000-0005-0000-0000-00005D3E0000}"/>
    <cellStyle name="40% - Accent2 2 2 2 2 4 3 2" xfId="23926" xr:uid="{00000000-0005-0000-0000-00005E3E0000}"/>
    <cellStyle name="40% - Accent2 2 2 2 2 4 3 2 2" xfId="15490" xr:uid="{00000000-0005-0000-0000-00005F3E0000}"/>
    <cellStyle name="40% - Accent2 2 2 2 2 4 3 3" xfId="33364" xr:uid="{00000000-0005-0000-0000-0000603E0000}"/>
    <cellStyle name="40% - Accent2 2 2 2 2 4 4" xfId="16894" xr:uid="{00000000-0005-0000-0000-0000613E0000}"/>
    <cellStyle name="40% - Accent2 2 2 2 2 4 4 2" xfId="9245" xr:uid="{00000000-0005-0000-0000-0000623E0000}"/>
    <cellStyle name="40% - Accent2 2 2 2 2 4 5" xfId="15489" xr:uid="{00000000-0005-0000-0000-0000633E0000}"/>
    <cellStyle name="40% - Accent2 2 2 2 2 5" xfId="13598" xr:uid="{00000000-0005-0000-0000-0000643E0000}"/>
    <cellStyle name="40% - Accent2 2 2 2 2 5 2" xfId="10331" xr:uid="{00000000-0005-0000-0000-0000653E0000}"/>
    <cellStyle name="40% - Accent2 2 2 2 2 5 2 2" xfId="23872" xr:uid="{00000000-0005-0000-0000-0000663E0000}"/>
    <cellStyle name="40% - Accent2 2 2 2 2 5 2 2 2" xfId="15488" xr:uid="{00000000-0005-0000-0000-0000673E0000}"/>
    <cellStyle name="40% - Accent2 2 2 2 2 5 2 3" xfId="31447" xr:uid="{00000000-0005-0000-0000-0000683E0000}"/>
    <cellStyle name="40% - Accent2 2 2 2 2 5 3" xfId="10321" xr:uid="{00000000-0005-0000-0000-0000693E0000}"/>
    <cellStyle name="40% - Accent2 2 2 2 2 5 3 2" xfId="33261" xr:uid="{00000000-0005-0000-0000-00006A3E0000}"/>
    <cellStyle name="40% - Accent2 2 2 2 2 5 4" xfId="10308" xr:uid="{00000000-0005-0000-0000-00006B3E0000}"/>
    <cellStyle name="40% - Accent2 2 2 2 2 6" xfId="12005" xr:uid="{00000000-0005-0000-0000-00006C3E0000}"/>
    <cellStyle name="40% - Accent2 2 2 2 2 6 2" xfId="12003" xr:uid="{00000000-0005-0000-0000-00006D3E0000}"/>
    <cellStyle name="40% - Accent2 2 2 2 2 6 2 2" xfId="18704" xr:uid="{00000000-0005-0000-0000-00006E3E0000}"/>
    <cellStyle name="40% - Accent2 2 2 2 2 6 3" xfId="11996" xr:uid="{00000000-0005-0000-0000-00006F3E0000}"/>
    <cellStyle name="40% - Accent2 2 2 2 2 7" xfId="11992" xr:uid="{00000000-0005-0000-0000-0000703E0000}"/>
    <cellStyle name="40% - Accent2 2 2 2 2 7 2" xfId="26541" xr:uid="{00000000-0005-0000-0000-0000713E0000}"/>
    <cellStyle name="40% - Accent2 2 2 2 2 8" xfId="11988" xr:uid="{00000000-0005-0000-0000-0000723E0000}"/>
    <cellStyle name="40% - Accent2 2 2 2 3" xfId="15487" xr:uid="{00000000-0005-0000-0000-0000733E0000}"/>
    <cellStyle name="40% - Accent2 2 2 2 3 2" xfId="15486" xr:uid="{00000000-0005-0000-0000-0000743E0000}"/>
    <cellStyle name="40% - Accent2 2 2 2 3 2 2" xfId="15485" xr:uid="{00000000-0005-0000-0000-0000753E0000}"/>
    <cellStyle name="40% - Accent2 2 2 2 3 2 2 2" xfId="32937" xr:uid="{00000000-0005-0000-0000-0000763E0000}"/>
    <cellStyle name="40% - Accent2 2 2 2 3 2 2 2 2" xfId="15484" xr:uid="{00000000-0005-0000-0000-0000773E0000}"/>
    <cellStyle name="40% - Accent2 2 2 2 3 2 2 2 2 2" xfId="15483" xr:uid="{00000000-0005-0000-0000-0000783E0000}"/>
    <cellStyle name="40% - Accent2 2 2 2 3 2 2 2 2 2 2" xfId="22136" xr:uid="{00000000-0005-0000-0000-0000793E0000}"/>
    <cellStyle name="40% - Accent2 2 2 2 3 2 2 2 2 3" xfId="20257" xr:uid="{00000000-0005-0000-0000-00007A3E0000}"/>
    <cellStyle name="40% - Accent2 2 2 2 3 2 2 2 3" xfId="15482" xr:uid="{00000000-0005-0000-0000-00007B3E0000}"/>
    <cellStyle name="40% - Accent2 2 2 2 3 2 2 2 3 2" xfId="17191" xr:uid="{00000000-0005-0000-0000-00007C3E0000}"/>
    <cellStyle name="40% - Accent2 2 2 2 3 2 2 2 4" xfId="15480" xr:uid="{00000000-0005-0000-0000-00007D3E0000}"/>
    <cellStyle name="40% - Accent2 2 2 2 3 2 2 3" xfId="14402" xr:uid="{00000000-0005-0000-0000-00007E3E0000}"/>
    <cellStyle name="40% - Accent2 2 2 2 3 2 2 3 2" xfId="15479" xr:uid="{00000000-0005-0000-0000-00007F3E0000}"/>
    <cellStyle name="40% - Accent2 2 2 2 3 2 2 3 2 2" xfId="33182" xr:uid="{00000000-0005-0000-0000-0000803E0000}"/>
    <cellStyle name="40% - Accent2 2 2 2 3 2 2 3 3" xfId="15477" xr:uid="{00000000-0005-0000-0000-0000813E0000}"/>
    <cellStyle name="40% - Accent2 2 2 2 3 2 2 4" xfId="14386" xr:uid="{00000000-0005-0000-0000-0000823E0000}"/>
    <cellStyle name="40% - Accent2 2 2 2 3 2 2 4 2" xfId="15476" xr:uid="{00000000-0005-0000-0000-0000833E0000}"/>
    <cellStyle name="40% - Accent2 2 2 2 3 2 2 5" xfId="14379" xr:uid="{00000000-0005-0000-0000-0000843E0000}"/>
    <cellStyle name="40% - Accent2 2 2 2 3 2 3" xfId="29124" xr:uid="{00000000-0005-0000-0000-0000853E0000}"/>
    <cellStyle name="40% - Accent2 2 2 2 3 2 3 2" xfId="32931" xr:uid="{00000000-0005-0000-0000-0000863E0000}"/>
    <cellStyle name="40% - Accent2 2 2 2 3 2 3 2 2" xfId="15475" xr:uid="{00000000-0005-0000-0000-0000873E0000}"/>
    <cellStyle name="40% - Accent2 2 2 2 3 2 3 2 2 2" xfId="15474" xr:uid="{00000000-0005-0000-0000-0000883E0000}"/>
    <cellStyle name="40% - Accent2 2 2 2 3 2 3 2 3" xfId="15473" xr:uid="{00000000-0005-0000-0000-0000893E0000}"/>
    <cellStyle name="40% - Accent2 2 2 2 3 2 3 3" xfId="29950" xr:uid="{00000000-0005-0000-0000-00008A3E0000}"/>
    <cellStyle name="40% - Accent2 2 2 2 3 2 3 3 2" xfId="11698" xr:uid="{00000000-0005-0000-0000-00008B3E0000}"/>
    <cellStyle name="40% - Accent2 2 2 2 3 2 3 4" xfId="14361" xr:uid="{00000000-0005-0000-0000-00008C3E0000}"/>
    <cellStyle name="40% - Accent2 2 2 2 3 2 4" xfId="29121" xr:uid="{00000000-0005-0000-0000-00008D3E0000}"/>
    <cellStyle name="40% - Accent2 2 2 2 3 2 4 2" xfId="29614" xr:uid="{00000000-0005-0000-0000-00008E3E0000}"/>
    <cellStyle name="40% - Accent2 2 2 2 3 2 4 2 2" xfId="15472" xr:uid="{00000000-0005-0000-0000-00008F3E0000}"/>
    <cellStyle name="40% - Accent2 2 2 2 3 2 4 3" xfId="14346" xr:uid="{00000000-0005-0000-0000-0000903E0000}"/>
    <cellStyle name="40% - Accent2 2 2 2 3 2 5" xfId="16888" xr:uid="{00000000-0005-0000-0000-0000913E0000}"/>
    <cellStyle name="40% - Accent2 2 2 2 3 2 5 2" xfId="19059" xr:uid="{00000000-0005-0000-0000-0000923E0000}"/>
    <cellStyle name="40% - Accent2 2 2 2 3 2 6" xfId="15471" xr:uid="{00000000-0005-0000-0000-0000933E0000}"/>
    <cellStyle name="40% - Accent2 2 2 2 3 3" xfId="28968" xr:uid="{00000000-0005-0000-0000-0000943E0000}"/>
    <cellStyle name="40% - Accent2 2 2 2 3 3 2" xfId="22263" xr:uid="{00000000-0005-0000-0000-0000953E0000}"/>
    <cellStyle name="40% - Accent2 2 2 2 3 3 2 2" xfId="33926" xr:uid="{00000000-0005-0000-0000-0000963E0000}"/>
    <cellStyle name="40% - Accent2 2 2 2 3 3 2 2 2" xfId="15470" xr:uid="{00000000-0005-0000-0000-0000973E0000}"/>
    <cellStyle name="40% - Accent2 2 2 2 3 3 2 2 2 2" xfId="22820" xr:uid="{00000000-0005-0000-0000-0000983E0000}"/>
    <cellStyle name="40% - Accent2 2 2 2 3 3 2 2 3" xfId="15469" xr:uid="{00000000-0005-0000-0000-0000993E0000}"/>
    <cellStyle name="40% - Accent2 2 2 2 3 3 2 3" xfId="14318" xr:uid="{00000000-0005-0000-0000-00009A3E0000}"/>
    <cellStyle name="40% - Accent2 2 2 2 3 3 2 3 2" xfId="15468" xr:uid="{00000000-0005-0000-0000-00009B3E0000}"/>
    <cellStyle name="40% - Accent2 2 2 2 3 3 2 4" xfId="14307" xr:uid="{00000000-0005-0000-0000-00009C3E0000}"/>
    <cellStyle name="40% - Accent2 2 2 2 3 3 3" xfId="29120" xr:uid="{00000000-0005-0000-0000-00009D3E0000}"/>
    <cellStyle name="40% - Accent2 2 2 2 3 3 3 2" xfId="32445" xr:uid="{00000000-0005-0000-0000-00009E3E0000}"/>
    <cellStyle name="40% - Accent2 2 2 2 3 3 3 2 2" xfId="15467" xr:uid="{00000000-0005-0000-0000-00009F3E0000}"/>
    <cellStyle name="40% - Accent2 2 2 2 3 3 3 3" xfId="14299" xr:uid="{00000000-0005-0000-0000-0000A03E0000}"/>
    <cellStyle name="40% - Accent2 2 2 2 3 3 4" xfId="16884" xr:uid="{00000000-0005-0000-0000-0000A13E0000}"/>
    <cellStyle name="40% - Accent2 2 2 2 3 3 4 2" xfId="19035" xr:uid="{00000000-0005-0000-0000-0000A23E0000}"/>
    <cellStyle name="40% - Accent2 2 2 2 3 3 5" xfId="15466" xr:uid="{00000000-0005-0000-0000-0000A33E0000}"/>
    <cellStyle name="40% - Accent2 2 2 2 3 4" xfId="15465" xr:uid="{00000000-0005-0000-0000-0000A43E0000}"/>
    <cellStyle name="40% - Accent2 2 2 2 3 4 2" xfId="15464" xr:uid="{00000000-0005-0000-0000-0000A53E0000}"/>
    <cellStyle name="40% - Accent2 2 2 2 3 4 2 2" xfId="26223" xr:uid="{00000000-0005-0000-0000-0000A63E0000}"/>
    <cellStyle name="40% - Accent2 2 2 2 3 4 2 2 2" xfId="15463" xr:uid="{00000000-0005-0000-0000-0000A73E0000}"/>
    <cellStyle name="40% - Accent2 2 2 2 3 4 2 3" xfId="14274" xr:uid="{00000000-0005-0000-0000-0000A83E0000}"/>
    <cellStyle name="40% - Accent2 2 2 2 3 4 3" xfId="26770" xr:uid="{00000000-0005-0000-0000-0000A93E0000}"/>
    <cellStyle name="40% - Accent2 2 2 2 3 4 3 2" xfId="19030" xr:uid="{00000000-0005-0000-0000-0000AA3E0000}"/>
    <cellStyle name="40% - Accent2 2 2 2 3 4 4" xfId="15462" xr:uid="{00000000-0005-0000-0000-0000AB3E0000}"/>
    <cellStyle name="40% - Accent2 2 2 2 3 5" xfId="15460" xr:uid="{00000000-0005-0000-0000-0000AC3E0000}"/>
    <cellStyle name="40% - Accent2 2 2 2 3 5 2" xfId="15458" xr:uid="{00000000-0005-0000-0000-0000AD3E0000}"/>
    <cellStyle name="40% - Accent2 2 2 2 3 5 2 2" xfId="24352" xr:uid="{00000000-0005-0000-0000-0000AE3E0000}"/>
    <cellStyle name="40% - Accent2 2 2 2 3 5 3" xfId="10282" xr:uid="{00000000-0005-0000-0000-0000AF3E0000}"/>
    <cellStyle name="40% - Accent2 2 2 2 3 6" xfId="15456" xr:uid="{00000000-0005-0000-0000-0000B03E0000}"/>
    <cellStyle name="40% - Accent2 2 2 2 3 6 2" xfId="15454" xr:uid="{00000000-0005-0000-0000-0000B13E0000}"/>
    <cellStyle name="40% - Accent2 2 2 2 3 7" xfId="11984" xr:uid="{00000000-0005-0000-0000-0000B23E0000}"/>
    <cellStyle name="40% - Accent2 2 2 2 4" xfId="15451" xr:uid="{00000000-0005-0000-0000-0000B33E0000}"/>
    <cellStyle name="40% - Accent2 2 2 2 4 2" xfId="15450" xr:uid="{00000000-0005-0000-0000-0000B43E0000}"/>
    <cellStyle name="40% - Accent2 2 2 2 4 2 2" xfId="30349" xr:uid="{00000000-0005-0000-0000-0000B53E0000}"/>
    <cellStyle name="40% - Accent2 2 2 2 4 2 2 2" xfId="10911" xr:uid="{00000000-0005-0000-0000-0000B63E0000}"/>
    <cellStyle name="40% - Accent2 2 2 2 4 2 2 2 2" xfId="15448" xr:uid="{00000000-0005-0000-0000-0000B73E0000}"/>
    <cellStyle name="40% - Accent2 2 2 2 4 2 2 2 2 2" xfId="15447" xr:uid="{00000000-0005-0000-0000-0000B83E0000}"/>
    <cellStyle name="40% - Accent2 2 2 2 4 2 2 2 3" xfId="15445" xr:uid="{00000000-0005-0000-0000-0000B93E0000}"/>
    <cellStyle name="40% - Accent2 2 2 2 4 2 2 3" xfId="13979" xr:uid="{00000000-0005-0000-0000-0000BA3E0000}"/>
    <cellStyle name="40% - Accent2 2 2 2 4 2 2 3 2" xfId="15444" xr:uid="{00000000-0005-0000-0000-0000BB3E0000}"/>
    <cellStyle name="40% - Accent2 2 2 2 4 2 2 4" xfId="13972" xr:uid="{00000000-0005-0000-0000-0000BC3E0000}"/>
    <cellStyle name="40% - Accent2 2 2 2 4 2 3" xfId="12112" xr:uid="{00000000-0005-0000-0000-0000BD3E0000}"/>
    <cellStyle name="40% - Accent2 2 2 2 4 2 3 2" xfId="18135" xr:uid="{00000000-0005-0000-0000-0000BE3E0000}"/>
    <cellStyle name="40% - Accent2 2 2 2 4 2 3 2 2" xfId="21873" xr:uid="{00000000-0005-0000-0000-0000BF3E0000}"/>
    <cellStyle name="40% - Accent2 2 2 2 4 2 3 3" xfId="13963" xr:uid="{00000000-0005-0000-0000-0000C03E0000}"/>
    <cellStyle name="40% - Accent2 2 2 2 4 2 4" xfId="16882" xr:uid="{00000000-0005-0000-0000-0000C13E0000}"/>
    <cellStyle name="40% - Accent2 2 2 2 4 2 4 2" xfId="18030" xr:uid="{00000000-0005-0000-0000-0000C23E0000}"/>
    <cellStyle name="40% - Accent2 2 2 2 4 2 5" xfId="15443" xr:uid="{00000000-0005-0000-0000-0000C33E0000}"/>
    <cellStyle name="40% - Accent2 2 2 2 4 3" xfId="15441" xr:uid="{00000000-0005-0000-0000-0000C43E0000}"/>
    <cellStyle name="40% - Accent2 2 2 2 4 3 2" xfId="15439" xr:uid="{00000000-0005-0000-0000-0000C53E0000}"/>
    <cellStyle name="40% - Accent2 2 2 2 4 3 2 2" xfId="34401" xr:uid="{00000000-0005-0000-0000-0000C63E0000}"/>
    <cellStyle name="40% - Accent2 2 2 2 4 3 2 2 2" xfId="20514" xr:uid="{00000000-0005-0000-0000-0000C73E0000}"/>
    <cellStyle name="40% - Accent2 2 2 2 4 3 2 3" xfId="13943" xr:uid="{00000000-0005-0000-0000-0000C83E0000}"/>
    <cellStyle name="40% - Accent2 2 2 2 4 3 3" xfId="15438" xr:uid="{00000000-0005-0000-0000-0000C93E0000}"/>
    <cellStyle name="40% - Accent2 2 2 2 4 3 3 2" xfId="18504" xr:uid="{00000000-0005-0000-0000-0000CA3E0000}"/>
    <cellStyle name="40% - Accent2 2 2 2 4 3 4" xfId="15437" xr:uid="{00000000-0005-0000-0000-0000CB3E0000}"/>
    <cellStyle name="40% - Accent2 2 2 2 4 4" xfId="15436" xr:uid="{00000000-0005-0000-0000-0000CC3E0000}"/>
    <cellStyle name="40% - Accent2 2 2 2 4 4 2" xfId="15435" xr:uid="{00000000-0005-0000-0000-0000CD3E0000}"/>
    <cellStyle name="40% - Accent2 2 2 2 4 4 2 2" xfId="32947" xr:uid="{00000000-0005-0000-0000-0000CE3E0000}"/>
    <cellStyle name="40% - Accent2 2 2 2 4 4 3" xfId="33274" xr:uid="{00000000-0005-0000-0000-0000CF3E0000}"/>
    <cellStyle name="40% - Accent2 2 2 2 4 5" xfId="15434" xr:uid="{00000000-0005-0000-0000-0000D03E0000}"/>
    <cellStyle name="40% - Accent2 2 2 2 4 5 2" xfId="10269" xr:uid="{00000000-0005-0000-0000-0000D13E0000}"/>
    <cellStyle name="40% - Accent2 2 2 2 4 6" xfId="11976" xr:uid="{00000000-0005-0000-0000-0000D23E0000}"/>
    <cellStyle name="40% - Accent2 2 2 2 5" xfId="15432" xr:uid="{00000000-0005-0000-0000-0000D33E0000}"/>
    <cellStyle name="40% - Accent2 2 2 2 5 2" xfId="15431" xr:uid="{00000000-0005-0000-0000-0000D43E0000}"/>
    <cellStyle name="40% - Accent2 2 2 2 5 2 2" xfId="15428" xr:uid="{00000000-0005-0000-0000-0000D53E0000}"/>
    <cellStyle name="40% - Accent2 2 2 2 5 2 2 2" xfId="24430" xr:uid="{00000000-0005-0000-0000-0000D63E0000}"/>
    <cellStyle name="40% - Accent2 2 2 2 5 2 2 2 2" xfId="15426" xr:uid="{00000000-0005-0000-0000-0000D73E0000}"/>
    <cellStyle name="40% - Accent2 2 2 2 5 2 2 3" xfId="13815" xr:uid="{00000000-0005-0000-0000-0000D83E0000}"/>
    <cellStyle name="40% - Accent2 2 2 2 5 2 3" xfId="15425" xr:uid="{00000000-0005-0000-0000-0000D93E0000}"/>
    <cellStyle name="40% - Accent2 2 2 2 5 2 3 2" xfId="18304" xr:uid="{00000000-0005-0000-0000-0000DA3E0000}"/>
    <cellStyle name="40% - Accent2 2 2 2 5 2 4" xfId="15424" xr:uid="{00000000-0005-0000-0000-0000DB3E0000}"/>
    <cellStyle name="40% - Accent2 2 2 2 5 3" xfId="15423" xr:uid="{00000000-0005-0000-0000-0000DC3E0000}"/>
    <cellStyle name="40% - Accent2 2 2 2 5 3 2" xfId="15421" xr:uid="{00000000-0005-0000-0000-0000DD3E0000}"/>
    <cellStyle name="40% - Accent2 2 2 2 5 3 2 2" xfId="14259" xr:uid="{00000000-0005-0000-0000-0000DE3E0000}"/>
    <cellStyle name="40% - Accent2 2 2 2 5 3 3" xfId="15420" xr:uid="{00000000-0005-0000-0000-0000DF3E0000}"/>
    <cellStyle name="40% - Accent2 2 2 2 5 4" xfId="15419" xr:uid="{00000000-0005-0000-0000-0000E03E0000}"/>
    <cellStyle name="40% - Accent2 2 2 2 5 4 2" xfId="15418" xr:uid="{00000000-0005-0000-0000-0000E13E0000}"/>
    <cellStyle name="40% - Accent2 2 2 2 5 5" xfId="10255" xr:uid="{00000000-0005-0000-0000-0000E23E0000}"/>
    <cellStyle name="40% - Accent2 2 2 2 6" xfId="20820" xr:uid="{00000000-0005-0000-0000-0000E33E0000}"/>
    <cellStyle name="40% - Accent2 2 2 2 6 2" xfId="20818" xr:uid="{00000000-0005-0000-0000-0000E43E0000}"/>
    <cellStyle name="40% - Accent2 2 2 2 6 2 2" xfId="23518" xr:uid="{00000000-0005-0000-0000-0000E53E0000}"/>
    <cellStyle name="40% - Accent2 2 2 2 6 2 2 2" xfId="21622" xr:uid="{00000000-0005-0000-0000-0000E63E0000}"/>
    <cellStyle name="40% - Accent2 2 2 2 6 2 3" xfId="21474" xr:uid="{00000000-0005-0000-0000-0000E73E0000}"/>
    <cellStyle name="40% - Accent2 2 2 2 6 3" xfId="20812" xr:uid="{00000000-0005-0000-0000-0000E83E0000}"/>
    <cellStyle name="40% - Accent2 2 2 2 6 3 2" xfId="21463" xr:uid="{00000000-0005-0000-0000-0000E93E0000}"/>
    <cellStyle name="40% - Accent2 2 2 2 6 4" xfId="20807" xr:uid="{00000000-0005-0000-0000-0000EA3E0000}"/>
    <cellStyle name="40% - Accent2 2 2 2 7" xfId="24137" xr:uid="{00000000-0005-0000-0000-0000EB3E0000}"/>
    <cellStyle name="40% - Accent2 2 2 2 7 2" xfId="20804" xr:uid="{00000000-0005-0000-0000-0000EC3E0000}"/>
    <cellStyle name="40% - Accent2 2 2 2 7 2 2" xfId="21442" xr:uid="{00000000-0005-0000-0000-0000ED3E0000}"/>
    <cellStyle name="40% - Accent2 2 2 2 7 3" xfId="20802" xr:uid="{00000000-0005-0000-0000-0000EE3E0000}"/>
    <cellStyle name="40% - Accent2 2 2 2 8" xfId="20800" xr:uid="{00000000-0005-0000-0000-0000EF3E0000}"/>
    <cellStyle name="40% - Accent2 2 2 2 8 2" xfId="20798" xr:uid="{00000000-0005-0000-0000-0000F03E0000}"/>
    <cellStyle name="40% - Accent2 2 2 2 9" xfId="23155" xr:uid="{00000000-0005-0000-0000-0000F13E0000}"/>
    <cellStyle name="40% - Accent2 2 2 3" xfId="27324" xr:uid="{00000000-0005-0000-0000-0000F23E0000}"/>
    <cellStyle name="40% - Accent2 2 2 3 2" xfId="15417" xr:uid="{00000000-0005-0000-0000-0000F33E0000}"/>
    <cellStyle name="40% - Accent2 2 2 3 2 2" xfId="15416" xr:uid="{00000000-0005-0000-0000-0000F43E0000}"/>
    <cellStyle name="40% - Accent2 2 2 3 2 2 2" xfId="15415" xr:uid="{00000000-0005-0000-0000-0000F53E0000}"/>
    <cellStyle name="40% - Accent2 2 2 3 2 2 2 2" xfId="17773" xr:uid="{00000000-0005-0000-0000-0000F63E0000}"/>
    <cellStyle name="40% - Accent2 2 2 3 2 2 2 2 2" xfId="15414" xr:uid="{00000000-0005-0000-0000-0000F73E0000}"/>
    <cellStyle name="40% - Accent2 2 2 3 2 2 2 2 2 2" xfId="14514" xr:uid="{00000000-0005-0000-0000-0000F83E0000}"/>
    <cellStyle name="40% - Accent2 2 2 3 2 2 2 2 2 2 2" xfId="28057" xr:uid="{00000000-0005-0000-0000-0000F93E0000}"/>
    <cellStyle name="40% - Accent2 2 2 3 2 2 2 2 2 3" xfId="15413" xr:uid="{00000000-0005-0000-0000-0000FA3E0000}"/>
    <cellStyle name="40% - Accent2 2 2 3 2 2 2 2 3" xfId="15410" xr:uid="{00000000-0005-0000-0000-0000FB3E0000}"/>
    <cellStyle name="40% - Accent2 2 2 3 2 2 2 2 3 2" xfId="15408" xr:uid="{00000000-0005-0000-0000-0000FC3E0000}"/>
    <cellStyle name="40% - Accent2 2 2 3 2 2 2 2 4" xfId="15404" xr:uid="{00000000-0005-0000-0000-0000FD3E0000}"/>
    <cellStyle name="40% - Accent2 2 2 3 2 2 2 3" xfId="11343" xr:uid="{00000000-0005-0000-0000-0000FE3E0000}"/>
    <cellStyle name="40% - Accent2 2 2 3 2 2 2 3 2" xfId="15401" xr:uid="{00000000-0005-0000-0000-0000FF3E0000}"/>
    <cellStyle name="40% - Accent2 2 2 3 2 2 2 3 2 2" xfId="15400" xr:uid="{00000000-0005-0000-0000-0000003F0000}"/>
    <cellStyle name="40% - Accent2 2 2 3 2 2 2 3 3" xfId="15397" xr:uid="{00000000-0005-0000-0000-0000013F0000}"/>
    <cellStyle name="40% - Accent2 2 2 3 2 2 2 4" xfId="14750" xr:uid="{00000000-0005-0000-0000-0000023F0000}"/>
    <cellStyle name="40% - Accent2 2 2 3 2 2 2 4 2" xfId="15395" xr:uid="{00000000-0005-0000-0000-0000033F0000}"/>
    <cellStyle name="40% - Accent2 2 2 3 2 2 2 5" xfId="14734" xr:uid="{00000000-0005-0000-0000-0000043F0000}"/>
    <cellStyle name="40% - Accent2 2 2 3 2 2 3" xfId="15393" xr:uid="{00000000-0005-0000-0000-0000053F0000}"/>
    <cellStyle name="40% - Accent2 2 2 3 2 2 3 2" xfId="24444" xr:uid="{00000000-0005-0000-0000-0000063F0000}"/>
    <cellStyle name="40% - Accent2 2 2 3 2 2 3 2 2" xfId="19686" xr:uid="{00000000-0005-0000-0000-0000073F0000}"/>
    <cellStyle name="40% - Accent2 2 2 3 2 2 3 2 2 2" xfId="15391" xr:uid="{00000000-0005-0000-0000-0000083F0000}"/>
    <cellStyle name="40% - Accent2 2 2 3 2 2 3 2 3" xfId="19673" xr:uid="{00000000-0005-0000-0000-0000093F0000}"/>
    <cellStyle name="40% - Accent2 2 2 3 2 2 3 3" xfId="9017" xr:uid="{00000000-0005-0000-0000-00000A3F0000}"/>
    <cellStyle name="40% - Accent2 2 2 3 2 2 3 3 2" xfId="19661" xr:uid="{00000000-0005-0000-0000-00000B3F0000}"/>
    <cellStyle name="40% - Accent2 2 2 3 2 2 3 4" xfId="14694" xr:uid="{00000000-0005-0000-0000-00000C3F0000}"/>
    <cellStyle name="40% - Accent2 2 2 3 2 2 4" xfId="16859" xr:uid="{00000000-0005-0000-0000-00000D3F0000}"/>
    <cellStyle name="40% - Accent2 2 2 3 2 2 4 2" xfId="30805" xr:uid="{00000000-0005-0000-0000-00000E3F0000}"/>
    <cellStyle name="40% - Accent2 2 2 3 2 2 4 2 2" xfId="30163" xr:uid="{00000000-0005-0000-0000-00000F3F0000}"/>
    <cellStyle name="40% - Accent2 2 2 3 2 2 4 3" xfId="9011" xr:uid="{00000000-0005-0000-0000-0000103F0000}"/>
    <cellStyle name="40% - Accent2 2 2 3 2 2 5" xfId="16854" xr:uid="{00000000-0005-0000-0000-0000113F0000}"/>
    <cellStyle name="40% - Accent2 2 2 3 2 2 5 2" xfId="15389" xr:uid="{00000000-0005-0000-0000-0000123F0000}"/>
    <cellStyle name="40% - Accent2 2 2 3 2 2 6" xfId="15388" xr:uid="{00000000-0005-0000-0000-0000133F0000}"/>
    <cellStyle name="40% - Accent2 2 2 3 2 3" xfId="15387" xr:uid="{00000000-0005-0000-0000-0000143F0000}"/>
    <cellStyle name="40% - Accent2 2 2 3 2 3 2" xfId="22233" xr:uid="{00000000-0005-0000-0000-0000153F0000}"/>
    <cellStyle name="40% - Accent2 2 2 3 2 3 2 2" xfId="17758" xr:uid="{00000000-0005-0000-0000-0000163F0000}"/>
    <cellStyle name="40% - Accent2 2 2 3 2 3 2 2 2" xfId="15386" xr:uid="{00000000-0005-0000-0000-0000173F0000}"/>
    <cellStyle name="40% - Accent2 2 2 3 2 3 2 2 2 2" xfId="20916" xr:uid="{00000000-0005-0000-0000-0000183F0000}"/>
    <cellStyle name="40% - Accent2 2 2 3 2 3 2 2 3" xfId="15385" xr:uid="{00000000-0005-0000-0000-0000193F0000}"/>
    <cellStyle name="40% - Accent2 2 2 3 2 3 2 3" xfId="8999" xr:uid="{00000000-0005-0000-0000-00001A3F0000}"/>
    <cellStyle name="40% - Accent2 2 2 3 2 3 2 3 2" xfId="34347" xr:uid="{00000000-0005-0000-0000-00001B3F0000}"/>
    <cellStyle name="40% - Accent2 2 2 3 2 3 2 4" xfId="14284" xr:uid="{00000000-0005-0000-0000-00001C3F0000}"/>
    <cellStyle name="40% - Accent2 2 2 3 2 3 3" xfId="15383" xr:uid="{00000000-0005-0000-0000-00001D3F0000}"/>
    <cellStyle name="40% - Accent2 2 2 3 2 3 3 2" xfId="24437" xr:uid="{00000000-0005-0000-0000-00001E3F0000}"/>
    <cellStyle name="40% - Accent2 2 2 3 2 3 3 2 2" xfId="19537" xr:uid="{00000000-0005-0000-0000-00001F3F0000}"/>
    <cellStyle name="40% - Accent2 2 2 3 2 3 3 3" xfId="8991" xr:uid="{00000000-0005-0000-0000-0000203F0000}"/>
    <cellStyle name="40% - Accent2 2 2 3 2 3 4" xfId="33170" xr:uid="{00000000-0005-0000-0000-0000213F0000}"/>
    <cellStyle name="40% - Accent2 2 2 3 2 3 4 2" xfId="9121" xr:uid="{00000000-0005-0000-0000-0000223F0000}"/>
    <cellStyle name="40% - Accent2 2 2 3 2 3 5" xfId="27454" xr:uid="{00000000-0005-0000-0000-0000233F0000}"/>
    <cellStyle name="40% - Accent2 2 2 3 2 4" xfId="15382" xr:uid="{00000000-0005-0000-0000-0000243F0000}"/>
    <cellStyle name="40% - Accent2 2 2 3 2 4 2" xfId="15381" xr:uid="{00000000-0005-0000-0000-0000253F0000}"/>
    <cellStyle name="40% - Accent2 2 2 3 2 4 2 2" xfId="17746" xr:uid="{00000000-0005-0000-0000-0000263F0000}"/>
    <cellStyle name="40% - Accent2 2 2 3 2 4 2 2 2" xfId="15379" xr:uid="{00000000-0005-0000-0000-0000273F0000}"/>
    <cellStyle name="40% - Accent2 2 2 3 2 4 2 3" xfId="13930" xr:uid="{00000000-0005-0000-0000-0000283F0000}"/>
    <cellStyle name="40% - Accent2 2 2 3 2 4 3" xfId="15378" xr:uid="{00000000-0005-0000-0000-0000293F0000}"/>
    <cellStyle name="40% - Accent2 2 2 3 2 4 3 2" xfId="15376" xr:uid="{00000000-0005-0000-0000-00002A3F0000}"/>
    <cellStyle name="40% - Accent2 2 2 3 2 4 4" xfId="33911" xr:uid="{00000000-0005-0000-0000-00002B3F0000}"/>
    <cellStyle name="40% - Accent2 2 2 3 2 5" xfId="9549" xr:uid="{00000000-0005-0000-0000-00002C3F0000}"/>
    <cellStyle name="40% - Accent2 2 2 3 2 5 2" xfId="9547" xr:uid="{00000000-0005-0000-0000-00002D3F0000}"/>
    <cellStyle name="40% - Accent2 2 2 3 2 5 2 2" xfId="24730" xr:uid="{00000000-0005-0000-0000-00002E3F0000}"/>
    <cellStyle name="40% - Accent2 2 2 3 2 5 3" xfId="9541" xr:uid="{00000000-0005-0000-0000-00002F3F0000}"/>
    <cellStyle name="40% - Accent2 2 2 3 2 6" xfId="12250" xr:uid="{00000000-0005-0000-0000-0000303F0000}"/>
    <cellStyle name="40% - Accent2 2 2 3 2 6 2" xfId="12246" xr:uid="{00000000-0005-0000-0000-0000313F0000}"/>
    <cellStyle name="40% - Accent2 2 2 3 2 7" xfId="12239" xr:uid="{00000000-0005-0000-0000-0000323F0000}"/>
    <cellStyle name="40% - Accent2 2 2 3 3" xfId="15375" xr:uid="{00000000-0005-0000-0000-0000333F0000}"/>
    <cellStyle name="40% - Accent2 2 2 3 3 2" xfId="15374" xr:uid="{00000000-0005-0000-0000-0000343F0000}"/>
    <cellStyle name="40% - Accent2 2 2 3 3 2 2" xfId="21941" xr:uid="{00000000-0005-0000-0000-0000353F0000}"/>
    <cellStyle name="40% - Accent2 2 2 3 3 2 2 2" xfId="17732" xr:uid="{00000000-0005-0000-0000-0000363F0000}"/>
    <cellStyle name="40% - Accent2 2 2 3 3 2 2 2 2" xfId="15372" xr:uid="{00000000-0005-0000-0000-0000373F0000}"/>
    <cellStyle name="40% - Accent2 2 2 3 3 2 2 2 2 2" xfId="15371" xr:uid="{00000000-0005-0000-0000-0000383F0000}"/>
    <cellStyle name="40% - Accent2 2 2 3 3 2 2 2 3" xfId="15370" xr:uid="{00000000-0005-0000-0000-0000393F0000}"/>
    <cellStyle name="40% - Accent2 2 2 3 3 2 2 3" xfId="12798" xr:uid="{00000000-0005-0000-0000-00003A3F0000}"/>
    <cellStyle name="40% - Accent2 2 2 3 3 2 2 3 2" xfId="15366" xr:uid="{00000000-0005-0000-0000-00003B3F0000}"/>
    <cellStyle name="40% - Accent2 2 2 3 3 2 2 4" xfId="12770" xr:uid="{00000000-0005-0000-0000-00003C3F0000}"/>
    <cellStyle name="40% - Accent2 2 2 3 3 2 3" xfId="21939" xr:uid="{00000000-0005-0000-0000-00003D3F0000}"/>
    <cellStyle name="40% - Accent2 2 2 3 3 2 3 2" xfId="24405" xr:uid="{00000000-0005-0000-0000-00003E3F0000}"/>
    <cellStyle name="40% - Accent2 2 2 3 3 2 3 2 2" xfId="23726" xr:uid="{00000000-0005-0000-0000-00003F3F0000}"/>
    <cellStyle name="40% - Accent2 2 2 3 3 2 3 3" xfId="13619" xr:uid="{00000000-0005-0000-0000-0000403F0000}"/>
    <cellStyle name="40% - Accent2 2 2 3 3 2 4" xfId="16851" xr:uid="{00000000-0005-0000-0000-0000413F0000}"/>
    <cellStyle name="40% - Accent2 2 2 3 3 2 4 2" xfId="15365" xr:uid="{00000000-0005-0000-0000-0000423F0000}"/>
    <cellStyle name="40% - Accent2 2 2 3 3 2 5" xfId="18952" xr:uid="{00000000-0005-0000-0000-0000433F0000}"/>
    <cellStyle name="40% - Accent2 2 2 3 3 3" xfId="15361" xr:uid="{00000000-0005-0000-0000-0000443F0000}"/>
    <cellStyle name="40% - Accent2 2 2 3 3 3 2" xfId="21921" xr:uid="{00000000-0005-0000-0000-0000453F0000}"/>
    <cellStyle name="40% - Accent2 2 2 3 3 3 2 2" xfId="17718" xr:uid="{00000000-0005-0000-0000-0000463F0000}"/>
    <cellStyle name="40% - Accent2 2 2 3 3 3 2 2 2" xfId="33276" xr:uid="{00000000-0005-0000-0000-0000473F0000}"/>
    <cellStyle name="40% - Accent2 2 2 3 3 3 2 3" xfId="12299" xr:uid="{00000000-0005-0000-0000-0000483F0000}"/>
    <cellStyle name="40% - Accent2 2 2 3 3 3 3" xfId="15358" xr:uid="{00000000-0005-0000-0000-0000493F0000}"/>
    <cellStyle name="40% - Accent2 2 2 3 3 3 3 2" xfId="15357" xr:uid="{00000000-0005-0000-0000-00004A3F0000}"/>
    <cellStyle name="40% - Accent2 2 2 3 3 3 4" xfId="32422" xr:uid="{00000000-0005-0000-0000-00004B3F0000}"/>
    <cellStyle name="40% - Accent2 2 2 3 3 4" xfId="15356" xr:uid="{00000000-0005-0000-0000-00004C3F0000}"/>
    <cellStyle name="40% - Accent2 2 2 3 3 4 2" xfId="15355" xr:uid="{00000000-0005-0000-0000-00004D3F0000}"/>
    <cellStyle name="40% - Accent2 2 2 3 3 4 2 2" xfId="15353" xr:uid="{00000000-0005-0000-0000-00004E3F0000}"/>
    <cellStyle name="40% - Accent2 2 2 3 3 4 3" xfId="15352" xr:uid="{00000000-0005-0000-0000-00004F3F0000}"/>
    <cellStyle name="40% - Accent2 2 2 3 3 5" xfId="15351" xr:uid="{00000000-0005-0000-0000-0000503F0000}"/>
    <cellStyle name="40% - Accent2 2 2 3 3 5 2" xfId="9531" xr:uid="{00000000-0005-0000-0000-0000513F0000}"/>
    <cellStyle name="40% - Accent2 2 2 3 3 6" xfId="12234" xr:uid="{00000000-0005-0000-0000-0000523F0000}"/>
    <cellStyle name="40% - Accent2 2 2 3 4" xfId="15347" xr:uid="{00000000-0005-0000-0000-0000533F0000}"/>
    <cellStyle name="40% - Accent2 2 2 3 4 2" xfId="15346" xr:uid="{00000000-0005-0000-0000-0000543F0000}"/>
    <cellStyle name="40% - Accent2 2 2 3 4 2 2" xfId="21740" xr:uid="{00000000-0005-0000-0000-0000553F0000}"/>
    <cellStyle name="40% - Accent2 2 2 3 4 2 2 2" xfId="31061" xr:uid="{00000000-0005-0000-0000-0000563F0000}"/>
    <cellStyle name="40% - Accent2 2 2 3 4 2 2 2 2" xfId="29173" xr:uid="{00000000-0005-0000-0000-0000573F0000}"/>
    <cellStyle name="40% - Accent2 2 2 3 4 2 2 3" xfId="12042" xr:uid="{00000000-0005-0000-0000-0000583F0000}"/>
    <cellStyle name="40% - Accent2 2 2 3 4 2 3" xfId="15342" xr:uid="{00000000-0005-0000-0000-0000593F0000}"/>
    <cellStyle name="40% - Accent2 2 2 3 4 2 3 2" xfId="15341" xr:uid="{00000000-0005-0000-0000-00005A3F0000}"/>
    <cellStyle name="40% - Accent2 2 2 3 4 2 4" xfId="15339" xr:uid="{00000000-0005-0000-0000-00005B3F0000}"/>
    <cellStyle name="40% - Accent2 2 2 3 4 3" xfId="15338" xr:uid="{00000000-0005-0000-0000-00005C3F0000}"/>
    <cellStyle name="40% - Accent2 2 2 3 4 3 2" xfId="15337" xr:uid="{00000000-0005-0000-0000-00005D3F0000}"/>
    <cellStyle name="40% - Accent2 2 2 3 4 3 2 2" xfId="15336" xr:uid="{00000000-0005-0000-0000-00005E3F0000}"/>
    <cellStyle name="40% - Accent2 2 2 3 4 3 3" xfId="15335" xr:uid="{00000000-0005-0000-0000-00005F3F0000}"/>
    <cellStyle name="40% - Accent2 2 2 3 4 4" xfId="15334" xr:uid="{00000000-0005-0000-0000-0000603F0000}"/>
    <cellStyle name="40% - Accent2 2 2 3 4 4 2" xfId="15333" xr:uid="{00000000-0005-0000-0000-0000613F0000}"/>
    <cellStyle name="40% - Accent2 2 2 3 4 5" xfId="9521" xr:uid="{00000000-0005-0000-0000-0000623F0000}"/>
    <cellStyle name="40% - Accent2 2 2 3 5" xfId="15328" xr:uid="{00000000-0005-0000-0000-0000633F0000}"/>
    <cellStyle name="40% - Accent2 2 2 3 5 2" xfId="15327" xr:uid="{00000000-0005-0000-0000-0000643F0000}"/>
    <cellStyle name="40% - Accent2 2 2 3 5 2 2" xfId="15325" xr:uid="{00000000-0005-0000-0000-0000653F0000}"/>
    <cellStyle name="40% - Accent2 2 2 3 5 2 2 2" xfId="15324" xr:uid="{00000000-0005-0000-0000-0000663F0000}"/>
    <cellStyle name="40% - Accent2 2 2 3 5 2 3" xfId="15323" xr:uid="{00000000-0005-0000-0000-0000673F0000}"/>
    <cellStyle name="40% - Accent2 2 2 3 5 3" xfId="15322" xr:uid="{00000000-0005-0000-0000-0000683F0000}"/>
    <cellStyle name="40% - Accent2 2 2 3 5 3 2" xfId="15321" xr:uid="{00000000-0005-0000-0000-0000693F0000}"/>
    <cellStyle name="40% - Accent2 2 2 3 5 4" xfId="15320" xr:uid="{00000000-0005-0000-0000-00006A3F0000}"/>
    <cellStyle name="40% - Accent2 2 2 3 6" xfId="20792" xr:uid="{00000000-0005-0000-0000-00006B3F0000}"/>
    <cellStyle name="40% - Accent2 2 2 3 6 2" xfId="16485" xr:uid="{00000000-0005-0000-0000-00006C3F0000}"/>
    <cellStyle name="40% - Accent2 2 2 3 6 2 2" xfId="30437" xr:uid="{00000000-0005-0000-0000-00006D3F0000}"/>
    <cellStyle name="40% - Accent2 2 2 3 6 3" xfId="16154" xr:uid="{00000000-0005-0000-0000-00006E3F0000}"/>
    <cellStyle name="40% - Accent2 2 2 3 7" xfId="20784" xr:uid="{00000000-0005-0000-0000-00006F3F0000}"/>
    <cellStyle name="40% - Accent2 2 2 3 7 2" xfId="20782" xr:uid="{00000000-0005-0000-0000-0000703F0000}"/>
    <cellStyle name="40% - Accent2 2 2 3 8" xfId="20780" xr:uid="{00000000-0005-0000-0000-0000713F0000}"/>
    <cellStyle name="40% - Accent2 2 2 4" xfId="15319" xr:uid="{00000000-0005-0000-0000-0000723F0000}"/>
    <cellStyle name="40% - Accent2 2 2 4 2" xfId="15318" xr:uid="{00000000-0005-0000-0000-0000733F0000}"/>
    <cellStyle name="40% - Accent2 2 2 4 2 2" xfId="15316" xr:uid="{00000000-0005-0000-0000-0000743F0000}"/>
    <cellStyle name="40% - Accent2 2 2 4 2 2 2" xfId="15313" xr:uid="{00000000-0005-0000-0000-0000753F0000}"/>
    <cellStyle name="40% - Accent2 2 2 4 2 2 2 2" xfId="17692" xr:uid="{00000000-0005-0000-0000-0000763F0000}"/>
    <cellStyle name="40% - Accent2 2 2 4 2 2 2 2 2" xfId="15312" xr:uid="{00000000-0005-0000-0000-0000773F0000}"/>
    <cellStyle name="40% - Accent2 2 2 4 2 2 2 2 2 2" xfId="14049" xr:uid="{00000000-0005-0000-0000-0000783F0000}"/>
    <cellStyle name="40% - Accent2 2 2 4 2 2 2 2 3" xfId="31494" xr:uid="{00000000-0005-0000-0000-0000793F0000}"/>
    <cellStyle name="40% - Accent2 2 2 4 2 2 2 3" xfId="11887" xr:uid="{00000000-0005-0000-0000-00007A3F0000}"/>
    <cellStyle name="40% - Accent2 2 2 4 2 2 2 3 2" xfId="15310" xr:uid="{00000000-0005-0000-0000-00007B3F0000}"/>
    <cellStyle name="40% - Accent2 2 2 4 2 2 2 4" xfId="10553" xr:uid="{00000000-0005-0000-0000-00007C3F0000}"/>
    <cellStyle name="40% - Accent2 2 2 4 2 2 3" xfId="15309" xr:uid="{00000000-0005-0000-0000-00007D3F0000}"/>
    <cellStyle name="40% - Accent2 2 2 4 2 2 3 2" xfId="24084" xr:uid="{00000000-0005-0000-0000-00007E3F0000}"/>
    <cellStyle name="40% - Accent2 2 2 4 2 2 3 2 2" xfId="18835" xr:uid="{00000000-0005-0000-0000-00007F3F0000}"/>
    <cellStyle name="40% - Accent2 2 2 4 2 2 3 3" xfId="13576" xr:uid="{00000000-0005-0000-0000-0000803F0000}"/>
    <cellStyle name="40% - Accent2 2 2 4 2 2 4" xfId="25170" xr:uid="{00000000-0005-0000-0000-0000813F0000}"/>
    <cellStyle name="40% - Accent2 2 2 4 2 2 4 2" xfId="27464" xr:uid="{00000000-0005-0000-0000-0000823F0000}"/>
    <cellStyle name="40% - Accent2 2 2 4 2 2 5" xfId="24738" xr:uid="{00000000-0005-0000-0000-0000833F0000}"/>
    <cellStyle name="40% - Accent2 2 2 4 2 3" xfId="15308" xr:uid="{00000000-0005-0000-0000-0000843F0000}"/>
    <cellStyle name="40% - Accent2 2 2 4 2 3 2" xfId="15306" xr:uid="{00000000-0005-0000-0000-0000853F0000}"/>
    <cellStyle name="40% - Accent2 2 2 4 2 3 2 2" xfId="18949" xr:uid="{00000000-0005-0000-0000-0000863F0000}"/>
    <cellStyle name="40% - Accent2 2 2 4 2 3 2 2 2" xfId="15305" xr:uid="{00000000-0005-0000-0000-0000873F0000}"/>
    <cellStyle name="40% - Accent2 2 2 4 2 3 2 3" xfId="10393" xr:uid="{00000000-0005-0000-0000-0000883F0000}"/>
    <cellStyle name="40% - Accent2 2 2 4 2 3 3" xfId="15303" xr:uid="{00000000-0005-0000-0000-0000893F0000}"/>
    <cellStyle name="40% - Accent2 2 2 4 2 3 3 2" xfId="20744" xr:uid="{00000000-0005-0000-0000-00008A3F0000}"/>
    <cellStyle name="40% - Accent2 2 2 4 2 3 4" xfId="31782" xr:uid="{00000000-0005-0000-0000-00008B3F0000}"/>
    <cellStyle name="40% - Accent2 2 2 4 2 4" xfId="33639" xr:uid="{00000000-0005-0000-0000-00008C3F0000}"/>
    <cellStyle name="40% - Accent2 2 2 4 2 4 2" xfId="15302" xr:uid="{00000000-0005-0000-0000-00008D3F0000}"/>
    <cellStyle name="40% - Accent2 2 2 4 2 4 2 2" xfId="15300" xr:uid="{00000000-0005-0000-0000-00008E3F0000}"/>
    <cellStyle name="40% - Accent2 2 2 4 2 4 3" xfId="15297" xr:uid="{00000000-0005-0000-0000-00008F3F0000}"/>
    <cellStyle name="40% - Accent2 2 2 4 2 5" xfId="14030" xr:uid="{00000000-0005-0000-0000-0000903F0000}"/>
    <cellStyle name="40% - Accent2 2 2 4 2 5 2" xfId="9355" xr:uid="{00000000-0005-0000-0000-0000913F0000}"/>
    <cellStyle name="40% - Accent2 2 2 4 2 6" xfId="12259" xr:uid="{00000000-0005-0000-0000-0000923F0000}"/>
    <cellStyle name="40% - Accent2 2 2 4 3" xfId="19617" xr:uid="{00000000-0005-0000-0000-0000933F0000}"/>
    <cellStyle name="40% - Accent2 2 2 4 3 2" xfId="15296" xr:uid="{00000000-0005-0000-0000-0000943F0000}"/>
    <cellStyle name="40% - Accent2 2 2 4 3 2 2" xfId="10094" xr:uid="{00000000-0005-0000-0000-0000953F0000}"/>
    <cellStyle name="40% - Accent2 2 2 4 3 2 2 2" xfId="17658" xr:uid="{00000000-0005-0000-0000-0000963F0000}"/>
    <cellStyle name="40% - Accent2 2 2 4 3 2 2 2 2" xfId="15291" xr:uid="{00000000-0005-0000-0000-0000973F0000}"/>
    <cellStyle name="40% - Accent2 2 2 4 3 2 2 3" xfId="9676" xr:uid="{00000000-0005-0000-0000-0000983F0000}"/>
    <cellStyle name="40% - Accent2 2 2 4 3 2 3" xfId="10090" xr:uid="{00000000-0005-0000-0000-0000993F0000}"/>
    <cellStyle name="40% - Accent2 2 2 4 3 2 3 2" xfId="15290" xr:uid="{00000000-0005-0000-0000-00009A3F0000}"/>
    <cellStyle name="40% - Accent2 2 2 4 3 2 4" xfId="29907" xr:uid="{00000000-0005-0000-0000-00009B3F0000}"/>
    <cellStyle name="40% - Accent2 2 2 4 3 3" xfId="15289" xr:uid="{00000000-0005-0000-0000-00009C3F0000}"/>
    <cellStyle name="40% - Accent2 2 2 4 3 3 2" xfId="10084" xr:uid="{00000000-0005-0000-0000-00009D3F0000}"/>
    <cellStyle name="40% - Accent2 2 2 4 3 3 2 2" xfId="15287" xr:uid="{00000000-0005-0000-0000-00009E3F0000}"/>
    <cellStyle name="40% - Accent2 2 2 4 3 3 3" xfId="15285" xr:uid="{00000000-0005-0000-0000-00009F3F0000}"/>
    <cellStyle name="40% - Accent2 2 2 4 3 4" xfId="33837" xr:uid="{00000000-0005-0000-0000-0000A03F0000}"/>
    <cellStyle name="40% - Accent2 2 2 4 3 4 2" xfId="15283" xr:uid="{00000000-0005-0000-0000-0000A13F0000}"/>
    <cellStyle name="40% - Accent2 2 2 4 3 5" xfId="9347" xr:uid="{00000000-0005-0000-0000-0000A23F0000}"/>
    <cellStyle name="40% - Accent2 2 2 4 4" xfId="33519" xr:uid="{00000000-0005-0000-0000-0000A33F0000}"/>
    <cellStyle name="40% - Accent2 2 2 4 4 2" xfId="15282" xr:uid="{00000000-0005-0000-0000-0000A43F0000}"/>
    <cellStyle name="40% - Accent2 2 2 4 4 2 2" xfId="9984" xr:uid="{00000000-0005-0000-0000-0000A53F0000}"/>
    <cellStyle name="40% - Accent2 2 2 4 4 2 2 2" xfId="21738" xr:uid="{00000000-0005-0000-0000-0000A63F0000}"/>
    <cellStyle name="40% - Accent2 2 2 4 4 2 3" xfId="15281" xr:uid="{00000000-0005-0000-0000-0000A73F0000}"/>
    <cellStyle name="40% - Accent2 2 2 4 4 3" xfId="15279" xr:uid="{00000000-0005-0000-0000-0000A83F0000}"/>
    <cellStyle name="40% - Accent2 2 2 4 4 3 2" xfId="15277" xr:uid="{00000000-0005-0000-0000-0000A93F0000}"/>
    <cellStyle name="40% - Accent2 2 2 4 4 4" xfId="31070" xr:uid="{00000000-0005-0000-0000-0000AA3F0000}"/>
    <cellStyle name="40% - Accent2 2 2 4 5" xfId="15276" xr:uid="{00000000-0005-0000-0000-0000AB3F0000}"/>
    <cellStyle name="40% - Accent2 2 2 4 5 2" xfId="15275" xr:uid="{00000000-0005-0000-0000-0000AC3F0000}"/>
    <cellStyle name="40% - Accent2 2 2 4 5 2 2" xfId="17205" xr:uid="{00000000-0005-0000-0000-0000AD3F0000}"/>
    <cellStyle name="40% - Accent2 2 2 4 5 3" xfId="15274" xr:uid="{00000000-0005-0000-0000-0000AE3F0000}"/>
    <cellStyle name="40% - Accent2 2 2 4 6" xfId="33252" xr:uid="{00000000-0005-0000-0000-0000AF3F0000}"/>
    <cellStyle name="40% - Accent2 2 2 4 6 2" xfId="20777" xr:uid="{00000000-0005-0000-0000-0000B03F0000}"/>
    <cellStyle name="40% - Accent2 2 2 4 7" xfId="33122" xr:uid="{00000000-0005-0000-0000-0000B13F0000}"/>
    <cellStyle name="40% - Accent2 2 2 5" xfId="19272" xr:uid="{00000000-0005-0000-0000-0000B23F0000}"/>
    <cellStyle name="40% - Accent2 2 2 5 2" xfId="19271" xr:uid="{00000000-0005-0000-0000-0000B33F0000}"/>
    <cellStyle name="40% - Accent2 2 2 5 2 2" xfId="15273" xr:uid="{00000000-0005-0000-0000-0000B43F0000}"/>
    <cellStyle name="40% - Accent2 2 2 5 2 2 2" xfId="15272" xr:uid="{00000000-0005-0000-0000-0000B53F0000}"/>
    <cellStyle name="40% - Accent2 2 2 5 2 2 2 2" xfId="17642" xr:uid="{00000000-0005-0000-0000-0000B63F0000}"/>
    <cellStyle name="40% - Accent2 2 2 5 2 2 2 2 2" xfId="15270" xr:uid="{00000000-0005-0000-0000-0000B73F0000}"/>
    <cellStyle name="40% - Accent2 2 2 5 2 2 2 3" xfId="26762" xr:uid="{00000000-0005-0000-0000-0000B83F0000}"/>
    <cellStyle name="40% - Accent2 2 2 5 2 2 3" xfId="15269" xr:uid="{00000000-0005-0000-0000-0000B93F0000}"/>
    <cellStyle name="40% - Accent2 2 2 5 2 2 3 2" xfId="15268" xr:uid="{00000000-0005-0000-0000-0000BA3F0000}"/>
    <cellStyle name="40% - Accent2 2 2 5 2 2 4" xfId="31750" xr:uid="{00000000-0005-0000-0000-0000BB3F0000}"/>
    <cellStyle name="40% - Accent2 2 2 5 2 3" xfId="22988" xr:uid="{00000000-0005-0000-0000-0000BC3F0000}"/>
    <cellStyle name="40% - Accent2 2 2 5 2 3 2" xfId="15267" xr:uid="{00000000-0005-0000-0000-0000BD3F0000}"/>
    <cellStyle name="40% - Accent2 2 2 5 2 3 2 2" xfId="15266" xr:uid="{00000000-0005-0000-0000-0000BE3F0000}"/>
    <cellStyle name="40% - Accent2 2 2 5 2 3 3" xfId="15265" xr:uid="{00000000-0005-0000-0000-0000BF3F0000}"/>
    <cellStyle name="40% - Accent2 2 2 5 2 4" xfId="33793" xr:uid="{00000000-0005-0000-0000-0000C03F0000}"/>
    <cellStyle name="40% - Accent2 2 2 5 2 4 2" xfId="15264" xr:uid="{00000000-0005-0000-0000-0000C13F0000}"/>
    <cellStyle name="40% - Accent2 2 2 5 2 5" xfId="9203" xr:uid="{00000000-0005-0000-0000-0000C23F0000}"/>
    <cellStyle name="40% - Accent2 2 2 5 3" xfId="19613" xr:uid="{00000000-0005-0000-0000-0000C33F0000}"/>
    <cellStyle name="40% - Accent2 2 2 5 3 2" xfId="15262" xr:uid="{00000000-0005-0000-0000-0000C43F0000}"/>
    <cellStyle name="40% - Accent2 2 2 5 3 2 2" xfId="9791" xr:uid="{00000000-0005-0000-0000-0000C53F0000}"/>
    <cellStyle name="40% - Accent2 2 2 5 3 2 2 2" xfId="20918" xr:uid="{00000000-0005-0000-0000-0000C63F0000}"/>
    <cellStyle name="40% - Accent2 2 2 5 3 2 3" xfId="15261" xr:uid="{00000000-0005-0000-0000-0000C73F0000}"/>
    <cellStyle name="40% - Accent2 2 2 5 3 3" xfId="15260" xr:uid="{00000000-0005-0000-0000-0000C83F0000}"/>
    <cellStyle name="40% - Accent2 2 2 5 3 3 2" xfId="15258" xr:uid="{00000000-0005-0000-0000-0000C93F0000}"/>
    <cellStyle name="40% - Accent2 2 2 5 3 4" xfId="31043" xr:uid="{00000000-0005-0000-0000-0000CA3F0000}"/>
    <cellStyle name="40% - Accent2 2 2 5 4" xfId="15257" xr:uid="{00000000-0005-0000-0000-0000CB3F0000}"/>
    <cellStyle name="40% - Accent2 2 2 5 4 2" xfId="15256" xr:uid="{00000000-0005-0000-0000-0000CC3F0000}"/>
    <cellStyle name="40% - Accent2 2 2 5 4 2 2" xfId="15255" xr:uid="{00000000-0005-0000-0000-0000CD3F0000}"/>
    <cellStyle name="40% - Accent2 2 2 5 4 3" xfId="15254" xr:uid="{00000000-0005-0000-0000-0000CE3F0000}"/>
    <cellStyle name="40% - Accent2 2 2 5 5" xfId="15253" xr:uid="{00000000-0005-0000-0000-0000CF3F0000}"/>
    <cellStyle name="40% - Accent2 2 2 5 5 2" xfId="29111" xr:uid="{00000000-0005-0000-0000-0000D03F0000}"/>
    <cellStyle name="40% - Accent2 2 2 5 6" xfId="33236" xr:uid="{00000000-0005-0000-0000-0000D13F0000}"/>
    <cellStyle name="40% - Accent2 2 2 6" xfId="19267" xr:uid="{00000000-0005-0000-0000-0000D23F0000}"/>
    <cellStyle name="40% - Accent2 2 2 6 2" xfId="15252" xr:uid="{00000000-0005-0000-0000-0000D33F0000}"/>
    <cellStyle name="40% - Accent2 2 2 6 2 2" xfId="15251" xr:uid="{00000000-0005-0000-0000-0000D43F0000}"/>
    <cellStyle name="40% - Accent2 2 2 6 2 2 2" xfId="15250" xr:uid="{00000000-0005-0000-0000-0000D53F0000}"/>
    <cellStyle name="40% - Accent2 2 2 6 2 2 2 2" xfId="15249" xr:uid="{00000000-0005-0000-0000-0000D63F0000}"/>
    <cellStyle name="40% - Accent2 2 2 6 2 2 3" xfId="15246" xr:uid="{00000000-0005-0000-0000-0000D73F0000}"/>
    <cellStyle name="40% - Accent2 2 2 6 2 3" xfId="15245" xr:uid="{00000000-0005-0000-0000-0000D83F0000}"/>
    <cellStyle name="40% - Accent2 2 2 6 2 3 2" xfId="15242" xr:uid="{00000000-0005-0000-0000-0000D93F0000}"/>
    <cellStyle name="40% - Accent2 2 2 6 2 4" xfId="24149" xr:uid="{00000000-0005-0000-0000-0000DA3F0000}"/>
    <cellStyle name="40% - Accent2 2 2 6 3" xfId="15240" xr:uid="{00000000-0005-0000-0000-0000DB3F0000}"/>
    <cellStyle name="40% - Accent2 2 2 6 3 2" xfId="15239" xr:uid="{00000000-0005-0000-0000-0000DC3F0000}"/>
    <cellStyle name="40% - Accent2 2 2 6 3 2 2" xfId="31069" xr:uid="{00000000-0005-0000-0000-0000DD3F0000}"/>
    <cellStyle name="40% - Accent2 2 2 6 3 3" xfId="15238" xr:uid="{00000000-0005-0000-0000-0000DE3F0000}"/>
    <cellStyle name="40% - Accent2 2 2 6 4" xfId="15236" xr:uid="{00000000-0005-0000-0000-0000DF3F0000}"/>
    <cellStyle name="40% - Accent2 2 2 6 4 2" xfId="15235" xr:uid="{00000000-0005-0000-0000-0000E03F0000}"/>
    <cellStyle name="40% - Accent2 2 2 6 5" xfId="15233" xr:uid="{00000000-0005-0000-0000-0000E13F0000}"/>
    <cellStyle name="40% - Accent2 2 2 7" xfId="18584" xr:uid="{00000000-0005-0000-0000-0000E23F0000}"/>
    <cellStyle name="40% - Accent2 2 2 7 2" xfId="23418" xr:uid="{00000000-0005-0000-0000-0000E33F0000}"/>
    <cellStyle name="40% - Accent2 2 2 7 2 2" xfId="18581" xr:uid="{00000000-0005-0000-0000-0000E43F0000}"/>
    <cellStyle name="40% - Accent2 2 2 7 2 2 2" xfId="15232" xr:uid="{00000000-0005-0000-0000-0000E53F0000}"/>
    <cellStyle name="40% - Accent2 2 2 7 2 3" xfId="20543" xr:uid="{00000000-0005-0000-0000-0000E63F0000}"/>
    <cellStyle name="40% - Accent2 2 2 7 3" xfId="23412" xr:uid="{00000000-0005-0000-0000-0000E73F0000}"/>
    <cellStyle name="40% - Accent2 2 2 7 3 2" xfId="18570" xr:uid="{00000000-0005-0000-0000-0000E83F0000}"/>
    <cellStyle name="40% - Accent2 2 2 7 4" xfId="18567" xr:uid="{00000000-0005-0000-0000-0000E93F0000}"/>
    <cellStyle name="40% - Accent2 2 2 8" xfId="33628" xr:uid="{00000000-0005-0000-0000-0000EA3F0000}"/>
    <cellStyle name="40% - Accent2 2 2 8 2" xfId="23404" xr:uid="{00000000-0005-0000-0000-0000EB3F0000}"/>
    <cellStyle name="40% - Accent2 2 2 8 2 2" xfId="18561" xr:uid="{00000000-0005-0000-0000-0000EC3F0000}"/>
    <cellStyle name="40% - Accent2 2 2 8 3" xfId="18558" xr:uid="{00000000-0005-0000-0000-0000ED3F0000}"/>
    <cellStyle name="40% - Accent2 2 2 9" xfId="18552" xr:uid="{00000000-0005-0000-0000-0000EE3F0000}"/>
    <cellStyle name="40% - Accent2 2 2 9 2" xfId="18551" xr:uid="{00000000-0005-0000-0000-0000EF3F0000}"/>
    <cellStyle name="40% - Accent2 2 3" xfId="204" xr:uid="{00000000-0005-0000-0000-0000F03F0000}"/>
    <cellStyle name="40% - Accent2 2 3 10" xfId="34538" xr:uid="{00000000-0005-0000-0000-0000F13F0000}"/>
    <cellStyle name="40% - Accent2 2 3 11" xfId="15230" xr:uid="{00000000-0005-0000-0000-0000F23F0000}"/>
    <cellStyle name="40% - Accent2 2 3 2" xfId="15229" xr:uid="{00000000-0005-0000-0000-0000F33F0000}"/>
    <cellStyle name="40% - Accent2 2 3 2 2" xfId="15227" xr:uid="{00000000-0005-0000-0000-0000F43F0000}"/>
    <cellStyle name="40% - Accent2 2 3 2 2 2" xfId="15226" xr:uid="{00000000-0005-0000-0000-0000F53F0000}"/>
    <cellStyle name="40% - Accent2 2 3 2 2 2 2" xfId="15224" xr:uid="{00000000-0005-0000-0000-0000F63F0000}"/>
    <cellStyle name="40% - Accent2 2 3 2 2 2 2 2" xfId="28204" xr:uid="{00000000-0005-0000-0000-0000F73F0000}"/>
    <cellStyle name="40% - Accent2 2 3 2 2 2 2 2 2" xfId="10133" xr:uid="{00000000-0005-0000-0000-0000F83F0000}"/>
    <cellStyle name="40% - Accent2 2 3 2 2 2 2 2 2 2" xfId="15222" xr:uid="{00000000-0005-0000-0000-0000F93F0000}"/>
    <cellStyle name="40% - Accent2 2 3 2 2 2 2 2 2 2 2" xfId="15221" xr:uid="{00000000-0005-0000-0000-0000FA3F0000}"/>
    <cellStyle name="40% - Accent2 2 3 2 2 2 2 2 2 3" xfId="15219" xr:uid="{00000000-0005-0000-0000-0000FB3F0000}"/>
    <cellStyle name="40% - Accent2 2 3 2 2 2 2 2 3" xfId="15216" xr:uid="{00000000-0005-0000-0000-0000FC3F0000}"/>
    <cellStyle name="40% - Accent2 2 3 2 2 2 2 2 3 2" xfId="15215" xr:uid="{00000000-0005-0000-0000-0000FD3F0000}"/>
    <cellStyle name="40% - Accent2 2 3 2 2 2 2 2 4" xfId="15214" xr:uid="{00000000-0005-0000-0000-0000FE3F0000}"/>
    <cellStyle name="40% - Accent2 2 3 2 2 2 2 3" xfId="15213" xr:uid="{00000000-0005-0000-0000-0000FF3F0000}"/>
    <cellStyle name="40% - Accent2 2 3 2 2 2 2 3 2" xfId="15212" xr:uid="{00000000-0005-0000-0000-000000400000}"/>
    <cellStyle name="40% - Accent2 2 3 2 2 2 2 3 2 2" xfId="15211" xr:uid="{00000000-0005-0000-0000-000001400000}"/>
    <cellStyle name="40% - Accent2 2 3 2 2 2 2 3 3" xfId="15210" xr:uid="{00000000-0005-0000-0000-000002400000}"/>
    <cellStyle name="40% - Accent2 2 3 2 2 2 2 4" xfId="17248" xr:uid="{00000000-0005-0000-0000-000003400000}"/>
    <cellStyle name="40% - Accent2 2 3 2 2 2 2 4 2" xfId="15209" xr:uid="{00000000-0005-0000-0000-000004400000}"/>
    <cellStyle name="40% - Accent2 2 3 2 2 2 2 5" xfId="15207" xr:uid="{00000000-0005-0000-0000-000005400000}"/>
    <cellStyle name="40% - Accent2 2 3 2 2 2 3" xfId="15203" xr:uid="{00000000-0005-0000-0000-000006400000}"/>
    <cellStyle name="40% - Accent2 2 3 2 2 2 3 2" xfId="15202" xr:uid="{00000000-0005-0000-0000-000007400000}"/>
    <cellStyle name="40% - Accent2 2 3 2 2 2 3 2 2" xfId="15196" xr:uid="{00000000-0005-0000-0000-000008400000}"/>
    <cellStyle name="40% - Accent2 2 3 2 2 2 3 2 2 2" xfId="15195" xr:uid="{00000000-0005-0000-0000-000009400000}"/>
    <cellStyle name="40% - Accent2 2 3 2 2 2 3 2 3" xfId="15193" xr:uid="{00000000-0005-0000-0000-00000A400000}"/>
    <cellStyle name="40% - Accent2 2 3 2 2 2 3 3" xfId="15192" xr:uid="{00000000-0005-0000-0000-00000B400000}"/>
    <cellStyle name="40% - Accent2 2 3 2 2 2 3 3 2" xfId="15187" xr:uid="{00000000-0005-0000-0000-00000C400000}"/>
    <cellStyle name="40% - Accent2 2 3 2 2 2 3 4" xfId="15186" xr:uid="{00000000-0005-0000-0000-00000D400000}"/>
    <cellStyle name="40% - Accent2 2 3 2 2 2 4" xfId="30338" xr:uid="{00000000-0005-0000-0000-00000E400000}"/>
    <cellStyle name="40% - Accent2 2 3 2 2 2 4 2" xfId="15181" xr:uid="{00000000-0005-0000-0000-00000F400000}"/>
    <cellStyle name="40% - Accent2 2 3 2 2 2 4 2 2" xfId="15179" xr:uid="{00000000-0005-0000-0000-000010400000}"/>
    <cellStyle name="40% - Accent2 2 3 2 2 2 4 3" xfId="15178" xr:uid="{00000000-0005-0000-0000-000011400000}"/>
    <cellStyle name="40% - Accent2 2 3 2 2 2 5" xfId="16254" xr:uid="{00000000-0005-0000-0000-000012400000}"/>
    <cellStyle name="40% - Accent2 2 3 2 2 2 5 2" xfId="15175" xr:uid="{00000000-0005-0000-0000-000013400000}"/>
    <cellStyle name="40% - Accent2 2 3 2 2 2 6" xfId="15172" xr:uid="{00000000-0005-0000-0000-000014400000}"/>
    <cellStyle name="40% - Accent2 2 3 2 2 3" xfId="15171" xr:uid="{00000000-0005-0000-0000-000015400000}"/>
    <cellStyle name="40% - Accent2 2 3 2 2 3 2" xfId="20175" xr:uid="{00000000-0005-0000-0000-000016400000}"/>
    <cellStyle name="40% - Accent2 2 3 2 2 3 2 2" xfId="15168" xr:uid="{00000000-0005-0000-0000-000017400000}"/>
    <cellStyle name="40% - Accent2 2 3 2 2 3 2 2 2" xfId="15165" xr:uid="{00000000-0005-0000-0000-000018400000}"/>
    <cellStyle name="40% - Accent2 2 3 2 2 3 2 2 2 2" xfId="16309" xr:uid="{00000000-0005-0000-0000-000019400000}"/>
    <cellStyle name="40% - Accent2 2 3 2 2 3 2 2 3" xfId="15164" xr:uid="{00000000-0005-0000-0000-00001A400000}"/>
    <cellStyle name="40% - Accent2 2 3 2 2 3 2 3" xfId="15163" xr:uid="{00000000-0005-0000-0000-00001B400000}"/>
    <cellStyle name="40% - Accent2 2 3 2 2 3 2 3 2" xfId="15161" xr:uid="{00000000-0005-0000-0000-00001C400000}"/>
    <cellStyle name="40% - Accent2 2 3 2 2 3 2 4" xfId="15160" xr:uid="{00000000-0005-0000-0000-00001D400000}"/>
    <cellStyle name="40% - Accent2 2 3 2 2 3 3" xfId="20170" xr:uid="{00000000-0005-0000-0000-00001E400000}"/>
    <cellStyle name="40% - Accent2 2 3 2 2 3 3 2" xfId="15154" xr:uid="{00000000-0005-0000-0000-00001F400000}"/>
    <cellStyle name="40% - Accent2 2 3 2 2 3 3 2 2" xfId="25047" xr:uid="{00000000-0005-0000-0000-000020400000}"/>
    <cellStyle name="40% - Accent2 2 3 2 2 3 3 3" xfId="15271" xr:uid="{00000000-0005-0000-0000-000021400000}"/>
    <cellStyle name="40% - Accent2 2 3 2 2 3 4" xfId="16248" xr:uid="{00000000-0005-0000-0000-000022400000}"/>
    <cellStyle name="40% - Accent2 2 3 2 2 3 4 2" xfId="15151" xr:uid="{00000000-0005-0000-0000-000023400000}"/>
    <cellStyle name="40% - Accent2 2 3 2 2 3 5" xfId="15149" xr:uid="{00000000-0005-0000-0000-000024400000}"/>
    <cellStyle name="40% - Accent2 2 3 2 2 4" xfId="15148" xr:uid="{00000000-0005-0000-0000-000025400000}"/>
    <cellStyle name="40% - Accent2 2 3 2 2 4 2" xfId="31669" xr:uid="{00000000-0005-0000-0000-000026400000}"/>
    <cellStyle name="40% - Accent2 2 3 2 2 4 2 2" xfId="21228" xr:uid="{00000000-0005-0000-0000-000027400000}"/>
    <cellStyle name="40% - Accent2 2 3 2 2 4 2 2 2" xfId="15143" xr:uid="{00000000-0005-0000-0000-000028400000}"/>
    <cellStyle name="40% - Accent2 2 3 2 2 4 2 3" xfId="21222" xr:uid="{00000000-0005-0000-0000-000029400000}"/>
    <cellStyle name="40% - Accent2 2 3 2 2 4 3" xfId="15140" xr:uid="{00000000-0005-0000-0000-00002A400000}"/>
    <cellStyle name="40% - Accent2 2 3 2 2 4 3 2" xfId="21520" xr:uid="{00000000-0005-0000-0000-00002B400000}"/>
    <cellStyle name="40% - Accent2 2 3 2 2 4 4" xfId="15139" xr:uid="{00000000-0005-0000-0000-00002C400000}"/>
    <cellStyle name="40% - Accent2 2 3 2 2 5" xfId="8002" xr:uid="{00000000-0005-0000-0000-00002D400000}"/>
    <cellStyle name="40% - Accent2 2 3 2 2 5 2" xfId="7996" xr:uid="{00000000-0005-0000-0000-00002E400000}"/>
    <cellStyle name="40% - Accent2 2 3 2 2 5 2 2" xfId="21200" xr:uid="{00000000-0005-0000-0000-00002F400000}"/>
    <cellStyle name="40% - Accent2 2 3 2 2 5 3" xfId="7981" xr:uid="{00000000-0005-0000-0000-000030400000}"/>
    <cellStyle name="40% - Accent2 2 3 2 2 6" xfId="15134" xr:uid="{00000000-0005-0000-0000-000031400000}"/>
    <cellStyle name="40% - Accent2 2 3 2 2 6 2" xfId="11806" xr:uid="{00000000-0005-0000-0000-000032400000}"/>
    <cellStyle name="40% - Accent2 2 3 2 2 7" xfId="11800" xr:uid="{00000000-0005-0000-0000-000033400000}"/>
    <cellStyle name="40% - Accent2 2 3 2 3" xfId="15131" xr:uid="{00000000-0005-0000-0000-000034400000}"/>
    <cellStyle name="40% - Accent2 2 3 2 3 2" xfId="15130" xr:uid="{00000000-0005-0000-0000-000035400000}"/>
    <cellStyle name="40% - Accent2 2 3 2 3 2 2" xfId="15128" xr:uid="{00000000-0005-0000-0000-000036400000}"/>
    <cellStyle name="40% - Accent2 2 3 2 3 2 2 2" xfId="15127" xr:uid="{00000000-0005-0000-0000-000037400000}"/>
    <cellStyle name="40% - Accent2 2 3 2 3 2 2 2 2" xfId="15124" xr:uid="{00000000-0005-0000-0000-000038400000}"/>
    <cellStyle name="40% - Accent2 2 3 2 3 2 2 2 2 2" xfId="15120" xr:uid="{00000000-0005-0000-0000-000039400000}"/>
    <cellStyle name="40% - Accent2 2 3 2 3 2 2 2 3" xfId="15119" xr:uid="{00000000-0005-0000-0000-00003A400000}"/>
    <cellStyle name="40% - Accent2 2 3 2 3 2 2 3" xfId="15118" xr:uid="{00000000-0005-0000-0000-00003B400000}"/>
    <cellStyle name="40% - Accent2 2 3 2 3 2 2 3 2" xfId="15117" xr:uid="{00000000-0005-0000-0000-00003C400000}"/>
    <cellStyle name="40% - Accent2 2 3 2 3 2 2 4" xfId="15116" xr:uid="{00000000-0005-0000-0000-00003D400000}"/>
    <cellStyle name="40% - Accent2 2 3 2 3 2 3" xfId="28982" xr:uid="{00000000-0005-0000-0000-00003E400000}"/>
    <cellStyle name="40% - Accent2 2 3 2 3 2 3 2" xfId="15113" xr:uid="{00000000-0005-0000-0000-00003F400000}"/>
    <cellStyle name="40% - Accent2 2 3 2 3 2 3 2 2" xfId="15112" xr:uid="{00000000-0005-0000-0000-000040400000}"/>
    <cellStyle name="40% - Accent2 2 3 2 3 2 3 3" xfId="15111" xr:uid="{00000000-0005-0000-0000-000041400000}"/>
    <cellStyle name="40% - Accent2 2 3 2 3 2 4" xfId="16240" xr:uid="{00000000-0005-0000-0000-000042400000}"/>
    <cellStyle name="40% - Accent2 2 3 2 3 2 4 2" xfId="15110" xr:uid="{00000000-0005-0000-0000-000043400000}"/>
    <cellStyle name="40% - Accent2 2 3 2 3 2 5" xfId="15109" xr:uid="{00000000-0005-0000-0000-000044400000}"/>
    <cellStyle name="40% - Accent2 2 3 2 3 3" xfId="15108" xr:uid="{00000000-0005-0000-0000-000045400000}"/>
    <cellStyle name="40% - Accent2 2 3 2 3 3 2" xfId="22188" xr:uid="{00000000-0005-0000-0000-000046400000}"/>
    <cellStyle name="40% - Accent2 2 3 2 3 3 2 2" xfId="15107" xr:uid="{00000000-0005-0000-0000-000047400000}"/>
    <cellStyle name="40% - Accent2 2 3 2 3 3 2 2 2" xfId="15104" xr:uid="{00000000-0005-0000-0000-000048400000}"/>
    <cellStyle name="40% - Accent2 2 3 2 3 3 2 3" xfId="33597" xr:uid="{00000000-0005-0000-0000-000049400000}"/>
    <cellStyle name="40% - Accent2 2 3 2 3 3 3" xfId="15103" xr:uid="{00000000-0005-0000-0000-00004A400000}"/>
    <cellStyle name="40% - Accent2 2 3 2 3 3 3 2" xfId="15102" xr:uid="{00000000-0005-0000-0000-00004B400000}"/>
    <cellStyle name="40% - Accent2 2 3 2 3 3 4" xfId="15098" xr:uid="{00000000-0005-0000-0000-00004C400000}"/>
    <cellStyle name="40% - Accent2 2 3 2 3 4" xfId="15097" xr:uid="{00000000-0005-0000-0000-00004D400000}"/>
    <cellStyle name="40% - Accent2 2 3 2 3 4 2" xfId="15093" xr:uid="{00000000-0005-0000-0000-00004E400000}"/>
    <cellStyle name="40% - Accent2 2 3 2 3 4 2 2" xfId="23326" xr:uid="{00000000-0005-0000-0000-00004F400000}"/>
    <cellStyle name="40% - Accent2 2 3 2 3 4 3" xfId="15092" xr:uid="{00000000-0005-0000-0000-000050400000}"/>
    <cellStyle name="40% - Accent2 2 3 2 3 5" xfId="15091" xr:uid="{00000000-0005-0000-0000-000051400000}"/>
    <cellStyle name="40% - Accent2 2 3 2 3 5 2" xfId="7943" xr:uid="{00000000-0005-0000-0000-000052400000}"/>
    <cellStyle name="40% - Accent2 2 3 2 3 6" xfId="11794" xr:uid="{00000000-0005-0000-0000-000053400000}"/>
    <cellStyle name="40% - Accent2 2 3 2 4" xfId="15089" xr:uid="{00000000-0005-0000-0000-000054400000}"/>
    <cellStyle name="40% - Accent2 2 3 2 4 2" xfId="31837" xr:uid="{00000000-0005-0000-0000-000055400000}"/>
    <cellStyle name="40% - Accent2 2 3 2 4 2 2" xfId="15087" xr:uid="{00000000-0005-0000-0000-000056400000}"/>
    <cellStyle name="40% - Accent2 2 3 2 4 2 2 2" xfId="15086" xr:uid="{00000000-0005-0000-0000-000057400000}"/>
    <cellStyle name="40% - Accent2 2 3 2 4 2 2 2 2" xfId="15402" xr:uid="{00000000-0005-0000-0000-000058400000}"/>
    <cellStyle name="40% - Accent2 2 3 2 4 2 2 3" xfId="15085" xr:uid="{00000000-0005-0000-0000-000059400000}"/>
    <cellStyle name="40% - Accent2 2 3 2 4 2 3" xfId="15084" xr:uid="{00000000-0005-0000-0000-00005A400000}"/>
    <cellStyle name="40% - Accent2 2 3 2 4 2 3 2" xfId="15083" xr:uid="{00000000-0005-0000-0000-00005B400000}"/>
    <cellStyle name="40% - Accent2 2 3 2 4 2 4" xfId="15080" xr:uid="{00000000-0005-0000-0000-00005C400000}"/>
    <cellStyle name="40% - Accent2 2 3 2 4 3" xfId="33443" xr:uid="{00000000-0005-0000-0000-00005D400000}"/>
    <cellStyle name="40% - Accent2 2 3 2 4 3 2" xfId="15079" xr:uid="{00000000-0005-0000-0000-00005E400000}"/>
    <cellStyle name="40% - Accent2 2 3 2 4 3 2 2" xfId="15078" xr:uid="{00000000-0005-0000-0000-00005F400000}"/>
    <cellStyle name="40% - Accent2 2 3 2 4 3 3" xfId="15077" xr:uid="{00000000-0005-0000-0000-000060400000}"/>
    <cellStyle name="40% - Accent2 2 3 2 4 4" xfId="32112" xr:uid="{00000000-0005-0000-0000-000061400000}"/>
    <cellStyle name="40% - Accent2 2 3 2 4 4 2" xfId="15076" xr:uid="{00000000-0005-0000-0000-000062400000}"/>
    <cellStyle name="40% - Accent2 2 3 2 4 5" xfId="7918" xr:uid="{00000000-0005-0000-0000-000063400000}"/>
    <cellStyle name="40% - Accent2 2 3 2 5" xfId="34201" xr:uid="{00000000-0005-0000-0000-000064400000}"/>
    <cellStyle name="40% - Accent2 2 3 2 5 2" xfId="33427" xr:uid="{00000000-0005-0000-0000-000065400000}"/>
    <cellStyle name="40% - Accent2 2 3 2 5 2 2" xfId="15075" xr:uid="{00000000-0005-0000-0000-000066400000}"/>
    <cellStyle name="40% - Accent2 2 3 2 5 2 2 2" xfId="15074" xr:uid="{00000000-0005-0000-0000-000067400000}"/>
    <cellStyle name="40% - Accent2 2 3 2 5 2 3" xfId="15073" xr:uid="{00000000-0005-0000-0000-000068400000}"/>
    <cellStyle name="40% - Accent2 2 3 2 5 3" xfId="33412" xr:uid="{00000000-0005-0000-0000-000069400000}"/>
    <cellStyle name="40% - Accent2 2 3 2 5 3 2" xfId="15072" xr:uid="{00000000-0005-0000-0000-00006A400000}"/>
    <cellStyle name="40% - Accent2 2 3 2 5 4" xfId="15071" xr:uid="{00000000-0005-0000-0000-00006B400000}"/>
    <cellStyle name="40% - Accent2 2 3 2 6" xfId="20681" xr:uid="{00000000-0005-0000-0000-00006C400000}"/>
    <cellStyle name="40% - Accent2 2 3 2 6 2" xfId="26610" xr:uid="{00000000-0005-0000-0000-00006D400000}"/>
    <cellStyle name="40% - Accent2 2 3 2 6 2 2" xfId="26603" xr:uid="{00000000-0005-0000-0000-00006E400000}"/>
    <cellStyle name="40% - Accent2 2 3 2 6 3" xfId="26599" xr:uid="{00000000-0005-0000-0000-00006F400000}"/>
    <cellStyle name="40% - Accent2 2 3 2 7" xfId="20674" xr:uid="{00000000-0005-0000-0000-000070400000}"/>
    <cellStyle name="40% - Accent2 2 3 2 7 2" xfId="26592" xr:uid="{00000000-0005-0000-0000-000071400000}"/>
    <cellStyle name="40% - Accent2 2 3 2 8" xfId="20669" xr:uid="{00000000-0005-0000-0000-000072400000}"/>
    <cellStyle name="40% - Accent2 2 3 3" xfId="15069" xr:uid="{00000000-0005-0000-0000-000073400000}"/>
    <cellStyle name="40% - Accent2 2 3 3 2" xfId="25593" xr:uid="{00000000-0005-0000-0000-000074400000}"/>
    <cellStyle name="40% - Accent2 2 3 3 2 2" xfId="15067" xr:uid="{00000000-0005-0000-0000-000075400000}"/>
    <cellStyle name="40% - Accent2 2 3 3 2 2 2" xfId="15064" xr:uid="{00000000-0005-0000-0000-000076400000}"/>
    <cellStyle name="40% - Accent2 2 3 3 2 2 2 2" xfId="17614" xr:uid="{00000000-0005-0000-0000-000077400000}"/>
    <cellStyle name="40% - Accent2 2 3 3 2 2 2 2 2" xfId="15063" xr:uid="{00000000-0005-0000-0000-000078400000}"/>
    <cellStyle name="40% - Accent2 2 3 3 2 2 2 2 2 2" xfId="7755" xr:uid="{00000000-0005-0000-0000-000079400000}"/>
    <cellStyle name="40% - Accent2 2 3 3 2 2 2 2 3" xfId="15060" xr:uid="{00000000-0005-0000-0000-00007A400000}"/>
    <cellStyle name="40% - Accent2 2 3 3 2 2 2 3" xfId="29762" xr:uid="{00000000-0005-0000-0000-00007B400000}"/>
    <cellStyle name="40% - Accent2 2 3 3 2 2 2 3 2" xfId="15058" xr:uid="{00000000-0005-0000-0000-00007C400000}"/>
    <cellStyle name="40% - Accent2 2 3 3 2 2 2 4" xfId="15057" xr:uid="{00000000-0005-0000-0000-00007D400000}"/>
    <cellStyle name="40% - Accent2 2 3 3 2 2 3" xfId="15053" xr:uid="{00000000-0005-0000-0000-00007E400000}"/>
    <cellStyle name="40% - Accent2 2 3 3 2 2 3 2" xfId="23282" xr:uid="{00000000-0005-0000-0000-00007F400000}"/>
    <cellStyle name="40% - Accent2 2 3 3 2 2 3 2 2" xfId="24350" xr:uid="{00000000-0005-0000-0000-000080400000}"/>
    <cellStyle name="40% - Accent2 2 3 3 2 2 3 3" xfId="15052" xr:uid="{00000000-0005-0000-0000-000081400000}"/>
    <cellStyle name="40% - Accent2 2 3 3 2 2 4" xfId="16216" xr:uid="{00000000-0005-0000-0000-000082400000}"/>
    <cellStyle name="40% - Accent2 2 3 3 2 2 4 2" xfId="15051" xr:uid="{00000000-0005-0000-0000-000083400000}"/>
    <cellStyle name="40% - Accent2 2 3 3 2 2 5" xfId="15050" xr:uid="{00000000-0005-0000-0000-000084400000}"/>
    <cellStyle name="40% - Accent2 2 3 3 2 3" xfId="15048" xr:uid="{00000000-0005-0000-0000-000085400000}"/>
    <cellStyle name="40% - Accent2 2 3 3 2 3 2" xfId="20135" xr:uid="{00000000-0005-0000-0000-000086400000}"/>
    <cellStyle name="40% - Accent2 2 3 3 2 3 2 2" xfId="17610" xr:uid="{00000000-0005-0000-0000-000087400000}"/>
    <cellStyle name="40% - Accent2 2 3 3 2 3 2 2 2" xfId="15047" xr:uid="{00000000-0005-0000-0000-000088400000}"/>
    <cellStyle name="40% - Accent2 2 3 3 2 3 2 3" xfId="15046" xr:uid="{00000000-0005-0000-0000-000089400000}"/>
    <cellStyle name="40% - Accent2 2 3 3 2 3 3" xfId="15045" xr:uid="{00000000-0005-0000-0000-00008A400000}"/>
    <cellStyle name="40% - Accent2 2 3 3 2 3 3 2" xfId="15044" xr:uid="{00000000-0005-0000-0000-00008B400000}"/>
    <cellStyle name="40% - Accent2 2 3 3 2 3 4" xfId="33535" xr:uid="{00000000-0005-0000-0000-00008C400000}"/>
    <cellStyle name="40% - Accent2 2 3 3 2 4" xfId="15043" xr:uid="{00000000-0005-0000-0000-00008D400000}"/>
    <cellStyle name="40% - Accent2 2 3 3 2 4 2" xfId="15040" xr:uid="{00000000-0005-0000-0000-00008E400000}"/>
    <cellStyle name="40% - Accent2 2 3 3 2 4 2 2" xfId="20626" xr:uid="{00000000-0005-0000-0000-00008F400000}"/>
    <cellStyle name="40% - Accent2 2 3 3 2 4 3" xfId="15037" xr:uid="{00000000-0005-0000-0000-000090400000}"/>
    <cellStyle name="40% - Accent2 2 3 3 2 5" xfId="7615" xr:uid="{00000000-0005-0000-0000-000091400000}"/>
    <cellStyle name="40% - Accent2 2 3 3 2 5 2" xfId="24429" xr:uid="{00000000-0005-0000-0000-000092400000}"/>
    <cellStyle name="40% - Accent2 2 3 3 2 6" xfId="12228" xr:uid="{00000000-0005-0000-0000-000093400000}"/>
    <cellStyle name="40% - Accent2 2 3 3 3" xfId="26395" xr:uid="{00000000-0005-0000-0000-000094400000}"/>
    <cellStyle name="40% - Accent2 2 3 3 3 2" xfId="15035" xr:uid="{00000000-0005-0000-0000-000095400000}"/>
    <cellStyle name="40% - Accent2 2 3 3 3 2 2" xfId="20942" xr:uid="{00000000-0005-0000-0000-000096400000}"/>
    <cellStyle name="40% - Accent2 2 3 3 3 2 2 2" xfId="17598" xr:uid="{00000000-0005-0000-0000-000097400000}"/>
    <cellStyle name="40% - Accent2 2 3 3 3 2 2 2 2" xfId="15034" xr:uid="{00000000-0005-0000-0000-000098400000}"/>
    <cellStyle name="40% - Accent2 2 3 3 3 2 2 3" xfId="15032" xr:uid="{00000000-0005-0000-0000-000099400000}"/>
    <cellStyle name="40% - Accent2 2 3 3 3 2 3" xfId="15031" xr:uid="{00000000-0005-0000-0000-00009A400000}"/>
    <cellStyle name="40% - Accent2 2 3 3 3 2 3 2" xfId="15029" xr:uid="{00000000-0005-0000-0000-00009B400000}"/>
    <cellStyle name="40% - Accent2 2 3 3 3 2 4" xfId="15028" xr:uid="{00000000-0005-0000-0000-00009C400000}"/>
    <cellStyle name="40% - Accent2 2 3 3 3 3" xfId="15027" xr:uid="{00000000-0005-0000-0000-00009D400000}"/>
    <cellStyle name="40% - Accent2 2 3 3 3 3 2" xfId="15026" xr:uid="{00000000-0005-0000-0000-00009E400000}"/>
    <cellStyle name="40% - Accent2 2 3 3 3 3 2 2" xfId="15024" xr:uid="{00000000-0005-0000-0000-00009F400000}"/>
    <cellStyle name="40% - Accent2 2 3 3 3 3 3" xfId="15023" xr:uid="{00000000-0005-0000-0000-0000A0400000}"/>
    <cellStyle name="40% - Accent2 2 3 3 3 4" xfId="15022" xr:uid="{00000000-0005-0000-0000-0000A1400000}"/>
    <cellStyle name="40% - Accent2 2 3 3 3 4 2" xfId="15021" xr:uid="{00000000-0005-0000-0000-0000A2400000}"/>
    <cellStyle name="40% - Accent2 2 3 3 3 5" xfId="7601" xr:uid="{00000000-0005-0000-0000-0000A3400000}"/>
    <cellStyle name="40% - Accent2 2 3 3 4" xfId="15016" xr:uid="{00000000-0005-0000-0000-0000A4400000}"/>
    <cellStyle name="40% - Accent2 2 3 3 4 2" xfId="32533" xr:uid="{00000000-0005-0000-0000-0000A5400000}"/>
    <cellStyle name="40% - Accent2 2 3 3 4 2 2" xfId="15014" xr:uid="{00000000-0005-0000-0000-0000A6400000}"/>
    <cellStyle name="40% - Accent2 2 3 3 4 2 2 2" xfId="15012" xr:uid="{00000000-0005-0000-0000-0000A7400000}"/>
    <cellStyle name="40% - Accent2 2 3 3 4 2 3" xfId="15011" xr:uid="{00000000-0005-0000-0000-0000A8400000}"/>
    <cellStyle name="40% - Accent2 2 3 3 4 3" xfId="33370" xr:uid="{00000000-0005-0000-0000-0000A9400000}"/>
    <cellStyle name="40% - Accent2 2 3 3 4 3 2" xfId="15010" xr:uid="{00000000-0005-0000-0000-0000AA400000}"/>
    <cellStyle name="40% - Accent2 2 3 3 4 4" xfId="15009" xr:uid="{00000000-0005-0000-0000-0000AB400000}"/>
    <cellStyle name="40% - Accent2 2 3 3 5" xfId="15008" xr:uid="{00000000-0005-0000-0000-0000AC400000}"/>
    <cellStyle name="40% - Accent2 2 3 3 5 2" xfId="32822" xr:uid="{00000000-0005-0000-0000-0000AD400000}"/>
    <cellStyle name="40% - Accent2 2 3 3 5 2 2" xfId="15006" xr:uid="{00000000-0005-0000-0000-0000AE400000}"/>
    <cellStyle name="40% - Accent2 2 3 3 5 3" xfId="15004" xr:uid="{00000000-0005-0000-0000-0000AF400000}"/>
    <cellStyle name="40% - Accent2 2 3 3 6" xfId="20663" xr:uid="{00000000-0005-0000-0000-0000B0400000}"/>
    <cellStyle name="40% - Accent2 2 3 3 6 2" xfId="26501" xr:uid="{00000000-0005-0000-0000-0000B1400000}"/>
    <cellStyle name="40% - Accent2 2 3 3 7" xfId="20659" xr:uid="{00000000-0005-0000-0000-0000B2400000}"/>
    <cellStyle name="40% - Accent2 2 3 4" xfId="15003" xr:uid="{00000000-0005-0000-0000-0000B3400000}"/>
    <cellStyle name="40% - Accent2 2 3 4 2" xfId="25591" xr:uid="{00000000-0005-0000-0000-0000B4400000}"/>
    <cellStyle name="40% - Accent2 2 3 4 2 2" xfId="28834" xr:uid="{00000000-0005-0000-0000-0000B5400000}"/>
    <cellStyle name="40% - Accent2 2 3 4 2 2 2" xfId="14649" xr:uid="{00000000-0005-0000-0000-0000B6400000}"/>
    <cellStyle name="40% - Accent2 2 3 4 2 2 2 2" xfId="17920" xr:uid="{00000000-0005-0000-0000-0000B7400000}"/>
    <cellStyle name="40% - Accent2 2 3 4 2 2 2 2 2" xfId="15002" xr:uid="{00000000-0005-0000-0000-0000B8400000}"/>
    <cellStyle name="40% - Accent2 2 3 4 2 2 2 3" xfId="15000" xr:uid="{00000000-0005-0000-0000-0000B9400000}"/>
    <cellStyle name="40% - Accent2 2 3 4 2 2 3" xfId="14999" xr:uid="{00000000-0005-0000-0000-0000BA400000}"/>
    <cellStyle name="40% - Accent2 2 3 4 2 2 3 2" xfId="14998" xr:uid="{00000000-0005-0000-0000-0000BB400000}"/>
    <cellStyle name="40% - Accent2 2 3 4 2 2 4" xfId="27706" xr:uid="{00000000-0005-0000-0000-0000BC400000}"/>
    <cellStyle name="40% - Accent2 2 3 4 2 3" xfId="25039" xr:uid="{00000000-0005-0000-0000-0000BD400000}"/>
    <cellStyle name="40% - Accent2 2 3 4 2 3 2" xfId="14997" xr:uid="{00000000-0005-0000-0000-0000BE400000}"/>
    <cellStyle name="40% - Accent2 2 3 4 2 3 2 2" xfId="14996" xr:uid="{00000000-0005-0000-0000-0000BF400000}"/>
    <cellStyle name="40% - Accent2 2 3 4 2 3 3" xfId="14995" xr:uid="{00000000-0005-0000-0000-0000C0400000}"/>
    <cellStyle name="40% - Accent2 2 3 4 2 4" xfId="33482" xr:uid="{00000000-0005-0000-0000-0000C1400000}"/>
    <cellStyle name="40% - Accent2 2 3 4 2 4 2" xfId="14994" xr:uid="{00000000-0005-0000-0000-0000C2400000}"/>
    <cellStyle name="40% - Accent2 2 3 4 2 5" xfId="7392" xr:uid="{00000000-0005-0000-0000-0000C3400000}"/>
    <cellStyle name="40% - Accent2 2 3 4 3" xfId="31185" xr:uid="{00000000-0005-0000-0000-0000C4400000}"/>
    <cellStyle name="40% - Accent2 2 3 4 3 2" xfId="28824" xr:uid="{00000000-0005-0000-0000-0000C5400000}"/>
    <cellStyle name="40% - Accent2 2 3 4 3 2 2" xfId="14992" xr:uid="{00000000-0005-0000-0000-0000C6400000}"/>
    <cellStyle name="40% - Accent2 2 3 4 3 2 2 2" xfId="14989" xr:uid="{00000000-0005-0000-0000-0000C7400000}"/>
    <cellStyle name="40% - Accent2 2 3 4 3 2 3" xfId="14988" xr:uid="{00000000-0005-0000-0000-0000C8400000}"/>
    <cellStyle name="40% - Accent2 2 3 4 3 3" xfId="14987" xr:uid="{00000000-0005-0000-0000-0000C9400000}"/>
    <cellStyle name="40% - Accent2 2 3 4 3 3 2" xfId="14984" xr:uid="{00000000-0005-0000-0000-0000CA400000}"/>
    <cellStyle name="40% - Accent2 2 3 4 3 4" xfId="33475" xr:uid="{00000000-0005-0000-0000-0000CB400000}"/>
    <cellStyle name="40% - Accent2 2 3 4 4" xfId="14983" xr:uid="{00000000-0005-0000-0000-0000CC400000}"/>
    <cellStyle name="40% - Accent2 2 3 4 4 2" xfId="29015" xr:uid="{00000000-0005-0000-0000-0000CD400000}"/>
    <cellStyle name="40% - Accent2 2 3 4 4 2 2" xfId="14981" xr:uid="{00000000-0005-0000-0000-0000CE400000}"/>
    <cellStyle name="40% - Accent2 2 3 4 4 3" xfId="14980" xr:uid="{00000000-0005-0000-0000-0000CF400000}"/>
    <cellStyle name="40% - Accent2 2 3 4 5" xfId="33301" xr:uid="{00000000-0005-0000-0000-0000D0400000}"/>
    <cellStyle name="40% - Accent2 2 3 4 5 2" xfId="14979" xr:uid="{00000000-0005-0000-0000-0000D1400000}"/>
    <cellStyle name="40% - Accent2 2 3 4 6" xfId="32491" xr:uid="{00000000-0005-0000-0000-0000D2400000}"/>
    <cellStyle name="40% - Accent2 2 3 5" xfId="25920" xr:uid="{00000000-0005-0000-0000-0000D3400000}"/>
    <cellStyle name="40% - Accent2 2 3 5 2" xfId="25694" xr:uid="{00000000-0005-0000-0000-0000D4400000}"/>
    <cellStyle name="40% - Accent2 2 3 5 2 2" xfId="22708" xr:uid="{00000000-0005-0000-0000-0000D5400000}"/>
    <cellStyle name="40% - Accent2 2 3 5 2 2 2" xfId="14978" xr:uid="{00000000-0005-0000-0000-0000D6400000}"/>
    <cellStyle name="40% - Accent2 2 3 5 2 2 2 2" xfId="18999" xr:uid="{00000000-0005-0000-0000-0000D7400000}"/>
    <cellStyle name="40% - Accent2 2 3 5 2 2 3" xfId="14976" xr:uid="{00000000-0005-0000-0000-0000D8400000}"/>
    <cellStyle name="40% - Accent2 2 3 5 2 3" xfId="14974" xr:uid="{00000000-0005-0000-0000-0000D9400000}"/>
    <cellStyle name="40% - Accent2 2 3 5 2 3 2" xfId="14973" xr:uid="{00000000-0005-0000-0000-0000DA400000}"/>
    <cellStyle name="40% - Accent2 2 3 5 2 4" xfId="34211" xr:uid="{00000000-0005-0000-0000-0000DB400000}"/>
    <cellStyle name="40% - Accent2 2 3 5 3" xfId="14972" xr:uid="{00000000-0005-0000-0000-0000DC400000}"/>
    <cellStyle name="40% - Accent2 2 3 5 3 2" xfId="14971" xr:uid="{00000000-0005-0000-0000-0000DD400000}"/>
    <cellStyle name="40% - Accent2 2 3 5 3 2 2" xfId="14970" xr:uid="{00000000-0005-0000-0000-0000DE400000}"/>
    <cellStyle name="40% - Accent2 2 3 5 3 3" xfId="14969" xr:uid="{00000000-0005-0000-0000-0000DF400000}"/>
    <cellStyle name="40% - Accent2 2 3 5 4" xfId="14968" xr:uid="{00000000-0005-0000-0000-0000E0400000}"/>
    <cellStyle name="40% - Accent2 2 3 5 4 2" xfId="14966" xr:uid="{00000000-0005-0000-0000-0000E1400000}"/>
    <cellStyle name="40% - Accent2 2 3 5 5" xfId="14964" xr:uid="{00000000-0005-0000-0000-0000E2400000}"/>
    <cellStyle name="40% - Accent2 2 3 6" xfId="27503" xr:uid="{00000000-0005-0000-0000-0000E3400000}"/>
    <cellStyle name="40% - Accent2 2 3 6 2" xfId="14962" xr:uid="{00000000-0005-0000-0000-0000E4400000}"/>
    <cellStyle name="40% - Accent2 2 3 6 2 2" xfId="14961" xr:uid="{00000000-0005-0000-0000-0000E5400000}"/>
    <cellStyle name="40% - Accent2 2 3 6 2 2 2" xfId="14960" xr:uid="{00000000-0005-0000-0000-0000E6400000}"/>
    <cellStyle name="40% - Accent2 2 3 6 2 3" xfId="14959" xr:uid="{00000000-0005-0000-0000-0000E7400000}"/>
    <cellStyle name="40% - Accent2 2 3 6 3" xfId="14957" xr:uid="{00000000-0005-0000-0000-0000E8400000}"/>
    <cellStyle name="40% - Accent2 2 3 6 3 2" xfId="14956" xr:uid="{00000000-0005-0000-0000-0000E9400000}"/>
    <cellStyle name="40% - Accent2 2 3 6 4" xfId="14955" xr:uid="{00000000-0005-0000-0000-0000EA400000}"/>
    <cellStyle name="40% - Accent2 2 3 7" xfId="18547" xr:uid="{00000000-0005-0000-0000-0000EB400000}"/>
    <cellStyle name="40% - Accent2 2 3 7 2" xfId="23383" xr:uid="{00000000-0005-0000-0000-0000EC400000}"/>
    <cellStyle name="40% - Accent2 2 3 7 2 2" xfId="18544" xr:uid="{00000000-0005-0000-0000-0000ED400000}"/>
    <cellStyle name="40% - Accent2 2 3 7 3" xfId="18542" xr:uid="{00000000-0005-0000-0000-0000EE400000}"/>
    <cellStyle name="40% - Accent2 2 3 8" xfId="18541" xr:uid="{00000000-0005-0000-0000-0000EF400000}"/>
    <cellStyle name="40% - Accent2 2 3 8 2" xfId="18540" xr:uid="{00000000-0005-0000-0000-0000F0400000}"/>
    <cellStyle name="40% - Accent2 2 3 9" xfId="18539" xr:uid="{00000000-0005-0000-0000-0000F1400000}"/>
    <cellStyle name="40% - Accent2 2 4" xfId="18855" xr:uid="{00000000-0005-0000-0000-0000F2400000}"/>
    <cellStyle name="40% - Accent2 2 4 2" xfId="14953" xr:uid="{00000000-0005-0000-0000-0000F3400000}"/>
    <cellStyle name="40% - Accent2 2 4 2 2" xfId="14952" xr:uid="{00000000-0005-0000-0000-0000F4400000}"/>
    <cellStyle name="40% - Accent2 2 4 2 2 2" xfId="25749" xr:uid="{00000000-0005-0000-0000-0000F5400000}"/>
    <cellStyle name="40% - Accent2 2 4 2 2 2 2" xfId="16800" xr:uid="{00000000-0005-0000-0000-0000F6400000}"/>
    <cellStyle name="40% - Accent2 2 4 2 2 2 2 2" xfId="16798" xr:uid="{00000000-0005-0000-0000-0000F7400000}"/>
    <cellStyle name="40% - Accent2 2 4 2 2 2 2 2 2" xfId="7814" xr:uid="{00000000-0005-0000-0000-0000F8400000}"/>
    <cellStyle name="40% - Accent2 2 4 2 2 2 2 2 2 2" xfId="14950" xr:uid="{00000000-0005-0000-0000-0000F9400000}"/>
    <cellStyle name="40% - Accent2 2 4 2 2 2 2 2 3" xfId="14948" xr:uid="{00000000-0005-0000-0000-0000FA400000}"/>
    <cellStyle name="40% - Accent2 2 4 2 2 2 2 3" xfId="16792" xr:uid="{00000000-0005-0000-0000-0000FB400000}"/>
    <cellStyle name="40% - Accent2 2 4 2 2 2 2 3 2" xfId="14945" xr:uid="{00000000-0005-0000-0000-0000FC400000}"/>
    <cellStyle name="40% - Accent2 2 4 2 2 2 2 4" xfId="14944" xr:uid="{00000000-0005-0000-0000-0000FD400000}"/>
    <cellStyle name="40% - Accent2 2 4 2 2 2 3" xfId="16789" xr:uid="{00000000-0005-0000-0000-0000FE400000}"/>
    <cellStyle name="40% - Accent2 2 4 2 2 2 3 2" xfId="16788" xr:uid="{00000000-0005-0000-0000-0000FF400000}"/>
    <cellStyle name="40% - Accent2 2 4 2 2 2 3 2 2" xfId="14941" xr:uid="{00000000-0005-0000-0000-000000410000}"/>
    <cellStyle name="40% - Accent2 2 4 2 2 2 3 3" xfId="14940" xr:uid="{00000000-0005-0000-0000-000001410000}"/>
    <cellStyle name="40% - Accent2 2 4 2 2 2 4" xfId="16783" xr:uid="{00000000-0005-0000-0000-000002410000}"/>
    <cellStyle name="40% - Accent2 2 4 2 2 2 4 2" xfId="14939" xr:uid="{00000000-0005-0000-0000-000003410000}"/>
    <cellStyle name="40% - Accent2 2 4 2 2 2 5" xfId="14938" xr:uid="{00000000-0005-0000-0000-000004410000}"/>
    <cellStyle name="40% - Accent2 2 4 2 2 3" xfId="14937" xr:uid="{00000000-0005-0000-0000-000005410000}"/>
    <cellStyle name="40% - Accent2 2 4 2 2 3 2" xfId="20047" xr:uid="{00000000-0005-0000-0000-000006410000}"/>
    <cellStyle name="40% - Accent2 2 4 2 2 3 2 2" xfId="16771" xr:uid="{00000000-0005-0000-0000-000007410000}"/>
    <cellStyle name="40% - Accent2 2 4 2 2 3 2 2 2" xfId="14936" xr:uid="{00000000-0005-0000-0000-000008410000}"/>
    <cellStyle name="40% - Accent2 2 4 2 2 3 2 3" xfId="14934" xr:uid="{00000000-0005-0000-0000-000009410000}"/>
    <cellStyle name="40% - Accent2 2 4 2 2 3 3" xfId="18078" xr:uid="{00000000-0005-0000-0000-00000A410000}"/>
    <cellStyle name="40% - Accent2 2 4 2 2 3 3 2" xfId="14933" xr:uid="{00000000-0005-0000-0000-00000B410000}"/>
    <cellStyle name="40% - Accent2 2 4 2 2 3 4" xfId="14931" xr:uid="{00000000-0005-0000-0000-00000C410000}"/>
    <cellStyle name="40% - Accent2 2 4 2 2 4" xfId="14930" xr:uid="{00000000-0005-0000-0000-00000D410000}"/>
    <cellStyle name="40% - Accent2 2 4 2 2 4 2" xfId="28061" xr:uid="{00000000-0005-0000-0000-00000E410000}"/>
    <cellStyle name="40% - Accent2 2 4 2 2 4 2 2" xfId="19135" xr:uid="{00000000-0005-0000-0000-00000F410000}"/>
    <cellStyle name="40% - Accent2 2 4 2 2 4 3" xfId="14926" xr:uid="{00000000-0005-0000-0000-000010410000}"/>
    <cellStyle name="40% - Accent2 2 4 2 2 5" xfId="6378" xr:uid="{00000000-0005-0000-0000-000011410000}"/>
    <cellStyle name="40% - Accent2 2 4 2 2 5 2" xfId="14924" xr:uid="{00000000-0005-0000-0000-000012410000}"/>
    <cellStyle name="40% - Accent2 2 4 2 2 6" xfId="11709" xr:uid="{00000000-0005-0000-0000-000013410000}"/>
    <cellStyle name="40% - Accent2 2 4 2 3" xfId="14921" xr:uid="{00000000-0005-0000-0000-000014410000}"/>
    <cellStyle name="40% - Accent2 2 4 2 3 2" xfId="14919" xr:uid="{00000000-0005-0000-0000-000015410000}"/>
    <cellStyle name="40% - Accent2 2 4 2 3 2 2" xfId="30289" xr:uid="{00000000-0005-0000-0000-000016410000}"/>
    <cellStyle name="40% - Accent2 2 4 2 3 2 2 2" xfId="16736" xr:uid="{00000000-0005-0000-0000-000017410000}"/>
    <cellStyle name="40% - Accent2 2 4 2 3 2 2 2 2" xfId="14917" xr:uid="{00000000-0005-0000-0000-000018410000}"/>
    <cellStyle name="40% - Accent2 2 4 2 3 2 2 3" xfId="14916" xr:uid="{00000000-0005-0000-0000-000019410000}"/>
    <cellStyle name="40% - Accent2 2 4 2 3 2 3" xfId="16733" xr:uid="{00000000-0005-0000-0000-00001A410000}"/>
    <cellStyle name="40% - Accent2 2 4 2 3 2 3 2" xfId="14915" xr:uid="{00000000-0005-0000-0000-00001B410000}"/>
    <cellStyle name="40% - Accent2 2 4 2 3 2 4" xfId="14914" xr:uid="{00000000-0005-0000-0000-00001C410000}"/>
    <cellStyle name="40% - Accent2 2 4 2 3 3" xfId="14913" xr:uid="{00000000-0005-0000-0000-00001D410000}"/>
    <cellStyle name="40% - Accent2 2 4 2 3 3 2" xfId="33091" xr:uid="{00000000-0005-0000-0000-00001E410000}"/>
    <cellStyle name="40% - Accent2 2 4 2 3 3 2 2" xfId="28546" xr:uid="{00000000-0005-0000-0000-00001F410000}"/>
    <cellStyle name="40% - Accent2 2 4 2 3 3 3" xfId="14911" xr:uid="{00000000-0005-0000-0000-000020410000}"/>
    <cellStyle name="40% - Accent2 2 4 2 3 4" xfId="14910" xr:uid="{00000000-0005-0000-0000-000021410000}"/>
    <cellStyle name="40% - Accent2 2 4 2 3 4 2" xfId="15126" xr:uid="{00000000-0005-0000-0000-000022410000}"/>
    <cellStyle name="40% - Accent2 2 4 2 3 5" xfId="6361" xr:uid="{00000000-0005-0000-0000-000023410000}"/>
    <cellStyle name="40% - Accent2 2 4 2 4" xfId="14908" xr:uid="{00000000-0005-0000-0000-000024410000}"/>
    <cellStyle name="40% - Accent2 2 4 2 4 2" xfId="25059" xr:uid="{00000000-0005-0000-0000-000025410000}"/>
    <cellStyle name="40% - Accent2 2 4 2 4 2 2" xfId="33638" xr:uid="{00000000-0005-0000-0000-000026410000}"/>
    <cellStyle name="40% - Accent2 2 4 2 4 2 2 2" xfId="14904" xr:uid="{00000000-0005-0000-0000-000027410000}"/>
    <cellStyle name="40% - Accent2 2 4 2 4 2 3" xfId="16921" xr:uid="{00000000-0005-0000-0000-000028410000}"/>
    <cellStyle name="40% - Accent2 2 4 2 4 3" xfId="30031" xr:uid="{00000000-0005-0000-0000-000029410000}"/>
    <cellStyle name="40% - Accent2 2 4 2 4 3 2" xfId="32734" xr:uid="{00000000-0005-0000-0000-00002A410000}"/>
    <cellStyle name="40% - Accent2 2 4 2 4 4" xfId="14903" xr:uid="{00000000-0005-0000-0000-00002B410000}"/>
    <cellStyle name="40% - Accent2 2 4 2 5" xfId="14901" xr:uid="{00000000-0005-0000-0000-00002C410000}"/>
    <cellStyle name="40% - Accent2 2 4 2 5 2" xfId="29437" xr:uid="{00000000-0005-0000-0000-00002D410000}"/>
    <cellStyle name="40% - Accent2 2 4 2 5 2 2" xfId="23400" xr:uid="{00000000-0005-0000-0000-00002E410000}"/>
    <cellStyle name="40% - Accent2 2 4 2 5 3" xfId="14895" xr:uid="{00000000-0005-0000-0000-00002F410000}"/>
    <cellStyle name="40% - Accent2 2 4 2 6" xfId="20612" xr:uid="{00000000-0005-0000-0000-000030410000}"/>
    <cellStyle name="40% - Accent2 2 4 2 6 2" xfId="26824" xr:uid="{00000000-0005-0000-0000-000031410000}"/>
    <cellStyle name="40% - Accent2 2 4 2 7" xfId="11609" xr:uid="{00000000-0005-0000-0000-000032410000}"/>
    <cellStyle name="40% - Accent2 2 4 3" xfId="14894" xr:uid="{00000000-0005-0000-0000-000033410000}"/>
    <cellStyle name="40% - Accent2 2 4 3 2" xfId="25586" xr:uid="{00000000-0005-0000-0000-000034410000}"/>
    <cellStyle name="40% - Accent2 2 4 3 2 2" xfId="14893" xr:uid="{00000000-0005-0000-0000-000035410000}"/>
    <cellStyle name="40% - Accent2 2 4 3 2 2 2" xfId="16667" xr:uid="{00000000-0005-0000-0000-000036410000}"/>
    <cellStyle name="40% - Accent2 2 4 3 2 2 2 2" xfId="17496" xr:uid="{00000000-0005-0000-0000-000037410000}"/>
    <cellStyle name="40% - Accent2 2 4 3 2 2 2 2 2" xfId="14892" xr:uid="{00000000-0005-0000-0000-000038410000}"/>
    <cellStyle name="40% - Accent2 2 4 3 2 2 2 3" xfId="18470" xr:uid="{00000000-0005-0000-0000-000039410000}"/>
    <cellStyle name="40% - Accent2 2 4 3 2 2 3" xfId="16663" xr:uid="{00000000-0005-0000-0000-00003A410000}"/>
    <cellStyle name="40% - Accent2 2 4 3 2 2 3 2" xfId="18461" xr:uid="{00000000-0005-0000-0000-00003B410000}"/>
    <cellStyle name="40% - Accent2 2 4 3 2 2 4" xfId="14889" xr:uid="{00000000-0005-0000-0000-00003C410000}"/>
    <cellStyle name="40% - Accent2 2 4 3 2 3" xfId="14887" xr:uid="{00000000-0005-0000-0000-00003D410000}"/>
    <cellStyle name="40% - Accent2 2 4 3 2 3 2" xfId="18055" xr:uid="{00000000-0005-0000-0000-00003E410000}"/>
    <cellStyle name="40% - Accent2 2 4 3 2 3 2 2" xfId="18447" xr:uid="{00000000-0005-0000-0000-00003F410000}"/>
    <cellStyle name="40% - Accent2 2 4 3 2 3 3" xfId="14886" xr:uid="{00000000-0005-0000-0000-000040410000}"/>
    <cellStyle name="40% - Accent2 2 4 3 2 4" xfId="14885" xr:uid="{00000000-0005-0000-0000-000041410000}"/>
    <cellStyle name="40% - Accent2 2 4 3 2 4 2" xfId="30647" xr:uid="{00000000-0005-0000-0000-000042410000}"/>
    <cellStyle name="40% - Accent2 2 4 3 2 5" xfId="6095" xr:uid="{00000000-0005-0000-0000-000043410000}"/>
    <cellStyle name="40% - Accent2 2 4 3 3" xfId="14884" xr:uid="{00000000-0005-0000-0000-000044410000}"/>
    <cellStyle name="40% - Accent2 2 4 3 3 2" xfId="14882" xr:uid="{00000000-0005-0000-0000-000045410000}"/>
    <cellStyle name="40% - Accent2 2 4 3 3 2 2" xfId="16634" xr:uid="{00000000-0005-0000-0000-000046410000}"/>
    <cellStyle name="40% - Accent2 2 4 3 3 2 2 2" xfId="18425" xr:uid="{00000000-0005-0000-0000-000047410000}"/>
    <cellStyle name="40% - Accent2 2 4 3 3 2 3" xfId="22458" xr:uid="{00000000-0005-0000-0000-000048410000}"/>
    <cellStyle name="40% - Accent2 2 4 3 3 3" xfId="14880" xr:uid="{00000000-0005-0000-0000-000049410000}"/>
    <cellStyle name="40% - Accent2 2 4 3 3 3 2" xfId="14879" xr:uid="{00000000-0005-0000-0000-00004A410000}"/>
    <cellStyle name="40% - Accent2 2 4 3 3 4" xfId="14878" xr:uid="{00000000-0005-0000-0000-00004B410000}"/>
    <cellStyle name="40% - Accent2 2 4 3 4" xfId="14877" xr:uid="{00000000-0005-0000-0000-00004C410000}"/>
    <cellStyle name="40% - Accent2 2 4 3 4 2" xfId="33245" xr:uid="{00000000-0005-0000-0000-00004D410000}"/>
    <cellStyle name="40% - Accent2 2 4 3 4 2 2" xfId="34099" xr:uid="{00000000-0005-0000-0000-00004E410000}"/>
    <cellStyle name="40% - Accent2 2 4 3 4 3" xfId="14873" xr:uid="{00000000-0005-0000-0000-00004F410000}"/>
    <cellStyle name="40% - Accent2 2 4 3 5" xfId="14872" xr:uid="{00000000-0005-0000-0000-000050410000}"/>
    <cellStyle name="40% - Accent2 2 4 3 5 2" xfId="14869" xr:uid="{00000000-0005-0000-0000-000051410000}"/>
    <cellStyle name="40% - Accent2 2 4 3 6" xfId="20599" xr:uid="{00000000-0005-0000-0000-000052410000}"/>
    <cellStyle name="40% - Accent2 2 4 4" xfId="14868" xr:uid="{00000000-0005-0000-0000-000053410000}"/>
    <cellStyle name="40% - Accent2 2 4 4 2" xfId="14867" xr:uid="{00000000-0005-0000-0000-000054410000}"/>
    <cellStyle name="40% - Accent2 2 4 4 2 2" xfId="34190" xr:uid="{00000000-0005-0000-0000-000055410000}"/>
    <cellStyle name="40% - Accent2 2 4 4 2 2 2" xfId="16602" xr:uid="{00000000-0005-0000-0000-000056410000}"/>
    <cellStyle name="40% - Accent2 2 4 4 2 2 2 2" xfId="23253" xr:uid="{00000000-0005-0000-0000-000057410000}"/>
    <cellStyle name="40% - Accent2 2 4 4 2 2 3" xfId="14865" xr:uid="{00000000-0005-0000-0000-000058410000}"/>
    <cellStyle name="40% - Accent2 2 4 4 2 3" xfId="14864" xr:uid="{00000000-0005-0000-0000-000059410000}"/>
    <cellStyle name="40% - Accent2 2 4 4 2 3 2" xfId="14862" xr:uid="{00000000-0005-0000-0000-00005A410000}"/>
    <cellStyle name="40% - Accent2 2 4 4 2 4" xfId="26677" xr:uid="{00000000-0005-0000-0000-00005B410000}"/>
    <cellStyle name="40% - Accent2 2 4 4 3" xfId="14860" xr:uid="{00000000-0005-0000-0000-00005C410000}"/>
    <cellStyle name="40% - Accent2 2 4 4 3 2" xfId="14858" xr:uid="{00000000-0005-0000-0000-00005D410000}"/>
    <cellStyle name="40% - Accent2 2 4 4 3 2 2" xfId="14857" xr:uid="{00000000-0005-0000-0000-00005E410000}"/>
    <cellStyle name="40% - Accent2 2 4 4 3 3" xfId="14856" xr:uid="{00000000-0005-0000-0000-00005F410000}"/>
    <cellStyle name="40% - Accent2 2 4 4 4" xfId="14854" xr:uid="{00000000-0005-0000-0000-000060410000}"/>
    <cellStyle name="40% - Accent2 2 4 4 4 2" xfId="14851" xr:uid="{00000000-0005-0000-0000-000061410000}"/>
    <cellStyle name="40% - Accent2 2 4 4 5" xfId="14849" xr:uid="{00000000-0005-0000-0000-000062410000}"/>
    <cellStyle name="40% - Accent2 2 4 5" xfId="27500" xr:uid="{00000000-0005-0000-0000-000063410000}"/>
    <cellStyle name="40% - Accent2 2 4 5 2" xfId="14847" xr:uid="{00000000-0005-0000-0000-000064410000}"/>
    <cellStyle name="40% - Accent2 2 4 5 2 2" xfId="14843" xr:uid="{00000000-0005-0000-0000-000065410000}"/>
    <cellStyle name="40% - Accent2 2 4 5 2 2 2" xfId="14842" xr:uid="{00000000-0005-0000-0000-000066410000}"/>
    <cellStyle name="40% - Accent2 2 4 5 2 3" xfId="14841" xr:uid="{00000000-0005-0000-0000-000067410000}"/>
    <cellStyle name="40% - Accent2 2 4 5 3" xfId="14840" xr:uid="{00000000-0005-0000-0000-000068410000}"/>
    <cellStyle name="40% - Accent2 2 4 5 3 2" xfId="14838" xr:uid="{00000000-0005-0000-0000-000069410000}"/>
    <cellStyle name="40% - Accent2 2 4 5 4" xfId="14836" xr:uid="{00000000-0005-0000-0000-00006A410000}"/>
    <cellStyle name="40% - Accent2 2 4 6" xfId="14834" xr:uid="{00000000-0005-0000-0000-00006B410000}"/>
    <cellStyle name="40% - Accent2 2 4 6 2" xfId="14831" xr:uid="{00000000-0005-0000-0000-00006C410000}"/>
    <cellStyle name="40% - Accent2 2 4 6 2 2" xfId="14828" xr:uid="{00000000-0005-0000-0000-00006D410000}"/>
    <cellStyle name="40% - Accent2 2 4 6 3" xfId="14826" xr:uid="{00000000-0005-0000-0000-00006E410000}"/>
    <cellStyle name="40% - Accent2 2 4 7" xfId="6436" xr:uid="{00000000-0005-0000-0000-00006F410000}"/>
    <cellStyle name="40% - Accent2 2 4 7 2" xfId="18535" xr:uid="{00000000-0005-0000-0000-000070410000}"/>
    <cellStyle name="40% - Accent2 2 4 8" xfId="18532" xr:uid="{00000000-0005-0000-0000-000071410000}"/>
    <cellStyle name="40% - Accent2 2 4 9" xfId="34756" xr:uid="{00000000-0005-0000-0000-000072410000}"/>
    <cellStyle name="40% - Accent2 2 5" xfId="14824" xr:uid="{00000000-0005-0000-0000-000073410000}"/>
    <cellStyle name="40% - Accent2 2 5 2" xfId="14823" xr:uid="{00000000-0005-0000-0000-000074410000}"/>
    <cellStyle name="40% - Accent2 2 5 2 2" xfId="14822" xr:uid="{00000000-0005-0000-0000-000075410000}"/>
    <cellStyle name="40% - Accent2 2 5 2 2 2" xfId="14819" xr:uid="{00000000-0005-0000-0000-000076410000}"/>
    <cellStyle name="40% - Accent2 2 5 2 2 2 2" xfId="32084" xr:uid="{00000000-0005-0000-0000-000077410000}"/>
    <cellStyle name="40% - Accent2 2 5 2 2 2 2 2" xfId="29411" xr:uid="{00000000-0005-0000-0000-000078410000}"/>
    <cellStyle name="40% - Accent2 2 5 2 2 2 2 2 2" xfId="20607" xr:uid="{00000000-0005-0000-0000-000079410000}"/>
    <cellStyle name="40% - Accent2 2 5 2 2 2 2 3" xfId="14818" xr:uid="{00000000-0005-0000-0000-00007A410000}"/>
    <cellStyle name="40% - Accent2 2 5 2 2 2 3" xfId="16523" xr:uid="{00000000-0005-0000-0000-00007B410000}"/>
    <cellStyle name="40% - Accent2 2 5 2 2 2 3 2" xfId="14817" xr:uid="{00000000-0005-0000-0000-00007C410000}"/>
    <cellStyle name="40% - Accent2 2 5 2 2 2 4" xfId="14816" xr:uid="{00000000-0005-0000-0000-00007D410000}"/>
    <cellStyle name="40% - Accent2 2 5 2 2 3" xfId="14814" xr:uid="{00000000-0005-0000-0000-00007E410000}"/>
    <cellStyle name="40% - Accent2 2 5 2 2 3 2" xfId="16513" xr:uid="{00000000-0005-0000-0000-00007F410000}"/>
    <cellStyle name="40% - Accent2 2 5 2 2 3 2 2" xfId="14813" xr:uid="{00000000-0005-0000-0000-000080410000}"/>
    <cellStyle name="40% - Accent2 2 5 2 2 3 3" xfId="14810" xr:uid="{00000000-0005-0000-0000-000081410000}"/>
    <cellStyle name="40% - Accent2 2 5 2 2 4" xfId="14808" xr:uid="{00000000-0005-0000-0000-000082410000}"/>
    <cellStyle name="40% - Accent2 2 5 2 2 4 2" xfId="14806" xr:uid="{00000000-0005-0000-0000-000083410000}"/>
    <cellStyle name="40% - Accent2 2 5 2 2 5" xfId="6627" xr:uid="{00000000-0005-0000-0000-000084410000}"/>
    <cellStyle name="40% - Accent2 2 5 2 3" xfId="14805" xr:uid="{00000000-0005-0000-0000-000085410000}"/>
    <cellStyle name="40% - Accent2 2 5 2 3 2" xfId="14802" xr:uid="{00000000-0005-0000-0000-000086410000}"/>
    <cellStyle name="40% - Accent2 2 5 2 3 2 2" xfId="16482" xr:uid="{00000000-0005-0000-0000-000087410000}"/>
    <cellStyle name="40% - Accent2 2 5 2 3 2 2 2" xfId="14799" xr:uid="{00000000-0005-0000-0000-000088410000}"/>
    <cellStyle name="40% - Accent2 2 5 2 3 2 3" xfId="14798" xr:uid="{00000000-0005-0000-0000-000089410000}"/>
    <cellStyle name="40% - Accent2 2 5 2 3 3" xfId="14796" xr:uid="{00000000-0005-0000-0000-00008A410000}"/>
    <cellStyle name="40% - Accent2 2 5 2 3 3 2" xfId="14795" xr:uid="{00000000-0005-0000-0000-00008B410000}"/>
    <cellStyle name="40% - Accent2 2 5 2 3 4" xfId="14794" xr:uid="{00000000-0005-0000-0000-00008C410000}"/>
    <cellStyle name="40% - Accent2 2 5 2 4" xfId="17210" xr:uid="{00000000-0005-0000-0000-00008D410000}"/>
    <cellStyle name="40% - Accent2 2 5 2 4 2" xfId="32037" xr:uid="{00000000-0005-0000-0000-00008E410000}"/>
    <cellStyle name="40% - Accent2 2 5 2 4 2 2" xfId="28241" xr:uid="{00000000-0005-0000-0000-00008F410000}"/>
    <cellStyle name="40% - Accent2 2 5 2 4 3" xfId="19865" xr:uid="{00000000-0005-0000-0000-000090410000}"/>
    <cellStyle name="40% - Accent2 2 5 2 5" xfId="17373" xr:uid="{00000000-0005-0000-0000-000091410000}"/>
    <cellStyle name="40% - Accent2 2 5 2 5 2" xfId="9456" xr:uid="{00000000-0005-0000-0000-000092410000}"/>
    <cellStyle name="40% - Accent2 2 5 2 6" xfId="20582" xr:uid="{00000000-0005-0000-0000-000093410000}"/>
    <cellStyle name="40% - Accent2 2 5 3" xfId="14792" xr:uid="{00000000-0005-0000-0000-000094410000}"/>
    <cellStyle name="40% - Accent2 2 5 3 2" xfId="14791" xr:uid="{00000000-0005-0000-0000-000095410000}"/>
    <cellStyle name="40% - Accent2 2 5 3 2 2" xfId="14787" xr:uid="{00000000-0005-0000-0000-000096410000}"/>
    <cellStyle name="40% - Accent2 2 5 3 2 2 2" xfId="16449" xr:uid="{00000000-0005-0000-0000-000097410000}"/>
    <cellStyle name="40% - Accent2 2 5 3 2 2 2 2" xfId="26800" xr:uid="{00000000-0005-0000-0000-000098410000}"/>
    <cellStyle name="40% - Accent2 2 5 3 2 2 3" xfId="14784" xr:uid="{00000000-0005-0000-0000-000099410000}"/>
    <cellStyle name="40% - Accent2 2 5 3 2 3" xfId="14780" xr:uid="{00000000-0005-0000-0000-00009A410000}"/>
    <cellStyle name="40% - Accent2 2 5 3 2 3 2" xfId="14775" xr:uid="{00000000-0005-0000-0000-00009B410000}"/>
    <cellStyle name="40% - Accent2 2 5 3 2 4" xfId="14772" xr:uid="{00000000-0005-0000-0000-00009C410000}"/>
    <cellStyle name="40% - Accent2 2 5 3 3" xfId="14768" xr:uid="{00000000-0005-0000-0000-00009D410000}"/>
    <cellStyle name="40% - Accent2 2 5 3 3 2" xfId="14765" xr:uid="{00000000-0005-0000-0000-00009E410000}"/>
    <cellStyle name="40% - Accent2 2 5 3 3 2 2" xfId="14760" xr:uid="{00000000-0005-0000-0000-00009F410000}"/>
    <cellStyle name="40% - Accent2 2 5 3 3 3" xfId="14759" xr:uid="{00000000-0005-0000-0000-0000A0410000}"/>
    <cellStyle name="40% - Accent2 2 5 3 4" xfId="17198" xr:uid="{00000000-0005-0000-0000-0000A1410000}"/>
    <cellStyle name="40% - Accent2 2 5 3 4 2" xfId="14755" xr:uid="{00000000-0005-0000-0000-0000A2410000}"/>
    <cellStyle name="40% - Accent2 2 5 3 5" xfId="17355" xr:uid="{00000000-0005-0000-0000-0000A3410000}"/>
    <cellStyle name="40% - Accent2 2 5 4" xfId="14752" xr:uid="{00000000-0005-0000-0000-0000A4410000}"/>
    <cellStyle name="40% - Accent2 2 5 4 2" xfId="9259" xr:uid="{00000000-0005-0000-0000-0000A5410000}"/>
    <cellStyle name="40% - Accent2 2 5 4 2 2" xfId="9255" xr:uid="{00000000-0005-0000-0000-0000A6410000}"/>
    <cellStyle name="40% - Accent2 2 5 4 2 2 2" xfId="14744" xr:uid="{00000000-0005-0000-0000-0000A7410000}"/>
    <cellStyle name="40% - Accent2 2 5 4 2 3" xfId="5481" xr:uid="{00000000-0005-0000-0000-0000A8410000}"/>
    <cellStyle name="40% - Accent2 2 5 4 3" xfId="9252" xr:uid="{00000000-0005-0000-0000-0000A9410000}"/>
    <cellStyle name="40% - Accent2 2 5 4 3 2" xfId="12085" xr:uid="{00000000-0005-0000-0000-0000AA410000}"/>
    <cellStyle name="40% - Accent2 2 5 4 4" xfId="5478" xr:uid="{00000000-0005-0000-0000-0000AB410000}"/>
    <cellStyle name="40% - Accent2 2 5 5" xfId="14736" xr:uid="{00000000-0005-0000-0000-0000AC410000}"/>
    <cellStyle name="40% - Accent2 2 5 5 2" xfId="10729" xr:uid="{00000000-0005-0000-0000-0000AD410000}"/>
    <cellStyle name="40% - Accent2 2 5 5 2 2" xfId="5474" xr:uid="{00000000-0005-0000-0000-0000AE410000}"/>
    <cellStyle name="40% - Accent2 2 5 5 3" xfId="29294" xr:uid="{00000000-0005-0000-0000-0000AF410000}"/>
    <cellStyle name="40% - Accent2 2 5 6" xfId="14725" xr:uid="{00000000-0005-0000-0000-0000B0410000}"/>
    <cellStyle name="40% - Accent2 2 5 6 2" xfId="10717" xr:uid="{00000000-0005-0000-0000-0000B1410000}"/>
    <cellStyle name="40% - Accent2 2 5 7" xfId="18523" xr:uid="{00000000-0005-0000-0000-0000B2410000}"/>
    <cellStyle name="40% - Accent2 2 5 8" xfId="34946" xr:uid="{00000000-0005-0000-0000-0000B3410000}"/>
    <cellStyle name="40% - Accent2 2 6" xfId="14718" xr:uid="{00000000-0005-0000-0000-0000B4410000}"/>
    <cellStyle name="40% - Accent2 2 6 2" xfId="29735" xr:uid="{00000000-0005-0000-0000-0000B5410000}"/>
    <cellStyle name="40% - Accent2 2 6 2 2" xfId="14716" xr:uid="{00000000-0005-0000-0000-0000B6410000}"/>
    <cellStyle name="40% - Accent2 2 6 2 2 2" xfId="14714" xr:uid="{00000000-0005-0000-0000-0000B7410000}"/>
    <cellStyle name="40% - Accent2 2 6 2 2 2 2" xfId="16366" xr:uid="{00000000-0005-0000-0000-0000B8410000}"/>
    <cellStyle name="40% - Accent2 2 6 2 2 2 2 2" xfId="16922" xr:uid="{00000000-0005-0000-0000-0000B9410000}"/>
    <cellStyle name="40% - Accent2 2 6 2 2 2 3" xfId="14713" xr:uid="{00000000-0005-0000-0000-0000BA410000}"/>
    <cellStyle name="40% - Accent2 2 6 2 2 3" xfId="14711" xr:uid="{00000000-0005-0000-0000-0000BB410000}"/>
    <cellStyle name="40% - Accent2 2 6 2 2 3 2" xfId="26958" xr:uid="{00000000-0005-0000-0000-0000BC410000}"/>
    <cellStyle name="40% - Accent2 2 6 2 2 4" xfId="14710" xr:uid="{00000000-0005-0000-0000-0000BD410000}"/>
    <cellStyle name="40% - Accent2 2 6 2 3" xfId="17195" xr:uid="{00000000-0005-0000-0000-0000BE410000}"/>
    <cellStyle name="40% - Accent2 2 6 2 3 2" xfId="14708" xr:uid="{00000000-0005-0000-0000-0000BF410000}"/>
    <cellStyle name="40% - Accent2 2 6 2 3 2 2" xfId="17832" xr:uid="{00000000-0005-0000-0000-0000C0410000}"/>
    <cellStyle name="40% - Accent2 2 6 2 3 3" xfId="14707" xr:uid="{00000000-0005-0000-0000-0000C1410000}"/>
    <cellStyle name="40% - Accent2 2 6 2 4" xfId="17192" xr:uid="{00000000-0005-0000-0000-0000C2410000}"/>
    <cellStyle name="40% - Accent2 2 6 2 4 2" xfId="14706" xr:uid="{00000000-0005-0000-0000-0000C3410000}"/>
    <cellStyle name="40% - Accent2 2 6 2 5" xfId="17323" xr:uid="{00000000-0005-0000-0000-0000C4410000}"/>
    <cellStyle name="40% - Accent2 2 6 3" xfId="14704" xr:uid="{00000000-0005-0000-0000-0000C5410000}"/>
    <cellStyle name="40% - Accent2 2 6 3 2" xfId="33363" xr:uid="{00000000-0005-0000-0000-0000C6410000}"/>
    <cellStyle name="40% - Accent2 2 6 3 2 2" xfId="26880" xr:uid="{00000000-0005-0000-0000-0000C7410000}"/>
    <cellStyle name="40% - Accent2 2 6 3 2 2 2" xfId="31919" xr:uid="{00000000-0005-0000-0000-0000C8410000}"/>
    <cellStyle name="40% - Accent2 2 6 3 2 3" xfId="26874" xr:uid="{00000000-0005-0000-0000-0000C9410000}"/>
    <cellStyle name="40% - Accent2 2 6 3 3" xfId="14703" xr:uid="{00000000-0005-0000-0000-0000CA410000}"/>
    <cellStyle name="40% - Accent2 2 6 3 3 2" xfId="26859" xr:uid="{00000000-0005-0000-0000-0000CB410000}"/>
    <cellStyle name="40% - Accent2 2 6 3 4" xfId="17320" xr:uid="{00000000-0005-0000-0000-0000CC410000}"/>
    <cellStyle name="40% - Accent2 2 6 4" xfId="14699" xr:uid="{00000000-0005-0000-0000-0000CD410000}"/>
    <cellStyle name="40% - Accent2 2 6 4 2" xfId="9240" xr:uid="{00000000-0005-0000-0000-0000CE410000}"/>
    <cellStyle name="40% - Accent2 2 6 4 2 2" xfId="5469" xr:uid="{00000000-0005-0000-0000-0000CF410000}"/>
    <cellStyle name="40% - Accent2 2 6 4 3" xfId="14689" xr:uid="{00000000-0005-0000-0000-0000D0410000}"/>
    <cellStyle name="40% - Accent2 2 6 5" xfId="14685" xr:uid="{00000000-0005-0000-0000-0000D1410000}"/>
    <cellStyle name="40% - Accent2 2 6 5 2" xfId="10697" xr:uid="{00000000-0005-0000-0000-0000D2410000}"/>
    <cellStyle name="40% - Accent2 2 6 6" xfId="14680" xr:uid="{00000000-0005-0000-0000-0000D3410000}"/>
    <cellStyle name="40% - Accent2 2 6 7" xfId="35151" xr:uid="{00000000-0005-0000-0000-0000D4410000}"/>
    <cellStyle name="40% - Accent2 2 7" xfId="14677" xr:uid="{00000000-0005-0000-0000-0000D5410000}"/>
    <cellStyle name="40% - Accent2 2 7 2" xfId="33288" xr:uid="{00000000-0005-0000-0000-0000D6410000}"/>
    <cellStyle name="40% - Accent2 2 7 2 2" xfId="31446" xr:uid="{00000000-0005-0000-0000-0000D7410000}"/>
    <cellStyle name="40% - Accent2 2 7 2 2 2" xfId="32950" xr:uid="{00000000-0005-0000-0000-0000D8410000}"/>
    <cellStyle name="40% - Accent2 2 7 2 2 2 2" xfId="14675" xr:uid="{00000000-0005-0000-0000-0000D9410000}"/>
    <cellStyle name="40% - Accent2 2 7 2 2 3" xfId="32599" xr:uid="{00000000-0005-0000-0000-0000DA410000}"/>
    <cellStyle name="40% - Accent2 2 7 2 3" xfId="32336" xr:uid="{00000000-0005-0000-0000-0000DB410000}"/>
    <cellStyle name="40% - Accent2 2 7 2 3 2" xfId="32594" xr:uid="{00000000-0005-0000-0000-0000DC410000}"/>
    <cellStyle name="40% - Accent2 2 7 2 4" xfId="6276" xr:uid="{00000000-0005-0000-0000-0000DD410000}"/>
    <cellStyle name="40% - Accent2 2 7 3" xfId="32055" xr:uid="{00000000-0005-0000-0000-0000DE410000}"/>
    <cellStyle name="40% - Accent2 2 7 3 2" xfId="32071" xr:uid="{00000000-0005-0000-0000-0000DF410000}"/>
    <cellStyle name="40% - Accent2 2 7 3 2 2" xfId="20442" xr:uid="{00000000-0005-0000-0000-0000E0410000}"/>
    <cellStyle name="40% - Accent2 2 7 3 3" xfId="31809" xr:uid="{00000000-0005-0000-0000-0000E1410000}"/>
    <cellStyle name="40% - Accent2 2 7 4" xfId="31068" xr:uid="{00000000-0005-0000-0000-0000E2410000}"/>
    <cellStyle name="40% - Accent2 2 7 4 2" xfId="5464" xr:uid="{00000000-0005-0000-0000-0000E3410000}"/>
    <cellStyle name="40% - Accent2 2 7 5" xfId="22161" xr:uid="{00000000-0005-0000-0000-0000E4410000}"/>
    <cellStyle name="40% - Accent2 2 7 6" xfId="35380" xr:uid="{00000000-0005-0000-0000-0000E5410000}"/>
    <cellStyle name="40% - Accent2 2 8" xfId="14674" xr:uid="{00000000-0005-0000-0000-0000E6410000}"/>
    <cellStyle name="40% - Accent2 2 8 2" xfId="25345" xr:uid="{00000000-0005-0000-0000-0000E7410000}"/>
    <cellStyle name="40% - Accent2 2 8 2 2" xfId="32498" xr:uid="{00000000-0005-0000-0000-0000E8410000}"/>
    <cellStyle name="40% - Accent2 2 8 2 2 2" xfId="6009" xr:uid="{00000000-0005-0000-0000-0000E9410000}"/>
    <cellStyle name="40% - Accent2 2 8 2 3" xfId="29485" xr:uid="{00000000-0005-0000-0000-0000EA410000}"/>
    <cellStyle name="40% - Accent2 2 8 3" xfId="33656" xr:uid="{00000000-0005-0000-0000-0000EB410000}"/>
    <cellStyle name="40% - Accent2 2 8 3 2" xfId="32495" xr:uid="{00000000-0005-0000-0000-0000EC410000}"/>
    <cellStyle name="40% - Accent2 2 8 4" xfId="31054" xr:uid="{00000000-0005-0000-0000-0000ED410000}"/>
    <cellStyle name="40% - Accent2 2 8 5" xfId="36252" xr:uid="{00000000-0005-0000-0000-0000EE410000}"/>
    <cellStyle name="40% - Accent2 2 9" xfId="28702" xr:uid="{00000000-0005-0000-0000-0000EF410000}"/>
    <cellStyle name="40% - Accent2 2 9 2" xfId="33929" xr:uid="{00000000-0005-0000-0000-0000F0410000}"/>
    <cellStyle name="40% - Accent2 2 9 2 2" xfId="32472" xr:uid="{00000000-0005-0000-0000-0000F1410000}"/>
    <cellStyle name="40% - Accent2 2 9 3" xfId="32467" xr:uid="{00000000-0005-0000-0000-0000F2410000}"/>
    <cellStyle name="40% - Accent2 2 9 4" xfId="36538" xr:uid="{00000000-0005-0000-0000-0000F3410000}"/>
    <cellStyle name="40% - Accent2 20" xfId="35702" xr:uid="{00000000-0005-0000-0000-0000F4410000}"/>
    <cellStyle name="40% - Accent2 20 2" xfId="36871" xr:uid="{00000000-0005-0000-0000-0000F5410000}"/>
    <cellStyle name="40% - Accent2 20 3" xfId="37762" xr:uid="{00000000-0005-0000-0000-0000F6410000}"/>
    <cellStyle name="40% - Accent2 21" xfId="35721" xr:uid="{00000000-0005-0000-0000-0000F7410000}"/>
    <cellStyle name="40% - Accent2 21 2" xfId="36891" xr:uid="{00000000-0005-0000-0000-0000F8410000}"/>
    <cellStyle name="40% - Accent2 21 3" xfId="37782" xr:uid="{00000000-0005-0000-0000-0000F9410000}"/>
    <cellStyle name="40% - Accent2 22" xfId="35740" xr:uid="{00000000-0005-0000-0000-0000FA410000}"/>
    <cellStyle name="40% - Accent2 22 2" xfId="36911" xr:uid="{00000000-0005-0000-0000-0000FB410000}"/>
    <cellStyle name="40% - Accent2 22 3" xfId="37802" xr:uid="{00000000-0005-0000-0000-0000FC410000}"/>
    <cellStyle name="40% - Accent2 23" xfId="35760" xr:uid="{00000000-0005-0000-0000-0000FD410000}"/>
    <cellStyle name="40% - Accent2 23 2" xfId="36930" xr:uid="{00000000-0005-0000-0000-0000FE410000}"/>
    <cellStyle name="40% - Accent2 23 3" xfId="37822" xr:uid="{00000000-0005-0000-0000-0000FF410000}"/>
    <cellStyle name="40% - Accent2 24" xfId="35780" xr:uid="{00000000-0005-0000-0000-000000420000}"/>
    <cellStyle name="40% - Accent2 24 2" xfId="36949" xr:uid="{00000000-0005-0000-0000-000001420000}"/>
    <cellStyle name="40% - Accent2 24 3" xfId="37842" xr:uid="{00000000-0005-0000-0000-000002420000}"/>
    <cellStyle name="40% - Accent2 25" xfId="35799" xr:uid="{00000000-0005-0000-0000-000003420000}"/>
    <cellStyle name="40% - Accent2 25 2" xfId="36969" xr:uid="{00000000-0005-0000-0000-000004420000}"/>
    <cellStyle name="40% - Accent2 25 3" xfId="37862" xr:uid="{00000000-0005-0000-0000-000005420000}"/>
    <cellStyle name="40% - Accent2 26" xfId="35818" xr:uid="{00000000-0005-0000-0000-000006420000}"/>
    <cellStyle name="40% - Accent2 26 2" xfId="36989" xr:uid="{00000000-0005-0000-0000-000007420000}"/>
    <cellStyle name="40% - Accent2 26 3" xfId="37882" xr:uid="{00000000-0005-0000-0000-000008420000}"/>
    <cellStyle name="40% - Accent2 27" xfId="35837" xr:uid="{00000000-0005-0000-0000-000009420000}"/>
    <cellStyle name="40% - Accent2 27 2" xfId="37009" xr:uid="{00000000-0005-0000-0000-00000A420000}"/>
    <cellStyle name="40% - Accent2 27 3" xfId="37902" xr:uid="{00000000-0005-0000-0000-00000B420000}"/>
    <cellStyle name="40% - Accent2 28" xfId="35856" xr:uid="{00000000-0005-0000-0000-00000C420000}"/>
    <cellStyle name="40% - Accent2 28 2" xfId="37029" xr:uid="{00000000-0005-0000-0000-00000D420000}"/>
    <cellStyle name="40% - Accent2 28 3" xfId="37922" xr:uid="{00000000-0005-0000-0000-00000E420000}"/>
    <cellStyle name="40% - Accent2 29" xfId="35878" xr:uid="{00000000-0005-0000-0000-00000F420000}"/>
    <cellStyle name="40% - Accent2 29 2" xfId="37050" xr:uid="{00000000-0005-0000-0000-000010420000}"/>
    <cellStyle name="40% - Accent2 29 3" xfId="37944" xr:uid="{00000000-0005-0000-0000-000011420000}"/>
    <cellStyle name="40% - Accent2 3" xfId="102" xr:uid="{00000000-0005-0000-0000-000012420000}"/>
    <cellStyle name="40% - Accent2 3 10" xfId="14672" xr:uid="{00000000-0005-0000-0000-000013420000}"/>
    <cellStyle name="40% - Accent2 3 10 2" xfId="37442" xr:uid="{00000000-0005-0000-0000-000014420000}"/>
    <cellStyle name="40% - Accent2 3 11" xfId="34456" xr:uid="{00000000-0005-0000-0000-000015420000}"/>
    <cellStyle name="40% - Accent2 3 12" xfId="30302" xr:uid="{00000000-0005-0000-0000-000016420000}"/>
    <cellStyle name="40% - Accent2 3 2" xfId="163" xr:uid="{00000000-0005-0000-0000-000017420000}"/>
    <cellStyle name="40% - Accent2 3 2 10" xfId="34510" xr:uid="{00000000-0005-0000-0000-000018420000}"/>
    <cellStyle name="40% - Accent2 3 2 11" xfId="33303" xr:uid="{00000000-0005-0000-0000-000019420000}"/>
    <cellStyle name="40% - Accent2 3 2 2" xfId="33608" xr:uid="{00000000-0005-0000-0000-00001A420000}"/>
    <cellStyle name="40% - Accent2 3 2 2 2" xfId="14671" xr:uid="{00000000-0005-0000-0000-00001B420000}"/>
    <cellStyle name="40% - Accent2 3 2 2 2 2" xfId="14670" xr:uid="{00000000-0005-0000-0000-00001C420000}"/>
    <cellStyle name="40% - Accent2 3 2 2 2 2 2" xfId="14669" xr:uid="{00000000-0005-0000-0000-00001D420000}"/>
    <cellStyle name="40% - Accent2 3 2 2 2 2 2 2" xfId="30611" xr:uid="{00000000-0005-0000-0000-00001E420000}"/>
    <cellStyle name="40% - Accent2 3 2 2 2 2 2 2 2" xfId="20589" xr:uid="{00000000-0005-0000-0000-00001F420000}"/>
    <cellStyle name="40% - Accent2 3 2 2 2 2 2 2 2 2" xfId="27014" xr:uid="{00000000-0005-0000-0000-000020420000}"/>
    <cellStyle name="40% - Accent2 3 2 2 2 2 2 2 2 2 2" xfId="26292" xr:uid="{00000000-0005-0000-0000-000021420000}"/>
    <cellStyle name="40% - Accent2 3 2 2 2 2 2 2 2 3" xfId="22017" xr:uid="{00000000-0005-0000-0000-000022420000}"/>
    <cellStyle name="40% - Accent2 3 2 2 2 2 2 2 3" xfId="20928" xr:uid="{00000000-0005-0000-0000-000023420000}"/>
    <cellStyle name="40% - Accent2 3 2 2 2 2 2 2 3 2" xfId="22001" xr:uid="{00000000-0005-0000-0000-000024420000}"/>
    <cellStyle name="40% - Accent2 3 2 2 2 2 2 2 4" xfId="19962" xr:uid="{00000000-0005-0000-0000-000025420000}"/>
    <cellStyle name="40% - Accent2 3 2 2 2 2 2 3" xfId="14668" xr:uid="{00000000-0005-0000-0000-000026420000}"/>
    <cellStyle name="40% - Accent2 3 2 2 2 2 2 3 2" xfId="33333" xr:uid="{00000000-0005-0000-0000-000027420000}"/>
    <cellStyle name="40% - Accent2 3 2 2 2 2 2 3 2 2" xfId="23690" xr:uid="{00000000-0005-0000-0000-000028420000}"/>
    <cellStyle name="40% - Accent2 3 2 2 2 2 2 3 3" xfId="32781" xr:uid="{00000000-0005-0000-0000-000029420000}"/>
    <cellStyle name="40% - Accent2 3 2 2 2 2 2 4" xfId="17108" xr:uid="{00000000-0005-0000-0000-00002A420000}"/>
    <cellStyle name="40% - Accent2 3 2 2 2 2 2 4 2" xfId="32765" xr:uid="{00000000-0005-0000-0000-00002B420000}"/>
    <cellStyle name="40% - Accent2 3 2 2 2 2 2 5" xfId="14667" xr:uid="{00000000-0005-0000-0000-00002C420000}"/>
    <cellStyle name="40% - Accent2 3 2 2 2 2 3" xfId="14666" xr:uid="{00000000-0005-0000-0000-00002D420000}"/>
    <cellStyle name="40% - Accent2 3 2 2 2 2 3 2" xfId="14664" xr:uid="{00000000-0005-0000-0000-00002E420000}"/>
    <cellStyle name="40% - Accent2 3 2 2 2 2 3 2 2" xfId="29446" xr:uid="{00000000-0005-0000-0000-00002F420000}"/>
    <cellStyle name="40% - Accent2 3 2 2 2 2 3 2 2 2" xfId="21797" xr:uid="{00000000-0005-0000-0000-000030420000}"/>
    <cellStyle name="40% - Accent2 3 2 2 2 2 3 2 3" xfId="30763" xr:uid="{00000000-0005-0000-0000-000031420000}"/>
    <cellStyle name="40% - Accent2 3 2 2 2 2 3 3" xfId="14663" xr:uid="{00000000-0005-0000-0000-000032420000}"/>
    <cellStyle name="40% - Accent2 3 2 2 2 2 3 3 2" xfId="32742" xr:uid="{00000000-0005-0000-0000-000033420000}"/>
    <cellStyle name="40% - Accent2 3 2 2 2 2 3 4" xfId="14662" xr:uid="{00000000-0005-0000-0000-000034420000}"/>
    <cellStyle name="40% - Accent2 3 2 2 2 2 4" xfId="14786" xr:uid="{00000000-0005-0000-0000-000035420000}"/>
    <cellStyle name="40% - Accent2 3 2 2 2 2 4 2" xfId="14661" xr:uid="{00000000-0005-0000-0000-000036420000}"/>
    <cellStyle name="40% - Accent2 3 2 2 2 2 4 2 2" xfId="30202" xr:uid="{00000000-0005-0000-0000-000037420000}"/>
    <cellStyle name="40% - Accent2 3 2 2 2 2 4 3" xfId="14659" xr:uid="{00000000-0005-0000-0000-000038420000}"/>
    <cellStyle name="40% - Accent2 3 2 2 2 2 5" xfId="14778" xr:uid="{00000000-0005-0000-0000-000039420000}"/>
    <cellStyle name="40% - Accent2 3 2 2 2 2 5 2" xfId="14656" xr:uid="{00000000-0005-0000-0000-00003A420000}"/>
    <cellStyle name="40% - Accent2 3 2 2 2 2 6" xfId="14770" xr:uid="{00000000-0005-0000-0000-00003B420000}"/>
    <cellStyle name="40% - Accent2 3 2 2 2 3" xfId="14654" xr:uid="{00000000-0005-0000-0000-00003C420000}"/>
    <cellStyle name="40% - Accent2 3 2 2 2 3 2" xfId="14653" xr:uid="{00000000-0005-0000-0000-00003D420000}"/>
    <cellStyle name="40% - Accent2 3 2 2 2 3 2 2" xfId="14652" xr:uid="{00000000-0005-0000-0000-00003E420000}"/>
    <cellStyle name="40% - Accent2 3 2 2 2 3 2 2 2" xfId="28560" xr:uid="{00000000-0005-0000-0000-00003F420000}"/>
    <cellStyle name="40% - Accent2 3 2 2 2 3 2 2 2 2" xfId="21477" xr:uid="{00000000-0005-0000-0000-000040420000}"/>
    <cellStyle name="40% - Accent2 3 2 2 2 3 2 2 3" xfId="28551" xr:uid="{00000000-0005-0000-0000-000041420000}"/>
    <cellStyle name="40% - Accent2 3 2 2 2 3 2 3" xfId="14651" xr:uid="{00000000-0005-0000-0000-000042420000}"/>
    <cellStyle name="40% - Accent2 3 2 2 2 3 2 3 2" xfId="28537" xr:uid="{00000000-0005-0000-0000-000043420000}"/>
    <cellStyle name="40% - Accent2 3 2 2 2 3 2 4" xfId="14650" xr:uid="{00000000-0005-0000-0000-000044420000}"/>
    <cellStyle name="40% - Accent2 3 2 2 2 3 3" xfId="14647" xr:uid="{00000000-0005-0000-0000-000045420000}"/>
    <cellStyle name="40% - Accent2 3 2 2 2 3 3 2" xfId="14646" xr:uid="{00000000-0005-0000-0000-000046420000}"/>
    <cellStyle name="40% - Accent2 3 2 2 2 3 3 2 2" xfId="33636" xr:uid="{00000000-0005-0000-0000-000047420000}"/>
    <cellStyle name="40% - Accent2 3 2 2 2 3 3 3" xfId="14645" xr:uid="{00000000-0005-0000-0000-000048420000}"/>
    <cellStyle name="40% - Accent2 3 2 2 2 3 4" xfId="14764" xr:uid="{00000000-0005-0000-0000-000049420000}"/>
    <cellStyle name="40% - Accent2 3 2 2 2 3 4 2" xfId="14644" xr:uid="{00000000-0005-0000-0000-00004A420000}"/>
    <cellStyle name="40% - Accent2 3 2 2 2 3 5" xfId="14757" xr:uid="{00000000-0005-0000-0000-00004B420000}"/>
    <cellStyle name="40% - Accent2 3 2 2 2 4" xfId="14641" xr:uid="{00000000-0005-0000-0000-00004C420000}"/>
    <cellStyle name="40% - Accent2 3 2 2 2 4 2" xfId="14640" xr:uid="{00000000-0005-0000-0000-00004D420000}"/>
    <cellStyle name="40% - Accent2 3 2 2 2 4 2 2" xfId="14639" xr:uid="{00000000-0005-0000-0000-00004E420000}"/>
    <cellStyle name="40% - Accent2 3 2 2 2 4 2 2 2" xfId="28147" xr:uid="{00000000-0005-0000-0000-00004F420000}"/>
    <cellStyle name="40% - Accent2 3 2 2 2 4 2 3" xfId="14638" xr:uid="{00000000-0005-0000-0000-000050420000}"/>
    <cellStyle name="40% - Accent2 3 2 2 2 4 3" xfId="31488" xr:uid="{00000000-0005-0000-0000-000051420000}"/>
    <cellStyle name="40% - Accent2 3 2 2 2 4 3 2" xfId="14636" xr:uid="{00000000-0005-0000-0000-000052420000}"/>
    <cellStyle name="40% - Accent2 3 2 2 2 4 4" xfId="14754" xr:uid="{00000000-0005-0000-0000-000053420000}"/>
    <cellStyle name="40% - Accent2 3 2 2 2 5" xfId="14635" xr:uid="{00000000-0005-0000-0000-000054420000}"/>
    <cellStyle name="40% - Accent2 3 2 2 2 5 2" xfId="14634" xr:uid="{00000000-0005-0000-0000-000055420000}"/>
    <cellStyle name="40% - Accent2 3 2 2 2 5 2 2" xfId="9169" xr:uid="{00000000-0005-0000-0000-000056420000}"/>
    <cellStyle name="40% - Accent2 3 2 2 2 5 3" xfId="14633" xr:uid="{00000000-0005-0000-0000-000057420000}"/>
    <cellStyle name="40% - Accent2 3 2 2 2 6" xfId="14632" xr:uid="{00000000-0005-0000-0000-000058420000}"/>
    <cellStyle name="40% - Accent2 3 2 2 2 6 2" xfId="14631" xr:uid="{00000000-0005-0000-0000-000059420000}"/>
    <cellStyle name="40% - Accent2 3 2 2 2 7" xfId="14629" xr:uid="{00000000-0005-0000-0000-00005A420000}"/>
    <cellStyle name="40% - Accent2 3 2 2 3" xfId="12574" xr:uid="{00000000-0005-0000-0000-00005B420000}"/>
    <cellStyle name="40% - Accent2 3 2 2 3 2" xfId="14626" xr:uid="{00000000-0005-0000-0000-00005C420000}"/>
    <cellStyle name="40% - Accent2 3 2 2 3 2 2" xfId="14625" xr:uid="{00000000-0005-0000-0000-00005D420000}"/>
    <cellStyle name="40% - Accent2 3 2 2 3 2 2 2" xfId="15461" xr:uid="{00000000-0005-0000-0000-00005E420000}"/>
    <cellStyle name="40% - Accent2 3 2 2 3 2 2 2 2" xfId="26715" xr:uid="{00000000-0005-0000-0000-00005F420000}"/>
    <cellStyle name="40% - Accent2 3 2 2 3 2 2 2 2 2" xfId="20763" xr:uid="{00000000-0005-0000-0000-000060420000}"/>
    <cellStyle name="40% - Accent2 3 2 2 3 2 2 2 3" xfId="26690" xr:uid="{00000000-0005-0000-0000-000061420000}"/>
    <cellStyle name="40% - Accent2 3 2 2 3 2 2 3" xfId="14624" xr:uid="{00000000-0005-0000-0000-000062420000}"/>
    <cellStyle name="40% - Accent2 3 2 2 3 2 2 3 2" xfId="11639" xr:uid="{00000000-0005-0000-0000-000063420000}"/>
    <cellStyle name="40% - Accent2 3 2 2 3 2 2 4" xfId="14623" xr:uid="{00000000-0005-0000-0000-000064420000}"/>
    <cellStyle name="40% - Accent2 3 2 2 3 2 3" xfId="28764" xr:uid="{00000000-0005-0000-0000-000065420000}"/>
    <cellStyle name="40% - Accent2 3 2 2 3 2 3 2" xfId="14621" xr:uid="{00000000-0005-0000-0000-000066420000}"/>
    <cellStyle name="40% - Accent2 3 2 2 3 2 3 2 2" xfId="29131" xr:uid="{00000000-0005-0000-0000-000067420000}"/>
    <cellStyle name="40% - Accent2 3 2 2 3 2 3 3" xfId="14619" xr:uid="{00000000-0005-0000-0000-000068420000}"/>
    <cellStyle name="40% - Accent2 3 2 2 3 2 4" xfId="14747" xr:uid="{00000000-0005-0000-0000-000069420000}"/>
    <cellStyle name="40% - Accent2 3 2 2 3 2 4 2" xfId="14618" xr:uid="{00000000-0005-0000-0000-00006A420000}"/>
    <cellStyle name="40% - Accent2 3 2 2 3 2 5" xfId="14743" xr:uid="{00000000-0005-0000-0000-00006B420000}"/>
    <cellStyle name="40% - Accent2 3 2 2 3 3" xfId="14616" xr:uid="{00000000-0005-0000-0000-00006C420000}"/>
    <cellStyle name="40% - Accent2 3 2 2 3 3 2" xfId="14615" xr:uid="{00000000-0005-0000-0000-00006D420000}"/>
    <cellStyle name="40% - Accent2 3 2 2 3 3 2 2" xfId="34366" xr:uid="{00000000-0005-0000-0000-00006E420000}"/>
    <cellStyle name="40% - Accent2 3 2 2 3 3 2 2 2" xfId="27536" xr:uid="{00000000-0005-0000-0000-00006F420000}"/>
    <cellStyle name="40% - Accent2 3 2 2 3 3 2 3" xfId="30571" xr:uid="{00000000-0005-0000-0000-000070420000}"/>
    <cellStyle name="40% - Accent2 3 2 2 3 3 3" xfId="14614" xr:uid="{00000000-0005-0000-0000-000071420000}"/>
    <cellStyle name="40% - Accent2 3 2 2 3 3 3 2" xfId="33976" xr:uid="{00000000-0005-0000-0000-000072420000}"/>
    <cellStyle name="40% - Accent2 3 2 2 3 3 4" xfId="14739" xr:uid="{00000000-0005-0000-0000-000073420000}"/>
    <cellStyle name="40% - Accent2 3 2 2 3 4" xfId="7046" xr:uid="{00000000-0005-0000-0000-000074420000}"/>
    <cellStyle name="40% - Accent2 3 2 2 3 4 2" xfId="14613" xr:uid="{00000000-0005-0000-0000-000075420000}"/>
    <cellStyle name="40% - Accent2 3 2 2 3 4 2 2" xfId="29696" xr:uid="{00000000-0005-0000-0000-000076420000}"/>
    <cellStyle name="40% - Accent2 3 2 2 3 4 3" xfId="14612" xr:uid="{00000000-0005-0000-0000-000077420000}"/>
    <cellStyle name="40% - Accent2 3 2 2 3 5" xfId="10398" xr:uid="{00000000-0005-0000-0000-000078420000}"/>
    <cellStyle name="40% - Accent2 3 2 2 3 5 2" xfId="14611" xr:uid="{00000000-0005-0000-0000-000079420000}"/>
    <cellStyle name="40% - Accent2 3 2 2 3 6" xfId="7041" xr:uid="{00000000-0005-0000-0000-00007A420000}"/>
    <cellStyle name="40% - Accent2 3 2 2 4" xfId="14610" xr:uid="{00000000-0005-0000-0000-00007B420000}"/>
    <cellStyle name="40% - Accent2 3 2 2 4 2" xfId="14608" xr:uid="{00000000-0005-0000-0000-00007C420000}"/>
    <cellStyle name="40% - Accent2 3 2 2 4 2 2" xfId="14607" xr:uid="{00000000-0005-0000-0000-00007D420000}"/>
    <cellStyle name="40% - Accent2 3 2 2 4 2 2 2" xfId="8389" xr:uid="{00000000-0005-0000-0000-00007E420000}"/>
    <cellStyle name="40% - Accent2 3 2 2 4 2 2 2 2" xfId="31909" xr:uid="{00000000-0005-0000-0000-00007F420000}"/>
    <cellStyle name="40% - Accent2 3 2 2 4 2 2 3" xfId="20588" xr:uid="{00000000-0005-0000-0000-000080420000}"/>
    <cellStyle name="40% - Accent2 3 2 2 4 2 3" xfId="14606" xr:uid="{00000000-0005-0000-0000-000081420000}"/>
    <cellStyle name="40% - Accent2 3 2 2 4 2 3 2" xfId="17779" xr:uid="{00000000-0005-0000-0000-000082420000}"/>
    <cellStyle name="40% - Accent2 3 2 2 4 2 4" xfId="14728" xr:uid="{00000000-0005-0000-0000-000083420000}"/>
    <cellStyle name="40% - Accent2 3 2 2 4 3" xfId="14605" xr:uid="{00000000-0005-0000-0000-000084420000}"/>
    <cellStyle name="40% - Accent2 3 2 2 4 3 2" xfId="14604" xr:uid="{00000000-0005-0000-0000-000085420000}"/>
    <cellStyle name="40% - Accent2 3 2 2 4 3 2 2" xfId="28442" xr:uid="{00000000-0005-0000-0000-000086420000}"/>
    <cellStyle name="40% - Accent2 3 2 2 4 3 3" xfId="14603" xr:uid="{00000000-0005-0000-0000-000087420000}"/>
    <cellStyle name="40% - Accent2 3 2 2 4 4" xfId="7039" xr:uid="{00000000-0005-0000-0000-000088420000}"/>
    <cellStyle name="40% - Accent2 3 2 2 4 4 2" xfId="14602" xr:uid="{00000000-0005-0000-0000-000089420000}"/>
    <cellStyle name="40% - Accent2 3 2 2 4 5" xfId="13782" xr:uid="{00000000-0005-0000-0000-00008A420000}"/>
    <cellStyle name="40% - Accent2 3 2 2 5" xfId="14600" xr:uid="{00000000-0005-0000-0000-00008B420000}"/>
    <cellStyle name="40% - Accent2 3 2 2 5 2" xfId="6881" xr:uid="{00000000-0005-0000-0000-00008C420000}"/>
    <cellStyle name="40% - Accent2 3 2 2 5 2 2" xfId="14599" xr:uid="{00000000-0005-0000-0000-00008D420000}"/>
    <cellStyle name="40% - Accent2 3 2 2 5 2 2 2" xfId="34314" xr:uid="{00000000-0005-0000-0000-00008E420000}"/>
    <cellStyle name="40% - Accent2 3 2 2 5 2 3" xfId="14597" xr:uid="{00000000-0005-0000-0000-00008F420000}"/>
    <cellStyle name="40% - Accent2 3 2 2 5 3" xfId="14596" xr:uid="{00000000-0005-0000-0000-000090420000}"/>
    <cellStyle name="40% - Accent2 3 2 2 5 3 2" xfId="14595" xr:uid="{00000000-0005-0000-0000-000091420000}"/>
    <cellStyle name="40% - Accent2 3 2 2 5 4" xfId="7034" xr:uid="{00000000-0005-0000-0000-000092420000}"/>
    <cellStyle name="40% - Accent2 3 2 2 6" xfId="24103" xr:uid="{00000000-0005-0000-0000-000093420000}"/>
    <cellStyle name="40% - Accent2 3 2 2 6 2" xfId="25066" xr:uid="{00000000-0005-0000-0000-000094420000}"/>
    <cellStyle name="40% - Accent2 3 2 2 6 2 2" xfId="32852" xr:uid="{00000000-0005-0000-0000-000095420000}"/>
    <cellStyle name="40% - Accent2 3 2 2 6 3" xfId="33649" xr:uid="{00000000-0005-0000-0000-000096420000}"/>
    <cellStyle name="40% - Accent2 3 2 2 7" xfId="33021" xr:uid="{00000000-0005-0000-0000-000097420000}"/>
    <cellStyle name="40% - Accent2 3 2 2 7 2" xfId="33831" xr:uid="{00000000-0005-0000-0000-000098420000}"/>
    <cellStyle name="40% - Accent2 3 2 2 8" xfId="31097" xr:uid="{00000000-0005-0000-0000-000099420000}"/>
    <cellStyle name="40% - Accent2 3 2 3" xfId="20467" xr:uid="{00000000-0005-0000-0000-00009A420000}"/>
    <cellStyle name="40% - Accent2 3 2 3 2" xfId="20516" xr:uid="{00000000-0005-0000-0000-00009B420000}"/>
    <cellStyle name="40% - Accent2 3 2 3 2 2" xfId="20104" xr:uid="{00000000-0005-0000-0000-00009C420000}"/>
    <cellStyle name="40% - Accent2 3 2 3 2 2 2" xfId="20101" xr:uid="{00000000-0005-0000-0000-00009D420000}"/>
    <cellStyle name="40% - Accent2 3 2 3 2 2 2 2" xfId="34163" xr:uid="{00000000-0005-0000-0000-00009E420000}"/>
    <cellStyle name="40% - Accent2 3 2 3 2 2 2 2 2" xfId="19208" xr:uid="{00000000-0005-0000-0000-00009F420000}"/>
    <cellStyle name="40% - Accent2 3 2 3 2 2 2 2 2 2" xfId="19887" xr:uid="{00000000-0005-0000-0000-0000A0420000}"/>
    <cellStyle name="40% - Accent2 3 2 3 2 2 2 2 3" xfId="19204" xr:uid="{00000000-0005-0000-0000-0000A1420000}"/>
    <cellStyle name="40% - Accent2 3 2 3 2 2 2 3" xfId="34149" xr:uid="{00000000-0005-0000-0000-0000A2420000}"/>
    <cellStyle name="40% - Accent2 3 2 3 2 2 2 3 2" xfId="19183" xr:uid="{00000000-0005-0000-0000-0000A3420000}"/>
    <cellStyle name="40% - Accent2 3 2 3 2 2 2 4" xfId="14594" xr:uid="{00000000-0005-0000-0000-0000A4420000}"/>
    <cellStyle name="40% - Accent2 3 2 3 2 2 3" xfId="19369" xr:uid="{00000000-0005-0000-0000-0000A5420000}"/>
    <cellStyle name="40% - Accent2 3 2 3 2 2 3 2" xfId="17295" xr:uid="{00000000-0005-0000-0000-0000A6420000}"/>
    <cellStyle name="40% - Accent2 3 2 3 2 2 3 2 2" xfId="19088" xr:uid="{00000000-0005-0000-0000-0000A7420000}"/>
    <cellStyle name="40% - Accent2 3 2 3 2 2 3 3" xfId="14593" xr:uid="{00000000-0005-0000-0000-0000A8420000}"/>
    <cellStyle name="40% - Accent2 3 2 3 2 2 4" xfId="19365" xr:uid="{00000000-0005-0000-0000-0000A9420000}"/>
    <cellStyle name="40% - Accent2 3 2 3 2 2 4 2" xfId="14591" xr:uid="{00000000-0005-0000-0000-0000AA420000}"/>
    <cellStyle name="40% - Accent2 3 2 3 2 2 5" xfId="19359" xr:uid="{00000000-0005-0000-0000-0000AB420000}"/>
    <cellStyle name="40% - Accent2 3 2 3 2 3" xfId="19693" xr:uid="{00000000-0005-0000-0000-0000AC420000}"/>
    <cellStyle name="40% - Accent2 3 2 3 2 3 2" xfId="19357" xr:uid="{00000000-0005-0000-0000-0000AD420000}"/>
    <cellStyle name="40% - Accent2 3 2 3 2 3 2 2" xfId="17286" xr:uid="{00000000-0005-0000-0000-0000AE420000}"/>
    <cellStyle name="40% - Accent2 3 2 3 2 3 2 2 2" xfId="18614" xr:uid="{00000000-0005-0000-0000-0000AF420000}"/>
    <cellStyle name="40% - Accent2 3 2 3 2 3 2 3" xfId="14587" xr:uid="{00000000-0005-0000-0000-0000B0420000}"/>
    <cellStyle name="40% - Accent2 3 2 3 2 3 3" xfId="19353" xr:uid="{00000000-0005-0000-0000-0000B1420000}"/>
    <cellStyle name="40% - Accent2 3 2 3 2 3 3 2" xfId="11630" xr:uid="{00000000-0005-0000-0000-0000B2420000}"/>
    <cellStyle name="40% - Accent2 3 2 3 2 3 4" xfId="19346" xr:uid="{00000000-0005-0000-0000-0000B3420000}"/>
    <cellStyle name="40% - Accent2 3 2 3 2 4" xfId="19344" xr:uid="{00000000-0005-0000-0000-0000B4420000}"/>
    <cellStyle name="40% - Accent2 3 2 3 2 4 2" xfId="19342" xr:uid="{00000000-0005-0000-0000-0000B5420000}"/>
    <cellStyle name="40% - Accent2 3 2 3 2 4 2 2" xfId="14586" xr:uid="{00000000-0005-0000-0000-0000B6420000}"/>
    <cellStyle name="40% - Accent2 3 2 3 2 4 3" xfId="19336" xr:uid="{00000000-0005-0000-0000-0000B7420000}"/>
    <cellStyle name="40% - Accent2 3 2 3 2 5" xfId="19485" xr:uid="{00000000-0005-0000-0000-0000B8420000}"/>
    <cellStyle name="40% - Accent2 3 2 3 2 5 2" xfId="20182" xr:uid="{00000000-0005-0000-0000-0000B9420000}"/>
    <cellStyle name="40% - Accent2 3 2 3 2 6" xfId="19459" xr:uid="{00000000-0005-0000-0000-0000BA420000}"/>
    <cellStyle name="40% - Accent2 3 2 3 3" xfId="19412" xr:uid="{00000000-0005-0000-0000-0000BB420000}"/>
    <cellStyle name="40% - Accent2 3 2 3 3 2" xfId="30885" xr:uid="{00000000-0005-0000-0000-0000BC420000}"/>
    <cellStyle name="40% - Accent2 3 2 3 3 2 2" xfId="19332" xr:uid="{00000000-0005-0000-0000-0000BD420000}"/>
    <cellStyle name="40% - Accent2 3 2 3 3 2 2 2" xfId="17273" xr:uid="{00000000-0005-0000-0000-0000BE420000}"/>
    <cellStyle name="40% - Accent2 3 2 3 3 2 2 2 2" xfId="14585" xr:uid="{00000000-0005-0000-0000-0000BF420000}"/>
    <cellStyle name="40% - Accent2 3 2 3 3 2 2 3" xfId="14583" xr:uid="{00000000-0005-0000-0000-0000C0420000}"/>
    <cellStyle name="40% - Accent2 3 2 3 3 2 3" xfId="19329" xr:uid="{00000000-0005-0000-0000-0000C1420000}"/>
    <cellStyle name="40% - Accent2 3 2 3 3 2 3 2" xfId="14582" xr:uid="{00000000-0005-0000-0000-0000C2420000}"/>
    <cellStyle name="40% - Accent2 3 2 3 3 2 4" xfId="19324" xr:uid="{00000000-0005-0000-0000-0000C3420000}"/>
    <cellStyle name="40% - Accent2 3 2 3 3 3" xfId="19305" xr:uid="{00000000-0005-0000-0000-0000C4420000}"/>
    <cellStyle name="40% - Accent2 3 2 3 3 3 2" xfId="29059" xr:uid="{00000000-0005-0000-0000-0000C5420000}"/>
    <cellStyle name="40% - Accent2 3 2 3 3 3 2 2" xfId="32207" xr:uid="{00000000-0005-0000-0000-0000C6420000}"/>
    <cellStyle name="40% - Accent2 3 2 3 3 3 3" xfId="24425" xr:uid="{00000000-0005-0000-0000-0000C7420000}"/>
    <cellStyle name="40% - Accent2 3 2 3 3 4" xfId="7027" xr:uid="{00000000-0005-0000-0000-0000C8420000}"/>
    <cellStyle name="40% - Accent2 3 2 3 3 4 2" xfId="25165" xr:uid="{00000000-0005-0000-0000-0000C9420000}"/>
    <cellStyle name="40% - Accent2 3 2 3 3 5" xfId="7025" xr:uid="{00000000-0005-0000-0000-0000CA420000}"/>
    <cellStyle name="40% - Accent2 3 2 3 4" xfId="18437" xr:uid="{00000000-0005-0000-0000-0000CB420000}"/>
    <cellStyle name="40% - Accent2 3 2 3 4 2" xfId="19164" xr:uid="{00000000-0005-0000-0000-0000CC420000}"/>
    <cellStyle name="40% - Accent2 3 2 3 4 2 2" xfId="19157" xr:uid="{00000000-0005-0000-0000-0000CD420000}"/>
    <cellStyle name="40% - Accent2 3 2 3 4 2 2 2" xfId="26752" xr:uid="{00000000-0005-0000-0000-0000CE420000}"/>
    <cellStyle name="40% - Accent2 3 2 3 4 2 3" xfId="19321" xr:uid="{00000000-0005-0000-0000-0000CF420000}"/>
    <cellStyle name="40% - Accent2 3 2 3 4 3" xfId="19125" xr:uid="{00000000-0005-0000-0000-0000D0420000}"/>
    <cellStyle name="40% - Accent2 3 2 3 4 3 2" xfId="19119" xr:uid="{00000000-0005-0000-0000-0000D1420000}"/>
    <cellStyle name="40% - Accent2 3 2 3 4 4" xfId="7021" xr:uid="{00000000-0005-0000-0000-0000D2420000}"/>
    <cellStyle name="40% - Accent2 3 2 3 5" xfId="18431" xr:uid="{00000000-0005-0000-0000-0000D3420000}"/>
    <cellStyle name="40% - Accent2 3 2 3 5 2" xfId="19319" xr:uid="{00000000-0005-0000-0000-0000D4420000}"/>
    <cellStyle name="40% - Accent2 3 2 3 5 2 2" xfId="19316" xr:uid="{00000000-0005-0000-0000-0000D5420000}"/>
    <cellStyle name="40% - Accent2 3 2 3 5 3" xfId="19314" xr:uid="{00000000-0005-0000-0000-0000D6420000}"/>
    <cellStyle name="40% - Accent2 3 2 3 6" xfId="19310" xr:uid="{00000000-0005-0000-0000-0000D7420000}"/>
    <cellStyle name="40% - Accent2 3 2 3 6 2" xfId="19308" xr:uid="{00000000-0005-0000-0000-0000D8420000}"/>
    <cellStyle name="40% - Accent2 3 2 3 7" xfId="33139" xr:uid="{00000000-0005-0000-0000-0000D9420000}"/>
    <cellStyle name="40% - Accent2 3 2 4" xfId="20463" xr:uid="{00000000-0005-0000-0000-0000DA420000}"/>
    <cellStyle name="40% - Accent2 3 2 4 2" xfId="19017" xr:uid="{00000000-0005-0000-0000-0000DB420000}"/>
    <cellStyle name="40% - Accent2 3 2 4 2 2" xfId="19014" xr:uid="{00000000-0005-0000-0000-0000DC420000}"/>
    <cellStyle name="40% - Accent2 3 2 4 2 2 2" xfId="19011" xr:uid="{00000000-0005-0000-0000-0000DD420000}"/>
    <cellStyle name="40% - Accent2 3 2 4 2 2 2 2" xfId="17245" xr:uid="{00000000-0005-0000-0000-0000DE420000}"/>
    <cellStyle name="40% - Accent2 3 2 4 2 2 2 2 2" xfId="15208" xr:uid="{00000000-0005-0000-0000-0000DF420000}"/>
    <cellStyle name="40% - Accent2 3 2 4 2 2 2 3" xfId="15205" xr:uid="{00000000-0005-0000-0000-0000E0420000}"/>
    <cellStyle name="40% - Accent2 3 2 4 2 2 3" xfId="28138" xr:uid="{00000000-0005-0000-0000-0000E1420000}"/>
    <cellStyle name="40% - Accent2 3 2 4 2 2 3 2" xfId="15184" xr:uid="{00000000-0005-0000-0000-0000E2420000}"/>
    <cellStyle name="40% - Accent2 3 2 4 2 2 4" xfId="26018" xr:uid="{00000000-0005-0000-0000-0000E3420000}"/>
    <cellStyle name="40% - Accent2 3 2 4 2 3" xfId="19281" xr:uid="{00000000-0005-0000-0000-0000E4420000}"/>
    <cellStyle name="40% - Accent2 3 2 4 2 3 2" xfId="18843" xr:uid="{00000000-0005-0000-0000-0000E5420000}"/>
    <cellStyle name="40% - Accent2 3 2 4 2 3 2 2" xfId="15157" xr:uid="{00000000-0005-0000-0000-0000E6420000}"/>
    <cellStyle name="40% - Accent2 3 2 4 2 3 3" xfId="27534" xr:uid="{00000000-0005-0000-0000-0000E7420000}"/>
    <cellStyle name="40% - Accent2 3 2 4 2 4" xfId="15293" xr:uid="{00000000-0005-0000-0000-0000E8420000}"/>
    <cellStyle name="40% - Accent2 3 2 4 2 4 2" xfId="19278" xr:uid="{00000000-0005-0000-0000-0000E9420000}"/>
    <cellStyle name="40% - Accent2 3 2 4 2 5" xfId="33254" xr:uid="{00000000-0005-0000-0000-0000EA420000}"/>
    <cellStyle name="40% - Accent2 3 2 4 3" xfId="19141" xr:uid="{00000000-0005-0000-0000-0000EB420000}"/>
    <cellStyle name="40% - Accent2 3 2 4 3 2" xfId="18728" xr:uid="{00000000-0005-0000-0000-0000EC420000}"/>
    <cellStyle name="40% - Accent2 3 2 4 3 2 2" xfId="18725" xr:uid="{00000000-0005-0000-0000-0000ED420000}"/>
    <cellStyle name="40% - Accent2 3 2 4 3 2 2 2" xfId="15114" xr:uid="{00000000-0005-0000-0000-0000EE420000}"/>
    <cellStyle name="40% - Accent2 3 2 4 3 2 3" xfId="24900" xr:uid="{00000000-0005-0000-0000-0000EF420000}"/>
    <cellStyle name="40% - Accent2 3 2 4 3 3" xfId="19274" xr:uid="{00000000-0005-0000-0000-0000F0420000}"/>
    <cellStyle name="40% - Accent2 3 2 4 3 3 2" xfId="7802" xr:uid="{00000000-0005-0000-0000-0000F1420000}"/>
    <cellStyle name="40% - Accent2 3 2 4 3 4" xfId="7015" xr:uid="{00000000-0005-0000-0000-0000F2420000}"/>
    <cellStyle name="40% - Accent2 3 2 4 4" xfId="19137" xr:uid="{00000000-0005-0000-0000-0000F3420000}"/>
    <cellStyle name="40% - Accent2 3 2 4 4 2" xfId="18587" xr:uid="{00000000-0005-0000-0000-0000F4420000}"/>
    <cellStyle name="40% - Accent2 3 2 4 4 2 2" xfId="7762" xr:uid="{00000000-0005-0000-0000-0000F5420000}"/>
    <cellStyle name="40% - Accent2 3 2 4 4 3" xfId="19269" xr:uid="{00000000-0005-0000-0000-0000F6420000}"/>
    <cellStyle name="40% - Accent2 3 2 4 5" xfId="19265" xr:uid="{00000000-0005-0000-0000-0000F7420000}"/>
    <cellStyle name="40% - Accent2 3 2 4 5 2" xfId="25923" xr:uid="{00000000-0005-0000-0000-0000F8420000}"/>
    <cellStyle name="40% - Accent2 3 2 4 6" xfId="19263" xr:uid="{00000000-0005-0000-0000-0000F9420000}"/>
    <cellStyle name="40% - Accent2 3 2 5" xfId="18495" xr:uid="{00000000-0005-0000-0000-0000FA420000}"/>
    <cellStyle name="40% - Accent2 3 2 5 2" xfId="18492" xr:uid="{00000000-0005-0000-0000-0000FB420000}"/>
    <cellStyle name="40% - Accent2 3 2 5 2 2" xfId="19237" xr:uid="{00000000-0005-0000-0000-0000FC420000}"/>
    <cellStyle name="40% - Accent2 3 2 5 2 2 2" xfId="18489" xr:uid="{00000000-0005-0000-0000-0000FD420000}"/>
    <cellStyle name="40% - Accent2 3 2 5 2 2 2 2" xfId="15054" xr:uid="{00000000-0005-0000-0000-0000FE420000}"/>
    <cellStyle name="40% - Accent2 3 2 5 2 2 3" xfId="22769" xr:uid="{00000000-0005-0000-0000-0000FF420000}"/>
    <cellStyle name="40% - Accent2 3 2 5 2 3" xfId="19226" xr:uid="{00000000-0005-0000-0000-000000430000}"/>
    <cellStyle name="40% - Accent2 3 2 5 2 3 2" xfId="19222" xr:uid="{00000000-0005-0000-0000-000001430000}"/>
    <cellStyle name="40% - Accent2 3 2 5 2 4" xfId="19218" xr:uid="{00000000-0005-0000-0000-000002430000}"/>
    <cellStyle name="40% - Accent2 3 2 5 3" xfId="19133" xr:uid="{00000000-0005-0000-0000-000003430000}"/>
    <cellStyle name="40% - Accent2 3 2 5 3 2" xfId="19214" xr:uid="{00000000-0005-0000-0000-000004430000}"/>
    <cellStyle name="40% - Accent2 3 2 5 3 2 2" xfId="20568" xr:uid="{00000000-0005-0000-0000-000005430000}"/>
    <cellStyle name="40% - Accent2 3 2 5 3 3" xfId="19210" xr:uid="{00000000-0005-0000-0000-000006430000}"/>
    <cellStyle name="40% - Accent2 3 2 5 4" xfId="18343" xr:uid="{00000000-0005-0000-0000-000007430000}"/>
    <cellStyle name="40% - Accent2 3 2 5 4 2" xfId="18340" xr:uid="{00000000-0005-0000-0000-000008430000}"/>
    <cellStyle name="40% - Accent2 3 2 5 5" xfId="19206" xr:uid="{00000000-0005-0000-0000-000009430000}"/>
    <cellStyle name="40% - Accent2 3 2 6" xfId="18284" xr:uid="{00000000-0005-0000-0000-00000A430000}"/>
    <cellStyle name="40% - Accent2 3 2 6 2" xfId="17849" xr:uid="{00000000-0005-0000-0000-00000B430000}"/>
    <cellStyle name="40% - Accent2 3 2 6 2 2" xfId="19185" xr:uid="{00000000-0005-0000-0000-00000C430000}"/>
    <cellStyle name="40% - Accent2 3 2 6 2 2 2" xfId="18254" xr:uid="{00000000-0005-0000-0000-00000D430000}"/>
    <cellStyle name="40% - Accent2 3 2 6 2 3" xfId="25719" xr:uid="{00000000-0005-0000-0000-00000E430000}"/>
    <cellStyle name="40% - Accent2 3 2 6 3" xfId="18216" xr:uid="{00000000-0005-0000-0000-00000F430000}"/>
    <cellStyle name="40% - Accent2 3 2 6 3 2" xfId="18213" xr:uid="{00000000-0005-0000-0000-000010430000}"/>
    <cellStyle name="40% - Accent2 3 2 6 4" xfId="18178" xr:uid="{00000000-0005-0000-0000-000011430000}"/>
    <cellStyle name="40% - Accent2 3 2 7" xfId="18133" xr:uid="{00000000-0005-0000-0000-000012430000}"/>
    <cellStyle name="40% - Accent2 3 2 7 2" xfId="18127" xr:uid="{00000000-0005-0000-0000-000013430000}"/>
    <cellStyle name="40% - Accent2 3 2 7 2 2" xfId="18122" xr:uid="{00000000-0005-0000-0000-000014430000}"/>
    <cellStyle name="40% - Accent2 3 2 7 3" xfId="18110" xr:uid="{00000000-0005-0000-0000-000015430000}"/>
    <cellStyle name="40% - Accent2 3 2 8" xfId="18092" xr:uid="{00000000-0005-0000-0000-000016430000}"/>
    <cellStyle name="40% - Accent2 3 2 8 2" xfId="19171" xr:uid="{00000000-0005-0000-0000-000017430000}"/>
    <cellStyle name="40% - Accent2 3 2 9" xfId="18063" xr:uid="{00000000-0005-0000-0000-000018430000}"/>
    <cellStyle name="40% - Accent2 3 3" xfId="224" xr:uid="{00000000-0005-0000-0000-000019430000}"/>
    <cellStyle name="40% - Accent2 3 3 10" xfId="27336" xr:uid="{00000000-0005-0000-0000-00001A430000}"/>
    <cellStyle name="40% - Accent2 3 3 2" xfId="14580" xr:uid="{00000000-0005-0000-0000-00001B430000}"/>
    <cellStyle name="40% - Accent2 3 3 2 2" xfId="31154" xr:uid="{00000000-0005-0000-0000-00001C430000}"/>
    <cellStyle name="40% - Accent2 3 3 2 2 2" xfId="14579" xr:uid="{00000000-0005-0000-0000-00001D430000}"/>
    <cellStyle name="40% - Accent2 3 3 2 2 2 2" xfId="34229" xr:uid="{00000000-0005-0000-0000-00001E430000}"/>
    <cellStyle name="40% - Accent2 3 3 2 2 2 2 2" xfId="14850" xr:uid="{00000000-0005-0000-0000-00001F430000}"/>
    <cellStyle name="40% - Accent2 3 3 2 2 2 2 2 2" xfId="8915" xr:uid="{00000000-0005-0000-0000-000020430000}"/>
    <cellStyle name="40% - Accent2 3 3 2 2 2 2 2 2 2" xfId="27817" xr:uid="{00000000-0005-0000-0000-000021430000}"/>
    <cellStyle name="40% - Accent2 3 3 2 2 2 2 2 3" xfId="14578" xr:uid="{00000000-0005-0000-0000-000022430000}"/>
    <cellStyle name="40% - Accent2 3 3 2 2 2 2 3" xfId="14572" xr:uid="{00000000-0005-0000-0000-000023430000}"/>
    <cellStyle name="40% - Accent2 3 3 2 2 2 2 3 2" xfId="14571" xr:uid="{00000000-0005-0000-0000-000024430000}"/>
    <cellStyle name="40% - Accent2 3 3 2 2 2 2 4" xfId="19116" xr:uid="{00000000-0005-0000-0000-000025430000}"/>
    <cellStyle name="40% - Accent2 3 3 2 2 2 3" xfId="32830" xr:uid="{00000000-0005-0000-0000-000026430000}"/>
    <cellStyle name="40% - Accent2 3 3 2 2 2 3 2" xfId="14564" xr:uid="{00000000-0005-0000-0000-000027430000}"/>
    <cellStyle name="40% - Accent2 3 3 2 2 2 3 2 2" xfId="14563" xr:uid="{00000000-0005-0000-0000-000028430000}"/>
    <cellStyle name="40% - Accent2 3 3 2 2 2 3 3" xfId="14557" xr:uid="{00000000-0005-0000-0000-000029430000}"/>
    <cellStyle name="40% - Accent2 3 3 2 2 2 4" xfId="14554" xr:uid="{00000000-0005-0000-0000-00002A430000}"/>
    <cellStyle name="40% - Accent2 3 3 2 2 2 4 2" xfId="14549" xr:uid="{00000000-0005-0000-0000-00002B430000}"/>
    <cellStyle name="40% - Accent2 3 3 2 2 2 5" xfId="14547" xr:uid="{00000000-0005-0000-0000-00002C430000}"/>
    <cellStyle name="40% - Accent2 3 3 2 2 3" xfId="14541" xr:uid="{00000000-0005-0000-0000-00002D430000}"/>
    <cellStyle name="40% - Accent2 3 3 2 2 3 2" xfId="32615" xr:uid="{00000000-0005-0000-0000-00002E430000}"/>
    <cellStyle name="40% - Accent2 3 3 2 2 3 2 2" xfId="14540" xr:uid="{00000000-0005-0000-0000-00002F430000}"/>
    <cellStyle name="40% - Accent2 3 3 2 2 3 2 2 2" xfId="14539" xr:uid="{00000000-0005-0000-0000-000030430000}"/>
    <cellStyle name="40% - Accent2 3 3 2 2 3 2 3" xfId="13652" xr:uid="{00000000-0005-0000-0000-000031430000}"/>
    <cellStyle name="40% - Accent2 3 3 2 2 3 3" xfId="14536" xr:uid="{00000000-0005-0000-0000-000032430000}"/>
    <cellStyle name="40% - Accent2 3 3 2 2 3 3 2" xfId="28008" xr:uid="{00000000-0005-0000-0000-000033430000}"/>
    <cellStyle name="40% - Accent2 3 3 2 2 3 4" xfId="14535" xr:uid="{00000000-0005-0000-0000-000034430000}"/>
    <cellStyle name="40% - Accent2 3 3 2 2 4" xfId="14530" xr:uid="{00000000-0005-0000-0000-000035430000}"/>
    <cellStyle name="40% - Accent2 3 3 2 2 4 2" xfId="14525" xr:uid="{00000000-0005-0000-0000-000036430000}"/>
    <cellStyle name="40% - Accent2 3 3 2 2 4 2 2" xfId="14524" xr:uid="{00000000-0005-0000-0000-000037430000}"/>
    <cellStyle name="40% - Accent2 3 3 2 2 4 3" xfId="14522" xr:uid="{00000000-0005-0000-0000-000038430000}"/>
    <cellStyle name="40% - Accent2 3 3 2 2 5" xfId="14521" xr:uid="{00000000-0005-0000-0000-000039430000}"/>
    <cellStyle name="40% - Accent2 3 3 2 2 5 2" xfId="14520" xr:uid="{00000000-0005-0000-0000-00003A430000}"/>
    <cellStyle name="40% - Accent2 3 3 2 2 6" xfId="14519" xr:uid="{00000000-0005-0000-0000-00003B430000}"/>
    <cellStyle name="40% - Accent2 3 3 2 3" xfId="31152" xr:uid="{00000000-0005-0000-0000-00003C430000}"/>
    <cellStyle name="40% - Accent2 3 3 2 3 2" xfId="14517" xr:uid="{00000000-0005-0000-0000-00003D430000}"/>
    <cellStyle name="40% - Accent2 3 3 2 3 2 2" xfId="34218" xr:uid="{00000000-0005-0000-0000-00003E430000}"/>
    <cellStyle name="40% - Accent2 3 3 2 3 2 2 2" xfId="14516" xr:uid="{00000000-0005-0000-0000-00003F430000}"/>
    <cellStyle name="40% - Accent2 3 3 2 3 2 2 2 2" xfId="14512" xr:uid="{00000000-0005-0000-0000-000040430000}"/>
    <cellStyle name="40% - Accent2 3 3 2 3 2 2 3" xfId="14508" xr:uid="{00000000-0005-0000-0000-000041430000}"/>
    <cellStyle name="40% - Accent2 3 3 2 3 2 3" xfId="14507" xr:uid="{00000000-0005-0000-0000-000042430000}"/>
    <cellStyle name="40% - Accent2 3 3 2 3 2 3 2" xfId="14506" xr:uid="{00000000-0005-0000-0000-000043430000}"/>
    <cellStyle name="40% - Accent2 3 3 2 3 2 4" xfId="14505" xr:uid="{00000000-0005-0000-0000-000044430000}"/>
    <cellStyle name="40% - Accent2 3 3 2 3 3" xfId="33719" xr:uid="{00000000-0005-0000-0000-000045430000}"/>
    <cellStyle name="40% - Accent2 3 3 2 3 3 2" xfId="14503" xr:uid="{00000000-0005-0000-0000-000046430000}"/>
    <cellStyle name="40% - Accent2 3 3 2 3 3 2 2" xfId="18318" xr:uid="{00000000-0005-0000-0000-000047430000}"/>
    <cellStyle name="40% - Accent2 3 3 2 3 3 3" xfId="14502" xr:uid="{00000000-0005-0000-0000-000048430000}"/>
    <cellStyle name="40% - Accent2 3 3 2 3 4" xfId="14501" xr:uid="{00000000-0005-0000-0000-000049430000}"/>
    <cellStyle name="40% - Accent2 3 3 2 3 4 2" xfId="14498" xr:uid="{00000000-0005-0000-0000-00004A430000}"/>
    <cellStyle name="40% - Accent2 3 3 2 3 5" xfId="6969" xr:uid="{00000000-0005-0000-0000-00004B430000}"/>
    <cellStyle name="40% - Accent2 3 3 2 4" xfId="14497" xr:uid="{00000000-0005-0000-0000-00004C430000}"/>
    <cellStyle name="40% - Accent2 3 3 2 4 2" xfId="33778" xr:uid="{00000000-0005-0000-0000-00004D430000}"/>
    <cellStyle name="40% - Accent2 3 3 2 4 2 2" xfId="14495" xr:uid="{00000000-0005-0000-0000-00004E430000}"/>
    <cellStyle name="40% - Accent2 3 3 2 4 2 2 2" xfId="19216" xr:uid="{00000000-0005-0000-0000-00004F430000}"/>
    <cellStyle name="40% - Accent2 3 3 2 4 2 3" xfId="14494" xr:uid="{00000000-0005-0000-0000-000050430000}"/>
    <cellStyle name="40% - Accent2 3 3 2 4 3" xfId="33963" xr:uid="{00000000-0005-0000-0000-000051430000}"/>
    <cellStyle name="40% - Accent2 3 3 2 4 3 2" xfId="14493" xr:uid="{00000000-0005-0000-0000-000052430000}"/>
    <cellStyle name="40% - Accent2 3 3 2 4 4" xfId="6966" xr:uid="{00000000-0005-0000-0000-000053430000}"/>
    <cellStyle name="40% - Accent2 3 3 2 5" xfId="14492" xr:uid="{00000000-0005-0000-0000-000054430000}"/>
    <cellStyle name="40% - Accent2 3 3 2 5 2" xfId="33802" xr:uid="{00000000-0005-0000-0000-000055430000}"/>
    <cellStyle name="40% - Accent2 3 3 2 5 2 2" xfId="14490" xr:uid="{00000000-0005-0000-0000-000056430000}"/>
    <cellStyle name="40% - Accent2 3 3 2 5 3" xfId="14489" xr:uid="{00000000-0005-0000-0000-000057430000}"/>
    <cellStyle name="40% - Accent2 3 3 2 6" xfId="32978" xr:uid="{00000000-0005-0000-0000-000058430000}"/>
    <cellStyle name="40% - Accent2 3 3 2 6 2" xfId="31845" xr:uid="{00000000-0005-0000-0000-000059430000}"/>
    <cellStyle name="40% - Accent2 3 3 2 7" xfId="31825" xr:uid="{00000000-0005-0000-0000-00005A430000}"/>
    <cellStyle name="40% - Accent2 3 3 3" xfId="14488" xr:uid="{00000000-0005-0000-0000-00005B430000}"/>
    <cellStyle name="40% - Accent2 3 3 3 2" xfId="25570" xr:uid="{00000000-0005-0000-0000-00005C430000}"/>
    <cellStyle name="40% - Accent2 3 3 3 2 2" xfId="25064" xr:uid="{00000000-0005-0000-0000-00005D430000}"/>
    <cellStyle name="40% - Accent2 3 3 3 2 2 2" xfId="17028" xr:uid="{00000000-0005-0000-0000-00005E430000}"/>
    <cellStyle name="40% - Accent2 3 3 3 2 2 2 2" xfId="17215" xr:uid="{00000000-0005-0000-0000-00005F430000}"/>
    <cellStyle name="40% - Accent2 3 3 3 2 2 2 2 2" xfId="14487" xr:uid="{00000000-0005-0000-0000-000060430000}"/>
    <cellStyle name="40% - Accent2 3 3 3 2 2 2 3" xfId="14486" xr:uid="{00000000-0005-0000-0000-000061430000}"/>
    <cellStyle name="40% - Accent2 3 3 3 2 2 3" xfId="14484" xr:uid="{00000000-0005-0000-0000-000062430000}"/>
    <cellStyle name="40% - Accent2 3 3 3 2 2 3 2" xfId="14482" xr:uid="{00000000-0005-0000-0000-000063430000}"/>
    <cellStyle name="40% - Accent2 3 3 3 2 2 4" xfId="14480" xr:uid="{00000000-0005-0000-0000-000064430000}"/>
    <cellStyle name="40% - Accent2 3 3 3 2 3" xfId="23611" xr:uid="{00000000-0005-0000-0000-000065430000}"/>
    <cellStyle name="40% - Accent2 3 3 3 2 3 2" xfId="20459" xr:uid="{00000000-0005-0000-0000-000066430000}"/>
    <cellStyle name="40% - Accent2 3 3 3 2 3 2 2" xfId="14474" xr:uid="{00000000-0005-0000-0000-000067430000}"/>
    <cellStyle name="40% - Accent2 3 3 3 2 3 3" xfId="20413" xr:uid="{00000000-0005-0000-0000-000068430000}"/>
    <cellStyle name="40% - Accent2 3 3 3 2 4" xfId="14473" xr:uid="{00000000-0005-0000-0000-000069430000}"/>
    <cellStyle name="40% - Accent2 3 3 3 2 4 2" xfId="20305" xr:uid="{00000000-0005-0000-0000-00006A430000}"/>
    <cellStyle name="40% - Accent2 3 3 3 2 5" xfId="14471" xr:uid="{00000000-0005-0000-0000-00006B430000}"/>
    <cellStyle name="40% - Accent2 3 3 3 3" xfId="14469" xr:uid="{00000000-0005-0000-0000-00006C430000}"/>
    <cellStyle name="40% - Accent2 3 3 3 3 2" xfId="23601" xr:uid="{00000000-0005-0000-0000-00006D430000}"/>
    <cellStyle name="40% - Accent2 3 3 3 3 2 2" xfId="17931" xr:uid="{00000000-0005-0000-0000-00006E430000}"/>
    <cellStyle name="40% - Accent2 3 3 3 3 2 2 2" xfId="14467" xr:uid="{00000000-0005-0000-0000-00006F430000}"/>
    <cellStyle name="40% - Accent2 3 3 3 3 2 3" xfId="14466" xr:uid="{00000000-0005-0000-0000-000070430000}"/>
    <cellStyle name="40% - Accent2 3 3 3 3 3" xfId="14463" xr:uid="{00000000-0005-0000-0000-000071430000}"/>
    <cellStyle name="40% - Accent2 3 3 3 3 3 2" xfId="17917" xr:uid="{00000000-0005-0000-0000-000072430000}"/>
    <cellStyle name="40% - Accent2 3 3 3 3 4" xfId="6960" xr:uid="{00000000-0005-0000-0000-000073430000}"/>
    <cellStyle name="40% - Accent2 3 3 3 4" xfId="14461" xr:uid="{00000000-0005-0000-0000-000074430000}"/>
    <cellStyle name="40% - Accent2 3 3 3 4 2" xfId="19130" xr:uid="{00000000-0005-0000-0000-000075430000}"/>
    <cellStyle name="40% - Accent2 3 3 3 4 2 2" xfId="14458" xr:uid="{00000000-0005-0000-0000-000076430000}"/>
    <cellStyle name="40% - Accent2 3 3 3 4 3" xfId="14455" xr:uid="{00000000-0005-0000-0000-000077430000}"/>
    <cellStyle name="40% - Accent2 3 3 3 5" xfId="14453" xr:uid="{00000000-0005-0000-0000-000078430000}"/>
    <cellStyle name="40% - Accent2 3 3 3 5 2" xfId="14451" xr:uid="{00000000-0005-0000-0000-000079430000}"/>
    <cellStyle name="40% - Accent2 3 3 3 6" xfId="19126" xr:uid="{00000000-0005-0000-0000-00007A430000}"/>
    <cellStyle name="40% - Accent2 3 3 4" xfId="14449" xr:uid="{00000000-0005-0000-0000-00007B430000}"/>
    <cellStyle name="40% - Accent2 3 3 4 2" xfId="14448" xr:uid="{00000000-0005-0000-0000-00007C430000}"/>
    <cellStyle name="40% - Accent2 3 3 4 2 2" xfId="23590" xr:uid="{00000000-0005-0000-0000-00007D430000}"/>
    <cellStyle name="40% - Accent2 3 3 4 2 2 2" xfId="14446" xr:uid="{00000000-0005-0000-0000-00007E430000}"/>
    <cellStyle name="40% - Accent2 3 3 4 2 2 2 2" xfId="14942" xr:uid="{00000000-0005-0000-0000-00007F430000}"/>
    <cellStyle name="40% - Accent2 3 3 4 2 2 3" xfId="14444" xr:uid="{00000000-0005-0000-0000-000080430000}"/>
    <cellStyle name="40% - Accent2 3 3 4 2 3" xfId="14442" xr:uid="{00000000-0005-0000-0000-000081430000}"/>
    <cellStyle name="40% - Accent2 3 3 4 2 3 2" xfId="27362" xr:uid="{00000000-0005-0000-0000-000082430000}"/>
    <cellStyle name="40% - Accent2 3 3 4 2 4" xfId="19103" xr:uid="{00000000-0005-0000-0000-000083430000}"/>
    <cellStyle name="40% - Accent2 3 3 4 3" xfId="14440" xr:uid="{00000000-0005-0000-0000-000084430000}"/>
    <cellStyle name="40% - Accent2 3 3 4 3 2" xfId="14438" xr:uid="{00000000-0005-0000-0000-000085430000}"/>
    <cellStyle name="40% - Accent2 3 3 4 3 2 2" xfId="10139" xr:uid="{00000000-0005-0000-0000-000086430000}"/>
    <cellStyle name="40% - Accent2 3 3 4 3 3" xfId="14436" xr:uid="{00000000-0005-0000-0000-000087430000}"/>
    <cellStyle name="40% - Accent2 3 3 4 4" xfId="14434" xr:uid="{00000000-0005-0000-0000-000088430000}"/>
    <cellStyle name="40% - Accent2 3 3 4 4 2" xfId="14432" xr:uid="{00000000-0005-0000-0000-000089430000}"/>
    <cellStyle name="40% - Accent2 3 3 4 5" xfId="14430" xr:uid="{00000000-0005-0000-0000-00008A430000}"/>
    <cellStyle name="40% - Accent2 3 3 5" xfId="25262" xr:uid="{00000000-0005-0000-0000-00008B430000}"/>
    <cellStyle name="40% - Accent2 3 3 5 2" xfId="14428" xr:uid="{00000000-0005-0000-0000-00008C430000}"/>
    <cellStyle name="40% - Accent2 3 3 5 2 2" xfId="14426" xr:uid="{00000000-0005-0000-0000-00008D430000}"/>
    <cellStyle name="40% - Accent2 3 3 5 2 2 2" xfId="14424" xr:uid="{00000000-0005-0000-0000-00008E430000}"/>
    <cellStyle name="40% - Accent2 3 3 5 2 3" xfId="14422" xr:uid="{00000000-0005-0000-0000-00008F430000}"/>
    <cellStyle name="40% - Accent2 3 3 5 3" xfId="14420" xr:uid="{00000000-0005-0000-0000-000090430000}"/>
    <cellStyle name="40% - Accent2 3 3 5 3 2" xfId="14417" xr:uid="{00000000-0005-0000-0000-000091430000}"/>
    <cellStyle name="40% - Accent2 3 3 5 4" xfId="14415" xr:uid="{00000000-0005-0000-0000-000092430000}"/>
    <cellStyle name="40% - Accent2 3 3 6" xfId="17161" xr:uid="{00000000-0005-0000-0000-000093430000}"/>
    <cellStyle name="40% - Accent2 3 3 6 2" xfId="19077" xr:uid="{00000000-0005-0000-0000-000094430000}"/>
    <cellStyle name="40% - Accent2 3 3 6 2 2" xfId="14411" xr:uid="{00000000-0005-0000-0000-000095430000}"/>
    <cellStyle name="40% - Accent2 3 3 6 3" xfId="14408" xr:uid="{00000000-0005-0000-0000-000096430000}"/>
    <cellStyle name="40% - Accent2 3 3 7" xfId="18511" xr:uid="{00000000-0005-0000-0000-000097430000}"/>
    <cellStyle name="40% - Accent2 3 3 7 2" xfId="19067" xr:uid="{00000000-0005-0000-0000-000098430000}"/>
    <cellStyle name="40% - Accent2 3 3 8" xfId="24387" xr:uid="{00000000-0005-0000-0000-000099430000}"/>
    <cellStyle name="40% - Accent2 3 3 9" xfId="34552" xr:uid="{00000000-0005-0000-0000-00009A430000}"/>
    <cellStyle name="40% - Accent2 3 4" xfId="14404" xr:uid="{00000000-0005-0000-0000-00009B430000}"/>
    <cellStyle name="40% - Accent2 3 4 2" xfId="15033" xr:uid="{00000000-0005-0000-0000-00009C430000}"/>
    <cellStyle name="40% - Accent2 3 4 2 2" xfId="14403" xr:uid="{00000000-0005-0000-0000-00009D430000}"/>
    <cellStyle name="40% - Accent2 3 4 2 2 2" xfId="14401" xr:uid="{00000000-0005-0000-0000-00009E430000}"/>
    <cellStyle name="40% - Accent2 3 4 2 2 2 2" xfId="19522" xr:uid="{00000000-0005-0000-0000-00009F430000}"/>
    <cellStyle name="40% - Accent2 3 4 2 2 2 2 2" xfId="15359" xr:uid="{00000000-0005-0000-0000-0000A0430000}"/>
    <cellStyle name="40% - Accent2 3 4 2 2 2 2 2 2" xfId="28166" xr:uid="{00000000-0005-0000-0000-0000A1430000}"/>
    <cellStyle name="40% - Accent2 3 4 2 2 2 2 3" xfId="14400" xr:uid="{00000000-0005-0000-0000-0000A2430000}"/>
    <cellStyle name="40% - Accent2 3 4 2 2 2 3" xfId="16182" xr:uid="{00000000-0005-0000-0000-0000A3430000}"/>
    <cellStyle name="40% - Accent2 3 4 2 2 2 3 2" xfId="14399" xr:uid="{00000000-0005-0000-0000-0000A4430000}"/>
    <cellStyle name="40% - Accent2 3 4 2 2 2 4" xfId="14398" xr:uid="{00000000-0005-0000-0000-0000A5430000}"/>
    <cellStyle name="40% - Accent2 3 4 2 2 3" xfId="14392" xr:uid="{00000000-0005-0000-0000-0000A6430000}"/>
    <cellStyle name="40% - Accent2 3 4 2 2 3 2" xfId="16169" xr:uid="{00000000-0005-0000-0000-0000A7430000}"/>
    <cellStyle name="40% - Accent2 3 4 2 2 3 2 2" xfId="15744" xr:uid="{00000000-0005-0000-0000-0000A8430000}"/>
    <cellStyle name="40% - Accent2 3 4 2 2 3 3" xfId="14391" xr:uid="{00000000-0005-0000-0000-0000A9430000}"/>
    <cellStyle name="40% - Accent2 3 4 2 2 4" xfId="14390" xr:uid="{00000000-0005-0000-0000-0000AA430000}"/>
    <cellStyle name="40% - Accent2 3 4 2 2 4 2" xfId="14389" xr:uid="{00000000-0005-0000-0000-0000AB430000}"/>
    <cellStyle name="40% - Accent2 3 4 2 2 5" xfId="14388" xr:uid="{00000000-0005-0000-0000-0000AC430000}"/>
    <cellStyle name="40% - Accent2 3 4 2 3" xfId="14387" xr:uid="{00000000-0005-0000-0000-0000AD430000}"/>
    <cellStyle name="40% - Accent2 3 4 2 3 2" xfId="14385" xr:uid="{00000000-0005-0000-0000-0000AE430000}"/>
    <cellStyle name="40% - Accent2 3 4 2 3 2 2" xfId="16748" xr:uid="{00000000-0005-0000-0000-0000AF430000}"/>
    <cellStyle name="40% - Accent2 3 4 2 3 2 2 2" xfId="27575" xr:uid="{00000000-0005-0000-0000-0000B0430000}"/>
    <cellStyle name="40% - Accent2 3 4 2 3 2 3" xfId="16745" xr:uid="{00000000-0005-0000-0000-0000B1430000}"/>
    <cellStyle name="40% - Accent2 3 4 2 3 3" xfId="14382" xr:uid="{00000000-0005-0000-0000-0000B2430000}"/>
    <cellStyle name="40% - Accent2 3 4 2 3 3 2" xfId="16741" xr:uid="{00000000-0005-0000-0000-0000B3430000}"/>
    <cellStyle name="40% - Accent2 3 4 2 3 4" xfId="6936" xr:uid="{00000000-0005-0000-0000-0000B4430000}"/>
    <cellStyle name="40% - Accent2 3 4 2 4" xfId="14381" xr:uid="{00000000-0005-0000-0000-0000B5430000}"/>
    <cellStyle name="40% - Accent2 3 4 2 4 2" xfId="29234" xr:uid="{00000000-0005-0000-0000-0000B6430000}"/>
    <cellStyle name="40% - Accent2 3 4 2 4 2 2" xfId="27661" xr:uid="{00000000-0005-0000-0000-0000B7430000}"/>
    <cellStyle name="40% - Accent2 3 4 2 4 3" xfId="14375" xr:uid="{00000000-0005-0000-0000-0000B8430000}"/>
    <cellStyle name="40% - Accent2 3 4 2 5" xfId="9907" xr:uid="{00000000-0005-0000-0000-0000B9430000}"/>
    <cellStyle name="40% - Accent2 3 4 2 5 2" xfId="14371" xr:uid="{00000000-0005-0000-0000-0000BA430000}"/>
    <cellStyle name="40% - Accent2 3 4 2 6" xfId="9905" xr:uid="{00000000-0005-0000-0000-0000BB430000}"/>
    <cellStyle name="40% - Accent2 3 4 3" xfId="14370" xr:uid="{00000000-0005-0000-0000-0000BC430000}"/>
    <cellStyle name="40% - Accent2 3 4 3 2" xfId="29949" xr:uid="{00000000-0005-0000-0000-0000BD430000}"/>
    <cellStyle name="40% - Accent2 3 4 3 2 2" xfId="28901" xr:uid="{00000000-0005-0000-0000-0000BE430000}"/>
    <cellStyle name="40% - Accent2 3 4 3 2 2 2" xfId="16099" xr:uid="{00000000-0005-0000-0000-0000BF430000}"/>
    <cellStyle name="40% - Accent2 3 4 3 2 2 2 2" xfId="34081" xr:uid="{00000000-0005-0000-0000-0000C0430000}"/>
    <cellStyle name="40% - Accent2 3 4 3 2 2 3" xfId="14369" xr:uid="{00000000-0005-0000-0000-0000C1430000}"/>
    <cellStyle name="40% - Accent2 3 4 3 2 3" xfId="14367" xr:uid="{00000000-0005-0000-0000-0000C2430000}"/>
    <cellStyle name="40% - Accent2 3 4 3 2 3 2" xfId="20562" xr:uid="{00000000-0005-0000-0000-0000C3430000}"/>
    <cellStyle name="40% - Accent2 3 4 3 2 4" xfId="14365" xr:uid="{00000000-0005-0000-0000-0000C4430000}"/>
    <cellStyle name="40% - Accent2 3 4 3 3" xfId="14363" xr:uid="{00000000-0005-0000-0000-0000C5430000}"/>
    <cellStyle name="40% - Accent2 3 4 3 3 2" xfId="14360" xr:uid="{00000000-0005-0000-0000-0000C6430000}"/>
    <cellStyle name="40% - Accent2 3 4 3 3 2 2" xfId="16714" xr:uid="{00000000-0005-0000-0000-0000C7430000}"/>
    <cellStyle name="40% - Accent2 3 4 3 3 3" xfId="14358" xr:uid="{00000000-0005-0000-0000-0000C8430000}"/>
    <cellStyle name="40% - Accent2 3 4 3 4" xfId="14356" xr:uid="{00000000-0005-0000-0000-0000C9430000}"/>
    <cellStyle name="40% - Accent2 3 4 3 4 2" xfId="14351" xr:uid="{00000000-0005-0000-0000-0000CA430000}"/>
    <cellStyle name="40% - Accent2 3 4 3 5" xfId="9898" xr:uid="{00000000-0005-0000-0000-0000CB430000}"/>
    <cellStyle name="40% - Accent2 3 4 4" xfId="14349" xr:uid="{00000000-0005-0000-0000-0000CC430000}"/>
    <cellStyle name="40% - Accent2 3 4 4 2" xfId="14348" xr:uid="{00000000-0005-0000-0000-0000CD430000}"/>
    <cellStyle name="40% - Accent2 3 4 4 2 2" xfId="14345" xr:uid="{00000000-0005-0000-0000-0000CE430000}"/>
    <cellStyle name="40% - Accent2 3 4 4 2 2 2" xfId="14343" xr:uid="{00000000-0005-0000-0000-0000CF430000}"/>
    <cellStyle name="40% - Accent2 3 4 4 2 3" xfId="14340" xr:uid="{00000000-0005-0000-0000-0000D0430000}"/>
    <cellStyle name="40% - Accent2 3 4 4 3" xfId="14338" xr:uid="{00000000-0005-0000-0000-0000D1430000}"/>
    <cellStyle name="40% - Accent2 3 4 4 3 2" xfId="14336" xr:uid="{00000000-0005-0000-0000-0000D2430000}"/>
    <cellStyle name="40% - Accent2 3 4 4 4" xfId="20984" xr:uid="{00000000-0005-0000-0000-0000D3430000}"/>
    <cellStyle name="40% - Accent2 3 4 5" xfId="17152" xr:uid="{00000000-0005-0000-0000-0000D4430000}"/>
    <cellStyle name="40% - Accent2 3 4 5 2" xfId="14334" xr:uid="{00000000-0005-0000-0000-0000D5430000}"/>
    <cellStyle name="40% - Accent2 3 4 5 2 2" xfId="14331" xr:uid="{00000000-0005-0000-0000-0000D6430000}"/>
    <cellStyle name="40% - Accent2 3 4 5 3" xfId="14329" xr:uid="{00000000-0005-0000-0000-0000D7430000}"/>
    <cellStyle name="40% - Accent2 3 4 6" xfId="17146" xr:uid="{00000000-0005-0000-0000-0000D8430000}"/>
    <cellStyle name="40% - Accent2 3 4 6 2" xfId="14325" xr:uid="{00000000-0005-0000-0000-0000D9430000}"/>
    <cellStyle name="40% - Accent2 3 4 7" xfId="18507" xr:uid="{00000000-0005-0000-0000-0000DA430000}"/>
    <cellStyle name="40% - Accent2 3 4 8" xfId="34774" xr:uid="{00000000-0005-0000-0000-0000DB430000}"/>
    <cellStyle name="40% - Accent2 3 5" xfId="14321" xr:uid="{00000000-0005-0000-0000-0000DC430000}"/>
    <cellStyle name="40% - Accent2 3 5 2" xfId="14320" xr:uid="{00000000-0005-0000-0000-0000DD430000}"/>
    <cellStyle name="40% - Accent2 3 5 2 2" xfId="14319" xr:uid="{00000000-0005-0000-0000-0000DE430000}"/>
    <cellStyle name="40% - Accent2 3 5 2 2 2" xfId="14317" xr:uid="{00000000-0005-0000-0000-0000DF430000}"/>
    <cellStyle name="40% - Accent2 3 5 2 2 2 2" xfId="33311" xr:uid="{00000000-0005-0000-0000-0000E0430000}"/>
    <cellStyle name="40% - Accent2 3 5 2 2 2 2 2" xfId="14316" xr:uid="{00000000-0005-0000-0000-0000E1430000}"/>
    <cellStyle name="40% - Accent2 3 5 2 2 2 3" xfId="33297" xr:uid="{00000000-0005-0000-0000-0000E2430000}"/>
    <cellStyle name="40% - Accent2 3 5 2 2 3" xfId="14311" xr:uid="{00000000-0005-0000-0000-0000E3430000}"/>
    <cellStyle name="40% - Accent2 3 5 2 2 3 2" xfId="28210" xr:uid="{00000000-0005-0000-0000-0000E4430000}"/>
    <cellStyle name="40% - Accent2 3 5 2 2 4" xfId="14310" xr:uid="{00000000-0005-0000-0000-0000E5430000}"/>
    <cellStyle name="40% - Accent2 3 5 2 3" xfId="14309" xr:uid="{00000000-0005-0000-0000-0000E6430000}"/>
    <cellStyle name="40% - Accent2 3 5 2 3 2" xfId="14306" xr:uid="{00000000-0005-0000-0000-0000E7430000}"/>
    <cellStyle name="40% - Accent2 3 5 2 3 2 2" xfId="22414" xr:uid="{00000000-0005-0000-0000-0000E8430000}"/>
    <cellStyle name="40% - Accent2 3 5 2 3 3" xfId="14305" xr:uid="{00000000-0005-0000-0000-0000E9430000}"/>
    <cellStyle name="40% - Accent2 3 5 2 4" xfId="17262" xr:uid="{00000000-0005-0000-0000-0000EA430000}"/>
    <cellStyle name="40% - Accent2 3 5 2 4 2" xfId="14304" xr:uid="{00000000-0005-0000-0000-0000EB430000}"/>
    <cellStyle name="40% - Accent2 3 5 2 5" xfId="9892" xr:uid="{00000000-0005-0000-0000-0000EC430000}"/>
    <cellStyle name="40% - Accent2 3 5 3" xfId="14303" xr:uid="{00000000-0005-0000-0000-0000ED430000}"/>
    <cellStyle name="40% - Accent2 3 5 3 2" xfId="14301" xr:uid="{00000000-0005-0000-0000-0000EE430000}"/>
    <cellStyle name="40% - Accent2 3 5 3 2 2" xfId="14552" xr:uid="{00000000-0005-0000-0000-0000EF430000}"/>
    <cellStyle name="40% - Accent2 3 5 3 2 2 2" xfId="14294" xr:uid="{00000000-0005-0000-0000-0000F0430000}"/>
    <cellStyle name="40% - Accent2 3 5 3 2 3" xfId="14546" xr:uid="{00000000-0005-0000-0000-0000F1430000}"/>
    <cellStyle name="40% - Accent2 3 5 3 3" xfId="14292" xr:uid="{00000000-0005-0000-0000-0000F2430000}"/>
    <cellStyle name="40% - Accent2 3 5 3 3 2" xfId="14534" xr:uid="{00000000-0005-0000-0000-0000F3430000}"/>
    <cellStyle name="40% - Accent2 3 5 3 4" xfId="9887" xr:uid="{00000000-0005-0000-0000-0000F4430000}"/>
    <cellStyle name="40% - Accent2 3 5 4" xfId="14287" xr:uid="{00000000-0005-0000-0000-0000F5430000}"/>
    <cellStyle name="40% - Accent2 3 5 4 2" xfId="9219" xr:uid="{00000000-0005-0000-0000-0000F6430000}"/>
    <cellStyle name="40% - Accent2 3 5 4 2 2" xfId="5685" xr:uid="{00000000-0005-0000-0000-0000F7430000}"/>
    <cellStyle name="40% - Accent2 3 5 4 3" xfId="5659" xr:uid="{00000000-0005-0000-0000-0000F8430000}"/>
    <cellStyle name="40% - Accent2 3 5 5" xfId="17135" xr:uid="{00000000-0005-0000-0000-0000F9430000}"/>
    <cellStyle name="40% - Accent2 3 5 5 2" xfId="10644" xr:uid="{00000000-0005-0000-0000-0000FA430000}"/>
    <cellStyle name="40% - Accent2 3 5 6" xfId="17131" xr:uid="{00000000-0005-0000-0000-0000FB430000}"/>
    <cellStyle name="40% - Accent2 3 5 7" xfId="34965" xr:uid="{00000000-0005-0000-0000-0000FC430000}"/>
    <cellStyle name="40% - Accent2 3 6" xfId="14279" xr:uid="{00000000-0005-0000-0000-0000FD430000}"/>
    <cellStyle name="40% - Accent2 3 6 2" xfId="14277" xr:uid="{00000000-0005-0000-0000-0000FE430000}"/>
    <cellStyle name="40% - Accent2 3 6 2 2" xfId="14275" xr:uid="{00000000-0005-0000-0000-0000FF430000}"/>
    <cellStyle name="40% - Accent2 3 6 2 2 2" xfId="14273" xr:uid="{00000000-0005-0000-0000-000000440000}"/>
    <cellStyle name="40% - Accent2 3 6 2 2 2 2" xfId="14272" xr:uid="{00000000-0005-0000-0000-000001440000}"/>
    <cellStyle name="40% - Accent2 3 6 2 2 3" xfId="14271" xr:uid="{00000000-0005-0000-0000-000002440000}"/>
    <cellStyle name="40% - Accent2 3 6 2 3" xfId="14270" xr:uid="{00000000-0005-0000-0000-000003440000}"/>
    <cellStyle name="40% - Accent2 3 6 2 3 2" xfId="14267" xr:uid="{00000000-0005-0000-0000-000004440000}"/>
    <cellStyle name="40% - Accent2 3 6 2 4" xfId="9881" xr:uid="{00000000-0005-0000-0000-000005440000}"/>
    <cellStyle name="40% - Accent2 3 6 3" xfId="14265" xr:uid="{00000000-0005-0000-0000-000006440000}"/>
    <cellStyle name="40% - Accent2 3 6 3 2" xfId="14262" xr:uid="{00000000-0005-0000-0000-000007440000}"/>
    <cellStyle name="40% - Accent2 3 6 3 2 2" xfId="14478" xr:uid="{00000000-0005-0000-0000-000008440000}"/>
    <cellStyle name="40% - Accent2 3 6 3 3" xfId="14257" xr:uid="{00000000-0005-0000-0000-000009440000}"/>
    <cellStyle name="40% - Accent2 3 6 4" xfId="14250" xr:uid="{00000000-0005-0000-0000-00000A440000}"/>
    <cellStyle name="40% - Accent2 3 6 4 2" xfId="5455" xr:uid="{00000000-0005-0000-0000-00000B440000}"/>
    <cellStyle name="40% - Accent2 3 6 5" xfId="17119" xr:uid="{00000000-0005-0000-0000-00000C440000}"/>
    <cellStyle name="40% - Accent2 3 6 6" xfId="35170" xr:uid="{00000000-0005-0000-0000-00000D440000}"/>
    <cellStyle name="40% - Accent2 3 7" xfId="14243" xr:uid="{00000000-0005-0000-0000-00000E440000}"/>
    <cellStyle name="40% - Accent2 3 7 2" xfId="32362" xr:uid="{00000000-0005-0000-0000-00000F440000}"/>
    <cellStyle name="40% - Accent2 3 7 2 2" xfId="32312" xr:uid="{00000000-0005-0000-0000-000010440000}"/>
    <cellStyle name="40% - Accent2 3 7 2 2 2" xfId="15886" xr:uid="{00000000-0005-0000-0000-000011440000}"/>
    <cellStyle name="40% - Accent2 3 7 2 3" xfId="24913" xr:uid="{00000000-0005-0000-0000-000012440000}"/>
    <cellStyle name="40% - Accent2 3 7 3" xfId="32351" xr:uid="{00000000-0005-0000-0000-000013440000}"/>
    <cellStyle name="40% - Accent2 3 7 3 2" xfId="19026" xr:uid="{00000000-0005-0000-0000-000014440000}"/>
    <cellStyle name="40% - Accent2 3 7 4" xfId="31048" xr:uid="{00000000-0005-0000-0000-000015440000}"/>
    <cellStyle name="40% - Accent2 3 7 5" xfId="35399" xr:uid="{00000000-0005-0000-0000-000016440000}"/>
    <cellStyle name="40% - Accent2 3 8" xfId="28321" xr:uid="{00000000-0005-0000-0000-000017440000}"/>
    <cellStyle name="40% - Accent2 3 8 2" xfId="29036" xr:uid="{00000000-0005-0000-0000-000018440000}"/>
    <cellStyle name="40% - Accent2 3 8 2 2" xfId="32324" xr:uid="{00000000-0005-0000-0000-000019440000}"/>
    <cellStyle name="40% - Accent2 3 8 3" xfId="32307" xr:uid="{00000000-0005-0000-0000-00001A440000}"/>
    <cellStyle name="40% - Accent2 3 8 4" xfId="36271" xr:uid="{00000000-0005-0000-0000-00001B440000}"/>
    <cellStyle name="40% - Accent2 3 9" xfId="28312" xr:uid="{00000000-0005-0000-0000-00001C440000}"/>
    <cellStyle name="40% - Accent2 3 9 2" xfId="22388" xr:uid="{00000000-0005-0000-0000-00001D440000}"/>
    <cellStyle name="40% - Accent2 3 9 3" xfId="36557" xr:uid="{00000000-0005-0000-0000-00001E440000}"/>
    <cellStyle name="40% - Accent2 30" xfId="35896" xr:uid="{00000000-0005-0000-0000-00001F440000}"/>
    <cellStyle name="40% - Accent2 30 2" xfId="37068" xr:uid="{00000000-0005-0000-0000-000020440000}"/>
    <cellStyle name="40% - Accent2 30 3" xfId="37963" xr:uid="{00000000-0005-0000-0000-000021440000}"/>
    <cellStyle name="40% - Accent2 31" xfId="35916" xr:uid="{00000000-0005-0000-0000-000022440000}"/>
    <cellStyle name="40% - Accent2 31 2" xfId="37087" xr:uid="{00000000-0005-0000-0000-000023440000}"/>
    <cellStyle name="40% - Accent2 31 3" xfId="37983" xr:uid="{00000000-0005-0000-0000-000024440000}"/>
    <cellStyle name="40% - Accent2 32" xfId="35936" xr:uid="{00000000-0005-0000-0000-000025440000}"/>
    <cellStyle name="40% - Accent2 32 2" xfId="37106" xr:uid="{00000000-0005-0000-0000-000026440000}"/>
    <cellStyle name="40% - Accent2 32 3" xfId="38003" xr:uid="{00000000-0005-0000-0000-000027440000}"/>
    <cellStyle name="40% - Accent2 33" xfId="35956" xr:uid="{00000000-0005-0000-0000-000028440000}"/>
    <cellStyle name="40% - Accent2 33 2" xfId="37125" xr:uid="{00000000-0005-0000-0000-000029440000}"/>
    <cellStyle name="40% - Accent2 33 3" xfId="38023" xr:uid="{00000000-0005-0000-0000-00002A440000}"/>
    <cellStyle name="40% - Accent2 34" xfId="35976" xr:uid="{00000000-0005-0000-0000-00002B440000}"/>
    <cellStyle name="40% - Accent2 34 2" xfId="37145" xr:uid="{00000000-0005-0000-0000-00002C440000}"/>
    <cellStyle name="40% - Accent2 34 3" xfId="38043" xr:uid="{00000000-0005-0000-0000-00002D440000}"/>
    <cellStyle name="40% - Accent2 35" xfId="35996" xr:uid="{00000000-0005-0000-0000-00002E440000}"/>
    <cellStyle name="40% - Accent2 35 2" xfId="37165" xr:uid="{00000000-0005-0000-0000-00002F440000}"/>
    <cellStyle name="40% - Accent2 35 3" xfId="38063" xr:uid="{00000000-0005-0000-0000-000030440000}"/>
    <cellStyle name="40% - Accent2 36" xfId="36016" xr:uid="{00000000-0005-0000-0000-000031440000}"/>
    <cellStyle name="40% - Accent2 36 2" xfId="37185" xr:uid="{00000000-0005-0000-0000-000032440000}"/>
    <cellStyle name="40% - Accent2 36 3" xfId="38083" xr:uid="{00000000-0005-0000-0000-000033440000}"/>
    <cellStyle name="40% - Accent2 37" xfId="36036" xr:uid="{00000000-0005-0000-0000-000034440000}"/>
    <cellStyle name="40% - Accent2 37 2" xfId="37205" xr:uid="{00000000-0005-0000-0000-000035440000}"/>
    <cellStyle name="40% - Accent2 37 3" xfId="38103" xr:uid="{00000000-0005-0000-0000-000036440000}"/>
    <cellStyle name="40% - Accent2 38" xfId="36056" xr:uid="{00000000-0005-0000-0000-000037440000}"/>
    <cellStyle name="40% - Accent2 38 2" xfId="37225" xr:uid="{00000000-0005-0000-0000-000038440000}"/>
    <cellStyle name="40% - Accent2 38 3" xfId="38123" xr:uid="{00000000-0005-0000-0000-000039440000}"/>
    <cellStyle name="40% - Accent2 39" xfId="36076" xr:uid="{00000000-0005-0000-0000-00003A440000}"/>
    <cellStyle name="40% - Accent2 39 2" xfId="37245" xr:uid="{00000000-0005-0000-0000-00003B440000}"/>
    <cellStyle name="40% - Accent2 39 3" xfId="38143" xr:uid="{00000000-0005-0000-0000-00003C440000}"/>
    <cellStyle name="40% - Accent2 4" xfId="121" xr:uid="{00000000-0005-0000-0000-00003D440000}"/>
    <cellStyle name="40% - Accent2 4 10" xfId="34475" xr:uid="{00000000-0005-0000-0000-00003E440000}"/>
    <cellStyle name="40% - Accent2 4 11" xfId="30972" xr:uid="{00000000-0005-0000-0000-00003F440000}"/>
    <cellStyle name="40% - Accent2 4 2" xfId="244" xr:uid="{00000000-0005-0000-0000-000040440000}"/>
    <cellStyle name="40% - Accent2 4 2 10" xfId="27334" xr:uid="{00000000-0005-0000-0000-000041440000}"/>
    <cellStyle name="40% - Accent2 4 2 2" xfId="14241" xr:uid="{00000000-0005-0000-0000-000042440000}"/>
    <cellStyle name="40% - Accent2 4 2 2 2" xfId="14240" xr:uid="{00000000-0005-0000-0000-000043440000}"/>
    <cellStyle name="40% - Accent2 4 2 2 2 2" xfId="14238" xr:uid="{00000000-0005-0000-0000-000044440000}"/>
    <cellStyle name="40% - Accent2 4 2 2 2 2 2" xfId="14237" xr:uid="{00000000-0005-0000-0000-000045440000}"/>
    <cellStyle name="40% - Accent2 4 2 2 2 2 2 2" xfId="14233" xr:uid="{00000000-0005-0000-0000-000046440000}"/>
    <cellStyle name="40% - Accent2 4 2 2 2 2 2 2 2" xfId="31518" xr:uid="{00000000-0005-0000-0000-000047440000}"/>
    <cellStyle name="40% - Accent2 4 2 2 2 2 2 2 2 2" xfId="14100" xr:uid="{00000000-0005-0000-0000-000048440000}"/>
    <cellStyle name="40% - Accent2 4 2 2 2 2 2 2 3" xfId="24326" xr:uid="{00000000-0005-0000-0000-000049440000}"/>
    <cellStyle name="40% - Accent2 4 2 2 2 2 2 3" xfId="14232" xr:uid="{00000000-0005-0000-0000-00004A440000}"/>
    <cellStyle name="40% - Accent2 4 2 2 2 2 2 3 2" xfId="14230" xr:uid="{00000000-0005-0000-0000-00004B440000}"/>
    <cellStyle name="40% - Accent2 4 2 2 2 2 2 4" xfId="14229" xr:uid="{00000000-0005-0000-0000-00004C440000}"/>
    <cellStyle name="40% - Accent2 4 2 2 2 2 3" xfId="14226" xr:uid="{00000000-0005-0000-0000-00004D440000}"/>
    <cellStyle name="40% - Accent2 4 2 2 2 2 3 2" xfId="14225" xr:uid="{00000000-0005-0000-0000-00004E440000}"/>
    <cellStyle name="40% - Accent2 4 2 2 2 2 3 2 2" xfId="14223" xr:uid="{00000000-0005-0000-0000-00004F440000}"/>
    <cellStyle name="40% - Accent2 4 2 2 2 2 3 3" xfId="14222" xr:uid="{00000000-0005-0000-0000-000050440000}"/>
    <cellStyle name="40% - Accent2 4 2 2 2 2 4" xfId="14260" xr:uid="{00000000-0005-0000-0000-000051440000}"/>
    <cellStyle name="40% - Accent2 4 2 2 2 2 4 2" xfId="14218" xr:uid="{00000000-0005-0000-0000-000052440000}"/>
    <cellStyle name="40% - Accent2 4 2 2 2 2 5" xfId="13805" xr:uid="{00000000-0005-0000-0000-000053440000}"/>
    <cellStyle name="40% - Accent2 4 2 2 2 3" xfId="14215" xr:uid="{00000000-0005-0000-0000-000054440000}"/>
    <cellStyle name="40% - Accent2 4 2 2 2 3 2" xfId="14214" xr:uid="{00000000-0005-0000-0000-000055440000}"/>
    <cellStyle name="40% - Accent2 4 2 2 2 3 2 2" xfId="14213" xr:uid="{00000000-0005-0000-0000-000056440000}"/>
    <cellStyle name="40% - Accent2 4 2 2 2 3 2 2 2" xfId="14209" xr:uid="{00000000-0005-0000-0000-000057440000}"/>
    <cellStyle name="40% - Accent2 4 2 2 2 3 2 3" xfId="14208" xr:uid="{00000000-0005-0000-0000-000058440000}"/>
    <cellStyle name="40% - Accent2 4 2 2 2 3 3" xfId="14205" xr:uid="{00000000-0005-0000-0000-000059440000}"/>
    <cellStyle name="40% - Accent2 4 2 2 2 3 3 2" xfId="28357" xr:uid="{00000000-0005-0000-0000-00005A440000}"/>
    <cellStyle name="40% - Accent2 4 2 2 2 3 4" xfId="14247" xr:uid="{00000000-0005-0000-0000-00005B440000}"/>
    <cellStyle name="40% - Accent2 4 2 2 2 4" xfId="14204" xr:uid="{00000000-0005-0000-0000-00005C440000}"/>
    <cellStyle name="40% - Accent2 4 2 2 2 4 2" xfId="14203" xr:uid="{00000000-0005-0000-0000-00005D440000}"/>
    <cellStyle name="40% - Accent2 4 2 2 2 4 2 2" xfId="14202" xr:uid="{00000000-0005-0000-0000-00005E440000}"/>
    <cellStyle name="40% - Accent2 4 2 2 2 4 3" xfId="14200" xr:uid="{00000000-0005-0000-0000-00005F440000}"/>
    <cellStyle name="40% - Accent2 4 2 2 2 5" xfId="26351" xr:uid="{00000000-0005-0000-0000-000060440000}"/>
    <cellStyle name="40% - Accent2 4 2 2 2 5 2" xfId="14199" xr:uid="{00000000-0005-0000-0000-000061440000}"/>
    <cellStyle name="40% - Accent2 4 2 2 2 6" xfId="14198" xr:uid="{00000000-0005-0000-0000-000062440000}"/>
    <cellStyle name="40% - Accent2 4 2 2 3" xfId="14197" xr:uid="{00000000-0005-0000-0000-000063440000}"/>
    <cellStyle name="40% - Accent2 4 2 2 3 2" xfId="14196" xr:uid="{00000000-0005-0000-0000-000064440000}"/>
    <cellStyle name="40% - Accent2 4 2 2 3 2 2" xfId="14195" xr:uid="{00000000-0005-0000-0000-000065440000}"/>
    <cellStyle name="40% - Accent2 4 2 2 3 2 2 2" xfId="14194" xr:uid="{00000000-0005-0000-0000-000066440000}"/>
    <cellStyle name="40% - Accent2 4 2 2 3 2 2 2 2" xfId="14191" xr:uid="{00000000-0005-0000-0000-000067440000}"/>
    <cellStyle name="40% - Accent2 4 2 2 3 2 2 3" xfId="14190" xr:uid="{00000000-0005-0000-0000-000068440000}"/>
    <cellStyle name="40% - Accent2 4 2 2 3 2 3" xfId="14187" xr:uid="{00000000-0005-0000-0000-000069440000}"/>
    <cellStyle name="40% - Accent2 4 2 2 3 2 3 2" xfId="14186" xr:uid="{00000000-0005-0000-0000-00006A440000}"/>
    <cellStyle name="40% - Accent2 4 2 2 3 2 4" xfId="24897" xr:uid="{00000000-0005-0000-0000-00006B440000}"/>
    <cellStyle name="40% - Accent2 4 2 2 3 3" xfId="14184" xr:uid="{00000000-0005-0000-0000-00006C440000}"/>
    <cellStyle name="40% - Accent2 4 2 2 3 3 2" xfId="14183" xr:uid="{00000000-0005-0000-0000-00006D440000}"/>
    <cellStyle name="40% - Accent2 4 2 2 3 3 2 2" xfId="32526" xr:uid="{00000000-0005-0000-0000-00006E440000}"/>
    <cellStyle name="40% - Accent2 4 2 2 3 3 3" xfId="14182" xr:uid="{00000000-0005-0000-0000-00006F440000}"/>
    <cellStyle name="40% - Accent2 4 2 2 3 4" xfId="6864" xr:uid="{00000000-0005-0000-0000-000070440000}"/>
    <cellStyle name="40% - Accent2 4 2 2 3 4 2" xfId="14181" xr:uid="{00000000-0005-0000-0000-000071440000}"/>
    <cellStyle name="40% - Accent2 4 2 2 3 5" xfId="6861" xr:uid="{00000000-0005-0000-0000-000072440000}"/>
    <cellStyle name="40% - Accent2 4 2 2 4" xfId="14180" xr:uid="{00000000-0005-0000-0000-000073440000}"/>
    <cellStyle name="40% - Accent2 4 2 2 4 2" xfId="14179" xr:uid="{00000000-0005-0000-0000-000074440000}"/>
    <cellStyle name="40% - Accent2 4 2 2 4 2 2" xfId="14178" xr:uid="{00000000-0005-0000-0000-000075440000}"/>
    <cellStyle name="40% - Accent2 4 2 2 4 2 2 2" xfId="24080" xr:uid="{00000000-0005-0000-0000-000076440000}"/>
    <cellStyle name="40% - Accent2 4 2 2 4 2 3" xfId="33822" xr:uid="{00000000-0005-0000-0000-000077440000}"/>
    <cellStyle name="40% - Accent2 4 2 2 4 3" xfId="14177" xr:uid="{00000000-0005-0000-0000-000078440000}"/>
    <cellStyle name="40% - Accent2 4 2 2 4 3 2" xfId="14176" xr:uid="{00000000-0005-0000-0000-000079440000}"/>
    <cellStyle name="40% - Accent2 4 2 2 4 4" xfId="6859" xr:uid="{00000000-0005-0000-0000-00007A440000}"/>
    <cellStyle name="40% - Accent2 4 2 2 5" xfId="14175" xr:uid="{00000000-0005-0000-0000-00007B440000}"/>
    <cellStyle name="40% - Accent2 4 2 2 5 2" xfId="14174" xr:uid="{00000000-0005-0000-0000-00007C440000}"/>
    <cellStyle name="40% - Accent2 4 2 2 5 2 2" xfId="22074" xr:uid="{00000000-0005-0000-0000-00007D440000}"/>
    <cellStyle name="40% - Accent2 4 2 2 5 3" xfId="25715" xr:uid="{00000000-0005-0000-0000-00007E440000}"/>
    <cellStyle name="40% - Accent2 4 2 2 6" xfId="33928" xr:uid="{00000000-0005-0000-0000-00007F440000}"/>
    <cellStyle name="40% - Accent2 4 2 2 6 2" xfId="32470" xr:uid="{00000000-0005-0000-0000-000080440000}"/>
    <cellStyle name="40% - Accent2 4 2 2 7" xfId="32464" xr:uid="{00000000-0005-0000-0000-000081440000}"/>
    <cellStyle name="40% - Accent2 4 2 3" xfId="14173" xr:uid="{00000000-0005-0000-0000-000082440000}"/>
    <cellStyle name="40% - Accent2 4 2 3 2" xfId="14172" xr:uid="{00000000-0005-0000-0000-000083440000}"/>
    <cellStyle name="40% - Accent2 4 2 3 2 2" xfId="14170" xr:uid="{00000000-0005-0000-0000-000084440000}"/>
    <cellStyle name="40% - Accent2 4 2 3 2 2 2" xfId="14168" xr:uid="{00000000-0005-0000-0000-000085440000}"/>
    <cellStyle name="40% - Accent2 4 2 3 2 2 2 2" xfId="8316" xr:uid="{00000000-0005-0000-0000-000086440000}"/>
    <cellStyle name="40% - Accent2 4 2 3 2 2 2 2 2" xfId="14166" xr:uid="{00000000-0005-0000-0000-000087440000}"/>
    <cellStyle name="40% - Accent2 4 2 3 2 2 2 3" xfId="8612" xr:uid="{00000000-0005-0000-0000-000088440000}"/>
    <cellStyle name="40% - Accent2 4 2 3 2 2 3" xfId="14165" xr:uid="{00000000-0005-0000-0000-000089440000}"/>
    <cellStyle name="40% - Accent2 4 2 3 2 2 3 2" xfId="14163" xr:uid="{00000000-0005-0000-0000-00008A440000}"/>
    <cellStyle name="40% - Accent2 4 2 3 2 2 4" xfId="14157" xr:uid="{00000000-0005-0000-0000-00008B440000}"/>
    <cellStyle name="40% - Accent2 4 2 3 2 3" xfId="14148" xr:uid="{00000000-0005-0000-0000-00008C440000}"/>
    <cellStyle name="40% - Accent2 4 2 3 2 3 2" xfId="18675" xr:uid="{00000000-0005-0000-0000-00008D440000}"/>
    <cellStyle name="40% - Accent2 4 2 3 2 3 2 2" xfId="8252" xr:uid="{00000000-0005-0000-0000-00008E440000}"/>
    <cellStyle name="40% - Accent2 4 2 3 2 3 3" xfId="26212" xr:uid="{00000000-0005-0000-0000-00008F440000}"/>
    <cellStyle name="40% - Accent2 4 2 3 2 4" xfId="14146" xr:uid="{00000000-0005-0000-0000-000090440000}"/>
    <cellStyle name="40% - Accent2 4 2 3 2 4 2" xfId="18669" xr:uid="{00000000-0005-0000-0000-000091440000}"/>
    <cellStyle name="40% - Accent2 4 2 3 2 5" xfId="14144" xr:uid="{00000000-0005-0000-0000-000092440000}"/>
    <cellStyle name="40% - Accent2 4 2 3 3" xfId="14142" xr:uid="{00000000-0005-0000-0000-000093440000}"/>
    <cellStyle name="40% - Accent2 4 2 3 3 2" xfId="14140" xr:uid="{00000000-0005-0000-0000-000094440000}"/>
    <cellStyle name="40% - Accent2 4 2 3 3 2 2" xfId="14138" xr:uid="{00000000-0005-0000-0000-000095440000}"/>
    <cellStyle name="40% - Accent2 4 2 3 3 2 2 2" xfId="8134" xr:uid="{00000000-0005-0000-0000-000096440000}"/>
    <cellStyle name="40% - Accent2 4 2 3 3 2 3" xfId="14136" xr:uid="{00000000-0005-0000-0000-000097440000}"/>
    <cellStyle name="40% - Accent2 4 2 3 3 3" xfId="14133" xr:uid="{00000000-0005-0000-0000-000098440000}"/>
    <cellStyle name="40% - Accent2 4 2 3 3 3 2" xfId="26197" xr:uid="{00000000-0005-0000-0000-000099440000}"/>
    <cellStyle name="40% - Accent2 4 2 3 3 4" xfId="6857" xr:uid="{00000000-0005-0000-0000-00009A440000}"/>
    <cellStyle name="40% - Accent2 4 2 3 4" xfId="14131" xr:uid="{00000000-0005-0000-0000-00009B440000}"/>
    <cellStyle name="40% - Accent2 4 2 3 4 2" xfId="15578" xr:uid="{00000000-0005-0000-0000-00009C440000}"/>
    <cellStyle name="40% - Accent2 4 2 3 4 2 2" xfId="14129" xr:uid="{00000000-0005-0000-0000-00009D440000}"/>
    <cellStyle name="40% - Accent2 4 2 3 4 3" xfId="14127" xr:uid="{00000000-0005-0000-0000-00009E440000}"/>
    <cellStyle name="40% - Accent2 4 2 3 5" xfId="14125" xr:uid="{00000000-0005-0000-0000-00009F440000}"/>
    <cellStyle name="40% - Accent2 4 2 3 5 2" xfId="14123" xr:uid="{00000000-0005-0000-0000-0000A0440000}"/>
    <cellStyle name="40% - Accent2 4 2 3 6" xfId="18649" xr:uid="{00000000-0005-0000-0000-0000A1440000}"/>
    <cellStyle name="40% - Accent2 4 2 4" xfId="14120" xr:uid="{00000000-0005-0000-0000-0000A2440000}"/>
    <cellStyle name="40% - Accent2 4 2 4 2" xfId="7444" xr:uid="{00000000-0005-0000-0000-0000A3440000}"/>
    <cellStyle name="40% - Accent2 4 2 4 2 2" xfId="14119" xr:uid="{00000000-0005-0000-0000-0000A4440000}"/>
    <cellStyle name="40% - Accent2 4 2 4 2 2 2" xfId="14117" xr:uid="{00000000-0005-0000-0000-0000A5440000}"/>
    <cellStyle name="40% - Accent2 4 2 4 2 2 2 2" xfId="23761" xr:uid="{00000000-0005-0000-0000-0000A6440000}"/>
    <cellStyle name="40% - Accent2 4 2 4 2 2 3" xfId="14115" xr:uid="{00000000-0005-0000-0000-0000A7440000}"/>
    <cellStyle name="40% - Accent2 4 2 4 2 3" xfId="14112" xr:uid="{00000000-0005-0000-0000-0000A8440000}"/>
    <cellStyle name="40% - Accent2 4 2 4 2 3 2" xfId="18625" xr:uid="{00000000-0005-0000-0000-0000A9440000}"/>
    <cellStyle name="40% - Accent2 4 2 4 2 4" xfId="20732" xr:uid="{00000000-0005-0000-0000-0000AA440000}"/>
    <cellStyle name="40% - Accent2 4 2 4 3" xfId="14110" xr:uid="{00000000-0005-0000-0000-0000AB440000}"/>
    <cellStyle name="40% - Accent2 4 2 4 3 2" xfId="15142" xr:uid="{00000000-0005-0000-0000-0000AC440000}"/>
    <cellStyle name="40% - Accent2 4 2 4 3 2 2" xfId="15637" xr:uid="{00000000-0005-0000-0000-0000AD440000}"/>
    <cellStyle name="40% - Accent2 4 2 4 3 3" xfId="14108" xr:uid="{00000000-0005-0000-0000-0000AE440000}"/>
    <cellStyle name="40% - Accent2 4 2 4 4" xfId="14105" xr:uid="{00000000-0005-0000-0000-0000AF440000}"/>
    <cellStyle name="40% - Accent2 4 2 4 4 2" xfId="14103" xr:uid="{00000000-0005-0000-0000-0000B0440000}"/>
    <cellStyle name="40% - Accent2 4 2 4 5" xfId="14101" xr:uid="{00000000-0005-0000-0000-0000B1440000}"/>
    <cellStyle name="40% - Accent2 4 2 5" xfId="14098" xr:uid="{00000000-0005-0000-0000-0000B2440000}"/>
    <cellStyle name="40% - Accent2 4 2 5 2" xfId="14097" xr:uid="{00000000-0005-0000-0000-0000B3440000}"/>
    <cellStyle name="40% - Accent2 4 2 5 2 2" xfId="14095" xr:uid="{00000000-0005-0000-0000-0000B4440000}"/>
    <cellStyle name="40% - Accent2 4 2 5 2 2 2" xfId="14092" xr:uid="{00000000-0005-0000-0000-0000B5440000}"/>
    <cellStyle name="40% - Accent2 4 2 5 2 3" xfId="14089" xr:uid="{00000000-0005-0000-0000-0000B6440000}"/>
    <cellStyle name="40% - Accent2 4 2 5 3" xfId="14085" xr:uid="{00000000-0005-0000-0000-0000B7440000}"/>
    <cellStyle name="40% - Accent2 4 2 5 3 2" xfId="14083" xr:uid="{00000000-0005-0000-0000-0000B8440000}"/>
    <cellStyle name="40% - Accent2 4 2 5 4" xfId="14080" xr:uid="{00000000-0005-0000-0000-0000B9440000}"/>
    <cellStyle name="40% - Accent2 4 2 6" xfId="14078" xr:uid="{00000000-0005-0000-0000-0000BA440000}"/>
    <cellStyle name="40% - Accent2 4 2 6 2" xfId="18602" xr:uid="{00000000-0005-0000-0000-0000BB440000}"/>
    <cellStyle name="40% - Accent2 4 2 6 2 2" xfId="22353" xr:uid="{00000000-0005-0000-0000-0000BC440000}"/>
    <cellStyle name="40% - Accent2 4 2 6 3" xfId="14077" xr:uid="{00000000-0005-0000-0000-0000BD440000}"/>
    <cellStyle name="40% - Accent2 4 2 7" xfId="18503" xr:uid="{00000000-0005-0000-0000-0000BE440000}"/>
    <cellStyle name="40% - Accent2 4 2 7 2" xfId="21686" xr:uid="{00000000-0005-0000-0000-0000BF440000}"/>
    <cellStyle name="40% - Accent2 4 2 8" xfId="24381" xr:uid="{00000000-0005-0000-0000-0000C0440000}"/>
    <cellStyle name="40% - Accent2 4 2 9" xfId="34566" xr:uid="{00000000-0005-0000-0000-0000C1440000}"/>
    <cellStyle name="40% - Accent2 4 3" xfId="22441" xr:uid="{00000000-0005-0000-0000-0000C2440000}"/>
    <cellStyle name="40% - Accent2 4 3 2" xfId="33994" xr:uid="{00000000-0005-0000-0000-0000C3440000}"/>
    <cellStyle name="40% - Accent2 4 3 2 2" xfId="14075" xr:uid="{00000000-0005-0000-0000-0000C4440000}"/>
    <cellStyle name="40% - Accent2 4 3 2 2 2" xfId="14074" xr:uid="{00000000-0005-0000-0000-0000C5440000}"/>
    <cellStyle name="40% - Accent2 4 3 2 2 2 2" xfId="31851" xr:uid="{00000000-0005-0000-0000-0000C6440000}"/>
    <cellStyle name="40% - Accent2 4 3 2 2 2 2 2" xfId="14072" xr:uid="{00000000-0005-0000-0000-0000C7440000}"/>
    <cellStyle name="40% - Accent2 4 3 2 2 2 2 2 2" xfId="31978" xr:uid="{00000000-0005-0000-0000-0000C8440000}"/>
    <cellStyle name="40% - Accent2 4 3 2 2 2 2 3" xfId="14070" xr:uid="{00000000-0005-0000-0000-0000C9440000}"/>
    <cellStyle name="40% - Accent2 4 3 2 2 2 3" xfId="14068" xr:uid="{00000000-0005-0000-0000-0000CA440000}"/>
    <cellStyle name="40% - Accent2 4 3 2 2 2 3 2" xfId="14066" xr:uid="{00000000-0005-0000-0000-0000CB440000}"/>
    <cellStyle name="40% - Accent2 4 3 2 2 2 4" xfId="14064" xr:uid="{00000000-0005-0000-0000-0000CC440000}"/>
    <cellStyle name="40% - Accent2 4 3 2 2 3" xfId="26899" xr:uid="{00000000-0005-0000-0000-0000CD440000}"/>
    <cellStyle name="40% - Accent2 4 3 2 2 3 2" xfId="28783" xr:uid="{00000000-0005-0000-0000-0000CE440000}"/>
    <cellStyle name="40% - Accent2 4 3 2 2 3 2 2" xfId="16137" xr:uid="{00000000-0005-0000-0000-0000CF440000}"/>
    <cellStyle name="40% - Accent2 4 3 2 2 3 3" xfId="32381" xr:uid="{00000000-0005-0000-0000-0000D0440000}"/>
    <cellStyle name="40% - Accent2 4 3 2 2 4" xfId="14059" xr:uid="{00000000-0005-0000-0000-0000D1440000}"/>
    <cellStyle name="40% - Accent2 4 3 2 2 4 2" xfId="31593" xr:uid="{00000000-0005-0000-0000-0000D2440000}"/>
    <cellStyle name="40% - Accent2 4 3 2 2 5" xfId="14058" xr:uid="{00000000-0005-0000-0000-0000D3440000}"/>
    <cellStyle name="40% - Accent2 4 3 2 3" xfId="14057" xr:uid="{00000000-0005-0000-0000-0000D4440000}"/>
    <cellStyle name="40% - Accent2 4 3 2 3 2" xfId="14055" xr:uid="{00000000-0005-0000-0000-0000D5440000}"/>
    <cellStyle name="40% - Accent2 4 3 2 3 2 2" xfId="14054" xr:uid="{00000000-0005-0000-0000-0000D6440000}"/>
    <cellStyle name="40% - Accent2 4 3 2 3 2 2 2" xfId="14053" xr:uid="{00000000-0005-0000-0000-0000D7440000}"/>
    <cellStyle name="40% - Accent2 4 3 2 3 2 3" xfId="14047" xr:uid="{00000000-0005-0000-0000-0000D8440000}"/>
    <cellStyle name="40% - Accent2 4 3 2 3 3" xfId="14045" xr:uid="{00000000-0005-0000-0000-0000D9440000}"/>
    <cellStyle name="40% - Accent2 4 3 2 3 3 2" xfId="31569" xr:uid="{00000000-0005-0000-0000-0000DA440000}"/>
    <cellStyle name="40% - Accent2 4 3 2 3 4" xfId="6828" xr:uid="{00000000-0005-0000-0000-0000DB440000}"/>
    <cellStyle name="40% - Accent2 4 3 2 4" xfId="14044" xr:uid="{00000000-0005-0000-0000-0000DC440000}"/>
    <cellStyle name="40% - Accent2 4 3 2 4 2" xfId="27413" xr:uid="{00000000-0005-0000-0000-0000DD440000}"/>
    <cellStyle name="40% - Accent2 4 3 2 4 2 2" xfId="14043" xr:uid="{00000000-0005-0000-0000-0000DE440000}"/>
    <cellStyle name="40% - Accent2 4 3 2 4 3" xfId="14042" xr:uid="{00000000-0005-0000-0000-0000DF440000}"/>
    <cellStyle name="40% - Accent2 4 3 2 5" xfId="14041" xr:uid="{00000000-0005-0000-0000-0000E0440000}"/>
    <cellStyle name="40% - Accent2 4 3 2 5 2" xfId="14040" xr:uid="{00000000-0005-0000-0000-0000E1440000}"/>
    <cellStyle name="40% - Accent2 4 3 2 6" xfId="33204" xr:uid="{00000000-0005-0000-0000-0000E2440000}"/>
    <cellStyle name="40% - Accent2 4 3 3" xfId="14039" xr:uid="{00000000-0005-0000-0000-0000E3440000}"/>
    <cellStyle name="40% - Accent2 4 3 3 2" xfId="14038" xr:uid="{00000000-0005-0000-0000-0000E4440000}"/>
    <cellStyle name="40% - Accent2 4 3 3 2 2" xfId="22128" xr:uid="{00000000-0005-0000-0000-0000E5440000}"/>
    <cellStyle name="40% - Accent2 4 3 3 2 2 2" xfId="14035" xr:uid="{00000000-0005-0000-0000-0000E6440000}"/>
    <cellStyle name="40% - Accent2 4 3 3 2 2 2 2" xfId="11019" xr:uid="{00000000-0005-0000-0000-0000E7440000}"/>
    <cellStyle name="40% - Accent2 4 3 3 2 2 3" xfId="14033" xr:uid="{00000000-0005-0000-0000-0000E8440000}"/>
    <cellStyle name="40% - Accent2 4 3 3 2 3" xfId="14029" xr:uid="{00000000-0005-0000-0000-0000E9440000}"/>
    <cellStyle name="40% - Accent2 4 3 3 2 3 2" xfId="18556" xr:uid="{00000000-0005-0000-0000-0000EA440000}"/>
    <cellStyle name="40% - Accent2 4 3 3 2 4" xfId="14027" xr:uid="{00000000-0005-0000-0000-0000EB440000}"/>
    <cellStyle name="40% - Accent2 4 3 3 3" xfId="14025" xr:uid="{00000000-0005-0000-0000-0000EC440000}"/>
    <cellStyle name="40% - Accent2 4 3 3 3 2" xfId="14023" xr:uid="{00000000-0005-0000-0000-0000ED440000}"/>
    <cellStyle name="40% - Accent2 4 3 3 3 2 2" xfId="14021" xr:uid="{00000000-0005-0000-0000-0000EE440000}"/>
    <cellStyle name="40% - Accent2 4 3 3 3 3" xfId="14018" xr:uid="{00000000-0005-0000-0000-0000EF440000}"/>
    <cellStyle name="40% - Accent2 4 3 3 4" xfId="14016" xr:uid="{00000000-0005-0000-0000-0000F0440000}"/>
    <cellStyle name="40% - Accent2 4 3 3 4 2" xfId="14014" xr:uid="{00000000-0005-0000-0000-0000F1440000}"/>
    <cellStyle name="40% - Accent2 4 3 3 5" xfId="14012" xr:uid="{00000000-0005-0000-0000-0000F2440000}"/>
    <cellStyle name="40% - Accent2 4 3 4" xfId="14010" xr:uid="{00000000-0005-0000-0000-0000F3440000}"/>
    <cellStyle name="40% - Accent2 4 3 4 2" xfId="14007" xr:uid="{00000000-0005-0000-0000-0000F4440000}"/>
    <cellStyle name="40% - Accent2 4 3 4 2 2" xfId="14005" xr:uid="{00000000-0005-0000-0000-0000F5440000}"/>
    <cellStyle name="40% - Accent2 4 3 4 2 2 2" xfId="14003" xr:uid="{00000000-0005-0000-0000-0000F6440000}"/>
    <cellStyle name="40% - Accent2 4 3 4 2 3" xfId="14001" xr:uid="{00000000-0005-0000-0000-0000F7440000}"/>
    <cellStyle name="40% - Accent2 4 3 4 3" xfId="13999" xr:uid="{00000000-0005-0000-0000-0000F8440000}"/>
    <cellStyle name="40% - Accent2 4 3 4 3 2" xfId="13997" xr:uid="{00000000-0005-0000-0000-0000F9440000}"/>
    <cellStyle name="40% - Accent2 4 3 4 4" xfId="13995" xr:uid="{00000000-0005-0000-0000-0000FA440000}"/>
    <cellStyle name="40% - Accent2 4 3 5" xfId="17112" xr:uid="{00000000-0005-0000-0000-0000FB440000}"/>
    <cellStyle name="40% - Accent2 4 3 5 2" xfId="13993" xr:uid="{00000000-0005-0000-0000-0000FC440000}"/>
    <cellStyle name="40% - Accent2 4 3 5 2 2" xfId="13991" xr:uid="{00000000-0005-0000-0000-0000FD440000}"/>
    <cellStyle name="40% - Accent2 4 3 5 3" xfId="13988" xr:uid="{00000000-0005-0000-0000-0000FE440000}"/>
    <cellStyle name="40% - Accent2 4 3 6" xfId="30523" xr:uid="{00000000-0005-0000-0000-0000FF440000}"/>
    <cellStyle name="40% - Accent2 4 3 6 2" xfId="13985" xr:uid="{00000000-0005-0000-0000-000000450000}"/>
    <cellStyle name="40% - Accent2 4 3 7" xfId="18499" xr:uid="{00000000-0005-0000-0000-000001450000}"/>
    <cellStyle name="40% - Accent2 4 3 8" xfId="34787" xr:uid="{00000000-0005-0000-0000-000002450000}"/>
    <cellStyle name="40% - Accent2 4 4" xfId="13982" xr:uid="{00000000-0005-0000-0000-000003450000}"/>
    <cellStyle name="40% - Accent2 4 4 2" xfId="13981" xr:uid="{00000000-0005-0000-0000-000004450000}"/>
    <cellStyle name="40% - Accent2 4 4 2 2" xfId="13980" xr:uid="{00000000-0005-0000-0000-000005450000}"/>
    <cellStyle name="40% - Accent2 4 4 2 2 2" xfId="13977" xr:uid="{00000000-0005-0000-0000-000006450000}"/>
    <cellStyle name="40% - Accent2 4 4 2 2 2 2" xfId="15872" xr:uid="{00000000-0005-0000-0000-000007450000}"/>
    <cellStyle name="40% - Accent2 4 4 2 2 2 2 2" xfId="8082" xr:uid="{00000000-0005-0000-0000-000008450000}"/>
    <cellStyle name="40% - Accent2 4 4 2 2 2 3" xfId="13976" xr:uid="{00000000-0005-0000-0000-000009450000}"/>
    <cellStyle name="40% - Accent2 4 4 2 2 3" xfId="13975" xr:uid="{00000000-0005-0000-0000-00000A450000}"/>
    <cellStyle name="40% - Accent2 4 4 2 2 3 2" xfId="28161" xr:uid="{00000000-0005-0000-0000-00000B450000}"/>
    <cellStyle name="40% - Accent2 4 4 2 2 4" xfId="13974" xr:uid="{00000000-0005-0000-0000-00000C450000}"/>
    <cellStyle name="40% - Accent2 4 4 2 3" xfId="13973" xr:uid="{00000000-0005-0000-0000-00000D450000}"/>
    <cellStyle name="40% - Accent2 4 4 2 3 2" xfId="13971" xr:uid="{00000000-0005-0000-0000-00000E450000}"/>
    <cellStyle name="40% - Accent2 4 4 2 3 2 2" xfId="16487" xr:uid="{00000000-0005-0000-0000-00000F450000}"/>
    <cellStyle name="40% - Accent2 4 4 2 3 3" xfId="13970" xr:uid="{00000000-0005-0000-0000-000010450000}"/>
    <cellStyle name="40% - Accent2 4 4 2 4" xfId="9865" xr:uid="{00000000-0005-0000-0000-000011450000}"/>
    <cellStyle name="40% - Accent2 4 4 2 4 2" xfId="13967" xr:uid="{00000000-0005-0000-0000-000012450000}"/>
    <cellStyle name="40% - Accent2 4 4 2 5" xfId="9863" xr:uid="{00000000-0005-0000-0000-000013450000}"/>
    <cellStyle name="40% - Accent2 4 4 3" xfId="13966" xr:uid="{00000000-0005-0000-0000-000014450000}"/>
    <cellStyle name="40% - Accent2 4 4 3 2" xfId="13965" xr:uid="{00000000-0005-0000-0000-000015450000}"/>
    <cellStyle name="40% - Accent2 4 4 3 2 2" xfId="13962" xr:uid="{00000000-0005-0000-0000-000016450000}"/>
    <cellStyle name="40% - Accent2 4 4 3 2 2 2" xfId="18087" xr:uid="{00000000-0005-0000-0000-000017450000}"/>
    <cellStyle name="40% - Accent2 4 4 3 2 3" xfId="13960" xr:uid="{00000000-0005-0000-0000-000018450000}"/>
    <cellStyle name="40% - Accent2 4 4 3 3" xfId="13958" xr:uid="{00000000-0005-0000-0000-000019450000}"/>
    <cellStyle name="40% - Accent2 4 4 3 3 2" xfId="13956" xr:uid="{00000000-0005-0000-0000-00001A450000}"/>
    <cellStyle name="40% - Accent2 4 4 3 4" xfId="9853" xr:uid="{00000000-0005-0000-0000-00001B450000}"/>
    <cellStyle name="40% - Accent2 4 4 4" xfId="21051" xr:uid="{00000000-0005-0000-0000-00001C450000}"/>
    <cellStyle name="40% - Accent2 4 4 4 2" xfId="13954" xr:uid="{00000000-0005-0000-0000-00001D450000}"/>
    <cellStyle name="40% - Accent2 4 4 4 2 2" xfId="16821" xr:uid="{00000000-0005-0000-0000-00001E450000}"/>
    <cellStyle name="40% - Accent2 4 4 4 3" xfId="13952" xr:uid="{00000000-0005-0000-0000-00001F450000}"/>
    <cellStyle name="40% - Accent2 4 4 5" xfId="17100" xr:uid="{00000000-0005-0000-0000-000020450000}"/>
    <cellStyle name="40% - Accent2 4 4 5 2" xfId="13950" xr:uid="{00000000-0005-0000-0000-000021450000}"/>
    <cellStyle name="40% - Accent2 4 4 6" xfId="17096" xr:uid="{00000000-0005-0000-0000-000022450000}"/>
    <cellStyle name="40% - Accent2 4 4 7" xfId="34984" xr:uid="{00000000-0005-0000-0000-000023450000}"/>
    <cellStyle name="40% - Accent2 4 5" xfId="13946" xr:uid="{00000000-0005-0000-0000-000024450000}"/>
    <cellStyle name="40% - Accent2 4 5 2" xfId="13945" xr:uid="{00000000-0005-0000-0000-000025450000}"/>
    <cellStyle name="40% - Accent2 4 5 2 2" xfId="13944" xr:uid="{00000000-0005-0000-0000-000026450000}"/>
    <cellStyle name="40% - Accent2 4 5 2 2 2" xfId="13939" xr:uid="{00000000-0005-0000-0000-000027450000}"/>
    <cellStyle name="40% - Accent2 4 5 2 2 2 2" xfId="13938" xr:uid="{00000000-0005-0000-0000-000028450000}"/>
    <cellStyle name="40% - Accent2 4 5 2 2 3" xfId="13937" xr:uid="{00000000-0005-0000-0000-000029450000}"/>
    <cellStyle name="40% - Accent2 4 5 2 3" xfId="13936" xr:uid="{00000000-0005-0000-0000-00002A450000}"/>
    <cellStyle name="40% - Accent2 4 5 2 3 2" xfId="13934" xr:uid="{00000000-0005-0000-0000-00002B450000}"/>
    <cellStyle name="40% - Accent2 4 5 2 4" xfId="9840" xr:uid="{00000000-0005-0000-0000-00002C450000}"/>
    <cellStyle name="40% - Accent2 4 5 3" xfId="13933" xr:uid="{00000000-0005-0000-0000-00002D450000}"/>
    <cellStyle name="40% - Accent2 4 5 3 2" xfId="13929" xr:uid="{00000000-0005-0000-0000-00002E450000}"/>
    <cellStyle name="40% - Accent2 4 5 3 2 2" xfId="14396" xr:uid="{00000000-0005-0000-0000-00002F450000}"/>
    <cellStyle name="40% - Accent2 4 5 3 3" xfId="13927" xr:uid="{00000000-0005-0000-0000-000030450000}"/>
    <cellStyle name="40% - Accent2 4 5 4" xfId="13923" xr:uid="{00000000-0005-0000-0000-000031450000}"/>
    <cellStyle name="40% - Accent2 4 5 4 2" xfId="5446" xr:uid="{00000000-0005-0000-0000-000032450000}"/>
    <cellStyle name="40% - Accent2 4 5 5" xfId="17090" xr:uid="{00000000-0005-0000-0000-000033450000}"/>
    <cellStyle name="40% - Accent2 4 5 6" xfId="35189" xr:uid="{00000000-0005-0000-0000-000034450000}"/>
    <cellStyle name="40% - Accent2 4 6" xfId="5544" xr:uid="{00000000-0005-0000-0000-000035450000}"/>
    <cellStyle name="40% - Accent2 4 6 2" xfId="33932" xr:uid="{00000000-0005-0000-0000-000036450000}"/>
    <cellStyle name="40% - Accent2 4 6 2 2" xfId="13919" xr:uid="{00000000-0005-0000-0000-000037450000}"/>
    <cellStyle name="40% - Accent2 4 6 2 2 2" xfId="13917" xr:uid="{00000000-0005-0000-0000-000038450000}"/>
    <cellStyle name="40% - Accent2 4 6 2 3" xfId="13914" xr:uid="{00000000-0005-0000-0000-000039450000}"/>
    <cellStyle name="40% - Accent2 4 6 3" xfId="13911" xr:uid="{00000000-0005-0000-0000-00003A450000}"/>
    <cellStyle name="40% - Accent2 4 6 3 2" xfId="14155" xr:uid="{00000000-0005-0000-0000-00003B450000}"/>
    <cellStyle name="40% - Accent2 4 6 4" xfId="13909" xr:uid="{00000000-0005-0000-0000-00003C450000}"/>
    <cellStyle name="40% - Accent2 4 6 5" xfId="35418" xr:uid="{00000000-0005-0000-0000-00003D450000}"/>
    <cellStyle name="40% - Accent2 4 7" xfId="13905" xr:uid="{00000000-0005-0000-0000-00003E450000}"/>
    <cellStyle name="40% - Accent2 4 7 2" xfId="28822" xr:uid="{00000000-0005-0000-0000-00003F450000}"/>
    <cellStyle name="40% - Accent2 4 7 2 2" xfId="20179" xr:uid="{00000000-0005-0000-0000-000040450000}"/>
    <cellStyle name="40% - Accent2 4 7 3" xfId="20300" xr:uid="{00000000-0005-0000-0000-000041450000}"/>
    <cellStyle name="40% - Accent2 4 7 4" xfId="36290" xr:uid="{00000000-0005-0000-0000-000042450000}"/>
    <cellStyle name="40% - Accent2 4 8" xfId="20176" xr:uid="{00000000-0005-0000-0000-000043450000}"/>
    <cellStyle name="40% - Accent2 4 8 2" xfId="20173" xr:uid="{00000000-0005-0000-0000-000044450000}"/>
    <cellStyle name="40% - Accent2 4 8 3" xfId="36576" xr:uid="{00000000-0005-0000-0000-000045450000}"/>
    <cellStyle name="40% - Accent2 4 9" xfId="20171" xr:uid="{00000000-0005-0000-0000-000046450000}"/>
    <cellStyle name="40% - Accent2 4 9 2" xfId="37461" xr:uid="{00000000-0005-0000-0000-000047450000}"/>
    <cellStyle name="40% - Accent2 40" xfId="36096" xr:uid="{00000000-0005-0000-0000-000048450000}"/>
    <cellStyle name="40% - Accent2 40 2" xfId="37265" xr:uid="{00000000-0005-0000-0000-000049450000}"/>
    <cellStyle name="40% - Accent2 40 3" xfId="38163" xr:uid="{00000000-0005-0000-0000-00004A450000}"/>
    <cellStyle name="40% - Accent2 41" xfId="36116" xr:uid="{00000000-0005-0000-0000-00004B450000}"/>
    <cellStyle name="40% - Accent2 41 2" xfId="37285" xr:uid="{00000000-0005-0000-0000-00004C450000}"/>
    <cellStyle name="40% - Accent2 41 3" xfId="38183" xr:uid="{00000000-0005-0000-0000-00004D450000}"/>
    <cellStyle name="40% - Accent2 42" xfId="36136" xr:uid="{00000000-0005-0000-0000-00004E450000}"/>
    <cellStyle name="40% - Accent2 42 2" xfId="37305" xr:uid="{00000000-0005-0000-0000-00004F450000}"/>
    <cellStyle name="40% - Accent2 42 3" xfId="38203" xr:uid="{00000000-0005-0000-0000-000050450000}"/>
    <cellStyle name="40% - Accent2 43" xfId="36156" xr:uid="{00000000-0005-0000-0000-000051450000}"/>
    <cellStyle name="40% - Accent2 43 2" xfId="37325" xr:uid="{00000000-0005-0000-0000-000052450000}"/>
    <cellStyle name="40% - Accent2 43 3" xfId="38223" xr:uid="{00000000-0005-0000-0000-000053450000}"/>
    <cellStyle name="40% - Accent2 44" xfId="36176" xr:uid="{00000000-0005-0000-0000-000054450000}"/>
    <cellStyle name="40% - Accent2 44 2" xfId="37345" xr:uid="{00000000-0005-0000-0000-000055450000}"/>
    <cellStyle name="40% - Accent2 44 3" xfId="38243" xr:uid="{00000000-0005-0000-0000-000056450000}"/>
    <cellStyle name="40% - Accent2 45" xfId="36196" xr:uid="{00000000-0005-0000-0000-000057450000}"/>
    <cellStyle name="40% - Accent2 45 2" xfId="37365" xr:uid="{00000000-0005-0000-0000-000058450000}"/>
    <cellStyle name="40% - Accent2 45 3" xfId="38263" xr:uid="{00000000-0005-0000-0000-000059450000}"/>
    <cellStyle name="40% - Accent2 46" xfId="36216" xr:uid="{00000000-0005-0000-0000-00005A450000}"/>
    <cellStyle name="40% - Accent2 46 2" xfId="37383" xr:uid="{00000000-0005-0000-0000-00005B450000}"/>
    <cellStyle name="40% - Accent2 46 3" xfId="38283" xr:uid="{00000000-0005-0000-0000-00005C450000}"/>
    <cellStyle name="40% - Accent2 47" xfId="36517" xr:uid="{00000000-0005-0000-0000-00005D450000}"/>
    <cellStyle name="40% - Accent2 48" xfId="37402" xr:uid="{00000000-0005-0000-0000-00005E450000}"/>
    <cellStyle name="40% - Accent2 5" xfId="264" xr:uid="{00000000-0005-0000-0000-00005F450000}"/>
    <cellStyle name="40% - Accent2 5 10" xfId="28246" xr:uid="{00000000-0005-0000-0000-000060450000}"/>
    <cellStyle name="40% - Accent2 5 2" xfId="13902" xr:uid="{00000000-0005-0000-0000-000061450000}"/>
    <cellStyle name="40% - Accent2 5 2 2" xfId="8089" xr:uid="{00000000-0005-0000-0000-000062450000}"/>
    <cellStyle name="40% - Accent2 5 2 2 2" xfId="30620" xr:uid="{00000000-0005-0000-0000-000063450000}"/>
    <cellStyle name="40% - Accent2 5 2 2 2 2" xfId="30617" xr:uid="{00000000-0005-0000-0000-000064450000}"/>
    <cellStyle name="40% - Accent2 5 2 2 2 2 2" xfId="17557" xr:uid="{00000000-0005-0000-0000-000065450000}"/>
    <cellStyle name="40% - Accent2 5 2 2 2 2 2 2" xfId="13901" xr:uid="{00000000-0005-0000-0000-000066450000}"/>
    <cellStyle name="40% - Accent2 5 2 2 2 2 2 2 2" xfId="13899" xr:uid="{00000000-0005-0000-0000-000067450000}"/>
    <cellStyle name="40% - Accent2 5 2 2 2 2 2 3" xfId="13896" xr:uid="{00000000-0005-0000-0000-000068450000}"/>
    <cellStyle name="40% - Accent2 5 2 2 2 2 3" xfId="17542" xr:uid="{00000000-0005-0000-0000-000069450000}"/>
    <cellStyle name="40% - Accent2 5 2 2 2 2 3 2" xfId="7401" xr:uid="{00000000-0005-0000-0000-00006A450000}"/>
    <cellStyle name="40% - Accent2 5 2 2 2 2 4" xfId="30930" xr:uid="{00000000-0005-0000-0000-00006B450000}"/>
    <cellStyle name="40% - Accent2 5 2 2 2 3" xfId="13889" xr:uid="{00000000-0005-0000-0000-00006C450000}"/>
    <cellStyle name="40% - Accent2 5 2 2 2 3 2" xfId="17523" xr:uid="{00000000-0005-0000-0000-00006D450000}"/>
    <cellStyle name="40% - Accent2 5 2 2 2 3 2 2" xfId="17821" xr:uid="{00000000-0005-0000-0000-00006E450000}"/>
    <cellStyle name="40% - Accent2 5 2 2 2 3 3" xfId="17519" xr:uid="{00000000-0005-0000-0000-00006F450000}"/>
    <cellStyle name="40% - Accent2 5 2 2 2 4" xfId="13887" xr:uid="{00000000-0005-0000-0000-000070450000}"/>
    <cellStyle name="40% - Accent2 5 2 2 2 4 2" xfId="27992" xr:uid="{00000000-0005-0000-0000-000071450000}"/>
    <cellStyle name="40% - Accent2 5 2 2 2 5" xfId="13885" xr:uid="{00000000-0005-0000-0000-000072450000}"/>
    <cellStyle name="40% - Accent2 5 2 2 3" xfId="30615" xr:uid="{00000000-0005-0000-0000-000073450000}"/>
    <cellStyle name="40% - Accent2 5 2 2 3 2" xfId="13884" xr:uid="{00000000-0005-0000-0000-000074450000}"/>
    <cellStyle name="40% - Accent2 5 2 2 3 2 2" xfId="7985" xr:uid="{00000000-0005-0000-0000-000075450000}"/>
    <cellStyle name="40% - Accent2 5 2 2 3 2 2 2" xfId="13881" xr:uid="{00000000-0005-0000-0000-000076450000}"/>
    <cellStyle name="40% - Accent2 5 2 2 3 2 3" xfId="19794" xr:uid="{00000000-0005-0000-0000-000077450000}"/>
    <cellStyle name="40% - Accent2 5 2 2 3 3" xfId="13879" xr:uid="{00000000-0005-0000-0000-000078450000}"/>
    <cellStyle name="40% - Accent2 5 2 2 3 3 2" xfId="17462" xr:uid="{00000000-0005-0000-0000-000079450000}"/>
    <cellStyle name="40% - Accent2 5 2 2 3 4" xfId="6777" xr:uid="{00000000-0005-0000-0000-00007A450000}"/>
    <cellStyle name="40% - Accent2 5 2 2 4" xfId="13876" xr:uid="{00000000-0005-0000-0000-00007B450000}"/>
    <cellStyle name="40% - Accent2 5 2 2 4 2" xfId="13875" xr:uid="{00000000-0005-0000-0000-00007C450000}"/>
    <cellStyle name="40% - Accent2 5 2 2 4 2 2" xfId="34298" xr:uid="{00000000-0005-0000-0000-00007D450000}"/>
    <cellStyle name="40% - Accent2 5 2 2 4 3" xfId="13871" xr:uid="{00000000-0005-0000-0000-00007E450000}"/>
    <cellStyle name="40% - Accent2 5 2 2 5" xfId="13870" xr:uid="{00000000-0005-0000-0000-00007F450000}"/>
    <cellStyle name="40% - Accent2 5 2 2 5 2" xfId="13869" xr:uid="{00000000-0005-0000-0000-000080450000}"/>
    <cellStyle name="40% - Accent2 5 2 2 6" xfId="34403" xr:uid="{00000000-0005-0000-0000-000081450000}"/>
    <cellStyle name="40% - Accent2 5 2 3" xfId="33286" xr:uid="{00000000-0005-0000-0000-000082450000}"/>
    <cellStyle name="40% - Accent2 5 2 3 2" xfId="30492" xr:uid="{00000000-0005-0000-0000-000083450000}"/>
    <cellStyle name="40% - Accent2 5 2 3 2 2" xfId="13868" xr:uid="{00000000-0005-0000-0000-000084450000}"/>
    <cellStyle name="40% - Accent2 5 2 3 2 2 2" xfId="18370" xr:uid="{00000000-0005-0000-0000-000085450000}"/>
    <cellStyle name="40% - Accent2 5 2 3 2 2 2 2" xfId="32252" xr:uid="{00000000-0005-0000-0000-000086450000}"/>
    <cellStyle name="40% - Accent2 5 2 3 2 2 3" xfId="17188" xr:uid="{00000000-0005-0000-0000-000087450000}"/>
    <cellStyle name="40% - Accent2 5 2 3 2 3" xfId="13865" xr:uid="{00000000-0005-0000-0000-000088450000}"/>
    <cellStyle name="40% - Accent2 5 2 3 2 3 2" xfId="18677" xr:uid="{00000000-0005-0000-0000-000089450000}"/>
    <cellStyle name="40% - Accent2 5 2 3 2 4" xfId="13862" xr:uid="{00000000-0005-0000-0000-00008A450000}"/>
    <cellStyle name="40% - Accent2 5 2 3 3" xfId="18366" xr:uid="{00000000-0005-0000-0000-00008B450000}"/>
    <cellStyle name="40% - Accent2 5 2 3 3 2" xfId="13860" xr:uid="{00000000-0005-0000-0000-00008C450000}"/>
    <cellStyle name="40% - Accent2 5 2 3 3 2 2" xfId="17182" xr:uid="{00000000-0005-0000-0000-00008D450000}"/>
    <cellStyle name="40% - Accent2 5 2 3 3 3" xfId="13855" xr:uid="{00000000-0005-0000-0000-00008E450000}"/>
    <cellStyle name="40% - Accent2 5 2 3 4" xfId="18364" xr:uid="{00000000-0005-0000-0000-00008F450000}"/>
    <cellStyle name="40% - Accent2 5 2 3 4 2" xfId="13853" xr:uid="{00000000-0005-0000-0000-000090450000}"/>
    <cellStyle name="40% - Accent2 5 2 3 5" xfId="18356" xr:uid="{00000000-0005-0000-0000-000091450000}"/>
    <cellStyle name="40% - Accent2 5 2 4" xfId="6906" xr:uid="{00000000-0005-0000-0000-000092450000}"/>
    <cellStyle name="40% - Accent2 5 2 4 2" xfId="23652" xr:uid="{00000000-0005-0000-0000-000093450000}"/>
    <cellStyle name="40% - Accent2 5 2 4 2 2" xfId="13851" xr:uid="{00000000-0005-0000-0000-000094450000}"/>
    <cellStyle name="40% - Accent2 5 2 4 2 2 2" xfId="30239" xr:uid="{00000000-0005-0000-0000-000095450000}"/>
    <cellStyle name="40% - Accent2 5 2 4 2 3" xfId="13847" xr:uid="{00000000-0005-0000-0000-000096450000}"/>
    <cellStyle name="40% - Accent2 5 2 4 3" xfId="30230" xr:uid="{00000000-0005-0000-0000-000097450000}"/>
    <cellStyle name="40% - Accent2 5 2 4 3 2" xfId="13844" xr:uid="{00000000-0005-0000-0000-000098450000}"/>
    <cellStyle name="40% - Accent2 5 2 4 4" xfId="28626" xr:uid="{00000000-0005-0000-0000-000099450000}"/>
    <cellStyle name="40% - Accent2 5 2 5" xfId="32568" xr:uid="{00000000-0005-0000-0000-00009A450000}"/>
    <cellStyle name="40% - Accent2 5 2 5 2" xfId="30088" xr:uid="{00000000-0005-0000-0000-00009B450000}"/>
    <cellStyle name="40% - Accent2 5 2 5 2 2" xfId="13841" xr:uid="{00000000-0005-0000-0000-00009C450000}"/>
    <cellStyle name="40% - Accent2 5 2 5 3" xfId="30082" xr:uid="{00000000-0005-0000-0000-00009D450000}"/>
    <cellStyle name="40% - Accent2 5 2 6" xfId="32563" xr:uid="{00000000-0005-0000-0000-00009E450000}"/>
    <cellStyle name="40% - Accent2 5 2 6 2" xfId="29984" xr:uid="{00000000-0005-0000-0000-00009F450000}"/>
    <cellStyle name="40% - Accent2 5 2 7" xfId="25124" xr:uid="{00000000-0005-0000-0000-0000A0450000}"/>
    <cellStyle name="40% - Accent2 5 2 8" xfId="34801" xr:uid="{00000000-0005-0000-0000-0000A1450000}"/>
    <cellStyle name="40% - Accent2 5 3" xfId="30733" xr:uid="{00000000-0005-0000-0000-0000A2450000}"/>
    <cellStyle name="40% - Accent2 5 3 2" xfId="32511" xr:uid="{00000000-0005-0000-0000-0000A3450000}"/>
    <cellStyle name="40% - Accent2 5 3 2 2" xfId="30085" xr:uid="{00000000-0005-0000-0000-0000A4450000}"/>
    <cellStyle name="40% - Accent2 5 3 2 2 2" xfId="13837" xr:uid="{00000000-0005-0000-0000-0000A5450000}"/>
    <cellStyle name="40% - Accent2 5 3 2 2 2 2" xfId="20420" xr:uid="{00000000-0005-0000-0000-0000A6450000}"/>
    <cellStyle name="40% - Accent2 5 3 2 2 2 2 2" xfId="13836" xr:uid="{00000000-0005-0000-0000-0000A7450000}"/>
    <cellStyle name="40% - Accent2 5 3 2 2 2 3" xfId="16574" xr:uid="{00000000-0005-0000-0000-0000A8450000}"/>
    <cellStyle name="40% - Accent2 5 3 2 2 3" xfId="13834" xr:uid="{00000000-0005-0000-0000-0000A9450000}"/>
    <cellStyle name="40% - Accent2 5 3 2 2 3 2" xfId="16570" xr:uid="{00000000-0005-0000-0000-0000AA450000}"/>
    <cellStyle name="40% - Accent2 5 3 2 2 4" xfId="13833" xr:uid="{00000000-0005-0000-0000-0000AB450000}"/>
    <cellStyle name="40% - Accent2 5 3 2 3" xfId="13831" xr:uid="{00000000-0005-0000-0000-0000AC450000}"/>
    <cellStyle name="40% - Accent2 5 3 2 3 2" xfId="13830" xr:uid="{00000000-0005-0000-0000-0000AD450000}"/>
    <cellStyle name="40% - Accent2 5 3 2 3 2 2" xfId="16552" xr:uid="{00000000-0005-0000-0000-0000AE450000}"/>
    <cellStyle name="40% - Accent2 5 3 2 3 3" xfId="13828" xr:uid="{00000000-0005-0000-0000-0000AF450000}"/>
    <cellStyle name="40% - Accent2 5 3 2 4" xfId="13827" xr:uid="{00000000-0005-0000-0000-0000B0450000}"/>
    <cellStyle name="40% - Accent2 5 3 2 4 2" xfId="13826" xr:uid="{00000000-0005-0000-0000-0000B1450000}"/>
    <cellStyle name="40% - Accent2 5 3 2 5" xfId="32193" xr:uid="{00000000-0005-0000-0000-0000B2450000}"/>
    <cellStyle name="40% - Accent2 5 3 3" xfId="34256" xr:uid="{00000000-0005-0000-0000-0000B3450000}"/>
    <cellStyle name="40% - Accent2 5 3 3 2" xfId="18325" xr:uid="{00000000-0005-0000-0000-0000B4450000}"/>
    <cellStyle name="40% - Accent2 5 3 3 2 2" xfId="13825" xr:uid="{00000000-0005-0000-0000-0000B5450000}"/>
    <cellStyle name="40% - Accent2 5 3 3 2 2 2" xfId="16392" xr:uid="{00000000-0005-0000-0000-0000B6450000}"/>
    <cellStyle name="40% - Accent2 5 3 3 2 3" xfId="13823" xr:uid="{00000000-0005-0000-0000-0000B7450000}"/>
    <cellStyle name="40% - Accent2 5 3 3 3" xfId="18316" xr:uid="{00000000-0005-0000-0000-0000B8450000}"/>
    <cellStyle name="40% - Accent2 5 3 3 3 2" xfId="13821" xr:uid="{00000000-0005-0000-0000-0000B9450000}"/>
    <cellStyle name="40% - Accent2 5 3 3 4" xfId="18312" xr:uid="{00000000-0005-0000-0000-0000BA450000}"/>
    <cellStyle name="40% - Accent2 5 3 4" xfId="34079" xr:uid="{00000000-0005-0000-0000-0000BB450000}"/>
    <cellStyle name="40% - Accent2 5 3 4 2" xfId="30058" xr:uid="{00000000-0005-0000-0000-0000BC450000}"/>
    <cellStyle name="40% - Accent2 5 3 4 2 2" xfId="13819" xr:uid="{00000000-0005-0000-0000-0000BD450000}"/>
    <cellStyle name="40% - Accent2 5 3 4 3" xfId="29740" xr:uid="{00000000-0005-0000-0000-0000BE450000}"/>
    <cellStyle name="40% - Accent2 5 3 5" xfId="24834" xr:uid="{00000000-0005-0000-0000-0000BF450000}"/>
    <cellStyle name="40% - Accent2 5 3 5 2" xfId="29648" xr:uid="{00000000-0005-0000-0000-0000C0450000}"/>
    <cellStyle name="40% - Accent2 5 3 6" xfId="28336" xr:uid="{00000000-0005-0000-0000-0000C1450000}"/>
    <cellStyle name="40% - Accent2 5 3 7" xfId="35003" xr:uid="{00000000-0005-0000-0000-0000C2450000}"/>
    <cellStyle name="40% - Accent2 5 4" xfId="31125" xr:uid="{00000000-0005-0000-0000-0000C3450000}"/>
    <cellStyle name="40% - Accent2 5 4 2" xfId="32874" xr:uid="{00000000-0005-0000-0000-0000C4450000}"/>
    <cellStyle name="40% - Accent2 5 4 2 2" xfId="13816" xr:uid="{00000000-0005-0000-0000-0000C5450000}"/>
    <cellStyle name="40% - Accent2 5 4 2 2 2" xfId="13814" xr:uid="{00000000-0005-0000-0000-0000C6450000}"/>
    <cellStyle name="40% - Accent2 5 4 2 2 2 2" xfId="18351" xr:uid="{00000000-0005-0000-0000-0000C7450000}"/>
    <cellStyle name="40% - Accent2 5 4 2 2 3" xfId="13813" xr:uid="{00000000-0005-0000-0000-0000C8450000}"/>
    <cellStyle name="40% - Accent2 5 4 2 3" xfId="13812" xr:uid="{00000000-0005-0000-0000-0000C9450000}"/>
    <cellStyle name="40% - Accent2 5 4 2 3 2" xfId="13811" xr:uid="{00000000-0005-0000-0000-0000CA450000}"/>
    <cellStyle name="40% - Accent2 5 4 2 4" xfId="9814" xr:uid="{00000000-0005-0000-0000-0000CB450000}"/>
    <cellStyle name="40% - Accent2 5 4 3" xfId="34049" xr:uid="{00000000-0005-0000-0000-0000CC450000}"/>
    <cellStyle name="40% - Accent2 5 4 3 2" xfId="24370" xr:uid="{00000000-0005-0000-0000-0000CD450000}"/>
    <cellStyle name="40% - Accent2 5 4 3 2 2" xfId="13810" xr:uid="{00000000-0005-0000-0000-0000CE450000}"/>
    <cellStyle name="40% - Accent2 5 4 3 3" xfId="18301" xr:uid="{00000000-0005-0000-0000-0000CF450000}"/>
    <cellStyle name="40% - Accent2 5 4 4" xfId="32461" xr:uid="{00000000-0005-0000-0000-0000D0450000}"/>
    <cellStyle name="40% - Accent2 5 4 4 2" xfId="29472" xr:uid="{00000000-0005-0000-0000-0000D1450000}"/>
    <cellStyle name="40% - Accent2 5 4 5" xfId="25197" xr:uid="{00000000-0005-0000-0000-0000D2450000}"/>
    <cellStyle name="40% - Accent2 5 4 6" xfId="35209" xr:uid="{00000000-0005-0000-0000-0000D3450000}"/>
    <cellStyle name="40% - Accent2 5 5" xfId="22295" xr:uid="{00000000-0005-0000-0000-0000D4450000}"/>
    <cellStyle name="40% - Accent2 5 5 2" xfId="13808" xr:uid="{00000000-0005-0000-0000-0000D5450000}"/>
    <cellStyle name="40% - Accent2 5 5 2 2" xfId="13806" xr:uid="{00000000-0005-0000-0000-0000D6450000}"/>
    <cellStyle name="40% - Accent2 5 5 2 2 2" xfId="23666" xr:uid="{00000000-0005-0000-0000-0000D7450000}"/>
    <cellStyle name="40% - Accent2 5 5 2 3" xfId="13804" xr:uid="{00000000-0005-0000-0000-0000D8450000}"/>
    <cellStyle name="40% - Accent2 5 5 3" xfId="32442" xr:uid="{00000000-0005-0000-0000-0000D9450000}"/>
    <cellStyle name="40% - Accent2 5 5 3 2" xfId="18295" xr:uid="{00000000-0005-0000-0000-0000DA450000}"/>
    <cellStyle name="40% - Accent2 5 5 4" xfId="31956" xr:uid="{00000000-0005-0000-0000-0000DB450000}"/>
    <cellStyle name="40% - Accent2 5 5 5" xfId="35438" xr:uid="{00000000-0005-0000-0000-0000DC450000}"/>
    <cellStyle name="40% - Accent2 5 6" xfId="20522" xr:uid="{00000000-0005-0000-0000-0000DD450000}"/>
    <cellStyle name="40% - Accent2 5 6 2" xfId="11223" xr:uid="{00000000-0005-0000-0000-0000DE450000}"/>
    <cellStyle name="40% - Accent2 5 6 2 2" xfId="13803" xr:uid="{00000000-0005-0000-0000-0000DF450000}"/>
    <cellStyle name="40% - Accent2 5 6 3" xfId="11215" xr:uid="{00000000-0005-0000-0000-0000E0450000}"/>
    <cellStyle name="40% - Accent2 5 6 4" xfId="36310" xr:uid="{00000000-0005-0000-0000-0000E1450000}"/>
    <cellStyle name="40% - Accent2 5 7" xfId="19006" xr:uid="{00000000-0005-0000-0000-0000E2450000}"/>
    <cellStyle name="40% - Accent2 5 7 2" xfId="31688" xr:uid="{00000000-0005-0000-0000-0000E3450000}"/>
    <cellStyle name="40% - Accent2 5 7 3" xfId="36596" xr:uid="{00000000-0005-0000-0000-0000E4450000}"/>
    <cellStyle name="40% - Accent2 5 8" xfId="26291" xr:uid="{00000000-0005-0000-0000-0000E5450000}"/>
    <cellStyle name="40% - Accent2 5 8 2" xfId="37481" xr:uid="{00000000-0005-0000-0000-0000E6450000}"/>
    <cellStyle name="40% - Accent2 5 9" xfId="34580" xr:uid="{00000000-0005-0000-0000-0000E7450000}"/>
    <cellStyle name="40% - Accent2 6" xfId="284" xr:uid="{00000000-0005-0000-0000-0000E8450000}"/>
    <cellStyle name="40% - Accent2 6 2" xfId="17305" xr:uid="{00000000-0005-0000-0000-0000E9450000}"/>
    <cellStyle name="40% - Accent2 6 2 2" xfId="13801" xr:uid="{00000000-0005-0000-0000-0000EA450000}"/>
    <cellStyle name="40% - Accent2 6 2 2 2" xfId="28937" xr:uid="{00000000-0005-0000-0000-0000EB450000}"/>
    <cellStyle name="40% - Accent2 6 2 2 2 2" xfId="13800" xr:uid="{00000000-0005-0000-0000-0000EC450000}"/>
    <cellStyle name="40% - Accent2 6 2 2 2 2 2" xfId="15288" xr:uid="{00000000-0005-0000-0000-0000ED450000}"/>
    <cellStyle name="40% - Accent2 6 2 2 2 2 2 2" xfId="22010" xr:uid="{00000000-0005-0000-0000-0000EE450000}"/>
    <cellStyle name="40% - Accent2 6 2 2 2 2 3" xfId="33836" xr:uid="{00000000-0005-0000-0000-0000EF450000}"/>
    <cellStyle name="40% - Accent2 6 2 2 2 3" xfId="13797" xr:uid="{00000000-0005-0000-0000-0000F0450000}"/>
    <cellStyle name="40% - Accent2 6 2 2 2 3 2" xfId="15278" xr:uid="{00000000-0005-0000-0000-0000F1450000}"/>
    <cellStyle name="40% - Accent2 6 2 2 2 4" xfId="13795" xr:uid="{00000000-0005-0000-0000-0000F2450000}"/>
    <cellStyle name="40% - Accent2 6 2 2 3" xfId="13794" xr:uid="{00000000-0005-0000-0000-0000F3450000}"/>
    <cellStyle name="40% - Accent2 6 2 2 3 2" xfId="13793" xr:uid="{00000000-0005-0000-0000-0000F4450000}"/>
    <cellStyle name="40% - Accent2 6 2 2 3 2 2" xfId="15259" xr:uid="{00000000-0005-0000-0000-0000F5450000}"/>
    <cellStyle name="40% - Accent2 6 2 2 3 3" xfId="13789" xr:uid="{00000000-0005-0000-0000-0000F6450000}"/>
    <cellStyle name="40% - Accent2 6 2 2 4" xfId="13788" xr:uid="{00000000-0005-0000-0000-0000F7450000}"/>
    <cellStyle name="40% - Accent2 6 2 2 4 2" xfId="13787" xr:uid="{00000000-0005-0000-0000-0000F8450000}"/>
    <cellStyle name="40% - Accent2 6 2 2 5" xfId="13786" xr:uid="{00000000-0005-0000-0000-0000F9450000}"/>
    <cellStyle name="40% - Accent2 6 2 3" xfId="5675" xr:uid="{00000000-0005-0000-0000-0000FA450000}"/>
    <cellStyle name="40% - Accent2 6 2 3 2" xfId="5672" xr:uid="{00000000-0005-0000-0000-0000FB450000}"/>
    <cellStyle name="40% - Accent2 6 2 3 2 2" xfId="13785" xr:uid="{00000000-0005-0000-0000-0000FC450000}"/>
    <cellStyle name="40% - Accent2 6 2 3 2 2 2" xfId="14986" xr:uid="{00000000-0005-0000-0000-0000FD450000}"/>
    <cellStyle name="40% - Accent2 6 2 3 2 3" xfId="13780" xr:uid="{00000000-0005-0000-0000-0000FE450000}"/>
    <cellStyle name="40% - Accent2 6 2 3 3" xfId="18198" xr:uid="{00000000-0005-0000-0000-0000FF450000}"/>
    <cellStyle name="40% - Accent2 6 2 3 3 2" xfId="13778" xr:uid="{00000000-0005-0000-0000-000000460000}"/>
    <cellStyle name="40% - Accent2 6 2 3 4" xfId="18191" xr:uid="{00000000-0005-0000-0000-000001460000}"/>
    <cellStyle name="40% - Accent2 6 2 4" xfId="5670" xr:uid="{00000000-0005-0000-0000-000002460000}"/>
    <cellStyle name="40% - Accent2 6 2 4 2" xfId="25251" xr:uid="{00000000-0005-0000-0000-000003460000}"/>
    <cellStyle name="40% - Accent2 6 2 4 2 2" xfId="28715" xr:uid="{00000000-0005-0000-0000-000004460000}"/>
    <cellStyle name="40% - Accent2 6 2 4 3" xfId="28492" xr:uid="{00000000-0005-0000-0000-000005460000}"/>
    <cellStyle name="40% - Accent2 6 2 5" xfId="30326" xr:uid="{00000000-0005-0000-0000-000006460000}"/>
    <cellStyle name="40% - Accent2 6 2 5 2" xfId="28483" xr:uid="{00000000-0005-0000-0000-000007460000}"/>
    <cellStyle name="40% - Accent2 6 2 6" xfId="29514" xr:uid="{00000000-0005-0000-0000-000008460000}"/>
    <cellStyle name="40% - Accent2 6 2 7" xfId="34820" xr:uid="{00000000-0005-0000-0000-000009460000}"/>
    <cellStyle name="40% - Accent2 6 3" xfId="30720" xr:uid="{00000000-0005-0000-0000-00000A460000}"/>
    <cellStyle name="40% - Accent2 6 3 2" xfId="13776" xr:uid="{00000000-0005-0000-0000-00000B460000}"/>
    <cellStyle name="40% - Accent2 6 3 2 2" xfId="13774" xr:uid="{00000000-0005-0000-0000-00000C460000}"/>
    <cellStyle name="40% - Accent2 6 3 2 2 2" xfId="12826" xr:uid="{00000000-0005-0000-0000-00000D460000}"/>
    <cellStyle name="40% - Accent2 6 3 2 2 2 2" xfId="12706" xr:uid="{00000000-0005-0000-0000-00000E460000}"/>
    <cellStyle name="40% - Accent2 6 3 2 2 3" xfId="12432" xr:uid="{00000000-0005-0000-0000-00000F460000}"/>
    <cellStyle name="40% - Accent2 6 3 2 3" xfId="13770" xr:uid="{00000000-0005-0000-0000-000010460000}"/>
    <cellStyle name="40% - Accent2 6 3 2 3 2" xfId="5936" xr:uid="{00000000-0005-0000-0000-000011460000}"/>
    <cellStyle name="40% - Accent2 6 3 2 4" xfId="13768" xr:uid="{00000000-0005-0000-0000-000012460000}"/>
    <cellStyle name="40% - Accent2 6 3 3" xfId="5667" xr:uid="{00000000-0005-0000-0000-000013460000}"/>
    <cellStyle name="40% - Accent2 6 3 3 2" xfId="18171" xr:uid="{00000000-0005-0000-0000-000014460000}"/>
    <cellStyle name="40% - Accent2 6 3 3 2 2" xfId="13766" xr:uid="{00000000-0005-0000-0000-000015460000}"/>
    <cellStyle name="40% - Accent2 6 3 3 3" xfId="15198" xr:uid="{00000000-0005-0000-0000-000016460000}"/>
    <cellStyle name="40% - Accent2 6 3 4" xfId="24989" xr:uid="{00000000-0005-0000-0000-000017460000}"/>
    <cellStyle name="40% - Accent2 6 3 4 2" xfId="7893" xr:uid="{00000000-0005-0000-0000-000018460000}"/>
    <cellStyle name="40% - Accent2 6 3 5" xfId="24976" xr:uid="{00000000-0005-0000-0000-000019460000}"/>
    <cellStyle name="40% - Accent2 6 3 6" xfId="35022" xr:uid="{00000000-0005-0000-0000-00001A460000}"/>
    <cellStyle name="40% - Accent2 6 4" xfId="13763" xr:uid="{00000000-0005-0000-0000-00001B460000}"/>
    <cellStyle name="40% - Accent2 6 4 2" xfId="13762" xr:uid="{00000000-0005-0000-0000-00001C460000}"/>
    <cellStyle name="40% - Accent2 6 4 2 2" xfId="13760" xr:uid="{00000000-0005-0000-0000-00001D460000}"/>
    <cellStyle name="40% - Accent2 6 4 2 2 2" xfId="13758" xr:uid="{00000000-0005-0000-0000-00001E460000}"/>
    <cellStyle name="40% - Accent2 6 4 2 3" xfId="13757" xr:uid="{00000000-0005-0000-0000-00001F460000}"/>
    <cellStyle name="40% - Accent2 6 4 3" xfId="24946" xr:uid="{00000000-0005-0000-0000-000020460000}"/>
    <cellStyle name="40% - Accent2 6 4 3 2" xfId="21905" xr:uid="{00000000-0005-0000-0000-000021460000}"/>
    <cellStyle name="40% - Accent2 6 4 4" xfId="24938" xr:uid="{00000000-0005-0000-0000-000022460000}"/>
    <cellStyle name="40% - Accent2 6 4 5" xfId="35228" xr:uid="{00000000-0005-0000-0000-000023460000}"/>
    <cellStyle name="40% - Accent2 6 5" xfId="20513" xr:uid="{00000000-0005-0000-0000-000024460000}"/>
    <cellStyle name="40% - Accent2 6 5 2" xfId="13756" xr:uid="{00000000-0005-0000-0000-000025460000}"/>
    <cellStyle name="40% - Accent2 6 5 2 2" xfId="13753" xr:uid="{00000000-0005-0000-0000-000026460000}"/>
    <cellStyle name="40% - Accent2 6 5 3" xfId="29047" xr:uid="{00000000-0005-0000-0000-000027460000}"/>
    <cellStyle name="40% - Accent2 6 5 4" xfId="35457" xr:uid="{00000000-0005-0000-0000-000028460000}"/>
    <cellStyle name="40% - Accent2 6 6" xfId="19002" xr:uid="{00000000-0005-0000-0000-000029460000}"/>
    <cellStyle name="40% - Accent2 6 6 2" xfId="13752" xr:uid="{00000000-0005-0000-0000-00002A460000}"/>
    <cellStyle name="40% - Accent2 6 6 3" xfId="36329" xr:uid="{00000000-0005-0000-0000-00002B460000}"/>
    <cellStyle name="40% - Accent2 6 7" xfId="13750" xr:uid="{00000000-0005-0000-0000-00002C460000}"/>
    <cellStyle name="40% - Accent2 6 7 2" xfId="36615" xr:uid="{00000000-0005-0000-0000-00002D460000}"/>
    <cellStyle name="40% - Accent2 6 8" xfId="34594" xr:uid="{00000000-0005-0000-0000-00002E460000}"/>
    <cellStyle name="40% - Accent2 6 9" xfId="13802" xr:uid="{00000000-0005-0000-0000-00002F460000}"/>
    <cellStyle name="40% - Accent2 7" xfId="304" xr:uid="{00000000-0005-0000-0000-000030460000}"/>
    <cellStyle name="40% - Accent2 7 2" xfId="19951" xr:uid="{00000000-0005-0000-0000-000031460000}"/>
    <cellStyle name="40% - Accent2 7 2 2" xfId="13747" xr:uid="{00000000-0005-0000-0000-000032460000}"/>
    <cellStyle name="40% - Accent2 7 2 2 2" xfId="13746" xr:uid="{00000000-0005-0000-0000-000033460000}"/>
    <cellStyle name="40% - Accent2 7 2 2 2 2" xfId="13743" xr:uid="{00000000-0005-0000-0000-000034460000}"/>
    <cellStyle name="40% - Accent2 7 2 2 2 2 2" xfId="13742" xr:uid="{00000000-0005-0000-0000-000035460000}"/>
    <cellStyle name="40% - Accent2 7 2 2 2 3" xfId="13740" xr:uid="{00000000-0005-0000-0000-000036460000}"/>
    <cellStyle name="40% - Accent2 7 2 2 3" xfId="13739" xr:uid="{00000000-0005-0000-0000-000037460000}"/>
    <cellStyle name="40% - Accent2 7 2 2 3 2" xfId="13736" xr:uid="{00000000-0005-0000-0000-000038460000}"/>
    <cellStyle name="40% - Accent2 7 2 2 4" xfId="13734" xr:uid="{00000000-0005-0000-0000-000039460000}"/>
    <cellStyle name="40% - Accent2 7 2 3" xfId="16753" xr:uid="{00000000-0005-0000-0000-00003A460000}"/>
    <cellStyle name="40% - Accent2 7 2 3 2" xfId="15512" xr:uid="{00000000-0005-0000-0000-00003B460000}"/>
    <cellStyle name="40% - Accent2 7 2 3 2 2" xfId="13733" xr:uid="{00000000-0005-0000-0000-00003C460000}"/>
    <cellStyle name="40% - Accent2 7 2 3 3" xfId="28248" xr:uid="{00000000-0005-0000-0000-00003D460000}"/>
    <cellStyle name="40% - Accent2 7 2 4" xfId="30193" xr:uid="{00000000-0005-0000-0000-00003E460000}"/>
    <cellStyle name="40% - Accent2 7 2 4 2" xfId="21424" xr:uid="{00000000-0005-0000-0000-00003F460000}"/>
    <cellStyle name="40% - Accent2 7 2 5" xfId="26412" xr:uid="{00000000-0005-0000-0000-000040460000}"/>
    <cellStyle name="40% - Accent2 7 2 6" xfId="34839" xr:uid="{00000000-0005-0000-0000-000041460000}"/>
    <cellStyle name="40% - Accent2 7 3" xfId="13731" xr:uid="{00000000-0005-0000-0000-000042460000}"/>
    <cellStyle name="40% - Accent2 7 3 2" xfId="13729" xr:uid="{00000000-0005-0000-0000-000043460000}"/>
    <cellStyle name="40% - Accent2 7 3 2 2" xfId="13727" xr:uid="{00000000-0005-0000-0000-000044460000}"/>
    <cellStyle name="40% - Accent2 7 3 2 2 2" xfId="13725" xr:uid="{00000000-0005-0000-0000-000045460000}"/>
    <cellStyle name="40% - Accent2 7 3 2 3" xfId="13724" xr:uid="{00000000-0005-0000-0000-000046460000}"/>
    <cellStyle name="40% - Accent2 7 3 3" xfId="24871" xr:uid="{00000000-0005-0000-0000-000047460000}"/>
    <cellStyle name="40% - Accent2 7 3 3 2" xfId="22360" xr:uid="{00000000-0005-0000-0000-000048460000}"/>
    <cellStyle name="40% - Accent2 7 3 4" xfId="24863" xr:uid="{00000000-0005-0000-0000-000049460000}"/>
    <cellStyle name="40% - Accent2 7 3 5" xfId="35041" xr:uid="{00000000-0005-0000-0000-00004A460000}"/>
    <cellStyle name="40% - Accent2 7 4" xfId="13722" xr:uid="{00000000-0005-0000-0000-00004B460000}"/>
    <cellStyle name="40% - Accent2 7 4 2" xfId="13720" xr:uid="{00000000-0005-0000-0000-00004C460000}"/>
    <cellStyle name="40% - Accent2 7 4 2 2" xfId="13718" xr:uid="{00000000-0005-0000-0000-00004D460000}"/>
    <cellStyle name="40% - Accent2 7 4 3" xfId="26335" xr:uid="{00000000-0005-0000-0000-00004E460000}"/>
    <cellStyle name="40% - Accent2 7 4 4" xfId="35248" xr:uid="{00000000-0005-0000-0000-00004F460000}"/>
    <cellStyle name="40% - Accent2 7 5" xfId="27329" xr:uid="{00000000-0005-0000-0000-000050460000}"/>
    <cellStyle name="40% - Accent2 7 5 2" xfId="13717" xr:uid="{00000000-0005-0000-0000-000051460000}"/>
    <cellStyle name="40% - Accent2 7 5 3" xfId="35477" xr:uid="{00000000-0005-0000-0000-000052460000}"/>
    <cellStyle name="40% - Accent2 7 6" xfId="13715" xr:uid="{00000000-0005-0000-0000-000053460000}"/>
    <cellStyle name="40% - Accent2 7 6 2" xfId="36349" xr:uid="{00000000-0005-0000-0000-000054460000}"/>
    <cellStyle name="40% - Accent2 7 7" xfId="34608" xr:uid="{00000000-0005-0000-0000-000055460000}"/>
    <cellStyle name="40% - Accent2 7 8" xfId="13748" xr:uid="{00000000-0005-0000-0000-000056460000}"/>
    <cellStyle name="40% - Accent2 7 8 2" xfId="37507" xr:uid="{00000000-0005-0000-0000-000057460000}"/>
    <cellStyle name="40% - Accent2 8" xfId="324" xr:uid="{00000000-0005-0000-0000-000058460000}"/>
    <cellStyle name="40% - Accent2 8 2" xfId="13712" xr:uid="{00000000-0005-0000-0000-000059460000}"/>
    <cellStyle name="40% - Accent2 8 2 2" xfId="33027" xr:uid="{00000000-0005-0000-0000-00005A460000}"/>
    <cellStyle name="40% - Accent2 8 2 2 2" xfId="13711" xr:uid="{00000000-0005-0000-0000-00005B460000}"/>
    <cellStyle name="40% - Accent2 8 2 2 2 2" xfId="13707" xr:uid="{00000000-0005-0000-0000-00005C460000}"/>
    <cellStyle name="40% - Accent2 8 2 2 3" xfId="13706" xr:uid="{00000000-0005-0000-0000-00005D460000}"/>
    <cellStyle name="40% - Accent2 8 2 3" xfId="31972" xr:uid="{00000000-0005-0000-0000-00005E460000}"/>
    <cellStyle name="40% - Accent2 8 2 3 2" xfId="22190" xr:uid="{00000000-0005-0000-0000-00005F460000}"/>
    <cellStyle name="40% - Accent2 8 2 4" xfId="30184" xr:uid="{00000000-0005-0000-0000-000060460000}"/>
    <cellStyle name="40% - Accent2 8 2 5" xfId="34858" xr:uid="{00000000-0005-0000-0000-000061460000}"/>
    <cellStyle name="40% - Accent2 8 3" xfId="13705" xr:uid="{00000000-0005-0000-0000-000062460000}"/>
    <cellStyle name="40% - Accent2 8 3 2" xfId="13702" xr:uid="{00000000-0005-0000-0000-000063460000}"/>
    <cellStyle name="40% - Accent2 8 3 2 2" xfId="17913" xr:uid="{00000000-0005-0000-0000-000064460000}"/>
    <cellStyle name="40% - Accent2 8 3 3" xfId="24804" xr:uid="{00000000-0005-0000-0000-000065460000}"/>
    <cellStyle name="40% - Accent2 8 3 4" xfId="35060" xr:uid="{00000000-0005-0000-0000-000066460000}"/>
    <cellStyle name="40% - Accent2 8 4" xfId="25472" xr:uid="{00000000-0005-0000-0000-000067460000}"/>
    <cellStyle name="40% - Accent2 8 4 2" xfId="13697" xr:uid="{00000000-0005-0000-0000-000068460000}"/>
    <cellStyle name="40% - Accent2 8 4 3" xfId="35267" xr:uid="{00000000-0005-0000-0000-000069460000}"/>
    <cellStyle name="40% - Accent2 8 5" xfId="13695" xr:uid="{00000000-0005-0000-0000-00006A460000}"/>
    <cellStyle name="40% - Accent2 8 5 2" xfId="35496" xr:uid="{00000000-0005-0000-0000-00006B460000}"/>
    <cellStyle name="40% - Accent2 8 6" xfId="34622" xr:uid="{00000000-0005-0000-0000-00006C460000}"/>
    <cellStyle name="40% - Accent2 8 7" xfId="13714" xr:uid="{00000000-0005-0000-0000-00006D460000}"/>
    <cellStyle name="40% - Accent2 8 7 2" xfId="36641" xr:uid="{00000000-0005-0000-0000-00006E460000}"/>
    <cellStyle name="40% - Accent2 8 8" xfId="37526" xr:uid="{00000000-0005-0000-0000-00006F460000}"/>
    <cellStyle name="40% - Accent2 9" xfId="344" xr:uid="{00000000-0005-0000-0000-000070460000}"/>
    <cellStyle name="40% - Accent2 9 2" xfId="13694" xr:uid="{00000000-0005-0000-0000-000071460000}"/>
    <cellStyle name="40% - Accent2 9 2 2" xfId="13693" xr:uid="{00000000-0005-0000-0000-000072460000}"/>
    <cellStyle name="40% - Accent2 9 2 2 2" xfId="13691" xr:uid="{00000000-0005-0000-0000-000073460000}"/>
    <cellStyle name="40% - Accent2 9 2 3" xfId="25263" xr:uid="{00000000-0005-0000-0000-000074460000}"/>
    <cellStyle name="40% - Accent2 9 2 4" xfId="34878" xr:uid="{00000000-0005-0000-0000-000075460000}"/>
    <cellStyle name="40% - Accent2 9 3" xfId="13690" xr:uid="{00000000-0005-0000-0000-000076460000}"/>
    <cellStyle name="40% - Accent2 9 3 2" xfId="13688" xr:uid="{00000000-0005-0000-0000-000077460000}"/>
    <cellStyle name="40% - Accent2 9 3 3" xfId="35079" xr:uid="{00000000-0005-0000-0000-000078460000}"/>
    <cellStyle name="40% - Accent2 9 4" xfId="13686" xr:uid="{00000000-0005-0000-0000-000079460000}"/>
    <cellStyle name="40% - Accent2 9 4 2" xfId="35287" xr:uid="{00000000-0005-0000-0000-00007A460000}"/>
    <cellStyle name="40% - Accent2 9 5" xfId="34636" xr:uid="{00000000-0005-0000-0000-00007B460000}"/>
    <cellStyle name="40% - Accent2 9 6" xfId="17921" xr:uid="{00000000-0005-0000-0000-00007C460000}"/>
    <cellStyle name="40% - Accent2 9 6 2" xfId="36375" xr:uid="{00000000-0005-0000-0000-00007D460000}"/>
    <cellStyle name="40% - Accent2 9 7" xfId="36661" xr:uid="{00000000-0005-0000-0000-00007E460000}"/>
    <cellStyle name="40% - Accent2 9 8" xfId="37546" xr:uid="{00000000-0005-0000-0000-00007F460000}"/>
    <cellStyle name="40% - Accent3" xfId="32" builtinId="39" customBuiltin="1"/>
    <cellStyle name="40% - Accent3 10" xfId="185" xr:uid="{00000000-0005-0000-0000-000081460000}"/>
    <cellStyle name="40% - Accent3 10 2" xfId="13685" xr:uid="{00000000-0005-0000-0000-000082460000}"/>
    <cellStyle name="40% - Accent3 10 2 2" xfId="13684" xr:uid="{00000000-0005-0000-0000-000083460000}"/>
    <cellStyle name="40% - Accent3 10 2 3" xfId="34899" xr:uid="{00000000-0005-0000-0000-000084460000}"/>
    <cellStyle name="40% - Accent3 10 3" xfId="13680" xr:uid="{00000000-0005-0000-0000-000085460000}"/>
    <cellStyle name="40% - Accent3 10 3 2" xfId="35101" xr:uid="{00000000-0005-0000-0000-000086460000}"/>
    <cellStyle name="40% - Accent3 10 4" xfId="34525" xr:uid="{00000000-0005-0000-0000-000087460000}"/>
    <cellStyle name="40% - Accent3 10 5" xfId="6277" xr:uid="{00000000-0005-0000-0000-000088460000}"/>
    <cellStyle name="40% - Accent3 10 5 2" xfId="35524" xr:uid="{00000000-0005-0000-0000-000089460000}"/>
    <cellStyle name="40% - Accent3 10 6" xfId="36397" xr:uid="{00000000-0005-0000-0000-00008A460000}"/>
    <cellStyle name="40% - Accent3 10 7" xfId="36683" xr:uid="{00000000-0005-0000-0000-00008B460000}"/>
    <cellStyle name="40% - Accent3 10 8" xfId="37568" xr:uid="{00000000-0005-0000-0000-00008C460000}"/>
    <cellStyle name="40% - Accent3 11" xfId="13678" xr:uid="{00000000-0005-0000-0000-00008D460000}"/>
    <cellStyle name="40% - Accent3 11 2" xfId="13676" xr:uid="{00000000-0005-0000-0000-00008E460000}"/>
    <cellStyle name="40% - Accent3 11 2 2" xfId="35120" xr:uid="{00000000-0005-0000-0000-00008F460000}"/>
    <cellStyle name="40% - Accent3 11 3" xfId="34695" xr:uid="{00000000-0005-0000-0000-000090460000}"/>
    <cellStyle name="40% - Accent3 11 4" xfId="35544" xr:uid="{00000000-0005-0000-0000-000091460000}"/>
    <cellStyle name="40% - Accent3 11 5" xfId="36417" xr:uid="{00000000-0005-0000-0000-000092460000}"/>
    <cellStyle name="40% - Accent3 11 6" xfId="36703" xr:uid="{00000000-0005-0000-0000-000093460000}"/>
    <cellStyle name="40% - Accent3 11 7" xfId="37588" xr:uid="{00000000-0005-0000-0000-000094460000}"/>
    <cellStyle name="40% - Accent3 12" xfId="13557" xr:uid="{00000000-0005-0000-0000-000095460000}"/>
    <cellStyle name="40% - Accent3 12 2" xfId="34710" xr:uid="{00000000-0005-0000-0000-000096460000}"/>
    <cellStyle name="40% - Accent3 12 3" xfId="35323" xr:uid="{00000000-0005-0000-0000-000097460000}"/>
    <cellStyle name="40% - Accent3 12 4" xfId="35563" xr:uid="{00000000-0005-0000-0000-000098460000}"/>
    <cellStyle name="40% - Accent3 12 5" xfId="36436" xr:uid="{00000000-0005-0000-0000-000099460000}"/>
    <cellStyle name="40% - Accent3 12 6" xfId="36722" xr:uid="{00000000-0005-0000-0000-00009A460000}"/>
    <cellStyle name="40% - Accent3 12 7" xfId="37607" xr:uid="{00000000-0005-0000-0000-00009B460000}"/>
    <cellStyle name="40% - Accent3 13" xfId="30403" xr:uid="{00000000-0005-0000-0000-00009C460000}"/>
    <cellStyle name="40% - Accent3 13 2" xfId="34738" xr:uid="{00000000-0005-0000-0000-00009D460000}"/>
    <cellStyle name="40% - Accent3 13 3" xfId="35582" xr:uid="{00000000-0005-0000-0000-00009E460000}"/>
    <cellStyle name="40% - Accent3 13 4" xfId="36457" xr:uid="{00000000-0005-0000-0000-00009F460000}"/>
    <cellStyle name="40% - Accent3 13 5" xfId="36743" xr:uid="{00000000-0005-0000-0000-0000A0460000}"/>
    <cellStyle name="40% - Accent3 13 6" xfId="37628" xr:uid="{00000000-0005-0000-0000-0000A1460000}"/>
    <cellStyle name="40% - Accent3 14" xfId="14812" xr:uid="{00000000-0005-0000-0000-0000A2460000}"/>
    <cellStyle name="40% - Accent3 14 2" xfId="34928" xr:uid="{00000000-0005-0000-0000-0000A3460000}"/>
    <cellStyle name="40% - Accent3 14 3" xfId="36762" xr:uid="{00000000-0005-0000-0000-0000A4460000}"/>
    <cellStyle name="40% - Accent3 14 4" xfId="37647" xr:uid="{00000000-0005-0000-0000-0000A5460000}"/>
    <cellStyle name="40% - Accent3 15" xfId="34655" xr:uid="{00000000-0005-0000-0000-0000A6460000}"/>
    <cellStyle name="40% - Accent3 15 2" xfId="36482" xr:uid="{00000000-0005-0000-0000-0000A7460000}"/>
    <cellStyle name="40% - Accent3 15 3" xfId="36780" xr:uid="{00000000-0005-0000-0000-0000A8460000}"/>
    <cellStyle name="40% - Accent3 15 4" xfId="37668" xr:uid="{00000000-0005-0000-0000-0000A9460000}"/>
    <cellStyle name="40% - Accent3 16" xfId="35362" xr:uid="{00000000-0005-0000-0000-0000AA460000}"/>
    <cellStyle name="40% - Accent3 16 2" xfId="36500" xr:uid="{00000000-0005-0000-0000-0000AB460000}"/>
    <cellStyle name="40% - Accent3 16 3" xfId="36798" xr:uid="{00000000-0005-0000-0000-0000AC460000}"/>
    <cellStyle name="40% - Accent3 16 4" xfId="37687" xr:uid="{00000000-0005-0000-0000-0000AD460000}"/>
    <cellStyle name="40% - Accent3 17" xfId="35649" xr:uid="{00000000-0005-0000-0000-0000AE460000}"/>
    <cellStyle name="40% - Accent3 17 2" xfId="36817" xr:uid="{00000000-0005-0000-0000-0000AF460000}"/>
    <cellStyle name="40% - Accent3 17 3" xfId="37707" xr:uid="{00000000-0005-0000-0000-0000B0460000}"/>
    <cellStyle name="40% - Accent3 18" xfId="35667" xr:uid="{00000000-0005-0000-0000-0000B1460000}"/>
    <cellStyle name="40% - Accent3 18 2" xfId="36836" xr:uid="{00000000-0005-0000-0000-0000B2460000}"/>
    <cellStyle name="40% - Accent3 18 3" xfId="37726" xr:uid="{00000000-0005-0000-0000-0000B3460000}"/>
    <cellStyle name="40% - Accent3 19" xfId="35686" xr:uid="{00000000-0005-0000-0000-0000B4460000}"/>
    <cellStyle name="40% - Accent3 19 2" xfId="36855" xr:uid="{00000000-0005-0000-0000-0000B5460000}"/>
    <cellStyle name="40% - Accent3 19 3" xfId="37745" xr:uid="{00000000-0005-0000-0000-0000B6460000}"/>
    <cellStyle name="40% - Accent3 2" xfId="85" xr:uid="{00000000-0005-0000-0000-0000B7460000}"/>
    <cellStyle name="40% - Accent3 2 10" xfId="7629" xr:uid="{00000000-0005-0000-0000-0000B8460000}"/>
    <cellStyle name="40% - Accent3 2 10 2" xfId="13674" xr:uid="{00000000-0005-0000-0000-0000B9460000}"/>
    <cellStyle name="40% - Accent3 2 10 3" xfId="37426" xr:uid="{00000000-0005-0000-0000-0000BA460000}"/>
    <cellStyle name="40% - Accent3 2 11" xfId="13672" xr:uid="{00000000-0005-0000-0000-0000BB460000}"/>
    <cellStyle name="40% - Accent3 2 12" xfId="34443" xr:uid="{00000000-0005-0000-0000-0000BC460000}"/>
    <cellStyle name="40% - Accent3 2 13" xfId="13675" xr:uid="{00000000-0005-0000-0000-0000BD460000}"/>
    <cellStyle name="40% - Accent3 2 2" xfId="146" xr:uid="{00000000-0005-0000-0000-0000BE460000}"/>
    <cellStyle name="40% - Accent3 2 2 10" xfId="26341" xr:uid="{00000000-0005-0000-0000-0000BF460000}"/>
    <cellStyle name="40% - Accent3 2 2 11" xfId="34498" xr:uid="{00000000-0005-0000-0000-0000C0460000}"/>
    <cellStyle name="40% - Accent3 2 2 12" xfId="13670" xr:uid="{00000000-0005-0000-0000-0000C1460000}"/>
    <cellStyle name="40% - Accent3 2 2 2" xfId="9186" xr:uid="{00000000-0005-0000-0000-0000C2460000}"/>
    <cellStyle name="40% - Accent3 2 2 2 2" xfId="9183" xr:uid="{00000000-0005-0000-0000-0000C3460000}"/>
    <cellStyle name="40% - Accent3 2 2 2 2 2" xfId="13668" xr:uid="{00000000-0005-0000-0000-0000C4460000}"/>
    <cellStyle name="40% - Accent3 2 2 2 2 2 2" xfId="9178" xr:uid="{00000000-0005-0000-0000-0000C5460000}"/>
    <cellStyle name="40% - Accent3 2 2 2 2 2 2 2" xfId="27527" xr:uid="{00000000-0005-0000-0000-0000C6460000}"/>
    <cellStyle name="40% - Accent3 2 2 2 2 2 2 2 2" xfId="13666" xr:uid="{00000000-0005-0000-0000-0000C7460000}"/>
    <cellStyle name="40% - Accent3 2 2 2 2 2 2 2 2 2" xfId="29734" xr:uid="{00000000-0005-0000-0000-0000C8460000}"/>
    <cellStyle name="40% - Accent3 2 2 2 2 2 2 2 2 2 2" xfId="13665" xr:uid="{00000000-0005-0000-0000-0000C9460000}"/>
    <cellStyle name="40% - Accent3 2 2 2 2 2 2 2 2 2 2 2" xfId="13662" xr:uid="{00000000-0005-0000-0000-0000CA460000}"/>
    <cellStyle name="40% - Accent3 2 2 2 2 2 2 2 2 2 3" xfId="17030" xr:uid="{00000000-0005-0000-0000-0000CB460000}"/>
    <cellStyle name="40% - Accent3 2 2 2 2 2 2 2 2 3" xfId="10052" xr:uid="{00000000-0005-0000-0000-0000CC460000}"/>
    <cellStyle name="40% - Accent3 2 2 2 2 2 2 2 2 3 2" xfId="13660" xr:uid="{00000000-0005-0000-0000-0000CD460000}"/>
    <cellStyle name="40% - Accent3 2 2 2 2 2 2 2 2 4" xfId="14698" xr:uid="{00000000-0005-0000-0000-0000CE460000}"/>
    <cellStyle name="40% - Accent3 2 2 2 2 2 2 2 3" xfId="13656" xr:uid="{00000000-0005-0000-0000-0000CF460000}"/>
    <cellStyle name="40% - Accent3 2 2 2 2 2 2 2 3 2" xfId="33287" xr:uid="{00000000-0005-0000-0000-0000D0460000}"/>
    <cellStyle name="40% - Accent3 2 2 2 2 2 2 2 3 2 2" xfId="31732" xr:uid="{00000000-0005-0000-0000-0000D1460000}"/>
    <cellStyle name="40% - Accent3 2 2 2 2 2 2 2 3 3" xfId="32054" xr:uid="{00000000-0005-0000-0000-0000D2460000}"/>
    <cellStyle name="40% - Accent3 2 2 2 2 2 2 2 4" xfId="13655" xr:uid="{00000000-0005-0000-0000-0000D3460000}"/>
    <cellStyle name="40% - Accent3 2 2 2 2 2 2 2 4 2" xfId="25344" xr:uid="{00000000-0005-0000-0000-0000D4460000}"/>
    <cellStyle name="40% - Accent3 2 2 2 2 2 2 2 5" xfId="21569" xr:uid="{00000000-0005-0000-0000-0000D5460000}"/>
    <cellStyle name="40% - Accent3 2 2 2 2 2 2 3" xfId="18754" xr:uid="{00000000-0005-0000-0000-0000D6460000}"/>
    <cellStyle name="40% - Accent3 2 2 2 2 2 2 3 2" xfId="13654" xr:uid="{00000000-0005-0000-0000-0000D7460000}"/>
    <cellStyle name="40% - Accent3 2 2 2 2 2 2 3 2 2" xfId="14276" xr:uid="{00000000-0005-0000-0000-0000D8460000}"/>
    <cellStyle name="40% - Accent3 2 2 2 2 2 2 3 2 2 2" xfId="13653" xr:uid="{00000000-0005-0000-0000-0000D9460000}"/>
    <cellStyle name="40% - Accent3 2 2 2 2 2 2 3 2 3" xfId="14263" xr:uid="{00000000-0005-0000-0000-0000DA460000}"/>
    <cellStyle name="40% - Accent3 2 2 2 2 2 2 3 3" xfId="13648" xr:uid="{00000000-0005-0000-0000-0000DB460000}"/>
    <cellStyle name="40% - Accent3 2 2 2 2 2 2 3 3 2" xfId="32361" xr:uid="{00000000-0005-0000-0000-0000DC460000}"/>
    <cellStyle name="40% - Accent3 2 2 2 2 2 2 3 4" xfId="13644" xr:uid="{00000000-0005-0000-0000-0000DD460000}"/>
    <cellStyle name="40% - Accent3 2 2 2 2 2 2 4" xfId="18741" xr:uid="{00000000-0005-0000-0000-0000DE460000}"/>
    <cellStyle name="40% - Accent3 2 2 2 2 2 2 4 2" xfId="13640" xr:uid="{00000000-0005-0000-0000-0000DF460000}"/>
    <cellStyle name="40% - Accent3 2 2 2 2 2 2 4 2 2" xfId="33931" xr:uid="{00000000-0005-0000-0000-0000E0460000}"/>
    <cellStyle name="40% - Accent3 2 2 2 2 2 2 4 3" xfId="13638" xr:uid="{00000000-0005-0000-0000-0000E1460000}"/>
    <cellStyle name="40% - Accent3 2 2 2 2 2 2 5" xfId="18737" xr:uid="{00000000-0005-0000-0000-0000E2460000}"/>
    <cellStyle name="40% - Accent3 2 2 2 2 2 2 5 2" xfId="16445" xr:uid="{00000000-0005-0000-0000-0000E3460000}"/>
    <cellStyle name="40% - Accent3 2 2 2 2 2 2 6" xfId="18734" xr:uid="{00000000-0005-0000-0000-0000E4460000}"/>
    <cellStyle name="40% - Accent3 2 2 2 2 2 3" xfId="9165" xr:uid="{00000000-0005-0000-0000-0000E5460000}"/>
    <cellStyle name="40% - Accent3 2 2 2 2 2 3 2" xfId="13630" xr:uid="{00000000-0005-0000-0000-0000E6460000}"/>
    <cellStyle name="40% - Accent3 2 2 2 2 2 3 2 2" xfId="28751" xr:uid="{00000000-0005-0000-0000-0000E7460000}"/>
    <cellStyle name="40% - Accent3 2 2 2 2 2 3 2 2 2" xfId="13626" xr:uid="{00000000-0005-0000-0000-0000E8460000}"/>
    <cellStyle name="40% - Accent3 2 2 2 2 2 3 2 2 2 2" xfId="13624" xr:uid="{00000000-0005-0000-0000-0000E9460000}"/>
    <cellStyle name="40% - Accent3 2 2 2 2 2 3 2 2 3" xfId="13622" xr:uid="{00000000-0005-0000-0000-0000EA460000}"/>
    <cellStyle name="40% - Accent3 2 2 2 2 2 3 2 3" xfId="13617" xr:uid="{00000000-0005-0000-0000-0000EB460000}"/>
    <cellStyle name="40% - Accent3 2 2 2 2 2 3 2 3 2" xfId="31964" xr:uid="{00000000-0005-0000-0000-0000EC460000}"/>
    <cellStyle name="40% - Accent3 2 2 2 2 2 3 2 4" xfId="13614" xr:uid="{00000000-0005-0000-0000-0000ED460000}"/>
    <cellStyle name="40% - Accent3 2 2 2 2 2 3 3" xfId="9148" xr:uid="{00000000-0005-0000-0000-0000EE460000}"/>
    <cellStyle name="40% - Accent3 2 2 2 2 2 3 3 2" xfId="13613" xr:uid="{00000000-0005-0000-0000-0000EF460000}"/>
    <cellStyle name="40% - Accent3 2 2 2 2 2 3 3 2 2" xfId="13612" xr:uid="{00000000-0005-0000-0000-0000F0460000}"/>
    <cellStyle name="40% - Accent3 2 2 2 2 2 3 3 3" xfId="13610" xr:uid="{00000000-0005-0000-0000-0000F1460000}"/>
    <cellStyle name="40% - Accent3 2 2 2 2 2 3 4" xfId="21829" xr:uid="{00000000-0005-0000-0000-0000F2460000}"/>
    <cellStyle name="40% - Accent3 2 2 2 2 2 3 4 2" xfId="13607" xr:uid="{00000000-0005-0000-0000-0000F3460000}"/>
    <cellStyle name="40% - Accent3 2 2 2 2 2 3 5" xfId="21821" xr:uid="{00000000-0005-0000-0000-0000F4460000}"/>
    <cellStyle name="40% - Accent3 2 2 2 2 2 4" xfId="9159" xr:uid="{00000000-0005-0000-0000-0000F5460000}"/>
    <cellStyle name="40% - Accent3 2 2 2 2 2 4 2" xfId="13602" xr:uid="{00000000-0005-0000-0000-0000F6460000}"/>
    <cellStyle name="40% - Accent3 2 2 2 2 2 4 2 2" xfId="8835" xr:uid="{00000000-0005-0000-0000-0000F7460000}"/>
    <cellStyle name="40% - Accent3 2 2 2 2 2 4 2 2 2" xfId="12910" xr:uid="{00000000-0005-0000-0000-0000F8460000}"/>
    <cellStyle name="40% - Accent3 2 2 2 2 2 4 2 3" xfId="13597" xr:uid="{00000000-0005-0000-0000-0000F9460000}"/>
    <cellStyle name="40% - Accent3 2 2 2 2 2 4 3" xfId="5411" xr:uid="{00000000-0005-0000-0000-0000FA460000}"/>
    <cellStyle name="40% - Accent3 2 2 2 2 2 4 3 2" xfId="8806" xr:uid="{00000000-0005-0000-0000-0000FB460000}"/>
    <cellStyle name="40% - Accent3 2 2 2 2 2 4 4" xfId="21779" xr:uid="{00000000-0005-0000-0000-0000FC460000}"/>
    <cellStyle name="40% - Accent3 2 2 2 2 2 5" xfId="13595" xr:uid="{00000000-0005-0000-0000-0000FD460000}"/>
    <cellStyle name="40% - Accent3 2 2 2 2 2 5 2" xfId="13594" xr:uid="{00000000-0005-0000-0000-0000FE460000}"/>
    <cellStyle name="40% - Accent3 2 2 2 2 2 5 2 2" xfId="8759" xr:uid="{00000000-0005-0000-0000-0000FF460000}"/>
    <cellStyle name="40% - Accent3 2 2 2 2 2 5 3" xfId="21754" xr:uid="{00000000-0005-0000-0000-000000470000}"/>
    <cellStyle name="40% - Accent3 2 2 2 2 2 6" xfId="13591" xr:uid="{00000000-0005-0000-0000-000001470000}"/>
    <cellStyle name="40% - Accent3 2 2 2 2 2 6 2" xfId="11503" xr:uid="{00000000-0005-0000-0000-000002470000}"/>
    <cellStyle name="40% - Accent3 2 2 2 2 2 7" xfId="32309" xr:uid="{00000000-0005-0000-0000-000003470000}"/>
    <cellStyle name="40% - Accent3 2 2 2 2 3" xfId="10548" xr:uid="{00000000-0005-0000-0000-000004470000}"/>
    <cellStyle name="40% - Accent3 2 2 2 2 3 2" xfId="12613" xr:uid="{00000000-0005-0000-0000-000005470000}"/>
    <cellStyle name="40% - Accent3 2 2 2 2 3 2 2" xfId="13588" xr:uid="{00000000-0005-0000-0000-000006470000}"/>
    <cellStyle name="40% - Accent3 2 2 2 2 3 2 2 2" xfId="13582" xr:uid="{00000000-0005-0000-0000-000007470000}"/>
    <cellStyle name="40% - Accent3 2 2 2 2 3 2 2 2 2" xfId="13581" xr:uid="{00000000-0005-0000-0000-000008470000}"/>
    <cellStyle name="40% - Accent3 2 2 2 2 3 2 2 2 2 2" xfId="17997" xr:uid="{00000000-0005-0000-0000-000009470000}"/>
    <cellStyle name="40% - Accent3 2 2 2 2 3 2 2 2 3" xfId="13578" xr:uid="{00000000-0005-0000-0000-00000A470000}"/>
    <cellStyle name="40% - Accent3 2 2 2 2 3 2 2 3" xfId="13575" xr:uid="{00000000-0005-0000-0000-00000B470000}"/>
    <cellStyle name="40% - Accent3 2 2 2 2 3 2 2 3 2" xfId="33088" xr:uid="{00000000-0005-0000-0000-00000C470000}"/>
    <cellStyle name="40% - Accent3 2 2 2 2 3 2 2 4" xfId="13574" xr:uid="{00000000-0005-0000-0000-00000D470000}"/>
    <cellStyle name="40% - Accent3 2 2 2 2 3 2 3" xfId="18611" xr:uid="{00000000-0005-0000-0000-00000E470000}"/>
    <cellStyle name="40% - Accent3 2 2 2 2 3 2 3 2" xfId="13573" xr:uid="{00000000-0005-0000-0000-00000F470000}"/>
    <cellStyle name="40% - Accent3 2 2 2 2 3 2 3 2 2" xfId="13572" xr:uid="{00000000-0005-0000-0000-000010470000}"/>
    <cellStyle name="40% - Accent3 2 2 2 2 3 2 3 3" xfId="13571" xr:uid="{00000000-0005-0000-0000-000011470000}"/>
    <cellStyle name="40% - Accent3 2 2 2 2 3 2 4" xfId="18601" xr:uid="{00000000-0005-0000-0000-000012470000}"/>
    <cellStyle name="40% - Accent3 2 2 2 2 3 2 4 2" xfId="13568" xr:uid="{00000000-0005-0000-0000-000013470000}"/>
    <cellStyle name="40% - Accent3 2 2 2 2 3 2 5" xfId="18598" xr:uid="{00000000-0005-0000-0000-000014470000}"/>
    <cellStyle name="40% - Accent3 2 2 2 2 3 3" xfId="12604" xr:uid="{00000000-0005-0000-0000-000015470000}"/>
    <cellStyle name="40% - Accent3 2 2 2 2 3 3 2" xfId="13565" xr:uid="{00000000-0005-0000-0000-000016470000}"/>
    <cellStyle name="40% - Accent3 2 2 2 2 3 3 2 2" xfId="13563" xr:uid="{00000000-0005-0000-0000-000017470000}"/>
    <cellStyle name="40% - Accent3 2 2 2 2 3 3 2 2 2" xfId="14211" xr:uid="{00000000-0005-0000-0000-000018470000}"/>
    <cellStyle name="40% - Accent3 2 2 2 2 3 3 2 3" xfId="13562" xr:uid="{00000000-0005-0000-0000-000019470000}"/>
    <cellStyle name="40% - Accent3 2 2 2 2 3 3 3" xfId="5409" xr:uid="{00000000-0005-0000-0000-00001A470000}"/>
    <cellStyle name="40% - Accent3 2 2 2 2 3 3 3 2" xfId="13561" xr:uid="{00000000-0005-0000-0000-00001B470000}"/>
    <cellStyle name="40% - Accent3 2 2 2 2 3 3 4" xfId="21685" xr:uid="{00000000-0005-0000-0000-00001C470000}"/>
    <cellStyle name="40% - Accent3 2 2 2 2 3 4" xfId="13560" xr:uid="{00000000-0005-0000-0000-00001D470000}"/>
    <cellStyle name="40% - Accent3 2 2 2 2 3 4 2" xfId="13559" xr:uid="{00000000-0005-0000-0000-00001E470000}"/>
    <cellStyle name="40% - Accent3 2 2 2 2 3 4 2 2" xfId="8624" xr:uid="{00000000-0005-0000-0000-00001F470000}"/>
    <cellStyle name="40% - Accent3 2 2 2 2 3 4 3" xfId="30402" xr:uid="{00000000-0005-0000-0000-000020470000}"/>
    <cellStyle name="40% - Accent3 2 2 2 2 3 5" xfId="13555" xr:uid="{00000000-0005-0000-0000-000021470000}"/>
    <cellStyle name="40% - Accent3 2 2 2 2 3 5 2" xfId="13552" xr:uid="{00000000-0005-0000-0000-000022470000}"/>
    <cellStyle name="40% - Accent3 2 2 2 2 3 6" xfId="13100" xr:uid="{00000000-0005-0000-0000-000023470000}"/>
    <cellStyle name="40% - Accent3 2 2 2 2 4" xfId="10538" xr:uid="{00000000-0005-0000-0000-000024470000}"/>
    <cellStyle name="40% - Accent3 2 2 2 2 4 2" xfId="12587" xr:uid="{00000000-0005-0000-0000-000025470000}"/>
    <cellStyle name="40% - Accent3 2 2 2 2 4 2 2" xfId="14724" xr:uid="{00000000-0005-0000-0000-000026470000}"/>
    <cellStyle name="40% - Accent3 2 2 2 2 4 2 2 2" xfId="31160" xr:uid="{00000000-0005-0000-0000-000027470000}"/>
    <cellStyle name="40% - Accent3 2 2 2 2 4 2 2 2 2" xfId="13546" xr:uid="{00000000-0005-0000-0000-000028470000}"/>
    <cellStyle name="40% - Accent3 2 2 2 2 4 2 2 3" xfId="13543" xr:uid="{00000000-0005-0000-0000-000029470000}"/>
    <cellStyle name="40% - Accent3 2 2 2 2 4 2 3" xfId="18522" xr:uid="{00000000-0005-0000-0000-00002A470000}"/>
    <cellStyle name="40% - Accent3 2 2 2 2 4 2 3 2" xfId="20371" xr:uid="{00000000-0005-0000-0000-00002B470000}"/>
    <cellStyle name="40% - Accent3 2 2 2 2 4 2 4" xfId="18515" xr:uid="{00000000-0005-0000-0000-00002C470000}"/>
    <cellStyle name="40% - Accent3 2 2 2 2 4 3" xfId="32545" xr:uid="{00000000-0005-0000-0000-00002D470000}"/>
    <cellStyle name="40% - Accent3 2 2 2 2 4 3 2" xfId="14679" xr:uid="{00000000-0005-0000-0000-00002E470000}"/>
    <cellStyle name="40% - Accent3 2 2 2 2 4 3 2 2" xfId="13541" xr:uid="{00000000-0005-0000-0000-00002F470000}"/>
    <cellStyle name="40% - Accent3 2 2 2 2 4 3 3" xfId="21602" xr:uid="{00000000-0005-0000-0000-000030470000}"/>
    <cellStyle name="40% - Accent3 2 2 2 2 4 4" xfId="13539" xr:uid="{00000000-0005-0000-0000-000031470000}"/>
    <cellStyle name="40% - Accent3 2 2 2 2 4 4 2" xfId="13538" xr:uid="{00000000-0005-0000-0000-000032470000}"/>
    <cellStyle name="40% - Accent3 2 2 2 2 4 5" xfId="13535" xr:uid="{00000000-0005-0000-0000-000033470000}"/>
    <cellStyle name="40% - Accent3 2 2 2 2 5" xfId="10526" xr:uid="{00000000-0005-0000-0000-000034470000}"/>
    <cellStyle name="40% - Accent3 2 2 2 2 5 2" xfId="32623" xr:uid="{00000000-0005-0000-0000-000035470000}"/>
    <cellStyle name="40% - Accent3 2 2 2 2 5 2 2" xfId="17129" xr:uid="{00000000-0005-0000-0000-000036470000}"/>
    <cellStyle name="40% - Accent3 2 2 2 2 5 2 2 2" xfId="27757" xr:uid="{00000000-0005-0000-0000-000037470000}"/>
    <cellStyle name="40% - Accent3 2 2 2 2 5 2 3" xfId="18662" xr:uid="{00000000-0005-0000-0000-000038470000}"/>
    <cellStyle name="40% - Accent3 2 2 2 2 5 3" xfId="13531" xr:uid="{00000000-0005-0000-0000-000039470000}"/>
    <cellStyle name="40% - Accent3 2 2 2 2 5 3 2" xfId="13530" xr:uid="{00000000-0005-0000-0000-00003A470000}"/>
    <cellStyle name="40% - Accent3 2 2 2 2 5 4" xfId="13526" xr:uid="{00000000-0005-0000-0000-00003B470000}"/>
    <cellStyle name="40% - Accent3 2 2 2 2 6" xfId="13525" xr:uid="{00000000-0005-0000-0000-00003C470000}"/>
    <cellStyle name="40% - Accent3 2 2 2 2 6 2" xfId="13524" xr:uid="{00000000-0005-0000-0000-00003D470000}"/>
    <cellStyle name="40% - Accent3 2 2 2 2 6 2 2" xfId="13522" xr:uid="{00000000-0005-0000-0000-00003E470000}"/>
    <cellStyle name="40% - Accent3 2 2 2 2 6 3" xfId="13517" xr:uid="{00000000-0005-0000-0000-00003F470000}"/>
    <cellStyle name="40% - Accent3 2 2 2 2 7" xfId="25248" xr:uid="{00000000-0005-0000-0000-000040470000}"/>
    <cellStyle name="40% - Accent3 2 2 2 2 7 2" xfId="25244" xr:uid="{00000000-0005-0000-0000-000041470000}"/>
    <cellStyle name="40% - Accent3 2 2 2 2 8" xfId="25232" xr:uid="{00000000-0005-0000-0000-000042470000}"/>
    <cellStyle name="40% - Accent3 2 2 2 3" xfId="5635" xr:uid="{00000000-0005-0000-0000-000043470000}"/>
    <cellStyle name="40% - Accent3 2 2 2 3 2" xfId="13516" xr:uid="{00000000-0005-0000-0000-000044470000}"/>
    <cellStyle name="40% - Accent3 2 2 2 3 2 2" xfId="9153" xr:uid="{00000000-0005-0000-0000-000045470000}"/>
    <cellStyle name="40% - Accent3 2 2 2 3 2 2 2" xfId="31798" xr:uid="{00000000-0005-0000-0000-000046470000}"/>
    <cellStyle name="40% - Accent3 2 2 2 3 2 2 2 2" xfId="13513" xr:uid="{00000000-0005-0000-0000-000047470000}"/>
    <cellStyle name="40% - Accent3 2 2 2 3 2 2 2 2 2" xfId="12283" xr:uid="{00000000-0005-0000-0000-000048470000}"/>
    <cellStyle name="40% - Accent3 2 2 2 3 2 2 2 2 2 2" xfId="31334" xr:uid="{00000000-0005-0000-0000-000049470000}"/>
    <cellStyle name="40% - Accent3 2 2 2 3 2 2 2 2 3" xfId="13511" xr:uid="{00000000-0005-0000-0000-00004A470000}"/>
    <cellStyle name="40% - Accent3 2 2 2 3 2 2 2 3" xfId="13509" xr:uid="{00000000-0005-0000-0000-00004B470000}"/>
    <cellStyle name="40% - Accent3 2 2 2 3 2 2 2 3 2" xfId="12269" xr:uid="{00000000-0005-0000-0000-00004C470000}"/>
    <cellStyle name="40% - Accent3 2 2 2 3 2 2 2 4" xfId="13508" xr:uid="{00000000-0005-0000-0000-00004D470000}"/>
    <cellStyle name="40% - Accent3 2 2 2 3 2 2 3" xfId="27844" xr:uid="{00000000-0005-0000-0000-00004E470000}"/>
    <cellStyle name="40% - Accent3 2 2 2 3 2 2 3 2" xfId="13507" xr:uid="{00000000-0005-0000-0000-00004F470000}"/>
    <cellStyle name="40% - Accent3 2 2 2 3 2 2 3 2 2" xfId="12287" xr:uid="{00000000-0005-0000-0000-000050470000}"/>
    <cellStyle name="40% - Accent3 2 2 2 3 2 2 3 3" xfId="13505" xr:uid="{00000000-0005-0000-0000-000051470000}"/>
    <cellStyle name="40% - Accent3 2 2 2 3 2 2 4" xfId="23034" xr:uid="{00000000-0005-0000-0000-000052470000}"/>
    <cellStyle name="40% - Accent3 2 2 2 3 2 2 4 2" xfId="13503" xr:uid="{00000000-0005-0000-0000-000053470000}"/>
    <cellStyle name="40% - Accent3 2 2 2 3 2 2 5" xfId="16916" xr:uid="{00000000-0005-0000-0000-000054470000}"/>
    <cellStyle name="40% - Accent3 2 2 2 3 2 3" xfId="9145" xr:uid="{00000000-0005-0000-0000-000055470000}"/>
    <cellStyle name="40% - Accent3 2 2 2 3 2 3 2" xfId="5621" xr:uid="{00000000-0005-0000-0000-000056470000}"/>
    <cellStyle name="40% - Accent3 2 2 2 3 2 3 2 2" xfId="13499" xr:uid="{00000000-0005-0000-0000-000057470000}"/>
    <cellStyle name="40% - Accent3 2 2 2 3 2 3 2 2 2" xfId="12242" xr:uid="{00000000-0005-0000-0000-000058470000}"/>
    <cellStyle name="40% - Accent3 2 2 2 3 2 3 2 3" xfId="21053" xr:uid="{00000000-0005-0000-0000-000059470000}"/>
    <cellStyle name="40% - Accent3 2 2 2 3 2 3 3" xfId="5406" xr:uid="{00000000-0005-0000-0000-00005A470000}"/>
    <cellStyle name="40% - Accent3 2 2 2 3 2 3 3 2" xfId="13498" xr:uid="{00000000-0005-0000-0000-00005B470000}"/>
    <cellStyle name="40% - Accent3 2 2 2 3 2 3 4" xfId="23406" xr:uid="{00000000-0005-0000-0000-00005C470000}"/>
    <cellStyle name="40% - Accent3 2 2 2 3 2 4" xfId="13497" xr:uid="{00000000-0005-0000-0000-00005D470000}"/>
    <cellStyle name="40% - Accent3 2 2 2 3 2 4 2" xfId="13490" xr:uid="{00000000-0005-0000-0000-00005E470000}"/>
    <cellStyle name="40% - Accent3 2 2 2 3 2 4 2 2" xfId="13486" xr:uid="{00000000-0005-0000-0000-00005F470000}"/>
    <cellStyle name="40% - Accent3 2 2 2 3 2 4 3" xfId="28412" xr:uid="{00000000-0005-0000-0000-000060470000}"/>
    <cellStyle name="40% - Accent3 2 2 2 3 2 5" xfId="13484" xr:uid="{00000000-0005-0000-0000-000061470000}"/>
    <cellStyle name="40% - Accent3 2 2 2 3 2 5 2" xfId="13481" xr:uid="{00000000-0005-0000-0000-000062470000}"/>
    <cellStyle name="40% - Accent3 2 2 2 3 2 6" xfId="13478" xr:uid="{00000000-0005-0000-0000-000063470000}"/>
    <cellStyle name="40% - Accent3 2 2 2 3 3" xfId="10513" xr:uid="{00000000-0005-0000-0000-000064470000}"/>
    <cellStyle name="40% - Accent3 2 2 2 3 3 2" xfId="12566" xr:uid="{00000000-0005-0000-0000-000065470000}"/>
    <cellStyle name="40% - Accent3 2 2 2 3 3 2 2" xfId="13475" xr:uid="{00000000-0005-0000-0000-000066470000}"/>
    <cellStyle name="40% - Accent3 2 2 2 3 3 2 2 2" xfId="13471" xr:uid="{00000000-0005-0000-0000-000067470000}"/>
    <cellStyle name="40% - Accent3 2 2 2 3 3 2 2 2 2" xfId="11961" xr:uid="{00000000-0005-0000-0000-000068470000}"/>
    <cellStyle name="40% - Accent3 2 2 2 3 3 2 2 3" xfId="32995" xr:uid="{00000000-0005-0000-0000-000069470000}"/>
    <cellStyle name="40% - Accent3 2 2 2 3 3 2 3" xfId="29998" xr:uid="{00000000-0005-0000-0000-00006A470000}"/>
    <cellStyle name="40% - Accent3 2 2 2 3 3 2 3 2" xfId="13470" xr:uid="{00000000-0005-0000-0000-00006B470000}"/>
    <cellStyle name="40% - Accent3 2 2 2 3 3 2 4" xfId="23388" xr:uid="{00000000-0005-0000-0000-00006C470000}"/>
    <cellStyle name="40% - Accent3 2 2 2 3 3 3" xfId="13469" xr:uid="{00000000-0005-0000-0000-00006D470000}"/>
    <cellStyle name="40% - Accent3 2 2 2 3 3 3 2" xfId="13467" xr:uid="{00000000-0005-0000-0000-00006E470000}"/>
    <cellStyle name="40% - Accent3 2 2 2 3 3 3 2 2" xfId="13464" xr:uid="{00000000-0005-0000-0000-00006F470000}"/>
    <cellStyle name="40% - Accent3 2 2 2 3 3 3 3" xfId="25925" xr:uid="{00000000-0005-0000-0000-000070470000}"/>
    <cellStyle name="40% - Accent3 2 2 2 3 3 4" xfId="13463" xr:uid="{00000000-0005-0000-0000-000071470000}"/>
    <cellStyle name="40% - Accent3 2 2 2 3 3 4 2" xfId="13460" xr:uid="{00000000-0005-0000-0000-000072470000}"/>
    <cellStyle name="40% - Accent3 2 2 2 3 3 5" xfId="13457" xr:uid="{00000000-0005-0000-0000-000073470000}"/>
    <cellStyle name="40% - Accent3 2 2 2 3 4" xfId="10507" xr:uid="{00000000-0005-0000-0000-000074470000}"/>
    <cellStyle name="40% - Accent3 2 2 2 3 4 2" xfId="29160" xr:uid="{00000000-0005-0000-0000-000075470000}"/>
    <cellStyle name="40% - Accent3 2 2 2 3 4 2 2" xfId="13452" xr:uid="{00000000-0005-0000-0000-000076470000}"/>
    <cellStyle name="40% - Accent3 2 2 2 3 4 2 2 2" xfId="13449" xr:uid="{00000000-0005-0000-0000-000077470000}"/>
    <cellStyle name="40% - Accent3 2 2 2 3 4 2 3" xfId="32169" xr:uid="{00000000-0005-0000-0000-000078470000}"/>
    <cellStyle name="40% - Accent3 2 2 2 3 4 3" xfId="13447" xr:uid="{00000000-0005-0000-0000-000079470000}"/>
    <cellStyle name="40% - Accent3 2 2 2 3 4 3 2" xfId="13445" xr:uid="{00000000-0005-0000-0000-00007A470000}"/>
    <cellStyle name="40% - Accent3 2 2 2 3 4 4" xfId="14193" xr:uid="{00000000-0005-0000-0000-00007B470000}"/>
    <cellStyle name="40% - Accent3 2 2 2 3 5" xfId="13441" xr:uid="{00000000-0005-0000-0000-00007C470000}"/>
    <cellStyle name="40% - Accent3 2 2 2 3 5 2" xfId="13440" xr:uid="{00000000-0005-0000-0000-00007D470000}"/>
    <cellStyle name="40% - Accent3 2 2 2 3 5 2 2" xfId="23244" xr:uid="{00000000-0005-0000-0000-00007E470000}"/>
    <cellStyle name="40% - Accent3 2 2 2 3 5 3" xfId="13439" xr:uid="{00000000-0005-0000-0000-00007F470000}"/>
    <cellStyle name="40% - Accent3 2 2 2 3 6" xfId="13437" xr:uid="{00000000-0005-0000-0000-000080470000}"/>
    <cellStyle name="40% - Accent3 2 2 2 3 6 2" xfId="13436" xr:uid="{00000000-0005-0000-0000-000081470000}"/>
    <cellStyle name="40% - Accent3 2 2 2 3 7" xfId="25221" xr:uid="{00000000-0005-0000-0000-000082470000}"/>
    <cellStyle name="40% - Accent3 2 2 2 4" xfId="25486" xr:uid="{00000000-0005-0000-0000-000083470000}"/>
    <cellStyle name="40% - Accent3 2 2 2 4 2" xfId="9142" xr:uid="{00000000-0005-0000-0000-000084470000}"/>
    <cellStyle name="40% - Accent3 2 2 2 4 2 2" xfId="13435" xr:uid="{00000000-0005-0000-0000-000085470000}"/>
    <cellStyle name="40% - Accent3 2 2 2 4 2 2 2" xfId="20113" xr:uid="{00000000-0005-0000-0000-000086470000}"/>
    <cellStyle name="40% - Accent3 2 2 2 4 2 2 2 2" xfId="31871" xr:uid="{00000000-0005-0000-0000-000087470000}"/>
    <cellStyle name="40% - Accent3 2 2 2 4 2 2 2 2 2" xfId="13433" xr:uid="{00000000-0005-0000-0000-000088470000}"/>
    <cellStyle name="40% - Accent3 2 2 2 4 2 2 2 3" xfId="13430" xr:uid="{00000000-0005-0000-0000-000089470000}"/>
    <cellStyle name="40% - Accent3 2 2 2 4 2 2 3" xfId="28890" xr:uid="{00000000-0005-0000-0000-00008A470000}"/>
    <cellStyle name="40% - Accent3 2 2 2 4 2 2 3 2" xfId="34090" xr:uid="{00000000-0005-0000-0000-00008B470000}"/>
    <cellStyle name="40% - Accent3 2 2 2 4 2 2 4" xfId="25653" xr:uid="{00000000-0005-0000-0000-00008C470000}"/>
    <cellStyle name="40% - Accent3 2 2 2 4 2 3" xfId="13429" xr:uid="{00000000-0005-0000-0000-00008D470000}"/>
    <cellStyle name="40% - Accent3 2 2 2 4 2 3 2" xfId="13426" xr:uid="{00000000-0005-0000-0000-00008E470000}"/>
    <cellStyle name="40% - Accent3 2 2 2 4 2 3 2 2" xfId="18139" xr:uid="{00000000-0005-0000-0000-00008F470000}"/>
    <cellStyle name="40% - Accent3 2 2 2 4 2 3 3" xfId="28858" xr:uid="{00000000-0005-0000-0000-000090470000}"/>
    <cellStyle name="40% - Accent3 2 2 2 4 2 4" xfId="25475" xr:uid="{00000000-0005-0000-0000-000091470000}"/>
    <cellStyle name="40% - Accent3 2 2 2 4 2 4 2" xfId="13423" xr:uid="{00000000-0005-0000-0000-000092470000}"/>
    <cellStyle name="40% - Accent3 2 2 2 4 2 5" xfId="29102" xr:uid="{00000000-0005-0000-0000-000093470000}"/>
    <cellStyle name="40% - Accent3 2 2 2 4 3" xfId="10498" xr:uid="{00000000-0005-0000-0000-000094470000}"/>
    <cellStyle name="40% - Accent3 2 2 2 4 3 2" xfId="13419" xr:uid="{00000000-0005-0000-0000-000095470000}"/>
    <cellStyle name="40% - Accent3 2 2 2 4 3 2 2" xfId="13418" xr:uid="{00000000-0005-0000-0000-000096470000}"/>
    <cellStyle name="40% - Accent3 2 2 2 4 3 2 2 2" xfId="13413" xr:uid="{00000000-0005-0000-0000-000097470000}"/>
    <cellStyle name="40% - Accent3 2 2 2 4 3 2 3" xfId="28658" xr:uid="{00000000-0005-0000-0000-000098470000}"/>
    <cellStyle name="40% - Accent3 2 2 2 4 3 3" xfId="13412" xr:uid="{00000000-0005-0000-0000-000099470000}"/>
    <cellStyle name="40% - Accent3 2 2 2 4 3 3 2" xfId="13410" xr:uid="{00000000-0005-0000-0000-00009A470000}"/>
    <cellStyle name="40% - Accent3 2 2 2 4 3 4" xfId="13406" xr:uid="{00000000-0005-0000-0000-00009B470000}"/>
    <cellStyle name="40% - Accent3 2 2 2 4 4" xfId="13404" xr:uid="{00000000-0005-0000-0000-00009C470000}"/>
    <cellStyle name="40% - Accent3 2 2 2 4 4 2" xfId="13403" xr:uid="{00000000-0005-0000-0000-00009D470000}"/>
    <cellStyle name="40% - Accent3 2 2 2 4 4 2 2" xfId="13402" xr:uid="{00000000-0005-0000-0000-00009E470000}"/>
    <cellStyle name="40% - Accent3 2 2 2 4 4 3" xfId="31019" xr:uid="{00000000-0005-0000-0000-00009F470000}"/>
    <cellStyle name="40% - Accent3 2 2 2 4 5" xfId="13395" xr:uid="{00000000-0005-0000-0000-0000A0470000}"/>
    <cellStyle name="40% - Accent3 2 2 2 4 5 2" xfId="32222" xr:uid="{00000000-0005-0000-0000-0000A1470000}"/>
    <cellStyle name="40% - Accent3 2 2 2 4 6" xfId="13394" xr:uid="{00000000-0005-0000-0000-0000A2470000}"/>
    <cellStyle name="40% - Accent3 2 2 2 5" xfId="22548" xr:uid="{00000000-0005-0000-0000-0000A3470000}"/>
    <cellStyle name="40% - Accent3 2 2 2 5 2" xfId="9138" xr:uid="{00000000-0005-0000-0000-0000A4470000}"/>
    <cellStyle name="40% - Accent3 2 2 2 5 2 2" xfId="13393" xr:uid="{00000000-0005-0000-0000-0000A5470000}"/>
    <cellStyle name="40% - Accent3 2 2 2 5 2 2 2" xfId="13392" xr:uid="{00000000-0005-0000-0000-0000A6470000}"/>
    <cellStyle name="40% - Accent3 2 2 2 5 2 2 2 2" xfId="13389" xr:uid="{00000000-0005-0000-0000-0000A7470000}"/>
    <cellStyle name="40% - Accent3 2 2 2 5 2 2 3" xfId="27421" xr:uid="{00000000-0005-0000-0000-0000A8470000}"/>
    <cellStyle name="40% - Accent3 2 2 2 5 2 3" xfId="13387" xr:uid="{00000000-0005-0000-0000-0000A9470000}"/>
    <cellStyle name="40% - Accent3 2 2 2 5 2 3 2" xfId="18031" xr:uid="{00000000-0005-0000-0000-0000AA470000}"/>
    <cellStyle name="40% - Accent3 2 2 2 5 2 4" xfId="13385" xr:uid="{00000000-0005-0000-0000-0000AB470000}"/>
    <cellStyle name="40% - Accent3 2 2 2 5 3" xfId="13383" xr:uid="{00000000-0005-0000-0000-0000AC470000}"/>
    <cellStyle name="40% - Accent3 2 2 2 5 3 2" xfId="22087" xr:uid="{00000000-0005-0000-0000-0000AD470000}"/>
    <cellStyle name="40% - Accent3 2 2 2 5 3 2 2" xfId="13382" xr:uid="{00000000-0005-0000-0000-0000AE470000}"/>
    <cellStyle name="40% - Accent3 2 2 2 5 3 3" xfId="13376" xr:uid="{00000000-0005-0000-0000-0000AF470000}"/>
    <cellStyle name="40% - Accent3 2 2 2 5 4" xfId="13374" xr:uid="{00000000-0005-0000-0000-0000B0470000}"/>
    <cellStyle name="40% - Accent3 2 2 2 5 4 2" xfId="13373" xr:uid="{00000000-0005-0000-0000-0000B1470000}"/>
    <cellStyle name="40% - Accent3 2 2 2 5 5" xfId="13372" xr:uid="{00000000-0005-0000-0000-0000B2470000}"/>
    <cellStyle name="40% - Accent3 2 2 2 6" xfId="18752" xr:uid="{00000000-0005-0000-0000-0000B3470000}"/>
    <cellStyle name="40% - Accent3 2 2 2 6 2" xfId="18749" xr:uid="{00000000-0005-0000-0000-0000B4470000}"/>
    <cellStyle name="40% - Accent3 2 2 2 6 2 2" xfId="19367" xr:uid="{00000000-0005-0000-0000-0000B5470000}"/>
    <cellStyle name="40% - Accent3 2 2 2 6 2 2 2" xfId="16758" xr:uid="{00000000-0005-0000-0000-0000B6470000}"/>
    <cellStyle name="40% - Accent3 2 2 2 6 2 3" xfId="19362" xr:uid="{00000000-0005-0000-0000-0000B7470000}"/>
    <cellStyle name="40% - Accent3 2 2 2 6 3" xfId="18746" xr:uid="{00000000-0005-0000-0000-0000B8470000}"/>
    <cellStyle name="40% - Accent3 2 2 2 6 3 2" xfId="19348" xr:uid="{00000000-0005-0000-0000-0000B9470000}"/>
    <cellStyle name="40% - Accent3 2 2 2 6 4" xfId="18743" xr:uid="{00000000-0005-0000-0000-0000BA470000}"/>
    <cellStyle name="40% - Accent3 2 2 2 7" xfId="18739" xr:uid="{00000000-0005-0000-0000-0000BB470000}"/>
    <cellStyle name="40% - Accent3 2 2 2 7 2" xfId="19969" xr:uid="{00000000-0005-0000-0000-0000BC470000}"/>
    <cellStyle name="40% - Accent3 2 2 2 7 2 2" xfId="19326" xr:uid="{00000000-0005-0000-0000-0000BD470000}"/>
    <cellStyle name="40% - Accent3 2 2 2 7 3" xfId="19967" xr:uid="{00000000-0005-0000-0000-0000BE470000}"/>
    <cellStyle name="40% - Accent3 2 2 2 8" xfId="18262" xr:uid="{00000000-0005-0000-0000-0000BF470000}"/>
    <cellStyle name="40% - Accent3 2 2 2 8 2" xfId="19958" xr:uid="{00000000-0005-0000-0000-0000C0470000}"/>
    <cellStyle name="40% - Accent3 2 2 2 9" xfId="18732" xr:uid="{00000000-0005-0000-0000-0000C1470000}"/>
    <cellStyle name="40% - Accent3 2 2 3" xfId="13371" xr:uid="{00000000-0005-0000-0000-0000C2470000}"/>
    <cellStyle name="40% - Accent3 2 2 3 2" xfId="9132" xr:uid="{00000000-0005-0000-0000-0000C3470000}"/>
    <cellStyle name="40% - Accent3 2 2 3 2 2" xfId="9128" xr:uid="{00000000-0005-0000-0000-0000C4470000}"/>
    <cellStyle name="40% - Accent3 2 2 3 2 2 2" xfId="9123" xr:uid="{00000000-0005-0000-0000-0000C5470000}"/>
    <cellStyle name="40% - Accent3 2 2 3 2 2 2 2" xfId="16691" xr:uid="{00000000-0005-0000-0000-0000C6470000}"/>
    <cellStyle name="40% - Accent3 2 2 3 2 2 2 2 2" xfId="13369" xr:uid="{00000000-0005-0000-0000-0000C7470000}"/>
    <cellStyle name="40% - Accent3 2 2 3 2 2 2 2 2 2" xfId="13368" xr:uid="{00000000-0005-0000-0000-0000C8470000}"/>
    <cellStyle name="40% - Accent3 2 2 3 2 2 2 2 2 2 2" xfId="13366" xr:uid="{00000000-0005-0000-0000-0000C9470000}"/>
    <cellStyle name="40% - Accent3 2 2 3 2 2 2 2 2 3" xfId="13364" xr:uid="{00000000-0005-0000-0000-0000CA470000}"/>
    <cellStyle name="40% - Accent3 2 2 3 2 2 2 2 3" xfId="13362" xr:uid="{00000000-0005-0000-0000-0000CB470000}"/>
    <cellStyle name="40% - Accent3 2 2 3 2 2 2 2 3 2" xfId="13361" xr:uid="{00000000-0005-0000-0000-0000CC470000}"/>
    <cellStyle name="40% - Accent3 2 2 3 2 2 2 2 4" xfId="13359" xr:uid="{00000000-0005-0000-0000-0000CD470000}"/>
    <cellStyle name="40% - Accent3 2 2 3 2 2 2 3" xfId="16688" xr:uid="{00000000-0005-0000-0000-0000CE470000}"/>
    <cellStyle name="40% - Accent3 2 2 3 2 2 2 3 2" xfId="13358" xr:uid="{00000000-0005-0000-0000-0000CF470000}"/>
    <cellStyle name="40% - Accent3 2 2 3 2 2 2 3 2 2" xfId="13357" xr:uid="{00000000-0005-0000-0000-0000D0470000}"/>
    <cellStyle name="40% - Accent3 2 2 3 2 2 2 3 3" xfId="13355" xr:uid="{00000000-0005-0000-0000-0000D1470000}"/>
    <cellStyle name="40% - Accent3 2 2 3 2 2 2 4" xfId="13352" xr:uid="{00000000-0005-0000-0000-0000D2470000}"/>
    <cellStyle name="40% - Accent3 2 2 3 2 2 2 4 2" xfId="6433" xr:uid="{00000000-0005-0000-0000-0000D3470000}"/>
    <cellStyle name="40% - Accent3 2 2 3 2 2 2 5" xfId="13348" xr:uid="{00000000-0005-0000-0000-0000D4470000}"/>
    <cellStyle name="40% - Accent3 2 2 3 2 2 3" xfId="9117" xr:uid="{00000000-0005-0000-0000-0000D5470000}"/>
    <cellStyle name="40% - Accent3 2 2 3 2 2 3 2" xfId="16684" xr:uid="{00000000-0005-0000-0000-0000D6470000}"/>
    <cellStyle name="40% - Accent3 2 2 3 2 2 3 2 2" xfId="13345" xr:uid="{00000000-0005-0000-0000-0000D7470000}"/>
    <cellStyle name="40% - Accent3 2 2 3 2 2 3 2 2 2" xfId="13344" xr:uid="{00000000-0005-0000-0000-0000D8470000}"/>
    <cellStyle name="40% - Accent3 2 2 3 2 2 3 2 3" xfId="13342" xr:uid="{00000000-0005-0000-0000-0000D9470000}"/>
    <cellStyle name="40% - Accent3 2 2 3 2 2 3 3" xfId="5389" xr:uid="{00000000-0005-0000-0000-0000DA470000}"/>
    <cellStyle name="40% - Accent3 2 2 3 2 2 3 3 2" xfId="13339" xr:uid="{00000000-0005-0000-0000-0000DB470000}"/>
    <cellStyle name="40% - Accent3 2 2 3 2 2 3 4" xfId="13338" xr:uid="{00000000-0005-0000-0000-0000DC470000}"/>
    <cellStyle name="40% - Accent3 2 2 3 2 2 4" xfId="33685" xr:uid="{00000000-0005-0000-0000-0000DD470000}"/>
    <cellStyle name="40% - Accent3 2 2 3 2 2 4 2" xfId="13334" xr:uid="{00000000-0005-0000-0000-0000DE470000}"/>
    <cellStyle name="40% - Accent3 2 2 3 2 2 4 2 2" xfId="13331" xr:uid="{00000000-0005-0000-0000-0000DF470000}"/>
    <cellStyle name="40% - Accent3 2 2 3 2 2 4 3" xfId="16129" xr:uid="{00000000-0005-0000-0000-0000E0470000}"/>
    <cellStyle name="40% - Accent3 2 2 3 2 2 5" xfId="32518" xr:uid="{00000000-0005-0000-0000-0000E1470000}"/>
    <cellStyle name="40% - Accent3 2 2 3 2 2 5 2" xfId="13329" xr:uid="{00000000-0005-0000-0000-0000E2470000}"/>
    <cellStyle name="40% - Accent3 2 2 3 2 2 6" xfId="33335" xr:uid="{00000000-0005-0000-0000-0000E3470000}"/>
    <cellStyle name="40% - Accent3 2 2 3 2 3" xfId="10464" xr:uid="{00000000-0005-0000-0000-0000E4470000}"/>
    <cellStyle name="40% - Accent3 2 2 3 2 3 2" xfId="12499" xr:uid="{00000000-0005-0000-0000-0000E5470000}"/>
    <cellStyle name="40% - Accent3 2 2 3 2 3 2 2" xfId="16673" xr:uid="{00000000-0005-0000-0000-0000E6470000}"/>
    <cellStyle name="40% - Accent3 2 2 3 2 3 2 2 2" xfId="13326" xr:uid="{00000000-0005-0000-0000-0000E7470000}"/>
    <cellStyle name="40% - Accent3 2 2 3 2 3 2 2 2 2" xfId="13325" xr:uid="{00000000-0005-0000-0000-0000E8470000}"/>
    <cellStyle name="40% - Accent3 2 2 3 2 3 2 2 3" xfId="13322" xr:uid="{00000000-0005-0000-0000-0000E9470000}"/>
    <cellStyle name="40% - Accent3 2 2 3 2 3 2 3" xfId="13321" xr:uid="{00000000-0005-0000-0000-0000EA470000}"/>
    <cellStyle name="40% - Accent3 2 2 3 2 3 2 3 2" xfId="7946" xr:uid="{00000000-0005-0000-0000-0000EB470000}"/>
    <cellStyle name="40% - Accent3 2 2 3 2 3 2 4" xfId="13318" xr:uid="{00000000-0005-0000-0000-0000EC470000}"/>
    <cellStyle name="40% - Accent3 2 2 3 2 3 3" xfId="33615" xr:uid="{00000000-0005-0000-0000-0000ED470000}"/>
    <cellStyle name="40% - Accent3 2 2 3 2 3 3 2" xfId="13315" xr:uid="{00000000-0005-0000-0000-0000EE470000}"/>
    <cellStyle name="40% - Accent3 2 2 3 2 3 3 2 2" xfId="13312" xr:uid="{00000000-0005-0000-0000-0000EF470000}"/>
    <cellStyle name="40% - Accent3 2 2 3 2 3 3 3" xfId="13311" xr:uid="{00000000-0005-0000-0000-0000F0470000}"/>
    <cellStyle name="40% - Accent3 2 2 3 2 3 4" xfId="33613" xr:uid="{00000000-0005-0000-0000-0000F1470000}"/>
    <cellStyle name="40% - Accent3 2 2 3 2 3 4 2" xfId="13309" xr:uid="{00000000-0005-0000-0000-0000F2470000}"/>
    <cellStyle name="40% - Accent3 2 2 3 2 3 5" xfId="29608" xr:uid="{00000000-0005-0000-0000-0000F3470000}"/>
    <cellStyle name="40% - Accent3 2 2 3 2 4" xfId="10455" xr:uid="{00000000-0005-0000-0000-0000F4470000}"/>
    <cellStyle name="40% - Accent3 2 2 3 2 4 2" xfId="26059" xr:uid="{00000000-0005-0000-0000-0000F5470000}"/>
    <cellStyle name="40% - Accent3 2 2 3 2 4 2 2" xfId="14891" xr:uid="{00000000-0005-0000-0000-0000F6470000}"/>
    <cellStyle name="40% - Accent3 2 2 3 2 4 2 2 2" xfId="13307" xr:uid="{00000000-0005-0000-0000-0000F7470000}"/>
    <cellStyle name="40% - Accent3 2 2 3 2 4 2 3" xfId="13304" xr:uid="{00000000-0005-0000-0000-0000F8470000}"/>
    <cellStyle name="40% - Accent3 2 2 3 2 4 3" xfId="31801" xr:uid="{00000000-0005-0000-0000-0000F9470000}"/>
    <cellStyle name="40% - Accent3 2 2 3 2 4 3 2" xfId="13302" xr:uid="{00000000-0005-0000-0000-0000FA470000}"/>
    <cellStyle name="40% - Accent3 2 2 3 2 4 4" xfId="33617" xr:uid="{00000000-0005-0000-0000-0000FB470000}"/>
    <cellStyle name="40% - Accent3 2 2 3 2 5" xfId="25091" xr:uid="{00000000-0005-0000-0000-0000FC470000}"/>
    <cellStyle name="40% - Accent3 2 2 3 2 5 2" xfId="23314" xr:uid="{00000000-0005-0000-0000-0000FD470000}"/>
    <cellStyle name="40% - Accent3 2 2 3 2 5 2 2" xfId="13299" xr:uid="{00000000-0005-0000-0000-0000FE470000}"/>
    <cellStyle name="40% - Accent3 2 2 3 2 5 3" xfId="23309" xr:uid="{00000000-0005-0000-0000-0000FF470000}"/>
    <cellStyle name="40% - Accent3 2 2 3 2 6" xfId="13296" xr:uid="{00000000-0005-0000-0000-000000480000}"/>
    <cellStyle name="40% - Accent3 2 2 3 2 6 2" xfId="23306" xr:uid="{00000000-0005-0000-0000-000001480000}"/>
    <cellStyle name="40% - Accent3 2 2 3 2 7" xfId="26661" xr:uid="{00000000-0005-0000-0000-000002480000}"/>
    <cellStyle name="40% - Accent3 2 2 3 3" xfId="13295" xr:uid="{00000000-0005-0000-0000-000003480000}"/>
    <cellStyle name="40% - Accent3 2 2 3 3 2" xfId="13289" xr:uid="{00000000-0005-0000-0000-000004480000}"/>
    <cellStyle name="40% - Accent3 2 2 3 3 2 2" xfId="33812" xr:uid="{00000000-0005-0000-0000-000005480000}"/>
    <cellStyle name="40% - Accent3 2 2 3 3 2 2 2" xfId="16657" xr:uid="{00000000-0005-0000-0000-000006480000}"/>
    <cellStyle name="40% - Accent3 2 2 3 3 2 2 2 2" xfId="13286" xr:uid="{00000000-0005-0000-0000-000007480000}"/>
    <cellStyle name="40% - Accent3 2 2 3 3 2 2 2 2 2" xfId="27068" xr:uid="{00000000-0005-0000-0000-000008480000}"/>
    <cellStyle name="40% - Accent3 2 2 3 3 2 2 2 3" xfId="13285" xr:uid="{00000000-0005-0000-0000-000009480000}"/>
    <cellStyle name="40% - Accent3 2 2 3 3 2 2 3" xfId="13284" xr:uid="{00000000-0005-0000-0000-00000A480000}"/>
    <cellStyle name="40% - Accent3 2 2 3 3 2 2 3 2" xfId="20021" xr:uid="{00000000-0005-0000-0000-00000B480000}"/>
    <cellStyle name="40% - Accent3 2 2 3 3 2 2 4" xfId="13280" xr:uid="{00000000-0005-0000-0000-00000C480000}"/>
    <cellStyle name="40% - Accent3 2 2 3 3 2 3" xfId="30966" xr:uid="{00000000-0005-0000-0000-00000D480000}"/>
    <cellStyle name="40% - Accent3 2 2 3 3 2 3 2" xfId="13277" xr:uid="{00000000-0005-0000-0000-00000E480000}"/>
    <cellStyle name="40% - Accent3 2 2 3 3 2 3 2 2" xfId="13275" xr:uid="{00000000-0005-0000-0000-00000F480000}"/>
    <cellStyle name="40% - Accent3 2 2 3 3 2 3 3" xfId="13274" xr:uid="{00000000-0005-0000-0000-000010480000}"/>
    <cellStyle name="40% - Accent3 2 2 3 3 2 4" xfId="25882" xr:uid="{00000000-0005-0000-0000-000011480000}"/>
    <cellStyle name="40% - Accent3 2 2 3 3 2 4 2" xfId="13271" xr:uid="{00000000-0005-0000-0000-000012480000}"/>
    <cellStyle name="40% - Accent3 2 2 3 3 2 5" xfId="29407" xr:uid="{00000000-0005-0000-0000-000013480000}"/>
    <cellStyle name="40% - Accent3 2 2 3 3 3" xfId="10441" xr:uid="{00000000-0005-0000-0000-000014480000}"/>
    <cellStyle name="40% - Accent3 2 2 3 3 3 2" xfId="33549" xr:uid="{00000000-0005-0000-0000-000015480000}"/>
    <cellStyle name="40% - Accent3 2 2 3 3 3 2 2" xfId="13269" xr:uid="{00000000-0005-0000-0000-000016480000}"/>
    <cellStyle name="40% - Accent3 2 2 3 3 3 2 2 2" xfId="13267" xr:uid="{00000000-0005-0000-0000-000017480000}"/>
    <cellStyle name="40% - Accent3 2 2 3 3 3 2 3" xfId="13266" xr:uid="{00000000-0005-0000-0000-000018480000}"/>
    <cellStyle name="40% - Accent3 2 2 3 3 3 3" xfId="30961" xr:uid="{00000000-0005-0000-0000-000019480000}"/>
    <cellStyle name="40% - Accent3 2 2 3 3 3 3 2" xfId="13264" xr:uid="{00000000-0005-0000-0000-00001A480000}"/>
    <cellStyle name="40% - Accent3 2 2 3 3 3 4" xfId="23746" xr:uid="{00000000-0005-0000-0000-00001B480000}"/>
    <cellStyle name="40% - Accent3 2 2 3 3 4" xfId="13262" xr:uid="{00000000-0005-0000-0000-00001C480000}"/>
    <cellStyle name="40% - Accent3 2 2 3 3 4 2" xfId="31441" xr:uid="{00000000-0005-0000-0000-00001D480000}"/>
    <cellStyle name="40% - Accent3 2 2 3 3 4 2 2" xfId="13261" xr:uid="{00000000-0005-0000-0000-00001E480000}"/>
    <cellStyle name="40% - Accent3 2 2 3 3 4 3" xfId="27718" xr:uid="{00000000-0005-0000-0000-00001F480000}"/>
    <cellStyle name="40% - Accent3 2 2 3 3 5" xfId="13259" xr:uid="{00000000-0005-0000-0000-000020480000}"/>
    <cellStyle name="40% - Accent3 2 2 3 3 5 2" xfId="23297" xr:uid="{00000000-0005-0000-0000-000021480000}"/>
    <cellStyle name="40% - Accent3 2 2 3 3 6" xfId="13256" xr:uid="{00000000-0005-0000-0000-000022480000}"/>
    <cellStyle name="40% - Accent3 2 2 3 4" xfId="24504" xr:uid="{00000000-0005-0000-0000-000023480000}"/>
    <cellStyle name="40% - Accent3 2 2 3 4 2" xfId="9113" xr:uid="{00000000-0005-0000-0000-000024480000}"/>
    <cellStyle name="40% - Accent3 2 2 3 4 2 2" xfId="29851" xr:uid="{00000000-0005-0000-0000-000025480000}"/>
    <cellStyle name="40% - Accent3 2 2 3 4 2 2 2" xfId="5753" xr:uid="{00000000-0005-0000-0000-000026480000}"/>
    <cellStyle name="40% - Accent3 2 2 3 4 2 2 2 2" xfId="34276" xr:uid="{00000000-0005-0000-0000-000027480000}"/>
    <cellStyle name="40% - Accent3 2 2 3 4 2 2 3" xfId="13249" xr:uid="{00000000-0005-0000-0000-000028480000}"/>
    <cellStyle name="40% - Accent3 2 2 3 4 2 3" xfId="31983" xr:uid="{00000000-0005-0000-0000-000029480000}"/>
    <cellStyle name="40% - Accent3 2 2 3 4 2 3 2" xfId="13245" xr:uid="{00000000-0005-0000-0000-00002A480000}"/>
    <cellStyle name="40% - Accent3 2 2 3 4 2 4" xfId="23719" xr:uid="{00000000-0005-0000-0000-00002B480000}"/>
    <cellStyle name="40% - Accent3 2 2 3 4 3" xfId="13240" xr:uid="{00000000-0005-0000-0000-00002C480000}"/>
    <cellStyle name="40% - Accent3 2 2 3 4 3 2" xfId="31901" xr:uid="{00000000-0005-0000-0000-00002D480000}"/>
    <cellStyle name="40% - Accent3 2 2 3 4 3 2 2" xfId="13239" xr:uid="{00000000-0005-0000-0000-00002E480000}"/>
    <cellStyle name="40% - Accent3 2 2 3 4 3 3" xfId="29968" xr:uid="{00000000-0005-0000-0000-00002F480000}"/>
    <cellStyle name="40% - Accent3 2 2 3 4 4" xfId="13232" xr:uid="{00000000-0005-0000-0000-000030480000}"/>
    <cellStyle name="40% - Accent3 2 2 3 4 4 2" xfId="31869" xr:uid="{00000000-0005-0000-0000-000031480000}"/>
    <cellStyle name="40% - Accent3 2 2 3 4 5" xfId="13231" xr:uid="{00000000-0005-0000-0000-000032480000}"/>
    <cellStyle name="40% - Accent3 2 2 3 5" xfId="13629" xr:uid="{00000000-0005-0000-0000-000033480000}"/>
    <cellStyle name="40% - Accent3 2 2 3 5 2" xfId="13228" xr:uid="{00000000-0005-0000-0000-000034480000}"/>
    <cellStyle name="40% - Accent3 2 2 3 5 2 2" xfId="31752" xr:uid="{00000000-0005-0000-0000-000035480000}"/>
    <cellStyle name="40% - Accent3 2 2 3 5 2 2 2" xfId="13227" xr:uid="{00000000-0005-0000-0000-000036480000}"/>
    <cellStyle name="40% - Accent3 2 2 3 5 2 3" xfId="24028" xr:uid="{00000000-0005-0000-0000-000037480000}"/>
    <cellStyle name="40% - Accent3 2 2 3 5 3" xfId="13223" xr:uid="{00000000-0005-0000-0000-000038480000}"/>
    <cellStyle name="40% - Accent3 2 2 3 5 3 2" xfId="32894" xr:uid="{00000000-0005-0000-0000-000039480000}"/>
    <cellStyle name="40% - Accent3 2 2 3 5 4" xfId="13222" xr:uid="{00000000-0005-0000-0000-00003A480000}"/>
    <cellStyle name="40% - Accent3 2 2 3 6" xfId="21835" xr:uid="{00000000-0005-0000-0000-00003B480000}"/>
    <cellStyle name="40% - Accent3 2 2 3 6 2" xfId="33544" xr:uid="{00000000-0005-0000-0000-00003C480000}"/>
    <cellStyle name="40% - Accent3 2 2 3 6 2 2" xfId="31650" xr:uid="{00000000-0005-0000-0000-00003D480000}"/>
    <cellStyle name="40% - Accent3 2 2 3 6 3" xfId="31001" xr:uid="{00000000-0005-0000-0000-00003E480000}"/>
    <cellStyle name="40% - Accent3 2 2 3 7" xfId="21826" xr:uid="{00000000-0005-0000-0000-00003F480000}"/>
    <cellStyle name="40% - Accent3 2 2 3 7 2" xfId="33531" xr:uid="{00000000-0005-0000-0000-000040480000}"/>
    <cellStyle name="40% - Accent3 2 2 3 8" xfId="21819" xr:uid="{00000000-0005-0000-0000-000041480000}"/>
    <cellStyle name="40% - Accent3 2 2 4" xfId="13221" xr:uid="{00000000-0005-0000-0000-000042480000}"/>
    <cellStyle name="40% - Accent3 2 2 4 2" xfId="9109" xr:uid="{00000000-0005-0000-0000-000043480000}"/>
    <cellStyle name="40% - Accent3 2 2 4 2 2" xfId="9106" xr:uid="{00000000-0005-0000-0000-000044480000}"/>
    <cellStyle name="40% - Accent3 2 2 4 2 2 2" xfId="9101" xr:uid="{00000000-0005-0000-0000-000045480000}"/>
    <cellStyle name="40% - Accent3 2 2 4 2 2 2 2" xfId="15496" xr:uid="{00000000-0005-0000-0000-000046480000}"/>
    <cellStyle name="40% - Accent3 2 2 4 2 2 2 2 2" xfId="15994" xr:uid="{00000000-0005-0000-0000-000047480000}"/>
    <cellStyle name="40% - Accent3 2 2 4 2 2 2 2 2 2" xfId="15201" xr:uid="{00000000-0005-0000-0000-000048480000}"/>
    <cellStyle name="40% - Accent3 2 2 4 2 2 2 2 3" xfId="25324" xr:uid="{00000000-0005-0000-0000-000049480000}"/>
    <cellStyle name="40% - Accent3 2 2 4 2 2 2 3" xfId="13210" xr:uid="{00000000-0005-0000-0000-00004A480000}"/>
    <cellStyle name="40% - Accent3 2 2 4 2 2 2 3 2" xfId="15938" xr:uid="{00000000-0005-0000-0000-00004B480000}"/>
    <cellStyle name="40% - Accent3 2 2 4 2 2 2 4" xfId="13207" xr:uid="{00000000-0005-0000-0000-00004C480000}"/>
    <cellStyle name="40% - Accent3 2 2 4 2 2 3" xfId="33409" xr:uid="{00000000-0005-0000-0000-00004D480000}"/>
    <cellStyle name="40% - Accent3 2 2 4 2 2 3 2" xfId="13204" xr:uid="{00000000-0005-0000-0000-00004E480000}"/>
    <cellStyle name="40% - Accent3 2 2 4 2 2 3 2 2" xfId="15814" xr:uid="{00000000-0005-0000-0000-00004F480000}"/>
    <cellStyle name="40% - Accent3 2 2 4 2 2 3 3" xfId="13202" xr:uid="{00000000-0005-0000-0000-000050480000}"/>
    <cellStyle name="40% - Accent3 2 2 4 2 2 4" xfId="22851" xr:uid="{00000000-0005-0000-0000-000051480000}"/>
    <cellStyle name="40% - Accent3 2 2 4 2 2 4 2" xfId="13200" xr:uid="{00000000-0005-0000-0000-000052480000}"/>
    <cellStyle name="40% - Accent3 2 2 4 2 2 5" xfId="21091" xr:uid="{00000000-0005-0000-0000-000053480000}"/>
    <cellStyle name="40% - Accent3 2 2 4 2 3" xfId="13198" xr:uid="{00000000-0005-0000-0000-000054480000}"/>
    <cellStyle name="40% - Accent3 2 2 4 2 3 2" xfId="33365" xr:uid="{00000000-0005-0000-0000-000055480000}"/>
    <cellStyle name="40% - Accent3 2 2 4 2 3 2 2" xfId="13194" xr:uid="{00000000-0005-0000-0000-000056480000}"/>
    <cellStyle name="40% - Accent3 2 2 4 2 3 2 2 2" xfId="14009" xr:uid="{00000000-0005-0000-0000-000057480000}"/>
    <cellStyle name="40% - Accent3 2 2 4 2 3 2 3" xfId="13192" xr:uid="{00000000-0005-0000-0000-000058480000}"/>
    <cellStyle name="40% - Accent3 2 2 4 2 3 3" xfId="33360" xr:uid="{00000000-0005-0000-0000-000059480000}"/>
    <cellStyle name="40% - Accent3 2 2 4 2 3 3 2" xfId="13190" xr:uid="{00000000-0005-0000-0000-00005A480000}"/>
    <cellStyle name="40% - Accent3 2 2 4 2 3 4" xfId="21062" xr:uid="{00000000-0005-0000-0000-00005B480000}"/>
    <cellStyle name="40% - Accent3 2 2 4 2 4" xfId="30754" xr:uid="{00000000-0005-0000-0000-00005C480000}"/>
    <cellStyle name="40% - Accent3 2 2 4 2 4 2" xfId="33145" xr:uid="{00000000-0005-0000-0000-00005D480000}"/>
    <cellStyle name="40% - Accent3 2 2 4 2 4 2 2" xfId="13187" xr:uid="{00000000-0005-0000-0000-00005E480000}"/>
    <cellStyle name="40% - Accent3 2 2 4 2 4 3" xfId="33131" xr:uid="{00000000-0005-0000-0000-00005F480000}"/>
    <cellStyle name="40% - Accent3 2 2 4 2 5" xfId="32631" xr:uid="{00000000-0005-0000-0000-000060480000}"/>
    <cellStyle name="40% - Accent3 2 2 4 2 5 2" xfId="17783" xr:uid="{00000000-0005-0000-0000-000061480000}"/>
    <cellStyle name="40% - Accent3 2 2 4 2 6" xfId="13185" xr:uid="{00000000-0005-0000-0000-000062480000}"/>
    <cellStyle name="40% - Accent3 2 2 4 3" xfId="19586" xr:uid="{00000000-0005-0000-0000-000063480000}"/>
    <cellStyle name="40% - Accent3 2 2 4 3 2" xfId="9098" xr:uid="{00000000-0005-0000-0000-000064480000}"/>
    <cellStyle name="40% - Accent3 2 2 4 3 2 2" xfId="31444" xr:uid="{00000000-0005-0000-0000-000065480000}"/>
    <cellStyle name="40% - Accent3 2 2 4 3 2 2 2" xfId="13181" xr:uid="{00000000-0005-0000-0000-000066480000}"/>
    <cellStyle name="40% - Accent3 2 2 4 3 2 2 2 2" xfId="13179" xr:uid="{00000000-0005-0000-0000-000067480000}"/>
    <cellStyle name="40% - Accent3 2 2 4 3 2 2 3" xfId="13177" xr:uid="{00000000-0005-0000-0000-000068480000}"/>
    <cellStyle name="40% - Accent3 2 2 4 3 2 3" xfId="30937" xr:uid="{00000000-0005-0000-0000-000069480000}"/>
    <cellStyle name="40% - Accent3 2 2 4 3 2 3 2" xfId="13175" xr:uid="{00000000-0005-0000-0000-00006A480000}"/>
    <cellStyle name="40% - Accent3 2 2 4 3 2 4" xfId="22941" xr:uid="{00000000-0005-0000-0000-00006B480000}"/>
    <cellStyle name="40% - Accent3 2 2 4 3 3" xfId="13741" xr:uid="{00000000-0005-0000-0000-00006C480000}"/>
    <cellStyle name="40% - Accent3 2 2 4 3 3 2" xfId="33382" xr:uid="{00000000-0005-0000-0000-00006D480000}"/>
    <cellStyle name="40% - Accent3 2 2 4 3 3 2 2" xfId="13174" xr:uid="{00000000-0005-0000-0000-00006E480000}"/>
    <cellStyle name="40% - Accent3 2 2 4 3 3 3" xfId="30920" xr:uid="{00000000-0005-0000-0000-00006F480000}"/>
    <cellStyle name="40% - Accent3 2 2 4 3 4" xfId="6608" xr:uid="{00000000-0005-0000-0000-000070480000}"/>
    <cellStyle name="40% - Accent3 2 2 4 3 4 2" xfId="33030" xr:uid="{00000000-0005-0000-0000-000071480000}"/>
    <cellStyle name="40% - Accent3 2 2 4 3 5" xfId="13171" xr:uid="{00000000-0005-0000-0000-000072480000}"/>
    <cellStyle name="40% - Accent3 2 2 4 4" xfId="13168" xr:uid="{00000000-0005-0000-0000-000073480000}"/>
    <cellStyle name="40% - Accent3 2 2 4 4 2" xfId="13165" xr:uid="{00000000-0005-0000-0000-000074480000}"/>
    <cellStyle name="40% - Accent3 2 2 4 4 2 2" xfId="24531" xr:uid="{00000000-0005-0000-0000-000075480000}"/>
    <cellStyle name="40% - Accent3 2 2 4 4 2 2 2" xfId="13164" xr:uid="{00000000-0005-0000-0000-000076480000}"/>
    <cellStyle name="40% - Accent3 2 2 4 4 2 3" xfId="22374" xr:uid="{00000000-0005-0000-0000-000077480000}"/>
    <cellStyle name="40% - Accent3 2 2 4 4 3" xfId="13161" xr:uid="{00000000-0005-0000-0000-000078480000}"/>
    <cellStyle name="40% - Accent3 2 2 4 4 3 2" xfId="33200" xr:uid="{00000000-0005-0000-0000-000079480000}"/>
    <cellStyle name="40% - Accent3 2 2 4 4 4" xfId="13160" xr:uid="{00000000-0005-0000-0000-00007A480000}"/>
    <cellStyle name="40% - Accent3 2 2 4 5" xfId="13600" xr:uid="{00000000-0005-0000-0000-00007B480000}"/>
    <cellStyle name="40% - Accent3 2 2 4 5 2" xfId="13159" xr:uid="{00000000-0005-0000-0000-00007C480000}"/>
    <cellStyle name="40% - Accent3 2 2 4 5 2 2" xfId="31422" xr:uid="{00000000-0005-0000-0000-00007D480000}"/>
    <cellStyle name="40% - Accent3 2 2 4 5 3" xfId="13158" xr:uid="{00000000-0005-0000-0000-00007E480000}"/>
    <cellStyle name="40% - Accent3 2 2 4 6" xfId="34289" xr:uid="{00000000-0005-0000-0000-00007F480000}"/>
    <cellStyle name="40% - Accent3 2 2 4 6 2" xfId="31861" xr:uid="{00000000-0005-0000-0000-000080480000}"/>
    <cellStyle name="40% - Accent3 2 2 4 7" xfId="21777" xr:uid="{00000000-0005-0000-0000-000081480000}"/>
    <cellStyle name="40% - Accent3 2 2 5" xfId="19102" xr:uid="{00000000-0005-0000-0000-000082480000}"/>
    <cellStyle name="40% - Accent3 2 2 5 2" xfId="9093" xr:uid="{00000000-0005-0000-0000-000083480000}"/>
    <cellStyle name="40% - Accent3 2 2 5 2 2" xfId="9088" xr:uid="{00000000-0005-0000-0000-000084480000}"/>
    <cellStyle name="40% - Accent3 2 2 5 2 2 2" xfId="33167" xr:uid="{00000000-0005-0000-0000-000085480000}"/>
    <cellStyle name="40% - Accent3 2 2 5 2 2 2 2" xfId="33842" xr:uid="{00000000-0005-0000-0000-000086480000}"/>
    <cellStyle name="40% - Accent3 2 2 5 2 2 2 2 2" xfId="29374" xr:uid="{00000000-0005-0000-0000-000087480000}"/>
    <cellStyle name="40% - Accent3 2 2 5 2 2 2 3" xfId="13153" xr:uid="{00000000-0005-0000-0000-000088480000}"/>
    <cellStyle name="40% - Accent3 2 2 5 2 2 3" xfId="27806" xr:uid="{00000000-0005-0000-0000-000089480000}"/>
    <cellStyle name="40% - Accent3 2 2 5 2 2 3 2" xfId="13151" xr:uid="{00000000-0005-0000-0000-00008A480000}"/>
    <cellStyle name="40% - Accent3 2 2 5 2 2 4" xfId="20922" xr:uid="{00000000-0005-0000-0000-00008B480000}"/>
    <cellStyle name="40% - Accent3 2 2 5 2 3" xfId="29549" xr:uid="{00000000-0005-0000-0000-00008C480000}"/>
    <cellStyle name="40% - Accent3 2 2 5 2 3 2" xfId="33473" xr:uid="{00000000-0005-0000-0000-00008D480000}"/>
    <cellStyle name="40% - Accent3 2 2 5 2 3 2 2" xfId="13149" xr:uid="{00000000-0005-0000-0000-00008E480000}"/>
    <cellStyle name="40% - Accent3 2 2 5 2 3 3" xfId="27783" xr:uid="{00000000-0005-0000-0000-00008F480000}"/>
    <cellStyle name="40% - Accent3 2 2 5 2 4" xfId="30730" xr:uid="{00000000-0005-0000-0000-000090480000}"/>
    <cellStyle name="40% - Accent3 2 2 5 2 4 2" xfId="33095" xr:uid="{00000000-0005-0000-0000-000091480000}"/>
    <cellStyle name="40% - Accent3 2 2 5 2 5" xfId="33266" xr:uid="{00000000-0005-0000-0000-000092480000}"/>
    <cellStyle name="40% - Accent3 2 2 5 3" xfId="13147" xr:uid="{00000000-0005-0000-0000-000093480000}"/>
    <cellStyle name="40% - Accent3 2 2 5 3 2" xfId="13142" xr:uid="{00000000-0005-0000-0000-000094480000}"/>
    <cellStyle name="40% - Accent3 2 2 5 3 2 2" xfId="6470" xr:uid="{00000000-0005-0000-0000-000095480000}"/>
    <cellStyle name="40% - Accent3 2 2 5 3 2 2 2" xfId="13141" xr:uid="{00000000-0005-0000-0000-000096480000}"/>
    <cellStyle name="40% - Accent3 2 2 5 3 2 3" xfId="6366" xr:uid="{00000000-0005-0000-0000-000097480000}"/>
    <cellStyle name="40% - Accent3 2 2 5 3 3" xfId="13139" xr:uid="{00000000-0005-0000-0000-000098480000}"/>
    <cellStyle name="40% - Accent3 2 2 5 3 3 2" xfId="5526" xr:uid="{00000000-0005-0000-0000-000099480000}"/>
    <cellStyle name="40% - Accent3 2 2 5 3 4" xfId="13137" xr:uid="{00000000-0005-0000-0000-00009A480000}"/>
    <cellStyle name="40% - Accent3 2 2 5 4" xfId="13132" xr:uid="{00000000-0005-0000-0000-00009B480000}"/>
    <cellStyle name="40% - Accent3 2 2 5 4 2" xfId="13131" xr:uid="{00000000-0005-0000-0000-00009C480000}"/>
    <cellStyle name="40% - Accent3 2 2 5 4 2 2" xfId="32556" xr:uid="{00000000-0005-0000-0000-00009D480000}"/>
    <cellStyle name="40% - Accent3 2 2 5 4 3" xfId="13130" xr:uid="{00000000-0005-0000-0000-00009E480000}"/>
    <cellStyle name="40% - Accent3 2 2 5 5" xfId="13592" xr:uid="{00000000-0005-0000-0000-00009F480000}"/>
    <cellStyle name="40% - Accent3 2 2 5 5 2" xfId="13128" xr:uid="{00000000-0005-0000-0000-0000A0480000}"/>
    <cellStyle name="40% - Accent3 2 2 5 6" xfId="21753" xr:uid="{00000000-0005-0000-0000-0000A1480000}"/>
    <cellStyle name="40% - Accent3 2 2 6" xfId="9085" xr:uid="{00000000-0005-0000-0000-0000A2480000}"/>
    <cellStyle name="40% - Accent3 2 2 6 2" xfId="13127" xr:uid="{00000000-0005-0000-0000-0000A3480000}"/>
    <cellStyle name="40% - Accent3 2 2 6 2 2" xfId="13122" xr:uid="{00000000-0005-0000-0000-0000A4480000}"/>
    <cellStyle name="40% - Accent3 2 2 6 2 2 2" xfId="29061" xr:uid="{00000000-0005-0000-0000-0000A5480000}"/>
    <cellStyle name="40% - Accent3 2 2 6 2 2 2 2" xfId="15595" xr:uid="{00000000-0005-0000-0000-0000A6480000}"/>
    <cellStyle name="40% - Accent3 2 2 6 2 2 3" xfId="34143" xr:uid="{00000000-0005-0000-0000-0000A7480000}"/>
    <cellStyle name="40% - Accent3 2 2 6 2 3" xfId="8767" xr:uid="{00000000-0005-0000-0000-0000A8480000}"/>
    <cellStyle name="40% - Accent3 2 2 6 2 3 2" xfId="32932" xr:uid="{00000000-0005-0000-0000-0000A9480000}"/>
    <cellStyle name="40% - Accent3 2 2 6 2 4" xfId="13120" xr:uid="{00000000-0005-0000-0000-0000AA480000}"/>
    <cellStyle name="40% - Accent3 2 2 6 3" xfId="13117" xr:uid="{00000000-0005-0000-0000-0000AB480000}"/>
    <cellStyle name="40% - Accent3 2 2 6 3 2" xfId="13115" xr:uid="{00000000-0005-0000-0000-0000AC480000}"/>
    <cellStyle name="40% - Accent3 2 2 6 3 2 2" xfId="33508" xr:uid="{00000000-0005-0000-0000-0000AD480000}"/>
    <cellStyle name="40% - Accent3 2 2 6 3 3" xfId="13113" xr:uid="{00000000-0005-0000-0000-0000AE480000}"/>
    <cellStyle name="40% - Accent3 2 2 6 4" xfId="13111" xr:uid="{00000000-0005-0000-0000-0000AF480000}"/>
    <cellStyle name="40% - Accent3 2 2 6 4 2" xfId="13109" xr:uid="{00000000-0005-0000-0000-0000B0480000}"/>
    <cellStyle name="40% - Accent3 2 2 6 5" xfId="13589" xr:uid="{00000000-0005-0000-0000-0000B1480000}"/>
    <cellStyle name="40% - Accent3 2 2 7" xfId="9081" xr:uid="{00000000-0005-0000-0000-0000B2480000}"/>
    <cellStyle name="40% - Accent3 2 2 7 2" xfId="23293" xr:uid="{00000000-0005-0000-0000-0000B3480000}"/>
    <cellStyle name="40% - Accent3 2 2 7 2 2" xfId="18335" xr:uid="{00000000-0005-0000-0000-0000B4480000}"/>
    <cellStyle name="40% - Accent3 2 2 7 2 2 2" xfId="33704" xr:uid="{00000000-0005-0000-0000-0000B5480000}"/>
    <cellStyle name="40% - Accent3 2 2 7 2 3" xfId="18332" xr:uid="{00000000-0005-0000-0000-0000B6480000}"/>
    <cellStyle name="40% - Accent3 2 2 7 3" xfId="18330" xr:uid="{00000000-0005-0000-0000-0000B7480000}"/>
    <cellStyle name="40% - Accent3 2 2 7 3 2" xfId="18327" xr:uid="{00000000-0005-0000-0000-0000B8480000}"/>
    <cellStyle name="40% - Accent3 2 2 7 4" xfId="22843" xr:uid="{00000000-0005-0000-0000-0000B9480000}"/>
    <cellStyle name="40% - Accent3 2 2 8" xfId="18324" xr:uid="{00000000-0005-0000-0000-0000BA480000}"/>
    <cellStyle name="40% - Accent3 2 2 8 2" xfId="18322" xr:uid="{00000000-0005-0000-0000-0000BB480000}"/>
    <cellStyle name="40% - Accent3 2 2 8 2 2" xfId="18320" xr:uid="{00000000-0005-0000-0000-0000BC480000}"/>
    <cellStyle name="40% - Accent3 2 2 8 3" xfId="18319" xr:uid="{00000000-0005-0000-0000-0000BD480000}"/>
    <cellStyle name="40% - Accent3 2 2 9" xfId="18314" xr:uid="{00000000-0005-0000-0000-0000BE480000}"/>
    <cellStyle name="40% - Accent3 2 2 9 2" xfId="22896" xr:uid="{00000000-0005-0000-0000-0000BF480000}"/>
    <cellStyle name="40% - Accent3 2 3" xfId="207" xr:uid="{00000000-0005-0000-0000-0000C0480000}"/>
    <cellStyle name="40% - Accent3 2 3 10" xfId="34540" xr:uid="{00000000-0005-0000-0000-0000C1480000}"/>
    <cellStyle name="40% - Accent3 2 3 11" xfId="13108" xr:uid="{00000000-0005-0000-0000-0000C2480000}"/>
    <cellStyle name="40% - Accent3 2 3 2" xfId="9074" xr:uid="{00000000-0005-0000-0000-0000C3480000}"/>
    <cellStyle name="40% - Accent3 2 3 2 2" xfId="9071" xr:uid="{00000000-0005-0000-0000-0000C4480000}"/>
    <cellStyle name="40% - Accent3 2 3 2 2 2" xfId="17631" xr:uid="{00000000-0005-0000-0000-0000C5480000}"/>
    <cellStyle name="40% - Accent3 2 3 2 2 2 2" xfId="28055" xr:uid="{00000000-0005-0000-0000-0000C6480000}"/>
    <cellStyle name="40% - Accent3 2 3 2 2 2 2 2" xfId="13106" xr:uid="{00000000-0005-0000-0000-0000C7480000}"/>
    <cellStyle name="40% - Accent3 2 3 2 2 2 2 2 2" xfId="13272" xr:uid="{00000000-0005-0000-0000-0000C8480000}"/>
    <cellStyle name="40% - Accent3 2 3 2 2 2 2 2 2 2" xfId="32178" xr:uid="{00000000-0005-0000-0000-0000C9480000}"/>
    <cellStyle name="40% - Accent3 2 3 2 2 2 2 2 2 2 2" xfId="13105" xr:uid="{00000000-0005-0000-0000-0000CA480000}"/>
    <cellStyle name="40% - Accent3 2 3 2 2 2 2 2 2 3" xfId="30569" xr:uid="{00000000-0005-0000-0000-0000CB480000}"/>
    <cellStyle name="40% - Accent3 2 3 2 2 2 2 2 3" xfId="9978" xr:uid="{00000000-0005-0000-0000-0000CC480000}"/>
    <cellStyle name="40% - Accent3 2 3 2 2 2 2 2 3 2" xfId="31747" xr:uid="{00000000-0005-0000-0000-0000CD480000}"/>
    <cellStyle name="40% - Accent3 2 3 2 2 2 2 2 4" xfId="25594" xr:uid="{00000000-0005-0000-0000-0000CE480000}"/>
    <cellStyle name="40% - Accent3 2 3 2 2 2 2 3" xfId="13104" xr:uid="{00000000-0005-0000-0000-0000CF480000}"/>
    <cellStyle name="40% - Accent3 2 3 2 2 2 2 3 2" xfId="11671" xr:uid="{00000000-0005-0000-0000-0000D0480000}"/>
    <cellStyle name="40% - Accent3 2 3 2 2 2 2 3 2 2" xfId="29690" xr:uid="{00000000-0005-0000-0000-0000D1480000}"/>
    <cellStyle name="40% - Accent3 2 3 2 2 2 2 3 3" xfId="25500" xr:uid="{00000000-0005-0000-0000-0000D2480000}"/>
    <cellStyle name="40% - Accent3 2 3 2 2 2 2 4" xfId="13103" xr:uid="{00000000-0005-0000-0000-0000D3480000}"/>
    <cellStyle name="40% - Accent3 2 3 2 2 2 2 4 2" xfId="26722" xr:uid="{00000000-0005-0000-0000-0000D4480000}"/>
    <cellStyle name="40% - Accent3 2 3 2 2 2 2 5" xfId="13099" xr:uid="{00000000-0005-0000-0000-0000D5480000}"/>
    <cellStyle name="40% - Accent3 2 3 2 2 2 3" xfId="31848" xr:uid="{00000000-0005-0000-0000-0000D6480000}"/>
    <cellStyle name="40% - Accent3 2 3 2 2 2 3 2" xfId="13096" xr:uid="{00000000-0005-0000-0000-0000D7480000}"/>
    <cellStyle name="40% - Accent3 2 3 2 2 2 3 2 2" xfId="9725" xr:uid="{00000000-0005-0000-0000-0000D8480000}"/>
    <cellStyle name="40% - Accent3 2 3 2 2 2 3 2 2 2" xfId="33945" xr:uid="{00000000-0005-0000-0000-0000D9480000}"/>
    <cellStyle name="40% - Accent3 2 3 2 2 2 3 2 3" xfId="25290" xr:uid="{00000000-0005-0000-0000-0000DA480000}"/>
    <cellStyle name="40% - Accent3 2 3 2 2 2 3 3" xfId="13095" xr:uid="{00000000-0005-0000-0000-0000DB480000}"/>
    <cellStyle name="40% - Accent3 2 3 2 2 2 3 3 2" xfId="33319" xr:uid="{00000000-0005-0000-0000-0000DC480000}"/>
    <cellStyle name="40% - Accent3 2 3 2 2 2 3 4" xfId="22955" xr:uid="{00000000-0005-0000-0000-0000DD480000}"/>
    <cellStyle name="40% - Accent3 2 3 2 2 2 4" xfId="33762" xr:uid="{00000000-0005-0000-0000-0000DE480000}"/>
    <cellStyle name="40% - Accent3 2 3 2 2 2 4 2" xfId="13093" xr:uid="{00000000-0005-0000-0000-0000DF480000}"/>
    <cellStyle name="40% - Accent3 2 3 2 2 2 4 2 2" xfId="32790" xr:uid="{00000000-0005-0000-0000-0000E0480000}"/>
    <cellStyle name="40% - Accent3 2 3 2 2 2 4 3" xfId="13091" xr:uid="{00000000-0005-0000-0000-0000E1480000}"/>
    <cellStyle name="40% - Accent3 2 3 2 2 2 5" xfId="13365" xr:uid="{00000000-0005-0000-0000-0000E2480000}"/>
    <cellStyle name="40% - Accent3 2 3 2 2 2 5 2" xfId="13089" xr:uid="{00000000-0005-0000-0000-0000E3480000}"/>
    <cellStyle name="40% - Accent3 2 3 2 2 2 6" xfId="13088" xr:uid="{00000000-0005-0000-0000-0000E4480000}"/>
    <cellStyle name="40% - Accent3 2 3 2 2 3" xfId="13086" xr:uid="{00000000-0005-0000-0000-0000E5480000}"/>
    <cellStyle name="40% - Accent3 2 3 2 2 3 2" xfId="29619" xr:uid="{00000000-0005-0000-0000-0000E6480000}"/>
    <cellStyle name="40% - Accent3 2 3 2 2 3 2 2" xfId="13084" xr:uid="{00000000-0005-0000-0000-0000E7480000}"/>
    <cellStyle name="40% - Accent3 2 3 2 2 3 2 2 2" xfId="11373" xr:uid="{00000000-0005-0000-0000-0000E8480000}"/>
    <cellStyle name="40% - Accent3 2 3 2 2 3 2 2 2 2" xfId="13081" xr:uid="{00000000-0005-0000-0000-0000E9480000}"/>
    <cellStyle name="40% - Accent3 2 3 2 2 3 2 2 3" xfId="22773" xr:uid="{00000000-0005-0000-0000-0000EA480000}"/>
    <cellStyle name="40% - Accent3 2 3 2 2 3 2 3" xfId="13078" xr:uid="{00000000-0005-0000-0000-0000EB480000}"/>
    <cellStyle name="40% - Accent3 2 3 2 2 3 2 3 2" xfId="22700" xr:uid="{00000000-0005-0000-0000-0000EC480000}"/>
    <cellStyle name="40% - Accent3 2 3 2 2 3 2 4" xfId="13077" xr:uid="{00000000-0005-0000-0000-0000ED480000}"/>
    <cellStyle name="40% - Accent3 2 3 2 2 3 3" xfId="34005" xr:uid="{00000000-0005-0000-0000-0000EE480000}"/>
    <cellStyle name="40% - Accent3 2 3 2 2 3 3 2" xfId="13073" xr:uid="{00000000-0005-0000-0000-0000EF480000}"/>
    <cellStyle name="40% - Accent3 2 3 2 2 3 3 2 2" xfId="22584" xr:uid="{00000000-0005-0000-0000-0000F0480000}"/>
    <cellStyle name="40% - Accent3 2 3 2 2 3 3 3" xfId="13072" xr:uid="{00000000-0005-0000-0000-0000F1480000}"/>
    <cellStyle name="40% - Accent3 2 3 2 2 3 4" xfId="13071" xr:uid="{00000000-0005-0000-0000-0000F2480000}"/>
    <cellStyle name="40% - Accent3 2 3 2 2 3 4 2" xfId="13070" xr:uid="{00000000-0005-0000-0000-0000F3480000}"/>
    <cellStyle name="40% - Accent3 2 3 2 2 3 5" xfId="13069" xr:uid="{00000000-0005-0000-0000-0000F4480000}"/>
    <cellStyle name="40% - Accent3 2 3 2 2 4" xfId="10380" xr:uid="{00000000-0005-0000-0000-0000F5480000}"/>
    <cellStyle name="40% - Accent3 2 3 2 2 4 2" xfId="32349" xr:uid="{00000000-0005-0000-0000-0000F6480000}"/>
    <cellStyle name="40% - Accent3 2 3 2 2 4 2 2" xfId="13064" xr:uid="{00000000-0005-0000-0000-0000F7480000}"/>
    <cellStyle name="40% - Accent3 2 3 2 2 4 2 2 2" xfId="22429" xr:uid="{00000000-0005-0000-0000-0000F8480000}"/>
    <cellStyle name="40% - Accent3 2 3 2 2 4 2 3" xfId="13063" xr:uid="{00000000-0005-0000-0000-0000F9480000}"/>
    <cellStyle name="40% - Accent3 2 3 2 2 4 3" xfId="32018" xr:uid="{00000000-0005-0000-0000-0000FA480000}"/>
    <cellStyle name="40% - Accent3 2 3 2 2 4 3 2" xfId="13062" xr:uid="{00000000-0005-0000-0000-0000FB480000}"/>
    <cellStyle name="40% - Accent3 2 3 2 2 4 4" xfId="13016" xr:uid="{00000000-0005-0000-0000-0000FC480000}"/>
    <cellStyle name="40% - Accent3 2 3 2 2 5" xfId="13061" xr:uid="{00000000-0005-0000-0000-0000FD480000}"/>
    <cellStyle name="40% - Accent3 2 3 2 2 5 2" xfId="13057" xr:uid="{00000000-0005-0000-0000-0000FE480000}"/>
    <cellStyle name="40% - Accent3 2 3 2 2 5 2 2" xfId="13055" xr:uid="{00000000-0005-0000-0000-0000FF480000}"/>
    <cellStyle name="40% - Accent3 2 3 2 2 5 3" xfId="13054" xr:uid="{00000000-0005-0000-0000-000000490000}"/>
    <cellStyle name="40% - Accent3 2 3 2 2 6" xfId="5339" xr:uid="{00000000-0005-0000-0000-000001490000}"/>
    <cellStyle name="40% - Accent3 2 3 2 2 6 2" xfId="5336" xr:uid="{00000000-0005-0000-0000-000002490000}"/>
    <cellStyle name="40% - Accent3 2 3 2 2 7" xfId="5332" xr:uid="{00000000-0005-0000-0000-000003490000}"/>
    <cellStyle name="40% - Accent3 2 3 2 3" xfId="13053" xr:uid="{00000000-0005-0000-0000-000004490000}"/>
    <cellStyle name="40% - Accent3 2 3 2 3 2" xfId="13050" xr:uid="{00000000-0005-0000-0000-000005490000}"/>
    <cellStyle name="40% - Accent3 2 3 2 3 2 2" xfId="29646" xr:uid="{00000000-0005-0000-0000-000006490000}"/>
    <cellStyle name="40% - Accent3 2 3 2 3 2 2 2" xfId="13047" xr:uid="{00000000-0005-0000-0000-000007490000}"/>
    <cellStyle name="40% - Accent3 2 3 2 3 2 2 2 2" xfId="7759" xr:uid="{00000000-0005-0000-0000-000008490000}"/>
    <cellStyle name="40% - Accent3 2 3 2 3 2 2 2 2 2" xfId="16988" xr:uid="{00000000-0005-0000-0000-000009490000}"/>
    <cellStyle name="40% - Accent3 2 3 2 3 2 2 2 3" xfId="7757" xr:uid="{00000000-0005-0000-0000-00000A490000}"/>
    <cellStyle name="40% - Accent3 2 3 2 3 2 2 3" xfId="13046" xr:uid="{00000000-0005-0000-0000-00000B490000}"/>
    <cellStyle name="40% - Accent3 2 3 2 3 2 2 3 2" xfId="7737" xr:uid="{00000000-0005-0000-0000-00000C490000}"/>
    <cellStyle name="40% - Accent3 2 3 2 3 2 2 4" xfId="13043" xr:uid="{00000000-0005-0000-0000-00000D490000}"/>
    <cellStyle name="40% - Accent3 2 3 2 3 2 3" xfId="27691" xr:uid="{00000000-0005-0000-0000-00000E490000}"/>
    <cellStyle name="40% - Accent3 2 3 2 3 2 3 2" xfId="13038" xr:uid="{00000000-0005-0000-0000-00000F490000}"/>
    <cellStyle name="40% - Accent3 2 3 2 3 2 3 2 2" xfId="7668" xr:uid="{00000000-0005-0000-0000-000010490000}"/>
    <cellStyle name="40% - Accent3 2 3 2 3 2 3 3" xfId="13036" xr:uid="{00000000-0005-0000-0000-000011490000}"/>
    <cellStyle name="40% - Accent3 2 3 2 3 2 4" xfId="13035" xr:uid="{00000000-0005-0000-0000-000012490000}"/>
    <cellStyle name="40% - Accent3 2 3 2 3 2 4 2" xfId="13031" xr:uid="{00000000-0005-0000-0000-000013490000}"/>
    <cellStyle name="40% - Accent3 2 3 2 3 2 5" xfId="13029" xr:uid="{00000000-0005-0000-0000-000014490000}"/>
    <cellStyle name="40% - Accent3 2 3 2 3 3" xfId="10371" xr:uid="{00000000-0005-0000-0000-000015490000}"/>
    <cellStyle name="40% - Accent3 2 3 2 3 3 2" xfId="34226" xr:uid="{00000000-0005-0000-0000-000016490000}"/>
    <cellStyle name="40% - Accent3 2 3 2 3 3 2 2" xfId="13027" xr:uid="{00000000-0005-0000-0000-000017490000}"/>
    <cellStyle name="40% - Accent3 2 3 2 3 3 2 2 2" xfId="10107" xr:uid="{00000000-0005-0000-0000-000018490000}"/>
    <cellStyle name="40% - Accent3 2 3 2 3 3 2 3" xfId="13026" xr:uid="{00000000-0005-0000-0000-000019490000}"/>
    <cellStyle name="40% - Accent3 2 3 2 3 3 3" xfId="13025" xr:uid="{00000000-0005-0000-0000-00001A490000}"/>
    <cellStyle name="40% - Accent3 2 3 2 3 3 3 2" xfId="13023" xr:uid="{00000000-0005-0000-0000-00001B490000}"/>
    <cellStyle name="40% - Accent3 2 3 2 3 3 4" xfId="13022" xr:uid="{00000000-0005-0000-0000-00001C490000}"/>
    <cellStyle name="40% - Accent3 2 3 2 3 4" xfId="13020" xr:uid="{00000000-0005-0000-0000-00001D490000}"/>
    <cellStyle name="40% - Accent3 2 3 2 3 4 2" xfId="13018" xr:uid="{00000000-0005-0000-0000-00001E490000}"/>
    <cellStyle name="40% - Accent3 2 3 2 3 4 2 2" xfId="13017" xr:uid="{00000000-0005-0000-0000-00001F490000}"/>
    <cellStyle name="40% - Accent3 2 3 2 3 4 3" xfId="13015" xr:uid="{00000000-0005-0000-0000-000020490000}"/>
    <cellStyle name="40% - Accent3 2 3 2 3 5" xfId="13013" xr:uid="{00000000-0005-0000-0000-000021490000}"/>
    <cellStyle name="40% - Accent3 2 3 2 3 5 2" xfId="13012" xr:uid="{00000000-0005-0000-0000-000022490000}"/>
    <cellStyle name="40% - Accent3 2 3 2 3 6" xfId="8086" xr:uid="{00000000-0005-0000-0000-000023490000}"/>
    <cellStyle name="40% - Accent3 2 3 2 4" xfId="25458" xr:uid="{00000000-0005-0000-0000-000024490000}"/>
    <cellStyle name="40% - Accent3 2 3 2 4 2" xfId="9065" xr:uid="{00000000-0005-0000-0000-000025490000}"/>
    <cellStyle name="40% - Accent3 2 3 2 4 2 2" xfId="28456" xr:uid="{00000000-0005-0000-0000-000026490000}"/>
    <cellStyle name="40% - Accent3 2 3 2 4 2 2 2" xfId="13011" xr:uid="{00000000-0005-0000-0000-000027490000}"/>
    <cellStyle name="40% - Accent3 2 3 2 4 2 2 2 2" xfId="9277" xr:uid="{00000000-0005-0000-0000-000028490000}"/>
    <cellStyle name="40% - Accent3 2 3 2 4 2 2 3" xfId="13010" xr:uid="{00000000-0005-0000-0000-000029490000}"/>
    <cellStyle name="40% - Accent3 2 3 2 4 2 3" xfId="13008" xr:uid="{00000000-0005-0000-0000-00002A490000}"/>
    <cellStyle name="40% - Accent3 2 3 2 4 2 3 2" xfId="13006" xr:uid="{00000000-0005-0000-0000-00002B490000}"/>
    <cellStyle name="40% - Accent3 2 3 2 4 2 4" xfId="13005" xr:uid="{00000000-0005-0000-0000-00002C490000}"/>
    <cellStyle name="40% - Accent3 2 3 2 4 3" xfId="29367" xr:uid="{00000000-0005-0000-0000-00002D490000}"/>
    <cellStyle name="40% - Accent3 2 3 2 4 3 2" xfId="13003" xr:uid="{00000000-0005-0000-0000-00002E490000}"/>
    <cellStyle name="40% - Accent3 2 3 2 4 3 2 2" xfId="13002" xr:uid="{00000000-0005-0000-0000-00002F490000}"/>
    <cellStyle name="40% - Accent3 2 3 2 4 3 3" xfId="13001" xr:uid="{00000000-0005-0000-0000-000030490000}"/>
    <cellStyle name="40% - Accent3 2 3 2 4 4" xfId="29360" xr:uid="{00000000-0005-0000-0000-000031490000}"/>
    <cellStyle name="40% - Accent3 2 3 2 4 4 2" xfId="12999" xr:uid="{00000000-0005-0000-0000-000032490000}"/>
    <cellStyle name="40% - Accent3 2 3 2 4 5" xfId="12998" xr:uid="{00000000-0005-0000-0000-000033490000}"/>
    <cellStyle name="40% - Accent3 2 3 2 5" xfId="13586" xr:uid="{00000000-0005-0000-0000-000034490000}"/>
    <cellStyle name="40% - Accent3 2 3 2 5 2" xfId="32239" xr:uid="{00000000-0005-0000-0000-000035490000}"/>
    <cellStyle name="40% - Accent3 2 3 2 5 2 2" xfId="12997" xr:uid="{00000000-0005-0000-0000-000036490000}"/>
    <cellStyle name="40% - Accent3 2 3 2 5 2 2 2" xfId="12996" xr:uid="{00000000-0005-0000-0000-000037490000}"/>
    <cellStyle name="40% - Accent3 2 3 2 5 2 3" xfId="12995" xr:uid="{00000000-0005-0000-0000-000038490000}"/>
    <cellStyle name="40% - Accent3 2 3 2 5 3" xfId="33917" xr:uid="{00000000-0005-0000-0000-000039490000}"/>
    <cellStyle name="40% - Accent3 2 3 2 5 3 2" xfId="12993" xr:uid="{00000000-0005-0000-0000-00003A490000}"/>
    <cellStyle name="40% - Accent3 2 3 2 5 4" xfId="12992" xr:uid="{00000000-0005-0000-0000-00003B490000}"/>
    <cellStyle name="40% - Accent3 2 3 2 6" xfId="18609" xr:uid="{00000000-0005-0000-0000-00003C490000}"/>
    <cellStyle name="40% - Accent3 2 3 2 6 2" xfId="18606" xr:uid="{00000000-0005-0000-0000-00003D490000}"/>
    <cellStyle name="40% - Accent3 2 3 2 6 2 2" xfId="20652" xr:uid="{00000000-0005-0000-0000-00003E490000}"/>
    <cellStyle name="40% - Accent3 2 3 2 6 3" xfId="18604" xr:uid="{00000000-0005-0000-0000-00003F490000}"/>
    <cellStyle name="40% - Accent3 2 3 2 7" xfId="18599" xr:uid="{00000000-0005-0000-0000-000040490000}"/>
    <cellStyle name="40% - Accent3 2 3 2 7 2" xfId="32004" xr:uid="{00000000-0005-0000-0000-000041490000}"/>
    <cellStyle name="40% - Accent3 2 3 2 8" xfId="18596" xr:uid="{00000000-0005-0000-0000-000042490000}"/>
    <cellStyle name="40% - Accent3 2 3 3" xfId="12991" xr:uid="{00000000-0005-0000-0000-000043490000}"/>
    <cellStyle name="40% - Accent3 2 3 3 2" xfId="9061" xr:uid="{00000000-0005-0000-0000-000044490000}"/>
    <cellStyle name="40% - Accent3 2 3 3 2 2" xfId="17517" xr:uid="{00000000-0005-0000-0000-000045490000}"/>
    <cellStyle name="40% - Accent3 2 3 3 2 2 2" xfId="23466" xr:uid="{00000000-0005-0000-0000-000046490000}"/>
    <cellStyle name="40% - Accent3 2 3 3 2 2 2 2" xfId="17424" xr:uid="{00000000-0005-0000-0000-000047490000}"/>
    <cellStyle name="40% - Accent3 2 3 3 2 2 2 2 2" xfId="22652" xr:uid="{00000000-0005-0000-0000-000048490000}"/>
    <cellStyle name="40% - Accent3 2 3 3 2 2 2 2 2 2" xfId="12989" xr:uid="{00000000-0005-0000-0000-000049490000}"/>
    <cellStyle name="40% - Accent3 2 3 3 2 2 2 2 3" xfId="19651" xr:uid="{00000000-0005-0000-0000-00004A490000}"/>
    <cellStyle name="40% - Accent3 2 3 3 2 2 2 3" xfId="27922" xr:uid="{00000000-0005-0000-0000-00004B490000}"/>
    <cellStyle name="40% - Accent3 2 3 3 2 2 2 3 2" xfId="19646" xr:uid="{00000000-0005-0000-0000-00004C490000}"/>
    <cellStyle name="40% - Accent3 2 3 3 2 2 2 4" xfId="12988" xr:uid="{00000000-0005-0000-0000-00004D490000}"/>
    <cellStyle name="40% - Accent3 2 3 3 2 2 3" xfId="32748" xr:uid="{00000000-0005-0000-0000-00004E490000}"/>
    <cellStyle name="40% - Accent3 2 3 3 2 2 3 2" xfId="12983" xr:uid="{00000000-0005-0000-0000-00004F490000}"/>
    <cellStyle name="40% - Accent3 2 3 3 2 2 3 2 2" xfId="19633" xr:uid="{00000000-0005-0000-0000-000050490000}"/>
    <cellStyle name="40% - Accent3 2 3 3 2 2 3 3" xfId="12982" xr:uid="{00000000-0005-0000-0000-000051490000}"/>
    <cellStyle name="40% - Accent3 2 3 3 2 2 4" xfId="32396" xr:uid="{00000000-0005-0000-0000-000052490000}"/>
    <cellStyle name="40% - Accent3 2 3 3 2 2 4 2" xfId="32726" xr:uid="{00000000-0005-0000-0000-000053490000}"/>
    <cellStyle name="40% - Accent3 2 3 3 2 2 5" xfId="28929" xr:uid="{00000000-0005-0000-0000-000054490000}"/>
    <cellStyle name="40% - Accent3 2 3 3 2 3" xfId="12025" xr:uid="{00000000-0005-0000-0000-000055490000}"/>
    <cellStyle name="40% - Accent3 2 3 3 2 3 2" xfId="30699" xr:uid="{00000000-0005-0000-0000-000056490000}"/>
    <cellStyle name="40% - Accent3 2 3 3 2 3 2 2" xfId="12978" xr:uid="{00000000-0005-0000-0000-000057490000}"/>
    <cellStyle name="40% - Accent3 2 3 3 2 3 2 2 2" xfId="19606" xr:uid="{00000000-0005-0000-0000-000058490000}"/>
    <cellStyle name="40% - Accent3 2 3 3 2 3 2 3" xfId="12977" xr:uid="{00000000-0005-0000-0000-000059490000}"/>
    <cellStyle name="40% - Accent3 2 3 3 2 3 3" xfId="32370" xr:uid="{00000000-0005-0000-0000-00005A490000}"/>
    <cellStyle name="40% - Accent3 2 3 3 2 3 3 2" xfId="16826" xr:uid="{00000000-0005-0000-0000-00005B490000}"/>
    <cellStyle name="40% - Accent3 2 3 3 2 3 4" xfId="28392" xr:uid="{00000000-0005-0000-0000-00005C490000}"/>
    <cellStyle name="40% - Accent3 2 3 3 2 4" xfId="12976" xr:uid="{00000000-0005-0000-0000-00005D490000}"/>
    <cellStyle name="40% - Accent3 2 3 3 2 4 2" xfId="18289" xr:uid="{00000000-0005-0000-0000-00005E490000}"/>
    <cellStyle name="40% - Accent3 2 3 3 2 4 2 2" xfId="12973" xr:uid="{00000000-0005-0000-0000-00005F490000}"/>
    <cellStyle name="40% - Accent3 2 3 3 2 4 3" xfId="24925" xr:uid="{00000000-0005-0000-0000-000060490000}"/>
    <cellStyle name="40% - Accent3 2 3 3 2 5" xfId="12972" xr:uid="{00000000-0005-0000-0000-000061490000}"/>
    <cellStyle name="40% - Accent3 2 3 3 2 5 2" xfId="24268" xr:uid="{00000000-0005-0000-0000-000062490000}"/>
    <cellStyle name="40% - Accent3 2 3 3 2 6" xfId="8076" xr:uid="{00000000-0005-0000-0000-000063490000}"/>
    <cellStyle name="40% - Accent3 2 3 3 3" xfId="12970" xr:uid="{00000000-0005-0000-0000-000064490000}"/>
    <cellStyle name="40% - Accent3 2 3 3 3 2" xfId="9057" xr:uid="{00000000-0005-0000-0000-000065490000}"/>
    <cellStyle name="40% - Accent3 2 3 3 3 2 2" xfId="10395" xr:uid="{00000000-0005-0000-0000-000066490000}"/>
    <cellStyle name="40% - Accent3 2 3 3 3 2 2 2" xfId="12965" xr:uid="{00000000-0005-0000-0000-000067490000}"/>
    <cellStyle name="40% - Accent3 2 3 3 3 2 2 2 2" xfId="30696" xr:uid="{00000000-0005-0000-0000-000068490000}"/>
    <cellStyle name="40% - Accent3 2 3 3 3 2 2 3" xfId="12964" xr:uid="{00000000-0005-0000-0000-000069490000}"/>
    <cellStyle name="40% - Accent3 2 3 3 3 2 3" xfId="16591" xr:uid="{00000000-0005-0000-0000-00006A490000}"/>
    <cellStyle name="40% - Accent3 2 3 3 3 2 3 2" xfId="12963" xr:uid="{00000000-0005-0000-0000-00006B490000}"/>
    <cellStyle name="40% - Accent3 2 3 3 3 2 4" xfId="16198" xr:uid="{00000000-0005-0000-0000-00006C490000}"/>
    <cellStyle name="40% - Accent3 2 3 3 3 3" xfId="18528" xr:uid="{00000000-0005-0000-0000-00006D490000}"/>
    <cellStyle name="40% - Accent3 2 3 3 3 3 2" xfId="18144" xr:uid="{00000000-0005-0000-0000-00006E490000}"/>
    <cellStyle name="40% - Accent3 2 3 3 3 3 2 2" xfId="12962" xr:uid="{00000000-0005-0000-0000-00006F490000}"/>
    <cellStyle name="40% - Accent3 2 3 3 3 3 3" xfId="29337" xr:uid="{00000000-0005-0000-0000-000070490000}"/>
    <cellStyle name="40% - Accent3 2 3 3 3 4" xfId="12961" xr:uid="{00000000-0005-0000-0000-000071490000}"/>
    <cellStyle name="40% - Accent3 2 3 3 3 4 2" xfId="29321" xr:uid="{00000000-0005-0000-0000-000072490000}"/>
    <cellStyle name="40% - Accent3 2 3 3 3 5" xfId="12959" xr:uid="{00000000-0005-0000-0000-000073490000}"/>
    <cellStyle name="40% - Accent3 2 3 3 4" xfId="12955" xr:uid="{00000000-0005-0000-0000-000074490000}"/>
    <cellStyle name="40% - Accent3 2 3 3 4 2" xfId="34221" xr:uid="{00000000-0005-0000-0000-000075490000}"/>
    <cellStyle name="40% - Accent3 2 3 3 4 2 2" xfId="18094" xr:uid="{00000000-0005-0000-0000-000076490000}"/>
    <cellStyle name="40% - Accent3 2 3 3 4 2 2 2" xfId="12950" xr:uid="{00000000-0005-0000-0000-000077490000}"/>
    <cellStyle name="40% - Accent3 2 3 3 4 2 3" xfId="29283" xr:uid="{00000000-0005-0000-0000-000078490000}"/>
    <cellStyle name="40% - Accent3 2 3 3 4 3" xfId="27519" xr:uid="{00000000-0005-0000-0000-000079490000}"/>
    <cellStyle name="40% - Accent3 2 3 3 4 3 2" xfId="29273" xr:uid="{00000000-0005-0000-0000-00007A490000}"/>
    <cellStyle name="40% - Accent3 2 3 3 4 4" xfId="12946" xr:uid="{00000000-0005-0000-0000-00007B490000}"/>
    <cellStyle name="40% - Accent3 2 3 3 5" xfId="13564" xr:uid="{00000000-0005-0000-0000-00007C490000}"/>
    <cellStyle name="40% - Accent3 2 3 3 5 2" xfId="12944" xr:uid="{00000000-0005-0000-0000-00007D490000}"/>
    <cellStyle name="40% - Accent3 2 3 3 5 2 2" xfId="29254" xr:uid="{00000000-0005-0000-0000-00007E490000}"/>
    <cellStyle name="40% - Accent3 2 3 3 5 3" xfId="12943" xr:uid="{00000000-0005-0000-0000-00007F490000}"/>
    <cellStyle name="40% - Accent3 2 3 3 6" xfId="18664" xr:uid="{00000000-0005-0000-0000-000080490000}"/>
    <cellStyle name="40% - Accent3 2 3 3 6 2" xfId="24741" xr:uid="{00000000-0005-0000-0000-000081490000}"/>
    <cellStyle name="40% - Accent3 2 3 3 7" xfId="21683" xr:uid="{00000000-0005-0000-0000-000082490000}"/>
    <cellStyle name="40% - Accent3 2 3 4" xfId="12941" xr:uid="{00000000-0005-0000-0000-000083490000}"/>
    <cellStyle name="40% - Accent3 2 3 4 2" xfId="9054" xr:uid="{00000000-0005-0000-0000-000084490000}"/>
    <cellStyle name="40% - Accent3 2 3 4 2 2" xfId="9049" xr:uid="{00000000-0005-0000-0000-000085490000}"/>
    <cellStyle name="40% - Accent3 2 3 4 2 2 2" xfId="29980" xr:uid="{00000000-0005-0000-0000-000086490000}"/>
    <cellStyle name="40% - Accent3 2 3 4 2 2 2 2" xfId="31353" xr:uid="{00000000-0005-0000-0000-000087490000}"/>
    <cellStyle name="40% - Accent3 2 3 4 2 2 2 2 2" xfId="19289" xr:uid="{00000000-0005-0000-0000-000088490000}"/>
    <cellStyle name="40% - Accent3 2 3 4 2 2 2 3" xfId="33180" xr:uid="{00000000-0005-0000-0000-000089490000}"/>
    <cellStyle name="40% - Accent3 2 3 4 2 2 3" xfId="34118" xr:uid="{00000000-0005-0000-0000-00008A490000}"/>
    <cellStyle name="40% - Accent3 2 3 4 2 2 3 2" xfId="33018" xr:uid="{00000000-0005-0000-0000-00008B490000}"/>
    <cellStyle name="40% - Accent3 2 3 4 2 2 4" xfId="20757" xr:uid="{00000000-0005-0000-0000-00008C490000}"/>
    <cellStyle name="40% - Accent3 2 3 4 2 3" xfId="12936" xr:uid="{00000000-0005-0000-0000-00008D490000}"/>
    <cellStyle name="40% - Accent3 2 3 4 2 3 2" xfId="32220" xr:uid="{00000000-0005-0000-0000-00008E490000}"/>
    <cellStyle name="40% - Accent3 2 3 4 2 3 2 2" xfId="32131" xr:uid="{00000000-0005-0000-0000-00008F490000}"/>
    <cellStyle name="40% - Accent3 2 3 4 2 3 3" xfId="34105" xr:uid="{00000000-0005-0000-0000-000090490000}"/>
    <cellStyle name="40% - Accent3 2 3 4 2 4" xfId="25869" xr:uid="{00000000-0005-0000-0000-000091490000}"/>
    <cellStyle name="40% - Accent3 2 3 4 2 4 2" xfId="26186" xr:uid="{00000000-0005-0000-0000-000092490000}"/>
    <cellStyle name="40% - Accent3 2 3 4 2 5" xfId="12934" xr:uid="{00000000-0005-0000-0000-000093490000}"/>
    <cellStyle name="40% - Accent3 2 3 4 3" xfId="12932" xr:uid="{00000000-0005-0000-0000-000094490000}"/>
    <cellStyle name="40% - Accent3 2 3 4 3 2" xfId="12925" xr:uid="{00000000-0005-0000-0000-000095490000}"/>
    <cellStyle name="40% - Accent3 2 3 4 3 2 2" xfId="15152" xr:uid="{00000000-0005-0000-0000-000096490000}"/>
    <cellStyle name="40% - Accent3 2 3 4 3 2 2 2" xfId="29587" xr:uid="{00000000-0005-0000-0000-000097490000}"/>
    <cellStyle name="40% - Accent3 2 3 4 3 2 3" xfId="31779" xr:uid="{00000000-0005-0000-0000-000098490000}"/>
    <cellStyle name="40% - Accent3 2 3 4 3 3" xfId="12924" xr:uid="{00000000-0005-0000-0000-000099490000}"/>
    <cellStyle name="40% - Accent3 2 3 4 3 3 2" xfId="32152" xr:uid="{00000000-0005-0000-0000-00009A490000}"/>
    <cellStyle name="40% - Accent3 2 3 4 3 4" xfId="12922" xr:uid="{00000000-0005-0000-0000-00009B490000}"/>
    <cellStyle name="40% - Accent3 2 3 4 4" xfId="12920" xr:uid="{00000000-0005-0000-0000-00009C490000}"/>
    <cellStyle name="40% - Accent3 2 3 4 4 2" xfId="12919" xr:uid="{00000000-0005-0000-0000-00009D490000}"/>
    <cellStyle name="40% - Accent3 2 3 4 4 2 2" xfId="32225" xr:uid="{00000000-0005-0000-0000-00009E490000}"/>
    <cellStyle name="40% - Accent3 2 3 4 4 3" xfId="12918" xr:uid="{00000000-0005-0000-0000-00009F490000}"/>
    <cellStyle name="40% - Accent3 2 3 4 5" xfId="13556" xr:uid="{00000000-0005-0000-0000-0000A0490000}"/>
    <cellStyle name="40% - Accent3 2 3 4 5 2" xfId="12916" xr:uid="{00000000-0005-0000-0000-0000A1490000}"/>
    <cellStyle name="40% - Accent3 2 3 4 6" xfId="30529" xr:uid="{00000000-0005-0000-0000-0000A2490000}"/>
    <cellStyle name="40% - Accent3 2 3 5" xfId="9044" xr:uid="{00000000-0005-0000-0000-0000A3490000}"/>
    <cellStyle name="40% - Accent3 2 3 5 2" xfId="9040" xr:uid="{00000000-0005-0000-0000-0000A4490000}"/>
    <cellStyle name="40% - Accent3 2 3 5 2 2" xfId="12912" xr:uid="{00000000-0005-0000-0000-0000A5490000}"/>
    <cellStyle name="40% - Accent3 2 3 5 2 2 2" xfId="33181" xr:uid="{00000000-0005-0000-0000-0000A6490000}"/>
    <cellStyle name="40% - Accent3 2 3 5 2 2 2 2" xfId="12911" xr:uid="{00000000-0005-0000-0000-0000A7490000}"/>
    <cellStyle name="40% - Accent3 2 3 5 2 2 3" xfId="22034" xr:uid="{00000000-0005-0000-0000-0000A8490000}"/>
    <cellStyle name="40% - Accent3 2 3 5 2 3" xfId="12908" xr:uid="{00000000-0005-0000-0000-0000A9490000}"/>
    <cellStyle name="40% - Accent3 2 3 5 2 3 2" xfId="32088" xr:uid="{00000000-0005-0000-0000-0000AA490000}"/>
    <cellStyle name="40% - Accent3 2 3 5 2 4" xfId="12906" xr:uid="{00000000-0005-0000-0000-0000AB490000}"/>
    <cellStyle name="40% - Accent3 2 3 5 3" xfId="12903" xr:uid="{00000000-0005-0000-0000-0000AC490000}"/>
    <cellStyle name="40% - Accent3 2 3 5 3 2" xfId="12902" xr:uid="{00000000-0005-0000-0000-0000AD490000}"/>
    <cellStyle name="40% - Accent3 2 3 5 3 2 2" xfId="15100" xr:uid="{00000000-0005-0000-0000-0000AE490000}"/>
    <cellStyle name="40% - Accent3 2 3 5 3 3" xfId="12900" xr:uid="{00000000-0005-0000-0000-0000AF490000}"/>
    <cellStyle name="40% - Accent3 2 3 5 4" xfId="7497" xr:uid="{00000000-0005-0000-0000-0000B0490000}"/>
    <cellStyle name="40% - Accent3 2 3 5 4 2" xfId="12894" xr:uid="{00000000-0005-0000-0000-0000B1490000}"/>
    <cellStyle name="40% - Accent3 2 3 5 5" xfId="7490" xr:uid="{00000000-0005-0000-0000-0000B2490000}"/>
    <cellStyle name="40% - Accent3 2 3 6" xfId="9035" xr:uid="{00000000-0005-0000-0000-0000B3490000}"/>
    <cellStyle name="40% - Accent3 2 3 6 2" xfId="12891" xr:uid="{00000000-0005-0000-0000-0000B4490000}"/>
    <cellStyle name="40% - Accent3 2 3 6 2 2" xfId="12889" xr:uid="{00000000-0005-0000-0000-0000B5490000}"/>
    <cellStyle name="40% - Accent3 2 3 6 2 2 2" xfId="32064" xr:uid="{00000000-0005-0000-0000-0000B6490000}"/>
    <cellStyle name="40% - Accent3 2 3 6 2 3" xfId="12887" xr:uid="{00000000-0005-0000-0000-0000B7490000}"/>
    <cellStyle name="40% - Accent3 2 3 6 3" xfId="12885" xr:uid="{00000000-0005-0000-0000-0000B8490000}"/>
    <cellStyle name="40% - Accent3 2 3 6 3 2" xfId="12883" xr:uid="{00000000-0005-0000-0000-0000B9490000}"/>
    <cellStyle name="40% - Accent3 2 3 6 4" xfId="10034" xr:uid="{00000000-0005-0000-0000-0000BA490000}"/>
    <cellStyle name="40% - Accent3 2 3 7" xfId="28595" xr:uid="{00000000-0005-0000-0000-0000BB490000}"/>
    <cellStyle name="40% - Accent3 2 3 7 2" xfId="29757" xr:uid="{00000000-0005-0000-0000-0000BC490000}"/>
    <cellStyle name="40% - Accent3 2 3 7 2 2" xfId="29753" xr:uid="{00000000-0005-0000-0000-0000BD490000}"/>
    <cellStyle name="40% - Accent3 2 3 7 3" xfId="29748" xr:uid="{00000000-0005-0000-0000-0000BE490000}"/>
    <cellStyle name="40% - Accent3 2 3 8" xfId="30057" xr:uid="{00000000-0005-0000-0000-0000BF490000}"/>
    <cellStyle name="40% - Accent3 2 3 8 2" xfId="29744" xr:uid="{00000000-0005-0000-0000-0000C0490000}"/>
    <cellStyle name="40% - Accent3 2 3 9" xfId="29739" xr:uid="{00000000-0005-0000-0000-0000C1490000}"/>
    <cellStyle name="40% - Accent3 2 4" xfId="12882" xr:uid="{00000000-0005-0000-0000-0000C2490000}"/>
    <cellStyle name="40% - Accent3 2 4 2" xfId="9030" xr:uid="{00000000-0005-0000-0000-0000C3490000}"/>
    <cellStyle name="40% - Accent3 2 4 2 2" xfId="11344" xr:uid="{00000000-0005-0000-0000-0000C4490000}"/>
    <cellStyle name="40% - Accent3 2 4 2 2 2" xfId="14789" xr:uid="{00000000-0005-0000-0000-0000C5490000}"/>
    <cellStyle name="40% - Accent3 2 4 2 2 2 2" xfId="9027" xr:uid="{00000000-0005-0000-0000-0000C6490000}"/>
    <cellStyle name="40% - Accent3 2 4 2 2 2 2 2" xfId="14660" xr:uid="{00000000-0005-0000-0000-0000C7490000}"/>
    <cellStyle name="40% - Accent3 2 4 2 2 2 2 2 2" xfId="16350" xr:uid="{00000000-0005-0000-0000-0000C8490000}"/>
    <cellStyle name="40% - Accent3 2 4 2 2 2 2 2 2 2" xfId="21671" xr:uid="{00000000-0005-0000-0000-0000C9490000}"/>
    <cellStyle name="40% - Accent3 2 4 2 2 2 2 2 3" xfId="16346" xr:uid="{00000000-0005-0000-0000-0000CA490000}"/>
    <cellStyle name="40% - Accent3 2 4 2 2 2 2 3" xfId="14657" xr:uid="{00000000-0005-0000-0000-0000CB490000}"/>
    <cellStyle name="40% - Accent3 2 4 2 2 2 2 3 2" xfId="16342" xr:uid="{00000000-0005-0000-0000-0000CC490000}"/>
    <cellStyle name="40% - Accent3 2 4 2 2 2 2 4" xfId="12880" xr:uid="{00000000-0005-0000-0000-0000CD490000}"/>
    <cellStyle name="40% - Accent3 2 4 2 2 2 3" xfId="14776" xr:uid="{00000000-0005-0000-0000-0000CE490000}"/>
    <cellStyle name="40% - Accent3 2 4 2 2 2 3 2" xfId="14655" xr:uid="{00000000-0005-0000-0000-0000CF490000}"/>
    <cellStyle name="40% - Accent3 2 4 2 2 2 3 2 2" xfId="20228" xr:uid="{00000000-0005-0000-0000-0000D0490000}"/>
    <cellStyle name="40% - Accent3 2 4 2 2 2 3 3" xfId="12877" xr:uid="{00000000-0005-0000-0000-0000D1490000}"/>
    <cellStyle name="40% - Accent3 2 4 2 2 2 4" xfId="14769" xr:uid="{00000000-0005-0000-0000-0000D2490000}"/>
    <cellStyle name="40% - Accent3 2 4 2 2 2 4 2" xfId="12876" xr:uid="{00000000-0005-0000-0000-0000D3490000}"/>
    <cellStyle name="40% - Accent3 2 4 2 2 2 5" xfId="12875" xr:uid="{00000000-0005-0000-0000-0000D4490000}"/>
    <cellStyle name="40% - Accent3 2 4 2 2 3" xfId="10318" xr:uid="{00000000-0005-0000-0000-0000D5490000}"/>
    <cellStyle name="40% - Accent3 2 4 2 2 3 2" xfId="14762" xr:uid="{00000000-0005-0000-0000-0000D6490000}"/>
    <cellStyle name="40% - Accent3 2 4 2 2 3 2 2" xfId="14642" xr:uid="{00000000-0005-0000-0000-0000D7490000}"/>
    <cellStyle name="40% - Accent3 2 4 2 2 3 2 2 2" xfId="16264" xr:uid="{00000000-0005-0000-0000-0000D8490000}"/>
    <cellStyle name="40% - Accent3 2 4 2 2 3 2 3" xfId="12874" xr:uid="{00000000-0005-0000-0000-0000D9490000}"/>
    <cellStyle name="40% - Accent3 2 4 2 2 3 3" xfId="14756" xr:uid="{00000000-0005-0000-0000-0000DA490000}"/>
    <cellStyle name="40% - Accent3 2 4 2 2 3 3 2" xfId="12873" xr:uid="{00000000-0005-0000-0000-0000DB490000}"/>
    <cellStyle name="40% - Accent3 2 4 2 2 3 4" xfId="12872" xr:uid="{00000000-0005-0000-0000-0000DC490000}"/>
    <cellStyle name="40% - Accent3 2 4 2 2 4" xfId="17359" xr:uid="{00000000-0005-0000-0000-0000DD490000}"/>
    <cellStyle name="40% - Accent3 2 4 2 2 4 2" xfId="14753" xr:uid="{00000000-0005-0000-0000-0000DE490000}"/>
    <cellStyle name="40% - Accent3 2 4 2 2 4 2 2" xfId="12871" xr:uid="{00000000-0005-0000-0000-0000DF490000}"/>
    <cellStyle name="40% - Accent3 2 4 2 2 4 3" xfId="12870" xr:uid="{00000000-0005-0000-0000-0000E0490000}"/>
    <cellStyle name="40% - Accent3 2 4 2 2 5" xfId="17353" xr:uid="{00000000-0005-0000-0000-0000E1490000}"/>
    <cellStyle name="40% - Accent3 2 4 2 2 5 2" xfId="12869" xr:uid="{00000000-0005-0000-0000-0000E2490000}"/>
    <cellStyle name="40% - Accent3 2 4 2 2 6" xfId="8016" xr:uid="{00000000-0005-0000-0000-0000E3490000}"/>
    <cellStyle name="40% - Accent3 2 4 2 3" xfId="14751" xr:uid="{00000000-0005-0000-0000-0000E4490000}"/>
    <cellStyle name="40% - Accent3 2 4 2 3 2" xfId="9024" xr:uid="{00000000-0005-0000-0000-0000E5490000}"/>
    <cellStyle name="40% - Accent3 2 4 2 3 2 2" xfId="14745" xr:uid="{00000000-0005-0000-0000-0000E6490000}"/>
    <cellStyle name="40% - Accent3 2 4 2 3 2 2 2" xfId="14617" xr:uid="{00000000-0005-0000-0000-0000E7490000}"/>
    <cellStyle name="40% - Accent3 2 4 2 3 2 2 2 2" xfId="15968" xr:uid="{00000000-0005-0000-0000-0000E8490000}"/>
    <cellStyle name="40% - Accent3 2 4 2 3 2 2 3" xfId="12866" xr:uid="{00000000-0005-0000-0000-0000E9490000}"/>
    <cellStyle name="40% - Accent3 2 4 2 3 2 3" xfId="14742" xr:uid="{00000000-0005-0000-0000-0000EA490000}"/>
    <cellStyle name="40% - Accent3 2 4 2 3 2 3 2" xfId="12865" xr:uid="{00000000-0005-0000-0000-0000EB490000}"/>
    <cellStyle name="40% - Accent3 2 4 2 3 2 4" xfId="12864" xr:uid="{00000000-0005-0000-0000-0000EC490000}"/>
    <cellStyle name="40% - Accent3 2 4 2 3 3" xfId="14740" xr:uid="{00000000-0005-0000-0000-0000ED490000}"/>
    <cellStyle name="40% - Accent3 2 4 2 3 3 2" xfId="14738" xr:uid="{00000000-0005-0000-0000-0000EE490000}"/>
    <cellStyle name="40% - Accent3 2 4 2 3 3 2 2" xfId="12862" xr:uid="{00000000-0005-0000-0000-0000EF490000}"/>
    <cellStyle name="40% - Accent3 2 4 2 3 3 3" xfId="12861" xr:uid="{00000000-0005-0000-0000-0000F0490000}"/>
    <cellStyle name="40% - Accent3 2 4 2 3 4" xfId="17346" xr:uid="{00000000-0005-0000-0000-0000F1490000}"/>
    <cellStyle name="40% - Accent3 2 4 2 3 4 2" xfId="14515" xr:uid="{00000000-0005-0000-0000-0000F2490000}"/>
    <cellStyle name="40% - Accent3 2 4 2 3 5" xfId="12858" xr:uid="{00000000-0005-0000-0000-0000F3490000}"/>
    <cellStyle name="40% - Accent3 2 4 2 4" xfId="14735" xr:uid="{00000000-0005-0000-0000-0000F4490000}"/>
    <cellStyle name="40% - Accent3 2 4 2 4 2" xfId="34344" xr:uid="{00000000-0005-0000-0000-0000F5490000}"/>
    <cellStyle name="40% - Accent3 2 4 2 4 2 2" xfId="14727" xr:uid="{00000000-0005-0000-0000-0000F6490000}"/>
    <cellStyle name="40% - Accent3 2 4 2 4 2 2 2" xfId="29606" xr:uid="{00000000-0005-0000-0000-0000F7490000}"/>
    <cellStyle name="40% - Accent3 2 4 2 4 2 3" xfId="12857" xr:uid="{00000000-0005-0000-0000-0000F8490000}"/>
    <cellStyle name="40% - Accent3 2 4 2 4 3" xfId="29292" xr:uid="{00000000-0005-0000-0000-0000F9490000}"/>
    <cellStyle name="40% - Accent3 2 4 2 4 3 2" xfId="12853" xr:uid="{00000000-0005-0000-0000-0000FA490000}"/>
    <cellStyle name="40% - Accent3 2 4 2 4 4" xfId="12850" xr:uid="{00000000-0005-0000-0000-0000FB490000}"/>
    <cellStyle name="40% - Accent3 2 4 2 5" xfId="14722" xr:uid="{00000000-0005-0000-0000-0000FC490000}"/>
    <cellStyle name="40% - Accent3 2 4 2 5 2" xfId="14719" xr:uid="{00000000-0005-0000-0000-0000FD490000}"/>
    <cellStyle name="40% - Accent3 2 4 2 5 2 2" xfId="12849" xr:uid="{00000000-0005-0000-0000-0000FE490000}"/>
    <cellStyle name="40% - Accent3 2 4 2 5 3" xfId="12847" xr:uid="{00000000-0005-0000-0000-0000FF490000}"/>
    <cellStyle name="40% - Accent3 2 4 2 6" xfId="18520" xr:uid="{00000000-0005-0000-0000-0000004A0000}"/>
    <cellStyle name="40% - Accent3 2 4 2 6 2" xfId="18518" xr:uid="{00000000-0005-0000-0000-0000014A0000}"/>
    <cellStyle name="40% - Accent3 2 4 2 7" xfId="11565" xr:uid="{00000000-0005-0000-0000-0000024A0000}"/>
    <cellStyle name="40% - Accent3 2 4 3" xfId="12846" xr:uid="{00000000-0005-0000-0000-0000034A0000}"/>
    <cellStyle name="40% - Accent3 2 4 3 2" xfId="9019" xr:uid="{00000000-0005-0000-0000-0000044A0000}"/>
    <cellStyle name="40% - Accent3 2 4 3 2 2" xfId="9014" xr:uid="{00000000-0005-0000-0000-0000054A0000}"/>
    <cellStyle name="40% - Accent3 2 4 3 2 2 2" xfId="8736" xr:uid="{00000000-0005-0000-0000-0000064A0000}"/>
    <cellStyle name="40% - Accent3 2 4 3 2 2 2 2" xfId="14589" xr:uid="{00000000-0005-0000-0000-0000074A0000}"/>
    <cellStyle name="40% - Accent3 2 4 3 2 2 2 2 2" xfId="14383" xr:uid="{00000000-0005-0000-0000-0000084A0000}"/>
    <cellStyle name="40% - Accent3 2 4 3 2 2 2 3" xfId="25368" xr:uid="{00000000-0005-0000-0000-0000094A0000}"/>
    <cellStyle name="40% - Accent3 2 4 3 2 2 3" xfId="34300" xr:uid="{00000000-0005-0000-0000-00000A4A0000}"/>
    <cellStyle name="40% - Accent3 2 4 3 2 2 3 2" xfId="12844" xr:uid="{00000000-0005-0000-0000-00000B4A0000}"/>
    <cellStyle name="40% - Accent3 2 4 3 2 2 4" xfId="31758" xr:uid="{00000000-0005-0000-0000-00000C4A0000}"/>
    <cellStyle name="40% - Accent3 2 4 3 2 3" xfId="14701" xr:uid="{00000000-0005-0000-0000-00000D4A0000}"/>
    <cellStyle name="40% - Accent3 2 4 3 2 3 2" xfId="27631" xr:uid="{00000000-0005-0000-0000-00000E4A0000}"/>
    <cellStyle name="40% - Accent3 2 4 3 2 3 2 2" xfId="12842" xr:uid="{00000000-0005-0000-0000-00000F4A0000}"/>
    <cellStyle name="40% - Accent3 2 4 3 2 3 3" xfId="31735" xr:uid="{00000000-0005-0000-0000-0000104A0000}"/>
    <cellStyle name="40% - Accent3 2 4 3 2 4" xfId="17318" xr:uid="{00000000-0005-0000-0000-0000114A0000}"/>
    <cellStyle name="40% - Accent3 2 4 3 2 4 2" xfId="31729" xr:uid="{00000000-0005-0000-0000-0000124A0000}"/>
    <cellStyle name="40% - Accent3 2 4 3 2 5" xfId="12840" xr:uid="{00000000-0005-0000-0000-0000134A0000}"/>
    <cellStyle name="40% - Accent3 2 4 3 3" xfId="14695" xr:uid="{00000000-0005-0000-0000-0000144A0000}"/>
    <cellStyle name="40% - Accent3 2 4 3 3 2" xfId="14690" xr:uid="{00000000-0005-0000-0000-0000154A0000}"/>
    <cellStyle name="40% - Accent3 2 4 3 3 2 2" xfId="30146" xr:uid="{00000000-0005-0000-0000-0000164A0000}"/>
    <cellStyle name="40% - Accent3 2 4 3 3 2 2 2" xfId="12838" xr:uid="{00000000-0005-0000-0000-0000174A0000}"/>
    <cellStyle name="40% - Accent3 2 4 3 3 2 3" xfId="18436" xr:uid="{00000000-0005-0000-0000-0000184A0000}"/>
    <cellStyle name="40% - Accent3 2 4 3 3 3" xfId="14687" xr:uid="{00000000-0005-0000-0000-0000194A0000}"/>
    <cellStyle name="40% - Accent3 2 4 3 3 3 2" xfId="29316" xr:uid="{00000000-0005-0000-0000-00001A4A0000}"/>
    <cellStyle name="40% - Accent3 2 4 3 3 4" xfId="12836" xr:uid="{00000000-0005-0000-0000-00001B4A0000}"/>
    <cellStyle name="40% - Accent3 2 4 3 4" xfId="14684" xr:uid="{00000000-0005-0000-0000-00001C4A0000}"/>
    <cellStyle name="40% - Accent3 2 4 3 4 2" xfId="14681" xr:uid="{00000000-0005-0000-0000-00001D4A0000}"/>
    <cellStyle name="40% - Accent3 2 4 3 4 2 2" xfId="29268" xr:uid="{00000000-0005-0000-0000-00001E4A0000}"/>
    <cellStyle name="40% - Accent3 2 4 3 4 3" xfId="12834" xr:uid="{00000000-0005-0000-0000-00001F4A0000}"/>
    <cellStyle name="40% - Accent3 2 4 3 5" xfId="14678" xr:uid="{00000000-0005-0000-0000-0000204A0000}"/>
    <cellStyle name="40% - Accent3 2 4 3 5 2" xfId="12832" xr:uid="{00000000-0005-0000-0000-0000214A0000}"/>
    <cellStyle name="40% - Accent3 2 4 3 6" xfId="21601" xr:uid="{00000000-0005-0000-0000-0000224A0000}"/>
    <cellStyle name="40% - Accent3 2 4 4" xfId="12831" xr:uid="{00000000-0005-0000-0000-0000234A0000}"/>
    <cellStyle name="40% - Accent3 2 4 4 2" xfId="9010" xr:uid="{00000000-0005-0000-0000-0000244A0000}"/>
    <cellStyle name="40% - Accent3 2 4 4 2 2" xfId="32070" xr:uid="{00000000-0005-0000-0000-0000254A0000}"/>
    <cellStyle name="40% - Accent3 2 4 4 2 2 2" xfId="31671" xr:uid="{00000000-0005-0000-0000-0000264A0000}"/>
    <cellStyle name="40% - Accent3 2 4 4 2 2 2 2" xfId="12829" xr:uid="{00000000-0005-0000-0000-0000274A0000}"/>
    <cellStyle name="40% - Accent3 2 4 4 2 2 3" xfId="31657" xr:uid="{00000000-0005-0000-0000-0000284A0000}"/>
    <cellStyle name="40% - Accent3 2 4 4 2 3" xfId="25816" xr:uid="{00000000-0005-0000-0000-0000294A0000}"/>
    <cellStyle name="40% - Accent3 2 4 4 2 3 2" xfId="31628" xr:uid="{00000000-0005-0000-0000-00002A4A0000}"/>
    <cellStyle name="40% - Accent3 2 4 4 2 4" xfId="16191" xr:uid="{00000000-0005-0000-0000-00002B4A0000}"/>
    <cellStyle name="40% - Accent3 2 4 4 3" xfId="31066" xr:uid="{00000000-0005-0000-0000-00002C4A0000}"/>
    <cellStyle name="40% - Accent3 2 4 4 3 2" xfId="34215" xr:uid="{00000000-0005-0000-0000-00002D4A0000}"/>
    <cellStyle name="40% - Accent3 2 4 4 3 2 2" xfId="31600" xr:uid="{00000000-0005-0000-0000-00002E4A0000}"/>
    <cellStyle name="40% - Accent3 2 4 4 3 3" xfId="16188" xr:uid="{00000000-0005-0000-0000-00002F4A0000}"/>
    <cellStyle name="40% - Accent3 2 4 4 4" xfId="25891" xr:uid="{00000000-0005-0000-0000-0000304A0000}"/>
    <cellStyle name="40% - Accent3 2 4 4 4 2" xfId="16186" xr:uid="{00000000-0005-0000-0000-0000314A0000}"/>
    <cellStyle name="40% - Accent3 2 4 4 5" xfId="13537" xr:uid="{00000000-0005-0000-0000-0000324A0000}"/>
    <cellStyle name="40% - Accent3 2 4 5" xfId="12824" xr:uid="{00000000-0005-0000-0000-0000334A0000}"/>
    <cellStyle name="40% - Accent3 2 4 5 2" xfId="33655" xr:uid="{00000000-0005-0000-0000-0000344A0000}"/>
    <cellStyle name="40% - Accent3 2 4 5 2 2" xfId="32494" xr:uid="{00000000-0005-0000-0000-0000354A0000}"/>
    <cellStyle name="40% - Accent3 2 4 5 2 2 2" xfId="16797" xr:uid="{00000000-0005-0000-0000-0000364A0000}"/>
    <cellStyle name="40% - Accent3 2 4 5 2 3" xfId="16177" xr:uid="{00000000-0005-0000-0000-0000374A0000}"/>
    <cellStyle name="40% - Accent3 2 4 5 3" xfId="31052" xr:uid="{00000000-0005-0000-0000-0000384A0000}"/>
    <cellStyle name="40% - Accent3 2 4 5 3 2" xfId="16173" xr:uid="{00000000-0005-0000-0000-0000394A0000}"/>
    <cellStyle name="40% - Accent3 2 4 5 4" xfId="7471" xr:uid="{00000000-0005-0000-0000-00003A4A0000}"/>
    <cellStyle name="40% - Accent3 2 4 6" xfId="12820" xr:uid="{00000000-0005-0000-0000-00003B4A0000}"/>
    <cellStyle name="40% - Accent3 2 4 6 2" xfId="29847" xr:uid="{00000000-0005-0000-0000-00003C4A0000}"/>
    <cellStyle name="40% - Accent3 2 4 6 2 2" xfId="15832" xr:uid="{00000000-0005-0000-0000-00003D4A0000}"/>
    <cellStyle name="40% - Accent3 2 4 6 3" xfId="15734" xr:uid="{00000000-0005-0000-0000-00003E4A0000}"/>
    <cellStyle name="40% - Accent3 2 4 7" xfId="30045" xr:uid="{00000000-0005-0000-0000-00003F4A0000}"/>
    <cellStyle name="40% - Accent3 2 4 7 2" xfId="19355" xr:uid="{00000000-0005-0000-0000-0000404A0000}"/>
    <cellStyle name="40% - Accent3 2 4 8" xfId="29647" xr:uid="{00000000-0005-0000-0000-0000414A0000}"/>
    <cellStyle name="40% - Accent3 2 4 9" xfId="34759" xr:uid="{00000000-0005-0000-0000-0000424A0000}"/>
    <cellStyle name="40% - Accent3 2 5" xfId="9006" xr:uid="{00000000-0005-0000-0000-0000434A0000}"/>
    <cellStyle name="40% - Accent3 2 5 2" xfId="9003" xr:uid="{00000000-0005-0000-0000-0000444A0000}"/>
    <cellStyle name="40% - Accent3 2 5 2 2" xfId="9000" xr:uid="{00000000-0005-0000-0000-0000454A0000}"/>
    <cellStyle name="40% - Accent3 2 5 2 2 2" xfId="14297" xr:uid="{00000000-0005-0000-0000-0000464A0000}"/>
    <cellStyle name="40% - Accent3 2 5 2 2 2 2" xfId="14550" xr:uid="{00000000-0005-0000-0000-0000474A0000}"/>
    <cellStyle name="40% - Accent3 2 5 2 2 2 2 2" xfId="14548" xr:uid="{00000000-0005-0000-0000-0000484A0000}"/>
    <cellStyle name="40% - Accent3 2 5 2 2 2 2 2 2" xfId="12816" xr:uid="{00000000-0005-0000-0000-0000494A0000}"/>
    <cellStyle name="40% - Accent3 2 5 2 2 2 2 3" xfId="12812" xr:uid="{00000000-0005-0000-0000-00004A4A0000}"/>
    <cellStyle name="40% - Accent3 2 5 2 2 2 3" xfId="14543" xr:uid="{00000000-0005-0000-0000-00004B4A0000}"/>
    <cellStyle name="40% - Accent3 2 5 2 2 2 3 2" xfId="26708" xr:uid="{00000000-0005-0000-0000-00004C4A0000}"/>
    <cellStyle name="40% - Accent3 2 5 2 2 2 4" xfId="12811" xr:uid="{00000000-0005-0000-0000-00004D4A0000}"/>
    <cellStyle name="40% - Accent3 2 5 2 2 3" xfId="14289" xr:uid="{00000000-0005-0000-0000-00004E4A0000}"/>
    <cellStyle name="40% - Accent3 2 5 2 2 3 2" xfId="14531" xr:uid="{00000000-0005-0000-0000-00004F4A0000}"/>
    <cellStyle name="40% - Accent3 2 5 2 2 3 2 2" xfId="33516" xr:uid="{00000000-0005-0000-0000-0000504A0000}"/>
    <cellStyle name="40% - Accent3 2 5 2 2 3 3" xfId="12810" xr:uid="{00000000-0005-0000-0000-0000514A0000}"/>
    <cellStyle name="40% - Accent3 2 5 2 2 4" xfId="17253" xr:uid="{00000000-0005-0000-0000-0000524A0000}"/>
    <cellStyle name="40% - Accent3 2 5 2 2 4 2" xfId="12809" xr:uid="{00000000-0005-0000-0000-0000534A0000}"/>
    <cellStyle name="40% - Accent3 2 5 2 2 5" xfId="12808" xr:uid="{00000000-0005-0000-0000-0000544A0000}"/>
    <cellStyle name="40% - Accent3 2 5 2 3" xfId="14285" xr:uid="{00000000-0005-0000-0000-0000554A0000}"/>
    <cellStyle name="40% - Accent3 2 5 2 3 2" xfId="11576" xr:uid="{00000000-0005-0000-0000-0000564A0000}"/>
    <cellStyle name="40% - Accent3 2 5 2 3 2 2" xfId="14504" xr:uid="{00000000-0005-0000-0000-0000574A0000}"/>
    <cellStyle name="40% - Accent3 2 5 2 3 2 2 2" xfId="12807" xr:uid="{00000000-0005-0000-0000-0000584A0000}"/>
    <cellStyle name="40% - Accent3 2 5 2 3 2 3" xfId="12806" xr:uid="{00000000-0005-0000-0000-0000594A0000}"/>
    <cellStyle name="40% - Accent3 2 5 2 3 3" xfId="14280" xr:uid="{00000000-0005-0000-0000-00005A4A0000}"/>
    <cellStyle name="40% - Accent3 2 5 2 3 3 2" xfId="12804" xr:uid="{00000000-0005-0000-0000-00005B4A0000}"/>
    <cellStyle name="40% - Accent3 2 5 2 3 4" xfId="12803" xr:uid="{00000000-0005-0000-0000-00005C4A0000}"/>
    <cellStyle name="40% - Accent3 2 5 2 4" xfId="17011" xr:uid="{00000000-0005-0000-0000-00005D4A0000}"/>
    <cellStyle name="40% - Accent3 2 5 2 4 2" xfId="34407" xr:uid="{00000000-0005-0000-0000-00005E4A0000}"/>
    <cellStyle name="40% - Accent3 2 5 2 4 2 2" xfId="12802" xr:uid="{00000000-0005-0000-0000-00005F4A0000}"/>
    <cellStyle name="40% - Accent3 2 5 2 4 3" xfId="12800" xr:uid="{00000000-0005-0000-0000-0000604A0000}"/>
    <cellStyle name="40% - Accent3 2 5 2 5" xfId="17127" xr:uid="{00000000-0005-0000-0000-0000614A0000}"/>
    <cellStyle name="40% - Accent3 2 5 2 5 2" xfId="7530" xr:uid="{00000000-0005-0000-0000-0000624A0000}"/>
    <cellStyle name="40% - Accent3 2 5 2 6" xfId="18660" xr:uid="{00000000-0005-0000-0000-0000634A0000}"/>
    <cellStyle name="40% - Accent3 2 5 3" xfId="8995" xr:uid="{00000000-0005-0000-0000-0000644A0000}"/>
    <cellStyle name="40% - Accent3 2 5 3 2" xfId="8992" xr:uid="{00000000-0005-0000-0000-0000654A0000}"/>
    <cellStyle name="40% - Accent3 2 5 3 2 2" xfId="11572" xr:uid="{00000000-0005-0000-0000-0000664A0000}"/>
    <cellStyle name="40% - Accent3 2 5 3 2 2 2" xfId="14475" xr:uid="{00000000-0005-0000-0000-0000674A0000}"/>
    <cellStyle name="40% - Accent3 2 5 3 2 2 2 2" xfId="12795" xr:uid="{00000000-0005-0000-0000-0000684A0000}"/>
    <cellStyle name="40% - Accent3 2 5 3 2 2 3" xfId="12793" xr:uid="{00000000-0005-0000-0000-0000694A0000}"/>
    <cellStyle name="40% - Accent3 2 5 3 2 3" xfId="14254" xr:uid="{00000000-0005-0000-0000-00006A4A0000}"/>
    <cellStyle name="40% - Accent3 2 5 3 2 3 2" xfId="12791" xr:uid="{00000000-0005-0000-0000-00006B4A0000}"/>
    <cellStyle name="40% - Accent3 2 5 3 2 4" xfId="12788" xr:uid="{00000000-0005-0000-0000-00006C4A0000}"/>
    <cellStyle name="40% - Accent3 2 5 3 3" xfId="14249" xr:uid="{00000000-0005-0000-0000-00006D4A0000}"/>
    <cellStyle name="40% - Accent3 2 5 3 3 2" xfId="14245" xr:uid="{00000000-0005-0000-0000-00006E4A0000}"/>
    <cellStyle name="40% - Accent3 2 5 3 3 2 2" xfId="12782" xr:uid="{00000000-0005-0000-0000-00006F4A0000}"/>
    <cellStyle name="40% - Accent3 2 5 3 3 3" xfId="12781" xr:uid="{00000000-0005-0000-0000-0000704A0000}"/>
    <cellStyle name="40% - Accent3 2 5 3 4" xfId="17118" xr:uid="{00000000-0005-0000-0000-0000714A0000}"/>
    <cellStyle name="40% - Accent3 2 5 3 4 2" xfId="12776" xr:uid="{00000000-0005-0000-0000-0000724A0000}"/>
    <cellStyle name="40% - Accent3 2 5 3 5" xfId="13529" xr:uid="{00000000-0005-0000-0000-0000734A0000}"/>
    <cellStyle name="40% - Accent3 2 5 4" xfId="12774" xr:uid="{00000000-0005-0000-0000-0000744A0000}"/>
    <cellStyle name="40% - Accent3 2 5 4 2" xfId="9115" xr:uid="{00000000-0005-0000-0000-0000754A0000}"/>
    <cellStyle name="40% - Accent3 2 5 4 2 2" xfId="5394" xr:uid="{00000000-0005-0000-0000-0000764A0000}"/>
    <cellStyle name="40% - Accent3 2 5 4 2 2 2" xfId="12768" xr:uid="{00000000-0005-0000-0000-0000774A0000}"/>
    <cellStyle name="40% - Accent3 2 5 4 2 3" xfId="16151" xr:uid="{00000000-0005-0000-0000-0000784A0000}"/>
    <cellStyle name="40% - Accent3 2 5 4 3" xfId="5392" xr:uid="{00000000-0005-0000-0000-0000794A0000}"/>
    <cellStyle name="40% - Accent3 2 5 4 3 2" xfId="16144" xr:uid="{00000000-0005-0000-0000-00007A4A0000}"/>
    <cellStyle name="40% - Accent3 2 5 4 4" xfId="12767" xr:uid="{00000000-0005-0000-0000-00007B4A0000}"/>
    <cellStyle name="40% - Accent3 2 5 5" xfId="12764" xr:uid="{00000000-0005-0000-0000-00007C4A0000}"/>
    <cellStyle name="40% - Accent3 2 5 5 2" xfId="10459" xr:uid="{00000000-0005-0000-0000-00007D4A0000}"/>
    <cellStyle name="40% - Accent3 2 5 5 2 2" xfId="33697" xr:uid="{00000000-0005-0000-0000-00007E4A0000}"/>
    <cellStyle name="40% - Accent3 2 5 5 3" xfId="15710" xr:uid="{00000000-0005-0000-0000-00007F4A0000}"/>
    <cellStyle name="40% - Accent3 2 5 6" xfId="13450" xr:uid="{00000000-0005-0000-0000-0000804A0000}"/>
    <cellStyle name="40% - Accent3 2 5 6 2" xfId="12761" xr:uid="{00000000-0005-0000-0000-0000814A0000}"/>
    <cellStyle name="40% - Accent3 2 5 7" xfId="32167" xr:uid="{00000000-0005-0000-0000-0000824A0000}"/>
    <cellStyle name="40% - Accent3 2 5 8" xfId="34949" xr:uid="{00000000-0005-0000-0000-0000834A0000}"/>
    <cellStyle name="40% - Accent3 2 6" xfId="12756" xr:uid="{00000000-0005-0000-0000-0000844A0000}"/>
    <cellStyle name="40% - Accent3 2 6 2" xfId="13625" xr:uid="{00000000-0005-0000-0000-0000854A0000}"/>
    <cellStyle name="40% - Accent3 2 6 2 2" xfId="13931" xr:uid="{00000000-0005-0000-0000-0000864A0000}"/>
    <cellStyle name="40% - Accent3 2 6 2 2 2" xfId="11566" xr:uid="{00000000-0005-0000-0000-0000874A0000}"/>
    <cellStyle name="40% - Accent3 2 6 2 2 2 2" xfId="14394" xr:uid="{00000000-0005-0000-0000-0000884A0000}"/>
    <cellStyle name="40% - Accent3 2 6 2 2 2 2 2" xfId="12755" xr:uid="{00000000-0005-0000-0000-0000894A0000}"/>
    <cellStyle name="40% - Accent3 2 6 2 2 2 3" xfId="12754" xr:uid="{00000000-0005-0000-0000-00008A4A0000}"/>
    <cellStyle name="40% - Accent3 2 6 2 2 3" xfId="13924" xr:uid="{00000000-0005-0000-0000-00008B4A0000}"/>
    <cellStyle name="40% - Accent3 2 6 2 2 3 2" xfId="12753" xr:uid="{00000000-0005-0000-0000-00008C4A0000}"/>
    <cellStyle name="40% - Accent3 2 6 2 2 4" xfId="12752" xr:uid="{00000000-0005-0000-0000-00008D4A0000}"/>
    <cellStyle name="40% - Accent3 2 6 2 3" xfId="13922" xr:uid="{00000000-0005-0000-0000-00008E4A0000}"/>
    <cellStyle name="40% - Accent3 2 6 2 3 2" xfId="13920" xr:uid="{00000000-0005-0000-0000-00008F4A0000}"/>
    <cellStyle name="40% - Accent3 2 6 2 3 2 2" xfId="16742" xr:uid="{00000000-0005-0000-0000-0000904A0000}"/>
    <cellStyle name="40% - Accent3 2 6 2 3 3" xfId="34103" xr:uid="{00000000-0005-0000-0000-0000914A0000}"/>
    <cellStyle name="40% - Accent3 2 6 2 4" xfId="17089" xr:uid="{00000000-0005-0000-0000-0000924A0000}"/>
    <cellStyle name="40% - Accent3 2 6 2 4 2" xfId="12751" xr:uid="{00000000-0005-0000-0000-0000934A0000}"/>
    <cellStyle name="40% - Accent3 2 6 2 5" xfId="13519" xr:uid="{00000000-0005-0000-0000-0000944A0000}"/>
    <cellStyle name="40% - Accent3 2 6 3" xfId="13621" xr:uid="{00000000-0005-0000-0000-0000954A0000}"/>
    <cellStyle name="40% - Accent3 2 6 3 2" xfId="13910" xr:uid="{00000000-0005-0000-0000-0000964A0000}"/>
    <cellStyle name="40% - Accent3 2 6 3 2 2" xfId="14152" xr:uid="{00000000-0005-0000-0000-0000974A0000}"/>
    <cellStyle name="40% - Accent3 2 6 3 2 2 2" xfId="12750" xr:uid="{00000000-0005-0000-0000-0000984A0000}"/>
    <cellStyle name="40% - Accent3 2 6 3 2 3" xfId="12749" xr:uid="{00000000-0005-0000-0000-0000994A0000}"/>
    <cellStyle name="40% - Accent3 2 6 3 3" xfId="13908" xr:uid="{00000000-0005-0000-0000-00009A4A0000}"/>
    <cellStyle name="40% - Accent3 2 6 3 3 2" xfId="12745" xr:uid="{00000000-0005-0000-0000-00009B4A0000}"/>
    <cellStyle name="40% - Accent3 2 6 3 4" xfId="12743" xr:uid="{00000000-0005-0000-0000-00009C4A0000}"/>
    <cellStyle name="40% - Accent3 2 6 4" xfId="12740" xr:uid="{00000000-0005-0000-0000-00009D4A0000}"/>
    <cellStyle name="40% - Accent3 2 6 4 2" xfId="32190" xr:uid="{00000000-0005-0000-0000-00009E4A0000}"/>
    <cellStyle name="40% - Accent3 2 6 4 2 2" xfId="16130" xr:uid="{00000000-0005-0000-0000-00009F4A0000}"/>
    <cellStyle name="40% - Accent3 2 6 4 3" xfId="12736" xr:uid="{00000000-0005-0000-0000-0000A04A0000}"/>
    <cellStyle name="40% - Accent3 2 6 5" xfId="12733" xr:uid="{00000000-0005-0000-0000-0000A14A0000}"/>
    <cellStyle name="40% - Accent3 2 6 5 2" xfId="12731" xr:uid="{00000000-0005-0000-0000-0000A24A0000}"/>
    <cellStyle name="40% - Accent3 2 6 6" xfId="13443" xr:uid="{00000000-0005-0000-0000-0000A34A0000}"/>
    <cellStyle name="40% - Accent3 2 6 7" xfId="35154" xr:uid="{00000000-0005-0000-0000-0000A44A0000}"/>
    <cellStyle name="40% - Accent3 2 7" xfId="12729" xr:uid="{00000000-0005-0000-0000-0000A54A0000}"/>
    <cellStyle name="40% - Accent3 2 7 2" xfId="31963" xr:uid="{00000000-0005-0000-0000-0000A64A0000}"/>
    <cellStyle name="40% - Accent3 2 7 2 2" xfId="32440" xr:uid="{00000000-0005-0000-0000-0000A74A0000}"/>
    <cellStyle name="40% - Accent3 2 7 2 2 2" xfId="31959" xr:uid="{00000000-0005-0000-0000-0000A84A0000}"/>
    <cellStyle name="40% - Accent3 2 7 2 2 2 2" xfId="28250" xr:uid="{00000000-0005-0000-0000-0000A94A0000}"/>
    <cellStyle name="40% - Accent3 2 7 2 2 3" xfId="12727" xr:uid="{00000000-0005-0000-0000-0000AA4A0000}"/>
    <cellStyle name="40% - Accent3 2 7 2 3" xfId="31955" xr:uid="{00000000-0005-0000-0000-0000AB4A0000}"/>
    <cellStyle name="40% - Accent3 2 7 2 3 2" xfId="12726" xr:uid="{00000000-0005-0000-0000-0000AC4A0000}"/>
    <cellStyle name="40% - Accent3 2 7 2 4" xfId="12725" xr:uid="{00000000-0005-0000-0000-0000AD4A0000}"/>
    <cellStyle name="40% - Accent3 2 7 3" xfId="31940" xr:uid="{00000000-0005-0000-0000-0000AE4A0000}"/>
    <cellStyle name="40% - Accent3 2 7 3 2" xfId="31927" xr:uid="{00000000-0005-0000-0000-0000AF4A0000}"/>
    <cellStyle name="40% - Accent3 2 7 3 2 2" xfId="12724" xr:uid="{00000000-0005-0000-0000-0000B04A0000}"/>
    <cellStyle name="40% - Accent3 2 7 3 3" xfId="16110" xr:uid="{00000000-0005-0000-0000-0000B14A0000}"/>
    <cellStyle name="40% - Accent3 2 7 4" xfId="21414" xr:uid="{00000000-0005-0000-0000-0000B24A0000}"/>
    <cellStyle name="40% - Accent3 2 7 4 2" xfId="16106" xr:uid="{00000000-0005-0000-0000-0000B34A0000}"/>
    <cellStyle name="40% - Accent3 2 7 5" xfId="12722" xr:uid="{00000000-0005-0000-0000-0000B44A0000}"/>
    <cellStyle name="40% - Accent3 2 7 6" xfId="35383" xr:uid="{00000000-0005-0000-0000-0000B54A0000}"/>
    <cellStyle name="40% - Accent3 2 8" xfId="12719" xr:uid="{00000000-0005-0000-0000-0000B64A0000}"/>
    <cellStyle name="40% - Accent3 2 8 2" xfId="31893" xr:uid="{00000000-0005-0000-0000-0000B74A0000}"/>
    <cellStyle name="40% - Accent3 2 8 2 2" xfId="29795" xr:uid="{00000000-0005-0000-0000-0000B84A0000}"/>
    <cellStyle name="40% - Accent3 2 8 2 2 2" xfId="12716" xr:uid="{00000000-0005-0000-0000-0000B94A0000}"/>
    <cellStyle name="40% - Accent3 2 8 2 3" xfId="12715" xr:uid="{00000000-0005-0000-0000-0000BA4A0000}"/>
    <cellStyle name="40% - Accent3 2 8 3" xfId="31884" xr:uid="{00000000-0005-0000-0000-0000BB4A0000}"/>
    <cellStyle name="40% - Accent3 2 8 3 2" xfId="16094" xr:uid="{00000000-0005-0000-0000-0000BC4A0000}"/>
    <cellStyle name="40% - Accent3 2 8 4" xfId="15669" xr:uid="{00000000-0005-0000-0000-0000BD4A0000}"/>
    <cellStyle name="40% - Accent3 2 8 5" xfId="36255" xr:uid="{00000000-0005-0000-0000-0000BE4A0000}"/>
    <cellStyle name="40% - Accent3 2 9" xfId="12714" xr:uid="{00000000-0005-0000-0000-0000BF4A0000}"/>
    <cellStyle name="40% - Accent3 2 9 2" xfId="34405" xr:uid="{00000000-0005-0000-0000-0000C04A0000}"/>
    <cellStyle name="40% - Accent3 2 9 2 2" xfId="12713" xr:uid="{00000000-0005-0000-0000-0000C14A0000}"/>
    <cellStyle name="40% - Accent3 2 9 3" xfId="12712" xr:uid="{00000000-0005-0000-0000-0000C24A0000}"/>
    <cellStyle name="40% - Accent3 2 9 4" xfId="36541" xr:uid="{00000000-0005-0000-0000-0000C34A0000}"/>
    <cellStyle name="40% - Accent3 20" xfId="35705" xr:uid="{00000000-0005-0000-0000-0000C44A0000}"/>
    <cellStyle name="40% - Accent3 20 2" xfId="36874" xr:uid="{00000000-0005-0000-0000-0000C54A0000}"/>
    <cellStyle name="40% - Accent3 20 3" xfId="37765" xr:uid="{00000000-0005-0000-0000-0000C64A0000}"/>
    <cellStyle name="40% - Accent3 21" xfId="35724" xr:uid="{00000000-0005-0000-0000-0000C74A0000}"/>
    <cellStyle name="40% - Accent3 21 2" xfId="36894" xr:uid="{00000000-0005-0000-0000-0000C84A0000}"/>
    <cellStyle name="40% - Accent3 21 3" xfId="37785" xr:uid="{00000000-0005-0000-0000-0000C94A0000}"/>
    <cellStyle name="40% - Accent3 22" xfId="35743" xr:uid="{00000000-0005-0000-0000-0000CA4A0000}"/>
    <cellStyle name="40% - Accent3 22 2" xfId="36914" xr:uid="{00000000-0005-0000-0000-0000CB4A0000}"/>
    <cellStyle name="40% - Accent3 22 3" xfId="37805" xr:uid="{00000000-0005-0000-0000-0000CC4A0000}"/>
    <cellStyle name="40% - Accent3 23" xfId="35763" xr:uid="{00000000-0005-0000-0000-0000CD4A0000}"/>
    <cellStyle name="40% - Accent3 23 2" xfId="36933" xr:uid="{00000000-0005-0000-0000-0000CE4A0000}"/>
    <cellStyle name="40% - Accent3 23 3" xfId="37825" xr:uid="{00000000-0005-0000-0000-0000CF4A0000}"/>
    <cellStyle name="40% - Accent3 24" xfId="35783" xr:uid="{00000000-0005-0000-0000-0000D04A0000}"/>
    <cellStyle name="40% - Accent3 24 2" xfId="36952" xr:uid="{00000000-0005-0000-0000-0000D14A0000}"/>
    <cellStyle name="40% - Accent3 24 3" xfId="37845" xr:uid="{00000000-0005-0000-0000-0000D24A0000}"/>
    <cellStyle name="40% - Accent3 25" xfId="35802" xr:uid="{00000000-0005-0000-0000-0000D34A0000}"/>
    <cellStyle name="40% - Accent3 25 2" xfId="36972" xr:uid="{00000000-0005-0000-0000-0000D44A0000}"/>
    <cellStyle name="40% - Accent3 25 3" xfId="37865" xr:uid="{00000000-0005-0000-0000-0000D54A0000}"/>
    <cellStyle name="40% - Accent3 26" xfId="35821" xr:uid="{00000000-0005-0000-0000-0000D64A0000}"/>
    <cellStyle name="40% - Accent3 26 2" xfId="36992" xr:uid="{00000000-0005-0000-0000-0000D74A0000}"/>
    <cellStyle name="40% - Accent3 26 3" xfId="37885" xr:uid="{00000000-0005-0000-0000-0000D84A0000}"/>
    <cellStyle name="40% - Accent3 27" xfId="35840" xr:uid="{00000000-0005-0000-0000-0000D94A0000}"/>
    <cellStyle name="40% - Accent3 27 2" xfId="37012" xr:uid="{00000000-0005-0000-0000-0000DA4A0000}"/>
    <cellStyle name="40% - Accent3 27 3" xfId="37905" xr:uid="{00000000-0005-0000-0000-0000DB4A0000}"/>
    <cellStyle name="40% - Accent3 28" xfId="35859" xr:uid="{00000000-0005-0000-0000-0000DC4A0000}"/>
    <cellStyle name="40% - Accent3 28 2" xfId="37032" xr:uid="{00000000-0005-0000-0000-0000DD4A0000}"/>
    <cellStyle name="40% - Accent3 28 3" xfId="37925" xr:uid="{00000000-0005-0000-0000-0000DE4A0000}"/>
    <cellStyle name="40% - Accent3 29" xfId="35879" xr:uid="{00000000-0005-0000-0000-0000DF4A0000}"/>
    <cellStyle name="40% - Accent3 29 2" xfId="37051" xr:uid="{00000000-0005-0000-0000-0000E04A0000}"/>
    <cellStyle name="40% - Accent3 29 3" xfId="37945" xr:uid="{00000000-0005-0000-0000-0000E14A0000}"/>
    <cellStyle name="40% - Accent3 3" xfId="105" xr:uid="{00000000-0005-0000-0000-0000E24A0000}"/>
    <cellStyle name="40% - Accent3 3 10" xfId="12709" xr:uid="{00000000-0005-0000-0000-0000E34A0000}"/>
    <cellStyle name="40% - Accent3 3 10 2" xfId="37445" xr:uid="{00000000-0005-0000-0000-0000E44A0000}"/>
    <cellStyle name="40% - Accent3 3 11" xfId="34459" xr:uid="{00000000-0005-0000-0000-0000E54A0000}"/>
    <cellStyle name="40% - Accent3 3 12" xfId="13773" xr:uid="{00000000-0005-0000-0000-0000E64A0000}"/>
    <cellStyle name="40% - Accent3 3 2" xfId="166" xr:uid="{00000000-0005-0000-0000-0000E74A0000}"/>
    <cellStyle name="40% - Accent3 3 2 10" xfId="34512" xr:uid="{00000000-0005-0000-0000-0000E84A0000}"/>
    <cellStyle name="40% - Accent3 3 2 11" xfId="12825" xr:uid="{00000000-0005-0000-0000-0000E94A0000}"/>
    <cellStyle name="40% - Accent3 3 2 2" xfId="12708" xr:uid="{00000000-0005-0000-0000-0000EA4A0000}"/>
    <cellStyle name="40% - Accent3 3 2 2 2" xfId="7233" xr:uid="{00000000-0005-0000-0000-0000EB4A0000}"/>
    <cellStyle name="40% - Accent3 3 2 2 2 2" xfId="12705" xr:uid="{00000000-0005-0000-0000-0000EC4A0000}"/>
    <cellStyle name="40% - Accent3 3 2 2 2 2 2" xfId="7231" xr:uid="{00000000-0005-0000-0000-0000ED4A0000}"/>
    <cellStyle name="40% - Accent3 3 2 2 2 2 2 2" xfId="31269" xr:uid="{00000000-0005-0000-0000-0000EE4A0000}"/>
    <cellStyle name="40% - Accent3 3 2 2 2 2 2 2 2" xfId="12703" xr:uid="{00000000-0005-0000-0000-0000EF4A0000}"/>
    <cellStyle name="40% - Accent3 3 2 2 2 2 2 2 2 2" xfId="27175" xr:uid="{00000000-0005-0000-0000-0000F04A0000}"/>
    <cellStyle name="40% - Accent3 3 2 2 2 2 2 2 2 2 2" xfId="12701" xr:uid="{00000000-0005-0000-0000-0000F14A0000}"/>
    <cellStyle name="40% - Accent3 3 2 2 2 2 2 2 2 3" xfId="21149" xr:uid="{00000000-0005-0000-0000-0000F24A0000}"/>
    <cellStyle name="40% - Accent3 3 2 2 2 2 2 2 3" xfId="12700" xr:uid="{00000000-0005-0000-0000-0000F34A0000}"/>
    <cellStyle name="40% - Accent3 3 2 2 2 2 2 2 3 2" xfId="13060" xr:uid="{00000000-0005-0000-0000-0000F44A0000}"/>
    <cellStyle name="40% - Accent3 3 2 2 2 2 2 2 4" xfId="17603" xr:uid="{00000000-0005-0000-0000-0000F54A0000}"/>
    <cellStyle name="40% - Accent3 3 2 2 2 2 2 3" xfId="12698" xr:uid="{00000000-0005-0000-0000-0000F64A0000}"/>
    <cellStyle name="40% - Accent3 3 2 2 2 2 2 3 2" xfId="15920" xr:uid="{00000000-0005-0000-0000-0000F74A0000}"/>
    <cellStyle name="40% - Accent3 3 2 2 2 2 2 3 2 2" xfId="9586" xr:uid="{00000000-0005-0000-0000-0000F84A0000}"/>
    <cellStyle name="40% - Accent3 3 2 2 2 2 2 3 3" xfId="15910" xr:uid="{00000000-0005-0000-0000-0000F94A0000}"/>
    <cellStyle name="40% - Accent3 3 2 2 2 2 2 4" xfId="12697" xr:uid="{00000000-0005-0000-0000-0000FA4A0000}"/>
    <cellStyle name="40% - Accent3 3 2 2 2 2 2 4 2" xfId="15904" xr:uid="{00000000-0005-0000-0000-0000FB4A0000}"/>
    <cellStyle name="40% - Accent3 3 2 2 2 2 2 5" xfId="12696" xr:uid="{00000000-0005-0000-0000-0000FC4A0000}"/>
    <cellStyle name="40% - Accent3 3 2 2 2 2 3" xfId="7228" xr:uid="{00000000-0005-0000-0000-0000FD4A0000}"/>
    <cellStyle name="40% - Accent3 3 2 2 2 2 3 2" xfId="12694" xr:uid="{00000000-0005-0000-0000-0000FE4A0000}"/>
    <cellStyle name="40% - Accent3 3 2 2 2 2 3 2 2" xfId="12693" xr:uid="{00000000-0005-0000-0000-0000FF4A0000}"/>
    <cellStyle name="40% - Accent3 3 2 2 2 2 3 2 2 2" xfId="17370" xr:uid="{00000000-0005-0000-0000-0000004B0000}"/>
    <cellStyle name="40% - Accent3 3 2 2 2 2 3 2 3" xfId="12690" xr:uid="{00000000-0005-0000-0000-0000014B0000}"/>
    <cellStyle name="40% - Accent3 3 2 2 2 2 3 3" xfId="12687" xr:uid="{00000000-0005-0000-0000-0000024B0000}"/>
    <cellStyle name="40% - Accent3 3 2 2 2 2 3 3 2" xfId="15891" xr:uid="{00000000-0005-0000-0000-0000034B0000}"/>
    <cellStyle name="40% - Accent3 3 2 2 2 2 3 4" xfId="12685" xr:uid="{00000000-0005-0000-0000-0000044B0000}"/>
    <cellStyle name="40% - Accent3 3 2 2 2 2 4" xfId="7226" xr:uid="{00000000-0005-0000-0000-0000054B0000}"/>
    <cellStyle name="40% - Accent3 3 2 2 2 2 4 2" xfId="12680" xr:uid="{00000000-0005-0000-0000-0000064B0000}"/>
    <cellStyle name="40% - Accent3 3 2 2 2 2 4 2 2" xfId="33165" xr:uid="{00000000-0005-0000-0000-0000074B0000}"/>
    <cellStyle name="40% - Accent3 3 2 2 2 2 4 3" xfId="12678" xr:uid="{00000000-0005-0000-0000-0000084B0000}"/>
    <cellStyle name="40% - Accent3 3 2 2 2 2 5" xfId="12675" xr:uid="{00000000-0005-0000-0000-0000094B0000}"/>
    <cellStyle name="40% - Accent3 3 2 2 2 2 5 2" xfId="23172" xr:uid="{00000000-0005-0000-0000-00000A4B0000}"/>
    <cellStyle name="40% - Accent3 3 2 2 2 2 6" xfId="12673" xr:uid="{00000000-0005-0000-0000-00000B4B0000}"/>
    <cellStyle name="40% - Accent3 3 2 2 2 3" xfId="9663" xr:uid="{00000000-0005-0000-0000-00000C4B0000}"/>
    <cellStyle name="40% - Accent3 3 2 2 2 3 2" xfId="12670" xr:uid="{00000000-0005-0000-0000-00000D4B0000}"/>
    <cellStyle name="40% - Accent3 3 2 2 2 3 2 2" xfId="12668" xr:uid="{00000000-0005-0000-0000-00000E4B0000}"/>
    <cellStyle name="40% - Accent3 3 2 2 2 3 2 2 2" xfId="12665" xr:uid="{00000000-0005-0000-0000-00000F4B0000}"/>
    <cellStyle name="40% - Accent3 3 2 2 2 3 2 2 2 2" xfId="16230" xr:uid="{00000000-0005-0000-0000-0000104B0000}"/>
    <cellStyle name="40% - Accent3 3 2 2 2 3 2 2 3" xfId="12662" xr:uid="{00000000-0005-0000-0000-0000114B0000}"/>
    <cellStyle name="40% - Accent3 3 2 2 2 3 2 3" xfId="12661" xr:uid="{00000000-0005-0000-0000-0000124B0000}"/>
    <cellStyle name="40% - Accent3 3 2 2 2 3 2 3 2" xfId="15772" xr:uid="{00000000-0005-0000-0000-0000134B0000}"/>
    <cellStyle name="40% - Accent3 3 2 2 2 3 2 4" xfId="12657" xr:uid="{00000000-0005-0000-0000-0000144B0000}"/>
    <cellStyle name="40% - Accent3 3 2 2 2 3 3" xfId="9657" xr:uid="{00000000-0005-0000-0000-0000154B0000}"/>
    <cellStyle name="40% - Accent3 3 2 2 2 3 3 2" xfId="12656" xr:uid="{00000000-0005-0000-0000-0000164B0000}"/>
    <cellStyle name="40% - Accent3 3 2 2 2 3 3 2 2" xfId="12655" xr:uid="{00000000-0005-0000-0000-0000174B0000}"/>
    <cellStyle name="40% - Accent3 3 2 2 2 3 3 3" xfId="12654" xr:uid="{00000000-0005-0000-0000-0000184B0000}"/>
    <cellStyle name="40% - Accent3 3 2 2 2 3 4" xfId="12653" xr:uid="{00000000-0005-0000-0000-0000194B0000}"/>
    <cellStyle name="40% - Accent3 3 2 2 2 3 4 2" xfId="12650" xr:uid="{00000000-0005-0000-0000-00001A4B0000}"/>
    <cellStyle name="40% - Accent3 3 2 2 2 3 5" xfId="12648" xr:uid="{00000000-0005-0000-0000-00001B4B0000}"/>
    <cellStyle name="40% - Accent3 3 2 2 2 4" xfId="9653" xr:uid="{00000000-0005-0000-0000-00001C4B0000}"/>
    <cellStyle name="40% - Accent3 3 2 2 2 4 2" xfId="9650" xr:uid="{00000000-0005-0000-0000-00001D4B0000}"/>
    <cellStyle name="40% - Accent3 3 2 2 2 4 2 2" xfId="12646" xr:uid="{00000000-0005-0000-0000-00001E4B0000}"/>
    <cellStyle name="40% - Accent3 3 2 2 2 4 2 2 2" xfId="12645" xr:uid="{00000000-0005-0000-0000-00001F4B0000}"/>
    <cellStyle name="40% - Accent3 3 2 2 2 4 2 3" xfId="12643" xr:uid="{00000000-0005-0000-0000-0000204B0000}"/>
    <cellStyle name="40% - Accent3 3 2 2 2 4 3" xfId="17567" xr:uid="{00000000-0005-0000-0000-0000214B0000}"/>
    <cellStyle name="40% - Accent3 3 2 2 2 4 3 2" xfId="12642" xr:uid="{00000000-0005-0000-0000-0000224B0000}"/>
    <cellStyle name="40% - Accent3 3 2 2 2 4 4" xfId="12641" xr:uid="{00000000-0005-0000-0000-0000234B0000}"/>
    <cellStyle name="40% - Accent3 3 2 2 2 5" xfId="9647" xr:uid="{00000000-0005-0000-0000-0000244B0000}"/>
    <cellStyle name="40% - Accent3 3 2 2 2 5 2" xfId="12639" xr:uid="{00000000-0005-0000-0000-0000254B0000}"/>
    <cellStyle name="40% - Accent3 3 2 2 2 5 2 2" xfId="14925" xr:uid="{00000000-0005-0000-0000-0000264B0000}"/>
    <cellStyle name="40% - Accent3 3 2 2 2 5 3" xfId="12638" xr:uid="{00000000-0005-0000-0000-0000274B0000}"/>
    <cellStyle name="40% - Accent3 3 2 2 2 6" xfId="12637" xr:uid="{00000000-0005-0000-0000-0000284B0000}"/>
    <cellStyle name="40% - Accent3 3 2 2 2 6 2" xfId="12636" xr:uid="{00000000-0005-0000-0000-0000294B0000}"/>
    <cellStyle name="40% - Accent3 3 2 2 2 7" xfId="22570" xr:uid="{00000000-0005-0000-0000-00002A4B0000}"/>
    <cellStyle name="40% - Accent3 3 2 2 3" xfId="12635" xr:uid="{00000000-0005-0000-0000-00002B4B0000}"/>
    <cellStyle name="40% - Accent3 3 2 2 3 2" xfId="7223" xr:uid="{00000000-0005-0000-0000-00002C4B0000}"/>
    <cellStyle name="40% - Accent3 3 2 2 3 2 2" xfId="7220" xr:uid="{00000000-0005-0000-0000-00002D4B0000}"/>
    <cellStyle name="40% - Accent3 3 2 2 3 2 2 2" xfId="12632" xr:uid="{00000000-0005-0000-0000-00002E4B0000}"/>
    <cellStyle name="40% - Accent3 3 2 2 3 2 2 2 2" xfId="12631" xr:uid="{00000000-0005-0000-0000-00002F4B0000}"/>
    <cellStyle name="40% - Accent3 3 2 2 3 2 2 2 2 2" xfId="12628" xr:uid="{00000000-0005-0000-0000-0000304B0000}"/>
    <cellStyle name="40% - Accent3 3 2 2 3 2 2 2 3" xfId="12624" xr:uid="{00000000-0005-0000-0000-0000314B0000}"/>
    <cellStyle name="40% - Accent3 3 2 2 3 2 2 3" xfId="12622" xr:uid="{00000000-0005-0000-0000-0000324B0000}"/>
    <cellStyle name="40% - Accent3 3 2 2 3 2 2 3 2" xfId="13942" xr:uid="{00000000-0005-0000-0000-0000334B0000}"/>
    <cellStyle name="40% - Accent3 3 2 2 3 2 2 4" xfId="20790" xr:uid="{00000000-0005-0000-0000-0000344B0000}"/>
    <cellStyle name="40% - Accent3 3 2 2 3 2 3" xfId="7218" xr:uid="{00000000-0005-0000-0000-0000354B0000}"/>
    <cellStyle name="40% - Accent3 3 2 2 3 2 3 2" xfId="12621" xr:uid="{00000000-0005-0000-0000-0000364B0000}"/>
    <cellStyle name="40% - Accent3 3 2 2 3 2 3 2 2" xfId="12620" xr:uid="{00000000-0005-0000-0000-0000374B0000}"/>
    <cellStyle name="40% - Accent3 3 2 2 3 2 3 3" xfId="12618" xr:uid="{00000000-0005-0000-0000-0000384B0000}"/>
    <cellStyle name="40% - Accent3 3 2 2 3 2 4" xfId="12617" xr:uid="{00000000-0005-0000-0000-0000394B0000}"/>
    <cellStyle name="40% - Accent3 3 2 2 3 2 4 2" xfId="12611" xr:uid="{00000000-0005-0000-0000-00003A4B0000}"/>
    <cellStyle name="40% - Accent3 3 2 2 3 2 5" xfId="12609" xr:uid="{00000000-0005-0000-0000-00003B4B0000}"/>
    <cellStyle name="40% - Accent3 3 2 2 3 3" xfId="9642" xr:uid="{00000000-0005-0000-0000-00003C4B0000}"/>
    <cellStyle name="40% - Accent3 3 2 2 3 3 2" xfId="12602" xr:uid="{00000000-0005-0000-0000-00003D4B0000}"/>
    <cellStyle name="40% - Accent3 3 2 2 3 3 2 2" xfId="32234" xr:uid="{00000000-0005-0000-0000-00003E4B0000}"/>
    <cellStyle name="40% - Accent3 3 2 2 3 3 2 2 2" xfId="12600" xr:uid="{00000000-0005-0000-0000-00003F4B0000}"/>
    <cellStyle name="40% - Accent3 3 2 2 3 3 2 3" xfId="12598" xr:uid="{00000000-0005-0000-0000-0000404B0000}"/>
    <cellStyle name="40% - Accent3 3 2 2 3 3 3" xfId="12596" xr:uid="{00000000-0005-0000-0000-0000414B0000}"/>
    <cellStyle name="40% - Accent3 3 2 2 3 3 3 2" xfId="12593" xr:uid="{00000000-0005-0000-0000-0000424B0000}"/>
    <cellStyle name="40% - Accent3 3 2 2 3 3 4" xfId="12591" xr:uid="{00000000-0005-0000-0000-0000434B0000}"/>
    <cellStyle name="40% - Accent3 3 2 2 3 4" xfId="6670" xr:uid="{00000000-0005-0000-0000-0000444B0000}"/>
    <cellStyle name="40% - Accent3 3 2 2 3 4 2" xfId="12585" xr:uid="{00000000-0005-0000-0000-0000454B0000}"/>
    <cellStyle name="40% - Accent3 3 2 2 3 4 2 2" xfId="12584" xr:uid="{00000000-0005-0000-0000-0000464B0000}"/>
    <cellStyle name="40% - Accent3 3 2 2 3 4 3" xfId="12583" xr:uid="{00000000-0005-0000-0000-0000474B0000}"/>
    <cellStyle name="40% - Accent3 3 2 2 3 5" xfId="8071" xr:uid="{00000000-0005-0000-0000-0000484B0000}"/>
    <cellStyle name="40% - Accent3 3 2 2 3 5 2" xfId="12581" xr:uid="{00000000-0005-0000-0000-0000494B0000}"/>
    <cellStyle name="40% - Accent3 3 2 2 3 6" xfId="12579" xr:uid="{00000000-0005-0000-0000-00004A4B0000}"/>
    <cellStyle name="40% - Accent3 3 2 2 4" xfId="25445" xr:uid="{00000000-0005-0000-0000-00004B4B0000}"/>
    <cellStyle name="40% - Accent3 3 2 2 4 2" xfId="7214" xr:uid="{00000000-0005-0000-0000-00004C4B0000}"/>
    <cellStyle name="40% - Accent3 3 2 2 4 2 2" xfId="12578" xr:uid="{00000000-0005-0000-0000-00004D4B0000}"/>
    <cellStyle name="40% - Accent3 3 2 2 4 2 2 2" xfId="12576" xr:uid="{00000000-0005-0000-0000-00004E4B0000}"/>
    <cellStyle name="40% - Accent3 3 2 2 4 2 2 2 2" xfId="12575" xr:uid="{00000000-0005-0000-0000-00004F4B0000}"/>
    <cellStyle name="40% - Accent3 3 2 2 4 2 2 3" xfId="28881" xr:uid="{00000000-0005-0000-0000-0000504B0000}"/>
    <cellStyle name="40% - Accent3 3 2 2 4 2 3" xfId="30358" xr:uid="{00000000-0005-0000-0000-0000514B0000}"/>
    <cellStyle name="40% - Accent3 3 2 2 4 2 3 2" xfId="12572" xr:uid="{00000000-0005-0000-0000-0000524B0000}"/>
    <cellStyle name="40% - Accent3 3 2 2 4 2 4" xfId="12571" xr:uid="{00000000-0005-0000-0000-0000534B0000}"/>
    <cellStyle name="40% - Accent3 3 2 2 4 3" xfId="9637" xr:uid="{00000000-0005-0000-0000-0000544B0000}"/>
    <cellStyle name="40% - Accent3 3 2 2 4 3 2" xfId="16048" xr:uid="{00000000-0005-0000-0000-0000554B0000}"/>
    <cellStyle name="40% - Accent3 3 2 2 4 3 2 2" xfId="12564" xr:uid="{00000000-0005-0000-0000-0000564B0000}"/>
    <cellStyle name="40% - Accent3 3 2 2 4 3 3" xfId="16044" xr:uid="{00000000-0005-0000-0000-0000574B0000}"/>
    <cellStyle name="40% - Accent3 3 2 2 4 4" xfId="6667" xr:uid="{00000000-0005-0000-0000-0000584B0000}"/>
    <cellStyle name="40% - Accent3 3 2 2 4 4 2" xfId="16032" xr:uid="{00000000-0005-0000-0000-0000594B0000}"/>
    <cellStyle name="40% - Accent3 3 2 2 4 5" xfId="16028" xr:uid="{00000000-0005-0000-0000-00005A4B0000}"/>
    <cellStyle name="40% - Accent3 3 2 2 5" xfId="21808" xr:uid="{00000000-0005-0000-0000-00005B4B0000}"/>
    <cellStyle name="40% - Accent3 3 2 2 5 2" xfId="7212" xr:uid="{00000000-0005-0000-0000-00005C4B0000}"/>
    <cellStyle name="40% - Accent3 3 2 2 5 2 2" xfId="12563" xr:uid="{00000000-0005-0000-0000-00005D4B0000}"/>
    <cellStyle name="40% - Accent3 3 2 2 5 2 2 2" xfId="12561" xr:uid="{00000000-0005-0000-0000-00005E4B0000}"/>
    <cellStyle name="40% - Accent3 3 2 2 5 2 3" xfId="13501" xr:uid="{00000000-0005-0000-0000-00005F4B0000}"/>
    <cellStyle name="40% - Accent3 3 2 2 5 3" xfId="16019" xr:uid="{00000000-0005-0000-0000-0000604B0000}"/>
    <cellStyle name="40% - Accent3 3 2 2 5 3 2" xfId="16015" xr:uid="{00000000-0005-0000-0000-0000614B0000}"/>
    <cellStyle name="40% - Accent3 3 2 2 5 4" xfId="16001" xr:uid="{00000000-0005-0000-0000-0000624B0000}"/>
    <cellStyle name="40% - Accent3 3 2 2 6" xfId="30517" xr:uid="{00000000-0005-0000-0000-0000634B0000}"/>
    <cellStyle name="40% - Accent3 3 2 2 6 2" xfId="30509" xr:uid="{00000000-0005-0000-0000-0000644B0000}"/>
    <cellStyle name="40% - Accent3 3 2 2 6 2 2" xfId="30122" xr:uid="{00000000-0005-0000-0000-0000654B0000}"/>
    <cellStyle name="40% - Accent3 3 2 2 6 3" xfId="30503" xr:uid="{00000000-0005-0000-0000-0000664B0000}"/>
    <cellStyle name="40% - Accent3 3 2 2 7" xfId="30497" xr:uid="{00000000-0005-0000-0000-0000674B0000}"/>
    <cellStyle name="40% - Accent3 3 2 2 7 2" xfId="25921" xr:uid="{00000000-0005-0000-0000-0000684B0000}"/>
    <cellStyle name="40% - Accent3 3 2 2 8" xfId="30489" xr:uid="{00000000-0005-0000-0000-0000694B0000}"/>
    <cellStyle name="40% - Accent3 3 2 3" xfId="12560" xr:uid="{00000000-0005-0000-0000-00006A4B0000}"/>
    <cellStyle name="40% - Accent3 3 2 3 2" xfId="7209" xr:uid="{00000000-0005-0000-0000-00006B4B0000}"/>
    <cellStyle name="40% - Accent3 3 2 3 2 2" xfId="7205" xr:uid="{00000000-0005-0000-0000-00006C4B0000}"/>
    <cellStyle name="40% - Accent3 3 2 3 2 2 2" xfId="7202" xr:uid="{00000000-0005-0000-0000-00006D4B0000}"/>
    <cellStyle name="40% - Accent3 3 2 3 2 2 2 2" xfId="16457" xr:uid="{00000000-0005-0000-0000-00006E4B0000}"/>
    <cellStyle name="40% - Accent3 3 2 3 2 2 2 2 2" xfId="12557" xr:uid="{00000000-0005-0000-0000-00006F4B0000}"/>
    <cellStyle name="40% - Accent3 3 2 3 2 2 2 2 2 2" xfId="31039" xr:uid="{00000000-0005-0000-0000-0000704B0000}"/>
    <cellStyle name="40% - Accent3 3 2 3 2 2 2 2 3" xfId="12554" xr:uid="{00000000-0005-0000-0000-0000714B0000}"/>
    <cellStyle name="40% - Accent3 3 2 3 2 2 2 3" xfId="12551" xr:uid="{00000000-0005-0000-0000-0000724B0000}"/>
    <cellStyle name="40% - Accent3 3 2 3 2 2 2 3 2" xfId="12550" xr:uid="{00000000-0005-0000-0000-0000734B0000}"/>
    <cellStyle name="40% - Accent3 3 2 3 2 2 2 4" xfId="33377" xr:uid="{00000000-0005-0000-0000-0000744B0000}"/>
    <cellStyle name="40% - Accent3 3 2 3 2 2 3" xfId="7200" xr:uid="{00000000-0005-0000-0000-0000754B0000}"/>
    <cellStyle name="40% - Accent3 3 2 3 2 2 3 2" xfId="12547" xr:uid="{00000000-0005-0000-0000-0000764B0000}"/>
    <cellStyle name="40% - Accent3 3 2 3 2 2 3 2 2" xfId="12546" xr:uid="{00000000-0005-0000-0000-0000774B0000}"/>
    <cellStyle name="40% - Accent3 3 2 3 2 2 3 3" xfId="12543" xr:uid="{00000000-0005-0000-0000-0000784B0000}"/>
    <cellStyle name="40% - Accent3 3 2 3 2 2 4" xfId="12542" xr:uid="{00000000-0005-0000-0000-0000794B0000}"/>
    <cellStyle name="40% - Accent3 3 2 3 2 2 4 2" xfId="23048" xr:uid="{00000000-0005-0000-0000-00007A4B0000}"/>
    <cellStyle name="40% - Accent3 3 2 3 2 2 5" xfId="12540" xr:uid="{00000000-0005-0000-0000-00007B4B0000}"/>
    <cellStyle name="40% - Accent3 3 2 3 2 3" xfId="9622" xr:uid="{00000000-0005-0000-0000-00007C4B0000}"/>
    <cellStyle name="40% - Accent3 3 2 3 2 3 2" xfId="8178" xr:uid="{00000000-0005-0000-0000-00007D4B0000}"/>
    <cellStyle name="40% - Accent3 3 2 3 2 3 2 2" xfId="12537" xr:uid="{00000000-0005-0000-0000-00007E4B0000}"/>
    <cellStyle name="40% - Accent3 3 2 3 2 3 2 2 2" xfId="12536" xr:uid="{00000000-0005-0000-0000-00007F4B0000}"/>
    <cellStyle name="40% - Accent3 3 2 3 2 3 2 3" xfId="12531" xr:uid="{00000000-0005-0000-0000-0000804B0000}"/>
    <cellStyle name="40% - Accent3 3 2 3 2 3 3" xfId="26383" xr:uid="{00000000-0005-0000-0000-0000814B0000}"/>
    <cellStyle name="40% - Accent3 3 2 3 2 3 3 2" xfId="11312" xr:uid="{00000000-0005-0000-0000-0000824B0000}"/>
    <cellStyle name="40% - Accent3 3 2 3 2 3 4" xfId="12529" xr:uid="{00000000-0005-0000-0000-0000834B0000}"/>
    <cellStyle name="40% - Accent3 3 2 3 2 4" xfId="9616" xr:uid="{00000000-0005-0000-0000-0000844B0000}"/>
    <cellStyle name="40% - Accent3 3 2 3 2 4 2" xfId="34325" xr:uid="{00000000-0005-0000-0000-0000854B0000}"/>
    <cellStyle name="40% - Accent3 3 2 3 2 4 2 2" xfId="12527" xr:uid="{00000000-0005-0000-0000-0000864B0000}"/>
    <cellStyle name="40% - Accent3 3 2 3 2 4 3" xfId="12526" xr:uid="{00000000-0005-0000-0000-0000874B0000}"/>
    <cellStyle name="40% - Accent3 3 2 3 2 5" xfId="12525" xr:uid="{00000000-0005-0000-0000-0000884B0000}"/>
    <cellStyle name="40% - Accent3 3 2 3 2 5 2" xfId="23117" xr:uid="{00000000-0005-0000-0000-0000894B0000}"/>
    <cellStyle name="40% - Accent3 3 2 3 2 6" xfId="12523" xr:uid="{00000000-0005-0000-0000-00008A4B0000}"/>
    <cellStyle name="40% - Accent3 3 2 3 3" xfId="12522" xr:uid="{00000000-0005-0000-0000-00008B4B0000}"/>
    <cellStyle name="40% - Accent3 3 2 3 3 2" xfId="7197" xr:uid="{00000000-0005-0000-0000-00008C4B0000}"/>
    <cellStyle name="40% - Accent3 3 2 3 3 2 2" xfId="11755" xr:uid="{00000000-0005-0000-0000-00008D4B0000}"/>
    <cellStyle name="40% - Accent3 3 2 3 3 2 2 2" xfId="12518" xr:uid="{00000000-0005-0000-0000-00008E4B0000}"/>
    <cellStyle name="40% - Accent3 3 2 3 3 2 2 2 2" xfId="12516" xr:uid="{00000000-0005-0000-0000-00008F4B0000}"/>
    <cellStyle name="40% - Accent3 3 2 3 3 2 2 3" xfId="12509" xr:uid="{00000000-0005-0000-0000-0000904B0000}"/>
    <cellStyle name="40% - Accent3 3 2 3 3 2 3" xfId="12507" xr:uid="{00000000-0005-0000-0000-0000914B0000}"/>
    <cellStyle name="40% - Accent3 3 2 3 3 2 3 2" xfId="12505" xr:uid="{00000000-0005-0000-0000-0000924B0000}"/>
    <cellStyle name="40% - Accent3 3 2 3 3 2 4" xfId="12503" xr:uid="{00000000-0005-0000-0000-0000934B0000}"/>
    <cellStyle name="40% - Accent3 3 2 3 3 3" xfId="9611" xr:uid="{00000000-0005-0000-0000-0000944B0000}"/>
    <cellStyle name="40% - Accent3 3 2 3 3 3 2" xfId="26375" xr:uid="{00000000-0005-0000-0000-0000954B0000}"/>
    <cellStyle name="40% - Accent3 3 2 3 3 3 2 2" xfId="12496" xr:uid="{00000000-0005-0000-0000-0000964B0000}"/>
    <cellStyle name="40% - Accent3 3 2 3 3 3 3" xfId="12494" xr:uid="{00000000-0005-0000-0000-0000974B0000}"/>
    <cellStyle name="40% - Accent3 3 2 3 3 4" xfId="6662" xr:uid="{00000000-0005-0000-0000-0000984B0000}"/>
    <cellStyle name="40% - Accent3 3 2 3 3 4 2" xfId="12492" xr:uid="{00000000-0005-0000-0000-0000994B0000}"/>
    <cellStyle name="40% - Accent3 3 2 3 3 5" xfId="12491" xr:uid="{00000000-0005-0000-0000-00009A4B0000}"/>
    <cellStyle name="40% - Accent3 3 2 3 4" xfId="21803" xr:uid="{00000000-0005-0000-0000-00009B4B0000}"/>
    <cellStyle name="40% - Accent3 3 2 3 4 2" xfId="7194" xr:uid="{00000000-0005-0000-0000-00009C4B0000}"/>
    <cellStyle name="40% - Accent3 3 2 3 4 2 2" xfId="12488" xr:uid="{00000000-0005-0000-0000-00009D4B0000}"/>
    <cellStyle name="40% - Accent3 3 2 3 4 2 2 2" xfId="12487" xr:uid="{00000000-0005-0000-0000-00009E4B0000}"/>
    <cellStyle name="40% - Accent3 3 2 3 4 2 3" xfId="12485" xr:uid="{00000000-0005-0000-0000-00009F4B0000}"/>
    <cellStyle name="40% - Accent3 3 2 3 4 3" xfId="15979" xr:uid="{00000000-0005-0000-0000-0000A04B0000}"/>
    <cellStyle name="40% - Accent3 3 2 3 4 3 2" xfId="15976" xr:uid="{00000000-0005-0000-0000-0000A14B0000}"/>
    <cellStyle name="40% - Accent3 3 2 3 4 4" xfId="15970" xr:uid="{00000000-0005-0000-0000-0000A24B0000}"/>
    <cellStyle name="40% - Accent3 3 2 3 5" xfId="7192" xr:uid="{00000000-0005-0000-0000-0000A34B0000}"/>
    <cellStyle name="40% - Accent3 3 2 3 5 2" xfId="12483" xr:uid="{00000000-0005-0000-0000-0000A44B0000}"/>
    <cellStyle name="40% - Accent3 3 2 3 5 2 2" xfId="12481" xr:uid="{00000000-0005-0000-0000-0000A54B0000}"/>
    <cellStyle name="40% - Accent3 3 2 3 5 3" xfId="15952" xr:uid="{00000000-0005-0000-0000-0000A64B0000}"/>
    <cellStyle name="40% - Accent3 3 2 3 6" xfId="31033" xr:uid="{00000000-0005-0000-0000-0000A74B0000}"/>
    <cellStyle name="40% - Accent3 3 2 3 6 2" xfId="30457" xr:uid="{00000000-0005-0000-0000-0000A84B0000}"/>
    <cellStyle name="40% - Accent3 3 2 3 7" xfId="30455" xr:uid="{00000000-0005-0000-0000-0000A94B0000}"/>
    <cellStyle name="40% - Accent3 3 2 4" xfId="12479" xr:uid="{00000000-0005-0000-0000-0000AA4B0000}"/>
    <cellStyle name="40% - Accent3 3 2 4 2" xfId="7190" xr:uid="{00000000-0005-0000-0000-0000AB4B0000}"/>
    <cellStyle name="40% - Accent3 3 2 4 2 2" xfId="7187" xr:uid="{00000000-0005-0000-0000-0000AC4B0000}"/>
    <cellStyle name="40% - Accent3 3 2 4 2 2 2" xfId="7183" xr:uid="{00000000-0005-0000-0000-0000AD4B0000}"/>
    <cellStyle name="40% - Accent3 3 2 4 2 2 2 2" xfId="13101" xr:uid="{00000000-0005-0000-0000-0000AE4B0000}"/>
    <cellStyle name="40% - Accent3 3 2 4 2 2 2 2 2" xfId="26721" xr:uid="{00000000-0005-0000-0000-0000AF4B0000}"/>
    <cellStyle name="40% - Accent3 3 2 4 2 2 2 3" xfId="13097" xr:uid="{00000000-0005-0000-0000-0000B04B0000}"/>
    <cellStyle name="40% - Accent3 3 2 4 2 2 3" xfId="12471" xr:uid="{00000000-0005-0000-0000-0000B14B0000}"/>
    <cellStyle name="40% - Accent3 3 2 4 2 2 3 2" xfId="22952" xr:uid="{00000000-0005-0000-0000-0000B24B0000}"/>
    <cellStyle name="40% - Accent3 3 2 4 2 2 4" xfId="20635" xr:uid="{00000000-0005-0000-0000-0000B34B0000}"/>
    <cellStyle name="40% - Accent3 3 2 4 2 3" xfId="9600" xr:uid="{00000000-0005-0000-0000-0000B44B0000}"/>
    <cellStyle name="40% - Accent3 3 2 4 2 3 2" xfId="26349" xr:uid="{00000000-0005-0000-0000-0000B54B0000}"/>
    <cellStyle name="40% - Accent3 3 2 4 2 3 2 2" xfId="13075" xr:uid="{00000000-0005-0000-0000-0000B64B0000}"/>
    <cellStyle name="40% - Accent3 3 2 4 2 3 3" xfId="12469" xr:uid="{00000000-0005-0000-0000-0000B74B0000}"/>
    <cellStyle name="40% - Accent3 3 2 4 2 4" xfId="31609" xr:uid="{00000000-0005-0000-0000-0000B84B0000}"/>
    <cellStyle name="40% - Accent3 3 2 4 2 4 2" xfId="12468" xr:uid="{00000000-0005-0000-0000-0000B94B0000}"/>
    <cellStyle name="40% - Accent3 3 2 4 2 5" xfId="17615" xr:uid="{00000000-0005-0000-0000-0000BA4B0000}"/>
    <cellStyle name="40% - Accent3 3 2 4 3" xfId="12467" xr:uid="{00000000-0005-0000-0000-0000BB4B0000}"/>
    <cellStyle name="40% - Accent3 3 2 4 3 2" xfId="7181" xr:uid="{00000000-0005-0000-0000-0000BC4B0000}"/>
    <cellStyle name="40% - Accent3 3 2 4 3 2 2" xfId="12462" xr:uid="{00000000-0005-0000-0000-0000BD4B0000}"/>
    <cellStyle name="40% - Accent3 3 2 4 3 2 2 2" xfId="13041" xr:uid="{00000000-0005-0000-0000-0000BE4B0000}"/>
    <cellStyle name="40% - Accent3 3 2 4 3 2 3" xfId="12461" xr:uid="{00000000-0005-0000-0000-0000BF4B0000}"/>
    <cellStyle name="40% - Accent3 3 2 4 3 3" xfId="12702" xr:uid="{00000000-0005-0000-0000-0000C04B0000}"/>
    <cellStyle name="40% - Accent3 3 2 4 3 3 2" xfId="12459" xr:uid="{00000000-0005-0000-0000-0000C14B0000}"/>
    <cellStyle name="40% - Accent3 3 2 4 3 4" xfId="12699" xr:uid="{00000000-0005-0000-0000-0000C24B0000}"/>
    <cellStyle name="40% - Accent3 3 2 4 4" xfId="8697" xr:uid="{00000000-0005-0000-0000-0000C34B0000}"/>
    <cellStyle name="40% - Accent3 3 2 4 4 2" xfId="12457" xr:uid="{00000000-0005-0000-0000-0000C44B0000}"/>
    <cellStyle name="40% - Accent3 3 2 4 4 2 2" xfId="12456" xr:uid="{00000000-0005-0000-0000-0000C54B0000}"/>
    <cellStyle name="40% - Accent3 3 2 4 4 3" xfId="15918" xr:uid="{00000000-0005-0000-0000-0000C64B0000}"/>
    <cellStyle name="40% - Accent3 3 2 4 5" xfId="13487" xr:uid="{00000000-0005-0000-0000-0000C74B0000}"/>
    <cellStyle name="40% - Accent3 3 2 4 5 2" xfId="12455" xr:uid="{00000000-0005-0000-0000-0000C84B0000}"/>
    <cellStyle name="40% - Accent3 3 2 4 6" xfId="30425" xr:uid="{00000000-0005-0000-0000-0000C94B0000}"/>
    <cellStyle name="40% - Accent3 3 2 5" xfId="7178" xr:uid="{00000000-0005-0000-0000-0000CA4B0000}"/>
    <cellStyle name="40% - Accent3 3 2 5 2" xfId="7176" xr:uid="{00000000-0005-0000-0000-0000CB4B0000}"/>
    <cellStyle name="40% - Accent3 3 2 5 2 2" xfId="7174" xr:uid="{00000000-0005-0000-0000-0000CC4B0000}"/>
    <cellStyle name="40% - Accent3 3 2 5 2 2 2" xfId="12449" xr:uid="{00000000-0005-0000-0000-0000CD4B0000}"/>
    <cellStyle name="40% - Accent3 3 2 5 2 2 2 2" xfId="12984" xr:uid="{00000000-0005-0000-0000-0000CE4B0000}"/>
    <cellStyle name="40% - Accent3 3 2 5 2 2 3" xfId="15373" xr:uid="{00000000-0005-0000-0000-0000CF4B0000}"/>
    <cellStyle name="40% - Accent3 3 2 5 2 3" xfId="12448" xr:uid="{00000000-0005-0000-0000-0000D04B0000}"/>
    <cellStyle name="40% - Accent3 3 2 5 2 3 2" xfId="12447" xr:uid="{00000000-0005-0000-0000-0000D14B0000}"/>
    <cellStyle name="40% - Accent3 3 2 5 2 4" xfId="12446" xr:uid="{00000000-0005-0000-0000-0000D24B0000}"/>
    <cellStyle name="40% - Accent3 3 2 5 3" xfId="7171" xr:uid="{00000000-0005-0000-0000-0000D34B0000}"/>
    <cellStyle name="40% - Accent3 3 2 5 3 2" xfId="27855" xr:uid="{00000000-0005-0000-0000-0000D44B0000}"/>
    <cellStyle name="40% - Accent3 3 2 5 3 2 2" xfId="12443" xr:uid="{00000000-0005-0000-0000-0000D54B0000}"/>
    <cellStyle name="40% - Accent3 3 2 5 3 3" xfId="12692" xr:uid="{00000000-0005-0000-0000-0000D64B0000}"/>
    <cellStyle name="40% - Accent3 3 2 5 4" xfId="12441" xr:uid="{00000000-0005-0000-0000-0000D74B0000}"/>
    <cellStyle name="40% - Accent3 3 2 5 4 2" xfId="12440" xr:uid="{00000000-0005-0000-0000-0000D84B0000}"/>
    <cellStyle name="40% - Accent3 3 2 5 5" xfId="13479" xr:uid="{00000000-0005-0000-0000-0000D94B0000}"/>
    <cellStyle name="40% - Accent3 3 2 6" xfId="7169" xr:uid="{00000000-0005-0000-0000-0000DA4B0000}"/>
    <cellStyle name="40% - Accent3 3 2 6 2" xfId="7167" xr:uid="{00000000-0005-0000-0000-0000DB4B0000}"/>
    <cellStyle name="40% - Accent3 3 2 6 2 2" xfId="12439" xr:uid="{00000000-0005-0000-0000-0000DC4B0000}"/>
    <cellStyle name="40% - Accent3 3 2 6 2 2 2" xfId="12436" xr:uid="{00000000-0005-0000-0000-0000DD4B0000}"/>
    <cellStyle name="40% - Accent3 3 2 6 2 3" xfId="33481" xr:uid="{00000000-0005-0000-0000-0000DE4B0000}"/>
    <cellStyle name="40% - Accent3 3 2 6 3" xfId="17441" xr:uid="{00000000-0005-0000-0000-0000DF4B0000}"/>
    <cellStyle name="40% - Accent3 3 2 6 3 2" xfId="12435" xr:uid="{00000000-0005-0000-0000-0000E04B0000}"/>
    <cellStyle name="40% - Accent3 3 2 6 4" xfId="12434" xr:uid="{00000000-0005-0000-0000-0000E14B0000}"/>
    <cellStyle name="40% - Accent3 3 2 7" xfId="7164" xr:uid="{00000000-0005-0000-0000-0000E24B0000}"/>
    <cellStyle name="40% - Accent3 3 2 7 2" xfId="27487" xr:uid="{00000000-0005-0000-0000-0000E34B0000}"/>
    <cellStyle name="40% - Accent3 3 2 7 2 2" xfId="32591" xr:uid="{00000000-0005-0000-0000-0000E44B0000}"/>
    <cellStyle name="40% - Accent3 3 2 7 3" xfId="31530" xr:uid="{00000000-0005-0000-0000-0000E54B0000}"/>
    <cellStyle name="40% - Accent3 3 2 8" xfId="24368" xr:uid="{00000000-0005-0000-0000-0000E64B0000}"/>
    <cellStyle name="40% - Accent3 3 2 8 2" xfId="29909" xr:uid="{00000000-0005-0000-0000-0000E74B0000}"/>
    <cellStyle name="40% - Accent3 3 2 9" xfId="18299" xr:uid="{00000000-0005-0000-0000-0000E84B0000}"/>
    <cellStyle name="40% - Accent3 3 3" xfId="227" xr:uid="{00000000-0005-0000-0000-0000E94B0000}"/>
    <cellStyle name="40% - Accent3 3 3 10" xfId="12433" xr:uid="{00000000-0005-0000-0000-0000EA4B0000}"/>
    <cellStyle name="40% - Accent3 3 3 2" xfId="12429" xr:uid="{00000000-0005-0000-0000-0000EB4B0000}"/>
    <cellStyle name="40% - Accent3 3 3 2 2" xfId="12426" xr:uid="{00000000-0005-0000-0000-0000EC4B0000}"/>
    <cellStyle name="40% - Accent3 3 3 2 2 2" xfId="16220" xr:uid="{00000000-0005-0000-0000-0000ED4B0000}"/>
    <cellStyle name="40% - Accent3 3 3 2 2 2 2" xfId="33153" xr:uid="{00000000-0005-0000-0000-0000EE4B0000}"/>
    <cellStyle name="40% - Accent3 3 3 2 2 2 2 2" xfId="12424" xr:uid="{00000000-0005-0000-0000-0000EF4B0000}"/>
    <cellStyle name="40% - Accent3 3 3 2 2 2 2 2 2" xfId="12422" xr:uid="{00000000-0005-0000-0000-0000F04B0000}"/>
    <cellStyle name="40% - Accent3 3 3 2 2 2 2 2 2 2" xfId="12419" xr:uid="{00000000-0005-0000-0000-0000F14B0000}"/>
    <cellStyle name="40% - Accent3 3 3 2 2 2 2 2 3" xfId="22208" xr:uid="{00000000-0005-0000-0000-0000F24B0000}"/>
    <cellStyle name="40% - Accent3 3 3 2 2 2 2 3" xfId="12415" xr:uid="{00000000-0005-0000-0000-0000F34B0000}"/>
    <cellStyle name="40% - Accent3 3 3 2 2 2 2 3 2" xfId="12414" xr:uid="{00000000-0005-0000-0000-0000F44B0000}"/>
    <cellStyle name="40% - Accent3 3 3 2 2 2 2 4" xfId="12413" xr:uid="{00000000-0005-0000-0000-0000F54B0000}"/>
    <cellStyle name="40% - Accent3 3 3 2 2 2 3" xfId="7159" xr:uid="{00000000-0005-0000-0000-0000F64B0000}"/>
    <cellStyle name="40% - Accent3 3 3 2 2 2 3 2" xfId="12411" xr:uid="{00000000-0005-0000-0000-0000F74B0000}"/>
    <cellStyle name="40% - Accent3 3 3 2 2 2 3 2 2" xfId="21409" xr:uid="{00000000-0005-0000-0000-0000F84B0000}"/>
    <cellStyle name="40% - Accent3 3 3 2 2 2 3 3" xfId="12410" xr:uid="{00000000-0005-0000-0000-0000F94B0000}"/>
    <cellStyle name="40% - Accent3 3 3 2 2 2 4" xfId="17650" xr:uid="{00000000-0005-0000-0000-0000FA4B0000}"/>
    <cellStyle name="40% - Accent3 3 3 2 2 2 4 2" xfId="12409" xr:uid="{00000000-0005-0000-0000-0000FB4B0000}"/>
    <cellStyle name="40% - Accent3 3 3 2 2 2 5" xfId="26968" xr:uid="{00000000-0005-0000-0000-0000FC4B0000}"/>
    <cellStyle name="40% - Accent3 3 3 2 2 3" xfId="9580" xr:uid="{00000000-0005-0000-0000-0000FD4B0000}"/>
    <cellStyle name="40% - Accent3 3 3 2 2 3 2" xfId="9577" xr:uid="{00000000-0005-0000-0000-0000FE4B0000}"/>
    <cellStyle name="40% - Accent3 3 3 2 2 3 2 2" xfId="12405" xr:uid="{00000000-0005-0000-0000-0000FF4B0000}"/>
    <cellStyle name="40% - Accent3 3 3 2 2 3 2 2 2" xfId="12404" xr:uid="{00000000-0005-0000-0000-0000004C0000}"/>
    <cellStyle name="40% - Accent3 3 3 2 2 3 2 3" xfId="12401" xr:uid="{00000000-0005-0000-0000-0000014C0000}"/>
    <cellStyle name="40% - Accent3 3 3 2 2 3 3" xfId="17478" xr:uid="{00000000-0005-0000-0000-0000024C0000}"/>
    <cellStyle name="40% - Accent3 3 3 2 2 3 3 2" xfId="12400" xr:uid="{00000000-0005-0000-0000-0000034C0000}"/>
    <cellStyle name="40% - Accent3 3 3 2 2 3 4" xfId="28916" xr:uid="{00000000-0005-0000-0000-0000044C0000}"/>
    <cellStyle name="40% - Accent3 3 3 2 2 4" xfId="9574" xr:uid="{00000000-0005-0000-0000-0000054C0000}"/>
    <cellStyle name="40% - Accent3 3 3 2 2 4 2" xfId="12399" xr:uid="{00000000-0005-0000-0000-0000064C0000}"/>
    <cellStyle name="40% - Accent3 3 3 2 2 4 2 2" xfId="12398" xr:uid="{00000000-0005-0000-0000-0000074C0000}"/>
    <cellStyle name="40% - Accent3 3 3 2 2 4 3" xfId="26578" xr:uid="{00000000-0005-0000-0000-0000084C0000}"/>
    <cellStyle name="40% - Accent3 3 3 2 2 5" xfId="12397" xr:uid="{00000000-0005-0000-0000-0000094C0000}"/>
    <cellStyle name="40% - Accent3 3 3 2 2 5 2" xfId="12396" xr:uid="{00000000-0005-0000-0000-00000A4C0000}"/>
    <cellStyle name="40% - Accent3 3 3 2 2 6" xfId="19043" xr:uid="{00000000-0005-0000-0000-00000B4C0000}"/>
    <cellStyle name="40% - Accent3 3 3 2 3" xfId="12395" xr:uid="{00000000-0005-0000-0000-00000C4C0000}"/>
    <cellStyle name="40% - Accent3 3 3 2 3 2" xfId="7156" xr:uid="{00000000-0005-0000-0000-00000D4C0000}"/>
    <cellStyle name="40% - Accent3 3 3 2 3 2 2" xfId="7154" xr:uid="{00000000-0005-0000-0000-00000E4C0000}"/>
    <cellStyle name="40% - Accent3 3 3 2 3 2 2 2" xfId="12392" xr:uid="{00000000-0005-0000-0000-00000F4C0000}"/>
    <cellStyle name="40% - Accent3 3 3 2 3 2 2 2 2" xfId="12391" xr:uid="{00000000-0005-0000-0000-0000104C0000}"/>
    <cellStyle name="40% - Accent3 3 3 2 3 2 2 3" xfId="12388" xr:uid="{00000000-0005-0000-0000-0000114C0000}"/>
    <cellStyle name="40% - Accent3 3 3 2 3 2 3" xfId="28265" xr:uid="{00000000-0005-0000-0000-0000124C0000}"/>
    <cellStyle name="40% - Accent3 3 3 2 3 2 3 2" xfId="12387" xr:uid="{00000000-0005-0000-0000-0000134C0000}"/>
    <cellStyle name="40% - Accent3 3 3 2 3 2 4" xfId="30196" xr:uid="{00000000-0005-0000-0000-0000144C0000}"/>
    <cellStyle name="40% - Accent3 3 3 2 3 3" xfId="9571" xr:uid="{00000000-0005-0000-0000-0000154C0000}"/>
    <cellStyle name="40% - Accent3 3 3 2 3 3 2" xfId="33604" xr:uid="{00000000-0005-0000-0000-0000164C0000}"/>
    <cellStyle name="40% - Accent3 3 3 2 3 3 2 2" xfId="12386" xr:uid="{00000000-0005-0000-0000-0000174C0000}"/>
    <cellStyle name="40% - Accent3 3 3 2 3 3 3" xfId="28776" xr:uid="{00000000-0005-0000-0000-0000184C0000}"/>
    <cellStyle name="40% - Accent3 3 3 2 3 4" xfId="6639" xr:uid="{00000000-0005-0000-0000-0000194C0000}"/>
    <cellStyle name="40% - Accent3 3 3 2 3 4 2" xfId="27674" xr:uid="{00000000-0005-0000-0000-00001A4C0000}"/>
    <cellStyle name="40% - Accent3 3 3 2 3 5" xfId="12385" xr:uid="{00000000-0005-0000-0000-00001B4C0000}"/>
    <cellStyle name="40% - Accent3 3 3 2 4" xfId="12384" xr:uid="{00000000-0005-0000-0000-00001C4C0000}"/>
    <cellStyle name="40% - Accent3 3 3 2 4 2" xfId="7152" xr:uid="{00000000-0005-0000-0000-00001D4C0000}"/>
    <cellStyle name="40% - Accent3 3 3 2 4 2 2" xfId="33824" xr:uid="{00000000-0005-0000-0000-00001E4C0000}"/>
    <cellStyle name="40% - Accent3 3 3 2 4 2 2 2" xfId="12380" xr:uid="{00000000-0005-0000-0000-00001F4C0000}"/>
    <cellStyle name="40% - Accent3 3 3 2 4 2 3" xfId="30155" xr:uid="{00000000-0005-0000-0000-0000204C0000}"/>
    <cellStyle name="40% - Accent3 3 3 2 4 3" xfId="31082" xr:uid="{00000000-0005-0000-0000-0000214C0000}"/>
    <cellStyle name="40% - Accent3 3 3 2 4 3 2" xfId="15835" xr:uid="{00000000-0005-0000-0000-0000224C0000}"/>
    <cellStyle name="40% - Accent3 3 3 2 4 4" xfId="15828" xr:uid="{00000000-0005-0000-0000-0000234C0000}"/>
    <cellStyle name="40% - Accent3 3 3 2 5" xfId="13473" xr:uid="{00000000-0005-0000-0000-0000244C0000}"/>
    <cellStyle name="40% - Accent3 3 3 2 5 2" xfId="31827" xr:uid="{00000000-0005-0000-0000-0000254C0000}"/>
    <cellStyle name="40% - Accent3 3 3 2 5 2 2" xfId="12379" xr:uid="{00000000-0005-0000-0000-0000264C0000}"/>
    <cellStyle name="40% - Accent3 3 3 2 5 3" xfId="15822" xr:uid="{00000000-0005-0000-0000-0000274C0000}"/>
    <cellStyle name="40% - Accent3 3 3 2 6" xfId="29996" xr:uid="{00000000-0005-0000-0000-0000284C0000}"/>
    <cellStyle name="40% - Accent3 3 3 2 6 2" xfId="30576" xr:uid="{00000000-0005-0000-0000-0000294C0000}"/>
    <cellStyle name="40% - Accent3 3 3 2 7" xfId="29983" xr:uid="{00000000-0005-0000-0000-00002A4C0000}"/>
    <cellStyle name="40% - Accent3 3 3 3" xfId="12377" xr:uid="{00000000-0005-0000-0000-00002B4C0000}"/>
    <cellStyle name="40% - Accent3 3 3 3 2" xfId="12375" xr:uid="{00000000-0005-0000-0000-00002C4C0000}"/>
    <cellStyle name="40% - Accent3 3 3 3 2 2" xfId="7150" xr:uid="{00000000-0005-0000-0000-00002D4C0000}"/>
    <cellStyle name="40% - Accent3 3 3 3 2 2 2" xfId="6522" xr:uid="{00000000-0005-0000-0000-00002E4C0000}"/>
    <cellStyle name="40% - Accent3 3 3 3 2 2 2 2" xfId="12372" xr:uid="{00000000-0005-0000-0000-00002F4C0000}"/>
    <cellStyle name="40% - Accent3 3 3 3 2 2 2 2 2" xfId="27552" xr:uid="{00000000-0005-0000-0000-0000304C0000}"/>
    <cellStyle name="40% - Accent3 3 3 3 2 2 2 3" xfId="12371" xr:uid="{00000000-0005-0000-0000-0000314C0000}"/>
    <cellStyle name="40% - Accent3 3 3 3 2 2 3" xfId="6519" xr:uid="{00000000-0005-0000-0000-0000324C0000}"/>
    <cellStyle name="40% - Accent3 3 3 3 2 2 3 2" xfId="12370" xr:uid="{00000000-0005-0000-0000-0000334C0000}"/>
    <cellStyle name="40% - Accent3 3 3 3 2 2 4" xfId="31095" xr:uid="{00000000-0005-0000-0000-0000344C0000}"/>
    <cellStyle name="40% - Accent3 3 3 3 2 3" xfId="9561" xr:uid="{00000000-0005-0000-0000-0000354C0000}"/>
    <cellStyle name="40% - Accent3 3 3 3 2 3 2" xfId="6509" xr:uid="{00000000-0005-0000-0000-0000364C0000}"/>
    <cellStyle name="40% - Accent3 3 3 3 2 3 2 2" xfId="31818" xr:uid="{00000000-0005-0000-0000-0000374C0000}"/>
    <cellStyle name="40% - Accent3 3 3 3 2 3 3" xfId="31025" xr:uid="{00000000-0005-0000-0000-0000384C0000}"/>
    <cellStyle name="40% - Accent3 3 3 3 2 4" xfId="12369" xr:uid="{00000000-0005-0000-0000-0000394C0000}"/>
    <cellStyle name="40% - Accent3 3 3 3 2 4 2" xfId="12366" xr:uid="{00000000-0005-0000-0000-00003A4C0000}"/>
    <cellStyle name="40% - Accent3 3 3 3 2 5" xfId="12365" xr:uid="{00000000-0005-0000-0000-00003B4C0000}"/>
    <cellStyle name="40% - Accent3 3 3 3 3" xfId="16969" xr:uid="{00000000-0005-0000-0000-00003C4C0000}"/>
    <cellStyle name="40% - Accent3 3 3 3 3 2" xfId="7148" xr:uid="{00000000-0005-0000-0000-00003D4C0000}"/>
    <cellStyle name="40% - Accent3 3 3 3 3 2 2" xfId="10545" xr:uid="{00000000-0005-0000-0000-00003E4C0000}"/>
    <cellStyle name="40% - Accent3 3 3 3 3 2 2 2" xfId="12363" xr:uid="{00000000-0005-0000-0000-00003F4C0000}"/>
    <cellStyle name="40% - Accent3 3 3 3 3 2 3" xfId="16793" xr:uid="{00000000-0005-0000-0000-0000404C0000}"/>
    <cellStyle name="40% - Accent3 3 3 3 3 3" xfId="31077" xr:uid="{00000000-0005-0000-0000-0000414C0000}"/>
    <cellStyle name="40% - Accent3 3 3 3 3 3 2" xfId="12362" xr:uid="{00000000-0005-0000-0000-0000424C0000}"/>
    <cellStyle name="40% - Accent3 3 3 3 3 4" xfId="12360" xr:uid="{00000000-0005-0000-0000-0000434C0000}"/>
    <cellStyle name="40% - Accent3 3 3 3 4" xfId="12358" xr:uid="{00000000-0005-0000-0000-0000444C0000}"/>
    <cellStyle name="40% - Accent3 3 3 3 4 2" xfId="33211" xr:uid="{00000000-0005-0000-0000-0000454C0000}"/>
    <cellStyle name="40% - Accent3 3 3 3 4 2 2" xfId="12356" xr:uid="{00000000-0005-0000-0000-0000464C0000}"/>
    <cellStyle name="40% - Accent3 3 3 3 4 3" xfId="15797" xr:uid="{00000000-0005-0000-0000-0000474C0000}"/>
    <cellStyle name="40% - Accent3 3 3 3 5" xfId="13465" xr:uid="{00000000-0005-0000-0000-0000484C0000}"/>
    <cellStyle name="40% - Accent3 3 3 3 5 2" xfId="12354" xr:uid="{00000000-0005-0000-0000-0000494C0000}"/>
    <cellStyle name="40% - Accent3 3 3 3 6" xfId="29953" xr:uid="{00000000-0005-0000-0000-00004A4C0000}"/>
    <cellStyle name="40% - Accent3 3 3 4" xfId="12352" xr:uid="{00000000-0005-0000-0000-00004B4C0000}"/>
    <cellStyle name="40% - Accent3 3 3 4 2" xfId="12350" xr:uid="{00000000-0005-0000-0000-00004C4C0000}"/>
    <cellStyle name="40% - Accent3 3 3 4 2 2" xfId="7146" xr:uid="{00000000-0005-0000-0000-00004D4C0000}"/>
    <cellStyle name="40% - Accent3 3 3 4 2 2 2" xfId="12345" xr:uid="{00000000-0005-0000-0000-00004E4C0000}"/>
    <cellStyle name="40% - Accent3 3 3 4 2 2 2 2" xfId="12878" xr:uid="{00000000-0005-0000-0000-00004F4C0000}"/>
    <cellStyle name="40% - Accent3 3 3 4 2 2 3" xfId="23265" xr:uid="{00000000-0005-0000-0000-0000504C0000}"/>
    <cellStyle name="40% - Accent3 3 3 4 2 3" xfId="12343" xr:uid="{00000000-0005-0000-0000-0000514C0000}"/>
    <cellStyle name="40% - Accent3 3 3 4 2 3 2" xfId="12341" xr:uid="{00000000-0005-0000-0000-0000524C0000}"/>
    <cellStyle name="40% - Accent3 3 3 4 2 4" xfId="12340" xr:uid="{00000000-0005-0000-0000-0000534C0000}"/>
    <cellStyle name="40% - Accent3 3 3 4 3" xfId="12338" xr:uid="{00000000-0005-0000-0000-0000544C0000}"/>
    <cellStyle name="40% - Accent3 3 3 4 3 2" xfId="33999" xr:uid="{00000000-0005-0000-0000-0000554C0000}"/>
    <cellStyle name="40% - Accent3 3 3 4 3 2 2" xfId="12336" xr:uid="{00000000-0005-0000-0000-0000564C0000}"/>
    <cellStyle name="40% - Accent3 3 3 4 3 3" xfId="12664" xr:uid="{00000000-0005-0000-0000-0000574C0000}"/>
    <cellStyle name="40% - Accent3 3 3 4 4" xfId="12333" xr:uid="{00000000-0005-0000-0000-0000584C0000}"/>
    <cellStyle name="40% - Accent3 3 3 4 4 2" xfId="12330" xr:uid="{00000000-0005-0000-0000-0000594C0000}"/>
    <cellStyle name="40% - Accent3 3 3 4 5" xfId="13458" xr:uid="{00000000-0005-0000-0000-00005A4C0000}"/>
    <cellStyle name="40% - Accent3 3 3 5" xfId="17064" xr:uid="{00000000-0005-0000-0000-00005B4C0000}"/>
    <cellStyle name="40% - Accent3 3 3 5 2" xfId="12329" xr:uid="{00000000-0005-0000-0000-00005C4C0000}"/>
    <cellStyle name="40% - Accent3 3 3 5 2 2" xfId="12327" xr:uid="{00000000-0005-0000-0000-00005D4C0000}"/>
    <cellStyle name="40% - Accent3 3 3 5 2 2 2" xfId="12326" xr:uid="{00000000-0005-0000-0000-00005E4C0000}"/>
    <cellStyle name="40% - Accent3 3 3 5 2 3" xfId="12325" xr:uid="{00000000-0005-0000-0000-00005F4C0000}"/>
    <cellStyle name="40% - Accent3 3 3 5 3" xfId="12323" xr:uid="{00000000-0005-0000-0000-0000604C0000}"/>
    <cellStyle name="40% - Accent3 3 3 5 3 2" xfId="12321" xr:uid="{00000000-0005-0000-0000-0000614C0000}"/>
    <cellStyle name="40% - Accent3 3 3 5 4" xfId="7446" xr:uid="{00000000-0005-0000-0000-0000624C0000}"/>
    <cellStyle name="40% - Accent3 3 3 6" xfId="17060" xr:uid="{00000000-0005-0000-0000-0000634C0000}"/>
    <cellStyle name="40% - Accent3 3 3 6 2" xfId="17433" xr:uid="{00000000-0005-0000-0000-0000644C0000}"/>
    <cellStyle name="40% - Accent3 3 3 6 2 2" xfId="12320" xr:uid="{00000000-0005-0000-0000-0000654C0000}"/>
    <cellStyle name="40% - Accent3 3 3 6 3" xfId="12319" xr:uid="{00000000-0005-0000-0000-0000664C0000}"/>
    <cellStyle name="40% - Accent3 3 3 7" xfId="30021" xr:uid="{00000000-0005-0000-0000-0000674C0000}"/>
    <cellStyle name="40% - Accent3 3 3 7 2" xfId="29478" xr:uid="{00000000-0005-0000-0000-0000684C0000}"/>
    <cellStyle name="40% - Accent3 3 3 8" xfId="29468" xr:uid="{00000000-0005-0000-0000-0000694C0000}"/>
    <cellStyle name="40% - Accent3 3 3 9" xfId="34554" xr:uid="{00000000-0005-0000-0000-00006A4C0000}"/>
    <cellStyle name="40% - Accent3 3 4" xfId="12318" xr:uid="{00000000-0005-0000-0000-00006B4C0000}"/>
    <cellStyle name="40% - Accent3 3 4 2" xfId="12315" xr:uid="{00000000-0005-0000-0000-00006C4C0000}"/>
    <cellStyle name="40% - Accent3 3 4 2 2" xfId="12799" xr:uid="{00000000-0005-0000-0000-00006D4C0000}"/>
    <cellStyle name="40% - Accent3 3 4 2 2 2" xfId="7143" xr:uid="{00000000-0005-0000-0000-00006E4C0000}"/>
    <cellStyle name="40% - Accent3 3 4 2 2 2 2" xfId="7141" xr:uid="{00000000-0005-0000-0000-00006F4C0000}"/>
    <cellStyle name="40% - Accent3 3 4 2 2 2 2 2" xfId="14216" xr:uid="{00000000-0005-0000-0000-0000704C0000}"/>
    <cellStyle name="40% - Accent3 3 4 2 2 2 2 2 2" xfId="23458" xr:uid="{00000000-0005-0000-0000-0000714C0000}"/>
    <cellStyle name="40% - Accent3 3 4 2 2 2 2 3" xfId="12313" xr:uid="{00000000-0005-0000-0000-0000724C0000}"/>
    <cellStyle name="40% - Accent3 3 4 2 2 2 3" xfId="14251" xr:uid="{00000000-0005-0000-0000-0000734C0000}"/>
    <cellStyle name="40% - Accent3 3 4 2 2 2 3 2" xfId="12310" xr:uid="{00000000-0005-0000-0000-0000744C0000}"/>
    <cellStyle name="40% - Accent3 3 4 2 2 2 4" xfId="12785" xr:uid="{00000000-0005-0000-0000-0000754C0000}"/>
    <cellStyle name="40% - Accent3 3 4 2 2 3" xfId="9538" xr:uid="{00000000-0005-0000-0000-0000764C0000}"/>
    <cellStyle name="40% - Accent3 3 4 2 2 3 2" xfId="14244" xr:uid="{00000000-0005-0000-0000-0000774C0000}"/>
    <cellStyle name="40% - Accent3 3 4 2 2 3 2 2" xfId="27738" xr:uid="{00000000-0005-0000-0000-0000784C0000}"/>
    <cellStyle name="40% - Accent3 3 4 2 2 3 3" xfId="12777" xr:uid="{00000000-0005-0000-0000-0000794C0000}"/>
    <cellStyle name="40% - Accent3 3 4 2 2 4" xfId="17117" xr:uid="{00000000-0005-0000-0000-00007A4C0000}"/>
    <cellStyle name="40% - Accent3 3 4 2 2 4 2" xfId="12775" xr:uid="{00000000-0005-0000-0000-00007B4C0000}"/>
    <cellStyle name="40% - Accent3 3 4 2 2 5" xfId="13527" xr:uid="{00000000-0005-0000-0000-00007C4C0000}"/>
    <cellStyle name="40% - Accent3 3 4 2 3" xfId="12772" xr:uid="{00000000-0005-0000-0000-00007D4C0000}"/>
    <cellStyle name="40% - Accent3 3 4 2 3 2" xfId="7139" xr:uid="{00000000-0005-0000-0000-00007E4C0000}"/>
    <cellStyle name="40% - Accent3 3 4 2 3 2 2" xfId="24896" xr:uid="{00000000-0005-0000-0000-00007F4C0000}"/>
    <cellStyle name="40% - Accent3 3 4 2 3 2 2 2" xfId="12309" xr:uid="{00000000-0005-0000-0000-0000804C0000}"/>
    <cellStyle name="40% - Accent3 3 4 2 3 2 3" xfId="16148" xr:uid="{00000000-0005-0000-0000-0000814C0000}"/>
    <cellStyle name="40% - Accent3 3 4 2 3 3" xfId="31046" xr:uid="{00000000-0005-0000-0000-0000824C0000}"/>
    <cellStyle name="40% - Accent3 3 4 2 3 3 2" xfId="16143" xr:uid="{00000000-0005-0000-0000-0000834C0000}"/>
    <cellStyle name="40% - Accent3 3 4 2 3 4" xfId="12765" xr:uid="{00000000-0005-0000-0000-0000844C0000}"/>
    <cellStyle name="40% - Accent3 3 4 2 4" xfId="9784" xr:uid="{00000000-0005-0000-0000-0000854C0000}"/>
    <cellStyle name="40% - Accent3 3 4 2 4 2" xfId="32306" xr:uid="{00000000-0005-0000-0000-0000864C0000}"/>
    <cellStyle name="40% - Accent3 3 4 2 4 2 2" xfId="29348" xr:uid="{00000000-0005-0000-0000-0000874C0000}"/>
    <cellStyle name="40% - Accent3 3 4 2 4 3" xfId="15709" xr:uid="{00000000-0005-0000-0000-0000884C0000}"/>
    <cellStyle name="40% - Accent3 3 4 2 5" xfId="9780" xr:uid="{00000000-0005-0000-0000-0000894C0000}"/>
    <cellStyle name="40% - Accent3 3 4 2 5 2" xfId="12758" xr:uid="{00000000-0005-0000-0000-00008A4C0000}"/>
    <cellStyle name="40% - Accent3 3 4 2 6" xfId="32166" xr:uid="{00000000-0005-0000-0000-00008B4C0000}"/>
    <cellStyle name="40% - Accent3 3 4 3" xfId="12308" xr:uid="{00000000-0005-0000-0000-00008C4C0000}"/>
    <cellStyle name="40% - Accent3 3 4 3 2" xfId="13620" xr:uid="{00000000-0005-0000-0000-00008D4C0000}"/>
    <cellStyle name="40% - Accent3 3 4 3 2 2" xfId="7136" xr:uid="{00000000-0005-0000-0000-00008E4C0000}"/>
    <cellStyle name="40% - Accent3 3 4 3 2 2 2" xfId="14150" xr:uid="{00000000-0005-0000-0000-00008F4C0000}"/>
    <cellStyle name="40% - Accent3 3 4 3 2 2 2 2" xfId="12306" xr:uid="{00000000-0005-0000-0000-0000904C0000}"/>
    <cellStyle name="40% - Accent3 3 4 3 2 2 3" xfId="12746" xr:uid="{00000000-0005-0000-0000-0000914C0000}"/>
    <cellStyle name="40% - Accent3 3 4 3 2 3" xfId="13907" xr:uid="{00000000-0005-0000-0000-0000924C0000}"/>
    <cellStyle name="40% - Accent3 3 4 3 2 3 2" xfId="12744" xr:uid="{00000000-0005-0000-0000-0000934C0000}"/>
    <cellStyle name="40% - Accent3 3 4 3 2 4" xfId="12742" xr:uid="{00000000-0005-0000-0000-0000944C0000}"/>
    <cellStyle name="40% - Accent3 3 4 3 3" xfId="12738" xr:uid="{00000000-0005-0000-0000-0000954C0000}"/>
    <cellStyle name="40% - Accent3 3 4 3 3 2" xfId="32188" xr:uid="{00000000-0005-0000-0000-0000964C0000}"/>
    <cellStyle name="40% - Accent3 3 4 3 3 2 2" xfId="16128" xr:uid="{00000000-0005-0000-0000-0000974C0000}"/>
    <cellStyle name="40% - Accent3 3 4 3 3 3" xfId="12735" xr:uid="{00000000-0005-0000-0000-0000984C0000}"/>
    <cellStyle name="40% - Accent3 3 4 3 4" xfId="9776" xr:uid="{00000000-0005-0000-0000-0000994C0000}"/>
    <cellStyle name="40% - Accent3 3 4 3 4 2" xfId="12730" xr:uid="{00000000-0005-0000-0000-00009A4C0000}"/>
    <cellStyle name="40% - Accent3 3 4 3 5" xfId="13442" xr:uid="{00000000-0005-0000-0000-00009B4C0000}"/>
    <cellStyle name="40% - Accent3 3 4 4" xfId="12304" xr:uid="{00000000-0005-0000-0000-00009C4C0000}"/>
    <cellStyle name="40% - Accent3 3 4 4 2" xfId="28374" xr:uid="{00000000-0005-0000-0000-00009D4C0000}"/>
    <cellStyle name="40% - Accent3 3 4 4 2 2" xfId="31926" xr:uid="{00000000-0005-0000-0000-00009E4C0000}"/>
    <cellStyle name="40% - Accent3 3 4 4 2 2 2" xfId="12723" xr:uid="{00000000-0005-0000-0000-00009F4C0000}"/>
    <cellStyle name="40% - Accent3 3 4 4 2 3" xfId="16109" xr:uid="{00000000-0005-0000-0000-0000A04C0000}"/>
    <cellStyle name="40% - Accent3 3 4 4 3" xfId="31041" xr:uid="{00000000-0005-0000-0000-0000A14C0000}"/>
    <cellStyle name="40% - Accent3 3 4 4 3 2" xfId="16104" xr:uid="{00000000-0005-0000-0000-0000A24C0000}"/>
    <cellStyle name="40% - Accent3 3 4 4 4" xfId="12720" xr:uid="{00000000-0005-0000-0000-0000A34C0000}"/>
    <cellStyle name="40% - Accent3 3 4 5" xfId="17052" xr:uid="{00000000-0005-0000-0000-0000A44C0000}"/>
    <cellStyle name="40% - Accent3 3 4 5 2" xfId="31883" xr:uid="{00000000-0005-0000-0000-0000A54C0000}"/>
    <cellStyle name="40% - Accent3 3 4 5 2 2" xfId="16093" xr:uid="{00000000-0005-0000-0000-0000A64C0000}"/>
    <cellStyle name="40% - Accent3 3 4 5 3" xfId="15667" xr:uid="{00000000-0005-0000-0000-0000A74C0000}"/>
    <cellStyle name="40% - Accent3 3 4 6" xfId="17047" xr:uid="{00000000-0005-0000-0000-0000A84C0000}"/>
    <cellStyle name="40% - Accent3 3 4 6 2" xfId="12711" xr:uid="{00000000-0005-0000-0000-0000A94C0000}"/>
    <cellStyle name="40% - Accent3 3 4 7" xfId="29415" xr:uid="{00000000-0005-0000-0000-0000AA4C0000}"/>
    <cellStyle name="40% - Accent3 3 4 8" xfId="34776" xr:uid="{00000000-0005-0000-0000-0000AB4C0000}"/>
    <cellStyle name="40% - Accent3 3 5" xfId="12302" xr:uid="{00000000-0005-0000-0000-0000AC4C0000}"/>
    <cellStyle name="40% - Accent3 3 5 2" xfId="19610" xr:uid="{00000000-0005-0000-0000-0000AD4C0000}"/>
    <cellStyle name="40% - Accent3 3 5 2 2" xfId="12300" xr:uid="{00000000-0005-0000-0000-0000AE4C0000}"/>
    <cellStyle name="40% - Accent3 3 5 2 2 2" xfId="7134" xr:uid="{00000000-0005-0000-0000-0000AF4C0000}"/>
    <cellStyle name="40% - Accent3 3 5 2 2 2 2" xfId="14063" xr:uid="{00000000-0005-0000-0000-0000B04C0000}"/>
    <cellStyle name="40% - Accent3 3 5 2 2 2 2 2" xfId="12291" xr:uid="{00000000-0005-0000-0000-0000B14C0000}"/>
    <cellStyle name="40% - Accent3 3 5 2 2 2 3" xfId="12289" xr:uid="{00000000-0005-0000-0000-0000B24C0000}"/>
    <cellStyle name="40% - Accent3 3 5 2 2 3" xfId="12285" xr:uid="{00000000-0005-0000-0000-0000B34C0000}"/>
    <cellStyle name="40% - Accent3 3 5 2 2 3 2" xfId="12280" xr:uid="{00000000-0005-0000-0000-0000B44C0000}"/>
    <cellStyle name="40% - Accent3 3 5 2 2 4" xfId="23235" xr:uid="{00000000-0005-0000-0000-0000B54C0000}"/>
    <cellStyle name="40% - Accent3 3 5 2 3" xfId="12276" xr:uid="{00000000-0005-0000-0000-0000B64C0000}"/>
    <cellStyle name="40% - Accent3 3 5 2 3 2" xfId="31723" xr:uid="{00000000-0005-0000-0000-0000B74C0000}"/>
    <cellStyle name="40% - Accent3 3 5 2 3 2 2" xfId="16087" xr:uid="{00000000-0005-0000-0000-0000B84C0000}"/>
    <cellStyle name="40% - Accent3 3 5 2 3 3" xfId="12271" xr:uid="{00000000-0005-0000-0000-0000B94C0000}"/>
    <cellStyle name="40% - Accent3 3 5 2 4" xfId="9770" xr:uid="{00000000-0005-0000-0000-0000BA4C0000}"/>
    <cellStyle name="40% - Accent3 3 5 2 4 2" xfId="12266" xr:uid="{00000000-0005-0000-0000-0000BB4C0000}"/>
    <cellStyle name="40% - Accent3 3 5 2 5" xfId="10778" xr:uid="{00000000-0005-0000-0000-0000BC4C0000}"/>
    <cellStyle name="40% - Accent3 3 5 3" xfId="12297" xr:uid="{00000000-0005-0000-0000-0000BD4C0000}"/>
    <cellStyle name="40% - Accent3 3 5 3 2" xfId="12294" xr:uid="{00000000-0005-0000-0000-0000BE4C0000}"/>
    <cellStyle name="40% - Accent3 3 5 3 2 2" xfId="14062" xr:uid="{00000000-0005-0000-0000-0000BF4C0000}"/>
    <cellStyle name="40% - Accent3 3 5 3 2 2 2" xfId="12263" xr:uid="{00000000-0005-0000-0000-0000C04C0000}"/>
    <cellStyle name="40% - Accent3 3 5 3 2 3" xfId="8559" xr:uid="{00000000-0005-0000-0000-0000C14C0000}"/>
    <cellStyle name="40% - Accent3 3 5 3 3" xfId="12284" xr:uid="{00000000-0005-0000-0000-0000C24C0000}"/>
    <cellStyle name="40% - Accent3 3 5 3 3 2" xfId="12279" xr:uid="{00000000-0005-0000-0000-0000C34C0000}"/>
    <cellStyle name="40% - Accent3 3 5 3 4" xfId="13510" xr:uid="{00000000-0005-0000-0000-0000C44C0000}"/>
    <cellStyle name="40% - Accent3 3 5 4" xfId="12273" xr:uid="{00000000-0005-0000-0000-0000C54C0000}"/>
    <cellStyle name="40% - Accent3 3 5 4 2" xfId="5384" xr:uid="{00000000-0005-0000-0000-0000C64C0000}"/>
    <cellStyle name="40% - Accent3 3 5 4 2 2" xfId="16086" xr:uid="{00000000-0005-0000-0000-0000C74C0000}"/>
    <cellStyle name="40% - Accent3 3 5 4 3" xfId="12270" xr:uid="{00000000-0005-0000-0000-0000C84C0000}"/>
    <cellStyle name="40% - Accent3 3 5 5" xfId="34166" xr:uid="{00000000-0005-0000-0000-0000C94C0000}"/>
    <cellStyle name="40% - Accent3 3 5 5 2" xfId="12265" xr:uid="{00000000-0005-0000-0000-0000CA4C0000}"/>
    <cellStyle name="40% - Accent3 3 5 6" xfId="23242" xr:uid="{00000000-0005-0000-0000-0000CB4C0000}"/>
    <cellStyle name="40% - Accent3 3 5 7" xfId="34968" xr:uid="{00000000-0005-0000-0000-0000CC4C0000}"/>
    <cellStyle name="40% - Accent3 3 6" xfId="12257" xr:uid="{00000000-0005-0000-0000-0000CD4C0000}"/>
    <cellStyle name="40% - Accent3 3 6 2" xfId="13611" xr:uid="{00000000-0005-0000-0000-0000CE4C0000}"/>
    <cellStyle name="40% - Accent3 3 6 2 2" xfId="12256" xr:uid="{00000000-0005-0000-0000-0000CF4C0000}"/>
    <cellStyle name="40% - Accent3 3 6 2 2 2" xfId="12253" xr:uid="{00000000-0005-0000-0000-0000D04C0000}"/>
    <cellStyle name="40% - Accent3 3 6 2 2 2 2" xfId="12249" xr:uid="{00000000-0005-0000-0000-0000D14C0000}"/>
    <cellStyle name="40% - Accent3 3 6 2 2 3" xfId="12244" xr:uid="{00000000-0005-0000-0000-0000D24C0000}"/>
    <cellStyle name="40% - Accent3 3 6 2 3" xfId="13659" xr:uid="{00000000-0005-0000-0000-0000D34C0000}"/>
    <cellStyle name="40% - Accent3 3 6 2 3 2" xfId="12237" xr:uid="{00000000-0005-0000-0000-0000D44C0000}"/>
    <cellStyle name="40% - Accent3 3 6 2 4" xfId="23228" xr:uid="{00000000-0005-0000-0000-0000D54C0000}"/>
    <cellStyle name="40% - Accent3 3 6 3" xfId="12292" xr:uid="{00000000-0005-0000-0000-0000D64C0000}"/>
    <cellStyle name="40% - Accent3 3 6 3 2" xfId="14061" xr:uid="{00000000-0005-0000-0000-0000D74C0000}"/>
    <cellStyle name="40% - Accent3 3 6 3 2 2" xfId="12262" xr:uid="{00000000-0005-0000-0000-0000D84C0000}"/>
    <cellStyle name="40% - Accent3 3 6 3 3" xfId="12288" xr:uid="{00000000-0005-0000-0000-0000D94C0000}"/>
    <cellStyle name="40% - Accent3 3 6 4" xfId="12282" xr:uid="{00000000-0005-0000-0000-0000DA4C0000}"/>
    <cellStyle name="40% - Accent3 3 6 4 2" xfId="12278" xr:uid="{00000000-0005-0000-0000-0000DB4C0000}"/>
    <cellStyle name="40% - Accent3 3 6 5" xfId="23234" xr:uid="{00000000-0005-0000-0000-0000DC4C0000}"/>
    <cellStyle name="40% - Accent3 3 6 6" xfId="35173" xr:uid="{00000000-0005-0000-0000-0000DD4C0000}"/>
    <cellStyle name="40% - Accent3 3 7" xfId="12233" xr:uid="{00000000-0005-0000-0000-0000DE4C0000}"/>
    <cellStyle name="40% - Accent3 3 7 2" xfId="31727" xr:uid="{00000000-0005-0000-0000-0000DF4C0000}"/>
    <cellStyle name="40% - Accent3 3 7 2 2" xfId="33888" xr:uid="{00000000-0005-0000-0000-0000E04C0000}"/>
    <cellStyle name="40% - Accent3 3 7 2 2 2" xfId="12231" xr:uid="{00000000-0005-0000-0000-0000E14C0000}"/>
    <cellStyle name="40% - Accent3 3 7 2 3" xfId="12227" xr:uid="{00000000-0005-0000-0000-0000E24C0000}"/>
    <cellStyle name="40% - Accent3 3 7 3" xfId="31721" xr:uid="{00000000-0005-0000-0000-0000E34C0000}"/>
    <cellStyle name="40% - Accent3 3 7 3 2" xfId="16085" xr:uid="{00000000-0005-0000-0000-0000E44C0000}"/>
    <cellStyle name="40% - Accent3 3 7 4" xfId="12268" xr:uid="{00000000-0005-0000-0000-0000E54C0000}"/>
    <cellStyle name="40% - Accent3 3 7 5" xfId="35402" xr:uid="{00000000-0005-0000-0000-0000E64C0000}"/>
    <cellStyle name="40% - Accent3 3 8" xfId="15632" xr:uid="{00000000-0005-0000-0000-0000E74C0000}"/>
    <cellStyle name="40% - Accent3 3 8 2" xfId="15626" xr:uid="{00000000-0005-0000-0000-0000E84C0000}"/>
    <cellStyle name="40% - Accent3 3 8 2 2" xfId="12225" xr:uid="{00000000-0005-0000-0000-0000E94C0000}"/>
    <cellStyle name="40% - Accent3 3 8 3" xfId="12264" xr:uid="{00000000-0005-0000-0000-0000EA4C0000}"/>
    <cellStyle name="40% - Accent3 3 8 4" xfId="36274" xr:uid="{00000000-0005-0000-0000-0000EB4C0000}"/>
    <cellStyle name="40% - Accent3 3 9" xfId="15624" xr:uid="{00000000-0005-0000-0000-0000EC4C0000}"/>
    <cellStyle name="40% - Accent3 3 9 2" xfId="12222" xr:uid="{00000000-0005-0000-0000-0000ED4C0000}"/>
    <cellStyle name="40% - Accent3 3 9 3" xfId="36560" xr:uid="{00000000-0005-0000-0000-0000EE4C0000}"/>
    <cellStyle name="40% - Accent3 30" xfId="35899" xr:uid="{00000000-0005-0000-0000-0000EF4C0000}"/>
    <cellStyle name="40% - Accent3 30 2" xfId="37071" xr:uid="{00000000-0005-0000-0000-0000F04C0000}"/>
    <cellStyle name="40% - Accent3 30 3" xfId="37966" xr:uid="{00000000-0005-0000-0000-0000F14C0000}"/>
    <cellStyle name="40% - Accent3 31" xfId="35919" xr:uid="{00000000-0005-0000-0000-0000F24C0000}"/>
    <cellStyle name="40% - Accent3 31 2" xfId="37090" xr:uid="{00000000-0005-0000-0000-0000F34C0000}"/>
    <cellStyle name="40% - Accent3 31 3" xfId="37986" xr:uid="{00000000-0005-0000-0000-0000F44C0000}"/>
    <cellStyle name="40% - Accent3 32" xfId="35939" xr:uid="{00000000-0005-0000-0000-0000F54C0000}"/>
    <cellStyle name="40% - Accent3 32 2" xfId="37109" xr:uid="{00000000-0005-0000-0000-0000F64C0000}"/>
    <cellStyle name="40% - Accent3 32 3" xfId="38006" xr:uid="{00000000-0005-0000-0000-0000F74C0000}"/>
    <cellStyle name="40% - Accent3 33" xfId="35959" xr:uid="{00000000-0005-0000-0000-0000F84C0000}"/>
    <cellStyle name="40% - Accent3 33 2" xfId="37128" xr:uid="{00000000-0005-0000-0000-0000F94C0000}"/>
    <cellStyle name="40% - Accent3 33 3" xfId="38026" xr:uid="{00000000-0005-0000-0000-0000FA4C0000}"/>
    <cellStyle name="40% - Accent3 34" xfId="35979" xr:uid="{00000000-0005-0000-0000-0000FB4C0000}"/>
    <cellStyle name="40% - Accent3 34 2" xfId="37148" xr:uid="{00000000-0005-0000-0000-0000FC4C0000}"/>
    <cellStyle name="40% - Accent3 34 3" xfId="38046" xr:uid="{00000000-0005-0000-0000-0000FD4C0000}"/>
    <cellStyle name="40% - Accent3 35" xfId="35999" xr:uid="{00000000-0005-0000-0000-0000FE4C0000}"/>
    <cellStyle name="40% - Accent3 35 2" xfId="37168" xr:uid="{00000000-0005-0000-0000-0000FF4C0000}"/>
    <cellStyle name="40% - Accent3 35 3" xfId="38066" xr:uid="{00000000-0005-0000-0000-0000004D0000}"/>
    <cellStyle name="40% - Accent3 36" xfId="36019" xr:uid="{00000000-0005-0000-0000-0000014D0000}"/>
    <cellStyle name="40% - Accent3 36 2" xfId="37188" xr:uid="{00000000-0005-0000-0000-0000024D0000}"/>
    <cellStyle name="40% - Accent3 36 3" xfId="38086" xr:uid="{00000000-0005-0000-0000-0000034D0000}"/>
    <cellStyle name="40% - Accent3 37" xfId="36039" xr:uid="{00000000-0005-0000-0000-0000044D0000}"/>
    <cellStyle name="40% - Accent3 37 2" xfId="37208" xr:uid="{00000000-0005-0000-0000-0000054D0000}"/>
    <cellStyle name="40% - Accent3 37 3" xfId="38106" xr:uid="{00000000-0005-0000-0000-0000064D0000}"/>
    <cellStyle name="40% - Accent3 38" xfId="36059" xr:uid="{00000000-0005-0000-0000-0000074D0000}"/>
    <cellStyle name="40% - Accent3 38 2" xfId="37228" xr:uid="{00000000-0005-0000-0000-0000084D0000}"/>
    <cellStyle name="40% - Accent3 38 3" xfId="38126" xr:uid="{00000000-0005-0000-0000-0000094D0000}"/>
    <cellStyle name="40% - Accent3 39" xfId="36079" xr:uid="{00000000-0005-0000-0000-00000A4D0000}"/>
    <cellStyle name="40% - Accent3 39 2" xfId="37248" xr:uid="{00000000-0005-0000-0000-00000B4D0000}"/>
    <cellStyle name="40% - Accent3 39 3" xfId="38146" xr:uid="{00000000-0005-0000-0000-00000C4D0000}"/>
    <cellStyle name="40% - Accent3 4" xfId="124" xr:uid="{00000000-0005-0000-0000-00000D4D0000}"/>
    <cellStyle name="40% - Accent3 4 10" xfId="34478" xr:uid="{00000000-0005-0000-0000-00000E4D0000}"/>
    <cellStyle name="40% - Accent3 4 11" xfId="13769" xr:uid="{00000000-0005-0000-0000-00000F4D0000}"/>
    <cellStyle name="40% - Accent3 4 2" xfId="247" xr:uid="{00000000-0005-0000-0000-0000104D0000}"/>
    <cellStyle name="40% - Accent3 4 2 10" xfId="5937" xr:uid="{00000000-0005-0000-0000-0000114D0000}"/>
    <cellStyle name="40% - Accent3 4 2 2" xfId="12220" xr:uid="{00000000-0005-0000-0000-0000124D0000}"/>
    <cellStyle name="40% - Accent3 4 2 2 2" xfId="5934" xr:uid="{00000000-0005-0000-0000-0000134D0000}"/>
    <cellStyle name="40% - Accent3 4 2 2 2 2" xfId="12215" xr:uid="{00000000-0005-0000-0000-0000144D0000}"/>
    <cellStyle name="40% - Accent3 4 2 2 2 2 2" xfId="8275" xr:uid="{00000000-0005-0000-0000-0000154D0000}"/>
    <cellStyle name="40% - Accent3 4 2 2 2 2 2 2" xfId="12213" xr:uid="{00000000-0005-0000-0000-0000164D0000}"/>
    <cellStyle name="40% - Accent3 4 2 2 2 2 2 2 2" xfId="12211" xr:uid="{00000000-0005-0000-0000-0000174D0000}"/>
    <cellStyle name="40% - Accent3 4 2 2 2 2 2 2 2 2" xfId="33061" xr:uid="{00000000-0005-0000-0000-0000184D0000}"/>
    <cellStyle name="40% - Accent3 4 2 2 2 2 2 2 3" xfId="12210" xr:uid="{00000000-0005-0000-0000-0000194D0000}"/>
    <cellStyle name="40% - Accent3 4 2 2 2 2 2 3" xfId="12209" xr:uid="{00000000-0005-0000-0000-00001A4D0000}"/>
    <cellStyle name="40% - Accent3 4 2 2 2 2 2 3 2" xfId="12207" xr:uid="{00000000-0005-0000-0000-00001B4D0000}"/>
    <cellStyle name="40% - Accent3 4 2 2 2 2 2 4" xfId="12206" xr:uid="{00000000-0005-0000-0000-00001C4D0000}"/>
    <cellStyle name="40% - Accent3 4 2 2 2 2 3" xfId="5930" xr:uid="{00000000-0005-0000-0000-00001D4D0000}"/>
    <cellStyle name="40% - Accent3 4 2 2 2 2 3 2" xfId="12204" xr:uid="{00000000-0005-0000-0000-00001E4D0000}"/>
    <cellStyle name="40% - Accent3 4 2 2 2 2 3 2 2" xfId="30927" xr:uid="{00000000-0005-0000-0000-00001F4D0000}"/>
    <cellStyle name="40% - Accent3 4 2 2 2 2 3 3" xfId="12202" xr:uid="{00000000-0005-0000-0000-0000204D0000}"/>
    <cellStyle name="40% - Accent3 4 2 2 2 2 4" xfId="5925" xr:uid="{00000000-0005-0000-0000-0000214D0000}"/>
    <cellStyle name="40% - Accent3 4 2 2 2 2 4 2" xfId="19474" xr:uid="{00000000-0005-0000-0000-0000224D0000}"/>
    <cellStyle name="40% - Accent3 4 2 2 2 2 5" xfId="29238" xr:uid="{00000000-0005-0000-0000-0000234D0000}"/>
    <cellStyle name="40% - Accent3 4 2 2 2 3" xfId="11098" xr:uid="{00000000-0005-0000-0000-0000244D0000}"/>
    <cellStyle name="40% - Accent3 4 2 2 2 3 2" xfId="9388" xr:uid="{00000000-0005-0000-0000-0000254D0000}"/>
    <cellStyle name="40% - Accent3 4 2 2 2 3 2 2" xfId="12199" xr:uid="{00000000-0005-0000-0000-0000264D0000}"/>
    <cellStyle name="40% - Accent3 4 2 2 2 3 2 2 2" xfId="12195" xr:uid="{00000000-0005-0000-0000-0000274D0000}"/>
    <cellStyle name="40% - Accent3 4 2 2 2 3 2 3" xfId="12192" xr:uid="{00000000-0005-0000-0000-0000284D0000}"/>
    <cellStyle name="40% - Accent3 4 2 2 2 3 3" xfId="6299" xr:uid="{00000000-0005-0000-0000-0000294D0000}"/>
    <cellStyle name="40% - Accent3 4 2 2 2 3 3 2" xfId="12189" xr:uid="{00000000-0005-0000-0000-00002A4D0000}"/>
    <cellStyle name="40% - Accent3 4 2 2 2 3 4" xfId="29225" xr:uid="{00000000-0005-0000-0000-00002B4D0000}"/>
    <cellStyle name="40% - Accent3 4 2 2 2 4" xfId="11086" xr:uid="{00000000-0005-0000-0000-00002C4D0000}"/>
    <cellStyle name="40% - Accent3 4 2 2 2 4 2" xfId="6294" xr:uid="{00000000-0005-0000-0000-00002D4D0000}"/>
    <cellStyle name="40% - Accent3 4 2 2 2 4 2 2" xfId="19864" xr:uid="{00000000-0005-0000-0000-00002E4D0000}"/>
    <cellStyle name="40% - Accent3 4 2 2 2 4 3" xfId="30037" xr:uid="{00000000-0005-0000-0000-00002F4D0000}"/>
    <cellStyle name="40% - Accent3 4 2 2 2 5" xfId="12186" xr:uid="{00000000-0005-0000-0000-0000304D0000}"/>
    <cellStyle name="40% - Accent3 4 2 2 2 5 2" xfId="12183" xr:uid="{00000000-0005-0000-0000-0000314D0000}"/>
    <cellStyle name="40% - Accent3 4 2 2 2 6" xfId="12182" xr:uid="{00000000-0005-0000-0000-0000324D0000}"/>
    <cellStyle name="40% - Accent3 4 2 2 3" xfId="12181" xr:uid="{00000000-0005-0000-0000-0000334D0000}"/>
    <cellStyle name="40% - Accent3 4 2 2 3 2" xfId="5922" xr:uid="{00000000-0005-0000-0000-0000344D0000}"/>
    <cellStyle name="40% - Accent3 4 2 2 3 2 2" xfId="5919" xr:uid="{00000000-0005-0000-0000-0000354D0000}"/>
    <cellStyle name="40% - Accent3 4 2 2 3 2 2 2" xfId="12178" xr:uid="{00000000-0005-0000-0000-0000364D0000}"/>
    <cellStyle name="40% - Accent3 4 2 2 3 2 2 2 2" xfId="12176" xr:uid="{00000000-0005-0000-0000-0000374D0000}"/>
    <cellStyle name="40% - Accent3 4 2 2 3 2 2 3" xfId="12174" xr:uid="{00000000-0005-0000-0000-0000384D0000}"/>
    <cellStyle name="40% - Accent3 4 2 2 3 2 3" xfId="5913" xr:uid="{00000000-0005-0000-0000-0000394D0000}"/>
    <cellStyle name="40% - Accent3 4 2 2 3 2 3 2" xfId="12172" xr:uid="{00000000-0005-0000-0000-00003A4D0000}"/>
    <cellStyle name="40% - Accent3 4 2 2 3 2 4" xfId="19817" xr:uid="{00000000-0005-0000-0000-00003B4D0000}"/>
    <cellStyle name="40% - Accent3 4 2 2 3 3" xfId="11078" xr:uid="{00000000-0005-0000-0000-00003C4D0000}"/>
    <cellStyle name="40% - Accent3 4 2 2 3 3 2" xfId="6285" xr:uid="{00000000-0005-0000-0000-00003D4D0000}"/>
    <cellStyle name="40% - Accent3 4 2 2 3 3 2 2" xfId="12168" xr:uid="{00000000-0005-0000-0000-00003E4D0000}"/>
    <cellStyle name="40% - Accent3 4 2 2 3 3 3" xfId="22309" xr:uid="{00000000-0005-0000-0000-00003F4D0000}"/>
    <cellStyle name="40% - Accent3 4 2 2 3 4" xfId="11073" xr:uid="{00000000-0005-0000-0000-0000404D0000}"/>
    <cellStyle name="40% - Accent3 4 2 2 3 4 2" xfId="12164" xr:uid="{00000000-0005-0000-0000-0000414D0000}"/>
    <cellStyle name="40% - Accent3 4 2 2 3 5" xfId="12163" xr:uid="{00000000-0005-0000-0000-0000424D0000}"/>
    <cellStyle name="40% - Accent3 4 2 2 4" xfId="20117" xr:uid="{00000000-0005-0000-0000-0000434D0000}"/>
    <cellStyle name="40% - Accent3 4 2 2 4 2" xfId="5910" xr:uid="{00000000-0005-0000-0000-0000444D0000}"/>
    <cellStyle name="40% - Accent3 4 2 2 4 2 2" xfId="5908" xr:uid="{00000000-0005-0000-0000-0000454D0000}"/>
    <cellStyle name="40% - Accent3 4 2 2 4 2 2 2" xfId="28607" xr:uid="{00000000-0005-0000-0000-0000464D0000}"/>
    <cellStyle name="40% - Accent3 4 2 2 4 2 3" xfId="26896" xr:uid="{00000000-0005-0000-0000-0000474D0000}"/>
    <cellStyle name="40% - Accent3 4 2 2 4 3" xfId="11065" xr:uid="{00000000-0005-0000-0000-0000484D0000}"/>
    <cellStyle name="40% - Accent3 4 2 2 4 3 2" xfId="14073" xr:uid="{00000000-0005-0000-0000-0000494D0000}"/>
    <cellStyle name="40% - Accent3 4 2 2 4 4" xfId="14056" xr:uid="{00000000-0005-0000-0000-00004A4D0000}"/>
    <cellStyle name="40% - Accent3 4 2 2 5" xfId="5905" xr:uid="{00000000-0005-0000-0000-00004B4D0000}"/>
    <cellStyle name="40% - Accent3 4 2 2 5 2" xfId="6164" xr:uid="{00000000-0005-0000-0000-00004C4D0000}"/>
    <cellStyle name="40% - Accent3 4 2 2 5 2 2" xfId="22140" xr:uid="{00000000-0005-0000-0000-00004D4D0000}"/>
    <cellStyle name="40% - Accent3 4 2 2 5 3" xfId="14036" xr:uid="{00000000-0005-0000-0000-00004E4D0000}"/>
    <cellStyle name="40% - Accent3 4 2 2 6" xfId="5903" xr:uid="{00000000-0005-0000-0000-00004F4D0000}"/>
    <cellStyle name="40% - Accent3 4 2 2 6 2" xfId="34088" xr:uid="{00000000-0005-0000-0000-0000504D0000}"/>
    <cellStyle name="40% - Accent3 4 2 2 7" xfId="28883" xr:uid="{00000000-0005-0000-0000-0000514D0000}"/>
    <cellStyle name="40% - Accent3 4 2 3" xfId="21638" xr:uid="{00000000-0005-0000-0000-0000524D0000}"/>
    <cellStyle name="40% - Accent3 4 2 3 2" xfId="5901" xr:uid="{00000000-0005-0000-0000-0000534D0000}"/>
    <cellStyle name="40% - Accent3 4 2 3 2 2" xfId="12162" xr:uid="{00000000-0005-0000-0000-0000544D0000}"/>
    <cellStyle name="40% - Accent3 4 2 3 2 2 2" xfId="5898" xr:uid="{00000000-0005-0000-0000-0000554D0000}"/>
    <cellStyle name="40% - Accent3 4 2 3 2 2 2 2" xfId="12160" xr:uid="{00000000-0005-0000-0000-0000564D0000}"/>
    <cellStyle name="40% - Accent3 4 2 3 2 2 2 2 2" xfId="12158" xr:uid="{00000000-0005-0000-0000-0000574D0000}"/>
    <cellStyle name="40% - Accent3 4 2 3 2 2 2 3" xfId="12156" xr:uid="{00000000-0005-0000-0000-0000584D0000}"/>
    <cellStyle name="40% - Accent3 4 2 3 2 2 3" xfId="5895" xr:uid="{00000000-0005-0000-0000-0000594D0000}"/>
    <cellStyle name="40% - Accent3 4 2 3 2 2 3 2" xfId="12152" xr:uid="{00000000-0005-0000-0000-00005A4D0000}"/>
    <cellStyle name="40% - Accent3 4 2 3 2 2 4" xfId="29189" xr:uid="{00000000-0005-0000-0000-00005B4D0000}"/>
    <cellStyle name="40% - Accent3 4 2 3 2 3" xfId="11054" xr:uid="{00000000-0005-0000-0000-00005C4D0000}"/>
    <cellStyle name="40% - Accent3 4 2 3 2 3 2" xfId="10517" xr:uid="{00000000-0005-0000-0000-00005D4D0000}"/>
    <cellStyle name="40% - Accent3 4 2 3 2 3 2 2" xfId="10361" xr:uid="{00000000-0005-0000-0000-00005E4D0000}"/>
    <cellStyle name="40% - Accent3 4 2 3 2 3 3" xfId="33737" xr:uid="{00000000-0005-0000-0000-00005F4D0000}"/>
    <cellStyle name="40% - Accent3 4 2 3 2 4" xfId="11048" xr:uid="{00000000-0005-0000-0000-0000604D0000}"/>
    <cellStyle name="40% - Accent3 4 2 3 2 4 2" xfId="12148" xr:uid="{00000000-0005-0000-0000-0000614D0000}"/>
    <cellStyle name="40% - Accent3 4 2 3 2 5" xfId="12146" xr:uid="{00000000-0005-0000-0000-0000624D0000}"/>
    <cellStyle name="40% - Accent3 4 2 3 3" xfId="12144" xr:uid="{00000000-0005-0000-0000-0000634D0000}"/>
    <cellStyle name="40% - Accent3 4 2 3 3 2" xfId="12141" xr:uid="{00000000-0005-0000-0000-0000644D0000}"/>
    <cellStyle name="40% - Accent3 4 2 3 3 2 2" xfId="12139" xr:uid="{00000000-0005-0000-0000-0000654D0000}"/>
    <cellStyle name="40% - Accent3 4 2 3 3 2 2 2" xfId="19452" xr:uid="{00000000-0005-0000-0000-0000664D0000}"/>
    <cellStyle name="40% - Accent3 4 2 3 3 2 3" xfId="19598" xr:uid="{00000000-0005-0000-0000-0000674D0000}"/>
    <cellStyle name="40% - Accent3 4 2 3 3 3" xfId="12136" xr:uid="{00000000-0005-0000-0000-0000684D0000}"/>
    <cellStyle name="40% - Accent3 4 2 3 3 3 2" xfId="12134" xr:uid="{00000000-0005-0000-0000-0000694D0000}"/>
    <cellStyle name="40% - Accent3 4 2 3 3 4" xfId="12133" xr:uid="{00000000-0005-0000-0000-00006A4D0000}"/>
    <cellStyle name="40% - Accent3 4 2 3 4" xfId="5892" xr:uid="{00000000-0005-0000-0000-00006B4D0000}"/>
    <cellStyle name="40% - Accent3 4 2 3 4 2" xfId="12132" xr:uid="{00000000-0005-0000-0000-00006C4D0000}"/>
    <cellStyle name="40% - Accent3 4 2 3 4 2 2" xfId="12130" xr:uid="{00000000-0005-0000-0000-00006D4D0000}"/>
    <cellStyle name="40% - Accent3 4 2 3 4 3" xfId="13978" xr:uid="{00000000-0005-0000-0000-00006E4D0000}"/>
    <cellStyle name="40% - Accent3 4 2 3 5" xfId="5890" xr:uid="{00000000-0005-0000-0000-00006F4D0000}"/>
    <cellStyle name="40% - Accent3 4 2 3 5 2" xfId="12129" xr:uid="{00000000-0005-0000-0000-0000704D0000}"/>
    <cellStyle name="40% - Accent3 4 2 3 6" xfId="28855" xr:uid="{00000000-0005-0000-0000-0000714D0000}"/>
    <cellStyle name="40% - Accent3 4 2 4" xfId="5888" xr:uid="{00000000-0005-0000-0000-0000724D0000}"/>
    <cellStyle name="40% - Accent3 4 2 4 2" xfId="7819" xr:uid="{00000000-0005-0000-0000-0000734D0000}"/>
    <cellStyle name="40% - Accent3 4 2 4 2 2" xfId="6791" xr:uid="{00000000-0005-0000-0000-0000744D0000}"/>
    <cellStyle name="40% - Accent3 4 2 4 2 2 2" xfId="5886" xr:uid="{00000000-0005-0000-0000-0000754D0000}"/>
    <cellStyle name="40% - Accent3 4 2 4 2 2 2 2" xfId="11544" xr:uid="{00000000-0005-0000-0000-0000764D0000}"/>
    <cellStyle name="40% - Accent3 4 2 4 2 2 3" xfId="25322" xr:uid="{00000000-0005-0000-0000-0000774D0000}"/>
    <cellStyle name="40% - Accent3 4 2 4 2 3" xfId="11033" xr:uid="{00000000-0005-0000-0000-0000784D0000}"/>
    <cellStyle name="40% - Accent3 4 2 4 2 3 2" xfId="12123" xr:uid="{00000000-0005-0000-0000-0000794D0000}"/>
    <cellStyle name="40% - Accent3 4 2 4 2 4" xfId="12122" xr:uid="{00000000-0005-0000-0000-00007A4D0000}"/>
    <cellStyle name="40% - Accent3 4 2 4 3" xfId="5882" xr:uid="{00000000-0005-0000-0000-00007B4D0000}"/>
    <cellStyle name="40% - Accent3 4 2 4 3 2" xfId="12120" xr:uid="{00000000-0005-0000-0000-00007C4D0000}"/>
    <cellStyle name="40% - Accent3 4 2 4 3 2 2" xfId="12117" xr:uid="{00000000-0005-0000-0000-00007D4D0000}"/>
    <cellStyle name="40% - Accent3 4 2 4 3 3" xfId="12629" xr:uid="{00000000-0005-0000-0000-00007E4D0000}"/>
    <cellStyle name="40% - Accent3 4 2 4 4" xfId="8630" xr:uid="{00000000-0005-0000-0000-00007F4D0000}"/>
    <cellStyle name="40% - Accent3 4 2 4 4 2" xfId="12116" xr:uid="{00000000-0005-0000-0000-0000804D0000}"/>
    <cellStyle name="40% - Accent3 4 2 4 5" xfId="13420" xr:uid="{00000000-0005-0000-0000-0000814D0000}"/>
    <cellStyle name="40% - Accent3 4 2 5" xfId="5880" xr:uid="{00000000-0005-0000-0000-0000824D0000}"/>
    <cellStyle name="40% - Accent3 4 2 5 2" xfId="5878" xr:uid="{00000000-0005-0000-0000-0000834D0000}"/>
    <cellStyle name="40% - Accent3 4 2 5 2 2" xfId="6780" xr:uid="{00000000-0005-0000-0000-0000844D0000}"/>
    <cellStyle name="40% - Accent3 4 2 5 2 2 2" xfId="12113" xr:uid="{00000000-0005-0000-0000-0000854D0000}"/>
    <cellStyle name="40% - Accent3 4 2 5 2 3" xfId="12111" xr:uid="{00000000-0005-0000-0000-0000864D0000}"/>
    <cellStyle name="40% - Accent3 4 2 5 3" xfId="5876" xr:uid="{00000000-0005-0000-0000-0000874D0000}"/>
    <cellStyle name="40% - Accent3 4 2 5 3 2" xfId="12109" xr:uid="{00000000-0005-0000-0000-0000884D0000}"/>
    <cellStyle name="40% - Accent3 4 2 5 4" xfId="12105" xr:uid="{00000000-0005-0000-0000-0000894D0000}"/>
    <cellStyle name="40% - Accent3 4 2 6" xfId="5874" xr:uid="{00000000-0005-0000-0000-00008A4D0000}"/>
    <cellStyle name="40% - Accent3 4 2 6 2" xfId="5872" xr:uid="{00000000-0005-0000-0000-00008B4D0000}"/>
    <cellStyle name="40% - Accent3 4 2 6 2 2" xfId="12104" xr:uid="{00000000-0005-0000-0000-00008C4D0000}"/>
    <cellStyle name="40% - Accent3 4 2 6 3" xfId="12100" xr:uid="{00000000-0005-0000-0000-00008D4D0000}"/>
    <cellStyle name="40% - Accent3 4 2 7" xfId="5869" xr:uid="{00000000-0005-0000-0000-00008E4D0000}"/>
    <cellStyle name="40% - Accent3 4 2 7 2" xfId="24904" xr:uid="{00000000-0005-0000-0000-00008F4D0000}"/>
    <cellStyle name="40% - Accent3 4 2 8" xfId="18291" xr:uid="{00000000-0005-0000-0000-0000904D0000}"/>
    <cellStyle name="40% - Accent3 4 2 9" xfId="34568" xr:uid="{00000000-0005-0000-0000-0000914D0000}"/>
    <cellStyle name="40% - Accent3 4 3" xfId="12099" xr:uid="{00000000-0005-0000-0000-0000924D0000}"/>
    <cellStyle name="40% - Accent3 4 3 2" xfId="12096" xr:uid="{00000000-0005-0000-0000-0000934D0000}"/>
    <cellStyle name="40% - Accent3 4 3 2 2" xfId="12093" xr:uid="{00000000-0005-0000-0000-0000944D0000}"/>
    <cellStyle name="40% - Accent3 4 3 2 2 2" xfId="5867" xr:uid="{00000000-0005-0000-0000-0000954D0000}"/>
    <cellStyle name="40% - Accent3 4 3 2 2 2 2" xfId="12090" xr:uid="{00000000-0005-0000-0000-0000964D0000}"/>
    <cellStyle name="40% - Accent3 4 3 2 2 2 2 2" xfId="14418" xr:uid="{00000000-0005-0000-0000-0000974D0000}"/>
    <cellStyle name="40% - Accent3 4 3 2 2 2 2 2 2" xfId="12087" xr:uid="{00000000-0005-0000-0000-0000984D0000}"/>
    <cellStyle name="40% - Accent3 4 3 2 2 2 2 3" xfId="14412" xr:uid="{00000000-0005-0000-0000-0000994D0000}"/>
    <cellStyle name="40% - Accent3 4 3 2 2 2 3" xfId="28142" xr:uid="{00000000-0005-0000-0000-00009A4D0000}"/>
    <cellStyle name="40% - Accent3 4 3 2 2 2 3 2" xfId="14405" xr:uid="{00000000-0005-0000-0000-00009B4D0000}"/>
    <cellStyle name="40% - Accent3 4 3 2 2 2 4" xfId="31192" xr:uid="{00000000-0005-0000-0000-00009C4D0000}"/>
    <cellStyle name="40% - Accent3 4 3 2 2 3" xfId="11004" xr:uid="{00000000-0005-0000-0000-00009D4D0000}"/>
    <cellStyle name="40% - Accent3 4 3 2 2 3 2" xfId="6246" xr:uid="{00000000-0005-0000-0000-00009E4D0000}"/>
    <cellStyle name="40% - Accent3 4 3 2 2 3 2 2" xfId="14327" xr:uid="{00000000-0005-0000-0000-00009F4D0000}"/>
    <cellStyle name="40% - Accent3 4 3 2 2 3 3" xfId="29154" xr:uid="{00000000-0005-0000-0000-0000A04D0000}"/>
    <cellStyle name="40% - Accent3 4 3 2 2 4" xfId="10995" xr:uid="{00000000-0005-0000-0000-0000A14D0000}"/>
    <cellStyle name="40% - Accent3 4 3 2 2 4 2" xfId="12082" xr:uid="{00000000-0005-0000-0000-0000A24D0000}"/>
    <cellStyle name="40% - Accent3 4 3 2 2 5" xfId="12081" xr:uid="{00000000-0005-0000-0000-0000A34D0000}"/>
    <cellStyle name="40% - Accent3 4 3 2 3" xfId="12080" xr:uid="{00000000-0005-0000-0000-0000A44D0000}"/>
    <cellStyle name="40% - Accent3 4 3 2 3 2" xfId="5862" xr:uid="{00000000-0005-0000-0000-0000A54D0000}"/>
    <cellStyle name="40% - Accent3 4 3 2 3 2 2" xfId="5859" xr:uid="{00000000-0005-0000-0000-0000A64D0000}"/>
    <cellStyle name="40% - Accent3 4 3 2 3 2 2 2" xfId="13986" xr:uid="{00000000-0005-0000-0000-0000A74D0000}"/>
    <cellStyle name="40% - Accent3 4 3 2 3 2 3" xfId="19338" xr:uid="{00000000-0005-0000-0000-0000A84D0000}"/>
    <cellStyle name="40% - Accent3 4 3 2 3 3" xfId="10988" xr:uid="{00000000-0005-0000-0000-0000A94D0000}"/>
    <cellStyle name="40% - Accent3 4 3 2 3 3 2" xfId="30226" xr:uid="{00000000-0005-0000-0000-0000AA4D0000}"/>
    <cellStyle name="40% - Accent3 4 3 2 3 4" xfId="30223" xr:uid="{00000000-0005-0000-0000-0000AB4D0000}"/>
    <cellStyle name="40% - Accent3 4 3 2 4" xfId="12077" xr:uid="{00000000-0005-0000-0000-0000AC4D0000}"/>
    <cellStyle name="40% - Accent3 4 3 2 4 2" xfId="5856" xr:uid="{00000000-0005-0000-0000-0000AD4D0000}"/>
    <cellStyle name="40% - Accent3 4 3 2 4 2 2" xfId="30587" xr:uid="{00000000-0005-0000-0000-0000AE4D0000}"/>
    <cellStyle name="40% - Accent3 4 3 2 4 3" xfId="30084" xr:uid="{00000000-0005-0000-0000-0000AF4D0000}"/>
    <cellStyle name="40% - Accent3 4 3 2 5" xfId="13415" xr:uid="{00000000-0005-0000-0000-0000B04D0000}"/>
    <cellStyle name="40% - Accent3 4 3 2 5 2" xfId="29986" xr:uid="{00000000-0005-0000-0000-0000B14D0000}"/>
    <cellStyle name="40% - Accent3 4 3 2 6" xfId="32120" xr:uid="{00000000-0005-0000-0000-0000B24D0000}"/>
    <cellStyle name="40% - Accent3 4 3 3" xfId="12075" xr:uid="{00000000-0005-0000-0000-0000B34D0000}"/>
    <cellStyle name="40% - Accent3 4 3 3 2" xfId="12072" xr:uid="{00000000-0005-0000-0000-0000B44D0000}"/>
    <cellStyle name="40% - Accent3 4 3 3 2 2" xfId="5854" xr:uid="{00000000-0005-0000-0000-0000B54D0000}"/>
    <cellStyle name="40% - Accent3 4 3 3 2 2 2" xfId="5852" xr:uid="{00000000-0005-0000-0000-0000B64D0000}"/>
    <cellStyle name="40% - Accent3 4 3 3 2 2 2 2" xfId="12322" xr:uid="{00000000-0005-0000-0000-0000B74D0000}"/>
    <cellStyle name="40% - Accent3 4 3 3 2 2 3" xfId="29142" xr:uid="{00000000-0005-0000-0000-0000B84D0000}"/>
    <cellStyle name="40% - Accent3 4 3 3 2 3" xfId="10974" xr:uid="{00000000-0005-0000-0000-0000B94D0000}"/>
    <cellStyle name="40% - Accent3 4 3 3 2 3 2" xfId="12070" xr:uid="{00000000-0005-0000-0000-0000BA4D0000}"/>
    <cellStyle name="40% - Accent3 4 3 3 2 4" xfId="12069" xr:uid="{00000000-0005-0000-0000-0000BB4D0000}"/>
    <cellStyle name="40% - Accent3 4 3 3 3" xfId="12067" xr:uid="{00000000-0005-0000-0000-0000BC4D0000}"/>
    <cellStyle name="40% - Accent3 4 3 3 3 2" xfId="16865" xr:uid="{00000000-0005-0000-0000-0000BD4D0000}"/>
    <cellStyle name="40% - Accent3 4 3 3 3 2 2" xfId="29412" xr:uid="{00000000-0005-0000-0000-0000BE4D0000}"/>
    <cellStyle name="40% - Accent3 4 3 3 3 3" xfId="21707" xr:uid="{00000000-0005-0000-0000-0000BF4D0000}"/>
    <cellStyle name="40% - Accent3 4 3 3 4" xfId="12065" xr:uid="{00000000-0005-0000-0000-0000C04D0000}"/>
    <cellStyle name="40% - Accent3 4 3 3 4 2" xfId="29650" xr:uid="{00000000-0005-0000-0000-0000C14D0000}"/>
    <cellStyle name="40% - Accent3 4 3 3 5" xfId="13407" xr:uid="{00000000-0005-0000-0000-0000C24D0000}"/>
    <cellStyle name="40% - Accent3 4 3 4" xfId="12063" xr:uid="{00000000-0005-0000-0000-0000C34D0000}"/>
    <cellStyle name="40% - Accent3 4 3 4 2" xfId="12061" xr:uid="{00000000-0005-0000-0000-0000C44D0000}"/>
    <cellStyle name="40% - Accent3 4 3 4 2 2" xfId="6764" xr:uid="{00000000-0005-0000-0000-0000C54D0000}"/>
    <cellStyle name="40% - Accent3 4 3 4 2 2 2" xfId="12059" xr:uid="{00000000-0005-0000-0000-0000C64D0000}"/>
    <cellStyle name="40% - Accent3 4 3 4 2 3" xfId="12058" xr:uid="{00000000-0005-0000-0000-0000C74D0000}"/>
    <cellStyle name="40% - Accent3 4 3 4 3" xfId="5849" xr:uid="{00000000-0005-0000-0000-0000C84D0000}"/>
    <cellStyle name="40% - Accent3 4 3 4 3 2" xfId="17969" xr:uid="{00000000-0005-0000-0000-0000C94D0000}"/>
    <cellStyle name="40% - Accent3 4 3 4 4" xfId="12056" xr:uid="{00000000-0005-0000-0000-0000CA4D0000}"/>
    <cellStyle name="40% - Accent3 4 3 5" xfId="17036" xr:uid="{00000000-0005-0000-0000-0000CB4D0000}"/>
    <cellStyle name="40% - Accent3 4 3 5 2" xfId="12055" xr:uid="{00000000-0005-0000-0000-0000CC4D0000}"/>
    <cellStyle name="40% - Accent3 4 3 5 2 2" xfId="12053" xr:uid="{00000000-0005-0000-0000-0000CD4D0000}"/>
    <cellStyle name="40% - Accent3 4 3 5 3" xfId="12050" xr:uid="{00000000-0005-0000-0000-0000CE4D0000}"/>
    <cellStyle name="40% - Accent3 4 3 6" xfId="5847" xr:uid="{00000000-0005-0000-0000-0000CF4D0000}"/>
    <cellStyle name="40% - Accent3 4 3 6 2" xfId="23681" xr:uid="{00000000-0005-0000-0000-0000D04D0000}"/>
    <cellStyle name="40% - Accent3 4 3 7" xfId="23104" xr:uid="{00000000-0005-0000-0000-0000D14D0000}"/>
    <cellStyle name="40% - Accent3 4 3 8" xfId="34789" xr:uid="{00000000-0005-0000-0000-0000D24D0000}"/>
    <cellStyle name="40% - Accent3 4 4" xfId="12049" xr:uid="{00000000-0005-0000-0000-0000D34D0000}"/>
    <cellStyle name="40% - Accent3 4 4 2" xfId="12047" xr:uid="{00000000-0005-0000-0000-0000D44D0000}"/>
    <cellStyle name="40% - Accent3 4 4 2 2" xfId="12043" xr:uid="{00000000-0005-0000-0000-0000D54D0000}"/>
    <cellStyle name="40% - Accent3 4 4 2 2 2" xfId="5844" xr:uid="{00000000-0005-0000-0000-0000D64D0000}"/>
    <cellStyle name="40% - Accent3 4 4 2 2 2 2" xfId="5842" xr:uid="{00000000-0005-0000-0000-0000D74D0000}"/>
    <cellStyle name="40% - Accent3 4 4 2 2 2 2 2" xfId="12037" xr:uid="{00000000-0005-0000-0000-0000D84D0000}"/>
    <cellStyle name="40% - Accent3 4 4 2 2 2 3" xfId="29122" xr:uid="{00000000-0005-0000-0000-0000D94D0000}"/>
    <cellStyle name="40% - Accent3 4 4 2 2 3" xfId="12034" xr:uid="{00000000-0005-0000-0000-0000DA4D0000}"/>
    <cellStyle name="40% - Accent3 4 4 2 2 3 2" xfId="12029" xr:uid="{00000000-0005-0000-0000-0000DB4D0000}"/>
    <cellStyle name="40% - Accent3 4 4 2 2 4" xfId="12022" xr:uid="{00000000-0005-0000-0000-0000DC4D0000}"/>
    <cellStyle name="40% - Accent3 4 4 2 3" xfId="12019" xr:uid="{00000000-0005-0000-0000-0000DD4D0000}"/>
    <cellStyle name="40% - Accent3 4 4 2 3 2" xfId="28731" xr:uid="{00000000-0005-0000-0000-0000DE4D0000}"/>
    <cellStyle name="40% - Accent3 4 4 2 3 2 2" xfId="28720" xr:uid="{00000000-0005-0000-0000-0000DF4D0000}"/>
    <cellStyle name="40% - Accent3 4 4 2 3 3" xfId="28712" xr:uid="{00000000-0005-0000-0000-0000E04D0000}"/>
    <cellStyle name="40% - Accent3 4 4 2 4" xfId="12015" xr:uid="{00000000-0005-0000-0000-0000E14D0000}"/>
    <cellStyle name="40% - Accent3 4 4 2 4 2" xfId="18270" xr:uid="{00000000-0005-0000-0000-0000E24D0000}"/>
    <cellStyle name="40% - Accent3 4 4 2 5" xfId="13399" xr:uid="{00000000-0005-0000-0000-0000E34D0000}"/>
    <cellStyle name="40% - Accent3 4 4 3" xfId="12010" xr:uid="{00000000-0005-0000-0000-0000E44D0000}"/>
    <cellStyle name="40% - Accent3 4 4 3 2" xfId="12008" xr:uid="{00000000-0005-0000-0000-0000E54D0000}"/>
    <cellStyle name="40% - Accent3 4 4 3 2 2" xfId="8847" xr:uid="{00000000-0005-0000-0000-0000E64D0000}"/>
    <cellStyle name="40% - Accent3 4 4 3 2 2 2" xfId="12001" xr:uid="{00000000-0005-0000-0000-0000E74D0000}"/>
    <cellStyle name="40% - Accent3 4 4 3 2 3" xfId="11999" xr:uid="{00000000-0005-0000-0000-0000E84D0000}"/>
    <cellStyle name="40% - Accent3 4 4 3 3" xfId="5839" xr:uid="{00000000-0005-0000-0000-0000E94D0000}"/>
    <cellStyle name="40% - Accent3 4 4 3 3 2" xfId="28574" xr:uid="{00000000-0005-0000-0000-0000EA4D0000}"/>
    <cellStyle name="40% - Accent3 4 4 3 4" xfId="11990" xr:uid="{00000000-0005-0000-0000-0000EB4D0000}"/>
    <cellStyle name="40% - Accent3 4 4 4" xfId="13664" xr:uid="{00000000-0005-0000-0000-0000EC4D0000}"/>
    <cellStyle name="40% - Accent3 4 4 4 2" xfId="5837" xr:uid="{00000000-0005-0000-0000-0000ED4D0000}"/>
    <cellStyle name="40% - Accent3 4 4 4 2 2" xfId="16527" xr:uid="{00000000-0005-0000-0000-0000EE4D0000}"/>
    <cellStyle name="40% - Accent3 4 4 4 3" xfId="11986" xr:uid="{00000000-0005-0000-0000-0000EF4D0000}"/>
    <cellStyle name="40% - Accent3 4 4 5" xfId="17027" xr:uid="{00000000-0005-0000-0000-0000F04D0000}"/>
    <cellStyle name="40% - Accent3 4 4 5 2" xfId="11978" xr:uid="{00000000-0005-0000-0000-0000F14D0000}"/>
    <cellStyle name="40% - Accent3 4 4 6" xfId="31224" xr:uid="{00000000-0005-0000-0000-0000F24D0000}"/>
    <cellStyle name="40% - Accent3 4 4 7" xfId="34987" xr:uid="{00000000-0005-0000-0000-0000F34D0000}"/>
    <cellStyle name="40% - Accent3 4 5" xfId="11975" xr:uid="{00000000-0005-0000-0000-0000F44D0000}"/>
    <cellStyle name="40% - Accent3 4 5 2" xfId="11973" xr:uid="{00000000-0005-0000-0000-0000F54D0000}"/>
    <cellStyle name="40% - Accent3 4 5 2 2" xfId="11971" xr:uid="{00000000-0005-0000-0000-0000F64D0000}"/>
    <cellStyle name="40% - Accent3 4 5 2 2 2" xfId="5835" xr:uid="{00000000-0005-0000-0000-0000F74D0000}"/>
    <cellStyle name="40% - Accent3 4 5 2 2 2 2" xfId="11965" xr:uid="{00000000-0005-0000-0000-0000F84D0000}"/>
    <cellStyle name="40% - Accent3 4 5 2 2 3" xfId="11963" xr:uid="{00000000-0005-0000-0000-0000F94D0000}"/>
    <cellStyle name="40% - Accent3 4 5 2 3" xfId="5833" xr:uid="{00000000-0005-0000-0000-0000FA4D0000}"/>
    <cellStyle name="40% - Accent3 4 5 2 3 2" xfId="28206" xr:uid="{00000000-0005-0000-0000-0000FB4D0000}"/>
    <cellStyle name="40% - Accent3 4 5 2 4" xfId="23210" xr:uid="{00000000-0005-0000-0000-0000FC4D0000}"/>
    <cellStyle name="40% - Accent3 4 5 3" xfId="12255" xr:uid="{00000000-0005-0000-0000-0000FD4D0000}"/>
    <cellStyle name="40% - Accent3 4 5 3 2" xfId="5831" xr:uid="{00000000-0005-0000-0000-0000FE4D0000}"/>
    <cellStyle name="40% - Accent3 4 5 3 2 2" xfId="12248" xr:uid="{00000000-0005-0000-0000-0000FF4D0000}"/>
    <cellStyle name="40% - Accent3 4 5 3 3" xfId="12243" xr:uid="{00000000-0005-0000-0000-0000004E0000}"/>
    <cellStyle name="40% - Accent3 4 5 4" xfId="13658" xr:uid="{00000000-0005-0000-0000-0000014E0000}"/>
    <cellStyle name="40% - Accent3 4 5 4 2" xfId="12236" xr:uid="{00000000-0005-0000-0000-0000024E0000}"/>
    <cellStyle name="40% - Accent3 4 5 5" xfId="23227" xr:uid="{00000000-0005-0000-0000-0000034E0000}"/>
    <cellStyle name="40% - Accent3 4 5 6" xfId="35192" xr:uid="{00000000-0005-0000-0000-0000044E0000}"/>
    <cellStyle name="40% - Accent3 4 6" xfId="11957" xr:uid="{00000000-0005-0000-0000-0000054E0000}"/>
    <cellStyle name="40% - Accent3 4 6 2" xfId="14067" xr:uid="{00000000-0005-0000-0000-0000064E0000}"/>
    <cellStyle name="40% - Accent3 4 6 2 2" xfId="11956" xr:uid="{00000000-0005-0000-0000-0000074E0000}"/>
    <cellStyle name="40% - Accent3 4 6 2 2 2" xfId="10212" xr:uid="{00000000-0005-0000-0000-0000084E0000}"/>
    <cellStyle name="40% - Accent3 4 6 2 3" xfId="11950" xr:uid="{00000000-0005-0000-0000-0000094E0000}"/>
    <cellStyle name="40% - Accent3 4 6 3" xfId="14060" xr:uid="{00000000-0005-0000-0000-00000A4E0000}"/>
    <cellStyle name="40% - Accent3 4 6 3 2" xfId="12261" xr:uid="{00000000-0005-0000-0000-00000B4E0000}"/>
    <cellStyle name="40% - Accent3 4 6 4" xfId="12286" xr:uid="{00000000-0005-0000-0000-00000C4E0000}"/>
    <cellStyle name="40% - Accent3 4 6 5" xfId="35421" xr:uid="{00000000-0005-0000-0000-00000D4E0000}"/>
    <cellStyle name="40% - Accent3 4 7" xfId="11945" xr:uid="{00000000-0005-0000-0000-00000E4E0000}"/>
    <cellStyle name="40% - Accent3 4 7 2" xfId="24474" xr:uid="{00000000-0005-0000-0000-00000F4E0000}"/>
    <cellStyle name="40% - Accent3 4 7 2 2" xfId="11943" xr:uid="{00000000-0005-0000-0000-0000104E0000}"/>
    <cellStyle name="40% - Accent3 4 7 3" xfId="12277" xr:uid="{00000000-0005-0000-0000-0000114E0000}"/>
    <cellStyle name="40% - Accent3 4 7 4" xfId="36293" xr:uid="{00000000-0005-0000-0000-0000124E0000}"/>
    <cellStyle name="40% - Accent3 4 8" xfId="15620" xr:uid="{00000000-0005-0000-0000-0000134E0000}"/>
    <cellStyle name="40% - Accent3 4 8 2" xfId="11940" xr:uid="{00000000-0005-0000-0000-0000144E0000}"/>
    <cellStyle name="40% - Accent3 4 8 3" xfId="36579" xr:uid="{00000000-0005-0000-0000-0000154E0000}"/>
    <cellStyle name="40% - Accent3 4 9" xfId="22006" xr:uid="{00000000-0005-0000-0000-0000164E0000}"/>
    <cellStyle name="40% - Accent3 4 9 2" xfId="37464" xr:uid="{00000000-0005-0000-0000-0000174E0000}"/>
    <cellStyle name="40% - Accent3 40" xfId="36099" xr:uid="{00000000-0005-0000-0000-0000184E0000}"/>
    <cellStyle name="40% - Accent3 40 2" xfId="37268" xr:uid="{00000000-0005-0000-0000-0000194E0000}"/>
    <cellStyle name="40% - Accent3 40 3" xfId="38166" xr:uid="{00000000-0005-0000-0000-00001A4E0000}"/>
    <cellStyle name="40% - Accent3 41" xfId="36119" xr:uid="{00000000-0005-0000-0000-00001B4E0000}"/>
    <cellStyle name="40% - Accent3 41 2" xfId="37288" xr:uid="{00000000-0005-0000-0000-00001C4E0000}"/>
    <cellStyle name="40% - Accent3 41 3" xfId="38186" xr:uid="{00000000-0005-0000-0000-00001D4E0000}"/>
    <cellStyle name="40% - Accent3 42" xfId="36139" xr:uid="{00000000-0005-0000-0000-00001E4E0000}"/>
    <cellStyle name="40% - Accent3 42 2" xfId="37308" xr:uid="{00000000-0005-0000-0000-00001F4E0000}"/>
    <cellStyle name="40% - Accent3 42 3" xfId="38206" xr:uid="{00000000-0005-0000-0000-0000204E0000}"/>
    <cellStyle name="40% - Accent3 43" xfId="36159" xr:uid="{00000000-0005-0000-0000-0000214E0000}"/>
    <cellStyle name="40% - Accent3 43 2" xfId="37328" xr:uid="{00000000-0005-0000-0000-0000224E0000}"/>
    <cellStyle name="40% - Accent3 43 3" xfId="38226" xr:uid="{00000000-0005-0000-0000-0000234E0000}"/>
    <cellStyle name="40% - Accent3 44" xfId="36179" xr:uid="{00000000-0005-0000-0000-0000244E0000}"/>
    <cellStyle name="40% - Accent3 44 2" xfId="37348" xr:uid="{00000000-0005-0000-0000-0000254E0000}"/>
    <cellStyle name="40% - Accent3 44 3" xfId="38246" xr:uid="{00000000-0005-0000-0000-0000264E0000}"/>
    <cellStyle name="40% - Accent3 45" xfId="36199" xr:uid="{00000000-0005-0000-0000-0000274E0000}"/>
    <cellStyle name="40% - Accent3 45 2" xfId="37368" xr:uid="{00000000-0005-0000-0000-0000284E0000}"/>
    <cellStyle name="40% - Accent3 45 3" xfId="38266" xr:uid="{00000000-0005-0000-0000-0000294E0000}"/>
    <cellStyle name="40% - Accent3 46" xfId="36219" xr:uid="{00000000-0005-0000-0000-00002A4E0000}"/>
    <cellStyle name="40% - Accent3 46 2" xfId="37386" xr:uid="{00000000-0005-0000-0000-00002B4E0000}"/>
    <cellStyle name="40% - Accent3 46 3" xfId="38286" xr:uid="{00000000-0005-0000-0000-00002C4E0000}"/>
    <cellStyle name="40% - Accent3 47" xfId="36520" xr:uid="{00000000-0005-0000-0000-00002D4E0000}"/>
    <cellStyle name="40% - Accent3 48" xfId="37405" xr:uid="{00000000-0005-0000-0000-00002E4E0000}"/>
    <cellStyle name="40% - Accent3 5" xfId="267" xr:uid="{00000000-0005-0000-0000-00002F4E0000}"/>
    <cellStyle name="40% - Accent3 5 10" xfId="13767" xr:uid="{00000000-0005-0000-0000-0000304E0000}"/>
    <cellStyle name="40% - Accent3 5 2" xfId="33754" xr:uid="{00000000-0005-0000-0000-0000314E0000}"/>
    <cellStyle name="40% - Accent3 5 2 2" xfId="11939" xr:uid="{00000000-0005-0000-0000-0000324E0000}"/>
    <cellStyle name="40% - Accent3 5 2 2 2" xfId="27285" xr:uid="{00000000-0005-0000-0000-0000334E0000}"/>
    <cellStyle name="40% - Accent3 5 2 2 2 2" xfId="27283" xr:uid="{00000000-0005-0000-0000-0000344E0000}"/>
    <cellStyle name="40% - Accent3 5 2 2 2 2 2" xfId="11937" xr:uid="{00000000-0005-0000-0000-0000354E0000}"/>
    <cellStyle name="40% - Accent3 5 2 2 2 2 2 2" xfId="11936" xr:uid="{00000000-0005-0000-0000-0000364E0000}"/>
    <cellStyle name="40% - Accent3 5 2 2 2 2 2 2 2" xfId="11935" xr:uid="{00000000-0005-0000-0000-0000374E0000}"/>
    <cellStyle name="40% - Accent3 5 2 2 2 2 2 3" xfId="11934" xr:uid="{00000000-0005-0000-0000-0000384E0000}"/>
    <cellStyle name="40% - Accent3 5 2 2 2 2 3" xfId="31256" xr:uid="{00000000-0005-0000-0000-0000394E0000}"/>
    <cellStyle name="40% - Accent3 5 2 2 2 2 3 2" xfId="11933" xr:uid="{00000000-0005-0000-0000-00003A4E0000}"/>
    <cellStyle name="40% - Accent3 5 2 2 2 2 4" xfId="5598" xr:uid="{00000000-0005-0000-0000-00003B4E0000}"/>
    <cellStyle name="40% - Accent3 5 2 2 2 3" xfId="11932" xr:uid="{00000000-0005-0000-0000-00003C4E0000}"/>
    <cellStyle name="40% - Accent3 5 2 2 2 3 2" xfId="11929" xr:uid="{00000000-0005-0000-0000-00003D4E0000}"/>
    <cellStyle name="40% - Accent3 5 2 2 2 3 2 2" xfId="22283" xr:uid="{00000000-0005-0000-0000-00003E4E0000}"/>
    <cellStyle name="40% - Accent3 5 2 2 2 3 3" xfId="29933" xr:uid="{00000000-0005-0000-0000-00003F4E0000}"/>
    <cellStyle name="40% - Accent3 5 2 2 2 4" xfId="11928" xr:uid="{00000000-0005-0000-0000-0000404E0000}"/>
    <cellStyle name="40% - Accent3 5 2 2 2 4 2" xfId="11926" xr:uid="{00000000-0005-0000-0000-0000414E0000}"/>
    <cellStyle name="40% - Accent3 5 2 2 2 5" xfId="34337" xr:uid="{00000000-0005-0000-0000-0000424E0000}"/>
    <cellStyle name="40% - Accent3 5 2 2 3" xfId="27281" xr:uid="{00000000-0005-0000-0000-0000434E0000}"/>
    <cellStyle name="40% - Accent3 5 2 2 3 2" xfId="11925" xr:uid="{00000000-0005-0000-0000-0000444E0000}"/>
    <cellStyle name="40% - Accent3 5 2 2 3 2 2" xfId="11922" xr:uid="{00000000-0005-0000-0000-0000454E0000}"/>
    <cellStyle name="40% - Accent3 5 2 2 3 2 2 2" xfId="11920" xr:uid="{00000000-0005-0000-0000-0000464E0000}"/>
    <cellStyle name="40% - Accent3 5 2 2 3 2 3" xfId="18893" xr:uid="{00000000-0005-0000-0000-0000474E0000}"/>
    <cellStyle name="40% - Accent3 5 2 2 3 3" xfId="11919" xr:uid="{00000000-0005-0000-0000-0000484E0000}"/>
    <cellStyle name="40% - Accent3 5 2 2 3 3 2" xfId="11916" xr:uid="{00000000-0005-0000-0000-0000494E0000}"/>
    <cellStyle name="40% - Accent3 5 2 2 3 4" xfId="11915" xr:uid="{00000000-0005-0000-0000-00004A4E0000}"/>
    <cellStyle name="40% - Accent3 5 2 2 4" xfId="11914" xr:uid="{00000000-0005-0000-0000-00004B4E0000}"/>
    <cellStyle name="40% - Accent3 5 2 2 4 2" xfId="11913" xr:uid="{00000000-0005-0000-0000-00004C4E0000}"/>
    <cellStyle name="40% - Accent3 5 2 2 4 2 2" xfId="11910" xr:uid="{00000000-0005-0000-0000-00004D4E0000}"/>
    <cellStyle name="40% - Accent3 5 2 2 4 3" xfId="12091" xr:uid="{00000000-0005-0000-0000-00004E4E0000}"/>
    <cellStyle name="40% - Accent3 5 2 2 5" xfId="13390" xr:uid="{00000000-0005-0000-0000-00004F4E0000}"/>
    <cellStyle name="40% - Accent3 5 2 2 5 2" xfId="11909" xr:uid="{00000000-0005-0000-0000-0000504E0000}"/>
    <cellStyle name="40% - Accent3 5 2 2 6" xfId="27704" xr:uid="{00000000-0005-0000-0000-0000514E0000}"/>
    <cellStyle name="40% - Accent3 5 2 3" xfId="31961" xr:uid="{00000000-0005-0000-0000-0000524E0000}"/>
    <cellStyle name="40% - Accent3 5 2 3 2" xfId="20988" xr:uid="{00000000-0005-0000-0000-0000534E0000}"/>
    <cellStyle name="40% - Accent3 5 2 3 2 2" xfId="11908" xr:uid="{00000000-0005-0000-0000-0000544E0000}"/>
    <cellStyle name="40% - Accent3 5 2 3 2 2 2" xfId="11905" xr:uid="{00000000-0005-0000-0000-0000554E0000}"/>
    <cellStyle name="40% - Accent3 5 2 3 2 2 2 2" xfId="11902" xr:uid="{00000000-0005-0000-0000-0000564E0000}"/>
    <cellStyle name="40% - Accent3 5 2 3 2 2 3" xfId="28846" xr:uid="{00000000-0005-0000-0000-0000574E0000}"/>
    <cellStyle name="40% - Accent3 5 2 3 2 3" xfId="11901" xr:uid="{00000000-0005-0000-0000-0000584E0000}"/>
    <cellStyle name="40% - Accent3 5 2 3 2 3 2" xfId="11898" xr:uid="{00000000-0005-0000-0000-0000594E0000}"/>
    <cellStyle name="40% - Accent3 5 2 3 2 4" xfId="11895" xr:uid="{00000000-0005-0000-0000-00005A4E0000}"/>
    <cellStyle name="40% - Accent3 5 2 3 3" xfId="31951" xr:uid="{00000000-0005-0000-0000-00005B4E0000}"/>
    <cellStyle name="40% - Accent3 5 2 3 3 2" xfId="11893" xr:uid="{00000000-0005-0000-0000-00005C4E0000}"/>
    <cellStyle name="40% - Accent3 5 2 3 3 2 2" xfId="11889" xr:uid="{00000000-0005-0000-0000-00005D4E0000}"/>
    <cellStyle name="40% - Accent3 5 2 3 3 3" xfId="11886" xr:uid="{00000000-0005-0000-0000-00005E4E0000}"/>
    <cellStyle name="40% - Accent3 5 2 3 4" xfId="28501" xr:uid="{00000000-0005-0000-0000-00005F4E0000}"/>
    <cellStyle name="40% - Accent3 5 2 3 4 2" xfId="11884" xr:uid="{00000000-0005-0000-0000-0000604E0000}"/>
    <cellStyle name="40% - Accent3 5 2 3 5" xfId="28496" xr:uid="{00000000-0005-0000-0000-0000614E0000}"/>
    <cellStyle name="40% - Accent3 5 2 4" xfId="31935" xr:uid="{00000000-0005-0000-0000-0000624E0000}"/>
    <cellStyle name="40% - Accent3 5 2 4 2" xfId="31923" xr:uid="{00000000-0005-0000-0000-0000634E0000}"/>
    <cellStyle name="40% - Accent3 5 2 4 2 2" xfId="11882" xr:uid="{00000000-0005-0000-0000-0000644E0000}"/>
    <cellStyle name="40% - Accent3 5 2 4 2 2 2" xfId="11878" xr:uid="{00000000-0005-0000-0000-0000654E0000}"/>
    <cellStyle name="40% - Accent3 5 2 4 2 3" xfId="11875" xr:uid="{00000000-0005-0000-0000-0000664E0000}"/>
    <cellStyle name="40% - Accent3 5 2 4 3" xfId="31772" xr:uid="{00000000-0005-0000-0000-0000674E0000}"/>
    <cellStyle name="40% - Accent3 5 2 4 3 2" xfId="11872" xr:uid="{00000000-0005-0000-0000-0000684E0000}"/>
    <cellStyle name="40% - Accent3 5 2 4 4" xfId="28487" xr:uid="{00000000-0005-0000-0000-0000694E0000}"/>
    <cellStyle name="40% - Accent3 5 2 5" xfId="34302" xr:uid="{00000000-0005-0000-0000-00006A4E0000}"/>
    <cellStyle name="40% - Accent3 5 2 5 2" xfId="31764" xr:uid="{00000000-0005-0000-0000-00006B4E0000}"/>
    <cellStyle name="40% - Accent3 5 2 5 2 2" xfId="11869" xr:uid="{00000000-0005-0000-0000-00006C4E0000}"/>
    <cellStyle name="40% - Accent3 5 2 5 3" xfId="11865" xr:uid="{00000000-0005-0000-0000-00006D4E0000}"/>
    <cellStyle name="40% - Accent3 5 2 6" xfId="22858" xr:uid="{00000000-0005-0000-0000-00006E4E0000}"/>
    <cellStyle name="40% - Accent3 5 2 6 2" xfId="11863" xr:uid="{00000000-0005-0000-0000-00006F4E0000}"/>
    <cellStyle name="40% - Accent3 5 2 7" xfId="19839" xr:uid="{00000000-0005-0000-0000-0000704E0000}"/>
    <cellStyle name="40% - Accent3 5 2 8" xfId="34804" xr:uid="{00000000-0005-0000-0000-0000714E0000}"/>
    <cellStyle name="40% - Accent3 5 3" xfId="31683" xr:uid="{00000000-0005-0000-0000-0000724E0000}"/>
    <cellStyle name="40% - Accent3 5 3 2" xfId="11859" xr:uid="{00000000-0005-0000-0000-0000734E0000}"/>
    <cellStyle name="40% - Accent3 5 3 2 2" xfId="26970" xr:uid="{00000000-0005-0000-0000-0000744E0000}"/>
    <cellStyle name="40% - Accent3 5 3 2 2 2" xfId="11857" xr:uid="{00000000-0005-0000-0000-0000754E0000}"/>
    <cellStyle name="40% - Accent3 5 3 2 2 2 2" xfId="11855" xr:uid="{00000000-0005-0000-0000-0000764E0000}"/>
    <cellStyle name="40% - Accent3 5 3 2 2 2 2 2" xfId="11854" xr:uid="{00000000-0005-0000-0000-0000774E0000}"/>
    <cellStyle name="40% - Accent3 5 3 2 2 2 3" xfId="28996" xr:uid="{00000000-0005-0000-0000-0000784E0000}"/>
    <cellStyle name="40% - Accent3 5 3 2 2 3" xfId="11853" xr:uid="{00000000-0005-0000-0000-0000794E0000}"/>
    <cellStyle name="40% - Accent3 5 3 2 2 3 2" xfId="11850" xr:uid="{00000000-0005-0000-0000-00007A4E0000}"/>
    <cellStyle name="40% - Accent3 5 3 2 2 4" xfId="11849" xr:uid="{00000000-0005-0000-0000-00007B4E0000}"/>
    <cellStyle name="40% - Accent3 5 3 2 3" xfId="33599" xr:uid="{00000000-0005-0000-0000-00007C4E0000}"/>
    <cellStyle name="40% - Accent3 5 3 2 3 2" xfId="15362" xr:uid="{00000000-0005-0000-0000-00007D4E0000}"/>
    <cellStyle name="40% - Accent3 5 3 2 3 2 2" xfId="30932" xr:uid="{00000000-0005-0000-0000-00007E4E0000}"/>
    <cellStyle name="40% - Accent3 5 3 2 3 3" xfId="34059" xr:uid="{00000000-0005-0000-0000-00007F4E0000}"/>
    <cellStyle name="40% - Accent3 5 3 2 4" xfId="11847" xr:uid="{00000000-0005-0000-0000-0000804E0000}"/>
    <cellStyle name="40% - Accent3 5 3 2 4 2" xfId="26977" xr:uid="{00000000-0005-0000-0000-0000814E0000}"/>
    <cellStyle name="40% - Accent3 5 3 2 5" xfId="13379" xr:uid="{00000000-0005-0000-0000-0000824E0000}"/>
    <cellStyle name="40% - Accent3 5 3 3" xfId="31891" xr:uid="{00000000-0005-0000-0000-0000834E0000}"/>
    <cellStyle name="40% - Accent3 5 3 3 2" xfId="31887" xr:uid="{00000000-0005-0000-0000-0000844E0000}"/>
    <cellStyle name="40% - Accent3 5 3 3 2 2" xfId="11846" xr:uid="{00000000-0005-0000-0000-0000854E0000}"/>
    <cellStyle name="40% - Accent3 5 3 3 2 2 2" xfId="11842" xr:uid="{00000000-0005-0000-0000-0000864E0000}"/>
    <cellStyle name="40% - Accent3 5 3 3 2 3" xfId="11839" xr:uid="{00000000-0005-0000-0000-0000874E0000}"/>
    <cellStyle name="40% - Accent3 5 3 3 3" xfId="31746" xr:uid="{00000000-0005-0000-0000-0000884E0000}"/>
    <cellStyle name="40% - Accent3 5 3 3 3 2" xfId="26767" xr:uid="{00000000-0005-0000-0000-0000894E0000}"/>
    <cellStyle name="40% - Accent3 5 3 3 4" xfId="28476" xr:uid="{00000000-0005-0000-0000-00008A4E0000}"/>
    <cellStyle name="40% - Accent3 5 3 4" xfId="31879" xr:uid="{00000000-0005-0000-0000-00008B4E0000}"/>
    <cellStyle name="40% - Accent3 5 3 4 2" xfId="31741" xr:uid="{00000000-0005-0000-0000-00008C4E0000}"/>
    <cellStyle name="40% - Accent3 5 3 4 2 2" xfId="11835" xr:uid="{00000000-0005-0000-0000-00008D4E0000}"/>
    <cellStyle name="40% - Accent3 5 3 4 3" xfId="11831" xr:uid="{00000000-0005-0000-0000-00008E4E0000}"/>
    <cellStyle name="40% - Accent3 5 3 5" xfId="31737" xr:uid="{00000000-0005-0000-0000-00008F4E0000}"/>
    <cellStyle name="40% - Accent3 5 3 5 2" xfId="11830" xr:uid="{00000000-0005-0000-0000-0000904E0000}"/>
    <cellStyle name="40% - Accent3 5 3 6" xfId="22856" xr:uid="{00000000-0005-0000-0000-0000914E0000}"/>
    <cellStyle name="40% - Accent3 5 3 7" xfId="35006" xr:uid="{00000000-0005-0000-0000-0000924E0000}"/>
    <cellStyle name="40% - Accent3 5 4" xfId="11826" xr:uid="{00000000-0005-0000-0000-0000934E0000}"/>
    <cellStyle name="40% - Accent3 5 4 2" xfId="11825" xr:uid="{00000000-0005-0000-0000-0000944E0000}"/>
    <cellStyle name="40% - Accent3 5 4 2 2" xfId="11824" xr:uid="{00000000-0005-0000-0000-0000954E0000}"/>
    <cellStyle name="40% - Accent3 5 4 2 2 2" xfId="11822" xr:uid="{00000000-0005-0000-0000-0000964E0000}"/>
    <cellStyle name="40% - Accent3 5 4 2 2 2 2" xfId="27948" xr:uid="{00000000-0005-0000-0000-0000974E0000}"/>
    <cellStyle name="40% - Accent3 5 4 2 2 3" xfId="11818" xr:uid="{00000000-0005-0000-0000-0000984E0000}"/>
    <cellStyle name="40% - Accent3 5 4 2 3" xfId="11814" xr:uid="{00000000-0005-0000-0000-0000994E0000}"/>
    <cellStyle name="40% - Accent3 5 4 2 3 2" xfId="33104" xr:uid="{00000000-0005-0000-0000-00009A4E0000}"/>
    <cellStyle name="40% - Accent3 5 4 2 4" xfId="11811" xr:uid="{00000000-0005-0000-0000-00009B4E0000}"/>
    <cellStyle name="40% - Accent3 5 4 3" xfId="34400" xr:uid="{00000000-0005-0000-0000-00009C4E0000}"/>
    <cellStyle name="40% - Accent3 5 4 3 2" xfId="32770" xr:uid="{00000000-0005-0000-0000-00009D4E0000}"/>
    <cellStyle name="40% - Accent3 5 4 3 2 2" xfId="11808" xr:uid="{00000000-0005-0000-0000-00009E4E0000}"/>
    <cellStyle name="40% - Accent3 5 4 3 3" xfId="11802" xr:uid="{00000000-0005-0000-0000-00009F4E0000}"/>
    <cellStyle name="40% - Accent3 5 4 4" xfId="31731" xr:uid="{00000000-0005-0000-0000-0000A04E0000}"/>
    <cellStyle name="40% - Accent3 5 4 4 2" xfId="11796" xr:uid="{00000000-0005-0000-0000-0000A14E0000}"/>
    <cellStyle name="40% - Accent3 5 4 5" xfId="11789" xr:uid="{00000000-0005-0000-0000-0000A24E0000}"/>
    <cellStyle name="40% - Accent3 5 4 6" xfId="35212" xr:uid="{00000000-0005-0000-0000-0000A34E0000}"/>
    <cellStyle name="40% - Accent3 5 5" xfId="20503" xr:uid="{00000000-0005-0000-0000-0000A44E0000}"/>
    <cellStyle name="40% - Accent3 5 5 2" xfId="11788" xr:uid="{00000000-0005-0000-0000-0000A54E0000}"/>
    <cellStyle name="40% - Accent3 5 5 2 2" xfId="11786" xr:uid="{00000000-0005-0000-0000-0000A64E0000}"/>
    <cellStyle name="40% - Accent3 5 5 2 2 2" xfId="29138" xr:uid="{00000000-0005-0000-0000-0000A74E0000}"/>
    <cellStyle name="40% - Accent3 5 5 2 3" xfId="11784" xr:uid="{00000000-0005-0000-0000-0000A84E0000}"/>
    <cellStyle name="40% - Accent3 5 5 3" xfId="33887" xr:uid="{00000000-0005-0000-0000-0000A94E0000}"/>
    <cellStyle name="40% - Accent3 5 5 3 2" xfId="12230" xr:uid="{00000000-0005-0000-0000-0000AA4E0000}"/>
    <cellStyle name="40% - Accent3 5 5 4" xfId="12226" xr:uid="{00000000-0005-0000-0000-0000AB4E0000}"/>
    <cellStyle name="40% - Accent3 5 5 5" xfId="35441" xr:uid="{00000000-0005-0000-0000-0000AC4E0000}"/>
    <cellStyle name="40% - Accent3 5 6" xfId="18994" xr:uid="{00000000-0005-0000-0000-0000AD4E0000}"/>
    <cellStyle name="40% - Accent3 5 6 2" xfId="14046" xr:uid="{00000000-0005-0000-0000-0000AE4E0000}"/>
    <cellStyle name="40% - Accent3 5 6 2 2" xfId="11781" xr:uid="{00000000-0005-0000-0000-0000AF4E0000}"/>
    <cellStyle name="40% - Accent3 5 6 3" xfId="16084" xr:uid="{00000000-0005-0000-0000-0000B04E0000}"/>
    <cellStyle name="40% - Accent3 5 6 4" xfId="36313" xr:uid="{00000000-0005-0000-0000-0000B14E0000}"/>
    <cellStyle name="40% - Accent3 5 7" xfId="11778" xr:uid="{00000000-0005-0000-0000-0000B24E0000}"/>
    <cellStyle name="40% - Accent3 5 7 2" xfId="11776" xr:uid="{00000000-0005-0000-0000-0000B34E0000}"/>
    <cellStyle name="40% - Accent3 5 7 3" xfId="36599" xr:uid="{00000000-0005-0000-0000-0000B44E0000}"/>
    <cellStyle name="40% - Accent3 5 8" xfId="27710" xr:uid="{00000000-0005-0000-0000-0000B54E0000}"/>
    <cellStyle name="40% - Accent3 5 8 2" xfId="37484" xr:uid="{00000000-0005-0000-0000-0000B64E0000}"/>
    <cellStyle name="40% - Accent3 5 9" xfId="34582" xr:uid="{00000000-0005-0000-0000-0000B74E0000}"/>
    <cellStyle name="40% - Accent3 6" xfId="287" xr:uid="{00000000-0005-0000-0000-0000B84E0000}"/>
    <cellStyle name="40% - Accent3 6 2" xfId="11775" xr:uid="{00000000-0005-0000-0000-0000B94E0000}"/>
    <cellStyle name="40% - Accent3 6 2 2" xfId="11774" xr:uid="{00000000-0005-0000-0000-0000BA4E0000}"/>
    <cellStyle name="40% - Accent3 6 2 2 2" xfId="22893" xr:uid="{00000000-0005-0000-0000-0000BB4E0000}"/>
    <cellStyle name="40% - Accent3 6 2 2 2 2" xfId="11772" xr:uid="{00000000-0005-0000-0000-0000BC4E0000}"/>
    <cellStyle name="40% - Accent3 6 2 2 2 2 2" xfId="11766" xr:uid="{00000000-0005-0000-0000-0000BD4E0000}"/>
    <cellStyle name="40% - Accent3 6 2 2 2 2 2 2" xfId="20976" xr:uid="{00000000-0005-0000-0000-0000BE4E0000}"/>
    <cellStyle name="40% - Accent3 6 2 2 2 2 3" xfId="23871" xr:uid="{00000000-0005-0000-0000-0000BF4E0000}"/>
    <cellStyle name="40% - Accent3 6 2 2 2 3" xfId="11763" xr:uid="{00000000-0005-0000-0000-0000C04E0000}"/>
    <cellStyle name="40% - Accent3 6 2 2 2 3 2" xfId="11759" xr:uid="{00000000-0005-0000-0000-0000C14E0000}"/>
    <cellStyle name="40% - Accent3 6 2 2 2 4" xfId="11758" xr:uid="{00000000-0005-0000-0000-0000C24E0000}"/>
    <cellStyle name="40% - Accent3 6 2 2 3" xfId="11757" xr:uid="{00000000-0005-0000-0000-0000C34E0000}"/>
    <cellStyle name="40% - Accent3 6 2 2 3 2" xfId="13495" xr:uid="{00000000-0005-0000-0000-0000C44E0000}"/>
    <cellStyle name="40% - Accent3 6 2 2 3 2 2" xfId="11753" xr:uid="{00000000-0005-0000-0000-0000C54E0000}"/>
    <cellStyle name="40% - Accent3 6 2 2 3 3" xfId="13482" xr:uid="{00000000-0005-0000-0000-0000C64E0000}"/>
    <cellStyle name="40% - Accent3 6 2 2 4" xfId="11752" xr:uid="{00000000-0005-0000-0000-0000C74E0000}"/>
    <cellStyle name="40% - Accent3 6 2 2 4 2" xfId="13461" xr:uid="{00000000-0005-0000-0000-0000C84E0000}"/>
    <cellStyle name="40% - Accent3 6 2 2 5" xfId="16756" xr:uid="{00000000-0005-0000-0000-0000C94E0000}"/>
    <cellStyle name="40% - Accent3 6 2 3" xfId="31725" xr:uid="{00000000-0005-0000-0000-0000CA4E0000}"/>
    <cellStyle name="40% - Accent3 6 2 3 2" xfId="33883" xr:uid="{00000000-0005-0000-0000-0000CB4E0000}"/>
    <cellStyle name="40% - Accent3 6 2 3 2 2" xfId="11751" xr:uid="{00000000-0005-0000-0000-0000CC4E0000}"/>
    <cellStyle name="40% - Accent3 6 2 3 2 2 2" xfId="11747" xr:uid="{00000000-0005-0000-0000-0000CD4E0000}"/>
    <cellStyle name="40% - Accent3 6 2 3 2 3" xfId="11746" xr:uid="{00000000-0005-0000-0000-0000CE4E0000}"/>
    <cellStyle name="40% - Accent3 6 2 3 3" xfId="32927" xr:uid="{00000000-0005-0000-0000-0000CF4E0000}"/>
    <cellStyle name="40% - Accent3 6 2 3 3 2" xfId="25473" xr:uid="{00000000-0005-0000-0000-0000D04E0000}"/>
    <cellStyle name="40% - Accent3 6 2 3 4" xfId="28470" xr:uid="{00000000-0005-0000-0000-0000D14E0000}"/>
    <cellStyle name="40% - Accent3 6 2 4" xfId="30147" xr:uid="{00000000-0005-0000-0000-0000D24E0000}"/>
    <cellStyle name="40% - Accent3 6 2 4 2" xfId="32890" xr:uid="{00000000-0005-0000-0000-0000D34E0000}"/>
    <cellStyle name="40% - Accent3 6 2 4 2 2" xfId="11745" xr:uid="{00000000-0005-0000-0000-0000D44E0000}"/>
    <cellStyle name="40% - Accent3 6 2 4 3" xfId="11742" xr:uid="{00000000-0005-0000-0000-0000D54E0000}"/>
    <cellStyle name="40% - Accent3 6 2 5" xfId="29331" xr:uid="{00000000-0005-0000-0000-0000D64E0000}"/>
    <cellStyle name="40% - Accent3 6 2 5 2" xfId="11741" xr:uid="{00000000-0005-0000-0000-0000D74E0000}"/>
    <cellStyle name="40% - Accent3 6 2 6" xfId="22839" xr:uid="{00000000-0005-0000-0000-0000D84E0000}"/>
    <cellStyle name="40% - Accent3 6 2 7" xfId="34823" xr:uid="{00000000-0005-0000-0000-0000D94E0000}"/>
    <cellStyle name="40% - Accent3 6 3" xfId="21714" xr:uid="{00000000-0005-0000-0000-0000DA4E0000}"/>
    <cellStyle name="40% - Accent3 6 3 2" xfId="11736" xr:uid="{00000000-0005-0000-0000-0000DB4E0000}"/>
    <cellStyle name="40% - Accent3 6 3 2 2" xfId="11734" xr:uid="{00000000-0005-0000-0000-0000DC4E0000}"/>
    <cellStyle name="40% - Accent3 6 3 2 2 2" xfId="11732" xr:uid="{00000000-0005-0000-0000-0000DD4E0000}"/>
    <cellStyle name="40% - Accent3 6 3 2 2 2 2" xfId="11728" xr:uid="{00000000-0005-0000-0000-0000DE4E0000}"/>
    <cellStyle name="40% - Accent3 6 3 2 2 3" xfId="11727" xr:uid="{00000000-0005-0000-0000-0000DF4E0000}"/>
    <cellStyle name="40% - Accent3 6 3 2 3" xfId="11725" xr:uid="{00000000-0005-0000-0000-0000E04E0000}"/>
    <cellStyle name="40% - Accent3 6 3 2 3 2" xfId="33573" xr:uid="{00000000-0005-0000-0000-0000E14E0000}"/>
    <cellStyle name="40% - Accent3 6 3 2 4" xfId="11724" xr:uid="{00000000-0005-0000-0000-0000E24E0000}"/>
    <cellStyle name="40% - Accent3 6 3 3" xfId="26434" xr:uid="{00000000-0005-0000-0000-0000E34E0000}"/>
    <cellStyle name="40% - Accent3 6 3 3 2" xfId="32500" xr:uid="{00000000-0005-0000-0000-0000E44E0000}"/>
    <cellStyle name="40% - Accent3 6 3 3 2 2" xfId="25518" xr:uid="{00000000-0005-0000-0000-0000E54E0000}"/>
    <cellStyle name="40% - Accent3 6 3 3 3" xfId="11723" xr:uid="{00000000-0005-0000-0000-0000E64E0000}"/>
    <cellStyle name="40% - Accent3 6 3 4" xfId="24698" xr:uid="{00000000-0005-0000-0000-0000E74E0000}"/>
    <cellStyle name="40% - Accent3 6 3 4 2" xfId="11722" xr:uid="{00000000-0005-0000-0000-0000E84E0000}"/>
    <cellStyle name="40% - Accent3 6 3 5" xfId="11721" xr:uid="{00000000-0005-0000-0000-0000E94E0000}"/>
    <cellStyle name="40% - Accent3 6 3 6" xfId="35025" xr:uid="{00000000-0005-0000-0000-0000EA4E0000}"/>
    <cellStyle name="40% - Accent3 6 4" xfId="27760" xr:uid="{00000000-0005-0000-0000-0000EB4E0000}"/>
    <cellStyle name="40% - Accent3 6 4 2" xfId="11718" xr:uid="{00000000-0005-0000-0000-0000EC4E0000}"/>
    <cellStyle name="40% - Accent3 6 4 2 2" xfId="11716" xr:uid="{00000000-0005-0000-0000-0000ED4E0000}"/>
    <cellStyle name="40% - Accent3 6 4 2 2 2" xfId="11714" xr:uid="{00000000-0005-0000-0000-0000EE4E0000}"/>
    <cellStyle name="40% - Accent3 6 4 2 3" xfId="30810" xr:uid="{00000000-0005-0000-0000-0000EF4E0000}"/>
    <cellStyle name="40% - Accent3 6 4 3" xfId="24664" xr:uid="{00000000-0005-0000-0000-0000F04E0000}"/>
    <cellStyle name="40% - Accent3 6 4 3 2" xfId="11711" xr:uid="{00000000-0005-0000-0000-0000F14E0000}"/>
    <cellStyle name="40% - Accent3 6 4 4" xfId="11708" xr:uid="{00000000-0005-0000-0000-0000F24E0000}"/>
    <cellStyle name="40% - Accent3 6 4 5" xfId="35231" xr:uid="{00000000-0005-0000-0000-0000F34E0000}"/>
    <cellStyle name="40% - Accent3 6 5" xfId="18988" xr:uid="{00000000-0005-0000-0000-0000F44E0000}"/>
    <cellStyle name="40% - Accent3 6 5 2" xfId="11706" xr:uid="{00000000-0005-0000-0000-0000F54E0000}"/>
    <cellStyle name="40% - Accent3 6 5 2 2" xfId="11704" xr:uid="{00000000-0005-0000-0000-0000F64E0000}"/>
    <cellStyle name="40% - Accent3 6 5 3" xfId="12224" xr:uid="{00000000-0005-0000-0000-0000F74E0000}"/>
    <cellStyle name="40% - Accent3 6 5 4" xfId="35460" xr:uid="{00000000-0005-0000-0000-0000F84E0000}"/>
    <cellStyle name="40% - Accent3 6 6" xfId="21705" xr:uid="{00000000-0005-0000-0000-0000F94E0000}"/>
    <cellStyle name="40% - Accent3 6 6 2" xfId="24643" xr:uid="{00000000-0005-0000-0000-0000FA4E0000}"/>
    <cellStyle name="40% - Accent3 6 6 3" xfId="36332" xr:uid="{00000000-0005-0000-0000-0000FB4E0000}"/>
    <cellStyle name="40% - Accent3 6 7" xfId="11702" xr:uid="{00000000-0005-0000-0000-0000FC4E0000}"/>
    <cellStyle name="40% - Accent3 6 7 2" xfId="36618" xr:uid="{00000000-0005-0000-0000-0000FD4E0000}"/>
    <cellStyle name="40% - Accent3 6 8" xfId="34596" xr:uid="{00000000-0005-0000-0000-0000FE4E0000}"/>
    <cellStyle name="40% - Accent3 6 9" xfId="17244" xr:uid="{00000000-0005-0000-0000-0000FF4E0000}"/>
    <cellStyle name="40% - Accent3 7" xfId="307" xr:uid="{00000000-0005-0000-0000-0000004F0000}"/>
    <cellStyle name="40% - Accent3 7 2" xfId="29012" xr:uid="{00000000-0005-0000-0000-0000014F0000}"/>
    <cellStyle name="40% - Accent3 7 2 2" xfId="11700" xr:uid="{00000000-0005-0000-0000-0000024F0000}"/>
    <cellStyle name="40% - Accent3 7 2 2 2" xfId="11699" xr:uid="{00000000-0005-0000-0000-0000034F0000}"/>
    <cellStyle name="40% - Accent3 7 2 2 2 2" xfId="20263" xr:uid="{00000000-0005-0000-0000-0000044F0000}"/>
    <cellStyle name="40% - Accent3 7 2 2 2 2 2" xfId="11696" xr:uid="{00000000-0005-0000-0000-0000054F0000}"/>
    <cellStyle name="40% - Accent3 7 2 2 2 3" xfId="11695" xr:uid="{00000000-0005-0000-0000-0000064F0000}"/>
    <cellStyle name="40% - Accent3 7 2 2 3" xfId="11694" xr:uid="{00000000-0005-0000-0000-0000074F0000}"/>
    <cellStyle name="40% - Accent3 7 2 2 3 2" xfId="13033" xr:uid="{00000000-0005-0000-0000-0000084F0000}"/>
    <cellStyle name="40% - Accent3 7 2 2 4" xfId="11693" xr:uid="{00000000-0005-0000-0000-0000094F0000}"/>
    <cellStyle name="40% - Accent3 7 2 3" xfId="32385" xr:uid="{00000000-0005-0000-0000-00000A4F0000}"/>
    <cellStyle name="40% - Accent3 7 2 3 2" xfId="32061" xr:uid="{00000000-0005-0000-0000-00000B4F0000}"/>
    <cellStyle name="40% - Accent3 7 2 3 2 2" xfId="11692" xr:uid="{00000000-0005-0000-0000-00000C4F0000}"/>
    <cellStyle name="40% - Accent3 7 2 3 3" xfId="11691" xr:uid="{00000000-0005-0000-0000-00000D4F0000}"/>
    <cellStyle name="40% - Accent3 7 2 4" xfId="29270" xr:uid="{00000000-0005-0000-0000-00000E4F0000}"/>
    <cellStyle name="40% - Accent3 7 2 4 2" xfId="9900" xr:uid="{00000000-0005-0000-0000-00000F4F0000}"/>
    <cellStyle name="40% - Accent3 7 2 5" xfId="11690" xr:uid="{00000000-0005-0000-0000-0000104F0000}"/>
    <cellStyle name="40% - Accent3 7 2 6" xfId="34842" xr:uid="{00000000-0005-0000-0000-0000114F0000}"/>
    <cellStyle name="40% - Accent3 7 3" xfId="21701" xr:uid="{00000000-0005-0000-0000-0000124F0000}"/>
    <cellStyle name="40% - Accent3 7 3 2" xfId="11689" xr:uid="{00000000-0005-0000-0000-0000134F0000}"/>
    <cellStyle name="40% - Accent3 7 3 2 2" xfId="11687" xr:uid="{00000000-0005-0000-0000-0000144F0000}"/>
    <cellStyle name="40% - Accent3 7 3 2 2 2" xfId="16422" xr:uid="{00000000-0005-0000-0000-0000154F0000}"/>
    <cellStyle name="40% - Accent3 7 3 2 3" xfId="12083" xr:uid="{00000000-0005-0000-0000-0000164F0000}"/>
    <cellStyle name="40% - Accent3 7 3 3" xfId="24625" xr:uid="{00000000-0005-0000-0000-0000174F0000}"/>
    <cellStyle name="40% - Accent3 7 3 3 2" xfId="11686" xr:uid="{00000000-0005-0000-0000-0000184F0000}"/>
    <cellStyle name="40% - Accent3 7 3 4" xfId="11685" xr:uid="{00000000-0005-0000-0000-0000194F0000}"/>
    <cellStyle name="40% - Accent3 7 3 5" xfId="35044" xr:uid="{00000000-0005-0000-0000-00001A4F0000}"/>
    <cellStyle name="40% - Accent3 7 4" xfId="21695" xr:uid="{00000000-0005-0000-0000-00001B4F0000}"/>
    <cellStyle name="40% - Accent3 7 4 2" xfId="11682" xr:uid="{00000000-0005-0000-0000-00001C4F0000}"/>
    <cellStyle name="40% - Accent3 7 4 2 2" xfId="11680" xr:uid="{00000000-0005-0000-0000-00001D4F0000}"/>
    <cellStyle name="40% - Accent3 7 4 3" xfId="11679" xr:uid="{00000000-0005-0000-0000-00001E4F0000}"/>
    <cellStyle name="40% - Accent3 7 4 4" xfId="35251" xr:uid="{00000000-0005-0000-0000-00001F4F0000}"/>
    <cellStyle name="40% - Accent3 7 5" xfId="33681" xr:uid="{00000000-0005-0000-0000-0000204F0000}"/>
    <cellStyle name="40% - Accent3 7 5 2" xfId="21518" xr:uid="{00000000-0005-0000-0000-0000214F0000}"/>
    <cellStyle name="40% - Accent3 7 5 3" xfId="35480" xr:uid="{00000000-0005-0000-0000-0000224F0000}"/>
    <cellStyle name="40% - Accent3 7 6" xfId="11676" xr:uid="{00000000-0005-0000-0000-0000234F0000}"/>
    <cellStyle name="40% - Accent3 7 6 2" xfId="36352" xr:uid="{00000000-0005-0000-0000-0000244F0000}"/>
    <cellStyle name="40% - Accent3 7 7" xfId="34610" xr:uid="{00000000-0005-0000-0000-0000254F0000}"/>
    <cellStyle name="40% - Accent3 7 8" xfId="15204" xr:uid="{00000000-0005-0000-0000-0000264F0000}"/>
    <cellStyle name="40% - Accent3 7 8 2" xfId="37510" xr:uid="{00000000-0005-0000-0000-0000274F0000}"/>
    <cellStyle name="40% - Accent3 8" xfId="327" xr:uid="{00000000-0005-0000-0000-0000284F0000}"/>
    <cellStyle name="40% - Accent3 8 2" xfId="11674" xr:uid="{00000000-0005-0000-0000-0000294F0000}"/>
    <cellStyle name="40% - Accent3 8 2 2" xfId="11673" xr:uid="{00000000-0005-0000-0000-00002A4F0000}"/>
    <cellStyle name="40% - Accent3 8 2 2 2" xfId="32801" xr:uid="{00000000-0005-0000-0000-00002B4F0000}"/>
    <cellStyle name="40% - Accent3 8 2 2 2 2" xfId="31812" xr:uid="{00000000-0005-0000-0000-00002C4F0000}"/>
    <cellStyle name="40% - Accent3 8 2 2 3" xfId="11670" xr:uid="{00000000-0005-0000-0000-00002D4F0000}"/>
    <cellStyle name="40% - Accent3 8 2 3" xfId="33768" xr:uid="{00000000-0005-0000-0000-00002E4F0000}"/>
    <cellStyle name="40% - Accent3 8 2 3 2" xfId="11669" xr:uid="{00000000-0005-0000-0000-00002F4F0000}"/>
    <cellStyle name="40% - Accent3 8 2 4" xfId="11668" xr:uid="{00000000-0005-0000-0000-0000304F0000}"/>
    <cellStyle name="40% - Accent3 8 2 5" xfId="34861" xr:uid="{00000000-0005-0000-0000-0000314F0000}"/>
    <cellStyle name="40% - Accent3 8 3" xfId="24744" xr:uid="{00000000-0005-0000-0000-0000324F0000}"/>
    <cellStyle name="40% - Accent3 8 3 2" xfId="11665" xr:uid="{00000000-0005-0000-0000-0000334F0000}"/>
    <cellStyle name="40% - Accent3 8 3 2 2" xfId="20586" xr:uid="{00000000-0005-0000-0000-0000344F0000}"/>
    <cellStyle name="40% - Accent3 8 3 3" xfId="11663" xr:uid="{00000000-0005-0000-0000-0000354F0000}"/>
    <cellStyle name="40% - Accent3 8 3 4" xfId="35063" xr:uid="{00000000-0005-0000-0000-0000364F0000}"/>
    <cellStyle name="40% - Accent3 8 4" xfId="24543" xr:uid="{00000000-0005-0000-0000-0000374F0000}"/>
    <cellStyle name="40% - Accent3 8 4 2" xfId="11660" xr:uid="{00000000-0005-0000-0000-0000384F0000}"/>
    <cellStyle name="40% - Accent3 8 4 3" xfId="35270" xr:uid="{00000000-0005-0000-0000-0000394F0000}"/>
    <cellStyle name="40% - Accent3 8 5" xfId="16370" xr:uid="{00000000-0005-0000-0000-00003A4F0000}"/>
    <cellStyle name="40% - Accent3 8 5 2" xfId="35499" xr:uid="{00000000-0005-0000-0000-00003B4F0000}"/>
    <cellStyle name="40% - Accent3 8 6" xfId="34624" xr:uid="{00000000-0005-0000-0000-00003C4F0000}"/>
    <cellStyle name="40% - Accent3 8 7" xfId="11675" xr:uid="{00000000-0005-0000-0000-00003D4F0000}"/>
    <cellStyle name="40% - Accent3 8 7 2" xfId="36644" xr:uid="{00000000-0005-0000-0000-00003E4F0000}"/>
    <cellStyle name="40% - Accent3 8 8" xfId="37529" xr:uid="{00000000-0005-0000-0000-00003F4F0000}"/>
    <cellStyle name="40% - Accent3 9" xfId="347" xr:uid="{00000000-0005-0000-0000-0000404F0000}"/>
    <cellStyle name="40% - Accent3 9 2" xfId="11657" xr:uid="{00000000-0005-0000-0000-0000414F0000}"/>
    <cellStyle name="40% - Accent3 9 2 2" xfId="11656" xr:uid="{00000000-0005-0000-0000-0000424F0000}"/>
    <cellStyle name="40% - Accent3 9 2 2 2" xfId="11655" xr:uid="{00000000-0005-0000-0000-0000434F0000}"/>
    <cellStyle name="40% - Accent3 9 2 3" xfId="11652" xr:uid="{00000000-0005-0000-0000-0000444F0000}"/>
    <cellStyle name="40% - Accent3 9 2 4" xfId="34881" xr:uid="{00000000-0005-0000-0000-0000454F0000}"/>
    <cellStyle name="40% - Accent3 9 3" xfId="31092" xr:uid="{00000000-0005-0000-0000-0000464F0000}"/>
    <cellStyle name="40% - Accent3 9 3 2" xfId="11650" xr:uid="{00000000-0005-0000-0000-0000474F0000}"/>
    <cellStyle name="40% - Accent3 9 3 3" xfId="35082" xr:uid="{00000000-0005-0000-0000-0000484F0000}"/>
    <cellStyle name="40% - Accent3 9 4" xfId="16362" xr:uid="{00000000-0005-0000-0000-0000494F0000}"/>
    <cellStyle name="40% - Accent3 9 4 2" xfId="35290" xr:uid="{00000000-0005-0000-0000-00004A4F0000}"/>
    <cellStyle name="40% - Accent3 9 5" xfId="34638" xr:uid="{00000000-0005-0000-0000-00004B4F0000}"/>
    <cellStyle name="40% - Accent3 9 6" xfId="11658" xr:uid="{00000000-0005-0000-0000-00004C4F0000}"/>
    <cellStyle name="40% - Accent3 9 6 2" xfId="36378" xr:uid="{00000000-0005-0000-0000-00004D4F0000}"/>
    <cellStyle name="40% - Accent3 9 7" xfId="36664" xr:uid="{00000000-0005-0000-0000-00004E4F0000}"/>
    <cellStyle name="40% - Accent3 9 8" xfId="37549" xr:uid="{00000000-0005-0000-0000-00004F4F0000}"/>
    <cellStyle name="40% - Accent4" xfId="36" builtinId="43" customBuiltin="1"/>
    <cellStyle name="40% - Accent4 10" xfId="188" xr:uid="{00000000-0005-0000-0000-0000514F0000}"/>
    <cellStyle name="40% - Accent4 10 2" xfId="11648" xr:uid="{00000000-0005-0000-0000-0000524F0000}"/>
    <cellStyle name="40% - Accent4 10 2 2" xfId="11647" xr:uid="{00000000-0005-0000-0000-0000534F0000}"/>
    <cellStyle name="40% - Accent4 10 2 3" xfId="34902" xr:uid="{00000000-0005-0000-0000-0000544F0000}"/>
    <cellStyle name="40% - Accent4 10 3" xfId="14598" xr:uid="{00000000-0005-0000-0000-0000554F0000}"/>
    <cellStyle name="40% - Accent4 10 3 2" xfId="35104" xr:uid="{00000000-0005-0000-0000-0000564F0000}"/>
    <cellStyle name="40% - Accent4 10 4" xfId="34527" xr:uid="{00000000-0005-0000-0000-0000574F0000}"/>
    <cellStyle name="40% - Accent4 10 5" xfId="29605" xr:uid="{00000000-0005-0000-0000-0000584F0000}"/>
    <cellStyle name="40% - Accent4 10 5 2" xfId="35527" xr:uid="{00000000-0005-0000-0000-0000594F0000}"/>
    <cellStyle name="40% - Accent4 10 6" xfId="36400" xr:uid="{00000000-0005-0000-0000-00005A4F0000}"/>
    <cellStyle name="40% - Accent4 10 7" xfId="36686" xr:uid="{00000000-0005-0000-0000-00005B4F0000}"/>
    <cellStyle name="40% - Accent4 10 8" xfId="37571" xr:uid="{00000000-0005-0000-0000-00005C4F0000}"/>
    <cellStyle name="40% - Accent4 11" xfId="30126" xr:uid="{00000000-0005-0000-0000-00005D4F0000}"/>
    <cellStyle name="40% - Accent4 11 2" xfId="11646" xr:uid="{00000000-0005-0000-0000-00005E4F0000}"/>
    <cellStyle name="40% - Accent4 11 2 2" xfId="35123" xr:uid="{00000000-0005-0000-0000-00005F4F0000}"/>
    <cellStyle name="40% - Accent4 11 3" xfId="34697" xr:uid="{00000000-0005-0000-0000-0000604F0000}"/>
    <cellStyle name="40% - Accent4 11 4" xfId="35547" xr:uid="{00000000-0005-0000-0000-0000614F0000}"/>
    <cellStyle name="40% - Accent4 11 5" xfId="36420" xr:uid="{00000000-0005-0000-0000-0000624F0000}"/>
    <cellStyle name="40% - Accent4 11 6" xfId="36706" xr:uid="{00000000-0005-0000-0000-0000634F0000}"/>
    <cellStyle name="40% - Accent4 11 7" xfId="37591" xr:uid="{00000000-0005-0000-0000-0000644F0000}"/>
    <cellStyle name="40% - Accent4 12" xfId="11645" xr:uid="{00000000-0005-0000-0000-0000654F0000}"/>
    <cellStyle name="40% - Accent4 12 2" xfId="34713" xr:uid="{00000000-0005-0000-0000-0000664F0000}"/>
    <cellStyle name="40% - Accent4 12 3" xfId="35326" xr:uid="{00000000-0005-0000-0000-0000674F0000}"/>
    <cellStyle name="40% - Accent4 12 4" xfId="35566" xr:uid="{00000000-0005-0000-0000-0000684F0000}"/>
    <cellStyle name="40% - Accent4 12 5" xfId="36439" xr:uid="{00000000-0005-0000-0000-0000694F0000}"/>
    <cellStyle name="40% - Accent4 12 6" xfId="36725" xr:uid="{00000000-0005-0000-0000-00006A4F0000}"/>
    <cellStyle name="40% - Accent4 12 7" xfId="37610" xr:uid="{00000000-0005-0000-0000-00006B4F0000}"/>
    <cellStyle name="40% - Accent4 13" xfId="11643" xr:uid="{00000000-0005-0000-0000-00006C4F0000}"/>
    <cellStyle name="40% - Accent4 13 2" xfId="34741" xr:uid="{00000000-0005-0000-0000-00006D4F0000}"/>
    <cellStyle name="40% - Accent4 13 3" xfId="35585" xr:uid="{00000000-0005-0000-0000-00006E4F0000}"/>
    <cellStyle name="40% - Accent4 13 4" xfId="36460" xr:uid="{00000000-0005-0000-0000-00006F4F0000}"/>
    <cellStyle name="40% - Accent4 13 5" xfId="36746" xr:uid="{00000000-0005-0000-0000-0000704F0000}"/>
    <cellStyle name="40% - Accent4 13 6" xfId="37631" xr:uid="{00000000-0005-0000-0000-0000714F0000}"/>
    <cellStyle name="40% - Accent4 14" xfId="13037" xr:uid="{00000000-0005-0000-0000-0000724F0000}"/>
    <cellStyle name="40% - Accent4 14 2" xfId="34931" xr:uid="{00000000-0005-0000-0000-0000734F0000}"/>
    <cellStyle name="40% - Accent4 14 3" xfId="36763" xr:uid="{00000000-0005-0000-0000-0000744F0000}"/>
    <cellStyle name="40% - Accent4 14 4" xfId="37648" xr:uid="{00000000-0005-0000-0000-0000754F0000}"/>
    <cellStyle name="40% - Accent4 15" xfId="34656" xr:uid="{00000000-0005-0000-0000-0000764F0000}"/>
    <cellStyle name="40% - Accent4 15 2" xfId="36485" xr:uid="{00000000-0005-0000-0000-0000774F0000}"/>
    <cellStyle name="40% - Accent4 15 3" xfId="36783" xr:uid="{00000000-0005-0000-0000-0000784F0000}"/>
    <cellStyle name="40% - Accent4 15 4" xfId="37671" xr:uid="{00000000-0005-0000-0000-0000794F0000}"/>
    <cellStyle name="40% - Accent4 16" xfId="35365" xr:uid="{00000000-0005-0000-0000-00007A4F0000}"/>
    <cellStyle name="40% - Accent4 16 2" xfId="36503" xr:uid="{00000000-0005-0000-0000-00007B4F0000}"/>
    <cellStyle name="40% - Accent4 16 3" xfId="36801" xr:uid="{00000000-0005-0000-0000-00007C4F0000}"/>
    <cellStyle name="40% - Accent4 16 4" xfId="37690" xr:uid="{00000000-0005-0000-0000-00007D4F0000}"/>
    <cellStyle name="40% - Accent4 17" xfId="35652" xr:uid="{00000000-0005-0000-0000-00007E4F0000}"/>
    <cellStyle name="40% - Accent4 17 2" xfId="36820" xr:uid="{00000000-0005-0000-0000-00007F4F0000}"/>
    <cellStyle name="40% - Accent4 17 3" xfId="37710" xr:uid="{00000000-0005-0000-0000-0000804F0000}"/>
    <cellStyle name="40% - Accent4 18" xfId="35670" xr:uid="{00000000-0005-0000-0000-0000814F0000}"/>
    <cellStyle name="40% - Accent4 18 2" xfId="36839" xr:uid="{00000000-0005-0000-0000-0000824F0000}"/>
    <cellStyle name="40% - Accent4 18 3" xfId="37729" xr:uid="{00000000-0005-0000-0000-0000834F0000}"/>
    <cellStyle name="40% - Accent4 19" xfId="35689" xr:uid="{00000000-0005-0000-0000-0000844F0000}"/>
    <cellStyle name="40% - Accent4 19 2" xfId="36858" xr:uid="{00000000-0005-0000-0000-0000854F0000}"/>
    <cellStyle name="40% - Accent4 19 3" xfId="37748" xr:uid="{00000000-0005-0000-0000-0000864F0000}"/>
    <cellStyle name="40% - Accent4 2" xfId="88" xr:uid="{00000000-0005-0000-0000-0000874F0000}"/>
    <cellStyle name="40% - Accent4 2 10" xfId="11640" xr:uid="{00000000-0005-0000-0000-0000884F0000}"/>
    <cellStyle name="40% - Accent4 2 10 2" xfId="18916" xr:uid="{00000000-0005-0000-0000-0000894F0000}"/>
    <cellStyle name="40% - Accent4 2 10 3" xfId="37429" xr:uid="{00000000-0005-0000-0000-00008A4F0000}"/>
    <cellStyle name="40% - Accent4 2 11" xfId="11638" xr:uid="{00000000-0005-0000-0000-00008B4F0000}"/>
    <cellStyle name="40% - Accent4 2 12" xfId="34445" xr:uid="{00000000-0005-0000-0000-00008C4F0000}"/>
    <cellStyle name="40% - Accent4 2 13" xfId="11642" xr:uid="{00000000-0005-0000-0000-00008D4F0000}"/>
    <cellStyle name="40% - Accent4 2 2" xfId="149" xr:uid="{00000000-0005-0000-0000-00008E4F0000}"/>
    <cellStyle name="40% - Accent4 2 2 10" xfId="19697" xr:uid="{00000000-0005-0000-0000-00008F4F0000}"/>
    <cellStyle name="40% - Accent4 2 2 11" xfId="34500" xr:uid="{00000000-0005-0000-0000-0000904F0000}"/>
    <cellStyle name="40% - Accent4 2 2 12" xfId="24241" xr:uid="{00000000-0005-0000-0000-0000914F0000}"/>
    <cellStyle name="40% - Accent4 2 2 2" xfId="18175" xr:uid="{00000000-0005-0000-0000-0000924F0000}"/>
    <cellStyle name="40% - Accent4 2 2 2 2" xfId="11637" xr:uid="{00000000-0005-0000-0000-0000934F0000}"/>
    <cellStyle name="40% - Accent4 2 2 2 2 2" xfId="13590" xr:uid="{00000000-0005-0000-0000-0000944F0000}"/>
    <cellStyle name="40% - Accent4 2 2 2 2 2 2" xfId="11633" xr:uid="{00000000-0005-0000-0000-0000954F0000}"/>
    <cellStyle name="40% - Accent4 2 2 2 2 2 2 2" xfId="26309" xr:uid="{00000000-0005-0000-0000-0000964F0000}"/>
    <cellStyle name="40% - Accent4 2 2 2 2 2 2 2 2" xfId="29724" xr:uid="{00000000-0005-0000-0000-0000974F0000}"/>
    <cellStyle name="40% - Accent4 2 2 2 2 2 2 2 2 2" xfId="11654" xr:uid="{00000000-0005-0000-0000-0000984F0000}"/>
    <cellStyle name="40% - Accent4 2 2 2 2 2 2 2 2 2 2" xfId="11631" xr:uid="{00000000-0005-0000-0000-0000994F0000}"/>
    <cellStyle name="40% - Accent4 2 2 2 2 2 2 2 2 2 2 2" xfId="15605" xr:uid="{00000000-0005-0000-0000-00009A4F0000}"/>
    <cellStyle name="40% - Accent4 2 2 2 2 2 2 2 2 2 3" xfId="6258" xr:uid="{00000000-0005-0000-0000-00009B4F0000}"/>
    <cellStyle name="40% - Accent4 2 2 2 2 2 2 2 2 3" xfId="34292" xr:uid="{00000000-0005-0000-0000-00009C4F0000}"/>
    <cellStyle name="40% - Accent4 2 2 2 2 2 2 2 2 3 2" xfId="11628" xr:uid="{00000000-0005-0000-0000-00009D4F0000}"/>
    <cellStyle name="40% - Accent4 2 2 2 2 2 2 2 2 4" xfId="25611" xr:uid="{00000000-0005-0000-0000-00009E4F0000}"/>
    <cellStyle name="40% - Accent4 2 2 2 2 2 2 2 3" xfId="11297" xr:uid="{00000000-0005-0000-0000-00009F4F0000}"/>
    <cellStyle name="40% - Accent4 2 2 2 2 2 2 2 3 2" xfId="11626" xr:uid="{00000000-0005-0000-0000-0000A04F0000}"/>
    <cellStyle name="40% - Accent4 2 2 2 2 2 2 2 3 2 2" xfId="11625" xr:uid="{00000000-0005-0000-0000-0000A14F0000}"/>
    <cellStyle name="40% - Accent4 2 2 2 2 2 2 2 3 3" xfId="25599" xr:uid="{00000000-0005-0000-0000-0000A24F0000}"/>
    <cellStyle name="40% - Accent4 2 2 2 2 2 2 2 4" xfId="5582" xr:uid="{00000000-0005-0000-0000-0000A34F0000}"/>
    <cellStyle name="40% - Accent4 2 2 2 2 2 2 2 4 2" xfId="11624" xr:uid="{00000000-0005-0000-0000-0000A44F0000}"/>
    <cellStyle name="40% - Accent4 2 2 2 2 2 2 2 5" xfId="21816" xr:uid="{00000000-0005-0000-0000-0000A54F0000}"/>
    <cellStyle name="40% - Accent4 2 2 2 2 2 2 3" xfId="25157" xr:uid="{00000000-0005-0000-0000-0000A64F0000}"/>
    <cellStyle name="40% - Accent4 2 2 2 2 2 2 3 2" xfId="11292" xr:uid="{00000000-0005-0000-0000-0000A74F0000}"/>
    <cellStyle name="40% - Accent4 2 2 2 2 2 2 3 2 2" xfId="11623" xr:uid="{00000000-0005-0000-0000-0000A84F0000}"/>
    <cellStyle name="40% - Accent4 2 2 2 2 2 2 3 2 2 2" xfId="12154" xr:uid="{00000000-0005-0000-0000-0000A94F0000}"/>
    <cellStyle name="40% - Accent4 2 2 2 2 2 2 3 2 3" xfId="18700" xr:uid="{00000000-0005-0000-0000-0000AA4F0000}"/>
    <cellStyle name="40% - Accent4 2 2 2 2 2 2 3 3" xfId="20337" xr:uid="{00000000-0005-0000-0000-0000AB4F0000}"/>
    <cellStyle name="40% - Accent4 2 2 2 2 2 2 3 3 2" xfId="11622" xr:uid="{00000000-0005-0000-0000-0000AC4F0000}"/>
    <cellStyle name="40% - Accent4 2 2 2 2 2 2 3 4" xfId="5572" xr:uid="{00000000-0005-0000-0000-0000AD4F0000}"/>
    <cellStyle name="40% - Accent4 2 2 2 2 2 2 4" xfId="11621" xr:uid="{00000000-0005-0000-0000-0000AE4F0000}"/>
    <cellStyle name="40% - Accent4 2 2 2 2 2 2 4 2" xfId="20327" xr:uid="{00000000-0005-0000-0000-0000AF4F0000}"/>
    <cellStyle name="40% - Accent4 2 2 2 2 2 2 4 2 2" xfId="9161" xr:uid="{00000000-0005-0000-0000-0000B04F0000}"/>
    <cellStyle name="40% - Accent4 2 2 2 2 2 2 4 3" xfId="16423" xr:uid="{00000000-0005-0000-0000-0000B14F0000}"/>
    <cellStyle name="40% - Accent4 2 2 2 2 2 2 5" xfId="11617" xr:uid="{00000000-0005-0000-0000-0000B24F0000}"/>
    <cellStyle name="40% - Accent4 2 2 2 2 2 2 5 2" xfId="16419" xr:uid="{00000000-0005-0000-0000-0000B34F0000}"/>
    <cellStyle name="40% - Accent4 2 2 2 2 2 2 6" xfId="11614" xr:uid="{00000000-0005-0000-0000-0000B44F0000}"/>
    <cellStyle name="40% - Accent4 2 2 2 2 2 3" xfId="11613" xr:uid="{00000000-0005-0000-0000-0000B54F0000}"/>
    <cellStyle name="40% - Accent4 2 2 2 2 2 3 2" xfId="11611" xr:uid="{00000000-0005-0000-0000-0000B64F0000}"/>
    <cellStyle name="40% - Accent4 2 2 2 2 2 3 2 2" xfId="11278" xr:uid="{00000000-0005-0000-0000-0000B74F0000}"/>
    <cellStyle name="40% - Accent4 2 2 2 2 2 3 2 2 2" xfId="11610" xr:uid="{00000000-0005-0000-0000-0000B84F0000}"/>
    <cellStyle name="40% - Accent4 2 2 2 2 2 3 2 2 2 2" xfId="11608" xr:uid="{00000000-0005-0000-0000-0000B94F0000}"/>
    <cellStyle name="40% - Accent4 2 2 2 2 2 3 2 2 3" xfId="28621" xr:uid="{00000000-0005-0000-0000-0000BA4F0000}"/>
    <cellStyle name="40% - Accent4 2 2 2 2 2 3 2 3" xfId="29673" xr:uid="{00000000-0005-0000-0000-0000BB4F0000}"/>
    <cellStyle name="40% - Accent4 2 2 2 2 2 3 2 3 2" xfId="11607" xr:uid="{00000000-0005-0000-0000-0000BC4F0000}"/>
    <cellStyle name="40% - Accent4 2 2 2 2 2 3 2 4" xfId="5567" xr:uid="{00000000-0005-0000-0000-0000BD4F0000}"/>
    <cellStyle name="40% - Accent4 2 2 2 2 2 3 3" xfId="11606" xr:uid="{00000000-0005-0000-0000-0000BE4F0000}"/>
    <cellStyle name="40% - Accent4 2 2 2 2 2 3 3 2" xfId="28805" xr:uid="{00000000-0005-0000-0000-0000BF4F0000}"/>
    <cellStyle name="40% - Accent4 2 2 2 2 2 3 3 2 2" xfId="11604" xr:uid="{00000000-0005-0000-0000-0000C04F0000}"/>
    <cellStyle name="40% - Accent4 2 2 2 2 2 3 3 3" xfId="28614" xr:uid="{00000000-0005-0000-0000-0000C14F0000}"/>
    <cellStyle name="40% - Accent4 2 2 2 2 2 3 4" xfId="11602" xr:uid="{00000000-0005-0000-0000-0000C24F0000}"/>
    <cellStyle name="40% - Accent4 2 2 2 2 2 3 4 2" xfId="28775" xr:uid="{00000000-0005-0000-0000-0000C34F0000}"/>
    <cellStyle name="40% - Accent4 2 2 2 2 2 3 5" xfId="11600" xr:uid="{00000000-0005-0000-0000-0000C44F0000}"/>
    <cellStyle name="40% - Accent4 2 2 2 2 2 4" xfId="11599" xr:uid="{00000000-0005-0000-0000-0000C54F0000}"/>
    <cellStyle name="40% - Accent4 2 2 2 2 2 4 2" xfId="11597" xr:uid="{00000000-0005-0000-0000-0000C64F0000}"/>
    <cellStyle name="40% - Accent4 2 2 2 2 2 4 2 2" xfId="29656" xr:uid="{00000000-0005-0000-0000-0000C74F0000}"/>
    <cellStyle name="40% - Accent4 2 2 2 2 2 4 2 2 2" xfId="11596" xr:uid="{00000000-0005-0000-0000-0000C84F0000}"/>
    <cellStyle name="40% - Accent4 2 2 2 2 2 4 2 3" xfId="11593" xr:uid="{00000000-0005-0000-0000-0000C94F0000}"/>
    <cellStyle name="40% - Accent4 2 2 2 2 2 4 3" xfId="11592" xr:uid="{00000000-0005-0000-0000-0000CA4F0000}"/>
    <cellStyle name="40% - Accent4 2 2 2 2 2 4 3 2" xfId="26836" xr:uid="{00000000-0005-0000-0000-0000CB4F0000}"/>
    <cellStyle name="40% - Accent4 2 2 2 2 2 4 4" xfId="11591" xr:uid="{00000000-0005-0000-0000-0000CC4F0000}"/>
    <cellStyle name="40% - Accent4 2 2 2 2 2 5" xfId="11588" xr:uid="{00000000-0005-0000-0000-0000CD4F0000}"/>
    <cellStyle name="40% - Accent4 2 2 2 2 2 5 2" xfId="11587" xr:uid="{00000000-0005-0000-0000-0000CE4F0000}"/>
    <cellStyle name="40% - Accent4 2 2 2 2 2 5 2 2" xfId="11585" xr:uid="{00000000-0005-0000-0000-0000CF4F0000}"/>
    <cellStyle name="40% - Accent4 2 2 2 2 2 5 3" xfId="11584" xr:uid="{00000000-0005-0000-0000-0000D04F0000}"/>
    <cellStyle name="40% - Accent4 2 2 2 2 2 6" xfId="11582" xr:uid="{00000000-0005-0000-0000-0000D14F0000}"/>
    <cellStyle name="40% - Accent4 2 2 2 2 2 6 2" xfId="18773" xr:uid="{00000000-0005-0000-0000-0000D24F0000}"/>
    <cellStyle name="40% - Accent4 2 2 2 2 2 7" xfId="11581" xr:uid="{00000000-0005-0000-0000-0000D34F0000}"/>
    <cellStyle name="40% - Accent4 2 2 2 2 3" xfId="11129" xr:uid="{00000000-0005-0000-0000-0000D44F0000}"/>
    <cellStyle name="40% - Accent4 2 2 2 2 3 2" xfId="11579" xr:uid="{00000000-0005-0000-0000-0000D54F0000}"/>
    <cellStyle name="40% - Accent4 2 2 2 2 3 2 2" xfId="28018" xr:uid="{00000000-0005-0000-0000-0000D64F0000}"/>
    <cellStyle name="40% - Accent4 2 2 2 2 3 2 2 2" xfId="11231" xr:uid="{00000000-0005-0000-0000-0000D74F0000}"/>
    <cellStyle name="40% - Accent4 2 2 2 2 3 2 2 2 2" xfId="14296" xr:uid="{00000000-0005-0000-0000-0000D84F0000}"/>
    <cellStyle name="40% - Accent4 2 2 2 2 3 2 2 2 2 2" xfId="12895" xr:uid="{00000000-0005-0000-0000-0000D94F0000}"/>
    <cellStyle name="40% - Accent4 2 2 2 2 3 2 2 2 3" xfId="14288" xr:uid="{00000000-0005-0000-0000-0000DA4F0000}"/>
    <cellStyle name="40% - Accent4 2 2 2 2 3 2 2 3" xfId="29639" xr:uid="{00000000-0005-0000-0000-0000DB4F0000}"/>
    <cellStyle name="40% - Accent4 2 2 2 2 3 2 2 3 2" xfId="11577" xr:uid="{00000000-0005-0000-0000-0000DC4F0000}"/>
    <cellStyle name="40% - Accent4 2 2 2 2 3 2 2 4" xfId="11575" xr:uid="{00000000-0005-0000-0000-0000DD4F0000}"/>
    <cellStyle name="40% - Accent4 2 2 2 2 3 2 3" xfId="32329" xr:uid="{00000000-0005-0000-0000-0000DE4F0000}"/>
    <cellStyle name="40% - Accent4 2 2 2 2 3 2 3 2" xfId="29630" xr:uid="{00000000-0005-0000-0000-0000DF4F0000}"/>
    <cellStyle name="40% - Accent4 2 2 2 2 3 2 3 2 2" xfId="11573" xr:uid="{00000000-0005-0000-0000-0000E04F0000}"/>
    <cellStyle name="40% - Accent4 2 2 2 2 3 2 3 3" xfId="15446" xr:uid="{00000000-0005-0000-0000-0000E14F0000}"/>
    <cellStyle name="40% - Accent4 2 2 2 2 3 2 4" xfId="28042" xr:uid="{00000000-0005-0000-0000-0000E24F0000}"/>
    <cellStyle name="40% - Accent4 2 2 2 2 3 2 4 2" xfId="16395" xr:uid="{00000000-0005-0000-0000-0000E34F0000}"/>
    <cellStyle name="40% - Accent4 2 2 2 2 3 2 5" xfId="11571" xr:uid="{00000000-0005-0000-0000-0000E44F0000}"/>
    <cellStyle name="40% - Accent4 2 2 2 2 3 3" xfId="11568" xr:uid="{00000000-0005-0000-0000-0000E54F0000}"/>
    <cellStyle name="40% - Accent4 2 2 2 2 3 3 2" xfId="28017" xr:uid="{00000000-0005-0000-0000-0000E64F0000}"/>
    <cellStyle name="40% - Accent4 2 2 2 2 3 3 2 2" xfId="24891" xr:uid="{00000000-0005-0000-0000-0000E74F0000}"/>
    <cellStyle name="40% - Accent4 2 2 2 2 3 3 2 2 2" xfId="11567" xr:uid="{00000000-0005-0000-0000-0000E84F0000}"/>
    <cellStyle name="40% - Accent4 2 2 2 2 3 3 2 3" xfId="11564" xr:uid="{00000000-0005-0000-0000-0000E94F0000}"/>
    <cellStyle name="40% - Accent4 2 2 2 2 3 3 3" xfId="11563" xr:uid="{00000000-0005-0000-0000-0000EA4F0000}"/>
    <cellStyle name="40% - Accent4 2 2 2 2 3 3 3 2" xfId="28618" xr:uid="{00000000-0005-0000-0000-0000EB4F0000}"/>
    <cellStyle name="40% - Accent4 2 2 2 2 3 3 4" xfId="11560" xr:uid="{00000000-0005-0000-0000-0000EC4F0000}"/>
    <cellStyle name="40% - Accent4 2 2 2 2 3 4" xfId="11557" xr:uid="{00000000-0005-0000-0000-0000ED4F0000}"/>
    <cellStyle name="40% - Accent4 2 2 2 2 3 4 2" xfId="11556" xr:uid="{00000000-0005-0000-0000-0000EE4F0000}"/>
    <cellStyle name="40% - Accent4 2 2 2 2 3 4 2 2" xfId="11554" xr:uid="{00000000-0005-0000-0000-0000EF4F0000}"/>
    <cellStyle name="40% - Accent4 2 2 2 2 3 4 3" xfId="11553" xr:uid="{00000000-0005-0000-0000-0000F04F0000}"/>
    <cellStyle name="40% - Accent4 2 2 2 2 3 5" xfId="11549" xr:uid="{00000000-0005-0000-0000-0000F14F0000}"/>
    <cellStyle name="40% - Accent4 2 2 2 2 3 5 2" xfId="11548" xr:uid="{00000000-0005-0000-0000-0000F24F0000}"/>
    <cellStyle name="40% - Accent4 2 2 2 2 3 6" xfId="11545" xr:uid="{00000000-0005-0000-0000-0000F34F0000}"/>
    <cellStyle name="40% - Accent4 2 2 2 2 4" xfId="11542" xr:uid="{00000000-0005-0000-0000-0000F44F0000}"/>
    <cellStyle name="40% - Accent4 2 2 2 2 4 2" xfId="33069" xr:uid="{00000000-0005-0000-0000-0000F54F0000}"/>
    <cellStyle name="40% - Accent4 2 2 2 2 4 2 2" xfId="28011" xr:uid="{00000000-0005-0000-0000-0000F64F0000}"/>
    <cellStyle name="40% - Accent4 2 2 2 2 4 2 2 2" xfId="24355" xr:uid="{00000000-0005-0000-0000-0000F74F0000}"/>
    <cellStyle name="40% - Accent4 2 2 2 2 4 2 2 2 2" xfId="7133" xr:uid="{00000000-0005-0000-0000-0000F84F0000}"/>
    <cellStyle name="40% - Accent4 2 2 2 2 4 2 2 3" xfId="11540" xr:uid="{00000000-0005-0000-0000-0000F94F0000}"/>
    <cellStyle name="40% - Accent4 2 2 2 2 4 2 3" xfId="11539" xr:uid="{00000000-0005-0000-0000-0000FA4F0000}"/>
    <cellStyle name="40% - Accent4 2 2 2 2 4 2 3 2" xfId="18941" xr:uid="{00000000-0005-0000-0000-0000FB4F0000}"/>
    <cellStyle name="40% - Accent4 2 2 2 2 4 2 4" xfId="11536" xr:uid="{00000000-0005-0000-0000-0000FC4F0000}"/>
    <cellStyle name="40% - Accent4 2 2 2 2 4 3" xfId="28438" xr:uid="{00000000-0005-0000-0000-0000FD4F0000}"/>
    <cellStyle name="40% - Accent4 2 2 2 2 4 3 2" xfId="11533" xr:uid="{00000000-0005-0000-0000-0000FE4F0000}"/>
    <cellStyle name="40% - Accent4 2 2 2 2 4 3 2 2" xfId="11532" xr:uid="{00000000-0005-0000-0000-0000FF4F0000}"/>
    <cellStyle name="40% - Accent4 2 2 2 2 4 3 3" xfId="11531" xr:uid="{00000000-0005-0000-0000-000000500000}"/>
    <cellStyle name="40% - Accent4 2 2 2 2 4 4" xfId="28437" xr:uid="{00000000-0005-0000-0000-000001500000}"/>
    <cellStyle name="40% - Accent4 2 2 2 2 4 4 2" xfId="11528" xr:uid="{00000000-0005-0000-0000-000002500000}"/>
    <cellStyle name="40% - Accent4 2 2 2 2 4 5" xfId="11526" xr:uid="{00000000-0005-0000-0000-000003500000}"/>
    <cellStyle name="40% - Accent4 2 2 2 2 5" xfId="11525" xr:uid="{00000000-0005-0000-0000-000004500000}"/>
    <cellStyle name="40% - Accent4 2 2 2 2 5 2" xfId="32948" xr:uid="{00000000-0005-0000-0000-000005500000}"/>
    <cellStyle name="40% - Accent4 2 2 2 2 5 2 2" xfId="11521" xr:uid="{00000000-0005-0000-0000-000006500000}"/>
    <cellStyle name="40% - Accent4 2 2 2 2 5 2 2 2" xfId="31388" xr:uid="{00000000-0005-0000-0000-000007500000}"/>
    <cellStyle name="40% - Accent4 2 2 2 2 5 2 3" xfId="11520" xr:uid="{00000000-0005-0000-0000-000008500000}"/>
    <cellStyle name="40% - Accent4 2 2 2 2 5 3" xfId="28432" xr:uid="{00000000-0005-0000-0000-000009500000}"/>
    <cellStyle name="40% - Accent4 2 2 2 2 5 3 2" xfId="11517" xr:uid="{00000000-0005-0000-0000-00000A500000}"/>
    <cellStyle name="40% - Accent4 2 2 2 2 5 4" xfId="11515" xr:uid="{00000000-0005-0000-0000-00000B500000}"/>
    <cellStyle name="40% - Accent4 2 2 2 2 6" xfId="11514" xr:uid="{00000000-0005-0000-0000-00000C500000}"/>
    <cellStyle name="40% - Accent4 2 2 2 2 6 2" xfId="11513" xr:uid="{00000000-0005-0000-0000-00000D500000}"/>
    <cellStyle name="40% - Accent4 2 2 2 2 6 2 2" xfId="8687" xr:uid="{00000000-0005-0000-0000-00000E500000}"/>
    <cellStyle name="40% - Accent4 2 2 2 2 6 3" xfId="11511" xr:uid="{00000000-0005-0000-0000-00000F500000}"/>
    <cellStyle name="40% - Accent4 2 2 2 2 7" xfId="11510" xr:uid="{00000000-0005-0000-0000-000010500000}"/>
    <cellStyle name="40% - Accent4 2 2 2 2 7 2" xfId="23133" xr:uid="{00000000-0005-0000-0000-000011500000}"/>
    <cellStyle name="40% - Accent4 2 2 2 2 8" xfId="11509" xr:uid="{00000000-0005-0000-0000-000012500000}"/>
    <cellStyle name="40% - Accent4 2 2 2 3" xfId="11508" xr:uid="{00000000-0005-0000-0000-000013500000}"/>
    <cellStyle name="40% - Accent4 2 2 2 3 2" xfId="13551" xr:uid="{00000000-0005-0000-0000-000014500000}"/>
    <cellStyle name="40% - Accent4 2 2 2 3 2 2" xfId="11504" xr:uid="{00000000-0005-0000-0000-000015500000}"/>
    <cellStyle name="40% - Accent4 2 2 2 3 2 2 2" xfId="11500" xr:uid="{00000000-0005-0000-0000-000016500000}"/>
    <cellStyle name="40% - Accent4 2 2 2 3 2 2 2 2" xfId="11284" xr:uid="{00000000-0005-0000-0000-000017500000}"/>
    <cellStyle name="40% - Accent4 2 2 2 3 2 2 2 2 2" xfId="26160" xr:uid="{00000000-0005-0000-0000-000018500000}"/>
    <cellStyle name="40% - Accent4 2 2 2 3 2 2 2 2 2 2" xfId="8246" xr:uid="{00000000-0005-0000-0000-000019500000}"/>
    <cellStyle name="40% - Accent4 2 2 2 3 2 2 2 2 3" xfId="11159" xr:uid="{00000000-0005-0000-0000-00001A500000}"/>
    <cellStyle name="40% - Accent4 2 2 2 3 2 2 2 3" xfId="11273" xr:uid="{00000000-0005-0000-0000-00001B500000}"/>
    <cellStyle name="40% - Accent4 2 2 2 3 2 2 2 3 2" xfId="11497" xr:uid="{00000000-0005-0000-0000-00001C500000}"/>
    <cellStyle name="40% - Accent4 2 2 2 3 2 2 2 4" xfId="11268" xr:uid="{00000000-0005-0000-0000-00001D500000}"/>
    <cellStyle name="40% - Accent4 2 2 2 3 2 2 3" xfId="11496" xr:uid="{00000000-0005-0000-0000-00001E500000}"/>
    <cellStyle name="40% - Accent4 2 2 2 3 2 2 3 2" xfId="13236" xr:uid="{00000000-0005-0000-0000-00001F500000}"/>
    <cellStyle name="40% - Accent4 2 2 2 3 2 2 3 2 2" xfId="11495" xr:uid="{00000000-0005-0000-0000-000020500000}"/>
    <cellStyle name="40% - Accent4 2 2 2 3 2 2 3 3" xfId="11206" xr:uid="{00000000-0005-0000-0000-000021500000}"/>
    <cellStyle name="40% - Accent4 2 2 2 3 2 2 4" xfId="11494" xr:uid="{00000000-0005-0000-0000-000022500000}"/>
    <cellStyle name="40% - Accent4 2 2 2 3 2 2 4 2" xfId="11173" xr:uid="{00000000-0005-0000-0000-000023500000}"/>
    <cellStyle name="40% - Accent4 2 2 2 3 2 2 5" xfId="6200" xr:uid="{00000000-0005-0000-0000-000024500000}"/>
    <cellStyle name="40% - Accent4 2 2 2 3 2 3" xfId="11492" xr:uid="{00000000-0005-0000-0000-000025500000}"/>
    <cellStyle name="40% - Accent4 2 2 2 3 2 3 2" xfId="11488" xr:uid="{00000000-0005-0000-0000-000026500000}"/>
    <cellStyle name="40% - Accent4 2 2 2 3 2 3 2 2" xfId="27877" xr:uid="{00000000-0005-0000-0000-000027500000}"/>
    <cellStyle name="40% - Accent4 2 2 2 3 2 3 2 2 2" xfId="11487" xr:uid="{00000000-0005-0000-0000-000028500000}"/>
    <cellStyle name="40% - Accent4 2 2 2 3 2 3 2 3" xfId="11114" xr:uid="{00000000-0005-0000-0000-000029500000}"/>
    <cellStyle name="40% - Accent4 2 2 2 3 2 3 3" xfId="11486" xr:uid="{00000000-0005-0000-0000-00002A500000}"/>
    <cellStyle name="40% - Accent4 2 2 2 3 2 3 3 2" xfId="11070" xr:uid="{00000000-0005-0000-0000-00002B500000}"/>
    <cellStyle name="40% - Accent4 2 2 2 3 2 3 4" xfId="11485" xr:uid="{00000000-0005-0000-0000-00002C500000}"/>
    <cellStyle name="40% - Accent4 2 2 2 3 2 4" xfId="11484" xr:uid="{00000000-0005-0000-0000-00002D500000}"/>
    <cellStyle name="40% - Accent4 2 2 2 3 2 4 2" xfId="11480" xr:uid="{00000000-0005-0000-0000-00002E500000}"/>
    <cellStyle name="40% - Accent4 2 2 2 3 2 4 2 2" xfId="11016" xr:uid="{00000000-0005-0000-0000-00002F500000}"/>
    <cellStyle name="40% - Accent4 2 2 2 3 2 4 3" xfId="11479" xr:uid="{00000000-0005-0000-0000-000030500000}"/>
    <cellStyle name="40% - Accent4 2 2 2 3 2 5" xfId="11478" xr:uid="{00000000-0005-0000-0000-000031500000}"/>
    <cellStyle name="40% - Accent4 2 2 2 3 2 5 2" xfId="11473" xr:uid="{00000000-0005-0000-0000-000032500000}"/>
    <cellStyle name="40% - Accent4 2 2 2 3 2 6" xfId="11471" xr:uid="{00000000-0005-0000-0000-000033500000}"/>
    <cellStyle name="40% - Accent4 2 2 2 3 3" xfId="11467" xr:uid="{00000000-0005-0000-0000-000034500000}"/>
    <cellStyle name="40% - Accent4 2 2 2 3 3 2" xfId="11463" xr:uid="{00000000-0005-0000-0000-000035500000}"/>
    <cellStyle name="40% - Accent4 2 2 2 3 3 2 2" xfId="27994" xr:uid="{00000000-0005-0000-0000-000036500000}"/>
    <cellStyle name="40% - Accent4 2 2 2 3 3 2 2 2" xfId="10755" xr:uid="{00000000-0005-0000-0000-000037500000}"/>
    <cellStyle name="40% - Accent4 2 2 2 3 3 2 2 2 2" xfId="11459" xr:uid="{00000000-0005-0000-0000-000038500000}"/>
    <cellStyle name="40% - Accent4 2 2 2 3 3 2 2 3" xfId="10749" xr:uid="{00000000-0005-0000-0000-000039500000}"/>
    <cellStyle name="40% - Accent4 2 2 2 3 3 2 3" xfId="11457" xr:uid="{00000000-0005-0000-0000-00003A500000}"/>
    <cellStyle name="40% - Accent4 2 2 2 3 3 2 3 2" xfId="10714" xr:uid="{00000000-0005-0000-0000-00003B500000}"/>
    <cellStyle name="40% - Accent4 2 2 2 3 3 2 4" xfId="11454" xr:uid="{00000000-0005-0000-0000-00003C500000}"/>
    <cellStyle name="40% - Accent4 2 2 2 3 3 3" xfId="11451" xr:uid="{00000000-0005-0000-0000-00003D500000}"/>
    <cellStyle name="40% - Accent4 2 2 2 3 3 3 2" xfId="11446" xr:uid="{00000000-0005-0000-0000-00003E500000}"/>
    <cellStyle name="40% - Accent4 2 2 2 3 3 3 2 2" xfId="10666" xr:uid="{00000000-0005-0000-0000-00003F500000}"/>
    <cellStyle name="40% - Accent4 2 2 2 3 3 3 3" xfId="11445" xr:uid="{00000000-0005-0000-0000-000040500000}"/>
    <cellStyle name="40% - Accent4 2 2 2 3 3 4" xfId="11442" xr:uid="{00000000-0005-0000-0000-000041500000}"/>
    <cellStyle name="40% - Accent4 2 2 2 3 3 4 2" xfId="11438" xr:uid="{00000000-0005-0000-0000-000042500000}"/>
    <cellStyle name="40% - Accent4 2 2 2 3 3 5" xfId="11436" xr:uid="{00000000-0005-0000-0000-000043500000}"/>
    <cellStyle name="40% - Accent4 2 2 2 3 4" xfId="13252" xr:uid="{00000000-0005-0000-0000-000044500000}"/>
    <cellStyle name="40% - Accent4 2 2 2 3 4 2" xfId="7125" xr:uid="{00000000-0005-0000-0000-000045500000}"/>
    <cellStyle name="40% - Accent4 2 2 2 3 4 2 2" xfId="11431" xr:uid="{00000000-0005-0000-0000-000046500000}"/>
    <cellStyle name="40% - Accent4 2 2 2 3 4 2 2 2" xfId="10473" xr:uid="{00000000-0005-0000-0000-000047500000}"/>
    <cellStyle name="40% - Accent4 2 2 2 3 4 2 3" xfId="11430" xr:uid="{00000000-0005-0000-0000-000048500000}"/>
    <cellStyle name="40% - Accent4 2 2 2 3 4 3" xfId="22565" xr:uid="{00000000-0005-0000-0000-000049500000}"/>
    <cellStyle name="40% - Accent4 2 2 2 3 4 3 2" xfId="11427" xr:uid="{00000000-0005-0000-0000-00004A500000}"/>
    <cellStyle name="40% - Accent4 2 2 2 3 4 4" xfId="6972" xr:uid="{00000000-0005-0000-0000-00004B500000}"/>
    <cellStyle name="40% - Accent4 2 2 2 3 5" xfId="13247" xr:uid="{00000000-0005-0000-0000-00004C500000}"/>
    <cellStyle name="40% - Accent4 2 2 2 3 5 2" xfId="11426" xr:uid="{00000000-0005-0000-0000-00004D500000}"/>
    <cellStyle name="40% - Accent4 2 2 2 3 5 2 2" xfId="11423" xr:uid="{00000000-0005-0000-0000-00004E500000}"/>
    <cellStyle name="40% - Accent4 2 2 2 3 5 3" xfId="11422" xr:uid="{00000000-0005-0000-0000-00004F500000}"/>
    <cellStyle name="40% - Accent4 2 2 2 3 6" xfId="11419" xr:uid="{00000000-0005-0000-0000-000050500000}"/>
    <cellStyle name="40% - Accent4 2 2 2 3 6 2" xfId="11417" xr:uid="{00000000-0005-0000-0000-000051500000}"/>
    <cellStyle name="40% - Accent4 2 2 2 3 7" xfId="11415" xr:uid="{00000000-0005-0000-0000-000052500000}"/>
    <cellStyle name="40% - Accent4 2 2 2 4" xfId="29300" xr:uid="{00000000-0005-0000-0000-000053500000}"/>
    <cellStyle name="40% - Accent4 2 2 2 4 2" xfId="11414" xr:uid="{00000000-0005-0000-0000-000054500000}"/>
    <cellStyle name="40% - Accent4 2 2 2 4 2 2" xfId="11410" xr:uid="{00000000-0005-0000-0000-000055500000}"/>
    <cellStyle name="40% - Accent4 2 2 2 4 2 2 2" xfId="11407" xr:uid="{00000000-0005-0000-0000-000056500000}"/>
    <cellStyle name="40% - Accent4 2 2 2 4 2 2 2 2" xfId="10050" xr:uid="{00000000-0005-0000-0000-000057500000}"/>
    <cellStyle name="40% - Accent4 2 2 2 4 2 2 2 2 2" xfId="30336" xr:uid="{00000000-0005-0000-0000-000058500000}"/>
    <cellStyle name="40% - Accent4 2 2 2 4 2 2 2 3" xfId="10044" xr:uid="{00000000-0005-0000-0000-000059500000}"/>
    <cellStyle name="40% - Accent4 2 2 2 4 2 2 3" xfId="11406" xr:uid="{00000000-0005-0000-0000-00005A500000}"/>
    <cellStyle name="40% - Accent4 2 2 2 4 2 2 3 2" xfId="10015" xr:uid="{00000000-0005-0000-0000-00005B500000}"/>
    <cellStyle name="40% - Accent4 2 2 2 4 2 2 4" xfId="11405" xr:uid="{00000000-0005-0000-0000-00005C500000}"/>
    <cellStyle name="40% - Accent4 2 2 2 4 2 3" xfId="7509" xr:uid="{00000000-0005-0000-0000-00005D500000}"/>
    <cellStyle name="40% - Accent4 2 2 2 4 2 3 2" xfId="11402" xr:uid="{00000000-0005-0000-0000-00005E500000}"/>
    <cellStyle name="40% - Accent4 2 2 2 4 2 3 2 2" xfId="9966" xr:uid="{00000000-0005-0000-0000-00005F500000}"/>
    <cellStyle name="40% - Accent4 2 2 2 4 2 3 3" xfId="11401" xr:uid="{00000000-0005-0000-0000-000060500000}"/>
    <cellStyle name="40% - Accent4 2 2 2 4 2 4" xfId="11400" xr:uid="{00000000-0005-0000-0000-000061500000}"/>
    <cellStyle name="40% - Accent4 2 2 2 4 2 4 2" xfId="11395" xr:uid="{00000000-0005-0000-0000-000062500000}"/>
    <cellStyle name="40% - Accent4 2 2 2 4 2 5" xfId="11394" xr:uid="{00000000-0005-0000-0000-000063500000}"/>
    <cellStyle name="40% - Accent4 2 2 2 4 3" xfId="11388" xr:uid="{00000000-0005-0000-0000-000064500000}"/>
    <cellStyle name="40% - Accent4 2 2 2 4 3 2" xfId="17385" xr:uid="{00000000-0005-0000-0000-000065500000}"/>
    <cellStyle name="40% - Accent4 2 2 2 4 3 2 2" xfId="11384" xr:uid="{00000000-0005-0000-0000-000066500000}"/>
    <cellStyle name="40% - Accent4 2 2 2 4 3 2 2 2" xfId="11383" xr:uid="{00000000-0005-0000-0000-000067500000}"/>
    <cellStyle name="40% - Accent4 2 2 2 4 3 2 3" xfId="11380" xr:uid="{00000000-0005-0000-0000-000068500000}"/>
    <cellStyle name="40% - Accent4 2 2 2 4 3 3" xfId="17364" xr:uid="{00000000-0005-0000-0000-000069500000}"/>
    <cellStyle name="40% - Accent4 2 2 2 4 3 3 2" xfId="11377" xr:uid="{00000000-0005-0000-0000-00006A500000}"/>
    <cellStyle name="40% - Accent4 2 2 2 4 3 4" xfId="17351" xr:uid="{00000000-0005-0000-0000-00006B500000}"/>
    <cellStyle name="40% - Accent4 2 2 2 4 4" xfId="13243" xr:uid="{00000000-0005-0000-0000-00006C500000}"/>
    <cellStyle name="40% - Accent4 2 2 2 4 4 2" xfId="17330" xr:uid="{00000000-0005-0000-0000-00006D500000}"/>
    <cellStyle name="40% - Accent4 2 2 2 4 4 2 2" xfId="11376" xr:uid="{00000000-0005-0000-0000-00006E500000}"/>
    <cellStyle name="40% - Accent4 2 2 2 4 4 3" xfId="26865" xr:uid="{00000000-0005-0000-0000-00006F500000}"/>
    <cellStyle name="40% - Accent4 2 2 2 4 5" xfId="11375" xr:uid="{00000000-0005-0000-0000-000070500000}"/>
    <cellStyle name="40% - Accent4 2 2 2 4 5 2" xfId="11644" xr:uid="{00000000-0005-0000-0000-000071500000}"/>
    <cellStyle name="40% - Accent4 2 2 2 4 6" xfId="11371" xr:uid="{00000000-0005-0000-0000-000072500000}"/>
    <cellStyle name="40% - Accent4 2 2 2 5" xfId="8431" xr:uid="{00000000-0005-0000-0000-000073500000}"/>
    <cellStyle name="40% - Accent4 2 2 2 5 2" xfId="11370" xr:uid="{00000000-0005-0000-0000-000074500000}"/>
    <cellStyle name="40% - Accent4 2 2 2 5 2 2" xfId="11366" xr:uid="{00000000-0005-0000-0000-000075500000}"/>
    <cellStyle name="40% - Accent4 2 2 2 5 2 2 2" xfId="32575" xr:uid="{00000000-0005-0000-0000-000076500000}"/>
    <cellStyle name="40% - Accent4 2 2 2 5 2 2 2 2" xfId="9458" xr:uid="{00000000-0005-0000-0000-000077500000}"/>
    <cellStyle name="40% - Accent4 2 2 2 5 2 2 3" xfId="11362" xr:uid="{00000000-0005-0000-0000-000078500000}"/>
    <cellStyle name="40% - Accent4 2 2 2 5 2 3" xfId="12514" xr:uid="{00000000-0005-0000-0000-000079500000}"/>
    <cellStyle name="40% - Accent4 2 2 2 5 2 3 2" xfId="11361" xr:uid="{00000000-0005-0000-0000-00007A500000}"/>
    <cellStyle name="40% - Accent4 2 2 2 5 2 4" xfId="11360" xr:uid="{00000000-0005-0000-0000-00007B500000}"/>
    <cellStyle name="40% - Accent4 2 2 2 5 3" xfId="11355" xr:uid="{00000000-0005-0000-0000-00007C500000}"/>
    <cellStyle name="40% - Accent4 2 2 2 5 3 2" xfId="17266" xr:uid="{00000000-0005-0000-0000-00007D500000}"/>
    <cellStyle name="40% - Accent4 2 2 2 5 3 2 2" xfId="11352" xr:uid="{00000000-0005-0000-0000-00007E500000}"/>
    <cellStyle name="40% - Accent4 2 2 2 5 3 3" xfId="17255" xr:uid="{00000000-0005-0000-0000-00007F500000}"/>
    <cellStyle name="40% - Accent4 2 2 2 5 4" xfId="11349" xr:uid="{00000000-0005-0000-0000-000080500000}"/>
    <cellStyle name="40% - Accent4 2 2 2 5 4 2" xfId="17235" xr:uid="{00000000-0005-0000-0000-000081500000}"/>
    <cellStyle name="40% - Accent4 2 2 2 5 5" xfId="11346" xr:uid="{00000000-0005-0000-0000-000082500000}"/>
    <cellStyle name="40% - Accent4 2 2 2 6" xfId="16687" xr:uid="{00000000-0005-0000-0000-000083500000}"/>
    <cellStyle name="40% - Accent4 2 2 2 6 2" xfId="11341" xr:uid="{00000000-0005-0000-0000-000084500000}"/>
    <cellStyle name="40% - Accent4 2 2 2 6 2 2" xfId="11338" xr:uid="{00000000-0005-0000-0000-000085500000}"/>
    <cellStyle name="40% - Accent4 2 2 2 6 2 2 2" xfId="11334" xr:uid="{00000000-0005-0000-0000-000086500000}"/>
    <cellStyle name="40% - Accent4 2 2 2 6 2 3" xfId="11332" xr:uid="{00000000-0005-0000-0000-000087500000}"/>
    <cellStyle name="40% - Accent4 2 2 2 6 3" xfId="11328" xr:uid="{00000000-0005-0000-0000-000088500000}"/>
    <cellStyle name="40% - Accent4 2 2 2 6 3 2" xfId="7799" xr:uid="{00000000-0005-0000-0000-000089500000}"/>
    <cellStyle name="40% - Accent4 2 2 2 6 4" xfId="11324" xr:uid="{00000000-0005-0000-0000-00008A500000}"/>
    <cellStyle name="40% - Accent4 2 2 2 7" xfId="13350" xr:uid="{00000000-0005-0000-0000-00008B500000}"/>
    <cellStyle name="40% - Accent4 2 2 2 7 2" xfId="11322" xr:uid="{00000000-0005-0000-0000-00008C500000}"/>
    <cellStyle name="40% - Accent4 2 2 2 7 2 2" xfId="19750" xr:uid="{00000000-0005-0000-0000-00008D500000}"/>
    <cellStyle name="40% - Accent4 2 2 2 7 3" xfId="11319" xr:uid="{00000000-0005-0000-0000-00008E500000}"/>
    <cellStyle name="40% - Accent4 2 2 2 8" xfId="13346" xr:uid="{00000000-0005-0000-0000-00008F500000}"/>
    <cellStyle name="40% - Accent4 2 2 2 8 2" xfId="30175" xr:uid="{00000000-0005-0000-0000-000090500000}"/>
    <cellStyle name="40% - Accent4 2 2 2 9" xfId="11318" xr:uid="{00000000-0005-0000-0000-000091500000}"/>
    <cellStyle name="40% - Accent4 2 2 3" xfId="11317" xr:uid="{00000000-0005-0000-0000-000092500000}"/>
    <cellStyle name="40% - Accent4 2 2 3 2" xfId="20844" xr:uid="{00000000-0005-0000-0000-000093500000}"/>
    <cellStyle name="40% - Accent4 2 2 3 2 2" xfId="13476" xr:uid="{00000000-0005-0000-0000-000094500000}"/>
    <cellStyle name="40% - Accent4 2 2 3 2 2 2" xfId="11315" xr:uid="{00000000-0005-0000-0000-000095500000}"/>
    <cellStyle name="40% - Accent4 2 2 3 2 2 2 2" xfId="16112" xr:uid="{00000000-0005-0000-0000-000096500000}"/>
    <cellStyle name="40% - Accent4 2 2 3 2 2 2 2 2" xfId="18267" xr:uid="{00000000-0005-0000-0000-000097500000}"/>
    <cellStyle name="40% - Accent4 2 2 3 2 2 2 2 2 2" xfId="11314" xr:uid="{00000000-0005-0000-0000-000098500000}"/>
    <cellStyle name="40% - Accent4 2 2 3 2 2 2 2 2 2 2" xfId="11313" xr:uid="{00000000-0005-0000-0000-000099500000}"/>
    <cellStyle name="40% - Accent4 2 2 3 2 2 2 2 2 3" xfId="11311" xr:uid="{00000000-0005-0000-0000-00009A500000}"/>
    <cellStyle name="40% - Accent4 2 2 3 2 2 2 2 3" xfId="18253" xr:uid="{00000000-0005-0000-0000-00009B500000}"/>
    <cellStyle name="40% - Accent4 2 2 3 2 2 2 2 3 2" xfId="33877" xr:uid="{00000000-0005-0000-0000-00009C500000}"/>
    <cellStyle name="40% - Accent4 2 2 3 2 2 2 2 4" xfId="18250" xr:uid="{00000000-0005-0000-0000-00009D500000}"/>
    <cellStyle name="40% - Accent4 2 2 3 2 2 2 3" xfId="32274" xr:uid="{00000000-0005-0000-0000-00009E500000}"/>
    <cellStyle name="40% - Accent4 2 2 3 2 2 2 3 2" xfId="18242" xr:uid="{00000000-0005-0000-0000-00009F500000}"/>
    <cellStyle name="40% - Accent4 2 2 3 2 2 2 3 2 2" xfId="11310" xr:uid="{00000000-0005-0000-0000-0000A0500000}"/>
    <cellStyle name="40% - Accent4 2 2 3 2 2 2 3 3" xfId="18239" xr:uid="{00000000-0005-0000-0000-0000A1500000}"/>
    <cellStyle name="40% - Accent4 2 2 3 2 2 2 4" xfId="33669" xr:uid="{00000000-0005-0000-0000-0000A2500000}"/>
    <cellStyle name="40% - Accent4 2 2 3 2 2 2 4 2" xfId="18230" xr:uid="{00000000-0005-0000-0000-0000A3500000}"/>
    <cellStyle name="40% - Accent4 2 2 3 2 2 2 5" xfId="11309" xr:uid="{00000000-0005-0000-0000-0000A4500000}"/>
    <cellStyle name="40% - Accent4 2 2 3 2 2 3" xfId="11306" xr:uid="{00000000-0005-0000-0000-0000A5500000}"/>
    <cellStyle name="40% - Accent4 2 2 3 2 2 3 2" xfId="22231" xr:uid="{00000000-0005-0000-0000-0000A6500000}"/>
    <cellStyle name="40% - Accent4 2 2 3 2 2 3 2 2" xfId="28554" xr:uid="{00000000-0005-0000-0000-0000A7500000}"/>
    <cellStyle name="40% - Accent4 2 2 3 2 2 3 2 2 2" xfId="11305" xr:uid="{00000000-0005-0000-0000-0000A8500000}"/>
    <cellStyle name="40% - Accent4 2 2 3 2 2 3 2 3" xfId="18168" xr:uid="{00000000-0005-0000-0000-0000A9500000}"/>
    <cellStyle name="40% - Accent4 2 2 3 2 2 3 3" xfId="22226" xr:uid="{00000000-0005-0000-0000-0000AA500000}"/>
    <cellStyle name="40% - Accent4 2 2 3 2 2 3 3 2" xfId="25204" xr:uid="{00000000-0005-0000-0000-0000AB500000}"/>
    <cellStyle name="40% - Accent4 2 2 3 2 2 3 4" xfId="19732" xr:uid="{00000000-0005-0000-0000-0000AC500000}"/>
    <cellStyle name="40% - Accent4 2 2 3 2 2 4" xfId="11304" xr:uid="{00000000-0005-0000-0000-0000AD500000}"/>
    <cellStyle name="40% - Accent4 2 2 3 2 2 4 2" xfId="22223" xr:uid="{00000000-0005-0000-0000-0000AE500000}"/>
    <cellStyle name="40% - Accent4 2 2 3 2 2 4 2 2" xfId="18153" xr:uid="{00000000-0005-0000-0000-0000AF500000}"/>
    <cellStyle name="40% - Accent4 2 2 3 2 2 4 3" xfId="29543" xr:uid="{00000000-0005-0000-0000-0000B0500000}"/>
    <cellStyle name="40% - Accent4 2 2 3 2 2 5" xfId="11303" xr:uid="{00000000-0005-0000-0000-0000B1500000}"/>
    <cellStyle name="40% - Accent4 2 2 3 2 2 5 2" xfId="11302" xr:uid="{00000000-0005-0000-0000-0000B2500000}"/>
    <cellStyle name="40% - Accent4 2 2 3 2 2 6" xfId="11300" xr:uid="{00000000-0005-0000-0000-0000B3500000}"/>
    <cellStyle name="40% - Accent4 2 2 3 2 3" xfId="11120" xr:uid="{00000000-0005-0000-0000-0000B4500000}"/>
    <cellStyle name="40% - Accent4 2 2 3 2 3 2" xfId="11299" xr:uid="{00000000-0005-0000-0000-0000B5500000}"/>
    <cellStyle name="40% - Accent4 2 2 3 2 3 2 2" xfId="27982" xr:uid="{00000000-0005-0000-0000-0000B6500000}"/>
    <cellStyle name="40% - Accent4 2 2 3 2 3 2 2 2" xfId="24298" xr:uid="{00000000-0005-0000-0000-0000B7500000}"/>
    <cellStyle name="40% - Accent4 2 2 3 2 3 2 2 2 2" xfId="20843" xr:uid="{00000000-0005-0000-0000-0000B8500000}"/>
    <cellStyle name="40% - Accent4 2 2 3 2 3 2 2 3" xfId="18200" xr:uid="{00000000-0005-0000-0000-0000B9500000}"/>
    <cellStyle name="40% - Accent4 2 2 3 2 3 2 3" xfId="29723" xr:uid="{00000000-0005-0000-0000-0000BA500000}"/>
    <cellStyle name="40% - Accent4 2 2 3 2 3 2 3 2" xfId="18194" xr:uid="{00000000-0005-0000-0000-0000BB500000}"/>
    <cellStyle name="40% - Accent4 2 2 3 2 3 2 4" xfId="11298" xr:uid="{00000000-0005-0000-0000-0000BC500000}"/>
    <cellStyle name="40% - Accent4 2 2 3 2 3 3" xfId="11294" xr:uid="{00000000-0005-0000-0000-0000BD500000}"/>
    <cellStyle name="40% - Accent4 2 2 3 2 3 3 2" xfId="22206" xr:uid="{00000000-0005-0000-0000-0000BE500000}"/>
    <cellStyle name="40% - Accent4 2 2 3 2 3 3 2 2" xfId="22409" xr:uid="{00000000-0005-0000-0000-0000BF500000}"/>
    <cellStyle name="40% - Accent4 2 2 3 2 3 3 3" xfId="11293" xr:uid="{00000000-0005-0000-0000-0000C0500000}"/>
    <cellStyle name="40% - Accent4 2 2 3 2 3 4" xfId="11289" xr:uid="{00000000-0005-0000-0000-0000C1500000}"/>
    <cellStyle name="40% - Accent4 2 2 3 2 3 4 2" xfId="11288" xr:uid="{00000000-0005-0000-0000-0000C2500000}"/>
    <cellStyle name="40% - Accent4 2 2 3 2 3 5" xfId="11286" xr:uid="{00000000-0005-0000-0000-0000C3500000}"/>
    <cellStyle name="40% - Accent4 2 2 3 2 4" xfId="11285" xr:uid="{00000000-0005-0000-0000-0000C4500000}"/>
    <cellStyle name="40% - Accent4 2 2 3 2 4 2" xfId="32080" xr:uid="{00000000-0005-0000-0000-0000C5500000}"/>
    <cellStyle name="40% - Accent4 2 2 3 2 4 2 2" xfId="11280" xr:uid="{00000000-0005-0000-0000-0000C6500000}"/>
    <cellStyle name="40% - Accent4 2 2 3 2 4 2 2 2" xfId="18167" xr:uid="{00000000-0005-0000-0000-0000C7500000}"/>
    <cellStyle name="40% - Accent4 2 2 3 2 4 2 3" xfId="11279" xr:uid="{00000000-0005-0000-0000-0000C8500000}"/>
    <cellStyle name="40% - Accent4 2 2 3 2 4 3" xfId="28410" xr:uid="{00000000-0005-0000-0000-0000C9500000}"/>
    <cellStyle name="40% - Accent4 2 2 3 2 4 3 2" xfId="11275" xr:uid="{00000000-0005-0000-0000-0000CA500000}"/>
    <cellStyle name="40% - Accent4 2 2 3 2 4 4" xfId="33684" xr:uid="{00000000-0005-0000-0000-0000CB500000}"/>
    <cellStyle name="40% - Accent4 2 2 3 2 5" xfId="11274" xr:uid="{00000000-0005-0000-0000-0000CC500000}"/>
    <cellStyle name="40% - Accent4 2 2 3 2 5 2" xfId="31436" xr:uid="{00000000-0005-0000-0000-0000CD500000}"/>
    <cellStyle name="40% - Accent4 2 2 3 2 5 2 2" xfId="11270" xr:uid="{00000000-0005-0000-0000-0000CE500000}"/>
    <cellStyle name="40% - Accent4 2 2 3 2 5 3" xfId="18446" xr:uid="{00000000-0005-0000-0000-0000CF500000}"/>
    <cellStyle name="40% - Accent4 2 2 3 2 6" xfId="11269" xr:uid="{00000000-0005-0000-0000-0000D0500000}"/>
    <cellStyle name="40% - Accent4 2 2 3 2 6 2" xfId="11267" xr:uid="{00000000-0005-0000-0000-0000D1500000}"/>
    <cellStyle name="40% - Accent4 2 2 3 2 7" xfId="11266" xr:uid="{00000000-0005-0000-0000-0000D2500000}"/>
    <cellStyle name="40% - Accent4 2 2 3 3" xfId="11265" xr:uid="{00000000-0005-0000-0000-0000D3500000}"/>
    <cellStyle name="40% - Accent4 2 2 3 3 2" xfId="11262" xr:uid="{00000000-0005-0000-0000-0000D4500000}"/>
    <cellStyle name="40% - Accent4 2 2 3 3 2 2" xfId="19726" xr:uid="{00000000-0005-0000-0000-0000D5500000}"/>
    <cellStyle name="40% - Accent4 2 2 3 3 2 2 2" xfId="11259" xr:uid="{00000000-0005-0000-0000-0000D6500000}"/>
    <cellStyle name="40% - Accent4 2 2 3 3 2 2 2 2" xfId="8653" xr:uid="{00000000-0005-0000-0000-0000D7500000}"/>
    <cellStyle name="40% - Accent4 2 2 3 3 2 2 2 2 2" xfId="11258" xr:uid="{00000000-0005-0000-0000-0000D8500000}"/>
    <cellStyle name="40% - Accent4 2 2 3 3 2 2 2 3" xfId="8645" xr:uid="{00000000-0005-0000-0000-0000D9500000}"/>
    <cellStyle name="40% - Accent4 2 2 3 3 2 2 3" xfId="33589" xr:uid="{00000000-0005-0000-0000-0000DA500000}"/>
    <cellStyle name="40% - Accent4 2 2 3 3 2 2 3 2" xfId="8776" xr:uid="{00000000-0005-0000-0000-0000DB500000}"/>
    <cellStyle name="40% - Accent4 2 2 3 3 2 2 4" xfId="11257" xr:uid="{00000000-0005-0000-0000-0000DC500000}"/>
    <cellStyle name="40% - Accent4 2 2 3 3 2 3" xfId="11256" xr:uid="{00000000-0005-0000-0000-0000DD500000}"/>
    <cellStyle name="40% - Accent4 2 2 3 3 2 3 2" xfId="20133" xr:uid="{00000000-0005-0000-0000-0000DE500000}"/>
    <cellStyle name="40% - Accent4 2 2 3 3 2 3 2 2" xfId="8529" xr:uid="{00000000-0005-0000-0000-0000DF500000}"/>
    <cellStyle name="40% - Accent4 2 2 3 3 2 3 3" xfId="27549" xr:uid="{00000000-0005-0000-0000-0000E0500000}"/>
    <cellStyle name="40% - Accent4 2 2 3 3 2 4" xfId="29158" xr:uid="{00000000-0005-0000-0000-0000E1500000}"/>
    <cellStyle name="40% - Accent4 2 2 3 3 2 4 2" xfId="20131" xr:uid="{00000000-0005-0000-0000-0000E2500000}"/>
    <cellStyle name="40% - Accent4 2 2 3 3 2 5" xfId="11250" xr:uid="{00000000-0005-0000-0000-0000E3500000}"/>
    <cellStyle name="40% - Accent4 2 2 3 3 3" xfId="11244" xr:uid="{00000000-0005-0000-0000-0000E4500000}"/>
    <cellStyle name="40% - Accent4 2 2 3 3 3 2" xfId="11241" xr:uid="{00000000-0005-0000-0000-0000E5500000}"/>
    <cellStyle name="40% - Accent4 2 2 3 3 3 2 2" xfId="11234" xr:uid="{00000000-0005-0000-0000-0000E6500000}"/>
    <cellStyle name="40% - Accent4 2 2 3 3 3 2 2 2" xfId="8285" xr:uid="{00000000-0005-0000-0000-0000E7500000}"/>
    <cellStyle name="40% - Accent4 2 2 3 3 3 2 3" xfId="11233" xr:uid="{00000000-0005-0000-0000-0000E8500000}"/>
    <cellStyle name="40% - Accent4 2 2 3 3 3 3" xfId="11229" xr:uid="{00000000-0005-0000-0000-0000E9500000}"/>
    <cellStyle name="40% - Accent4 2 2 3 3 3 3 2" xfId="33505" xr:uid="{00000000-0005-0000-0000-0000EA500000}"/>
    <cellStyle name="40% - Accent4 2 2 3 3 3 4" xfId="11219" xr:uid="{00000000-0005-0000-0000-0000EB500000}"/>
    <cellStyle name="40% - Accent4 2 2 3 3 4" xfId="13238" xr:uid="{00000000-0005-0000-0000-0000EC500000}"/>
    <cellStyle name="40% - Accent4 2 2 3 3 4 2" xfId="11212" xr:uid="{00000000-0005-0000-0000-0000ED500000}"/>
    <cellStyle name="40% - Accent4 2 2 3 3 4 2 2" xfId="11208" xr:uid="{00000000-0005-0000-0000-0000EE500000}"/>
    <cellStyle name="40% - Accent4 2 2 3 3 4 3" xfId="26804" xr:uid="{00000000-0005-0000-0000-0000EF500000}"/>
    <cellStyle name="40% - Accent4 2 2 3 3 5" xfId="11207" xr:uid="{00000000-0005-0000-0000-0000F0500000}"/>
    <cellStyle name="40% - Accent4 2 2 3 3 5 2" xfId="11204" xr:uid="{00000000-0005-0000-0000-0000F1500000}"/>
    <cellStyle name="40% - Accent4 2 2 3 3 6" xfId="11201" xr:uid="{00000000-0005-0000-0000-0000F2500000}"/>
    <cellStyle name="40% - Accent4 2 2 3 4" xfId="11200" xr:uid="{00000000-0005-0000-0000-0000F3500000}"/>
    <cellStyle name="40% - Accent4 2 2 3 4 2" xfId="11198" xr:uid="{00000000-0005-0000-0000-0000F4500000}"/>
    <cellStyle name="40% - Accent4 2 2 3 4 2 2" xfId="11194" xr:uid="{00000000-0005-0000-0000-0000F5500000}"/>
    <cellStyle name="40% - Accent4 2 2 3 4 2 2 2" xfId="11190" xr:uid="{00000000-0005-0000-0000-0000F6500000}"/>
    <cellStyle name="40% - Accent4 2 2 3 4 2 2 2 2" xfId="18084" xr:uid="{00000000-0005-0000-0000-0000F7500000}"/>
    <cellStyle name="40% - Accent4 2 2 3 4 2 2 3" xfId="11189" xr:uid="{00000000-0005-0000-0000-0000F8500000}"/>
    <cellStyle name="40% - Accent4 2 2 3 4 2 3" xfId="11185" xr:uid="{00000000-0005-0000-0000-0000F9500000}"/>
    <cellStyle name="40% - Accent4 2 2 3 4 2 3 2" xfId="18047" xr:uid="{00000000-0005-0000-0000-0000FA500000}"/>
    <cellStyle name="40% - Accent4 2 2 3 4 2 4" xfId="18983" xr:uid="{00000000-0005-0000-0000-0000FB500000}"/>
    <cellStyle name="40% - Accent4 2 2 3 4 3" xfId="11179" xr:uid="{00000000-0005-0000-0000-0000FC500000}"/>
    <cellStyle name="40% - Accent4 2 2 3 4 3 2" xfId="17141" xr:uid="{00000000-0005-0000-0000-0000FD500000}"/>
    <cellStyle name="40% - Accent4 2 2 3 4 3 2 2" xfId="11175" xr:uid="{00000000-0005-0000-0000-0000FE500000}"/>
    <cellStyle name="40% - Accent4 2 2 3 4 3 3" xfId="17124" xr:uid="{00000000-0005-0000-0000-0000FF500000}"/>
    <cellStyle name="40% - Accent4 2 2 3 4 4" xfId="11174" xr:uid="{00000000-0005-0000-0000-000000510000}"/>
    <cellStyle name="40% - Accent4 2 2 3 4 4 2" xfId="17093" xr:uid="{00000000-0005-0000-0000-000001510000}"/>
    <cellStyle name="40% - Accent4 2 2 3 4 5" xfId="11170" xr:uid="{00000000-0005-0000-0000-000002510000}"/>
    <cellStyle name="40% - Accent4 2 2 3 5" xfId="16683" xr:uid="{00000000-0005-0000-0000-000003510000}"/>
    <cellStyle name="40% - Accent4 2 2 3 5 2" xfId="11169" xr:uid="{00000000-0005-0000-0000-000004510000}"/>
    <cellStyle name="40% - Accent4 2 2 3 5 2 2" xfId="11165" xr:uid="{00000000-0005-0000-0000-000005510000}"/>
    <cellStyle name="40% - Accent4 2 2 3 5 2 2 2" xfId="11160" xr:uid="{00000000-0005-0000-0000-000006510000}"/>
    <cellStyle name="40% - Accent4 2 2 3 5 2 3" xfId="11158" xr:uid="{00000000-0005-0000-0000-000007510000}"/>
    <cellStyle name="40% - Accent4 2 2 3 5 3" xfId="11153" xr:uid="{00000000-0005-0000-0000-000008510000}"/>
    <cellStyle name="40% - Accent4 2 2 3 5 3 2" xfId="17043" xr:uid="{00000000-0005-0000-0000-000009510000}"/>
    <cellStyle name="40% - Accent4 2 2 3 5 4" xfId="11150" xr:uid="{00000000-0005-0000-0000-00000A510000}"/>
    <cellStyle name="40% - Accent4 2 2 3 6" xfId="13341" xr:uid="{00000000-0005-0000-0000-00000B510000}"/>
    <cellStyle name="40% - Accent4 2 2 3 6 2" xfId="11147" xr:uid="{00000000-0005-0000-0000-00000C510000}"/>
    <cellStyle name="40% - Accent4 2 2 3 6 2 2" xfId="11144" xr:uid="{00000000-0005-0000-0000-00000D510000}"/>
    <cellStyle name="40% - Accent4 2 2 3 6 3" xfId="11141" xr:uid="{00000000-0005-0000-0000-00000E510000}"/>
    <cellStyle name="40% - Accent4 2 2 3 7" xfId="13335" xr:uid="{00000000-0005-0000-0000-00000F510000}"/>
    <cellStyle name="40% - Accent4 2 2 3 7 2" xfId="11139" xr:uid="{00000000-0005-0000-0000-000010510000}"/>
    <cellStyle name="40% - Accent4 2 2 3 8" xfId="11138" xr:uid="{00000000-0005-0000-0000-000011510000}"/>
    <cellStyle name="40% - Accent4 2 2 4" xfId="11136" xr:uid="{00000000-0005-0000-0000-000012510000}"/>
    <cellStyle name="40% - Accent4 2 2 4 2" xfId="11135" xr:uid="{00000000-0005-0000-0000-000013510000}"/>
    <cellStyle name="40% - Accent4 2 2 4 2 2" xfId="33723" xr:uid="{00000000-0005-0000-0000-000014510000}"/>
    <cellStyle name="40% - Accent4 2 2 4 2 2 2" xfId="11133" xr:uid="{00000000-0005-0000-0000-000015510000}"/>
    <cellStyle name="40% - Accent4 2 2 4 2 2 2 2" xfId="11130" xr:uid="{00000000-0005-0000-0000-000016510000}"/>
    <cellStyle name="40% - Accent4 2 2 4 2 2 2 2 2" xfId="6591" xr:uid="{00000000-0005-0000-0000-000017510000}"/>
    <cellStyle name="40% - Accent4 2 2 4 2 2 2 2 2 2" xfId="11127" xr:uid="{00000000-0005-0000-0000-000018510000}"/>
    <cellStyle name="40% - Accent4 2 2 4 2 2 2 2 3" xfId="6576" xr:uid="{00000000-0005-0000-0000-000019510000}"/>
    <cellStyle name="40% - Accent4 2 2 4 2 2 2 3" xfId="11541" xr:uid="{00000000-0005-0000-0000-00001A510000}"/>
    <cellStyle name="40% - Accent4 2 2 4 2 2 2 3 2" xfId="30119" xr:uid="{00000000-0005-0000-0000-00001B510000}"/>
    <cellStyle name="40% - Accent4 2 2 4 2 2 2 4" xfId="11524" xr:uid="{00000000-0005-0000-0000-00001C510000}"/>
    <cellStyle name="40% - Accent4 2 2 4 2 2 3" xfId="11125" xr:uid="{00000000-0005-0000-0000-00001D510000}"/>
    <cellStyle name="40% - Accent4 2 2 4 2 2 3 2" xfId="11466" xr:uid="{00000000-0005-0000-0000-00001E510000}"/>
    <cellStyle name="40% - Accent4 2 2 4 2 2 3 2 2" xfId="6453" xr:uid="{00000000-0005-0000-0000-00001F510000}"/>
    <cellStyle name="40% - Accent4 2 2 4 2 2 3 3" xfId="13251" xr:uid="{00000000-0005-0000-0000-000020510000}"/>
    <cellStyle name="40% - Accent4 2 2 4 2 2 4" xfId="20492" xr:uid="{00000000-0005-0000-0000-000021510000}"/>
    <cellStyle name="40% - Accent4 2 2 4 2 2 4 2" xfId="11387" xr:uid="{00000000-0005-0000-0000-000022510000}"/>
    <cellStyle name="40% - Accent4 2 2 4 2 2 5" xfId="18996" xr:uid="{00000000-0005-0000-0000-000023510000}"/>
    <cellStyle name="40% - Accent4 2 2 4 2 3" xfId="11116" xr:uid="{00000000-0005-0000-0000-000024510000}"/>
    <cellStyle name="40% - Accent4 2 2 4 2 3 2" xfId="11123" xr:uid="{00000000-0005-0000-0000-000025510000}"/>
    <cellStyle name="40% - Accent4 2 2 4 2 3 2 2" xfId="11121" xr:uid="{00000000-0005-0000-0000-000026510000}"/>
    <cellStyle name="40% - Accent4 2 2 4 2 3 2 2 2" xfId="21140" xr:uid="{00000000-0005-0000-0000-000027510000}"/>
    <cellStyle name="40% - Accent4 2 2 4 2 3 2 3" xfId="11283" xr:uid="{00000000-0005-0000-0000-000028510000}"/>
    <cellStyle name="40% - Accent4 2 2 4 2 3 3" xfId="11119" xr:uid="{00000000-0005-0000-0000-000029510000}"/>
    <cellStyle name="40% - Accent4 2 2 4 2 3 3 2" xfId="11243" xr:uid="{00000000-0005-0000-0000-00002A510000}"/>
    <cellStyle name="40% - Accent4 2 2 4 2 3 4" xfId="18973" xr:uid="{00000000-0005-0000-0000-00002B510000}"/>
    <cellStyle name="40% - Accent4 2 2 4 2 4" xfId="27878" xr:uid="{00000000-0005-0000-0000-00002C510000}"/>
    <cellStyle name="40% - Accent4 2 2 4 2 4 2" xfId="11118" xr:uid="{00000000-0005-0000-0000-00002D510000}"/>
    <cellStyle name="40% - Accent4 2 2 4 2 4 2 2" xfId="11117" xr:uid="{00000000-0005-0000-0000-00002E510000}"/>
    <cellStyle name="40% - Accent4 2 2 4 2 4 3" xfId="33406" xr:uid="{00000000-0005-0000-0000-00002F510000}"/>
    <cellStyle name="40% - Accent4 2 2 4 2 5" xfId="11115" xr:uid="{00000000-0005-0000-0000-000030510000}"/>
    <cellStyle name="40% - Accent4 2 2 4 2 5 2" xfId="11113" xr:uid="{00000000-0005-0000-0000-000031510000}"/>
    <cellStyle name="40% - Accent4 2 2 4 2 6" xfId="11111" xr:uid="{00000000-0005-0000-0000-000032510000}"/>
    <cellStyle name="40% - Accent4 2 2 4 3" xfId="11109" xr:uid="{00000000-0005-0000-0000-000033510000}"/>
    <cellStyle name="40% - Accent4 2 2 4 3 2" xfId="11107" xr:uid="{00000000-0005-0000-0000-000034510000}"/>
    <cellStyle name="40% - Accent4 2 2 4 3 2 2" xfId="11105" xr:uid="{00000000-0005-0000-0000-000035510000}"/>
    <cellStyle name="40% - Accent4 2 2 4 3 2 2 2" xfId="11097" xr:uid="{00000000-0005-0000-0000-000036510000}"/>
    <cellStyle name="40% - Accent4 2 2 4 3 2 2 2 2" xfId="11095" xr:uid="{00000000-0005-0000-0000-000037510000}"/>
    <cellStyle name="40% - Accent4 2 2 4 3 2 2 3" xfId="10895" xr:uid="{00000000-0005-0000-0000-000038510000}"/>
    <cellStyle name="40% - Accent4 2 2 4 3 2 3" xfId="11092" xr:uid="{00000000-0005-0000-0000-000039510000}"/>
    <cellStyle name="40% - Accent4 2 2 4 3 2 3 2" xfId="22198" xr:uid="{00000000-0005-0000-0000-00003A510000}"/>
    <cellStyle name="40% - Accent4 2 2 4 3 2 4" xfId="27449" xr:uid="{00000000-0005-0000-0000-00003B510000}"/>
    <cellStyle name="40% - Accent4 2 2 4 3 3" xfId="11085" xr:uid="{00000000-0005-0000-0000-00003C510000}"/>
    <cellStyle name="40% - Accent4 2 2 4 3 3 2" xfId="11083" xr:uid="{00000000-0005-0000-0000-00003D510000}"/>
    <cellStyle name="40% - Accent4 2 2 4 3 3 2 2" xfId="10764" xr:uid="{00000000-0005-0000-0000-00003E510000}"/>
    <cellStyle name="40% - Accent4 2 2 4 3 3 3" xfId="11077" xr:uid="{00000000-0005-0000-0000-00003F510000}"/>
    <cellStyle name="40% - Accent4 2 2 4 3 4" xfId="11071" xr:uid="{00000000-0005-0000-0000-000040510000}"/>
    <cellStyle name="40% - Accent4 2 2 4 3 4 2" xfId="11068" xr:uid="{00000000-0005-0000-0000-000041510000}"/>
    <cellStyle name="40% - Accent4 2 2 4 3 5" xfId="12389" xr:uid="{00000000-0005-0000-0000-000042510000}"/>
    <cellStyle name="40% - Accent4 2 2 4 4" xfId="11064" xr:uid="{00000000-0005-0000-0000-000043510000}"/>
    <cellStyle name="40% - Accent4 2 2 4 4 2" xfId="11063" xr:uid="{00000000-0005-0000-0000-000044510000}"/>
    <cellStyle name="40% - Accent4 2 2 4 4 2 2" xfId="11060" xr:uid="{00000000-0005-0000-0000-000045510000}"/>
    <cellStyle name="40% - Accent4 2 2 4 4 2 2 2" xfId="10566" xr:uid="{00000000-0005-0000-0000-000046510000}"/>
    <cellStyle name="40% - Accent4 2 2 4 4 2 3" xfId="11053" xr:uid="{00000000-0005-0000-0000-000047510000}"/>
    <cellStyle name="40% - Accent4 2 2 4 4 3" xfId="11046" xr:uid="{00000000-0005-0000-0000-000048510000}"/>
    <cellStyle name="40% - Accent4 2 2 4 4 3 2" xfId="16957" xr:uid="{00000000-0005-0000-0000-000049510000}"/>
    <cellStyle name="40% - Accent4 2 2 4 4 4" xfId="11043" xr:uid="{00000000-0005-0000-0000-00004A510000}"/>
    <cellStyle name="40% - Accent4 2 2 4 5" xfId="13332" xr:uid="{00000000-0005-0000-0000-00004B510000}"/>
    <cellStyle name="40% - Accent4 2 2 4 5 2" xfId="11042" xr:uid="{00000000-0005-0000-0000-00004C510000}"/>
    <cellStyle name="40% - Accent4 2 2 4 5 2 2" xfId="11038" xr:uid="{00000000-0005-0000-0000-00004D510000}"/>
    <cellStyle name="40% - Accent4 2 2 4 5 3" xfId="11031" xr:uid="{00000000-0005-0000-0000-00004E510000}"/>
    <cellStyle name="40% - Accent4 2 2 4 6" xfId="33026" xr:uid="{00000000-0005-0000-0000-00004F510000}"/>
    <cellStyle name="40% - Accent4 2 2 4 6 2" xfId="13709" xr:uid="{00000000-0005-0000-0000-000050510000}"/>
    <cellStyle name="40% - Accent4 2 2 4 7" xfId="31971" xr:uid="{00000000-0005-0000-0000-000051510000}"/>
    <cellStyle name="40% - Accent4 2 2 5" xfId="11030" xr:uid="{00000000-0005-0000-0000-000052510000}"/>
    <cellStyle name="40% - Accent4 2 2 5 2" xfId="11029" xr:uid="{00000000-0005-0000-0000-000053510000}"/>
    <cellStyle name="40% - Accent4 2 2 5 2 2" xfId="11028" xr:uid="{00000000-0005-0000-0000-000054510000}"/>
    <cellStyle name="40% - Accent4 2 2 5 2 2 2" xfId="11027" xr:uid="{00000000-0005-0000-0000-000055510000}"/>
    <cellStyle name="40% - Accent4 2 2 5 2 2 2 2" xfId="27870" xr:uid="{00000000-0005-0000-0000-000056510000}"/>
    <cellStyle name="40% - Accent4 2 2 5 2 2 2 2 2" xfId="11025" xr:uid="{00000000-0005-0000-0000-000057510000}"/>
    <cellStyle name="40% - Accent4 2 2 5 2 2 2 3" xfId="10197" xr:uid="{00000000-0005-0000-0000-000058510000}"/>
    <cellStyle name="40% - Accent4 2 2 5 2 2 3" xfId="11023" xr:uid="{00000000-0005-0000-0000-000059510000}"/>
    <cellStyle name="40% - Accent4 2 2 5 2 2 3 2" xfId="10161" xr:uid="{00000000-0005-0000-0000-00005A510000}"/>
    <cellStyle name="40% - Accent4 2 2 5 2 2 4" xfId="18836" xr:uid="{00000000-0005-0000-0000-00005B510000}"/>
    <cellStyle name="40% - Accent4 2 2 5 2 3" xfId="11022" xr:uid="{00000000-0005-0000-0000-00005C510000}"/>
    <cellStyle name="40% - Accent4 2 2 5 2 3 2" xfId="11021" xr:uid="{00000000-0005-0000-0000-00005D510000}"/>
    <cellStyle name="40% - Accent4 2 2 5 2 3 2 2" xfId="10058" xr:uid="{00000000-0005-0000-0000-00005E510000}"/>
    <cellStyle name="40% - Accent4 2 2 5 2 3 3" xfId="11018" xr:uid="{00000000-0005-0000-0000-00005F510000}"/>
    <cellStyle name="40% - Accent4 2 2 5 2 4" xfId="11017" xr:uid="{00000000-0005-0000-0000-000060510000}"/>
    <cellStyle name="40% - Accent4 2 2 5 2 4 2" xfId="11013" xr:uid="{00000000-0005-0000-0000-000061510000}"/>
    <cellStyle name="40% - Accent4 2 2 5 2 5" xfId="20704" xr:uid="{00000000-0005-0000-0000-000062510000}"/>
    <cellStyle name="40% - Accent4 2 2 5 3" xfId="11012" xr:uid="{00000000-0005-0000-0000-000063510000}"/>
    <cellStyle name="40% - Accent4 2 2 5 3 2" xfId="11011" xr:uid="{00000000-0005-0000-0000-000064510000}"/>
    <cellStyle name="40% - Accent4 2 2 5 3 2 2" xfId="11009" xr:uid="{00000000-0005-0000-0000-000065510000}"/>
    <cellStyle name="40% - Accent4 2 2 5 3 2 2 2" xfId="11003" xr:uid="{00000000-0005-0000-0000-000066510000}"/>
    <cellStyle name="40% - Accent4 2 2 5 3 2 3" xfId="11001" xr:uid="{00000000-0005-0000-0000-000067510000}"/>
    <cellStyle name="40% - Accent4 2 2 5 3 3" xfId="10994" xr:uid="{00000000-0005-0000-0000-000068510000}"/>
    <cellStyle name="40% - Accent4 2 2 5 3 3 2" xfId="10990" xr:uid="{00000000-0005-0000-0000-000069510000}"/>
    <cellStyle name="40% - Accent4 2 2 5 3 4" xfId="10987" xr:uid="{00000000-0005-0000-0000-00006A510000}"/>
    <cellStyle name="40% - Accent4 2 2 5 4" xfId="10985" xr:uid="{00000000-0005-0000-0000-00006B510000}"/>
    <cellStyle name="40% - Accent4 2 2 5 4 2" xfId="10983" xr:uid="{00000000-0005-0000-0000-00006C510000}"/>
    <cellStyle name="40% - Accent4 2 2 5 4 2 2" xfId="10978" xr:uid="{00000000-0005-0000-0000-00006D510000}"/>
    <cellStyle name="40% - Accent4 2 2 5 4 3" xfId="10972" xr:uid="{00000000-0005-0000-0000-00006E510000}"/>
    <cellStyle name="40% - Accent4 2 2 5 5" xfId="13328" xr:uid="{00000000-0005-0000-0000-00006F510000}"/>
    <cellStyle name="40% - Accent4 2 2 5 5 2" xfId="10970" xr:uid="{00000000-0005-0000-0000-000070510000}"/>
    <cellStyle name="40% - Accent4 2 2 5 6" xfId="13699" xr:uid="{00000000-0005-0000-0000-000071510000}"/>
    <cellStyle name="40% - Accent4 2 2 6" xfId="10968" xr:uid="{00000000-0005-0000-0000-000072510000}"/>
    <cellStyle name="40% - Accent4 2 2 6 2" xfId="10966" xr:uid="{00000000-0005-0000-0000-000073510000}"/>
    <cellStyle name="40% - Accent4 2 2 6 2 2" xfId="10964" xr:uid="{00000000-0005-0000-0000-000074510000}"/>
    <cellStyle name="40% - Accent4 2 2 6 2 2 2" xfId="10962" xr:uid="{00000000-0005-0000-0000-000075510000}"/>
    <cellStyle name="40% - Accent4 2 2 6 2 2 2 2" xfId="9502" xr:uid="{00000000-0005-0000-0000-000076510000}"/>
    <cellStyle name="40% - Accent4 2 2 6 2 2 3" xfId="10960" xr:uid="{00000000-0005-0000-0000-000077510000}"/>
    <cellStyle name="40% - Accent4 2 2 6 2 3" xfId="10955" xr:uid="{00000000-0005-0000-0000-000078510000}"/>
    <cellStyle name="40% - Accent4 2 2 6 2 3 2" xfId="11828" xr:uid="{00000000-0005-0000-0000-000079510000}"/>
    <cellStyle name="40% - Accent4 2 2 6 2 4" xfId="10953" xr:uid="{00000000-0005-0000-0000-00007A510000}"/>
    <cellStyle name="40% - Accent4 2 2 6 3" xfId="10951" xr:uid="{00000000-0005-0000-0000-00007B510000}"/>
    <cellStyle name="40% - Accent4 2 2 6 3 2" xfId="10949" xr:uid="{00000000-0005-0000-0000-00007C510000}"/>
    <cellStyle name="40% - Accent4 2 2 6 3 2 2" xfId="11790" xr:uid="{00000000-0005-0000-0000-00007D510000}"/>
    <cellStyle name="40% - Accent4 2 2 6 3 3" xfId="10947" xr:uid="{00000000-0005-0000-0000-00007E510000}"/>
    <cellStyle name="40% - Accent4 2 2 6 4" xfId="10945" xr:uid="{00000000-0005-0000-0000-00007F510000}"/>
    <cellStyle name="40% - Accent4 2 2 6 4 2" xfId="10943" xr:uid="{00000000-0005-0000-0000-000080510000}"/>
    <cellStyle name="40% - Accent4 2 2 6 5" xfId="10941" xr:uid="{00000000-0005-0000-0000-000081510000}"/>
    <cellStyle name="40% - Accent4 2 2 7" xfId="28553" xr:uid="{00000000-0005-0000-0000-000082510000}"/>
    <cellStyle name="40% - Accent4 2 2 7 2" xfId="24240" xr:uid="{00000000-0005-0000-0000-000083510000}"/>
    <cellStyle name="40% - Accent4 2 2 7 2 2" xfId="18174" xr:uid="{00000000-0005-0000-0000-000084510000}"/>
    <cellStyle name="40% - Accent4 2 2 7 2 2 2" xfId="10939" xr:uid="{00000000-0005-0000-0000-000085510000}"/>
    <cellStyle name="40% - Accent4 2 2 7 2 3" xfId="10938" xr:uid="{00000000-0005-0000-0000-000086510000}"/>
    <cellStyle name="40% - Accent4 2 2 7 3" xfId="21114" xr:uid="{00000000-0005-0000-0000-000087510000}"/>
    <cellStyle name="40% - Accent4 2 2 7 3 2" xfId="10936" xr:uid="{00000000-0005-0000-0000-000088510000}"/>
    <cellStyle name="40% - Accent4 2 2 7 4" xfId="10935" xr:uid="{00000000-0005-0000-0000-000089510000}"/>
    <cellStyle name="40% - Accent4 2 2 8" xfId="18169" xr:uid="{00000000-0005-0000-0000-00008A510000}"/>
    <cellStyle name="40% - Accent4 2 2 8 2" xfId="18166" xr:uid="{00000000-0005-0000-0000-00008B510000}"/>
    <cellStyle name="40% - Accent4 2 2 8 2 2" xfId="10933" xr:uid="{00000000-0005-0000-0000-00008C510000}"/>
    <cellStyle name="40% - Accent4 2 2 8 3" xfId="10932" xr:uid="{00000000-0005-0000-0000-00008D510000}"/>
    <cellStyle name="40% - Accent4 2 2 9" xfId="18165" xr:uid="{00000000-0005-0000-0000-00008E510000}"/>
    <cellStyle name="40% - Accent4 2 2 9 2" xfId="10931" xr:uid="{00000000-0005-0000-0000-00008F510000}"/>
    <cellStyle name="40% - Accent4 2 3" xfId="210" xr:uid="{00000000-0005-0000-0000-000090510000}"/>
    <cellStyle name="40% - Accent4 2 3 10" xfId="34542" xr:uid="{00000000-0005-0000-0000-000091510000}"/>
    <cellStyle name="40% - Accent4 2 3 11" xfId="21115" xr:uid="{00000000-0005-0000-0000-000092510000}"/>
    <cellStyle name="40% - Accent4 2 3 2" xfId="11906" xr:uid="{00000000-0005-0000-0000-000093510000}"/>
    <cellStyle name="40% - Accent4 2 3 2 2" xfId="11904" xr:uid="{00000000-0005-0000-0000-000094510000}"/>
    <cellStyle name="40% - Accent4 2 3 2 2 2" xfId="5506" xr:uid="{00000000-0005-0000-0000-000095510000}"/>
    <cellStyle name="40% - Accent4 2 3 2 2 2 2" xfId="32718" xr:uid="{00000000-0005-0000-0000-000096510000}"/>
    <cellStyle name="40% - Accent4 2 3 2 2 2 2 2" xfId="17501" xr:uid="{00000000-0005-0000-0000-000097510000}"/>
    <cellStyle name="40% - Accent4 2 3 2 2 2 2 2 2" xfId="10056" xr:uid="{00000000-0005-0000-0000-000098510000}"/>
    <cellStyle name="40% - Accent4 2 3 2 2 2 2 2 2 2" xfId="10930" xr:uid="{00000000-0005-0000-0000-000099510000}"/>
    <cellStyle name="40% - Accent4 2 3 2 2 2 2 2 2 2 2" xfId="9313" xr:uid="{00000000-0005-0000-0000-00009A510000}"/>
    <cellStyle name="40% - Accent4 2 3 2 2 2 2 2 2 3" xfId="16255" xr:uid="{00000000-0005-0000-0000-00009B510000}"/>
    <cellStyle name="40% - Accent4 2 3 2 2 2 2 2 3" xfId="26749" xr:uid="{00000000-0005-0000-0000-00009C510000}"/>
    <cellStyle name="40% - Accent4 2 3 2 2 2 2 2 3 2" xfId="10928" xr:uid="{00000000-0005-0000-0000-00009D510000}"/>
    <cellStyle name="40% - Accent4 2 3 2 2 2 2 2 4" xfId="20444" xr:uid="{00000000-0005-0000-0000-00009E510000}"/>
    <cellStyle name="40% - Accent4 2 3 2 2 2 2 3" xfId="10927" xr:uid="{00000000-0005-0000-0000-00009F510000}"/>
    <cellStyle name="40% - Accent4 2 3 2 2 2 2 3 2" xfId="14697" xr:uid="{00000000-0005-0000-0000-0000A0510000}"/>
    <cellStyle name="40% - Accent4 2 3 2 2 2 2 3 2 2" xfId="10926" xr:uid="{00000000-0005-0000-0000-0000A1510000}"/>
    <cellStyle name="40% - Accent4 2 3 2 2 2 2 3 3" xfId="20435" xr:uid="{00000000-0005-0000-0000-0000A2510000}"/>
    <cellStyle name="40% - Accent4 2 3 2 2 2 2 4" xfId="10925" xr:uid="{00000000-0005-0000-0000-0000A3510000}"/>
    <cellStyle name="40% - Accent4 2 3 2 2 2 2 4 2" xfId="18862" xr:uid="{00000000-0005-0000-0000-0000A4510000}"/>
    <cellStyle name="40% - Accent4 2 3 2 2 2 2 5" xfId="10922" xr:uid="{00000000-0005-0000-0000-0000A5510000}"/>
    <cellStyle name="40% - Accent4 2 3 2 2 2 3" xfId="10919" xr:uid="{00000000-0005-0000-0000-0000A6510000}"/>
    <cellStyle name="40% - Accent4 2 3 2 2 2 3 2" xfId="34117" xr:uid="{00000000-0005-0000-0000-0000A7510000}"/>
    <cellStyle name="40% - Accent4 2 3 2 2 2 3 2 2" xfId="20755" xr:uid="{00000000-0005-0000-0000-0000A8510000}"/>
    <cellStyle name="40% - Accent4 2 3 2 2 2 3 2 2 2" xfId="10918" xr:uid="{00000000-0005-0000-0000-0000A9510000}"/>
    <cellStyle name="40% - Accent4 2 3 2 2 2 3 2 3" xfId="20746" xr:uid="{00000000-0005-0000-0000-0000AA510000}"/>
    <cellStyle name="40% - Accent4 2 3 2 2 2 3 3" xfId="33764" xr:uid="{00000000-0005-0000-0000-0000AB510000}"/>
    <cellStyle name="40% - Accent4 2 3 2 2 2 3 3 2" xfId="27116" xr:uid="{00000000-0005-0000-0000-0000AC510000}"/>
    <cellStyle name="40% - Accent4 2 3 2 2 2 3 4" xfId="33634" xr:uid="{00000000-0005-0000-0000-0000AD510000}"/>
    <cellStyle name="40% - Accent4 2 3 2 2 2 4" xfId="10914" xr:uid="{00000000-0005-0000-0000-0000AE510000}"/>
    <cellStyle name="40% - Accent4 2 3 2 2 2 4 2" xfId="24882" xr:uid="{00000000-0005-0000-0000-0000AF510000}"/>
    <cellStyle name="40% - Accent4 2 3 2 2 2 4 2 2" xfId="20741" xr:uid="{00000000-0005-0000-0000-0000B0510000}"/>
    <cellStyle name="40% - Accent4 2 3 2 2 2 4 3" xfId="29134" xr:uid="{00000000-0005-0000-0000-0000B1510000}"/>
    <cellStyle name="40% - Accent4 2 3 2 2 2 5" xfId="10913" xr:uid="{00000000-0005-0000-0000-0000B2510000}"/>
    <cellStyle name="40% - Accent4 2 3 2 2 2 5 2" xfId="28283" xr:uid="{00000000-0005-0000-0000-0000B3510000}"/>
    <cellStyle name="40% - Accent4 2 3 2 2 2 6" xfId="10912" xr:uid="{00000000-0005-0000-0000-0000B4510000}"/>
    <cellStyle name="40% - Accent4 2 3 2 2 3" xfId="11096" xr:uid="{00000000-0005-0000-0000-0000B5510000}"/>
    <cellStyle name="40% - Accent4 2 3 2 2 3 2" xfId="10910" xr:uid="{00000000-0005-0000-0000-0000B6510000}"/>
    <cellStyle name="40% - Accent4 2 3 2 2 3 2 2" xfId="31331" xr:uid="{00000000-0005-0000-0000-0000B7510000}"/>
    <cellStyle name="40% - Accent4 2 3 2 2 3 2 2 2" xfId="18672" xr:uid="{00000000-0005-0000-0000-0000B8510000}"/>
    <cellStyle name="40% - Accent4 2 3 2 2 3 2 2 2 2" xfId="24351" xr:uid="{00000000-0005-0000-0000-0000B9510000}"/>
    <cellStyle name="40% - Accent4 2 3 2 2 3 2 2 3" xfId="24710" xr:uid="{00000000-0005-0000-0000-0000BA510000}"/>
    <cellStyle name="40% - Accent4 2 3 2 2 3 2 3" xfId="10909" xr:uid="{00000000-0005-0000-0000-0000BB510000}"/>
    <cellStyle name="40% - Accent4 2 3 2 2 3 2 3 2" xfId="18658" xr:uid="{00000000-0005-0000-0000-0000BC510000}"/>
    <cellStyle name="40% - Accent4 2 3 2 2 3 2 4" xfId="10906" xr:uid="{00000000-0005-0000-0000-0000BD510000}"/>
    <cellStyle name="40% - Accent4 2 3 2 2 3 3" xfId="10902" xr:uid="{00000000-0005-0000-0000-0000BE510000}"/>
    <cellStyle name="40% - Accent4 2 3 2 2 3 3 2" xfId="34076" xr:uid="{00000000-0005-0000-0000-0000BF510000}"/>
    <cellStyle name="40% - Accent4 2 3 2 2 3 3 2 2" xfId="20731" xr:uid="{00000000-0005-0000-0000-0000C0510000}"/>
    <cellStyle name="40% - Accent4 2 3 2 2 3 3 3" xfId="10901" xr:uid="{00000000-0005-0000-0000-0000C1510000}"/>
    <cellStyle name="40% - Accent4 2 3 2 2 3 4" xfId="10898" xr:uid="{00000000-0005-0000-0000-0000C2510000}"/>
    <cellStyle name="40% - Accent4 2 3 2 2 3 4 2" xfId="24874" xr:uid="{00000000-0005-0000-0000-0000C3510000}"/>
    <cellStyle name="40% - Accent4 2 3 2 2 3 5" xfId="10897" xr:uid="{00000000-0005-0000-0000-0000C4510000}"/>
    <cellStyle name="40% - Accent4 2 3 2 2 4" xfId="10896" xr:uid="{00000000-0005-0000-0000-0000C5510000}"/>
    <cellStyle name="40% - Accent4 2 3 2 2 4 2" xfId="30026" xr:uid="{00000000-0005-0000-0000-0000C6510000}"/>
    <cellStyle name="40% - Accent4 2 3 2 2 4 2 2" xfId="25017" xr:uid="{00000000-0005-0000-0000-0000C7510000}"/>
    <cellStyle name="40% - Accent4 2 3 2 2 4 2 2 2" xfId="18555" xr:uid="{00000000-0005-0000-0000-0000C8510000}"/>
    <cellStyle name="40% - Accent4 2 3 2 2 4 2 3" xfId="10893" xr:uid="{00000000-0005-0000-0000-0000C9510000}"/>
    <cellStyle name="40% - Accent4 2 3 2 2 4 3" xfId="34296" xr:uid="{00000000-0005-0000-0000-0000CA510000}"/>
    <cellStyle name="40% - Accent4 2 3 2 2 4 3 2" xfId="10891" xr:uid="{00000000-0005-0000-0000-0000CB510000}"/>
    <cellStyle name="40% - Accent4 2 3 2 2 4 4" xfId="10890" xr:uid="{00000000-0005-0000-0000-0000CC510000}"/>
    <cellStyle name="40% - Accent4 2 3 2 2 5" xfId="10889" xr:uid="{00000000-0005-0000-0000-0000CD510000}"/>
    <cellStyle name="40% - Accent4 2 3 2 2 5 2" xfId="10888" xr:uid="{00000000-0005-0000-0000-0000CE510000}"/>
    <cellStyle name="40% - Accent4 2 3 2 2 5 2 2" xfId="10887" xr:uid="{00000000-0005-0000-0000-0000CF510000}"/>
    <cellStyle name="40% - Accent4 2 3 2 2 5 3" xfId="10886" xr:uid="{00000000-0005-0000-0000-0000D0510000}"/>
    <cellStyle name="40% - Accent4 2 3 2 2 6" xfId="10885" xr:uid="{00000000-0005-0000-0000-0000D1510000}"/>
    <cellStyle name="40% - Accent4 2 3 2 2 6 2" xfId="10883" xr:uid="{00000000-0005-0000-0000-0000D2510000}"/>
    <cellStyle name="40% - Accent4 2 3 2 2 7" xfId="10882" xr:uid="{00000000-0005-0000-0000-0000D3510000}"/>
    <cellStyle name="40% - Accent4 2 3 2 3" xfId="24468" xr:uid="{00000000-0005-0000-0000-0000D4510000}"/>
    <cellStyle name="40% - Accent4 2 3 2 3 2" xfId="24551" xr:uid="{00000000-0005-0000-0000-0000D5510000}"/>
    <cellStyle name="40% - Accent4 2 3 2 3 2 2" xfId="10881" xr:uid="{00000000-0005-0000-0000-0000D6510000}"/>
    <cellStyle name="40% - Accent4 2 3 2 3 2 2 2" xfId="10877" xr:uid="{00000000-0005-0000-0000-0000D7510000}"/>
    <cellStyle name="40% - Accent4 2 3 2 3 2 2 2 2" xfId="18411" xr:uid="{00000000-0005-0000-0000-0000D8510000}"/>
    <cellStyle name="40% - Accent4 2 3 2 3 2 2 2 2 2" xfId="10876" xr:uid="{00000000-0005-0000-0000-0000D9510000}"/>
    <cellStyle name="40% - Accent4 2 3 2 3 2 2 2 3" xfId="15754" xr:uid="{00000000-0005-0000-0000-0000DA510000}"/>
    <cellStyle name="40% - Accent4 2 3 2 3 2 2 3" xfId="25098" xr:uid="{00000000-0005-0000-0000-0000DB510000}"/>
    <cellStyle name="40% - Accent4 2 3 2 3 2 2 3 2" xfId="18404" xr:uid="{00000000-0005-0000-0000-0000DC510000}"/>
    <cellStyle name="40% - Accent4 2 3 2 3 2 2 4" xfId="10873" xr:uid="{00000000-0005-0000-0000-0000DD510000}"/>
    <cellStyle name="40% - Accent4 2 3 2 3 2 3" xfId="10871" xr:uid="{00000000-0005-0000-0000-0000DE510000}"/>
    <cellStyle name="40% - Accent4 2 3 2 3 2 3 2" xfId="33953" xr:uid="{00000000-0005-0000-0000-0000DF510000}"/>
    <cellStyle name="40% - Accent4 2 3 2 3 2 3 2 2" xfId="15675" xr:uid="{00000000-0005-0000-0000-0000E0510000}"/>
    <cellStyle name="40% - Accent4 2 3 2 3 2 3 3" xfId="10867" xr:uid="{00000000-0005-0000-0000-0000E1510000}"/>
    <cellStyle name="40% - Accent4 2 3 2 3 2 4" xfId="10866" xr:uid="{00000000-0005-0000-0000-0000E2510000}"/>
    <cellStyle name="40% - Accent4 2 3 2 3 2 4 2" xfId="24854" xr:uid="{00000000-0005-0000-0000-0000E3510000}"/>
    <cellStyle name="40% - Accent4 2 3 2 3 2 5" xfId="10861" xr:uid="{00000000-0005-0000-0000-0000E4510000}"/>
    <cellStyle name="40% - Accent4 2 3 2 3 3" xfId="22199" xr:uid="{00000000-0005-0000-0000-0000E5510000}"/>
    <cellStyle name="40% - Accent4 2 3 2 3 3 2" xfId="10856" xr:uid="{00000000-0005-0000-0000-0000E6510000}"/>
    <cellStyle name="40% - Accent4 2 3 2 3 3 2 2" xfId="10853" xr:uid="{00000000-0005-0000-0000-0000E7510000}"/>
    <cellStyle name="40% - Accent4 2 3 2 3 3 2 2 2" xfId="11222" xr:uid="{00000000-0005-0000-0000-0000E8510000}"/>
    <cellStyle name="40% - Accent4 2 3 2 3 3 2 3" xfId="10852" xr:uid="{00000000-0005-0000-0000-0000E9510000}"/>
    <cellStyle name="40% - Accent4 2 3 2 3 3 3" xfId="10849" xr:uid="{00000000-0005-0000-0000-0000EA510000}"/>
    <cellStyle name="40% - Accent4 2 3 2 3 3 3 2" xfId="10845" xr:uid="{00000000-0005-0000-0000-0000EB510000}"/>
    <cellStyle name="40% - Accent4 2 3 2 3 3 4" xfId="10843" xr:uid="{00000000-0005-0000-0000-0000EC510000}"/>
    <cellStyle name="40% - Accent4 2 3 2 3 4" xfId="13226" xr:uid="{00000000-0005-0000-0000-0000ED510000}"/>
    <cellStyle name="40% - Accent4 2 3 2 3 4 2" xfId="10840" xr:uid="{00000000-0005-0000-0000-0000EE510000}"/>
    <cellStyle name="40% - Accent4 2 3 2 3 4 2 2" xfId="10837" xr:uid="{00000000-0005-0000-0000-0000EF510000}"/>
    <cellStyle name="40% - Accent4 2 3 2 3 4 3" xfId="10836" xr:uid="{00000000-0005-0000-0000-0000F0510000}"/>
    <cellStyle name="40% - Accent4 2 3 2 3 5" xfId="10833" xr:uid="{00000000-0005-0000-0000-0000F1510000}"/>
    <cellStyle name="40% - Accent4 2 3 2 3 5 2" xfId="10830" xr:uid="{00000000-0005-0000-0000-0000F2510000}"/>
    <cellStyle name="40% - Accent4 2 3 2 3 6" xfId="10828" xr:uid="{00000000-0005-0000-0000-0000F3510000}"/>
    <cellStyle name="40% - Accent4 2 3 2 4" xfId="10826" xr:uid="{00000000-0005-0000-0000-0000F4510000}"/>
    <cellStyle name="40% - Accent4 2 3 2 4 2" xfId="24016" xr:uid="{00000000-0005-0000-0000-0000F5510000}"/>
    <cellStyle name="40% - Accent4 2 3 2 4 2 2" xfId="10823" xr:uid="{00000000-0005-0000-0000-0000F6510000}"/>
    <cellStyle name="40% - Accent4 2 3 2 4 2 2 2" xfId="10819" xr:uid="{00000000-0005-0000-0000-0000F7510000}"/>
    <cellStyle name="40% - Accent4 2 3 2 4 2 2 2 2" xfId="18249" xr:uid="{00000000-0005-0000-0000-0000F8510000}"/>
    <cellStyle name="40% - Accent4 2 3 2 4 2 2 3" xfId="10818" xr:uid="{00000000-0005-0000-0000-0000F9510000}"/>
    <cellStyle name="40% - Accent4 2 3 2 4 2 3" xfId="10817" xr:uid="{00000000-0005-0000-0000-0000FA510000}"/>
    <cellStyle name="40% - Accent4 2 3 2 4 2 3 2" xfId="10813" xr:uid="{00000000-0005-0000-0000-0000FB510000}"/>
    <cellStyle name="40% - Accent4 2 3 2 4 2 4" xfId="10812" xr:uid="{00000000-0005-0000-0000-0000FC510000}"/>
    <cellStyle name="40% - Accent4 2 3 2 4 3" xfId="32887" xr:uid="{00000000-0005-0000-0000-0000FD510000}"/>
    <cellStyle name="40% - Accent4 2 3 2 4 3 2" xfId="16511" xr:uid="{00000000-0005-0000-0000-0000FE510000}"/>
    <cellStyle name="40% - Accent4 2 3 2 4 3 2 2" xfId="10809" xr:uid="{00000000-0005-0000-0000-0000FF510000}"/>
    <cellStyle name="40% - Accent4 2 3 2 4 3 3" xfId="16500" xr:uid="{00000000-0005-0000-0000-000000520000}"/>
    <cellStyle name="40% - Accent4 2 3 2 4 4" xfId="10808" xr:uid="{00000000-0005-0000-0000-000001520000}"/>
    <cellStyle name="40% - Accent4 2 3 2 4 4 2" xfId="16477" xr:uid="{00000000-0005-0000-0000-000002520000}"/>
    <cellStyle name="40% - Accent4 2 3 2 4 5" xfId="10804" xr:uid="{00000000-0005-0000-0000-000003520000}"/>
    <cellStyle name="40% - Accent4 2 3 2 5" xfId="7553" xr:uid="{00000000-0005-0000-0000-000004520000}"/>
    <cellStyle name="40% - Accent4 2 3 2 5 2" xfId="10802" xr:uid="{00000000-0005-0000-0000-000005520000}"/>
    <cellStyle name="40% - Accent4 2 3 2 5 2 2" xfId="13636" xr:uid="{00000000-0005-0000-0000-000006520000}"/>
    <cellStyle name="40% - Accent4 2 3 2 5 2 2 2" xfId="26566" xr:uid="{00000000-0005-0000-0000-000007520000}"/>
    <cellStyle name="40% - Accent4 2 3 2 5 2 3" xfId="10797" xr:uid="{00000000-0005-0000-0000-000008520000}"/>
    <cellStyle name="40% - Accent4 2 3 2 5 3" xfId="10792" xr:uid="{00000000-0005-0000-0000-000009520000}"/>
    <cellStyle name="40% - Accent4 2 3 2 5 3 2" xfId="16434" xr:uid="{00000000-0005-0000-0000-00000A520000}"/>
    <cellStyle name="40% - Accent4 2 3 2 5 4" xfId="10787" xr:uid="{00000000-0005-0000-0000-00000B520000}"/>
    <cellStyle name="40% - Accent4 2 3 2 6" xfId="13320" xr:uid="{00000000-0005-0000-0000-00000C520000}"/>
    <cellStyle name="40% - Accent4 2 3 2 6 2" xfId="22882" xr:uid="{00000000-0005-0000-0000-00000D520000}"/>
    <cellStyle name="40% - Accent4 2 3 2 6 2 2" xfId="10784" xr:uid="{00000000-0005-0000-0000-00000E520000}"/>
    <cellStyle name="40% - Accent4 2 3 2 6 3" xfId="22874" xr:uid="{00000000-0005-0000-0000-00000F520000}"/>
    <cellStyle name="40% - Accent4 2 3 2 7" xfId="13316" xr:uid="{00000000-0005-0000-0000-000010520000}"/>
    <cellStyle name="40% - Accent4 2 3 2 7 2" xfId="28187" xr:uid="{00000000-0005-0000-0000-000011520000}"/>
    <cellStyle name="40% - Accent4 2 3 2 8" xfId="10781" xr:uid="{00000000-0005-0000-0000-000012520000}"/>
    <cellStyle name="40% - Accent4 2 3 3" xfId="11899" xr:uid="{00000000-0005-0000-0000-000013520000}"/>
    <cellStyle name="40% - Accent4 2 3 3 2" xfId="11897" xr:uid="{00000000-0005-0000-0000-000014520000}"/>
    <cellStyle name="40% - Accent4 2 3 3 2 2" xfId="24165" xr:uid="{00000000-0005-0000-0000-000015520000}"/>
    <cellStyle name="40% - Accent4 2 3 3 2 2 2" xfId="10780" xr:uid="{00000000-0005-0000-0000-000016520000}"/>
    <cellStyle name="40% - Accent4 2 3 3 2 2 2 2" xfId="33121" xr:uid="{00000000-0005-0000-0000-000017520000}"/>
    <cellStyle name="40% - Accent4 2 3 3 2 2 2 2 2" xfId="10779" xr:uid="{00000000-0005-0000-0000-000018520000}"/>
    <cellStyle name="40% - Accent4 2 3 3 2 2 2 2 2 2" xfId="16008" xr:uid="{00000000-0005-0000-0000-000019520000}"/>
    <cellStyle name="40% - Accent4 2 3 3 2 2 2 2 3" xfId="10776" xr:uid="{00000000-0005-0000-0000-00001A520000}"/>
    <cellStyle name="40% - Accent4 2 3 3 2 2 2 3" xfId="26216" xr:uid="{00000000-0005-0000-0000-00001B520000}"/>
    <cellStyle name="40% - Accent4 2 3 3 2 2 2 3 2" xfId="10772" xr:uid="{00000000-0005-0000-0000-00001C520000}"/>
    <cellStyle name="40% - Accent4 2 3 3 2 2 2 4" xfId="26132" xr:uid="{00000000-0005-0000-0000-00001D520000}"/>
    <cellStyle name="40% - Accent4 2 3 3 2 2 3" xfId="10770" xr:uid="{00000000-0005-0000-0000-00001E520000}"/>
    <cellStyle name="40% - Accent4 2 3 3 2 2 3 2" xfId="31655" xr:uid="{00000000-0005-0000-0000-00001F520000}"/>
    <cellStyle name="40% - Accent4 2 3 3 2 2 3 2 2" xfId="10769" xr:uid="{00000000-0005-0000-0000-000020520000}"/>
    <cellStyle name="40% - Accent4 2 3 3 2 2 3 3" xfId="32996" xr:uid="{00000000-0005-0000-0000-000021520000}"/>
    <cellStyle name="40% - Accent4 2 3 3 2 2 4" xfId="10767" xr:uid="{00000000-0005-0000-0000-000022520000}"/>
    <cellStyle name="40% - Accent4 2 3 3 2 2 4 2" xfId="24807" xr:uid="{00000000-0005-0000-0000-000023520000}"/>
    <cellStyle name="40% - Accent4 2 3 3 2 2 5" xfId="10766" xr:uid="{00000000-0005-0000-0000-000024520000}"/>
    <cellStyle name="40% - Accent4 2 3 3 2 3" xfId="10765" xr:uid="{00000000-0005-0000-0000-000025520000}"/>
    <cellStyle name="40% - Accent4 2 3 3 2 3 2" xfId="10762" xr:uid="{00000000-0005-0000-0000-000026520000}"/>
    <cellStyle name="40% - Accent4 2 3 3 2 3 2 2" xfId="27600" xr:uid="{00000000-0005-0000-0000-000027520000}"/>
    <cellStyle name="40% - Accent4 2 3 3 2 3 2 2 2" xfId="10761" xr:uid="{00000000-0005-0000-0000-000028520000}"/>
    <cellStyle name="40% - Accent4 2 3 3 2 3 2 3" xfId="18266" xr:uid="{00000000-0005-0000-0000-000029520000}"/>
    <cellStyle name="40% - Accent4 2 3 3 2 3 3" xfId="10759" xr:uid="{00000000-0005-0000-0000-00002A520000}"/>
    <cellStyle name="40% - Accent4 2 3 3 2 3 3 2" xfId="26028" xr:uid="{00000000-0005-0000-0000-00002B520000}"/>
    <cellStyle name="40% - Accent4 2 3 3 2 3 4" xfId="10758" xr:uid="{00000000-0005-0000-0000-00002C520000}"/>
    <cellStyle name="40% - Accent4 2 3 3 2 4" xfId="10757" xr:uid="{00000000-0005-0000-0000-00002D520000}"/>
    <cellStyle name="40% - Accent4 2 3 3 2 4 2" xfId="10752" xr:uid="{00000000-0005-0000-0000-00002E520000}"/>
    <cellStyle name="40% - Accent4 2 3 3 2 4 2 2" xfId="10967" xr:uid="{00000000-0005-0000-0000-00002F520000}"/>
    <cellStyle name="40% - Accent4 2 3 3 2 4 3" xfId="32744" xr:uid="{00000000-0005-0000-0000-000030520000}"/>
    <cellStyle name="40% - Accent4 2 3 3 2 5" xfId="10751" xr:uid="{00000000-0005-0000-0000-000031520000}"/>
    <cellStyle name="40% - Accent4 2 3 3 2 5 2" xfId="10748" xr:uid="{00000000-0005-0000-0000-000032520000}"/>
    <cellStyle name="40% - Accent4 2 3 3 2 6" xfId="29641" xr:uid="{00000000-0005-0000-0000-000033520000}"/>
    <cellStyle name="40% - Accent4 2 3 3 3" xfId="10747" xr:uid="{00000000-0005-0000-0000-000034520000}"/>
    <cellStyle name="40% - Accent4 2 3 3 3 2" xfId="10743" xr:uid="{00000000-0005-0000-0000-000035520000}"/>
    <cellStyle name="40% - Accent4 2 3 3 3 2 2" xfId="10740" xr:uid="{00000000-0005-0000-0000-000036520000}"/>
    <cellStyle name="40% - Accent4 2 3 3 3 2 2 2" xfId="31790" xr:uid="{00000000-0005-0000-0000-000037520000}"/>
    <cellStyle name="40% - Accent4 2 3 3 3 2 2 2 2" xfId="9569" xr:uid="{00000000-0005-0000-0000-000038520000}"/>
    <cellStyle name="40% - Accent4 2 3 3 3 2 2 3" xfId="31754" xr:uid="{00000000-0005-0000-0000-000039520000}"/>
    <cellStyle name="40% - Accent4 2 3 3 3 2 3" xfId="10735" xr:uid="{00000000-0005-0000-0000-00003A520000}"/>
    <cellStyle name="40% - Accent4 2 3 3 3 2 3 2" xfId="32254" xr:uid="{00000000-0005-0000-0000-00003B520000}"/>
    <cellStyle name="40% - Accent4 2 3 3 3 2 4" xfId="14234" xr:uid="{00000000-0005-0000-0000-00003C520000}"/>
    <cellStyle name="40% - Accent4 2 3 3 3 3" xfId="10728" xr:uid="{00000000-0005-0000-0000-00003D520000}"/>
    <cellStyle name="40% - Accent4 2 3 3 3 3 2" xfId="10724" xr:uid="{00000000-0005-0000-0000-00003E520000}"/>
    <cellStyle name="40% - Accent4 2 3 3 3 3 2 2" xfId="25903" xr:uid="{00000000-0005-0000-0000-00003F520000}"/>
    <cellStyle name="40% - Accent4 2 3 3 3 3 3" xfId="10720" xr:uid="{00000000-0005-0000-0000-000040520000}"/>
    <cellStyle name="40% - Accent4 2 3 3 3 4" xfId="10715" xr:uid="{00000000-0005-0000-0000-000041520000}"/>
    <cellStyle name="40% - Accent4 2 3 3 3 4 2" xfId="10710" xr:uid="{00000000-0005-0000-0000-000042520000}"/>
    <cellStyle name="40% - Accent4 2 3 3 3 5" xfId="10708" xr:uid="{00000000-0005-0000-0000-000043520000}"/>
    <cellStyle name="40% - Accent4 2 3 3 4" xfId="10706" xr:uid="{00000000-0005-0000-0000-000044520000}"/>
    <cellStyle name="40% - Accent4 2 3 3 4 2" xfId="13898" xr:uid="{00000000-0005-0000-0000-000045520000}"/>
    <cellStyle name="40% - Accent4 2 3 3 4 2 2" xfId="10704" xr:uid="{00000000-0005-0000-0000-000046520000}"/>
    <cellStyle name="40% - Accent4 2 3 3 4 2 2 2" xfId="28397" xr:uid="{00000000-0005-0000-0000-000047520000}"/>
    <cellStyle name="40% - Accent4 2 3 3 4 2 3" xfId="10700" xr:uid="{00000000-0005-0000-0000-000048520000}"/>
    <cellStyle name="40% - Accent4 2 3 3 4 3" xfId="10696" xr:uid="{00000000-0005-0000-0000-000049520000}"/>
    <cellStyle name="40% - Accent4 2 3 3 4 3 2" xfId="16357" xr:uid="{00000000-0005-0000-0000-00004A520000}"/>
    <cellStyle name="40% - Accent4 2 3 3 4 4" xfId="10691" xr:uid="{00000000-0005-0000-0000-00004B520000}"/>
    <cellStyle name="40% - Accent4 2 3 3 5" xfId="13314" xr:uid="{00000000-0005-0000-0000-00004C520000}"/>
    <cellStyle name="40% - Accent4 2 3 3 5 2" xfId="10689" xr:uid="{00000000-0005-0000-0000-00004D520000}"/>
    <cellStyle name="40% - Accent4 2 3 3 5 2 2" xfId="10684" xr:uid="{00000000-0005-0000-0000-00004E520000}"/>
    <cellStyle name="40% - Accent4 2 3 3 5 3" xfId="10681" xr:uid="{00000000-0005-0000-0000-00004F520000}"/>
    <cellStyle name="40% - Accent4 2 3 3 6" xfId="13310" xr:uid="{00000000-0005-0000-0000-000050520000}"/>
    <cellStyle name="40% - Accent4 2 3 3 6 2" xfId="22868" xr:uid="{00000000-0005-0000-0000-000051520000}"/>
    <cellStyle name="40% - Accent4 2 3 3 7" xfId="10677" xr:uid="{00000000-0005-0000-0000-000052520000}"/>
    <cellStyle name="40% - Accent4 2 3 4" xfId="11894" xr:uid="{00000000-0005-0000-0000-000053520000}"/>
    <cellStyle name="40% - Accent4 2 3 4 2" xfId="10676" xr:uid="{00000000-0005-0000-0000-000054520000}"/>
    <cellStyle name="40% - Accent4 2 3 4 2 2" xfId="20030" xr:uid="{00000000-0005-0000-0000-000055520000}"/>
    <cellStyle name="40% - Accent4 2 3 4 2 2 2" xfId="28707" xr:uid="{00000000-0005-0000-0000-000056520000}"/>
    <cellStyle name="40% - Accent4 2 3 4 2 2 2 2" xfId="10568" xr:uid="{00000000-0005-0000-0000-000057520000}"/>
    <cellStyle name="40% - Accent4 2 3 4 2 2 2 2 2" xfId="19570" xr:uid="{00000000-0005-0000-0000-000058520000}"/>
    <cellStyle name="40% - Accent4 2 3 4 2 2 2 3" xfId="8885" xr:uid="{00000000-0005-0000-0000-000059520000}"/>
    <cellStyle name="40% - Accent4 2 3 4 2 2 3" xfId="10675" xr:uid="{00000000-0005-0000-0000-00005A520000}"/>
    <cellStyle name="40% - Accent4 2 3 4 2 2 3 2" xfId="8820" xr:uid="{00000000-0005-0000-0000-00005B520000}"/>
    <cellStyle name="40% - Accent4 2 3 4 2 2 4" xfId="18717" xr:uid="{00000000-0005-0000-0000-00005C520000}"/>
    <cellStyle name="40% - Accent4 2 3 4 2 3" xfId="10674" xr:uid="{00000000-0005-0000-0000-00005D520000}"/>
    <cellStyle name="40% - Accent4 2 3 4 2 3 2" xfId="10671" xr:uid="{00000000-0005-0000-0000-00005E520000}"/>
    <cellStyle name="40% - Accent4 2 3 4 2 3 2 2" xfId="8673" xr:uid="{00000000-0005-0000-0000-00005F520000}"/>
    <cellStyle name="40% - Accent4 2 3 4 2 3 3" xfId="10670" xr:uid="{00000000-0005-0000-0000-000060520000}"/>
    <cellStyle name="40% - Accent4 2 3 4 2 4" xfId="10669" xr:uid="{00000000-0005-0000-0000-000061520000}"/>
    <cellStyle name="40% - Accent4 2 3 4 2 4 2" xfId="10665" xr:uid="{00000000-0005-0000-0000-000062520000}"/>
    <cellStyle name="40% - Accent4 2 3 4 2 5" xfId="10664" xr:uid="{00000000-0005-0000-0000-000063520000}"/>
    <cellStyle name="40% - Accent4 2 3 4 3" xfId="10662" xr:uid="{00000000-0005-0000-0000-000064520000}"/>
    <cellStyle name="40% - Accent4 2 3 4 3 2" xfId="10660" xr:uid="{00000000-0005-0000-0000-000065520000}"/>
    <cellStyle name="40% - Accent4 2 3 4 3 2 2" xfId="10655" xr:uid="{00000000-0005-0000-0000-000066520000}"/>
    <cellStyle name="40% - Accent4 2 3 4 3 2 2 2" xfId="8386" xr:uid="{00000000-0005-0000-0000-000067520000}"/>
    <cellStyle name="40% - Accent4 2 3 4 3 2 3" xfId="10650" xr:uid="{00000000-0005-0000-0000-000068520000}"/>
    <cellStyle name="40% - Accent4 2 3 4 3 3" xfId="10643" xr:uid="{00000000-0005-0000-0000-000069520000}"/>
    <cellStyle name="40% - Accent4 2 3 4 3 3 2" xfId="10637" xr:uid="{00000000-0005-0000-0000-00006A520000}"/>
    <cellStyle name="40% - Accent4 2 3 4 3 4" xfId="10634" xr:uid="{00000000-0005-0000-0000-00006B520000}"/>
    <cellStyle name="40% - Accent4 2 3 4 4" xfId="10630" xr:uid="{00000000-0005-0000-0000-00006C520000}"/>
    <cellStyle name="40% - Accent4 2 3 4 4 2" xfId="10628" xr:uid="{00000000-0005-0000-0000-00006D520000}"/>
    <cellStyle name="40% - Accent4 2 3 4 4 2 2" xfId="10623" xr:uid="{00000000-0005-0000-0000-00006E520000}"/>
    <cellStyle name="40% - Accent4 2 3 4 4 3" xfId="10619" xr:uid="{00000000-0005-0000-0000-00006F520000}"/>
    <cellStyle name="40% - Accent4 2 3 4 5" xfId="13308" xr:uid="{00000000-0005-0000-0000-000070520000}"/>
    <cellStyle name="40% - Accent4 2 3 4 5 2" xfId="10615" xr:uid="{00000000-0005-0000-0000-000071520000}"/>
    <cellStyle name="40% - Accent4 2 3 4 6" xfId="13692" xr:uid="{00000000-0005-0000-0000-000072520000}"/>
    <cellStyle name="40% - Accent4 2 3 5" xfId="10610" xr:uid="{00000000-0005-0000-0000-000073520000}"/>
    <cellStyle name="40% - Accent4 2 3 5 2" xfId="10609" xr:uid="{00000000-0005-0000-0000-000074520000}"/>
    <cellStyle name="40% - Accent4 2 3 5 2 2" xfId="10608" xr:uid="{00000000-0005-0000-0000-000075520000}"/>
    <cellStyle name="40% - Accent4 2 3 5 2 2 2" xfId="28104" xr:uid="{00000000-0005-0000-0000-000076520000}"/>
    <cellStyle name="40% - Accent4 2 3 5 2 2 2 2" xfId="27419" xr:uid="{00000000-0005-0000-0000-000077520000}"/>
    <cellStyle name="40% - Accent4 2 3 5 2 2 3" xfId="10607" xr:uid="{00000000-0005-0000-0000-000078520000}"/>
    <cellStyle name="40% - Accent4 2 3 5 2 3" xfId="10606" xr:uid="{00000000-0005-0000-0000-000079520000}"/>
    <cellStyle name="40% - Accent4 2 3 5 2 3 2" xfId="10603" xr:uid="{00000000-0005-0000-0000-00007A520000}"/>
    <cellStyle name="40% - Accent4 2 3 5 2 4" xfId="10602" xr:uid="{00000000-0005-0000-0000-00007B520000}"/>
    <cellStyle name="40% - Accent4 2 3 5 3" xfId="10600" xr:uid="{00000000-0005-0000-0000-00007C520000}"/>
    <cellStyle name="40% - Accent4 2 3 5 3 2" xfId="10598" xr:uid="{00000000-0005-0000-0000-00007D520000}"/>
    <cellStyle name="40% - Accent4 2 3 5 3 2 2" xfId="10596" xr:uid="{00000000-0005-0000-0000-00007E520000}"/>
    <cellStyle name="40% - Accent4 2 3 5 3 3" xfId="10592" xr:uid="{00000000-0005-0000-0000-00007F520000}"/>
    <cellStyle name="40% - Accent4 2 3 5 4" xfId="7301" xr:uid="{00000000-0005-0000-0000-000080520000}"/>
    <cellStyle name="40% - Accent4 2 3 5 4 2" xfId="10590" xr:uid="{00000000-0005-0000-0000-000081520000}"/>
    <cellStyle name="40% - Accent4 2 3 5 5" xfId="7297" xr:uid="{00000000-0005-0000-0000-000082520000}"/>
    <cellStyle name="40% - Accent4 2 3 6" xfId="10587" xr:uid="{00000000-0005-0000-0000-000083520000}"/>
    <cellStyle name="40% - Accent4 2 3 6 2" xfId="10586" xr:uid="{00000000-0005-0000-0000-000084520000}"/>
    <cellStyle name="40% - Accent4 2 3 6 2 2" xfId="10584" xr:uid="{00000000-0005-0000-0000-000085520000}"/>
    <cellStyle name="40% - Accent4 2 3 6 2 2 2" xfId="28670" xr:uid="{00000000-0005-0000-0000-000086520000}"/>
    <cellStyle name="40% - Accent4 2 3 6 2 3" xfId="10583" xr:uid="{00000000-0005-0000-0000-000087520000}"/>
    <cellStyle name="40% - Accent4 2 3 6 3" xfId="10580" xr:uid="{00000000-0005-0000-0000-000088520000}"/>
    <cellStyle name="40% - Accent4 2 3 6 3 2" xfId="10579" xr:uid="{00000000-0005-0000-0000-000089520000}"/>
    <cellStyle name="40% - Accent4 2 3 6 4" xfId="9758" xr:uid="{00000000-0005-0000-0000-00008A520000}"/>
    <cellStyle name="40% - Accent4 2 3 7" xfId="25205" xr:uid="{00000000-0005-0000-0000-00008B520000}"/>
    <cellStyle name="40% - Accent4 2 3 7 2" xfId="28576" xr:uid="{00000000-0005-0000-0000-00008C520000}"/>
    <cellStyle name="40% - Accent4 2 3 7 2 2" xfId="10575" xr:uid="{00000000-0005-0000-0000-00008D520000}"/>
    <cellStyle name="40% - Accent4 2 3 7 3" xfId="10574" xr:uid="{00000000-0005-0000-0000-00008E520000}"/>
    <cellStyle name="40% - Accent4 2 3 8" xfId="28572" xr:uid="{00000000-0005-0000-0000-00008F520000}"/>
    <cellStyle name="40% - Accent4 2 3 8 2" xfId="10573" xr:uid="{00000000-0005-0000-0000-000090520000}"/>
    <cellStyle name="40% - Accent4 2 3 9" xfId="10571" xr:uid="{00000000-0005-0000-0000-000091520000}"/>
    <cellStyle name="40% - Accent4 2 4" xfId="31950" xr:uid="{00000000-0005-0000-0000-000092520000}"/>
    <cellStyle name="40% - Accent4 2 4 2" xfId="11890" xr:uid="{00000000-0005-0000-0000-000093520000}"/>
    <cellStyle name="40% - Accent4 2 4 2 2" xfId="11888" xr:uid="{00000000-0005-0000-0000-000094520000}"/>
    <cellStyle name="40% - Accent4 2 4 2 2 2" xfId="30355" xr:uid="{00000000-0005-0000-0000-000095520000}"/>
    <cellStyle name="40% - Accent4 2 4 2 2 2 2" xfId="12682" xr:uid="{00000000-0005-0000-0000-000096520000}"/>
    <cellStyle name="40% - Accent4 2 4 2 2 2 2 2" xfId="8702" xr:uid="{00000000-0005-0000-0000-000097520000}"/>
    <cellStyle name="40% - Accent4 2 4 2 2 2 2 2 2" xfId="23918" xr:uid="{00000000-0005-0000-0000-000098520000}"/>
    <cellStyle name="40% - Accent4 2 4 2 2 2 2 2 2 2" xfId="8578" xr:uid="{00000000-0005-0000-0000-000099520000}"/>
    <cellStyle name="40% - Accent4 2 4 2 2 2 2 2 3" xfId="23904" xr:uid="{00000000-0005-0000-0000-00009A520000}"/>
    <cellStyle name="40% - Accent4 2 4 2 2 2 2 3" xfId="8638" xr:uid="{00000000-0005-0000-0000-00009B520000}"/>
    <cellStyle name="40% - Accent4 2 4 2 2 2 2 3 2" xfId="23897" xr:uid="{00000000-0005-0000-0000-00009C520000}"/>
    <cellStyle name="40% - Accent4 2 4 2 2 2 2 4" xfId="8595" xr:uid="{00000000-0005-0000-0000-00009D520000}"/>
    <cellStyle name="40% - Accent4 2 4 2 2 2 3" xfId="12674" xr:uid="{00000000-0005-0000-0000-00009E520000}"/>
    <cellStyle name="40% - Accent4 2 4 2 2 2 3 2" xfId="8565" xr:uid="{00000000-0005-0000-0000-00009F520000}"/>
    <cellStyle name="40% - Accent4 2 4 2 2 2 3 2 2" xfId="23885" xr:uid="{00000000-0005-0000-0000-0000A0520000}"/>
    <cellStyle name="40% - Accent4 2 4 2 2 2 3 3" xfId="8520" xr:uid="{00000000-0005-0000-0000-0000A1520000}"/>
    <cellStyle name="40% - Accent4 2 4 2 2 2 4" xfId="12672" xr:uid="{00000000-0005-0000-0000-0000A2520000}"/>
    <cellStyle name="40% - Accent4 2 4 2 2 2 4 2" xfId="25415" xr:uid="{00000000-0005-0000-0000-0000A3520000}"/>
    <cellStyle name="40% - Accent4 2 4 2 2 2 5" xfId="10570" xr:uid="{00000000-0005-0000-0000-0000A4520000}"/>
    <cellStyle name="40% - Accent4 2 4 2 2 3" xfId="10567" xr:uid="{00000000-0005-0000-0000-0000A5520000}"/>
    <cellStyle name="40% - Accent4 2 4 2 2 3 2" xfId="12651" xr:uid="{00000000-0005-0000-0000-0000A6520000}"/>
    <cellStyle name="40% - Accent4 2 4 2 2 3 2 2" xfId="8298" xr:uid="{00000000-0005-0000-0000-0000A7520000}"/>
    <cellStyle name="40% - Accent4 2 4 2 2 3 2 2 2" xfId="26205" xr:uid="{00000000-0005-0000-0000-0000A8520000}"/>
    <cellStyle name="40% - Accent4 2 4 2 2 3 2 3" xfId="8281" xr:uid="{00000000-0005-0000-0000-0000A9520000}"/>
    <cellStyle name="40% - Accent4 2 4 2 2 3 3" xfId="12647" xr:uid="{00000000-0005-0000-0000-0000AA520000}"/>
    <cellStyle name="40% - Accent4 2 4 2 2 3 3 2" xfId="10563" xr:uid="{00000000-0005-0000-0000-0000AB520000}"/>
    <cellStyle name="40% - Accent4 2 4 2 2 3 4" xfId="10561" xr:uid="{00000000-0005-0000-0000-0000AC520000}"/>
    <cellStyle name="40% - Accent4 2 4 2 2 4" xfId="16495" xr:uid="{00000000-0005-0000-0000-0000AD520000}"/>
    <cellStyle name="40% - Accent4 2 4 2 2 4 2" xfId="12640" xr:uid="{00000000-0005-0000-0000-0000AE520000}"/>
    <cellStyle name="40% - Accent4 2 4 2 2 4 2 2" xfId="8127" xr:uid="{00000000-0005-0000-0000-0000AF520000}"/>
    <cellStyle name="40% - Accent4 2 4 2 2 4 3" xfId="10558" xr:uid="{00000000-0005-0000-0000-0000B0520000}"/>
    <cellStyle name="40% - Accent4 2 4 2 2 5" xfId="10557" xr:uid="{00000000-0005-0000-0000-0000B1520000}"/>
    <cellStyle name="40% - Accent4 2 4 2 2 5 2" xfId="10556" xr:uid="{00000000-0005-0000-0000-0000B2520000}"/>
    <cellStyle name="40% - Accent4 2 4 2 2 6" xfId="10555" xr:uid="{00000000-0005-0000-0000-0000B3520000}"/>
    <cellStyle name="40% - Accent4 2 4 2 3" xfId="10554" xr:uid="{00000000-0005-0000-0000-0000B4520000}"/>
    <cellStyle name="40% - Accent4 2 4 2 3 2" xfId="10550" xr:uid="{00000000-0005-0000-0000-0000B5520000}"/>
    <cellStyle name="40% - Accent4 2 4 2 3 2 2" xfId="12615" xr:uid="{00000000-0005-0000-0000-0000B6520000}"/>
    <cellStyle name="40% - Accent4 2 4 2 3 2 2 2" xfId="7794" xr:uid="{00000000-0005-0000-0000-0000B7520000}"/>
    <cellStyle name="40% - Accent4 2 4 2 3 2 2 2 2" xfId="26199" xr:uid="{00000000-0005-0000-0000-0000B8520000}"/>
    <cellStyle name="40% - Accent4 2 4 2 3 2 2 3" xfId="7775" xr:uid="{00000000-0005-0000-0000-0000B9520000}"/>
    <cellStyle name="40% - Accent4 2 4 2 3 2 3" xfId="12607" xr:uid="{00000000-0005-0000-0000-0000BA520000}"/>
    <cellStyle name="40% - Accent4 2 4 2 3 2 3 2" xfId="7753" xr:uid="{00000000-0005-0000-0000-0000BB520000}"/>
    <cellStyle name="40% - Accent4 2 4 2 3 2 4" xfId="10544" xr:uid="{00000000-0005-0000-0000-0000BC520000}"/>
    <cellStyle name="40% - Accent4 2 4 2 3 3" xfId="10540" xr:uid="{00000000-0005-0000-0000-0000BD520000}"/>
    <cellStyle name="40% - Accent4 2 4 2 3 3 2" xfId="12589" xr:uid="{00000000-0005-0000-0000-0000BE520000}"/>
    <cellStyle name="40% - Accent4 2 4 2 3 3 2 2" xfId="10534" xr:uid="{00000000-0005-0000-0000-0000BF520000}"/>
    <cellStyle name="40% - Accent4 2 4 2 3 3 3" xfId="10531" xr:uid="{00000000-0005-0000-0000-0000C0520000}"/>
    <cellStyle name="40% - Accent4 2 4 2 3 4" xfId="10528" xr:uid="{00000000-0005-0000-0000-0000C1520000}"/>
    <cellStyle name="40% - Accent4 2 4 2 3 4 2" xfId="14050" xr:uid="{00000000-0005-0000-0000-0000C2520000}"/>
    <cellStyle name="40% - Accent4 2 4 2 3 5" xfId="10523" xr:uid="{00000000-0005-0000-0000-0000C3520000}"/>
    <cellStyle name="40% - Accent4 2 4 2 4" xfId="10520" xr:uid="{00000000-0005-0000-0000-0000C4520000}"/>
    <cellStyle name="40% - Accent4 2 4 2 4 2" xfId="10515" xr:uid="{00000000-0005-0000-0000-0000C5520000}"/>
    <cellStyle name="40% - Accent4 2 4 2 4 2 2" xfId="12569" xr:uid="{00000000-0005-0000-0000-0000C6520000}"/>
    <cellStyle name="40% - Accent4 2 4 2 4 2 2 2" xfId="7544" xr:uid="{00000000-0005-0000-0000-0000C7520000}"/>
    <cellStyle name="40% - Accent4 2 4 2 4 2 3" xfId="6686" xr:uid="{00000000-0005-0000-0000-0000C8520000}"/>
    <cellStyle name="40% - Accent4 2 4 2 4 3" xfId="10509" xr:uid="{00000000-0005-0000-0000-0000C9520000}"/>
    <cellStyle name="40% - Accent4 2 4 2 4 3 2" xfId="16039" xr:uid="{00000000-0005-0000-0000-0000CA520000}"/>
    <cellStyle name="40% - Accent4 2 4 2 4 4" xfId="10503" xr:uid="{00000000-0005-0000-0000-0000CB520000}"/>
    <cellStyle name="40% - Accent4 2 4 2 5" xfId="14890" xr:uid="{00000000-0005-0000-0000-0000CC520000}"/>
    <cellStyle name="40% - Accent4 2 4 2 5 2" xfId="10500" xr:uid="{00000000-0005-0000-0000-0000CD520000}"/>
    <cellStyle name="40% - Accent4 2 4 2 5 2 2" xfId="10493" xr:uid="{00000000-0005-0000-0000-0000CE520000}"/>
    <cellStyle name="40% - Accent4 2 4 2 5 3" xfId="10488" xr:uid="{00000000-0005-0000-0000-0000CF520000}"/>
    <cellStyle name="40% - Accent4 2 4 2 6" xfId="13303" xr:uid="{00000000-0005-0000-0000-0000D0520000}"/>
    <cellStyle name="40% - Accent4 2 4 2 6 2" xfId="17395" xr:uid="{00000000-0005-0000-0000-0000D1520000}"/>
    <cellStyle name="40% - Accent4 2 4 2 7" xfId="12252" xr:uid="{00000000-0005-0000-0000-0000D2520000}"/>
    <cellStyle name="40% - Accent4 2 4 3" xfId="11885" xr:uid="{00000000-0005-0000-0000-0000D3520000}"/>
    <cellStyle name="40% - Accent4 2 4 3 2" xfId="13577" xr:uid="{00000000-0005-0000-0000-0000D4520000}"/>
    <cellStyle name="40% - Accent4 2 4 3 2 2" xfId="10483" xr:uid="{00000000-0005-0000-0000-0000D5520000}"/>
    <cellStyle name="40% - Accent4 2 4 3 2 2 2" xfId="12541" xr:uid="{00000000-0005-0000-0000-0000D6520000}"/>
    <cellStyle name="40% - Accent4 2 4 3 2 2 2 2" xfId="7976" xr:uid="{00000000-0005-0000-0000-0000D7520000}"/>
    <cellStyle name="40% - Accent4 2 4 3 2 2 2 2 2" xfId="23026" xr:uid="{00000000-0005-0000-0000-0000D8520000}"/>
    <cellStyle name="40% - Accent4 2 4 3 2 2 2 3" xfId="25131" xr:uid="{00000000-0005-0000-0000-0000D9520000}"/>
    <cellStyle name="40% - Accent4 2 4 3 2 2 3" xfId="12538" xr:uid="{00000000-0005-0000-0000-0000DA520000}"/>
    <cellStyle name="40% - Accent4 2 4 3 2 2 3 2" xfId="30479" xr:uid="{00000000-0005-0000-0000-0000DB520000}"/>
    <cellStyle name="40% - Accent4 2 4 3 2 2 4" xfId="10480" xr:uid="{00000000-0005-0000-0000-0000DC520000}"/>
    <cellStyle name="40% - Accent4 2 4 3 2 3" xfId="10477" xr:uid="{00000000-0005-0000-0000-0000DD520000}"/>
    <cellStyle name="40% - Accent4 2 4 3 2 3 2" xfId="12528" xr:uid="{00000000-0005-0000-0000-0000DE520000}"/>
    <cellStyle name="40% - Accent4 2 4 3 2 3 2 2" xfId="7964" xr:uid="{00000000-0005-0000-0000-0000DF520000}"/>
    <cellStyle name="40% - Accent4 2 4 3 2 3 3" xfId="10475" xr:uid="{00000000-0005-0000-0000-0000E0520000}"/>
    <cellStyle name="40% - Accent4 2 4 3 2 4" xfId="10474" xr:uid="{00000000-0005-0000-0000-0000E1520000}"/>
    <cellStyle name="40% - Accent4 2 4 3 2 4 2" xfId="10471" xr:uid="{00000000-0005-0000-0000-0000E2520000}"/>
    <cellStyle name="40% - Accent4 2 4 3 2 5" xfId="10470" xr:uid="{00000000-0005-0000-0000-0000E3520000}"/>
    <cellStyle name="40% - Accent4 2 4 3 3" xfId="10469" xr:uid="{00000000-0005-0000-0000-0000E4520000}"/>
    <cellStyle name="40% - Accent4 2 4 3 3 2" xfId="10466" xr:uid="{00000000-0005-0000-0000-0000E5520000}"/>
    <cellStyle name="40% - Accent4 2 4 3 3 2 2" xfId="12501" xr:uid="{00000000-0005-0000-0000-0000E6520000}"/>
    <cellStyle name="40% - Accent4 2 4 3 3 2 2 2" xfId="7934" xr:uid="{00000000-0005-0000-0000-0000E7520000}"/>
    <cellStyle name="40% - Accent4 2 4 3 3 2 3" xfId="10462" xr:uid="{00000000-0005-0000-0000-0000E8520000}"/>
    <cellStyle name="40% - Accent4 2 4 3 3 3" xfId="10458" xr:uid="{00000000-0005-0000-0000-0000E9520000}"/>
    <cellStyle name="40% - Accent4 2 4 3 3 3 2" xfId="10452" xr:uid="{00000000-0005-0000-0000-0000EA520000}"/>
    <cellStyle name="40% - Accent4 2 4 3 3 4" xfId="10448" xr:uid="{00000000-0005-0000-0000-0000EB520000}"/>
    <cellStyle name="40% - Accent4 2 4 3 4" xfId="10445" xr:uid="{00000000-0005-0000-0000-0000EC520000}"/>
    <cellStyle name="40% - Accent4 2 4 3 4 2" xfId="10443" xr:uid="{00000000-0005-0000-0000-0000ED520000}"/>
    <cellStyle name="40% - Accent4 2 4 3 4 2 2" xfId="33583" xr:uid="{00000000-0005-0000-0000-0000EE520000}"/>
    <cellStyle name="40% - Accent4 2 4 3 4 3" xfId="10438" xr:uid="{00000000-0005-0000-0000-0000EF520000}"/>
    <cellStyle name="40% - Accent4 2 4 3 5" xfId="13301" xr:uid="{00000000-0005-0000-0000-0000F0520000}"/>
    <cellStyle name="40% - Accent4 2 4 3 5 2" xfId="10435" xr:uid="{00000000-0005-0000-0000-0000F1520000}"/>
    <cellStyle name="40% - Accent4 2 4 3 6" xfId="10430" xr:uid="{00000000-0005-0000-0000-0000F2520000}"/>
    <cellStyle name="40% - Accent4 2 4 4" xfId="10428" xr:uid="{00000000-0005-0000-0000-0000F3520000}"/>
    <cellStyle name="40% - Accent4 2 4 4 2" xfId="33076" xr:uid="{00000000-0005-0000-0000-0000F4520000}"/>
    <cellStyle name="40% - Accent4 2 4 4 2 2" xfId="29077" xr:uid="{00000000-0005-0000-0000-0000F5520000}"/>
    <cellStyle name="40% - Accent4 2 4 4 2 2 2" xfId="29072" xr:uid="{00000000-0005-0000-0000-0000F6520000}"/>
    <cellStyle name="40% - Accent4 2 4 4 2 2 2 2" xfId="7988" xr:uid="{00000000-0005-0000-0000-0000F7520000}"/>
    <cellStyle name="40% - Accent4 2 4 4 2 2 3" xfId="10427" xr:uid="{00000000-0005-0000-0000-0000F8520000}"/>
    <cellStyle name="40% - Accent4 2 4 4 2 3" xfId="25624" xr:uid="{00000000-0005-0000-0000-0000F9520000}"/>
    <cellStyle name="40% - Accent4 2 4 4 2 3 2" xfId="10424" xr:uid="{00000000-0005-0000-0000-0000FA520000}"/>
    <cellStyle name="40% - Accent4 2 4 4 2 4" xfId="10423" xr:uid="{00000000-0005-0000-0000-0000FB520000}"/>
    <cellStyle name="40% - Accent4 2 4 4 3" xfId="25829" xr:uid="{00000000-0005-0000-0000-0000FC520000}"/>
    <cellStyle name="40% - Accent4 2 4 4 3 2" xfId="29054" xr:uid="{00000000-0005-0000-0000-0000FD520000}"/>
    <cellStyle name="40% - Accent4 2 4 4 3 2 2" xfId="10418" xr:uid="{00000000-0005-0000-0000-0000FE520000}"/>
    <cellStyle name="40% - Accent4 2 4 4 3 3" xfId="10416" xr:uid="{00000000-0005-0000-0000-0000FF520000}"/>
    <cellStyle name="40% - Accent4 2 4 4 4" xfId="28252" xr:uid="{00000000-0005-0000-0000-000000530000}"/>
    <cellStyle name="40% - Accent4 2 4 4 4 2" xfId="14314" xr:uid="{00000000-0005-0000-0000-000001530000}"/>
    <cellStyle name="40% - Accent4 2 4 4 5" xfId="10411" xr:uid="{00000000-0005-0000-0000-000002530000}"/>
    <cellStyle name="40% - Accent4 2 4 5" xfId="10409" xr:uid="{00000000-0005-0000-0000-000003530000}"/>
    <cellStyle name="40% - Accent4 2 4 5 2" xfId="28958" xr:uid="{00000000-0005-0000-0000-000004530000}"/>
    <cellStyle name="40% - Accent4 2 4 5 2 2" xfId="28945" xr:uid="{00000000-0005-0000-0000-000005530000}"/>
    <cellStyle name="40% - Accent4 2 4 5 2 2 2" xfId="15360" xr:uid="{00000000-0005-0000-0000-000006530000}"/>
    <cellStyle name="40% - Accent4 2 4 5 2 3" xfId="10406" xr:uid="{00000000-0005-0000-0000-000007530000}"/>
    <cellStyle name="40% - Accent4 2 4 5 3" xfId="28936" xr:uid="{00000000-0005-0000-0000-000008530000}"/>
    <cellStyle name="40% - Accent4 2 4 5 3 2" xfId="13799" xr:uid="{00000000-0005-0000-0000-000009530000}"/>
    <cellStyle name="40% - Accent4 2 4 5 4" xfId="7290" xr:uid="{00000000-0005-0000-0000-00000A530000}"/>
    <cellStyle name="40% - Accent4 2 4 6" xfId="10403" xr:uid="{00000000-0005-0000-0000-00000B530000}"/>
    <cellStyle name="40% - Accent4 2 4 6 2" xfId="5546" xr:uid="{00000000-0005-0000-0000-00000C530000}"/>
    <cellStyle name="40% - Accent4 2 4 6 2 2" xfId="10401" xr:uid="{00000000-0005-0000-0000-00000D530000}"/>
    <cellStyle name="40% - Accent4 2 4 6 3" xfId="20654" xr:uid="{00000000-0005-0000-0000-00000E530000}"/>
    <cellStyle name="40% - Accent4 2 4 7" xfId="22027" xr:uid="{00000000-0005-0000-0000-00000F530000}"/>
    <cellStyle name="40% - Accent4 2 4 7 2" xfId="16609" xr:uid="{00000000-0005-0000-0000-000010530000}"/>
    <cellStyle name="40% - Accent4 2 4 8" xfId="10397" xr:uid="{00000000-0005-0000-0000-000011530000}"/>
    <cellStyle name="40% - Accent4 2 4 9" xfId="34762" xr:uid="{00000000-0005-0000-0000-000012530000}"/>
    <cellStyle name="40% - Accent4 2 5" xfId="28499" xr:uid="{00000000-0005-0000-0000-000013530000}"/>
    <cellStyle name="40% - Accent4 2 5 2" xfId="11883" xr:uid="{00000000-0005-0000-0000-000014530000}"/>
    <cellStyle name="40% - Accent4 2 5 2 2" xfId="10394" xr:uid="{00000000-0005-0000-0000-000015530000}"/>
    <cellStyle name="40% - Accent4 2 5 2 2 2" xfId="11458" xr:uid="{00000000-0005-0000-0000-000016530000}"/>
    <cellStyle name="40% - Accent4 2 5 2 2 2 2" xfId="17649" xr:uid="{00000000-0005-0000-0000-000017530000}"/>
    <cellStyle name="40% - Accent4 2 5 2 2 2 2 2" xfId="12407" xr:uid="{00000000-0005-0000-0000-000018530000}"/>
    <cellStyle name="40% - Accent4 2 5 2 2 2 2 2 2" xfId="17246" xr:uid="{00000000-0005-0000-0000-000019530000}"/>
    <cellStyle name="40% - Accent4 2 5 2 2 2 2 3" xfId="10392" xr:uid="{00000000-0005-0000-0000-00001A530000}"/>
    <cellStyle name="40% - Accent4 2 5 2 2 2 3" xfId="26967" xr:uid="{00000000-0005-0000-0000-00001B530000}"/>
    <cellStyle name="40% - Accent4 2 5 2 2 2 3 2" xfId="10390" xr:uid="{00000000-0005-0000-0000-00001C530000}"/>
    <cellStyle name="40% - Accent4 2 5 2 2 2 4" xfId="26952" xr:uid="{00000000-0005-0000-0000-00001D530000}"/>
    <cellStyle name="40% - Accent4 2 5 2 2 3" xfId="17648" xr:uid="{00000000-0005-0000-0000-00001E530000}"/>
    <cellStyle name="40% - Accent4 2 5 2 2 3 2" xfId="28915" xr:uid="{00000000-0005-0000-0000-00001F530000}"/>
    <cellStyle name="40% - Accent4 2 5 2 2 3 2 2" xfId="13679" xr:uid="{00000000-0005-0000-0000-000020530000}"/>
    <cellStyle name="40% - Accent4 2 5 2 2 3 3" xfId="26668" xr:uid="{00000000-0005-0000-0000-000021530000}"/>
    <cellStyle name="40% - Accent4 2 5 2 2 4" xfId="10389" xr:uid="{00000000-0005-0000-0000-000022530000}"/>
    <cellStyle name="40% - Accent4 2 5 2 2 4 2" xfId="31969" xr:uid="{00000000-0005-0000-0000-000023530000}"/>
    <cellStyle name="40% - Accent4 2 5 2 2 5" xfId="10388" xr:uid="{00000000-0005-0000-0000-000024530000}"/>
    <cellStyle name="40% - Accent4 2 5 2 3" xfId="10387" xr:uid="{00000000-0005-0000-0000-000025530000}"/>
    <cellStyle name="40% - Accent4 2 5 2 3 2" xfId="17624" xr:uid="{00000000-0005-0000-0000-000026530000}"/>
    <cellStyle name="40% - Accent4 2 5 2 3 2 2" xfId="31835" xr:uid="{00000000-0005-0000-0000-000027530000}"/>
    <cellStyle name="40% - Accent4 2 5 2 3 2 2 2" xfId="10383" xr:uid="{00000000-0005-0000-0000-000028530000}"/>
    <cellStyle name="40% - Accent4 2 5 2 3 2 3" xfId="29421" xr:uid="{00000000-0005-0000-0000-000029530000}"/>
    <cellStyle name="40% - Accent4 2 5 2 3 3" xfId="10382" xr:uid="{00000000-0005-0000-0000-00002A530000}"/>
    <cellStyle name="40% - Accent4 2 5 2 3 3 2" xfId="33415" xr:uid="{00000000-0005-0000-0000-00002B530000}"/>
    <cellStyle name="40% - Accent4 2 5 2 3 4" xfId="10376" xr:uid="{00000000-0005-0000-0000-00002C530000}"/>
    <cellStyle name="40% - Accent4 2 5 2 4" xfId="16951" xr:uid="{00000000-0005-0000-0000-00002D530000}"/>
    <cellStyle name="40% - Accent4 2 5 2 4 2" xfId="10373" xr:uid="{00000000-0005-0000-0000-00002E530000}"/>
    <cellStyle name="40% - Accent4 2 5 2 4 2 2" xfId="24166" xr:uid="{00000000-0005-0000-0000-00002F530000}"/>
    <cellStyle name="40% - Accent4 2 5 2 4 3" xfId="10367" xr:uid="{00000000-0005-0000-0000-000030530000}"/>
    <cellStyle name="40% - Accent4 2 5 2 5" xfId="13298" xr:uid="{00000000-0005-0000-0000-000031530000}"/>
    <cellStyle name="40% - Accent4 2 5 2 5 2" xfId="10364" xr:uid="{00000000-0005-0000-0000-000032530000}"/>
    <cellStyle name="40% - Accent4 2 5 2 6" xfId="10358" xr:uid="{00000000-0005-0000-0000-000033530000}"/>
    <cellStyle name="40% - Accent4 2 5 3" xfId="12040" xr:uid="{00000000-0005-0000-0000-000034530000}"/>
    <cellStyle name="40% - Accent4 2 5 3 2" xfId="12039" xr:uid="{00000000-0005-0000-0000-000035530000}"/>
    <cellStyle name="40% - Accent4 2 5 3 2 2" xfId="30929" xr:uid="{00000000-0005-0000-0000-000036530000}"/>
    <cellStyle name="40% - Accent4 2 5 3 2 2 2" xfId="31094" xr:uid="{00000000-0005-0000-0000-000037530000}"/>
    <cellStyle name="40% - Accent4 2 5 3 2 2 2 2" xfId="27441" xr:uid="{00000000-0005-0000-0000-000038530000}"/>
    <cellStyle name="40% - Accent4 2 5 3 2 2 3" xfId="31029" xr:uid="{00000000-0005-0000-0000-000039530000}"/>
    <cellStyle name="40% - Accent4 2 5 3 2 3" xfId="25528" xr:uid="{00000000-0005-0000-0000-00003A530000}"/>
    <cellStyle name="40% - Accent4 2 5 3 2 3 2" xfId="22243" xr:uid="{00000000-0005-0000-0000-00003B530000}"/>
    <cellStyle name="40% - Accent4 2 5 3 2 4" xfId="10356" xr:uid="{00000000-0005-0000-0000-00003C530000}"/>
    <cellStyle name="40% - Accent4 2 5 3 3" xfId="12032" xr:uid="{00000000-0005-0000-0000-00003D530000}"/>
    <cellStyle name="40% - Accent4 2 5 3 3 2" xfId="12028" xr:uid="{00000000-0005-0000-0000-00003E530000}"/>
    <cellStyle name="40% - Accent4 2 5 3 3 2 2" xfId="30997" xr:uid="{00000000-0005-0000-0000-00003F530000}"/>
    <cellStyle name="40% - Accent4 2 5 3 3 3" xfId="10352" xr:uid="{00000000-0005-0000-0000-000040530000}"/>
    <cellStyle name="40% - Accent4 2 5 3 4" xfId="12021" xr:uid="{00000000-0005-0000-0000-000041530000}"/>
    <cellStyle name="40% - Accent4 2 5 3 4 2" xfId="10348" xr:uid="{00000000-0005-0000-0000-000042530000}"/>
    <cellStyle name="40% - Accent4 2 5 3 5" xfId="10346" xr:uid="{00000000-0005-0000-0000-000043530000}"/>
    <cellStyle name="40% - Accent4 2 5 4" xfId="12017" xr:uid="{00000000-0005-0000-0000-000044530000}"/>
    <cellStyle name="40% - Accent4 2 5 4 2" xfId="20000" xr:uid="{00000000-0005-0000-0000-000045530000}"/>
    <cellStyle name="40% - Accent4 2 5 4 2 2" xfId="28719" xr:uid="{00000000-0005-0000-0000-000046530000}"/>
    <cellStyle name="40% - Accent4 2 5 4 2 2 2" xfId="30951" xr:uid="{00000000-0005-0000-0000-000047530000}"/>
    <cellStyle name="40% - Accent4 2 5 4 2 3" xfId="10343" xr:uid="{00000000-0005-0000-0000-000048530000}"/>
    <cellStyle name="40% - Accent4 2 5 4 3" xfId="19994" xr:uid="{00000000-0005-0000-0000-000049530000}"/>
    <cellStyle name="40% - Accent4 2 5 4 3 2" xfId="10339" xr:uid="{00000000-0005-0000-0000-00004A530000}"/>
    <cellStyle name="40% - Accent4 2 5 4 4" xfId="10335" xr:uid="{00000000-0005-0000-0000-00004B530000}"/>
    <cellStyle name="40% - Accent4 2 5 5" xfId="12012" xr:uid="{00000000-0005-0000-0000-00004C530000}"/>
    <cellStyle name="40% - Accent4 2 5 5 2" xfId="27905" xr:uid="{00000000-0005-0000-0000-00004D530000}"/>
    <cellStyle name="40% - Accent4 2 5 5 2 2" xfId="30364" xr:uid="{00000000-0005-0000-0000-00004E530000}"/>
    <cellStyle name="40% - Accent4 2 5 5 3" xfId="13772" xr:uid="{00000000-0005-0000-0000-00004F530000}"/>
    <cellStyle name="40% - Accent4 2 5 6" xfId="13398" xr:uid="{00000000-0005-0000-0000-000050530000}"/>
    <cellStyle name="40% - Accent4 2 5 6 2" xfId="10334" xr:uid="{00000000-0005-0000-0000-000051530000}"/>
    <cellStyle name="40% - Accent4 2 5 7" xfId="12420" xr:uid="{00000000-0005-0000-0000-000052530000}"/>
    <cellStyle name="40% - Accent4 2 5 8" xfId="34952" xr:uid="{00000000-0005-0000-0000-000053530000}"/>
    <cellStyle name="40% - Accent4 2 6" xfId="28494" xr:uid="{00000000-0005-0000-0000-000054530000}"/>
    <cellStyle name="40% - Accent4 2 6 2" xfId="13599" xr:uid="{00000000-0005-0000-0000-000055530000}"/>
    <cellStyle name="40% - Accent4 2 6 2 2" xfId="10332" xr:uid="{00000000-0005-0000-0000-000056530000}"/>
    <cellStyle name="40% - Accent4 2 6 2 2 2" xfId="17229" xr:uid="{00000000-0005-0000-0000-000057530000}"/>
    <cellStyle name="40% - Accent4 2 6 2 2 2 2" xfId="12783" xr:uid="{00000000-0005-0000-0000-000058530000}"/>
    <cellStyle name="40% - Accent4 2 6 2 2 2 2 2" xfId="5475" xr:uid="{00000000-0005-0000-0000-000059530000}"/>
    <cellStyle name="40% - Accent4 2 6 2 2 2 3" xfId="10330" xr:uid="{00000000-0005-0000-0000-00005A530000}"/>
    <cellStyle name="40% - Accent4 2 6 2 2 3" xfId="10328" xr:uid="{00000000-0005-0000-0000-00005B530000}"/>
    <cellStyle name="40% - Accent4 2 6 2 2 3 2" xfId="10326" xr:uid="{00000000-0005-0000-0000-00005C530000}"/>
    <cellStyle name="40% - Accent4 2 6 2 2 4" xfId="10324" xr:uid="{00000000-0005-0000-0000-00005D530000}"/>
    <cellStyle name="40% - Accent4 2 6 2 3" xfId="10322" xr:uid="{00000000-0005-0000-0000-00005E530000}"/>
    <cellStyle name="40% - Accent4 2 6 2 3 2" xfId="10320" xr:uid="{00000000-0005-0000-0000-00005F530000}"/>
    <cellStyle name="40% - Accent4 2 6 2 3 2 2" xfId="10315" xr:uid="{00000000-0005-0000-0000-000060530000}"/>
    <cellStyle name="40% - Accent4 2 6 2 3 3" xfId="10313" xr:uid="{00000000-0005-0000-0000-000061530000}"/>
    <cellStyle name="40% - Accent4 2 6 2 4" xfId="10309" xr:uid="{00000000-0005-0000-0000-000062530000}"/>
    <cellStyle name="40% - Accent4 2 6 2 4 2" xfId="10307" xr:uid="{00000000-0005-0000-0000-000063530000}"/>
    <cellStyle name="40% - Accent4 2 6 2 5" xfId="25833" xr:uid="{00000000-0005-0000-0000-000064530000}"/>
    <cellStyle name="40% - Accent4 2 6 3" xfId="12006" xr:uid="{00000000-0005-0000-0000-000065530000}"/>
    <cellStyle name="40% - Accent4 2 6 3 2" xfId="12004" xr:uid="{00000000-0005-0000-0000-000066530000}"/>
    <cellStyle name="40% - Accent4 2 6 3 2 2" xfId="12000" xr:uid="{00000000-0005-0000-0000-000067530000}"/>
    <cellStyle name="40% - Accent4 2 6 3 2 2 2" xfId="10305" xr:uid="{00000000-0005-0000-0000-000068530000}"/>
    <cellStyle name="40% - Accent4 2 6 3 2 3" xfId="10304" xr:uid="{00000000-0005-0000-0000-000069530000}"/>
    <cellStyle name="40% - Accent4 2 6 3 3" xfId="11997" xr:uid="{00000000-0005-0000-0000-00006A530000}"/>
    <cellStyle name="40% - Accent4 2 6 3 3 2" xfId="10301" xr:uid="{00000000-0005-0000-0000-00006B530000}"/>
    <cellStyle name="40% - Accent4 2 6 3 4" xfId="10299" xr:uid="{00000000-0005-0000-0000-00006C530000}"/>
    <cellStyle name="40% - Accent4 2 6 4" xfId="11994" xr:uid="{00000000-0005-0000-0000-00006D530000}"/>
    <cellStyle name="40% - Accent4 2 6 4 2" xfId="26540" xr:uid="{00000000-0005-0000-0000-00006E530000}"/>
    <cellStyle name="40% - Accent4 2 6 4 2 2" xfId="10298" xr:uid="{00000000-0005-0000-0000-00006F530000}"/>
    <cellStyle name="40% - Accent4 2 6 4 3" xfId="10296" xr:uid="{00000000-0005-0000-0000-000070530000}"/>
    <cellStyle name="40% - Accent4 2 6 5" xfId="11989" xr:uid="{00000000-0005-0000-0000-000071530000}"/>
    <cellStyle name="40% - Accent4 2 6 5 2" xfId="10295" xr:uid="{00000000-0005-0000-0000-000072530000}"/>
    <cellStyle name="40% - Accent4 2 6 6" xfId="10294" xr:uid="{00000000-0005-0000-0000-000073530000}"/>
    <cellStyle name="40% - Accent4 2 6 7" xfId="35157" xr:uid="{00000000-0005-0000-0000-000074530000}"/>
    <cellStyle name="40% - Accent4 2 7" xfId="26445" xr:uid="{00000000-0005-0000-0000-000075530000}"/>
    <cellStyle name="40% - Accent4 2 7 2" xfId="15459" xr:uid="{00000000-0005-0000-0000-000076530000}"/>
    <cellStyle name="40% - Accent4 2 7 2 2" xfId="15457" xr:uid="{00000000-0005-0000-0000-000077530000}"/>
    <cellStyle name="40% - Accent4 2 7 2 2 2" xfId="10291" xr:uid="{00000000-0005-0000-0000-000078530000}"/>
    <cellStyle name="40% - Accent4 2 7 2 2 2 2" xfId="10289" xr:uid="{00000000-0005-0000-0000-000079530000}"/>
    <cellStyle name="40% - Accent4 2 7 2 2 3" xfId="10286" xr:uid="{00000000-0005-0000-0000-00007A530000}"/>
    <cellStyle name="40% - Accent4 2 7 2 3" xfId="10283" xr:uid="{00000000-0005-0000-0000-00007B530000}"/>
    <cellStyle name="40% - Accent4 2 7 2 3 2" xfId="26645" xr:uid="{00000000-0005-0000-0000-00007C530000}"/>
    <cellStyle name="40% - Accent4 2 7 2 4" xfId="10281" xr:uid="{00000000-0005-0000-0000-00007D530000}"/>
    <cellStyle name="40% - Accent4 2 7 3" xfId="15455" xr:uid="{00000000-0005-0000-0000-00007E530000}"/>
    <cellStyle name="40% - Accent4 2 7 3 2" xfId="15453" xr:uid="{00000000-0005-0000-0000-00007F530000}"/>
    <cellStyle name="40% - Accent4 2 7 3 2 2" xfId="10280" xr:uid="{00000000-0005-0000-0000-000080530000}"/>
    <cellStyle name="40% - Accent4 2 7 3 3" xfId="10278" xr:uid="{00000000-0005-0000-0000-000081530000}"/>
    <cellStyle name="40% - Accent4 2 7 4" xfId="11985" xr:uid="{00000000-0005-0000-0000-000082530000}"/>
    <cellStyle name="40% - Accent4 2 7 4 2" xfId="10277" xr:uid="{00000000-0005-0000-0000-000083530000}"/>
    <cellStyle name="40% - Accent4 2 7 5" xfId="10275" xr:uid="{00000000-0005-0000-0000-000084530000}"/>
    <cellStyle name="40% - Accent4 2 7 6" xfId="35386" xr:uid="{00000000-0005-0000-0000-000085530000}"/>
    <cellStyle name="40% - Accent4 2 8" xfId="10271" xr:uid="{00000000-0005-0000-0000-000086530000}"/>
    <cellStyle name="40% - Accent4 2 8 2" xfId="15433" xr:uid="{00000000-0005-0000-0000-000087530000}"/>
    <cellStyle name="40% - Accent4 2 8 2 2" xfId="10270" xr:uid="{00000000-0005-0000-0000-000088530000}"/>
    <cellStyle name="40% - Accent4 2 8 2 2 2" xfId="10264" xr:uid="{00000000-0005-0000-0000-000089530000}"/>
    <cellStyle name="40% - Accent4 2 8 2 3" xfId="10260" xr:uid="{00000000-0005-0000-0000-00008A530000}"/>
    <cellStyle name="40% - Accent4 2 8 3" xfId="11977" xr:uid="{00000000-0005-0000-0000-00008B530000}"/>
    <cellStyle name="40% - Accent4 2 8 3 2" xfId="10258" xr:uid="{00000000-0005-0000-0000-00008C530000}"/>
    <cellStyle name="40% - Accent4 2 8 4" xfId="15631" xr:uid="{00000000-0005-0000-0000-00008D530000}"/>
    <cellStyle name="40% - Accent4 2 8 5" xfId="36258" xr:uid="{00000000-0005-0000-0000-00008E530000}"/>
    <cellStyle name="40% - Accent4 2 9" xfId="10257" xr:uid="{00000000-0005-0000-0000-00008F530000}"/>
    <cellStyle name="40% - Accent4 2 9 2" xfId="10256" xr:uid="{00000000-0005-0000-0000-000090530000}"/>
    <cellStyle name="40% - Accent4 2 9 2 2" xfId="10254" xr:uid="{00000000-0005-0000-0000-000091530000}"/>
    <cellStyle name="40% - Accent4 2 9 3" xfId="23663" xr:uid="{00000000-0005-0000-0000-000092530000}"/>
    <cellStyle name="40% - Accent4 2 9 4" xfId="36544" xr:uid="{00000000-0005-0000-0000-000093530000}"/>
    <cellStyle name="40% - Accent4 20" xfId="35708" xr:uid="{00000000-0005-0000-0000-000094530000}"/>
    <cellStyle name="40% - Accent4 20 2" xfId="36877" xr:uid="{00000000-0005-0000-0000-000095530000}"/>
    <cellStyle name="40% - Accent4 20 3" xfId="37768" xr:uid="{00000000-0005-0000-0000-000096530000}"/>
    <cellStyle name="40% - Accent4 21" xfId="35727" xr:uid="{00000000-0005-0000-0000-000097530000}"/>
    <cellStyle name="40% - Accent4 21 2" xfId="36897" xr:uid="{00000000-0005-0000-0000-000098530000}"/>
    <cellStyle name="40% - Accent4 21 3" xfId="37788" xr:uid="{00000000-0005-0000-0000-000099530000}"/>
    <cellStyle name="40% - Accent4 22" xfId="35746" xr:uid="{00000000-0005-0000-0000-00009A530000}"/>
    <cellStyle name="40% - Accent4 22 2" xfId="36917" xr:uid="{00000000-0005-0000-0000-00009B530000}"/>
    <cellStyle name="40% - Accent4 22 3" xfId="37808" xr:uid="{00000000-0005-0000-0000-00009C530000}"/>
    <cellStyle name="40% - Accent4 23" xfId="35766" xr:uid="{00000000-0005-0000-0000-00009D530000}"/>
    <cellStyle name="40% - Accent4 23 2" xfId="36936" xr:uid="{00000000-0005-0000-0000-00009E530000}"/>
    <cellStyle name="40% - Accent4 23 3" xfId="37828" xr:uid="{00000000-0005-0000-0000-00009F530000}"/>
    <cellStyle name="40% - Accent4 24" xfId="35786" xr:uid="{00000000-0005-0000-0000-0000A0530000}"/>
    <cellStyle name="40% - Accent4 24 2" xfId="36955" xr:uid="{00000000-0005-0000-0000-0000A1530000}"/>
    <cellStyle name="40% - Accent4 24 3" xfId="37848" xr:uid="{00000000-0005-0000-0000-0000A2530000}"/>
    <cellStyle name="40% - Accent4 25" xfId="35805" xr:uid="{00000000-0005-0000-0000-0000A3530000}"/>
    <cellStyle name="40% - Accent4 25 2" xfId="36975" xr:uid="{00000000-0005-0000-0000-0000A4530000}"/>
    <cellStyle name="40% - Accent4 25 3" xfId="37868" xr:uid="{00000000-0005-0000-0000-0000A5530000}"/>
    <cellStyle name="40% - Accent4 26" xfId="35824" xr:uid="{00000000-0005-0000-0000-0000A6530000}"/>
    <cellStyle name="40% - Accent4 26 2" xfId="36995" xr:uid="{00000000-0005-0000-0000-0000A7530000}"/>
    <cellStyle name="40% - Accent4 26 3" xfId="37888" xr:uid="{00000000-0005-0000-0000-0000A8530000}"/>
    <cellStyle name="40% - Accent4 27" xfId="35843" xr:uid="{00000000-0005-0000-0000-0000A9530000}"/>
    <cellStyle name="40% - Accent4 27 2" xfId="37015" xr:uid="{00000000-0005-0000-0000-0000AA530000}"/>
    <cellStyle name="40% - Accent4 27 3" xfId="37908" xr:uid="{00000000-0005-0000-0000-0000AB530000}"/>
    <cellStyle name="40% - Accent4 28" xfId="35862" xr:uid="{00000000-0005-0000-0000-0000AC530000}"/>
    <cellStyle name="40% - Accent4 28 2" xfId="37035" xr:uid="{00000000-0005-0000-0000-0000AD530000}"/>
    <cellStyle name="40% - Accent4 28 3" xfId="37928" xr:uid="{00000000-0005-0000-0000-0000AE530000}"/>
    <cellStyle name="40% - Accent4 29" xfId="35880" xr:uid="{00000000-0005-0000-0000-0000AF530000}"/>
    <cellStyle name="40% - Accent4 29 2" xfId="37052" xr:uid="{00000000-0005-0000-0000-0000B0530000}"/>
    <cellStyle name="40% - Accent4 29 3" xfId="37946" xr:uid="{00000000-0005-0000-0000-0000B1530000}"/>
    <cellStyle name="40% - Accent4 3" xfId="108" xr:uid="{00000000-0005-0000-0000-0000B2530000}"/>
    <cellStyle name="40% - Accent4 3 10" xfId="10253" xr:uid="{00000000-0005-0000-0000-0000B3530000}"/>
    <cellStyle name="40% - Accent4 3 10 2" xfId="37448" xr:uid="{00000000-0005-0000-0000-0000B4530000}"/>
    <cellStyle name="40% - Accent4 3 11" xfId="34462" xr:uid="{00000000-0005-0000-0000-0000B5530000}"/>
    <cellStyle name="40% - Accent4 3 12" xfId="18172" xr:uid="{00000000-0005-0000-0000-0000B6530000}"/>
    <cellStyle name="40% - Accent4 3 2" xfId="169" xr:uid="{00000000-0005-0000-0000-0000B7530000}"/>
    <cellStyle name="40% - Accent4 3 2 10" xfId="34514" xr:uid="{00000000-0005-0000-0000-0000B8530000}"/>
    <cellStyle name="40% - Accent4 3 2 11" xfId="13764" xr:uid="{00000000-0005-0000-0000-0000B9530000}"/>
    <cellStyle name="40% - Accent4 3 2 2" xfId="10249" xr:uid="{00000000-0005-0000-0000-0000BA530000}"/>
    <cellStyle name="40% - Accent4 3 2 2 2" xfId="10248" xr:uid="{00000000-0005-0000-0000-0000BB530000}"/>
    <cellStyle name="40% - Accent4 3 2 2 2 2" xfId="13087" xr:uid="{00000000-0005-0000-0000-0000BC530000}"/>
    <cellStyle name="40% - Accent4 3 2 2 2 2 2" xfId="10247" xr:uid="{00000000-0005-0000-0000-0000BD530000}"/>
    <cellStyle name="40% - Accent4 3 2 2 2 2 2 2" xfId="22809" xr:uid="{00000000-0005-0000-0000-0000BE530000}"/>
    <cellStyle name="40% - Accent4 3 2 2 2 2 2 2 2" xfId="8665" xr:uid="{00000000-0005-0000-0000-0000BF530000}"/>
    <cellStyle name="40% - Accent4 3 2 2 2 2 2 2 2 2" xfId="34393" xr:uid="{00000000-0005-0000-0000-0000C0530000}"/>
    <cellStyle name="40% - Accent4 3 2 2 2 2 2 2 2 2 2" xfId="10245" xr:uid="{00000000-0005-0000-0000-0000C1530000}"/>
    <cellStyle name="40% - Accent4 3 2 2 2 2 2 2 2 3" xfId="10244" xr:uid="{00000000-0005-0000-0000-0000C2530000}"/>
    <cellStyle name="40% - Accent4 3 2 2 2 2 2 2 3" xfId="10243" xr:uid="{00000000-0005-0000-0000-0000C3530000}"/>
    <cellStyle name="40% - Accent4 3 2 2 2 2 2 2 3 2" xfId="10241" xr:uid="{00000000-0005-0000-0000-0000C4530000}"/>
    <cellStyle name="40% - Accent4 3 2 2 2 2 2 2 4" xfId="10239" xr:uid="{00000000-0005-0000-0000-0000C5530000}"/>
    <cellStyle name="40% - Accent4 3 2 2 2 2 2 3" xfId="10238" xr:uid="{00000000-0005-0000-0000-0000C6530000}"/>
    <cellStyle name="40% - Accent4 3 2 2 2 2 2 3 2" xfId="8661" xr:uid="{00000000-0005-0000-0000-0000C7530000}"/>
    <cellStyle name="40% - Accent4 3 2 2 2 2 2 3 2 2" xfId="10234" xr:uid="{00000000-0005-0000-0000-0000C8530000}"/>
    <cellStyle name="40% - Accent4 3 2 2 2 2 2 3 3" xfId="10233" xr:uid="{00000000-0005-0000-0000-0000C9530000}"/>
    <cellStyle name="40% - Accent4 3 2 2 2 2 2 4" xfId="10232" xr:uid="{00000000-0005-0000-0000-0000CA530000}"/>
    <cellStyle name="40% - Accent4 3 2 2 2 2 2 4 2" xfId="10230" xr:uid="{00000000-0005-0000-0000-0000CB530000}"/>
    <cellStyle name="40% - Accent4 3 2 2 2 2 2 5" xfId="20384" xr:uid="{00000000-0005-0000-0000-0000CC530000}"/>
    <cellStyle name="40% - Accent4 3 2 2 2 2 3" xfId="10228" xr:uid="{00000000-0005-0000-0000-0000CD530000}"/>
    <cellStyle name="40% - Accent4 3 2 2 2 2 3 2" xfId="10226" xr:uid="{00000000-0005-0000-0000-0000CE530000}"/>
    <cellStyle name="40% - Accent4 3 2 2 2 2 3 2 2" xfId="8648" xr:uid="{00000000-0005-0000-0000-0000CF530000}"/>
    <cellStyle name="40% - Accent4 3 2 2 2 2 3 2 2 2" xfId="10225" xr:uid="{00000000-0005-0000-0000-0000D0530000}"/>
    <cellStyle name="40% - Accent4 3 2 2 2 2 3 2 3" xfId="10224" xr:uid="{00000000-0005-0000-0000-0000D1530000}"/>
    <cellStyle name="40% - Accent4 3 2 2 2 2 3 3" xfId="10223" xr:uid="{00000000-0005-0000-0000-0000D2530000}"/>
    <cellStyle name="40% - Accent4 3 2 2 2 2 3 3 2" xfId="10222" xr:uid="{00000000-0005-0000-0000-0000D3530000}"/>
    <cellStyle name="40% - Accent4 3 2 2 2 2 3 4" xfId="10221" xr:uid="{00000000-0005-0000-0000-0000D4530000}"/>
    <cellStyle name="40% - Accent4 3 2 2 2 2 4" xfId="20696" xr:uid="{00000000-0005-0000-0000-0000D5530000}"/>
    <cellStyle name="40% - Accent4 3 2 2 2 2 4 2" xfId="10220" xr:uid="{00000000-0005-0000-0000-0000D6530000}"/>
    <cellStyle name="40% - Accent4 3 2 2 2 2 4 2 2" xfId="10218" xr:uid="{00000000-0005-0000-0000-0000D7530000}"/>
    <cellStyle name="40% - Accent4 3 2 2 2 2 4 3" xfId="10216" xr:uid="{00000000-0005-0000-0000-0000D8530000}"/>
    <cellStyle name="40% - Accent4 3 2 2 2 2 5" xfId="24682" xr:uid="{00000000-0005-0000-0000-0000D9530000}"/>
    <cellStyle name="40% - Accent4 3 2 2 2 2 5 2" xfId="9634" xr:uid="{00000000-0005-0000-0000-0000DA530000}"/>
    <cellStyle name="40% - Accent4 3 2 2 2 2 6" xfId="24677" xr:uid="{00000000-0005-0000-0000-0000DB530000}"/>
    <cellStyle name="40% - Accent4 3 2 2 2 3" xfId="27871" xr:uid="{00000000-0005-0000-0000-0000DC530000}"/>
    <cellStyle name="40% - Accent4 3 2 2 2 3 2" xfId="10210" xr:uid="{00000000-0005-0000-0000-0000DD530000}"/>
    <cellStyle name="40% - Accent4 3 2 2 2 3 2 2" xfId="25284" xr:uid="{00000000-0005-0000-0000-0000DE530000}"/>
    <cellStyle name="40% - Accent4 3 2 2 2 3 2 2 2" xfId="8608" xr:uid="{00000000-0005-0000-0000-0000DF530000}"/>
    <cellStyle name="40% - Accent4 3 2 2 2 3 2 2 2 2" xfId="30768" xr:uid="{00000000-0005-0000-0000-0000E0530000}"/>
    <cellStyle name="40% - Accent4 3 2 2 2 3 2 2 3" xfId="15406" xr:uid="{00000000-0005-0000-0000-0000E1530000}"/>
    <cellStyle name="40% - Accent4 3 2 2 2 3 2 3" xfId="25278" xr:uid="{00000000-0005-0000-0000-0000E2530000}"/>
    <cellStyle name="40% - Accent4 3 2 2 2 3 2 3 2" xfId="10207" xr:uid="{00000000-0005-0000-0000-0000E3530000}"/>
    <cellStyle name="40% - Accent4 3 2 2 2 3 2 4" xfId="25333" xr:uid="{00000000-0005-0000-0000-0000E4530000}"/>
    <cellStyle name="40% - Accent4 3 2 2 2 3 3" xfId="10206" xr:uid="{00000000-0005-0000-0000-0000E5530000}"/>
    <cellStyle name="40% - Accent4 3 2 2 2 3 3 2" xfId="25271" xr:uid="{00000000-0005-0000-0000-0000E6530000}"/>
    <cellStyle name="40% - Accent4 3 2 2 2 3 3 2 2" xfId="10203" xr:uid="{00000000-0005-0000-0000-0000E7530000}"/>
    <cellStyle name="40% - Accent4 3 2 2 2 3 3 3" xfId="22108" xr:uid="{00000000-0005-0000-0000-0000E8530000}"/>
    <cellStyle name="40% - Accent4 3 2 2 2 3 4" xfId="24674" xr:uid="{00000000-0005-0000-0000-0000E9530000}"/>
    <cellStyle name="40% - Accent4 3 2 2 2 3 4 2" xfId="10201" xr:uid="{00000000-0005-0000-0000-0000EA530000}"/>
    <cellStyle name="40% - Accent4 3 2 2 2 3 5" xfId="24527" xr:uid="{00000000-0005-0000-0000-0000EB530000}"/>
    <cellStyle name="40% - Accent4 3 2 2 2 4" xfId="10198" xr:uid="{00000000-0005-0000-0000-0000EC530000}"/>
    <cellStyle name="40% - Accent4 3 2 2 2 4 2" xfId="21971" xr:uid="{00000000-0005-0000-0000-0000ED530000}"/>
    <cellStyle name="40% - Accent4 3 2 2 2 4 2 2" xfId="25259" xr:uid="{00000000-0005-0000-0000-0000EE530000}"/>
    <cellStyle name="40% - Accent4 3 2 2 2 4 2 2 2" xfId="10196" xr:uid="{00000000-0005-0000-0000-0000EF530000}"/>
    <cellStyle name="40% - Accent4 3 2 2 2 4 2 3" xfId="10195" xr:uid="{00000000-0005-0000-0000-0000F0530000}"/>
    <cellStyle name="40% - Accent4 3 2 2 2 4 3" xfId="26642" xr:uid="{00000000-0005-0000-0000-0000F1530000}"/>
    <cellStyle name="40% - Accent4 3 2 2 2 4 3 2" xfId="10193" xr:uid="{00000000-0005-0000-0000-0000F2530000}"/>
    <cellStyle name="40% - Accent4 3 2 2 2 4 4" xfId="24662" xr:uid="{00000000-0005-0000-0000-0000F3530000}"/>
    <cellStyle name="40% - Accent4 3 2 2 2 5" xfId="10191" xr:uid="{00000000-0005-0000-0000-0000F4530000}"/>
    <cellStyle name="40% - Accent4 3 2 2 2 5 2" xfId="10190" xr:uid="{00000000-0005-0000-0000-0000F5530000}"/>
    <cellStyle name="40% - Accent4 3 2 2 2 5 2 2" xfId="10189" xr:uid="{00000000-0005-0000-0000-0000F6530000}"/>
    <cellStyle name="40% - Accent4 3 2 2 2 5 3" xfId="10188" xr:uid="{00000000-0005-0000-0000-0000F7530000}"/>
    <cellStyle name="40% - Accent4 3 2 2 2 6" xfId="10187" xr:uid="{00000000-0005-0000-0000-0000F8530000}"/>
    <cellStyle name="40% - Accent4 3 2 2 2 6 2" xfId="10186" xr:uid="{00000000-0005-0000-0000-0000F9530000}"/>
    <cellStyle name="40% - Accent4 3 2 2 2 7" xfId="10185" xr:uid="{00000000-0005-0000-0000-0000FA530000}"/>
    <cellStyle name="40% - Accent4 3 2 2 3" xfId="10184" xr:uid="{00000000-0005-0000-0000-0000FB530000}"/>
    <cellStyle name="40% - Accent4 3 2 2 3 2" xfId="10182" xr:uid="{00000000-0005-0000-0000-0000FC530000}"/>
    <cellStyle name="40% - Accent4 3 2 2 3 2 2" xfId="10179" xr:uid="{00000000-0005-0000-0000-0000FD530000}"/>
    <cellStyle name="40% - Accent4 3 2 2 3 2 2 2" xfId="10176" xr:uid="{00000000-0005-0000-0000-0000FE530000}"/>
    <cellStyle name="40% - Accent4 3 2 2 3 2 2 2 2" xfId="8534" xr:uid="{00000000-0005-0000-0000-0000FF530000}"/>
    <cellStyle name="40% - Accent4 3 2 2 3 2 2 2 2 2" xfId="10175" xr:uid="{00000000-0005-0000-0000-000000540000}"/>
    <cellStyle name="40% - Accent4 3 2 2 3 2 2 2 3" xfId="17667" xr:uid="{00000000-0005-0000-0000-000001540000}"/>
    <cellStyle name="40% - Accent4 3 2 2 3 2 2 3" xfId="10174" xr:uid="{00000000-0005-0000-0000-000002540000}"/>
    <cellStyle name="40% - Accent4 3 2 2 3 2 2 3 2" xfId="18258" xr:uid="{00000000-0005-0000-0000-000003540000}"/>
    <cellStyle name="40% - Accent4 3 2 2 3 2 2 4" xfId="10173" xr:uid="{00000000-0005-0000-0000-000004540000}"/>
    <cellStyle name="40% - Accent4 3 2 2 3 2 3" xfId="10172" xr:uid="{00000000-0005-0000-0000-000005540000}"/>
    <cellStyle name="40% - Accent4 3 2 2 3 2 3 2" xfId="10167" xr:uid="{00000000-0005-0000-0000-000006540000}"/>
    <cellStyle name="40% - Accent4 3 2 2 3 2 3 2 2" xfId="17638" xr:uid="{00000000-0005-0000-0000-000007540000}"/>
    <cellStyle name="40% - Accent4 3 2 2 3 2 3 3" xfId="10166" xr:uid="{00000000-0005-0000-0000-000008540000}"/>
    <cellStyle name="40% - Accent4 3 2 2 3 2 4" xfId="28835" xr:uid="{00000000-0005-0000-0000-000009540000}"/>
    <cellStyle name="40% - Accent4 3 2 2 3 2 4 2" xfId="10164" xr:uid="{00000000-0005-0000-0000-00000A540000}"/>
    <cellStyle name="40% - Accent4 3 2 2 3 2 5" xfId="25041" xr:uid="{00000000-0005-0000-0000-00000B540000}"/>
    <cellStyle name="40% - Accent4 3 2 2 3 3" xfId="10162" xr:uid="{00000000-0005-0000-0000-00000C540000}"/>
    <cellStyle name="40% - Accent4 3 2 2 3 3 2" xfId="10159" xr:uid="{00000000-0005-0000-0000-00000D540000}"/>
    <cellStyle name="40% - Accent4 3 2 2 3 3 2 2" xfId="25242" xr:uid="{00000000-0005-0000-0000-00000E540000}"/>
    <cellStyle name="40% - Accent4 3 2 2 3 3 2 2 2" xfId="17562" xr:uid="{00000000-0005-0000-0000-00000F540000}"/>
    <cellStyle name="40% - Accent4 3 2 2 3 3 2 3" xfId="10155" xr:uid="{00000000-0005-0000-0000-000010540000}"/>
    <cellStyle name="40% - Accent4 3 2 2 3 3 3" xfId="10153" xr:uid="{00000000-0005-0000-0000-000011540000}"/>
    <cellStyle name="40% - Accent4 3 2 2 3 3 3 2" xfId="10148" xr:uid="{00000000-0005-0000-0000-000012540000}"/>
    <cellStyle name="40% - Accent4 3 2 2 3 3 4" xfId="28825" xr:uid="{00000000-0005-0000-0000-000013540000}"/>
    <cellStyle name="40% - Accent4 3 2 2 3 4" xfId="6488" xr:uid="{00000000-0005-0000-0000-000014540000}"/>
    <cellStyle name="40% - Accent4 3 2 2 3 4 2" xfId="10147" xr:uid="{00000000-0005-0000-0000-000015540000}"/>
    <cellStyle name="40% - Accent4 3 2 2 3 4 2 2" xfId="10143" xr:uid="{00000000-0005-0000-0000-000016540000}"/>
    <cellStyle name="40% - Accent4 3 2 2 3 4 3" xfId="10142" xr:uid="{00000000-0005-0000-0000-000017540000}"/>
    <cellStyle name="40% - Accent4 3 2 2 3 5" xfId="10136" xr:uid="{00000000-0005-0000-0000-000018540000}"/>
    <cellStyle name="40% - Accent4 3 2 2 3 5 2" xfId="10134" xr:uid="{00000000-0005-0000-0000-000019540000}"/>
    <cellStyle name="40% - Accent4 3 2 2 3 6" xfId="10131" xr:uid="{00000000-0005-0000-0000-00001A540000}"/>
    <cellStyle name="40% - Accent4 3 2 2 4" xfId="29274" xr:uid="{00000000-0005-0000-0000-00001B540000}"/>
    <cellStyle name="40% - Accent4 3 2 2 4 2" xfId="10129" xr:uid="{00000000-0005-0000-0000-00001C540000}"/>
    <cellStyle name="40% - Accent4 3 2 2 4 2 2" xfId="10126" xr:uid="{00000000-0005-0000-0000-00001D540000}"/>
    <cellStyle name="40% - Accent4 3 2 2 4 2 2 2" xfId="10123" xr:uid="{00000000-0005-0000-0000-00001E540000}"/>
    <cellStyle name="40% - Accent4 3 2 2 4 2 2 2 2" xfId="32908" xr:uid="{00000000-0005-0000-0000-00001F540000}"/>
    <cellStyle name="40% - Accent4 3 2 2 4 2 2 3" xfId="13897" xr:uid="{00000000-0005-0000-0000-000020540000}"/>
    <cellStyle name="40% - Accent4 3 2 2 4 2 3" xfId="10122" xr:uid="{00000000-0005-0000-0000-000021540000}"/>
    <cellStyle name="40% - Accent4 3 2 2 4 2 3 2" xfId="10117" xr:uid="{00000000-0005-0000-0000-000022540000}"/>
    <cellStyle name="40% - Accent4 3 2 2 4 2 4" xfId="28809" xr:uid="{00000000-0005-0000-0000-000023540000}"/>
    <cellStyle name="40% - Accent4 3 2 2 4 3" xfId="10116" xr:uid="{00000000-0005-0000-0000-000024540000}"/>
    <cellStyle name="40% - Accent4 3 2 2 4 3 2" xfId="15146" xr:uid="{00000000-0005-0000-0000-000025540000}"/>
    <cellStyle name="40% - Accent4 3 2 2 4 3 2 2" xfId="10113" xr:uid="{00000000-0005-0000-0000-000026540000}"/>
    <cellStyle name="40% - Accent4 3 2 2 4 3 3" xfId="15138" xr:uid="{00000000-0005-0000-0000-000027540000}"/>
    <cellStyle name="40% - Accent4 3 2 2 4 4" xfId="10112" xr:uid="{00000000-0005-0000-0000-000028540000}"/>
    <cellStyle name="40% - Accent4 3 2 2 4 4 2" xfId="15095" xr:uid="{00000000-0005-0000-0000-000029540000}"/>
    <cellStyle name="40% - Accent4 3 2 2 4 5" xfId="10109" xr:uid="{00000000-0005-0000-0000-00002A540000}"/>
    <cellStyle name="40% - Accent4 3 2 2 5" xfId="16656" xr:uid="{00000000-0005-0000-0000-00002B540000}"/>
    <cellStyle name="40% - Accent4 3 2 2 5 2" xfId="10106" xr:uid="{00000000-0005-0000-0000-00002C540000}"/>
    <cellStyle name="40% - Accent4 3 2 2 5 2 2" xfId="10103" xr:uid="{00000000-0005-0000-0000-00002D540000}"/>
    <cellStyle name="40% - Accent4 3 2 2 5 2 2 2" xfId="28033" xr:uid="{00000000-0005-0000-0000-00002E540000}"/>
    <cellStyle name="40% - Accent4 3 2 2 5 2 3" xfId="10100" xr:uid="{00000000-0005-0000-0000-00002F540000}"/>
    <cellStyle name="40% - Accent4 3 2 2 5 3" xfId="10095" xr:uid="{00000000-0005-0000-0000-000030540000}"/>
    <cellStyle name="40% - Accent4 3 2 2 5 3 2" xfId="15042" xr:uid="{00000000-0005-0000-0000-000031540000}"/>
    <cellStyle name="40% - Accent4 3 2 2 5 4" xfId="10091" xr:uid="{00000000-0005-0000-0000-000032540000}"/>
    <cellStyle name="40% - Accent4 3 2 2 6" xfId="13282" xr:uid="{00000000-0005-0000-0000-000033540000}"/>
    <cellStyle name="40% - Accent4 3 2 2 6 2" xfId="10088" xr:uid="{00000000-0005-0000-0000-000034540000}"/>
    <cellStyle name="40% - Accent4 3 2 2 6 2 2" xfId="33496" xr:uid="{00000000-0005-0000-0000-000035540000}"/>
    <cellStyle name="40% - Accent4 3 2 2 6 3" xfId="10085" xr:uid="{00000000-0005-0000-0000-000036540000}"/>
    <cellStyle name="40% - Accent4 3 2 2 7" xfId="13278" xr:uid="{00000000-0005-0000-0000-000037540000}"/>
    <cellStyle name="40% - Accent4 3 2 2 7 2" xfId="10082" xr:uid="{00000000-0005-0000-0000-000038540000}"/>
    <cellStyle name="40% - Accent4 3 2 2 8" xfId="10079" xr:uid="{00000000-0005-0000-0000-000039540000}"/>
    <cellStyle name="40% - Accent4 3 2 3" xfId="10078" xr:uid="{00000000-0005-0000-0000-00003A540000}"/>
    <cellStyle name="40% - Accent4 3 2 3 2" xfId="10077" xr:uid="{00000000-0005-0000-0000-00003B540000}"/>
    <cellStyle name="40% - Accent4 3 2 3 2 2" xfId="10075" xr:uid="{00000000-0005-0000-0000-00003C540000}"/>
    <cellStyle name="40% - Accent4 3 2 3 2 2 2" xfId="5368" xr:uid="{00000000-0005-0000-0000-00003D540000}"/>
    <cellStyle name="40% - Accent4 3 2 3 2 2 2 2" xfId="10074" xr:uid="{00000000-0005-0000-0000-00003E540000}"/>
    <cellStyle name="40% - Accent4 3 2 3 2 2 2 2 2" xfId="20941" xr:uid="{00000000-0005-0000-0000-00003F540000}"/>
    <cellStyle name="40% - Accent4 3 2 3 2 2 2 2 2 2" xfId="10070" xr:uid="{00000000-0005-0000-0000-000040540000}"/>
    <cellStyle name="40% - Accent4 3 2 3 2 2 2 2 3" xfId="15030" xr:uid="{00000000-0005-0000-0000-000041540000}"/>
    <cellStyle name="40% - Accent4 3 2 3 2 2 2 3" xfId="10068" xr:uid="{00000000-0005-0000-0000-000042540000}"/>
    <cellStyle name="40% - Accent4 3 2 3 2 2 2 3 2" xfId="15025" xr:uid="{00000000-0005-0000-0000-000043540000}"/>
    <cellStyle name="40% - Accent4 3 2 3 2 2 2 4" xfId="10065" xr:uid="{00000000-0005-0000-0000-000044540000}"/>
    <cellStyle name="40% - Accent4 3 2 3 2 2 3" xfId="10064" xr:uid="{00000000-0005-0000-0000-000045540000}"/>
    <cellStyle name="40% - Accent4 3 2 3 2 2 3 2" xfId="10062" xr:uid="{00000000-0005-0000-0000-000046540000}"/>
    <cellStyle name="40% - Accent4 3 2 3 2 2 3 2 2" xfId="15013" xr:uid="{00000000-0005-0000-0000-000047540000}"/>
    <cellStyle name="40% - Accent4 3 2 3 2 2 3 3" xfId="10060" xr:uid="{00000000-0005-0000-0000-000048540000}"/>
    <cellStyle name="40% - Accent4 3 2 3 2 2 4" xfId="24618" xr:uid="{00000000-0005-0000-0000-000049540000}"/>
    <cellStyle name="40% - Accent4 3 2 3 2 2 4 2" xfId="25984" xr:uid="{00000000-0005-0000-0000-00004A540000}"/>
    <cellStyle name="40% - Accent4 3 2 3 2 2 5" xfId="24612" xr:uid="{00000000-0005-0000-0000-00004B540000}"/>
    <cellStyle name="40% - Accent4 3 2 3 2 3" xfId="10059" xr:uid="{00000000-0005-0000-0000-00004C540000}"/>
    <cellStyle name="40% - Accent4 3 2 3 2 3 2" xfId="25771" xr:uid="{00000000-0005-0000-0000-00004D540000}"/>
    <cellStyle name="40% - Accent4 3 2 3 2 3 2 2" xfId="30913" xr:uid="{00000000-0005-0000-0000-00004E540000}"/>
    <cellStyle name="40% - Accent4 3 2 3 2 3 2 2 2" xfId="14990" xr:uid="{00000000-0005-0000-0000-00004F540000}"/>
    <cellStyle name="40% - Accent4 3 2 3 2 3 2 3" xfId="10057" xr:uid="{00000000-0005-0000-0000-000050540000}"/>
    <cellStyle name="40% - Accent4 3 2 3 2 3 3" xfId="10054" xr:uid="{00000000-0005-0000-0000-000051540000}"/>
    <cellStyle name="40% - Accent4 3 2 3 2 3 3 2" xfId="10053" xr:uid="{00000000-0005-0000-0000-000052540000}"/>
    <cellStyle name="40% - Accent4 3 2 3 2 3 4" xfId="24607" xr:uid="{00000000-0005-0000-0000-000053540000}"/>
    <cellStyle name="40% - Accent4 3 2 3 2 4" xfId="10051" xr:uid="{00000000-0005-0000-0000-000054540000}"/>
    <cellStyle name="40% - Accent4 3 2 3 2 4 2" xfId="30381" xr:uid="{00000000-0005-0000-0000-000055540000}"/>
    <cellStyle name="40% - Accent4 3 2 3 2 4 2 2" xfId="10046" xr:uid="{00000000-0005-0000-0000-000056540000}"/>
    <cellStyle name="40% - Accent4 3 2 3 2 4 3" xfId="29585" xr:uid="{00000000-0005-0000-0000-000057540000}"/>
    <cellStyle name="40% - Accent4 3 2 3 2 5" xfId="10045" xr:uid="{00000000-0005-0000-0000-000058540000}"/>
    <cellStyle name="40% - Accent4 3 2 3 2 5 2" xfId="10043" xr:uid="{00000000-0005-0000-0000-000059540000}"/>
    <cellStyle name="40% - Accent4 3 2 3 2 6" xfId="10042" xr:uid="{00000000-0005-0000-0000-00005A540000}"/>
    <cellStyle name="40% - Accent4 3 2 3 3" xfId="10041" xr:uid="{00000000-0005-0000-0000-00005B540000}"/>
    <cellStyle name="40% - Accent4 3 2 3 3 2" xfId="10039" xr:uid="{00000000-0005-0000-0000-00005C540000}"/>
    <cellStyle name="40% - Accent4 3 2 3 3 2 2" xfId="10037" xr:uid="{00000000-0005-0000-0000-00005D540000}"/>
    <cellStyle name="40% - Accent4 3 2 3 3 2 2 2" xfId="24378" xr:uid="{00000000-0005-0000-0000-00005E540000}"/>
    <cellStyle name="40% - Accent4 3 2 3 3 2 2 2 2" xfId="10536" xr:uid="{00000000-0005-0000-0000-00005F540000}"/>
    <cellStyle name="40% - Accent4 3 2 3 3 2 2 3" xfId="10033" xr:uid="{00000000-0005-0000-0000-000060540000}"/>
    <cellStyle name="40% - Accent4 3 2 3 3 2 3" xfId="10032" xr:uid="{00000000-0005-0000-0000-000061540000}"/>
    <cellStyle name="40% - Accent4 3 2 3 3 2 3 2" xfId="10028" xr:uid="{00000000-0005-0000-0000-000062540000}"/>
    <cellStyle name="40% - Accent4 3 2 3 3 2 4" xfId="31622" xr:uid="{00000000-0005-0000-0000-000063540000}"/>
    <cellStyle name="40% - Accent4 3 2 3 3 3" xfId="10027" xr:uid="{00000000-0005-0000-0000-000064540000}"/>
    <cellStyle name="40% - Accent4 3 2 3 3 3 2" xfId="10024" xr:uid="{00000000-0005-0000-0000-000065540000}"/>
    <cellStyle name="40% - Accent4 3 2 3 3 3 2 2" xfId="10021" xr:uid="{00000000-0005-0000-0000-000066540000}"/>
    <cellStyle name="40% - Accent4 3 2 3 3 3 3" xfId="10020" xr:uid="{00000000-0005-0000-0000-000067540000}"/>
    <cellStyle name="40% - Accent4 3 2 3 3 4" xfId="10016" xr:uid="{00000000-0005-0000-0000-000068540000}"/>
    <cellStyle name="40% - Accent4 3 2 3 3 4 2" xfId="10013" xr:uid="{00000000-0005-0000-0000-000069540000}"/>
    <cellStyle name="40% - Accent4 3 2 3 3 5" xfId="10011" xr:uid="{00000000-0005-0000-0000-00006A540000}"/>
    <cellStyle name="40% - Accent4 3 2 3 4" xfId="10009" xr:uid="{00000000-0005-0000-0000-00006B540000}"/>
    <cellStyle name="40% - Accent4 3 2 3 4 2" xfId="10008" xr:uid="{00000000-0005-0000-0000-00006C540000}"/>
    <cellStyle name="40% - Accent4 3 2 3 4 2 2" xfId="10004" xr:uid="{00000000-0005-0000-0000-00006D540000}"/>
    <cellStyle name="40% - Accent4 3 2 3 4 2 2 2" xfId="10001" xr:uid="{00000000-0005-0000-0000-00006E540000}"/>
    <cellStyle name="40% - Accent4 3 2 3 4 2 3" xfId="10000" xr:uid="{00000000-0005-0000-0000-00006F540000}"/>
    <cellStyle name="40% - Accent4 3 2 3 4 3" xfId="9996" xr:uid="{00000000-0005-0000-0000-000070540000}"/>
    <cellStyle name="40% - Accent4 3 2 3 4 3 2" xfId="14928" xr:uid="{00000000-0005-0000-0000-000071540000}"/>
    <cellStyle name="40% - Accent4 3 2 3 4 4" xfId="9993" xr:uid="{00000000-0005-0000-0000-000072540000}"/>
    <cellStyle name="40% - Accent4 3 2 3 5" xfId="13276" xr:uid="{00000000-0005-0000-0000-000073540000}"/>
    <cellStyle name="40% - Accent4 3 2 3 5 2" xfId="9991" xr:uid="{00000000-0005-0000-0000-000074540000}"/>
    <cellStyle name="40% - Accent4 3 2 3 5 2 2" xfId="9987" xr:uid="{00000000-0005-0000-0000-000075540000}"/>
    <cellStyle name="40% - Accent4 3 2 3 5 3" xfId="9985" xr:uid="{00000000-0005-0000-0000-000076540000}"/>
    <cellStyle name="40% - Accent4 3 2 3 6" xfId="13273" xr:uid="{00000000-0005-0000-0000-000077540000}"/>
    <cellStyle name="40% - Accent4 3 2 3 6 2" xfId="9982" xr:uid="{00000000-0005-0000-0000-000078540000}"/>
    <cellStyle name="40% - Accent4 3 2 3 7" xfId="9979" xr:uid="{00000000-0005-0000-0000-000079540000}"/>
    <cellStyle name="40% - Accent4 3 2 4" xfId="9977" xr:uid="{00000000-0005-0000-0000-00007A540000}"/>
    <cellStyle name="40% - Accent4 3 2 4 2" xfId="9976" xr:uid="{00000000-0005-0000-0000-00007B540000}"/>
    <cellStyle name="40% - Accent4 3 2 4 2 2" xfId="9975" xr:uid="{00000000-0005-0000-0000-00007C540000}"/>
    <cellStyle name="40% - Accent4 3 2 4 2 2 2" xfId="9974" xr:uid="{00000000-0005-0000-0000-00007D540000}"/>
    <cellStyle name="40% - Accent4 3 2 4 2 2 2 2" xfId="10924" xr:uid="{00000000-0005-0000-0000-00007E540000}"/>
    <cellStyle name="40% - Accent4 3 2 4 2 2 2 2 2" xfId="18860" xr:uid="{00000000-0005-0000-0000-00007F540000}"/>
    <cellStyle name="40% - Accent4 3 2 4 2 2 2 3" xfId="10921" xr:uid="{00000000-0005-0000-0000-000080540000}"/>
    <cellStyle name="40% - Accent4 3 2 4 2 2 3" xfId="9971" xr:uid="{00000000-0005-0000-0000-000081540000}"/>
    <cellStyle name="40% - Accent4 3 2 4 2 2 3 2" xfId="28899" xr:uid="{00000000-0005-0000-0000-000082540000}"/>
    <cellStyle name="40% - Accent4 3 2 4 2 2 4" xfId="18483" xr:uid="{00000000-0005-0000-0000-000083540000}"/>
    <cellStyle name="40% - Accent4 3 2 4 2 3" xfId="9970" xr:uid="{00000000-0005-0000-0000-000084540000}"/>
    <cellStyle name="40% - Accent4 3 2 4 2 3 2" xfId="9969" xr:uid="{00000000-0005-0000-0000-000085540000}"/>
    <cellStyle name="40% - Accent4 3 2 4 2 3 2 2" xfId="10904" xr:uid="{00000000-0005-0000-0000-000086540000}"/>
    <cellStyle name="40% - Accent4 3 2 4 2 3 3" xfId="9968" xr:uid="{00000000-0005-0000-0000-000087540000}"/>
    <cellStyle name="40% - Accent4 3 2 4 2 4" xfId="9967" xr:uid="{00000000-0005-0000-0000-000088540000}"/>
    <cellStyle name="40% - Accent4 3 2 4 2 4 2" xfId="9965" xr:uid="{00000000-0005-0000-0000-000089540000}"/>
    <cellStyle name="40% - Accent4 3 2 4 2 5" xfId="16612" xr:uid="{00000000-0005-0000-0000-00008A540000}"/>
    <cellStyle name="40% - Accent4 3 2 4 3" xfId="9964" xr:uid="{00000000-0005-0000-0000-00008B540000}"/>
    <cellStyle name="40% - Accent4 3 2 4 3 2" xfId="9963" xr:uid="{00000000-0005-0000-0000-00008C540000}"/>
    <cellStyle name="40% - Accent4 3 2 4 3 2 2" xfId="9961" xr:uid="{00000000-0005-0000-0000-00008D540000}"/>
    <cellStyle name="40% - Accent4 3 2 4 3 2 2 2" xfId="10872" xr:uid="{00000000-0005-0000-0000-00008E540000}"/>
    <cellStyle name="40% - Accent4 3 2 4 3 2 3" xfId="9959" xr:uid="{00000000-0005-0000-0000-00008F540000}"/>
    <cellStyle name="40% - Accent4 3 2 4 3 3" xfId="12556" xr:uid="{00000000-0005-0000-0000-000090540000}"/>
    <cellStyle name="40% - Accent4 3 2 4 3 3 2" xfId="9955" xr:uid="{00000000-0005-0000-0000-000091540000}"/>
    <cellStyle name="40% - Accent4 3 2 4 3 4" xfId="12553" xr:uid="{00000000-0005-0000-0000-000092540000}"/>
    <cellStyle name="40% - Accent4 3 2 4 4" xfId="9953" xr:uid="{00000000-0005-0000-0000-000093540000}"/>
    <cellStyle name="40% - Accent4 3 2 4 4 2" xfId="21887" xr:uid="{00000000-0005-0000-0000-000094540000}"/>
    <cellStyle name="40% - Accent4 3 2 4 4 2 2" xfId="9952" xr:uid="{00000000-0005-0000-0000-000095540000}"/>
    <cellStyle name="40% - Accent4 3 2 4 4 3" xfId="12549" xr:uid="{00000000-0005-0000-0000-000096540000}"/>
    <cellStyle name="40% - Accent4 3 2 4 5" xfId="13270" xr:uid="{00000000-0005-0000-0000-000097540000}"/>
    <cellStyle name="40% - Accent4 3 2 4 5 2" xfId="9949" xr:uid="{00000000-0005-0000-0000-000098540000}"/>
    <cellStyle name="40% - Accent4 3 2 4 6" xfId="11672" xr:uid="{00000000-0005-0000-0000-000099540000}"/>
    <cellStyle name="40% - Accent4 3 2 5" xfId="9946" xr:uid="{00000000-0005-0000-0000-00009A540000}"/>
    <cellStyle name="40% - Accent4 3 2 5 2" xfId="9945" xr:uid="{00000000-0005-0000-0000-00009B540000}"/>
    <cellStyle name="40% - Accent4 3 2 5 2 2" xfId="9944" xr:uid="{00000000-0005-0000-0000-00009C540000}"/>
    <cellStyle name="40% - Accent4 3 2 5 2 2 2" xfId="9943" xr:uid="{00000000-0005-0000-0000-00009D540000}"/>
    <cellStyle name="40% - Accent4 3 2 5 2 2 2 2" xfId="27252" xr:uid="{00000000-0005-0000-0000-00009E540000}"/>
    <cellStyle name="40% - Accent4 3 2 5 2 2 3" xfId="9941" xr:uid="{00000000-0005-0000-0000-00009F540000}"/>
    <cellStyle name="40% - Accent4 3 2 5 2 3" xfId="9940" xr:uid="{00000000-0005-0000-0000-0000A0540000}"/>
    <cellStyle name="40% - Accent4 3 2 5 2 3 2" xfId="9939" xr:uid="{00000000-0005-0000-0000-0000A1540000}"/>
    <cellStyle name="40% - Accent4 3 2 5 2 4" xfId="9938" xr:uid="{00000000-0005-0000-0000-0000A2540000}"/>
    <cellStyle name="40% - Accent4 3 2 5 3" xfId="9937" xr:uid="{00000000-0005-0000-0000-0000A3540000}"/>
    <cellStyle name="40% - Accent4 3 2 5 3 2" xfId="9936" xr:uid="{00000000-0005-0000-0000-0000A4540000}"/>
    <cellStyle name="40% - Accent4 3 2 5 3 2 2" xfId="9934" xr:uid="{00000000-0005-0000-0000-0000A5540000}"/>
    <cellStyle name="40% - Accent4 3 2 5 3 3" xfId="12545" xr:uid="{00000000-0005-0000-0000-0000A6540000}"/>
    <cellStyle name="40% - Accent4 3 2 5 4" xfId="9932" xr:uid="{00000000-0005-0000-0000-0000A7540000}"/>
    <cellStyle name="40% - Accent4 3 2 5 4 2" xfId="9931" xr:uid="{00000000-0005-0000-0000-0000A8540000}"/>
    <cellStyle name="40% - Accent4 3 2 5 5" xfId="9927" xr:uid="{00000000-0005-0000-0000-0000A9540000}"/>
    <cellStyle name="40% - Accent4 3 2 6" xfId="9926" xr:uid="{00000000-0005-0000-0000-0000AA540000}"/>
    <cellStyle name="40% - Accent4 3 2 6 2" xfId="17401" xr:uid="{00000000-0005-0000-0000-0000AB540000}"/>
    <cellStyle name="40% - Accent4 3 2 6 2 2" xfId="9925" xr:uid="{00000000-0005-0000-0000-0000AC540000}"/>
    <cellStyle name="40% - Accent4 3 2 6 2 2 2" xfId="9924" xr:uid="{00000000-0005-0000-0000-0000AD540000}"/>
    <cellStyle name="40% - Accent4 3 2 6 2 3" xfId="29798" xr:uid="{00000000-0005-0000-0000-0000AE540000}"/>
    <cellStyle name="40% - Accent4 3 2 6 3" xfId="9923" xr:uid="{00000000-0005-0000-0000-0000AF540000}"/>
    <cellStyle name="40% - Accent4 3 2 6 3 2" xfId="9922" xr:uid="{00000000-0005-0000-0000-0000B0540000}"/>
    <cellStyle name="40% - Accent4 3 2 6 4" xfId="9920" xr:uid="{00000000-0005-0000-0000-0000B1540000}"/>
    <cellStyle name="40% - Accent4 3 2 7" xfId="18154" xr:uid="{00000000-0005-0000-0000-0000B2540000}"/>
    <cellStyle name="40% - Accent4 3 2 7 2" xfId="30393" xr:uid="{00000000-0005-0000-0000-0000B3540000}"/>
    <cellStyle name="40% - Accent4 3 2 7 2 2" xfId="9919" xr:uid="{00000000-0005-0000-0000-0000B4540000}"/>
    <cellStyle name="40% - Accent4 3 2 7 3" xfId="23520" xr:uid="{00000000-0005-0000-0000-0000B5540000}"/>
    <cellStyle name="40% - Accent4 3 2 8" xfId="21902" xr:uid="{00000000-0005-0000-0000-0000B6540000}"/>
    <cellStyle name="40% - Accent4 3 2 8 2" xfId="23500" xr:uid="{00000000-0005-0000-0000-0000B7540000}"/>
    <cellStyle name="40% - Accent4 3 2 9" xfId="32986" xr:uid="{00000000-0005-0000-0000-0000B8540000}"/>
    <cellStyle name="40% - Accent4 3 3" xfId="230" xr:uid="{00000000-0005-0000-0000-0000B9540000}"/>
    <cellStyle name="40% - Accent4 3 3 10" xfId="31922" xr:uid="{00000000-0005-0000-0000-0000BA540000}"/>
    <cellStyle name="40% - Accent4 3 3 2" xfId="11879" xr:uid="{00000000-0005-0000-0000-0000BB540000}"/>
    <cellStyle name="40% - Accent4 3 3 2 2" xfId="11876" xr:uid="{00000000-0005-0000-0000-0000BC540000}"/>
    <cellStyle name="40% - Accent4 3 3 2 2 2" xfId="33401" xr:uid="{00000000-0005-0000-0000-0000BD540000}"/>
    <cellStyle name="40% - Accent4 3 3 2 2 2 2" xfId="28799" xr:uid="{00000000-0005-0000-0000-0000BE540000}"/>
    <cellStyle name="40% - Accent4 3 3 2 2 2 2 2" xfId="14380" xr:uid="{00000000-0005-0000-0000-0000BF540000}"/>
    <cellStyle name="40% - Accent4 3 3 2 2 2 2 2 2" xfId="9918" xr:uid="{00000000-0005-0000-0000-0000C0540000}"/>
    <cellStyle name="40% - Accent4 3 3 2 2 2 2 2 2 2" xfId="9916" xr:uid="{00000000-0005-0000-0000-0000C1540000}"/>
    <cellStyle name="40% - Accent4 3 3 2 2 2 2 2 3" xfId="9909" xr:uid="{00000000-0005-0000-0000-0000C2540000}"/>
    <cellStyle name="40% - Accent4 3 3 2 2 2 2 3" xfId="9908" xr:uid="{00000000-0005-0000-0000-0000C3540000}"/>
    <cellStyle name="40% - Accent4 3 3 2 2 2 2 3 2" xfId="34086" xr:uid="{00000000-0005-0000-0000-0000C4540000}"/>
    <cellStyle name="40% - Accent4 3 3 2 2 2 2 4" xfId="9906" xr:uid="{00000000-0005-0000-0000-0000C5540000}"/>
    <cellStyle name="40% - Accent4 3 3 2 2 2 3" xfId="9903" xr:uid="{00000000-0005-0000-0000-0000C6540000}"/>
    <cellStyle name="40% - Accent4 3 3 2 2 2 3 2" xfId="14354" xr:uid="{00000000-0005-0000-0000-0000C7540000}"/>
    <cellStyle name="40% - Accent4 3 3 2 2 2 3 2 2" xfId="9901" xr:uid="{00000000-0005-0000-0000-0000C8540000}"/>
    <cellStyle name="40% - Accent4 3 3 2 2 2 3 3" xfId="9899" xr:uid="{00000000-0005-0000-0000-0000C9540000}"/>
    <cellStyle name="40% - Accent4 3 3 2 2 2 4" xfId="24497" xr:uid="{00000000-0005-0000-0000-0000CA540000}"/>
    <cellStyle name="40% - Accent4 3 3 2 2 2 4 2" xfId="20985" xr:uid="{00000000-0005-0000-0000-0000CB540000}"/>
    <cellStyle name="40% - Accent4 3 3 2 2 2 5" xfId="17989" xr:uid="{00000000-0005-0000-0000-0000CC540000}"/>
    <cellStyle name="40% - Accent4 3 3 2 2 3" xfId="11002" xr:uid="{00000000-0005-0000-0000-0000CD540000}"/>
    <cellStyle name="40% - Accent4 3 3 2 2 3 2" xfId="9896" xr:uid="{00000000-0005-0000-0000-0000CE540000}"/>
    <cellStyle name="40% - Accent4 3 3 2 2 3 2 2" xfId="17261" xr:uid="{00000000-0005-0000-0000-0000CF540000}"/>
    <cellStyle name="40% - Accent4 3 3 2 2 3 2 2 2" xfId="9894" xr:uid="{00000000-0005-0000-0000-0000D0540000}"/>
    <cellStyle name="40% - Accent4 3 3 2 2 3 2 3" xfId="9893" xr:uid="{00000000-0005-0000-0000-0000D1540000}"/>
    <cellStyle name="40% - Accent4 3 3 2 2 3 3" xfId="9890" xr:uid="{00000000-0005-0000-0000-0000D2540000}"/>
    <cellStyle name="40% - Accent4 3 3 2 2 3 3 2" xfId="9888" xr:uid="{00000000-0005-0000-0000-0000D3540000}"/>
    <cellStyle name="40% - Accent4 3 3 2 2 3 4" xfId="24480" xr:uid="{00000000-0005-0000-0000-0000D4540000}"/>
    <cellStyle name="40% - Accent4 3 3 2 2 4" xfId="9885" xr:uid="{00000000-0005-0000-0000-0000D5540000}"/>
    <cellStyle name="40% - Accent4 3 3 2 2 4 2" xfId="9884" xr:uid="{00000000-0005-0000-0000-0000D6540000}"/>
    <cellStyle name="40% - Accent4 3 3 2 2 4 2 2" xfId="9882" xr:uid="{00000000-0005-0000-0000-0000D7540000}"/>
    <cellStyle name="40% - Accent4 3 3 2 2 4 3" xfId="9879" xr:uid="{00000000-0005-0000-0000-0000D8540000}"/>
    <cellStyle name="40% - Accent4 3 3 2 2 5" xfId="9877" xr:uid="{00000000-0005-0000-0000-0000D9540000}"/>
    <cellStyle name="40% - Accent4 3 3 2 2 5 2" xfId="9876" xr:uid="{00000000-0005-0000-0000-0000DA540000}"/>
    <cellStyle name="40% - Accent4 3 3 2 2 6" xfId="9874" xr:uid="{00000000-0005-0000-0000-0000DB540000}"/>
    <cellStyle name="40% - Accent4 3 3 2 3" xfId="9873" xr:uid="{00000000-0005-0000-0000-0000DC540000}"/>
    <cellStyle name="40% - Accent4 3 3 2 3 2" xfId="33387" xr:uid="{00000000-0005-0000-0000-0000DD540000}"/>
    <cellStyle name="40% - Accent4 3 3 2 3 2 2" xfId="9871" xr:uid="{00000000-0005-0000-0000-0000DE540000}"/>
    <cellStyle name="40% - Accent4 3 3 2 3 2 2 2" xfId="9866" xr:uid="{00000000-0005-0000-0000-0000DF540000}"/>
    <cellStyle name="40% - Accent4 3 3 2 3 2 2 2 2" xfId="16850" xr:uid="{00000000-0005-0000-0000-0000E0540000}"/>
    <cellStyle name="40% - Accent4 3 3 2 3 2 2 3" xfId="9864" xr:uid="{00000000-0005-0000-0000-0000E1540000}"/>
    <cellStyle name="40% - Accent4 3 3 2 3 2 3" xfId="9862" xr:uid="{00000000-0005-0000-0000-0000E2540000}"/>
    <cellStyle name="40% - Accent4 3 3 2 3 2 3 2" xfId="9854" xr:uid="{00000000-0005-0000-0000-0000E3540000}"/>
    <cellStyle name="40% - Accent4 3 3 2 3 2 4" xfId="31406" xr:uid="{00000000-0005-0000-0000-0000E4540000}"/>
    <cellStyle name="40% - Accent4 3 3 2 3 3" xfId="9851" xr:uid="{00000000-0005-0000-0000-0000E5540000}"/>
    <cellStyle name="40% - Accent4 3 3 2 3 3 2" xfId="9847" xr:uid="{00000000-0005-0000-0000-0000E6540000}"/>
    <cellStyle name="40% - Accent4 3 3 2 3 3 2 2" xfId="9841" xr:uid="{00000000-0005-0000-0000-0000E7540000}"/>
    <cellStyle name="40% - Accent4 3 3 2 3 3 3" xfId="9839" xr:uid="{00000000-0005-0000-0000-0000E8540000}"/>
    <cellStyle name="40% - Accent4 3 3 2 3 4" xfId="9832" xr:uid="{00000000-0005-0000-0000-0000E9540000}"/>
    <cellStyle name="40% - Accent4 3 3 2 3 4 2" xfId="34044" xr:uid="{00000000-0005-0000-0000-0000EA540000}"/>
    <cellStyle name="40% - Accent4 3 3 2 3 5" xfId="9828" xr:uid="{00000000-0005-0000-0000-0000EB540000}"/>
    <cellStyle name="40% - Accent4 3 3 2 4" xfId="9824" xr:uid="{00000000-0005-0000-0000-0000EC540000}"/>
    <cellStyle name="40% - Accent4 3 3 2 4 2" xfId="9823" xr:uid="{00000000-0005-0000-0000-0000ED540000}"/>
    <cellStyle name="40% - Accent4 3 3 2 4 2 2" xfId="9819" xr:uid="{00000000-0005-0000-0000-0000EE540000}"/>
    <cellStyle name="40% - Accent4 3 3 2 4 2 2 2" xfId="9815" xr:uid="{00000000-0005-0000-0000-0000EF540000}"/>
    <cellStyle name="40% - Accent4 3 3 2 4 2 3" xfId="9813" xr:uid="{00000000-0005-0000-0000-0000F0540000}"/>
    <cellStyle name="40% - Accent4 3 3 2 4 3" xfId="9807" xr:uid="{00000000-0005-0000-0000-0000F1540000}"/>
    <cellStyle name="40% - Accent4 3 3 2 4 3 2" xfId="14529" xr:uid="{00000000-0005-0000-0000-0000F2540000}"/>
    <cellStyle name="40% - Accent4 3 3 2 4 4" xfId="9803" xr:uid="{00000000-0005-0000-0000-0000F3540000}"/>
    <cellStyle name="40% - Accent4 3 3 2 5" xfId="13268" xr:uid="{00000000-0005-0000-0000-0000F4540000}"/>
    <cellStyle name="40% - Accent4 3 3 2 5 2" xfId="9800" xr:uid="{00000000-0005-0000-0000-0000F5540000}"/>
    <cellStyle name="40% - Accent4 3 3 2 5 2 2" xfId="9796" xr:uid="{00000000-0005-0000-0000-0000F6540000}"/>
    <cellStyle name="40% - Accent4 3 3 2 5 3" xfId="9792" xr:uid="{00000000-0005-0000-0000-0000F7540000}"/>
    <cellStyle name="40% - Accent4 3 3 2 6" xfId="13265" xr:uid="{00000000-0005-0000-0000-0000F8540000}"/>
    <cellStyle name="40% - Accent4 3 3 2 6 2" xfId="33562" xr:uid="{00000000-0005-0000-0000-0000F9540000}"/>
    <cellStyle name="40% - Accent4 3 3 2 7" xfId="9788" xr:uid="{00000000-0005-0000-0000-0000FA540000}"/>
    <cellStyle name="40% - Accent4 3 3 3" xfId="11873" xr:uid="{00000000-0005-0000-0000-0000FB540000}"/>
    <cellStyle name="40% - Accent4 3 3 3 2" xfId="14231" xr:uid="{00000000-0005-0000-0000-0000FC540000}"/>
    <cellStyle name="40% - Accent4 3 3 3 2 2" xfId="33356" xr:uid="{00000000-0005-0000-0000-0000FD540000}"/>
    <cellStyle name="40% - Accent4 3 3 3 2 2 2" xfId="9787" xr:uid="{00000000-0005-0000-0000-0000FE540000}"/>
    <cellStyle name="40% - Accent4 3 3 3 2 2 2 2" xfId="9785" xr:uid="{00000000-0005-0000-0000-0000FF540000}"/>
    <cellStyle name="40% - Accent4 3 3 3 2 2 2 2 2" xfId="29377" xr:uid="{00000000-0005-0000-0000-000000550000}"/>
    <cellStyle name="40% - Accent4 3 3 3 2 2 2 3" xfId="9781" xr:uid="{00000000-0005-0000-0000-000001550000}"/>
    <cellStyle name="40% - Accent4 3 3 3 2 2 3" xfId="9779" xr:uid="{00000000-0005-0000-0000-000002550000}"/>
    <cellStyle name="40% - Accent4 3 3 3 2 2 3 2" xfId="9777" xr:uid="{00000000-0005-0000-0000-000003550000}"/>
    <cellStyle name="40% - Accent4 3 3 3 2 2 4" xfId="24448" xr:uid="{00000000-0005-0000-0000-000004550000}"/>
    <cellStyle name="40% - Accent4 3 3 3 2 3" xfId="9775" xr:uid="{00000000-0005-0000-0000-000005550000}"/>
    <cellStyle name="40% - Accent4 3 3 3 2 3 2" xfId="9773" xr:uid="{00000000-0005-0000-0000-000006550000}"/>
    <cellStyle name="40% - Accent4 3 3 3 2 3 2 2" xfId="9771" xr:uid="{00000000-0005-0000-0000-000007550000}"/>
    <cellStyle name="40% - Accent4 3 3 3 2 3 3" xfId="9769" xr:uid="{00000000-0005-0000-0000-000008550000}"/>
    <cellStyle name="40% - Accent4 3 3 3 2 4" xfId="11382" xr:uid="{00000000-0005-0000-0000-000009550000}"/>
    <cellStyle name="40% - Accent4 3 3 3 2 4 2" xfId="9767" xr:uid="{00000000-0005-0000-0000-00000A550000}"/>
    <cellStyle name="40% - Accent4 3 3 3 2 5" xfId="17915" xr:uid="{00000000-0005-0000-0000-00000B550000}"/>
    <cellStyle name="40% - Accent4 3 3 3 3" xfId="14228" xr:uid="{00000000-0005-0000-0000-00000C550000}"/>
    <cellStyle name="40% - Accent4 3 3 3 3 2" xfId="9765" xr:uid="{00000000-0005-0000-0000-00000D550000}"/>
    <cellStyle name="40% - Accent4 3 3 3 3 2 2" xfId="9762" xr:uid="{00000000-0005-0000-0000-00000E550000}"/>
    <cellStyle name="40% - Accent4 3 3 3 3 2 2 2" xfId="12014" xr:uid="{00000000-0005-0000-0000-00000F550000}"/>
    <cellStyle name="40% - Accent4 3 3 3 3 2 3" xfId="9756" xr:uid="{00000000-0005-0000-0000-000010550000}"/>
    <cellStyle name="40% - Accent4 3 3 3 3 3" xfId="9751" xr:uid="{00000000-0005-0000-0000-000011550000}"/>
    <cellStyle name="40% - Accent4 3 3 3 3 3 2" xfId="9746" xr:uid="{00000000-0005-0000-0000-000012550000}"/>
    <cellStyle name="40% - Accent4 3 3 3 3 4" xfId="17910" xr:uid="{00000000-0005-0000-0000-000013550000}"/>
    <cellStyle name="40% - Accent4 3 3 3 4" xfId="9742" xr:uid="{00000000-0005-0000-0000-000014550000}"/>
    <cellStyle name="40% - Accent4 3 3 3 4 2" xfId="9740" xr:uid="{00000000-0005-0000-0000-000015550000}"/>
    <cellStyle name="40% - Accent4 3 3 3 4 2 2" xfId="9735" xr:uid="{00000000-0005-0000-0000-000016550000}"/>
    <cellStyle name="40% - Accent4 3 3 3 4 3" xfId="9732" xr:uid="{00000000-0005-0000-0000-000017550000}"/>
    <cellStyle name="40% - Accent4 3 3 3 5" xfId="13263" xr:uid="{00000000-0005-0000-0000-000018550000}"/>
    <cellStyle name="40% - Accent4 3 3 3 5 2" xfId="9729" xr:uid="{00000000-0005-0000-0000-000019550000}"/>
    <cellStyle name="40% - Accent4 3 3 3 6" xfId="9726" xr:uid="{00000000-0005-0000-0000-00001A550000}"/>
    <cellStyle name="40% - Accent4 3 3 4" xfId="9724" xr:uid="{00000000-0005-0000-0000-00001B550000}"/>
    <cellStyle name="40% - Accent4 3 3 4 2" xfId="14220" xr:uid="{00000000-0005-0000-0000-00001C550000}"/>
    <cellStyle name="40% - Accent4 3 3 4 2 2" xfId="9723" xr:uid="{00000000-0005-0000-0000-00001D550000}"/>
    <cellStyle name="40% - Accent4 3 3 4 2 2 2" xfId="9720" xr:uid="{00000000-0005-0000-0000-00001E550000}"/>
    <cellStyle name="40% - Accent4 3 3 4 2 2 2 2" xfId="9645" xr:uid="{00000000-0005-0000-0000-00001F550000}"/>
    <cellStyle name="40% - Accent4 3 3 4 2 2 3" xfId="9716" xr:uid="{00000000-0005-0000-0000-000020550000}"/>
    <cellStyle name="40% - Accent4 3 3 4 2 3" xfId="9713" xr:uid="{00000000-0005-0000-0000-000021550000}"/>
    <cellStyle name="40% - Accent4 3 3 4 2 3 2" xfId="9708" xr:uid="{00000000-0005-0000-0000-000022550000}"/>
    <cellStyle name="40% - Accent4 3 3 4 2 4" xfId="17888" xr:uid="{00000000-0005-0000-0000-000023550000}"/>
    <cellStyle name="40% - Accent4 3 3 4 3" xfId="9705" xr:uid="{00000000-0005-0000-0000-000024550000}"/>
    <cellStyle name="40% - Accent4 3 3 4 3 2" xfId="9702" xr:uid="{00000000-0005-0000-0000-000025550000}"/>
    <cellStyle name="40% - Accent4 3 3 4 3 2 2" xfId="9699" xr:uid="{00000000-0005-0000-0000-000026550000}"/>
    <cellStyle name="40% - Accent4 3 3 4 3 3" xfId="12535" xr:uid="{00000000-0005-0000-0000-000027550000}"/>
    <cellStyle name="40% - Accent4 3 3 4 4" xfId="9696" xr:uid="{00000000-0005-0000-0000-000028550000}"/>
    <cellStyle name="40% - Accent4 3 3 4 4 2" xfId="9694" xr:uid="{00000000-0005-0000-0000-000029550000}"/>
    <cellStyle name="40% - Accent4 3 3 4 5" xfId="9692" xr:uid="{00000000-0005-0000-0000-00002A550000}"/>
    <cellStyle name="40% - Accent4 3 3 5" xfId="17013" xr:uid="{00000000-0005-0000-0000-00002B550000}"/>
    <cellStyle name="40% - Accent4 3 3 5 2" xfId="12312" xr:uid="{00000000-0005-0000-0000-00002C550000}"/>
    <cellStyle name="40% - Accent4 3 3 5 2 2" xfId="9691" xr:uid="{00000000-0005-0000-0000-00002D550000}"/>
    <cellStyle name="40% - Accent4 3 3 5 2 2 2" xfId="9689" xr:uid="{00000000-0005-0000-0000-00002E550000}"/>
    <cellStyle name="40% - Accent4 3 3 5 2 3" xfId="9687" xr:uid="{00000000-0005-0000-0000-00002F550000}"/>
    <cellStyle name="40% - Accent4 3 3 5 3" xfId="9685" xr:uid="{00000000-0005-0000-0000-000030550000}"/>
    <cellStyle name="40% - Accent4 3 3 5 3 2" xfId="9683" xr:uid="{00000000-0005-0000-0000-000031550000}"/>
    <cellStyle name="40% - Accent4 3 3 5 4" xfId="7267" xr:uid="{00000000-0005-0000-0000-000032550000}"/>
    <cellStyle name="40% - Accent4 3 3 6" xfId="17010" xr:uid="{00000000-0005-0000-0000-000033550000}"/>
    <cellStyle name="40% - Accent4 3 3 6 2" xfId="9680" xr:uid="{00000000-0005-0000-0000-000034550000}"/>
    <cellStyle name="40% - Accent4 3 3 6 2 2" xfId="32582" xr:uid="{00000000-0005-0000-0000-000035550000}"/>
    <cellStyle name="40% - Accent4 3 3 6 3" xfId="9678" xr:uid="{00000000-0005-0000-0000-000036550000}"/>
    <cellStyle name="40% - Accent4 3 3 7" xfId="29364" xr:uid="{00000000-0005-0000-0000-000037550000}"/>
    <cellStyle name="40% - Accent4 3 3 7 2" xfId="23341" xr:uid="{00000000-0005-0000-0000-000038550000}"/>
    <cellStyle name="40% - Accent4 3 3 8" xfId="29355" xr:uid="{00000000-0005-0000-0000-000039550000}"/>
    <cellStyle name="40% - Accent4 3 3 9" xfId="34556" xr:uid="{00000000-0005-0000-0000-00003A550000}"/>
    <cellStyle name="40% - Accent4 3 4" xfId="31771" xr:uid="{00000000-0005-0000-0000-00003B550000}"/>
    <cellStyle name="40% - Accent4 3 4 2" xfId="11870" xr:uid="{00000000-0005-0000-0000-00003C550000}"/>
    <cellStyle name="40% - Accent4 3 4 2 2" xfId="9677" xr:uid="{00000000-0005-0000-0000-00003D550000}"/>
    <cellStyle name="40% - Accent4 3 4 2 2 2" xfId="22963" xr:uid="{00000000-0005-0000-0000-00003E550000}"/>
    <cellStyle name="40% - Accent4 3 4 2 2 2 2" xfId="29865" xr:uid="{00000000-0005-0000-0000-00003F550000}"/>
    <cellStyle name="40% - Accent4 3 4 2 2 2 2 2" xfId="9180" xr:uid="{00000000-0005-0000-0000-000040550000}"/>
    <cellStyle name="40% - Accent4 3 4 2 2 2 2 2 2" xfId="27061" xr:uid="{00000000-0005-0000-0000-000041550000}"/>
    <cellStyle name="40% - Accent4 3 4 2 2 2 2 3" xfId="9675" xr:uid="{00000000-0005-0000-0000-000042550000}"/>
    <cellStyle name="40% - Accent4 3 4 2 2 2 3" xfId="29236" xr:uid="{00000000-0005-0000-0000-000043550000}"/>
    <cellStyle name="40% - Accent4 3 4 2 2 2 3 2" xfId="9130" xr:uid="{00000000-0005-0000-0000-000044550000}"/>
    <cellStyle name="40% - Accent4 3 4 2 2 2 4" xfId="24416" xr:uid="{00000000-0005-0000-0000-000045550000}"/>
    <cellStyle name="40% - Accent4 3 4 2 2 3" xfId="9673" xr:uid="{00000000-0005-0000-0000-000046550000}"/>
    <cellStyle name="40% - Accent4 3 4 2 2 3 2" xfId="29224" xr:uid="{00000000-0005-0000-0000-000047550000}"/>
    <cellStyle name="40% - Accent4 3 4 2 2 3 2 2" xfId="9068" xr:uid="{00000000-0005-0000-0000-000048550000}"/>
    <cellStyle name="40% - Accent4 3 4 2 2 3 3" xfId="9672" xr:uid="{00000000-0005-0000-0000-000049550000}"/>
    <cellStyle name="40% - Accent4 3 4 2 2 4" xfId="9671" xr:uid="{00000000-0005-0000-0000-00004A550000}"/>
    <cellStyle name="40% - Accent4 3 4 2 2 4 2" xfId="9670" xr:uid="{00000000-0005-0000-0000-00004B550000}"/>
    <cellStyle name="40% - Accent4 3 4 2 2 5" xfId="9669" xr:uid="{00000000-0005-0000-0000-00004C550000}"/>
    <cellStyle name="40% - Accent4 3 4 2 3" xfId="9668" xr:uid="{00000000-0005-0000-0000-00004D550000}"/>
    <cellStyle name="40% - Accent4 3 4 2 3 2" xfId="9666" xr:uid="{00000000-0005-0000-0000-00004E550000}"/>
    <cellStyle name="40% - Accent4 3 4 2 3 2 2" xfId="33937" xr:uid="{00000000-0005-0000-0000-00004F550000}"/>
    <cellStyle name="40% - Accent4 3 4 2 3 2 2 2" xfId="9662" xr:uid="{00000000-0005-0000-0000-000050550000}"/>
    <cellStyle name="40% - Accent4 3 4 2 3 2 3" xfId="9660" xr:uid="{00000000-0005-0000-0000-000051550000}"/>
    <cellStyle name="40% - Accent4 3 4 2 3 3" xfId="9655" xr:uid="{00000000-0005-0000-0000-000052550000}"/>
    <cellStyle name="40% - Accent4 3 4 2 3 3 2" xfId="9652" xr:uid="{00000000-0005-0000-0000-000053550000}"/>
    <cellStyle name="40% - Accent4 3 4 2 3 4" xfId="9649" xr:uid="{00000000-0005-0000-0000-000054550000}"/>
    <cellStyle name="40% - Accent4 3 4 2 4" xfId="9646" xr:uid="{00000000-0005-0000-0000-000055550000}"/>
    <cellStyle name="40% - Accent4 3 4 2 4 2" xfId="9644" xr:uid="{00000000-0005-0000-0000-000056550000}"/>
    <cellStyle name="40% - Accent4 3 4 2 4 2 2" xfId="26893" xr:uid="{00000000-0005-0000-0000-000057550000}"/>
    <cellStyle name="40% - Accent4 3 4 2 4 3" xfId="9640" xr:uid="{00000000-0005-0000-0000-000058550000}"/>
    <cellStyle name="40% - Accent4 3 4 2 5" xfId="13260" xr:uid="{00000000-0005-0000-0000-000059550000}"/>
    <cellStyle name="40% - Accent4 3 4 2 5 2" xfId="9639" xr:uid="{00000000-0005-0000-0000-00005A550000}"/>
    <cellStyle name="40% - Accent4 3 4 2 6" xfId="9636" xr:uid="{00000000-0005-0000-0000-00005B550000}"/>
    <cellStyle name="40% - Accent4 3 4 3" xfId="12573" xr:uid="{00000000-0005-0000-0000-00005C550000}"/>
    <cellStyle name="40% - Accent4 3 4 3 2" xfId="14207" xr:uid="{00000000-0005-0000-0000-00005D550000}"/>
    <cellStyle name="40% - Accent4 3 4 3 2 2" xfId="9635" xr:uid="{00000000-0005-0000-0000-00005E550000}"/>
    <cellStyle name="40% - Accent4 3 4 3 2 2 2" xfId="29188" xr:uid="{00000000-0005-0000-0000-00005F550000}"/>
    <cellStyle name="40% - Accent4 3 4 3 2 2 2 2" xfId="9633" xr:uid="{00000000-0005-0000-0000-000060550000}"/>
    <cellStyle name="40% - Accent4 3 4 3 2 2 3" xfId="16812" xr:uid="{00000000-0005-0000-0000-000061550000}"/>
    <cellStyle name="40% - Accent4 3 4 3 2 3" xfId="9631" xr:uid="{00000000-0005-0000-0000-000062550000}"/>
    <cellStyle name="40% - Accent4 3 4 3 2 3 2" xfId="9628" xr:uid="{00000000-0005-0000-0000-000063550000}"/>
    <cellStyle name="40% - Accent4 3 4 3 2 4" xfId="30384" xr:uid="{00000000-0005-0000-0000-000064550000}"/>
    <cellStyle name="40% - Accent4 3 4 3 3" xfId="9627" xr:uid="{00000000-0005-0000-0000-000065550000}"/>
    <cellStyle name="40% - Accent4 3 4 3 3 2" xfId="9624" xr:uid="{00000000-0005-0000-0000-000066550000}"/>
    <cellStyle name="40% - Accent4 3 4 3 3 2 2" xfId="9620" xr:uid="{00000000-0005-0000-0000-000067550000}"/>
    <cellStyle name="40% - Accent4 3 4 3 3 3" xfId="9619" xr:uid="{00000000-0005-0000-0000-000068550000}"/>
    <cellStyle name="40% - Accent4 3 4 3 4" xfId="9614" xr:uid="{00000000-0005-0000-0000-000069550000}"/>
    <cellStyle name="40% - Accent4 3 4 3 4 2" xfId="9613" xr:uid="{00000000-0005-0000-0000-00006A550000}"/>
    <cellStyle name="40% - Accent4 3 4 3 5" xfId="9609" xr:uid="{00000000-0005-0000-0000-00006B550000}"/>
    <cellStyle name="40% - Accent4 3 4 4" xfId="9607" xr:uid="{00000000-0005-0000-0000-00006C550000}"/>
    <cellStyle name="40% - Accent4 3 4 4 2" xfId="27780" xr:uid="{00000000-0005-0000-0000-00006D550000}"/>
    <cellStyle name="40% - Accent4 3 4 4 2 2" xfId="27766" xr:uid="{00000000-0005-0000-0000-00006E550000}"/>
    <cellStyle name="40% - Accent4 3 4 4 2 2 2" xfId="9606" xr:uid="{00000000-0005-0000-0000-00006F550000}"/>
    <cellStyle name="40% - Accent4 3 4 4 2 3" xfId="9605" xr:uid="{00000000-0005-0000-0000-000070550000}"/>
    <cellStyle name="40% - Accent4 3 4 4 3" xfId="28349" xr:uid="{00000000-0005-0000-0000-000071550000}"/>
    <cellStyle name="40% - Accent4 3 4 4 3 2" xfId="9602" xr:uid="{00000000-0005-0000-0000-000072550000}"/>
    <cellStyle name="40% - Accent4 3 4 4 4" xfId="9598" xr:uid="{00000000-0005-0000-0000-000073550000}"/>
    <cellStyle name="40% - Accent4 3 4 5" xfId="17008" xr:uid="{00000000-0005-0000-0000-000074550000}"/>
    <cellStyle name="40% - Accent4 3 4 5 2" xfId="27732" xr:uid="{00000000-0005-0000-0000-000075550000}"/>
    <cellStyle name="40% - Accent4 3 4 5 2 2" xfId="9597" xr:uid="{00000000-0005-0000-0000-000076550000}"/>
    <cellStyle name="40% - Accent4 3 4 5 3" xfId="13744" xr:uid="{00000000-0005-0000-0000-000077550000}"/>
    <cellStyle name="40% - Accent4 3 4 6" xfId="5530" xr:uid="{00000000-0005-0000-0000-000078550000}"/>
    <cellStyle name="40% - Accent4 3 4 6 2" xfId="9596" xr:uid="{00000000-0005-0000-0000-000079550000}"/>
    <cellStyle name="40% - Accent4 3 4 7" xfId="33915" xr:uid="{00000000-0005-0000-0000-00007A550000}"/>
    <cellStyle name="40% - Accent4 3 4 8" xfId="34778" xr:uid="{00000000-0005-0000-0000-00007B550000}"/>
    <cellStyle name="40% - Accent4 3 5" xfId="28485" xr:uid="{00000000-0005-0000-0000-00007C550000}"/>
    <cellStyle name="40% - Accent4 3 5 2" xfId="9594" xr:uid="{00000000-0005-0000-0000-00007D550000}"/>
    <cellStyle name="40% - Accent4 3 5 2 2" xfId="9593" xr:uid="{00000000-0005-0000-0000-00007E550000}"/>
    <cellStyle name="40% - Accent4 3 5 2 2 2" xfId="16628" xr:uid="{00000000-0005-0000-0000-00007F550000}"/>
    <cellStyle name="40% - Accent4 3 5 2 2 2 2" xfId="31191" xr:uid="{00000000-0005-0000-0000-000080550000}"/>
    <cellStyle name="40% - Accent4 3 5 2 2 2 2 2" xfId="22483" xr:uid="{00000000-0005-0000-0000-000081550000}"/>
    <cellStyle name="40% - Accent4 3 5 2 2 2 3" xfId="9591" xr:uid="{00000000-0005-0000-0000-000082550000}"/>
    <cellStyle name="40% - Accent4 3 5 2 2 3" xfId="9588" xr:uid="{00000000-0005-0000-0000-000083550000}"/>
    <cellStyle name="40% - Accent4 3 5 2 2 3 2" xfId="9587" xr:uid="{00000000-0005-0000-0000-000084550000}"/>
    <cellStyle name="40% - Accent4 3 5 2 2 4" xfId="9585" xr:uid="{00000000-0005-0000-0000-000085550000}"/>
    <cellStyle name="40% - Accent4 3 5 2 3" xfId="9584" xr:uid="{00000000-0005-0000-0000-000086550000}"/>
    <cellStyle name="40% - Accent4 3 5 2 3 2" xfId="9582" xr:uid="{00000000-0005-0000-0000-000087550000}"/>
    <cellStyle name="40% - Accent4 3 5 2 3 2 2" xfId="9579" xr:uid="{00000000-0005-0000-0000-000088550000}"/>
    <cellStyle name="40% - Accent4 3 5 2 3 3" xfId="9576" xr:uid="{00000000-0005-0000-0000-000089550000}"/>
    <cellStyle name="40% - Accent4 3 5 2 4" xfId="32813" xr:uid="{00000000-0005-0000-0000-00008A550000}"/>
    <cellStyle name="40% - Accent4 3 5 2 4 2" xfId="9573" xr:uid="{00000000-0005-0000-0000-00008B550000}"/>
    <cellStyle name="40% - Accent4 3 5 2 5" xfId="9570" xr:uid="{00000000-0005-0000-0000-00008C550000}"/>
    <cellStyle name="40% - Accent4 3 5 3" xfId="11969" xr:uid="{00000000-0005-0000-0000-00008D550000}"/>
    <cellStyle name="40% - Accent4 3 5 3 2" xfId="11968" xr:uid="{00000000-0005-0000-0000-00008E550000}"/>
    <cellStyle name="40% - Accent4 3 5 3 2 2" xfId="11964" xr:uid="{00000000-0005-0000-0000-00008F550000}"/>
    <cellStyle name="40% - Accent4 3 5 3 2 2 2" xfId="9564" xr:uid="{00000000-0005-0000-0000-000090550000}"/>
    <cellStyle name="40% - Accent4 3 5 3 2 3" xfId="17172" xr:uid="{00000000-0005-0000-0000-000091550000}"/>
    <cellStyle name="40% - Accent4 3 5 3 3" xfId="11962" xr:uid="{00000000-0005-0000-0000-000092550000}"/>
    <cellStyle name="40% - Accent4 3 5 3 3 2" xfId="9563" xr:uid="{00000000-0005-0000-0000-000093550000}"/>
    <cellStyle name="40% - Accent4 3 5 3 4" xfId="9559" xr:uid="{00000000-0005-0000-0000-000094550000}"/>
    <cellStyle name="40% - Accent4 3 5 4" xfId="11959" xr:uid="{00000000-0005-0000-0000-000095550000}"/>
    <cellStyle name="40% - Accent4 3 5 4 2" xfId="19963" xr:uid="{00000000-0005-0000-0000-000096550000}"/>
    <cellStyle name="40% - Accent4 3 5 4 2 2" xfId="9558" xr:uid="{00000000-0005-0000-0000-000097550000}"/>
    <cellStyle name="40% - Accent4 3 5 4 3" xfId="9556" xr:uid="{00000000-0005-0000-0000-000098550000}"/>
    <cellStyle name="40% - Accent4 3 5 5" xfId="23209" xr:uid="{00000000-0005-0000-0000-000099550000}"/>
    <cellStyle name="40% - Accent4 3 5 5 2" xfId="9555" xr:uid="{00000000-0005-0000-0000-00009A550000}"/>
    <cellStyle name="40% - Accent4 3 5 6" xfId="9554" xr:uid="{00000000-0005-0000-0000-00009B550000}"/>
    <cellStyle name="40% - Accent4 3 5 7" xfId="34971" xr:uid="{00000000-0005-0000-0000-00009C550000}"/>
    <cellStyle name="40% - Accent4 3 6" xfId="9551" xr:uid="{00000000-0005-0000-0000-00009D550000}"/>
    <cellStyle name="40% - Accent4 3 6 2" xfId="9550" xr:uid="{00000000-0005-0000-0000-00009E550000}"/>
    <cellStyle name="40% - Accent4 3 6 2 2" xfId="9548" xr:uid="{00000000-0005-0000-0000-00009F550000}"/>
    <cellStyle name="40% - Accent4 3 6 2 2 2" xfId="9545" xr:uid="{00000000-0005-0000-0000-0000A0550000}"/>
    <cellStyle name="40% - Accent4 3 6 2 2 2 2" xfId="10354" xr:uid="{00000000-0005-0000-0000-0000A1550000}"/>
    <cellStyle name="40% - Accent4 3 6 2 2 3" xfId="9544" xr:uid="{00000000-0005-0000-0000-0000A2550000}"/>
    <cellStyle name="40% - Accent4 3 6 2 3" xfId="9542" xr:uid="{00000000-0005-0000-0000-0000A3550000}"/>
    <cellStyle name="40% - Accent4 3 6 2 3 2" xfId="9540" xr:uid="{00000000-0005-0000-0000-0000A4550000}"/>
    <cellStyle name="40% - Accent4 3 6 2 4" xfId="9537" xr:uid="{00000000-0005-0000-0000-0000A5550000}"/>
    <cellStyle name="40% - Accent4 3 6 3" xfId="12251" xr:uid="{00000000-0005-0000-0000-0000A6550000}"/>
    <cellStyle name="40% - Accent4 3 6 3 2" xfId="12247" xr:uid="{00000000-0005-0000-0000-0000A7550000}"/>
    <cellStyle name="40% - Accent4 3 6 3 2 2" xfId="9536" xr:uid="{00000000-0005-0000-0000-0000A8550000}"/>
    <cellStyle name="40% - Accent4 3 6 3 3" xfId="9535" xr:uid="{00000000-0005-0000-0000-0000A9550000}"/>
    <cellStyle name="40% - Accent4 3 6 4" xfId="12240" xr:uid="{00000000-0005-0000-0000-0000AA550000}"/>
    <cellStyle name="40% - Accent4 3 6 4 2" xfId="9534" xr:uid="{00000000-0005-0000-0000-0000AB550000}"/>
    <cellStyle name="40% - Accent4 3 6 5" xfId="9533" xr:uid="{00000000-0005-0000-0000-0000AC550000}"/>
    <cellStyle name="40% - Accent4 3 6 6" xfId="35176" xr:uid="{00000000-0005-0000-0000-0000AD550000}"/>
    <cellStyle name="40% - Accent4 3 7" xfId="6388" xr:uid="{00000000-0005-0000-0000-0000AE550000}"/>
    <cellStyle name="40% - Accent4 3 7 2" xfId="15350" xr:uid="{00000000-0005-0000-0000-0000AF550000}"/>
    <cellStyle name="40% - Accent4 3 7 2 2" xfId="9532" xr:uid="{00000000-0005-0000-0000-0000B0550000}"/>
    <cellStyle name="40% - Accent4 3 7 2 2 2" xfId="9530" xr:uid="{00000000-0005-0000-0000-0000B1550000}"/>
    <cellStyle name="40% - Accent4 3 7 2 3" xfId="9528" xr:uid="{00000000-0005-0000-0000-0000B2550000}"/>
    <cellStyle name="40% - Accent4 3 7 3" xfId="12235" xr:uid="{00000000-0005-0000-0000-0000B3550000}"/>
    <cellStyle name="40% - Accent4 3 7 3 2" xfId="9527" xr:uid="{00000000-0005-0000-0000-0000B4550000}"/>
    <cellStyle name="40% - Accent4 3 7 4" xfId="9526" xr:uid="{00000000-0005-0000-0000-0000B5550000}"/>
    <cellStyle name="40% - Accent4 3 7 5" xfId="35405" xr:uid="{00000000-0005-0000-0000-0000B6550000}"/>
    <cellStyle name="40% - Accent4 3 8" xfId="15611" xr:uid="{00000000-0005-0000-0000-0000B7550000}"/>
    <cellStyle name="40% - Accent4 3 8 2" xfId="9522" xr:uid="{00000000-0005-0000-0000-0000B8550000}"/>
    <cellStyle name="40% - Accent4 3 8 2 2" xfId="27029" xr:uid="{00000000-0005-0000-0000-0000B9550000}"/>
    <cellStyle name="40% - Accent4 3 8 3" xfId="9520" xr:uid="{00000000-0005-0000-0000-0000BA550000}"/>
    <cellStyle name="40% - Accent4 3 8 4" xfId="36277" xr:uid="{00000000-0005-0000-0000-0000BB550000}"/>
    <cellStyle name="40% - Accent4 3 9" xfId="23300" xr:uid="{00000000-0005-0000-0000-0000BC550000}"/>
    <cellStyle name="40% - Accent4 3 9 2" xfId="9519" xr:uid="{00000000-0005-0000-0000-0000BD550000}"/>
    <cellStyle name="40% - Accent4 3 9 3" xfId="36563" xr:uid="{00000000-0005-0000-0000-0000BE550000}"/>
    <cellStyle name="40% - Accent4 30" xfId="35902" xr:uid="{00000000-0005-0000-0000-0000BF550000}"/>
    <cellStyle name="40% - Accent4 30 2" xfId="37074" xr:uid="{00000000-0005-0000-0000-0000C0550000}"/>
    <cellStyle name="40% - Accent4 30 3" xfId="37969" xr:uid="{00000000-0005-0000-0000-0000C1550000}"/>
    <cellStyle name="40% - Accent4 31" xfId="35922" xr:uid="{00000000-0005-0000-0000-0000C2550000}"/>
    <cellStyle name="40% - Accent4 31 2" xfId="37093" xr:uid="{00000000-0005-0000-0000-0000C3550000}"/>
    <cellStyle name="40% - Accent4 31 3" xfId="37989" xr:uid="{00000000-0005-0000-0000-0000C4550000}"/>
    <cellStyle name="40% - Accent4 32" xfId="35942" xr:uid="{00000000-0005-0000-0000-0000C5550000}"/>
    <cellStyle name="40% - Accent4 32 2" xfId="37112" xr:uid="{00000000-0005-0000-0000-0000C6550000}"/>
    <cellStyle name="40% - Accent4 32 3" xfId="38009" xr:uid="{00000000-0005-0000-0000-0000C7550000}"/>
    <cellStyle name="40% - Accent4 33" xfId="35962" xr:uid="{00000000-0005-0000-0000-0000C8550000}"/>
    <cellStyle name="40% - Accent4 33 2" xfId="37131" xr:uid="{00000000-0005-0000-0000-0000C9550000}"/>
    <cellStyle name="40% - Accent4 33 3" xfId="38029" xr:uid="{00000000-0005-0000-0000-0000CA550000}"/>
    <cellStyle name="40% - Accent4 34" xfId="35982" xr:uid="{00000000-0005-0000-0000-0000CB550000}"/>
    <cellStyle name="40% - Accent4 34 2" xfId="37151" xr:uid="{00000000-0005-0000-0000-0000CC550000}"/>
    <cellStyle name="40% - Accent4 34 3" xfId="38049" xr:uid="{00000000-0005-0000-0000-0000CD550000}"/>
    <cellStyle name="40% - Accent4 35" xfId="36002" xr:uid="{00000000-0005-0000-0000-0000CE550000}"/>
    <cellStyle name="40% - Accent4 35 2" xfId="37171" xr:uid="{00000000-0005-0000-0000-0000CF550000}"/>
    <cellStyle name="40% - Accent4 35 3" xfId="38069" xr:uid="{00000000-0005-0000-0000-0000D0550000}"/>
    <cellStyle name="40% - Accent4 36" xfId="36022" xr:uid="{00000000-0005-0000-0000-0000D1550000}"/>
    <cellStyle name="40% - Accent4 36 2" xfId="37191" xr:uid="{00000000-0005-0000-0000-0000D2550000}"/>
    <cellStyle name="40% - Accent4 36 3" xfId="38089" xr:uid="{00000000-0005-0000-0000-0000D3550000}"/>
    <cellStyle name="40% - Accent4 37" xfId="36042" xr:uid="{00000000-0005-0000-0000-0000D4550000}"/>
    <cellStyle name="40% - Accent4 37 2" xfId="37211" xr:uid="{00000000-0005-0000-0000-0000D5550000}"/>
    <cellStyle name="40% - Accent4 37 3" xfId="38109" xr:uid="{00000000-0005-0000-0000-0000D6550000}"/>
    <cellStyle name="40% - Accent4 38" xfId="36062" xr:uid="{00000000-0005-0000-0000-0000D7550000}"/>
    <cellStyle name="40% - Accent4 38 2" xfId="37231" xr:uid="{00000000-0005-0000-0000-0000D8550000}"/>
    <cellStyle name="40% - Accent4 38 3" xfId="38129" xr:uid="{00000000-0005-0000-0000-0000D9550000}"/>
    <cellStyle name="40% - Accent4 39" xfId="36082" xr:uid="{00000000-0005-0000-0000-0000DA550000}"/>
    <cellStyle name="40% - Accent4 39 2" xfId="37251" xr:uid="{00000000-0005-0000-0000-0000DB550000}"/>
    <cellStyle name="40% - Accent4 39 3" xfId="38149" xr:uid="{00000000-0005-0000-0000-0000DC550000}"/>
    <cellStyle name="40% - Accent4 4" xfId="127" xr:uid="{00000000-0005-0000-0000-0000DD550000}"/>
    <cellStyle name="40% - Accent4 4 10" xfId="34481" xr:uid="{00000000-0005-0000-0000-0000DE550000}"/>
    <cellStyle name="40% - Accent4 4 11" xfId="15200" xr:uid="{00000000-0005-0000-0000-0000DF550000}"/>
    <cellStyle name="40% - Accent4 4 2" xfId="250" xr:uid="{00000000-0005-0000-0000-0000E0550000}"/>
    <cellStyle name="40% - Accent4 4 2 10" xfId="9518" xr:uid="{00000000-0005-0000-0000-0000E1550000}"/>
    <cellStyle name="40% - Accent4 4 2 2" xfId="9517" xr:uid="{00000000-0005-0000-0000-0000E2550000}"/>
    <cellStyle name="40% - Accent4 4 2 2 2" xfId="13554" xr:uid="{00000000-0005-0000-0000-0000E3550000}"/>
    <cellStyle name="40% - Accent4 4 2 2 2 2" xfId="31340" xr:uid="{00000000-0005-0000-0000-0000E4550000}"/>
    <cellStyle name="40% - Accent4 4 2 2 2 2 2" xfId="6582" xr:uid="{00000000-0005-0000-0000-0000E5550000}"/>
    <cellStyle name="40% - Accent4 4 2 2 2 2 2 2" xfId="9515" xr:uid="{00000000-0005-0000-0000-0000E6550000}"/>
    <cellStyle name="40% - Accent4 4 2 2 2 2 2 2 2" xfId="9514" xr:uid="{00000000-0005-0000-0000-0000E7550000}"/>
    <cellStyle name="40% - Accent4 4 2 2 2 2 2 2 2 2" xfId="9512" xr:uid="{00000000-0005-0000-0000-0000E8550000}"/>
    <cellStyle name="40% - Accent4 4 2 2 2 2 2 2 3" xfId="6873" xr:uid="{00000000-0005-0000-0000-0000E9550000}"/>
    <cellStyle name="40% - Accent4 4 2 2 2 2 2 3" xfId="19008" xr:uid="{00000000-0005-0000-0000-0000EA550000}"/>
    <cellStyle name="40% - Accent4 4 2 2 2 2 2 3 2" xfId="9510" xr:uid="{00000000-0005-0000-0000-0000EB550000}"/>
    <cellStyle name="40% - Accent4 4 2 2 2 2 2 4" xfId="23181" xr:uid="{00000000-0005-0000-0000-0000EC550000}"/>
    <cellStyle name="40% - Accent4 4 2 2 2 2 3" xfId="29165" xr:uid="{00000000-0005-0000-0000-0000ED550000}"/>
    <cellStyle name="40% - Accent4 4 2 2 2 2 3 2" xfId="9508" xr:uid="{00000000-0005-0000-0000-0000EE550000}"/>
    <cellStyle name="40% - Accent4 4 2 2 2 2 3 2 2" xfId="6862" xr:uid="{00000000-0005-0000-0000-0000EF550000}"/>
    <cellStyle name="40% - Accent4 4 2 2 2 2 3 3" xfId="31693" xr:uid="{00000000-0005-0000-0000-0000F0550000}"/>
    <cellStyle name="40% - Accent4 4 2 2 2 2 4" xfId="14121" xr:uid="{00000000-0005-0000-0000-0000F1550000}"/>
    <cellStyle name="40% - Accent4 4 2 2 2 2 4 2" xfId="9507" xr:uid="{00000000-0005-0000-0000-0000F2550000}"/>
    <cellStyle name="40% - Accent4 4 2 2 2 2 5" xfId="27348" xr:uid="{00000000-0005-0000-0000-0000F3550000}"/>
    <cellStyle name="40% - Accent4 4 2 2 2 3" xfId="9503" xr:uid="{00000000-0005-0000-0000-0000F4550000}"/>
    <cellStyle name="40% - Accent4 4 2 2 2 3 2" xfId="9499" xr:uid="{00000000-0005-0000-0000-0000F5550000}"/>
    <cellStyle name="40% - Accent4 4 2 2 2 3 2 2" xfId="33258" xr:uid="{00000000-0005-0000-0000-0000F6550000}"/>
    <cellStyle name="40% - Accent4 4 2 2 2 3 2 2 2" xfId="6834" xr:uid="{00000000-0005-0000-0000-0000F7550000}"/>
    <cellStyle name="40% - Accent4 4 2 2 2 3 2 3" xfId="18839" xr:uid="{00000000-0005-0000-0000-0000F8550000}"/>
    <cellStyle name="40% - Accent4 4 2 2 2 3 3" xfId="33705" xr:uid="{00000000-0005-0000-0000-0000F9550000}"/>
    <cellStyle name="40% - Accent4 4 2 2 2 3 3 2" xfId="33225" xr:uid="{00000000-0005-0000-0000-0000FA550000}"/>
    <cellStyle name="40% - Accent4 4 2 2 2 3 4" xfId="21321" xr:uid="{00000000-0005-0000-0000-0000FB550000}"/>
    <cellStyle name="40% - Accent4 4 2 2 2 4" xfId="9498" xr:uid="{00000000-0005-0000-0000-0000FC550000}"/>
    <cellStyle name="40% - Accent4 4 2 2 2 4 2" xfId="9496" xr:uid="{00000000-0005-0000-0000-0000FD550000}"/>
    <cellStyle name="40% - Accent4 4 2 2 2 4 2 2" xfId="31496" xr:uid="{00000000-0005-0000-0000-0000FE550000}"/>
    <cellStyle name="40% - Accent4 4 2 2 2 4 3" xfId="9495" xr:uid="{00000000-0005-0000-0000-0000FF550000}"/>
    <cellStyle name="40% - Accent4 4 2 2 2 5" xfId="9494" xr:uid="{00000000-0005-0000-0000-000000560000}"/>
    <cellStyle name="40% - Accent4 4 2 2 2 5 2" xfId="9493" xr:uid="{00000000-0005-0000-0000-000001560000}"/>
    <cellStyle name="40% - Accent4 4 2 2 2 6" xfId="9492" xr:uid="{00000000-0005-0000-0000-000002560000}"/>
    <cellStyle name="40% - Accent4 4 2 2 3" xfId="13549" xr:uid="{00000000-0005-0000-0000-000003560000}"/>
    <cellStyle name="40% - Accent4 4 2 2 3 2" xfId="11502" xr:uid="{00000000-0005-0000-0000-000004560000}"/>
    <cellStyle name="40% - Accent4 4 2 2 3 2 2" xfId="9491" xr:uid="{00000000-0005-0000-0000-000005560000}"/>
    <cellStyle name="40% - Accent4 4 2 2 3 2 2 2" xfId="9489" xr:uid="{00000000-0005-0000-0000-000006560000}"/>
    <cellStyle name="40% - Accent4 4 2 2 3 2 2 2 2" xfId="6784" xr:uid="{00000000-0005-0000-0000-000007560000}"/>
    <cellStyle name="40% - Accent4 4 2 2 3 2 2 3" xfId="18720" xr:uid="{00000000-0005-0000-0000-000008560000}"/>
    <cellStyle name="40% - Accent4 4 2 2 3 2 3" xfId="26353" xr:uid="{00000000-0005-0000-0000-000009560000}"/>
    <cellStyle name="40% - Accent4 4 2 2 3 2 3 2" xfId="9488" xr:uid="{00000000-0005-0000-0000-00000A560000}"/>
    <cellStyle name="40% - Accent4 4 2 2 3 2 4" xfId="21186" xr:uid="{00000000-0005-0000-0000-00000B560000}"/>
    <cellStyle name="40% - Accent4 4 2 2 3 3" xfId="11490" xr:uid="{00000000-0005-0000-0000-00000C560000}"/>
    <cellStyle name="40% - Accent4 4 2 2 3 3 2" xfId="9486" xr:uid="{00000000-0005-0000-0000-00000D560000}"/>
    <cellStyle name="40% - Accent4 4 2 2 3 3 2 2" xfId="32956" xr:uid="{00000000-0005-0000-0000-00000E560000}"/>
    <cellStyle name="40% - Accent4 4 2 2 3 3 3" xfId="9483" xr:uid="{00000000-0005-0000-0000-00000F560000}"/>
    <cellStyle name="40% - Accent4 4 2 2 3 4" xfId="11482" xr:uid="{00000000-0005-0000-0000-000010560000}"/>
    <cellStyle name="40% - Accent4 4 2 2 3 4 2" xfId="9479" xr:uid="{00000000-0005-0000-0000-000011560000}"/>
    <cellStyle name="40% - Accent4 4 2 2 3 5" xfId="11475" xr:uid="{00000000-0005-0000-0000-000012560000}"/>
    <cellStyle name="40% - Accent4 4 2 2 4" xfId="11464" xr:uid="{00000000-0005-0000-0000-000013560000}"/>
    <cellStyle name="40% - Accent4 4 2 2 4 2" xfId="11462" xr:uid="{00000000-0005-0000-0000-000014560000}"/>
    <cellStyle name="40% - Accent4 4 2 2 4 2 2" xfId="9477" xr:uid="{00000000-0005-0000-0000-000015560000}"/>
    <cellStyle name="40% - Accent4 4 2 2 4 2 2 2" xfId="9475" xr:uid="{00000000-0005-0000-0000-000016560000}"/>
    <cellStyle name="40% - Accent4 4 2 2 4 2 3" xfId="28844" xr:uid="{00000000-0005-0000-0000-000017560000}"/>
    <cellStyle name="40% - Accent4 4 2 2 4 3" xfId="11449" xr:uid="{00000000-0005-0000-0000-000018560000}"/>
    <cellStyle name="40% - Accent4 4 2 2 4 3 2" xfId="13066" xr:uid="{00000000-0005-0000-0000-000019560000}"/>
    <cellStyle name="40% - Accent4 4 2 2 4 4" xfId="11440" xr:uid="{00000000-0005-0000-0000-00001A560000}"/>
    <cellStyle name="40% - Accent4 4 2 2 5" xfId="13250" xr:uid="{00000000-0005-0000-0000-00001B560000}"/>
    <cellStyle name="40% - Accent4 4 2 2 5 2" xfId="14637" xr:uid="{00000000-0005-0000-0000-00001C560000}"/>
    <cellStyle name="40% - Accent4 4 2 2 5 2 2" xfId="9474" xr:uid="{00000000-0005-0000-0000-00001D560000}"/>
    <cellStyle name="40% - Accent4 4 2 2 5 3" xfId="14991" xr:uid="{00000000-0005-0000-0000-00001E560000}"/>
    <cellStyle name="40% - Accent4 4 2 2 6" xfId="13246" xr:uid="{00000000-0005-0000-0000-00001F560000}"/>
    <cellStyle name="40% - Accent4 4 2 2 6 2" xfId="11425" xr:uid="{00000000-0005-0000-0000-000020560000}"/>
    <cellStyle name="40% - Accent4 4 2 2 7" xfId="11418" xr:uid="{00000000-0005-0000-0000-000021560000}"/>
    <cellStyle name="40% - Accent4 4 2 3" xfId="9472" xr:uid="{00000000-0005-0000-0000-000022560000}"/>
    <cellStyle name="40% - Accent4 4 2 3 2" xfId="13534" xr:uid="{00000000-0005-0000-0000-000023560000}"/>
    <cellStyle name="40% - Accent4 4 2 3 2 2" xfId="9469" xr:uid="{00000000-0005-0000-0000-000024560000}"/>
    <cellStyle name="40% - Accent4 4 2 3 2 2 2" xfId="15088" xr:uid="{00000000-0005-0000-0000-000025560000}"/>
    <cellStyle name="40% - Accent4 4 2 3 2 2 2 2" xfId="9468" xr:uid="{00000000-0005-0000-0000-000026560000}"/>
    <cellStyle name="40% - Accent4 4 2 3 2 2 2 2 2" xfId="9466" xr:uid="{00000000-0005-0000-0000-000027560000}"/>
    <cellStyle name="40% - Accent4 4 2 3 2 2 2 3" xfId="18485" xr:uid="{00000000-0005-0000-0000-000028560000}"/>
    <cellStyle name="40% - Accent4 4 2 3 2 2 3" xfId="34200" xr:uid="{00000000-0005-0000-0000-000029560000}"/>
    <cellStyle name="40% - Accent4 4 2 3 2 2 3 2" xfId="9461" xr:uid="{00000000-0005-0000-0000-00002A560000}"/>
    <cellStyle name="40% - Accent4 4 2 3 2 2 4" xfId="20680" xr:uid="{00000000-0005-0000-0000-00002B560000}"/>
    <cellStyle name="40% - Accent4 4 2 3 2 3" xfId="9460" xr:uid="{00000000-0005-0000-0000-00002C560000}"/>
    <cellStyle name="40% - Accent4 4 2 3 2 3 2" xfId="15015" xr:uid="{00000000-0005-0000-0000-00002D560000}"/>
    <cellStyle name="40% - Accent4 4 2 3 2 3 2 2" xfId="22530" xr:uid="{00000000-0005-0000-0000-00002E560000}"/>
    <cellStyle name="40% - Accent4 4 2 3 2 3 3" xfId="15007" xr:uid="{00000000-0005-0000-0000-00002F560000}"/>
    <cellStyle name="40% - Accent4 4 2 3 2 4" xfId="9459" xr:uid="{00000000-0005-0000-0000-000030560000}"/>
    <cellStyle name="40% - Accent4 4 2 3 2 4 2" xfId="14982" xr:uid="{00000000-0005-0000-0000-000031560000}"/>
    <cellStyle name="40% - Accent4 4 2 3 2 5" xfId="9457" xr:uid="{00000000-0005-0000-0000-000032560000}"/>
    <cellStyle name="40% - Accent4 4 2 3 3" xfId="11412" xr:uid="{00000000-0005-0000-0000-000033560000}"/>
    <cellStyle name="40% - Accent4 4 2 3 3 2" xfId="11409" xr:uid="{00000000-0005-0000-0000-000034560000}"/>
    <cellStyle name="40% - Accent4 4 2 3 3 2 2" xfId="14906" xr:uid="{00000000-0005-0000-0000-000035560000}"/>
    <cellStyle name="40% - Accent4 4 2 3 3 2 2 2" xfId="9455" xr:uid="{00000000-0005-0000-0000-000036560000}"/>
    <cellStyle name="40% - Accent4 4 2 3 3 2 3" xfId="14899" xr:uid="{00000000-0005-0000-0000-000037560000}"/>
    <cellStyle name="40% - Accent4 4 2 3 3 3" xfId="11404" xr:uid="{00000000-0005-0000-0000-000038560000}"/>
    <cellStyle name="40% - Accent4 4 2 3 3 3 2" xfId="14875" xr:uid="{00000000-0005-0000-0000-000039560000}"/>
    <cellStyle name="40% - Accent4 4 2 3 3 4" xfId="11398" xr:uid="{00000000-0005-0000-0000-00003A560000}"/>
    <cellStyle name="40% - Accent4 4 2 3 4" xfId="11386" xr:uid="{00000000-0005-0000-0000-00003B560000}"/>
    <cellStyle name="40% - Accent4 4 2 3 4 2" xfId="17384" xr:uid="{00000000-0005-0000-0000-00003C560000}"/>
    <cellStyle name="40% - Accent4 4 2 3 4 2 2" xfId="17380" xr:uid="{00000000-0005-0000-0000-00003D560000}"/>
    <cellStyle name="40% - Accent4 4 2 3 4 3" xfId="17362" xr:uid="{00000000-0005-0000-0000-00003E560000}"/>
    <cellStyle name="40% - Accent4 4 2 3 5" xfId="13242" xr:uid="{00000000-0005-0000-0000-00003F560000}"/>
    <cellStyle name="40% - Accent4 4 2 3 5 2" xfId="17329" xr:uid="{00000000-0005-0000-0000-000040560000}"/>
    <cellStyle name="40% - Accent4 4 2 3 6" xfId="11374" xr:uid="{00000000-0005-0000-0000-000041560000}"/>
    <cellStyle name="40% - Accent4 4 2 4" xfId="9454" xr:uid="{00000000-0005-0000-0000-000042560000}"/>
    <cellStyle name="40% - Accent4 4 2 4 2" xfId="9452" xr:uid="{00000000-0005-0000-0000-000043560000}"/>
    <cellStyle name="40% - Accent4 4 2 4 2 2" xfId="9450" xr:uid="{00000000-0005-0000-0000-000044560000}"/>
    <cellStyle name="40% - Accent4 4 2 4 2 2 2" xfId="14496" xr:uid="{00000000-0005-0000-0000-000045560000}"/>
    <cellStyle name="40% - Accent4 4 2 4 2 2 2 2" xfId="9904" xr:uid="{00000000-0005-0000-0000-000046560000}"/>
    <cellStyle name="40% - Accent4 4 2 4 2 2 3" xfId="14491" xr:uid="{00000000-0005-0000-0000-000047560000}"/>
    <cellStyle name="40% - Accent4 4 2 4 2 3" xfId="9449" xr:uid="{00000000-0005-0000-0000-000048560000}"/>
    <cellStyle name="40% - Accent4 4 2 4 2 3 2" xfId="14459" xr:uid="{00000000-0005-0000-0000-000049560000}"/>
    <cellStyle name="40% - Accent4 4 2 4 2 4" xfId="9448" xr:uid="{00000000-0005-0000-0000-00004A560000}"/>
    <cellStyle name="40% - Accent4 4 2 4 3" xfId="11368" xr:uid="{00000000-0005-0000-0000-00004B560000}"/>
    <cellStyle name="40% - Accent4 4 2 4 3 2" xfId="11365" xr:uid="{00000000-0005-0000-0000-00004C560000}"/>
    <cellStyle name="40% - Accent4 4 2 4 3 2 2" xfId="14378" xr:uid="{00000000-0005-0000-0000-00004D560000}"/>
    <cellStyle name="40% - Accent4 4 2 4 3 3" xfId="12512" xr:uid="{00000000-0005-0000-0000-00004E560000}"/>
    <cellStyle name="40% - Accent4 4 2 4 4" xfId="11354" xr:uid="{00000000-0005-0000-0000-00004F560000}"/>
    <cellStyle name="40% - Accent4 4 2 4 4 2" xfId="17265" xr:uid="{00000000-0005-0000-0000-000050560000}"/>
    <cellStyle name="40% - Accent4 4 2 4 5" xfId="11348" xr:uid="{00000000-0005-0000-0000-000051560000}"/>
    <cellStyle name="40% - Accent4 4 2 5" xfId="9447" xr:uid="{00000000-0005-0000-0000-000052560000}"/>
    <cellStyle name="40% - Accent4 4 2 5 2" xfId="9444" xr:uid="{00000000-0005-0000-0000-000053560000}"/>
    <cellStyle name="40% - Accent4 4 2 5 2 2" xfId="9442" xr:uid="{00000000-0005-0000-0000-000054560000}"/>
    <cellStyle name="40% - Accent4 4 2 5 2 2 2" xfId="13428" xr:uid="{00000000-0005-0000-0000-000055560000}"/>
    <cellStyle name="40% - Accent4 4 2 5 2 3" xfId="9440" xr:uid="{00000000-0005-0000-0000-000056560000}"/>
    <cellStyle name="40% - Accent4 4 2 5 3" xfId="11340" xr:uid="{00000000-0005-0000-0000-000057560000}"/>
    <cellStyle name="40% - Accent4 4 2 5 3 2" xfId="11337" xr:uid="{00000000-0005-0000-0000-000058560000}"/>
    <cellStyle name="40% - Accent4 4 2 5 4" xfId="11327" xr:uid="{00000000-0005-0000-0000-000059560000}"/>
    <cellStyle name="40% - Accent4 4 2 6" xfId="22372" xr:uid="{00000000-0005-0000-0000-00005A560000}"/>
    <cellStyle name="40% - Accent4 4 2 6 2" xfId="9439" xr:uid="{00000000-0005-0000-0000-00005B560000}"/>
    <cellStyle name="40% - Accent4 4 2 6 2 2" xfId="9437" xr:uid="{00000000-0005-0000-0000-00005C560000}"/>
    <cellStyle name="40% - Accent4 4 2 6 3" xfId="11321" xr:uid="{00000000-0005-0000-0000-00005D560000}"/>
    <cellStyle name="40% - Accent4 4 2 7" xfId="18148" xr:uid="{00000000-0005-0000-0000-00005E560000}"/>
    <cellStyle name="40% - Accent4 4 2 7 2" xfId="30442" xr:uid="{00000000-0005-0000-0000-00005F560000}"/>
    <cellStyle name="40% - Accent4 4 2 8" xfId="26114" xr:uid="{00000000-0005-0000-0000-000060560000}"/>
    <cellStyle name="40% - Accent4 4 2 9" xfId="34570" xr:uid="{00000000-0005-0000-0000-000061560000}"/>
    <cellStyle name="40% - Accent4 4 3" xfId="31763" xr:uid="{00000000-0005-0000-0000-000062560000}"/>
    <cellStyle name="40% - Accent4 4 3 2" xfId="11867" xr:uid="{00000000-0005-0000-0000-000063560000}"/>
    <cellStyle name="40% - Accent4 4 3 2 2" xfId="13454" xr:uid="{00000000-0005-0000-0000-000064560000}"/>
    <cellStyle name="40% - Accent4 4 3 2 2 2" xfId="19695" xr:uid="{00000000-0005-0000-0000-000065560000}"/>
    <cellStyle name="40% - Accent4 4 3 2 2 2 2" xfId="27564" xr:uid="{00000000-0005-0000-0000-000066560000}"/>
    <cellStyle name="40% - Accent4 4 3 2 2 2 2 2" xfId="9436" xr:uid="{00000000-0005-0000-0000-000067560000}"/>
    <cellStyle name="40% - Accent4 4 3 2 2 2 2 2 2" xfId="6256" xr:uid="{00000000-0005-0000-0000-000068560000}"/>
    <cellStyle name="40% - Accent4 4 3 2 2 2 2 3" xfId="9434" xr:uid="{00000000-0005-0000-0000-000069560000}"/>
    <cellStyle name="40% - Accent4 4 3 2 2 2 3" xfId="34202" xr:uid="{00000000-0005-0000-0000-00006A560000}"/>
    <cellStyle name="40% - Accent4 4 3 2 2 2 3 2" xfId="9432" xr:uid="{00000000-0005-0000-0000-00006B560000}"/>
    <cellStyle name="40% - Accent4 4 3 2 2 2 4" xfId="19197" xr:uid="{00000000-0005-0000-0000-00006C560000}"/>
    <cellStyle name="40% - Accent4 4 3 2 2 3" xfId="33214" xr:uid="{00000000-0005-0000-0000-00006D560000}"/>
    <cellStyle name="40% - Accent4 4 3 2 2 3 2" xfId="33600" xr:uid="{00000000-0005-0000-0000-00006E560000}"/>
    <cellStyle name="40% - Accent4 4 3 2 2 3 2 2" xfId="14975" xr:uid="{00000000-0005-0000-0000-00006F560000}"/>
    <cellStyle name="40% - Accent4 4 3 2 2 3 3" xfId="9430" xr:uid="{00000000-0005-0000-0000-000070560000}"/>
    <cellStyle name="40% - Accent4 4 3 2 2 4" xfId="9429" xr:uid="{00000000-0005-0000-0000-000071560000}"/>
    <cellStyle name="40% - Accent4 4 3 2 2 4 2" xfId="9426" xr:uid="{00000000-0005-0000-0000-000072560000}"/>
    <cellStyle name="40% - Accent4 4 3 2 2 5" xfId="9423" xr:uid="{00000000-0005-0000-0000-000073560000}"/>
    <cellStyle name="40% - Accent4 4 3 2 3" xfId="11260" xr:uid="{00000000-0005-0000-0000-000074560000}"/>
    <cellStyle name="40% - Accent4 4 3 2 3 2" xfId="19724" xr:uid="{00000000-0005-0000-0000-000075560000}"/>
    <cellStyle name="40% - Accent4 4 3 2 3 2 2" xfId="27556" xr:uid="{00000000-0005-0000-0000-000076560000}"/>
    <cellStyle name="40% - Accent4 4 3 2 3 2 2 2" xfId="9420" xr:uid="{00000000-0005-0000-0000-000077560000}"/>
    <cellStyle name="40% - Accent4 4 3 2 3 2 3" xfId="16880" xr:uid="{00000000-0005-0000-0000-000078560000}"/>
    <cellStyle name="40% - Accent4 4 3 2 3 3" xfId="11253" xr:uid="{00000000-0005-0000-0000-000079560000}"/>
    <cellStyle name="40% - Accent4 4 3 2 3 3 2" xfId="16847" xr:uid="{00000000-0005-0000-0000-00007A560000}"/>
    <cellStyle name="40% - Accent4 4 3 2 3 4" xfId="33623" xr:uid="{00000000-0005-0000-0000-00007B560000}"/>
    <cellStyle name="40% - Accent4 4 3 2 4" xfId="11242" xr:uid="{00000000-0005-0000-0000-00007C560000}"/>
    <cellStyle name="40% - Accent4 4 3 2 4 2" xfId="11240" xr:uid="{00000000-0005-0000-0000-00007D560000}"/>
    <cellStyle name="40% - Accent4 4 3 2 4 2 2" xfId="16235" xr:uid="{00000000-0005-0000-0000-00007E560000}"/>
    <cellStyle name="40% - Accent4 4 3 2 4 3" xfId="11227" xr:uid="{00000000-0005-0000-0000-00007F560000}"/>
    <cellStyle name="40% - Accent4 4 3 2 5" xfId="13233" xr:uid="{00000000-0005-0000-0000-000080560000}"/>
    <cellStyle name="40% - Accent4 4 3 2 5 2" xfId="11211" xr:uid="{00000000-0005-0000-0000-000081560000}"/>
    <cellStyle name="40% - Accent4 4 3 2 6" xfId="11205" xr:uid="{00000000-0005-0000-0000-000082560000}"/>
    <cellStyle name="40% - Accent4 4 3 3" xfId="9419" xr:uid="{00000000-0005-0000-0000-000083560000}"/>
    <cellStyle name="40% - Accent4 4 3 3 2" xfId="14189" xr:uid="{00000000-0005-0000-0000-000084560000}"/>
    <cellStyle name="40% - Accent4 4 3 3 2 2" xfId="33138" xr:uid="{00000000-0005-0000-0000-000085560000}"/>
    <cellStyle name="40% - Accent4 4 3 3 2 2 2" xfId="33299" xr:uid="{00000000-0005-0000-0000-000086560000}"/>
    <cellStyle name="40% - Accent4 4 3 3 2 2 2 2" xfId="9417" xr:uid="{00000000-0005-0000-0000-000087560000}"/>
    <cellStyle name="40% - Accent4 4 3 3 2 2 3" xfId="13583" xr:uid="{00000000-0005-0000-0000-000088560000}"/>
    <cellStyle name="40% - Accent4 4 3 3 2 3" xfId="9416" xr:uid="{00000000-0005-0000-0000-000089560000}"/>
    <cellStyle name="40% - Accent4 4 3 3 2 3 2" xfId="12951" xr:uid="{00000000-0005-0000-0000-00008A560000}"/>
    <cellStyle name="40% - Accent4 4 3 3 2 4" xfId="17737" xr:uid="{00000000-0005-0000-0000-00008B560000}"/>
    <cellStyle name="40% - Accent4 4 3 3 3" xfId="11197" xr:uid="{00000000-0005-0000-0000-00008C560000}"/>
    <cellStyle name="40% - Accent4 4 3 3 3 2" xfId="11193" xr:uid="{00000000-0005-0000-0000-00008D560000}"/>
    <cellStyle name="40% - Accent4 4 3 3 3 2 2" xfId="14731" xr:uid="{00000000-0005-0000-0000-00008E560000}"/>
    <cellStyle name="40% - Accent4 4 3 3 3 3" xfId="11183" xr:uid="{00000000-0005-0000-0000-00008F560000}"/>
    <cellStyle name="40% - Accent4 4 3 3 4" xfId="11177" xr:uid="{00000000-0005-0000-0000-000090560000}"/>
    <cellStyle name="40% - Accent4 4 3 3 4 2" xfId="17140" xr:uid="{00000000-0005-0000-0000-000091560000}"/>
    <cellStyle name="40% - Accent4 4 3 3 5" xfId="11172" xr:uid="{00000000-0005-0000-0000-000092560000}"/>
    <cellStyle name="40% - Accent4 4 3 4" xfId="9414" xr:uid="{00000000-0005-0000-0000-000093560000}"/>
    <cellStyle name="40% - Accent4 4 3 4 2" xfId="9412" xr:uid="{00000000-0005-0000-0000-000094560000}"/>
    <cellStyle name="40% - Accent4 4 3 4 2 2" xfId="9409" xr:uid="{00000000-0005-0000-0000-000095560000}"/>
    <cellStyle name="40% - Accent4 4 3 4 2 2 2" xfId="12381" xr:uid="{00000000-0005-0000-0000-000096560000}"/>
    <cellStyle name="40% - Accent4 4 3 4 2 3" xfId="9407" xr:uid="{00000000-0005-0000-0000-000097560000}"/>
    <cellStyle name="40% - Accent4 4 3 4 3" xfId="11168" xr:uid="{00000000-0005-0000-0000-000098560000}"/>
    <cellStyle name="40% - Accent4 4 3 4 3 2" xfId="11164" xr:uid="{00000000-0005-0000-0000-000099560000}"/>
    <cellStyle name="40% - Accent4 4 3 4 4" xfId="11152" xr:uid="{00000000-0005-0000-0000-00009A560000}"/>
    <cellStyle name="40% - Accent4 4 3 5" xfId="17007" xr:uid="{00000000-0005-0000-0000-00009B560000}"/>
    <cellStyle name="40% - Accent4 4 3 5 2" xfId="9405" xr:uid="{00000000-0005-0000-0000-00009C560000}"/>
    <cellStyle name="40% - Accent4 4 3 5 2 2" xfId="9402" xr:uid="{00000000-0005-0000-0000-00009D560000}"/>
    <cellStyle name="40% - Accent4 4 3 5 3" xfId="11146" xr:uid="{00000000-0005-0000-0000-00009E560000}"/>
    <cellStyle name="40% - Accent4 4 3 6" xfId="22807" xr:uid="{00000000-0005-0000-0000-00009F560000}"/>
    <cellStyle name="40% - Accent4 4 3 6 2" xfId="29771" xr:uid="{00000000-0005-0000-0000-0000A0560000}"/>
    <cellStyle name="40% - Accent4 4 3 7" xfId="27822" xr:uid="{00000000-0005-0000-0000-0000A1560000}"/>
    <cellStyle name="40% - Accent4 4 3 8" xfId="34791" xr:uid="{00000000-0005-0000-0000-0000A2560000}"/>
    <cellStyle name="40% - Accent4 4 4" xfId="11864" xr:uid="{00000000-0005-0000-0000-0000A3560000}"/>
    <cellStyle name="40% - Accent4 4 4 2" xfId="9401" xr:uid="{00000000-0005-0000-0000-0000A4560000}"/>
    <cellStyle name="40% - Accent4 4 4 2 2" xfId="9400" xr:uid="{00000000-0005-0000-0000-0000A5560000}"/>
    <cellStyle name="40% - Accent4 4 4 2 2 2" xfId="18846" xr:uid="{00000000-0005-0000-0000-0000A6560000}"/>
    <cellStyle name="40% - Accent4 4 4 2 2 2 2" xfId="27404" xr:uid="{00000000-0005-0000-0000-0000A7560000}"/>
    <cellStyle name="40% - Accent4 4 4 2 2 2 2 2" xfId="9399" xr:uid="{00000000-0005-0000-0000-0000A8560000}"/>
    <cellStyle name="40% - Accent4 4 4 2 2 2 3" xfId="9397" xr:uid="{00000000-0005-0000-0000-0000A9560000}"/>
    <cellStyle name="40% - Accent4 4 4 2 2 3" xfId="9396" xr:uid="{00000000-0005-0000-0000-0000AA560000}"/>
    <cellStyle name="40% - Accent4 4 4 2 2 3 2" xfId="9395" xr:uid="{00000000-0005-0000-0000-0000AB560000}"/>
    <cellStyle name="40% - Accent4 4 4 2 2 4" xfId="9393" xr:uid="{00000000-0005-0000-0000-0000AC560000}"/>
    <cellStyle name="40% - Accent4 4 4 2 3" xfId="11106" xr:uid="{00000000-0005-0000-0000-0000AD560000}"/>
    <cellStyle name="40% - Accent4 4 4 2 3 2" xfId="11101" xr:uid="{00000000-0005-0000-0000-0000AE560000}"/>
    <cellStyle name="40% - Accent4 4 4 2 3 2 2" xfId="9392" xr:uid="{00000000-0005-0000-0000-0000AF560000}"/>
    <cellStyle name="40% - Accent4 4 4 2 3 3" xfId="11089" xr:uid="{00000000-0005-0000-0000-0000B0560000}"/>
    <cellStyle name="40% - Accent4 4 4 2 4" xfId="11084" xr:uid="{00000000-0005-0000-0000-0000B1560000}"/>
    <cellStyle name="40% - Accent4 4 4 2 4 2" xfId="11081" xr:uid="{00000000-0005-0000-0000-0000B2560000}"/>
    <cellStyle name="40% - Accent4 4 4 2 5" xfId="11069" xr:uid="{00000000-0005-0000-0000-0000B3560000}"/>
    <cellStyle name="40% - Accent4 4 4 3" xfId="9385" xr:uid="{00000000-0005-0000-0000-0000B4560000}"/>
    <cellStyle name="40% - Accent4 4 4 3 2" xfId="9383" xr:uid="{00000000-0005-0000-0000-0000B5560000}"/>
    <cellStyle name="40% - Accent4 4 4 3 2 2" xfId="9381" xr:uid="{00000000-0005-0000-0000-0000B6560000}"/>
    <cellStyle name="40% - Accent4 4 4 3 2 2 2" xfId="10824" xr:uid="{00000000-0005-0000-0000-0000B7560000}"/>
    <cellStyle name="40% - Accent4 4 4 3 2 3" xfId="9380" xr:uid="{00000000-0005-0000-0000-0000B8560000}"/>
    <cellStyle name="40% - Accent4 4 4 3 3" xfId="11062" xr:uid="{00000000-0005-0000-0000-0000B9560000}"/>
    <cellStyle name="40% - Accent4 4 4 3 3 2" xfId="11057" xr:uid="{00000000-0005-0000-0000-0000BA560000}"/>
    <cellStyle name="40% - Accent4 4 4 3 4" xfId="11045" xr:uid="{00000000-0005-0000-0000-0000BB560000}"/>
    <cellStyle name="40% - Accent4 4 4 4" xfId="13651" xr:uid="{00000000-0005-0000-0000-0000BC560000}"/>
    <cellStyle name="40% - Accent4 4 4 4 2" xfId="28066" xr:uid="{00000000-0005-0000-0000-0000BD560000}"/>
    <cellStyle name="40% - Accent4 4 4 4 2 2" xfId="9379" xr:uid="{00000000-0005-0000-0000-0000BE560000}"/>
    <cellStyle name="40% - Accent4 4 4 4 3" xfId="11041" xr:uid="{00000000-0005-0000-0000-0000BF560000}"/>
    <cellStyle name="40% - Accent4 4 4 5" xfId="9377" xr:uid="{00000000-0005-0000-0000-0000C0560000}"/>
    <cellStyle name="40% - Accent4 4 4 5 2" xfId="9373" xr:uid="{00000000-0005-0000-0000-0000C1560000}"/>
    <cellStyle name="40% - Accent4 4 4 6" xfId="5516" xr:uid="{00000000-0005-0000-0000-0000C2560000}"/>
    <cellStyle name="40% - Accent4 4 4 7" xfId="34990" xr:uid="{00000000-0005-0000-0000-0000C3560000}"/>
    <cellStyle name="40% - Accent4 4 5" xfId="9369" xr:uid="{00000000-0005-0000-0000-0000C4560000}"/>
    <cellStyle name="40% - Accent4 4 5 2" xfId="9368" xr:uid="{00000000-0005-0000-0000-0000C5560000}"/>
    <cellStyle name="40% - Accent4 4 5 2 2" xfId="9367" xr:uid="{00000000-0005-0000-0000-0000C6560000}"/>
    <cellStyle name="40% - Accent4 4 5 2 2 2" xfId="29833" xr:uid="{00000000-0005-0000-0000-0000C7560000}"/>
    <cellStyle name="40% - Accent4 4 5 2 2 2 2" xfId="9365" xr:uid="{00000000-0005-0000-0000-0000C8560000}"/>
    <cellStyle name="40% - Accent4 4 5 2 2 3" xfId="9364" xr:uid="{00000000-0005-0000-0000-0000C9560000}"/>
    <cellStyle name="40% - Accent4 4 5 2 3" xfId="11010" xr:uid="{00000000-0005-0000-0000-0000CA560000}"/>
    <cellStyle name="40% - Accent4 4 5 2 3 2" xfId="11007" xr:uid="{00000000-0005-0000-0000-0000CB560000}"/>
    <cellStyle name="40% - Accent4 4 5 2 4" xfId="10992" xr:uid="{00000000-0005-0000-0000-0000CC560000}"/>
    <cellStyle name="40% - Accent4 4 5 3" xfId="11955" xr:uid="{00000000-0005-0000-0000-0000CD560000}"/>
    <cellStyle name="40% - Accent4 4 5 3 2" xfId="11953" xr:uid="{00000000-0005-0000-0000-0000CE560000}"/>
    <cellStyle name="40% - Accent4 4 5 3 2 2" xfId="9362" xr:uid="{00000000-0005-0000-0000-0000CF560000}"/>
    <cellStyle name="40% - Accent4 4 5 3 3" xfId="10981" xr:uid="{00000000-0005-0000-0000-0000D0560000}"/>
    <cellStyle name="40% - Accent4 4 5 4" xfId="11948" xr:uid="{00000000-0005-0000-0000-0000D1560000}"/>
    <cellStyle name="40% - Accent4 4 5 4 2" xfId="9361" xr:uid="{00000000-0005-0000-0000-0000D2560000}"/>
    <cellStyle name="40% - Accent4 4 5 5" xfId="9359" xr:uid="{00000000-0005-0000-0000-0000D3560000}"/>
    <cellStyle name="40% - Accent4 4 5 6" xfId="35195" xr:uid="{00000000-0005-0000-0000-0000D4560000}"/>
    <cellStyle name="40% - Accent4 4 6" xfId="9357" xr:uid="{00000000-0005-0000-0000-0000D5560000}"/>
    <cellStyle name="40% - Accent4 4 6 2" xfId="14031" xr:uid="{00000000-0005-0000-0000-0000D6560000}"/>
    <cellStyle name="40% - Accent4 4 6 2 2" xfId="9356" xr:uid="{00000000-0005-0000-0000-0000D7560000}"/>
    <cellStyle name="40% - Accent4 4 6 2 2 2" xfId="8060" xr:uid="{00000000-0005-0000-0000-0000D8560000}"/>
    <cellStyle name="40% - Accent4 4 6 2 3" xfId="10948" xr:uid="{00000000-0005-0000-0000-0000D9560000}"/>
    <cellStyle name="40% - Accent4 4 6 3" xfId="12260" xr:uid="{00000000-0005-0000-0000-0000DA560000}"/>
    <cellStyle name="40% - Accent4 4 6 3 2" xfId="9354" xr:uid="{00000000-0005-0000-0000-0000DB560000}"/>
    <cellStyle name="40% - Accent4 4 6 4" xfId="9352" xr:uid="{00000000-0005-0000-0000-0000DC560000}"/>
    <cellStyle name="40% - Accent4 4 6 5" xfId="35424" xr:uid="{00000000-0005-0000-0000-0000DD560000}"/>
    <cellStyle name="40% - Accent4 4 7" xfId="9350" xr:uid="{00000000-0005-0000-0000-0000DE560000}"/>
    <cellStyle name="40% - Accent4 4 7 2" xfId="9348" xr:uid="{00000000-0005-0000-0000-0000DF560000}"/>
    <cellStyle name="40% - Accent4 4 7 2 2" xfId="9346" xr:uid="{00000000-0005-0000-0000-0000E0560000}"/>
    <cellStyle name="40% - Accent4 4 7 3" xfId="9345" xr:uid="{00000000-0005-0000-0000-0000E1560000}"/>
    <cellStyle name="40% - Accent4 4 7 4" xfId="36296" xr:uid="{00000000-0005-0000-0000-0000E2560000}"/>
    <cellStyle name="40% - Accent4 4 8" xfId="31314" xr:uid="{00000000-0005-0000-0000-0000E3560000}"/>
    <cellStyle name="40% - Accent4 4 8 2" xfId="9343" xr:uid="{00000000-0005-0000-0000-0000E4560000}"/>
    <cellStyle name="40% - Accent4 4 8 3" xfId="36582" xr:uid="{00000000-0005-0000-0000-0000E5560000}"/>
    <cellStyle name="40% - Accent4 4 9" xfId="28450" xr:uid="{00000000-0005-0000-0000-0000E6560000}"/>
    <cellStyle name="40% - Accent4 4 9 2" xfId="37467" xr:uid="{00000000-0005-0000-0000-0000E7560000}"/>
    <cellStyle name="40% - Accent4 40" xfId="36102" xr:uid="{00000000-0005-0000-0000-0000E8560000}"/>
    <cellStyle name="40% - Accent4 40 2" xfId="37271" xr:uid="{00000000-0005-0000-0000-0000E9560000}"/>
    <cellStyle name="40% - Accent4 40 3" xfId="38169" xr:uid="{00000000-0005-0000-0000-0000EA560000}"/>
    <cellStyle name="40% - Accent4 41" xfId="36122" xr:uid="{00000000-0005-0000-0000-0000EB560000}"/>
    <cellStyle name="40% - Accent4 41 2" xfId="37291" xr:uid="{00000000-0005-0000-0000-0000EC560000}"/>
    <cellStyle name="40% - Accent4 41 3" xfId="38189" xr:uid="{00000000-0005-0000-0000-0000ED560000}"/>
    <cellStyle name="40% - Accent4 42" xfId="36142" xr:uid="{00000000-0005-0000-0000-0000EE560000}"/>
    <cellStyle name="40% - Accent4 42 2" xfId="37311" xr:uid="{00000000-0005-0000-0000-0000EF560000}"/>
    <cellStyle name="40% - Accent4 42 3" xfId="38209" xr:uid="{00000000-0005-0000-0000-0000F0560000}"/>
    <cellStyle name="40% - Accent4 43" xfId="36162" xr:uid="{00000000-0005-0000-0000-0000F1560000}"/>
    <cellStyle name="40% - Accent4 43 2" xfId="37331" xr:uid="{00000000-0005-0000-0000-0000F2560000}"/>
    <cellStyle name="40% - Accent4 43 3" xfId="38229" xr:uid="{00000000-0005-0000-0000-0000F3560000}"/>
    <cellStyle name="40% - Accent4 44" xfId="36182" xr:uid="{00000000-0005-0000-0000-0000F4560000}"/>
    <cellStyle name="40% - Accent4 44 2" xfId="37351" xr:uid="{00000000-0005-0000-0000-0000F5560000}"/>
    <cellStyle name="40% - Accent4 44 3" xfId="38249" xr:uid="{00000000-0005-0000-0000-0000F6560000}"/>
    <cellStyle name="40% - Accent4 45" xfId="36202" xr:uid="{00000000-0005-0000-0000-0000F7560000}"/>
    <cellStyle name="40% - Accent4 45 2" xfId="37371" xr:uid="{00000000-0005-0000-0000-0000F8560000}"/>
    <cellStyle name="40% - Accent4 45 3" xfId="38269" xr:uid="{00000000-0005-0000-0000-0000F9560000}"/>
    <cellStyle name="40% - Accent4 46" xfId="36222" xr:uid="{00000000-0005-0000-0000-0000FA560000}"/>
    <cellStyle name="40% - Accent4 46 2" xfId="37389" xr:uid="{00000000-0005-0000-0000-0000FB560000}"/>
    <cellStyle name="40% - Accent4 46 3" xfId="38289" xr:uid="{00000000-0005-0000-0000-0000FC560000}"/>
    <cellStyle name="40% - Accent4 47" xfId="36523" xr:uid="{00000000-0005-0000-0000-0000FD560000}"/>
    <cellStyle name="40% - Accent4 48" xfId="37408" xr:uid="{00000000-0005-0000-0000-0000FE560000}"/>
    <cellStyle name="40% - Accent4 5" xfId="270" xr:uid="{00000000-0005-0000-0000-0000FF560000}"/>
    <cellStyle name="40% - Accent4 5 10" xfId="15191" xr:uid="{00000000-0005-0000-0000-000000570000}"/>
    <cellStyle name="40% - Accent4 5 2" xfId="9342" xr:uid="{00000000-0005-0000-0000-000001570000}"/>
    <cellStyle name="40% - Accent4 5 2 2" xfId="9340" xr:uid="{00000000-0005-0000-0000-000002570000}"/>
    <cellStyle name="40% - Accent4 5 2 2 2" xfId="17937" xr:uid="{00000000-0005-0000-0000-000003570000}"/>
    <cellStyle name="40% - Accent4 5 2 2 2 2" xfId="24555" xr:uid="{00000000-0005-0000-0000-000004570000}"/>
    <cellStyle name="40% - Accent4 5 2 2 2 2 2" xfId="9337" xr:uid="{00000000-0005-0000-0000-000005570000}"/>
    <cellStyle name="40% - Accent4 5 2 2 2 2 2 2" xfId="9335" xr:uid="{00000000-0005-0000-0000-000006570000}"/>
    <cellStyle name="40% - Accent4 5 2 2 2 2 2 2 2" xfId="9334" xr:uid="{00000000-0005-0000-0000-000007570000}"/>
    <cellStyle name="40% - Accent4 5 2 2 2 2 2 3" xfId="9333" xr:uid="{00000000-0005-0000-0000-000008570000}"/>
    <cellStyle name="40% - Accent4 5 2 2 2 2 3" xfId="32661" xr:uid="{00000000-0005-0000-0000-000009570000}"/>
    <cellStyle name="40% - Accent4 5 2 2 2 2 3 2" xfId="9332" xr:uid="{00000000-0005-0000-0000-00000A570000}"/>
    <cellStyle name="40% - Accent4 5 2 2 2 2 4" xfId="12128" xr:uid="{00000000-0005-0000-0000-00000B570000}"/>
    <cellStyle name="40% - Accent4 5 2 2 2 3" xfId="9330" xr:uid="{00000000-0005-0000-0000-00000C570000}"/>
    <cellStyle name="40% - Accent4 5 2 2 2 3 2" xfId="9327" xr:uid="{00000000-0005-0000-0000-00000D570000}"/>
    <cellStyle name="40% - Accent4 5 2 2 2 3 2 2" xfId="20293" xr:uid="{00000000-0005-0000-0000-00000E570000}"/>
    <cellStyle name="40% - Accent4 5 2 2 2 3 3" xfId="9325" xr:uid="{00000000-0005-0000-0000-00000F570000}"/>
    <cellStyle name="40% - Accent4 5 2 2 2 4" xfId="9322" xr:uid="{00000000-0005-0000-0000-000010570000}"/>
    <cellStyle name="40% - Accent4 5 2 2 2 4 2" xfId="9319" xr:uid="{00000000-0005-0000-0000-000011570000}"/>
    <cellStyle name="40% - Accent4 5 2 2 2 5" xfId="9317" xr:uid="{00000000-0005-0000-0000-000012570000}"/>
    <cellStyle name="40% - Accent4 5 2 2 3" xfId="24549" xr:uid="{00000000-0005-0000-0000-000013570000}"/>
    <cellStyle name="40% - Accent4 5 2 2 3 2" xfId="10880" xr:uid="{00000000-0005-0000-0000-000014570000}"/>
    <cellStyle name="40% - Accent4 5 2 2 3 2 2" xfId="9314" xr:uid="{00000000-0005-0000-0000-000015570000}"/>
    <cellStyle name="40% - Accent4 5 2 2 3 2 2 2" xfId="9310" xr:uid="{00000000-0005-0000-0000-000016570000}"/>
    <cellStyle name="40% - Accent4 5 2 2 3 2 3" xfId="9309" xr:uid="{00000000-0005-0000-0000-000017570000}"/>
    <cellStyle name="40% - Accent4 5 2 2 3 3" xfId="10869" xr:uid="{00000000-0005-0000-0000-000018570000}"/>
    <cellStyle name="40% - Accent4 5 2 2 3 3 2" xfId="9304" xr:uid="{00000000-0005-0000-0000-000019570000}"/>
    <cellStyle name="40% - Accent4 5 2 2 3 4" xfId="10864" xr:uid="{00000000-0005-0000-0000-00001A570000}"/>
    <cellStyle name="40% - Accent4 5 2 2 4" xfId="22197" xr:uid="{00000000-0005-0000-0000-00001B570000}"/>
    <cellStyle name="40% - Accent4 5 2 2 4 2" xfId="10855" xr:uid="{00000000-0005-0000-0000-00001C570000}"/>
    <cellStyle name="40% - Accent4 5 2 2 4 2 2" xfId="9302" xr:uid="{00000000-0005-0000-0000-00001D570000}"/>
    <cellStyle name="40% - Accent4 5 2 2 4 3" xfId="10847" xr:uid="{00000000-0005-0000-0000-00001E570000}"/>
    <cellStyle name="40% - Accent4 5 2 2 5" xfId="13225" xr:uid="{00000000-0005-0000-0000-00001F570000}"/>
    <cellStyle name="40% - Accent4 5 2 2 5 2" xfId="10839" xr:uid="{00000000-0005-0000-0000-000020570000}"/>
    <cellStyle name="40% - Accent4 5 2 2 6" xfId="10832" xr:uid="{00000000-0005-0000-0000-000021570000}"/>
    <cellStyle name="40% - Accent4 5 2 3" xfId="31703" xr:uid="{00000000-0005-0000-0000-000022570000}"/>
    <cellStyle name="40% - Accent4 5 2 3 2" xfId="24434" xr:uid="{00000000-0005-0000-0000-000023570000}"/>
    <cellStyle name="40% - Accent4 5 2 3 2 2" xfId="9300" xr:uid="{00000000-0005-0000-0000-000024570000}"/>
    <cellStyle name="40% - Accent4 5 2 3 2 2 2" xfId="9296" xr:uid="{00000000-0005-0000-0000-000025570000}"/>
    <cellStyle name="40% - Accent4 5 2 3 2 2 2 2" xfId="9294" xr:uid="{00000000-0005-0000-0000-000026570000}"/>
    <cellStyle name="40% - Accent4 5 2 3 2 2 3" xfId="9293" xr:uid="{00000000-0005-0000-0000-000027570000}"/>
    <cellStyle name="40% - Accent4 5 2 3 2 3" xfId="9291" xr:uid="{00000000-0005-0000-0000-000028570000}"/>
    <cellStyle name="40% - Accent4 5 2 3 2 3 2" xfId="9289" xr:uid="{00000000-0005-0000-0000-000029570000}"/>
    <cellStyle name="40% - Accent4 5 2 3 2 4" xfId="9285" xr:uid="{00000000-0005-0000-0000-00002A570000}"/>
    <cellStyle name="40% - Accent4 5 2 3 3" xfId="25743" xr:uid="{00000000-0005-0000-0000-00002B570000}"/>
    <cellStyle name="40% - Accent4 5 2 3 3 2" xfId="10821" xr:uid="{00000000-0005-0000-0000-00002C570000}"/>
    <cellStyle name="40% - Accent4 5 2 3 3 2 2" xfId="9282" xr:uid="{00000000-0005-0000-0000-00002D570000}"/>
    <cellStyle name="40% - Accent4 5 2 3 3 3" xfId="10815" xr:uid="{00000000-0005-0000-0000-00002E570000}"/>
    <cellStyle name="40% - Accent4 5 2 3 4" xfId="32886" xr:uid="{00000000-0005-0000-0000-00002F570000}"/>
    <cellStyle name="40% - Accent4 5 2 3 4 2" xfId="16510" xr:uid="{00000000-0005-0000-0000-000030570000}"/>
    <cellStyle name="40% - Accent4 5 2 3 5" xfId="10807" xr:uid="{00000000-0005-0000-0000-000031570000}"/>
    <cellStyle name="40% - Accent4 5 2 4" xfId="31677" xr:uid="{00000000-0005-0000-0000-000032570000}"/>
    <cellStyle name="40% - Accent4 5 2 4 2" xfId="31665" xr:uid="{00000000-0005-0000-0000-000033570000}"/>
    <cellStyle name="40% - Accent4 5 2 4 2 2" xfId="13647" xr:uid="{00000000-0005-0000-0000-000034570000}"/>
    <cellStyle name="40% - Accent4 5 2 4 2 2 2" xfId="9279" xr:uid="{00000000-0005-0000-0000-000035570000}"/>
    <cellStyle name="40% - Accent4 5 2 4 2 3" xfId="13643" xr:uid="{00000000-0005-0000-0000-000036570000}"/>
    <cellStyle name="40% - Accent4 5 2 4 3" xfId="10801" xr:uid="{00000000-0005-0000-0000-000037570000}"/>
    <cellStyle name="40% - Accent4 5 2 4 3 2" xfId="13635" xr:uid="{00000000-0005-0000-0000-000038570000}"/>
    <cellStyle name="40% - Accent4 5 2 4 4" xfId="10791" xr:uid="{00000000-0005-0000-0000-000039570000}"/>
    <cellStyle name="40% - Accent4 5 2 5" xfId="22259" xr:uid="{00000000-0005-0000-0000-00003A570000}"/>
    <cellStyle name="40% - Accent4 5 2 5 2" xfId="9275" xr:uid="{00000000-0005-0000-0000-00003B570000}"/>
    <cellStyle name="40% - Accent4 5 2 5 2 2" xfId="13609" xr:uid="{00000000-0005-0000-0000-00003C570000}"/>
    <cellStyle name="40% - Accent4 5 2 5 3" xfId="22881" xr:uid="{00000000-0005-0000-0000-00003D570000}"/>
    <cellStyle name="40% - Accent4 5 2 6" xfId="22791" xr:uid="{00000000-0005-0000-0000-00003E570000}"/>
    <cellStyle name="40% - Accent4 5 2 6 2" xfId="9273" xr:uid="{00000000-0005-0000-0000-00003F570000}"/>
    <cellStyle name="40% - Accent4 5 2 7" xfId="27382" xr:uid="{00000000-0005-0000-0000-000040570000}"/>
    <cellStyle name="40% - Accent4 5 2 8" xfId="34807" xr:uid="{00000000-0005-0000-0000-000041570000}"/>
    <cellStyle name="40% - Accent4 5 3" xfId="11862" xr:uid="{00000000-0005-0000-0000-000042570000}"/>
    <cellStyle name="40% - Accent4 5 3 2" xfId="9271" xr:uid="{00000000-0005-0000-0000-000043570000}"/>
    <cellStyle name="40% - Accent4 5 3 2 2" xfId="24091" xr:uid="{00000000-0005-0000-0000-000044570000}"/>
    <cellStyle name="40% - Accent4 5 3 2 2 2" xfId="9269" xr:uid="{00000000-0005-0000-0000-000045570000}"/>
    <cellStyle name="40% - Accent4 5 3 2 2 2 2" xfId="34260" xr:uid="{00000000-0005-0000-0000-000046570000}"/>
    <cellStyle name="40% - Accent4 5 3 2 2 2 2 2" xfId="9265" xr:uid="{00000000-0005-0000-0000-000047570000}"/>
    <cellStyle name="40% - Accent4 5 3 2 2 2 3" xfId="9264" xr:uid="{00000000-0005-0000-0000-000048570000}"/>
    <cellStyle name="40% - Accent4 5 3 2 2 3" xfId="9261" xr:uid="{00000000-0005-0000-0000-000049570000}"/>
    <cellStyle name="40% - Accent4 5 3 2 2 3 2" xfId="9257" xr:uid="{00000000-0005-0000-0000-00004A570000}"/>
    <cellStyle name="40% - Accent4 5 3 2 2 4" xfId="9254" xr:uid="{00000000-0005-0000-0000-00004B570000}"/>
    <cellStyle name="40% - Accent4 5 3 2 3" xfId="10742" xr:uid="{00000000-0005-0000-0000-00004C570000}"/>
    <cellStyle name="40% - Accent4 5 3 2 3 2" xfId="10739" xr:uid="{00000000-0005-0000-0000-00004D570000}"/>
    <cellStyle name="40% - Accent4 5 3 2 3 2 2" xfId="9250" xr:uid="{00000000-0005-0000-0000-00004E570000}"/>
    <cellStyle name="40% - Accent4 5 3 2 3 3" xfId="10733" xr:uid="{00000000-0005-0000-0000-00004F570000}"/>
    <cellStyle name="40% - Accent4 5 3 2 4" xfId="10726" xr:uid="{00000000-0005-0000-0000-000050570000}"/>
    <cellStyle name="40% - Accent4 5 3 2 4 2" xfId="10723" xr:uid="{00000000-0005-0000-0000-000051570000}"/>
    <cellStyle name="40% - Accent4 5 3 2 5" xfId="10712" xr:uid="{00000000-0005-0000-0000-000052570000}"/>
    <cellStyle name="40% - Accent4 5 3 3" xfId="31645" xr:uid="{00000000-0005-0000-0000-000053570000}"/>
    <cellStyle name="40% - Accent4 5 3 3 2" xfId="31146" xr:uid="{00000000-0005-0000-0000-000054570000}"/>
    <cellStyle name="40% - Accent4 5 3 3 2 2" xfId="9247" xr:uid="{00000000-0005-0000-0000-000055570000}"/>
    <cellStyle name="40% - Accent4 5 3 3 2 2 2" xfId="9244" xr:uid="{00000000-0005-0000-0000-000056570000}"/>
    <cellStyle name="40% - Accent4 5 3 3 2 3" xfId="9242" xr:uid="{00000000-0005-0000-0000-000057570000}"/>
    <cellStyle name="40% - Accent4 5 3 3 3" xfId="14575" xr:uid="{00000000-0005-0000-0000-000058570000}"/>
    <cellStyle name="40% - Accent4 5 3 3 3 2" xfId="10703" xr:uid="{00000000-0005-0000-0000-000059570000}"/>
    <cellStyle name="40% - Accent4 5 3 3 4" xfId="10694" xr:uid="{00000000-0005-0000-0000-00005A570000}"/>
    <cellStyle name="40% - Accent4 5 3 4" xfId="30799" xr:uid="{00000000-0005-0000-0000-00005B570000}"/>
    <cellStyle name="40% - Accent4 5 3 4 2" xfId="14568" xr:uid="{00000000-0005-0000-0000-00005C570000}"/>
    <cellStyle name="40% - Accent4 5 3 4 2 2" xfId="13570" xr:uid="{00000000-0005-0000-0000-00005D570000}"/>
    <cellStyle name="40% - Accent4 5 3 4 3" xfId="10688" xr:uid="{00000000-0005-0000-0000-00005E570000}"/>
    <cellStyle name="40% - Accent4 5 3 5" xfId="9239" xr:uid="{00000000-0005-0000-0000-00005F570000}"/>
    <cellStyle name="40% - Accent4 5 3 5 2" xfId="9236" xr:uid="{00000000-0005-0000-0000-000060570000}"/>
    <cellStyle name="40% - Accent4 5 3 6" xfId="9234" xr:uid="{00000000-0005-0000-0000-000061570000}"/>
    <cellStyle name="40% - Accent4 5 3 7" xfId="35009" xr:uid="{00000000-0005-0000-0000-000062570000}"/>
    <cellStyle name="40% - Accent4 5 4" xfId="9231" xr:uid="{00000000-0005-0000-0000-000063570000}"/>
    <cellStyle name="40% - Accent4 5 4 2" xfId="10774" xr:uid="{00000000-0005-0000-0000-000064570000}"/>
    <cellStyle name="40% - Accent4 5 4 2 2" xfId="20025" xr:uid="{00000000-0005-0000-0000-000065570000}"/>
    <cellStyle name="40% - Accent4 5 4 2 2 2" xfId="29887" xr:uid="{00000000-0005-0000-0000-000066570000}"/>
    <cellStyle name="40% - Accent4 5 4 2 2 2 2" xfId="9228" xr:uid="{00000000-0005-0000-0000-000067570000}"/>
    <cellStyle name="40% - Accent4 5 4 2 2 3" xfId="9225" xr:uid="{00000000-0005-0000-0000-000068570000}"/>
    <cellStyle name="40% - Accent4 5 4 2 3" xfId="10659" xr:uid="{00000000-0005-0000-0000-000069570000}"/>
    <cellStyle name="40% - Accent4 5 4 2 3 2" xfId="10654" xr:uid="{00000000-0005-0000-0000-00006A570000}"/>
    <cellStyle name="40% - Accent4 5 4 2 4" xfId="10640" xr:uid="{00000000-0005-0000-0000-00006B570000}"/>
    <cellStyle name="40% - Accent4 5 4 3" xfId="31625" xr:uid="{00000000-0005-0000-0000-00006C570000}"/>
    <cellStyle name="40% - Accent4 5 4 3 2" xfId="14561" xr:uid="{00000000-0005-0000-0000-00006D570000}"/>
    <cellStyle name="40% - Accent4 5 4 3 2 2" xfId="9217" xr:uid="{00000000-0005-0000-0000-00006E570000}"/>
    <cellStyle name="40% - Accent4 5 4 3 3" xfId="10627" xr:uid="{00000000-0005-0000-0000-00006F570000}"/>
    <cellStyle name="40% - Accent4 5 4 4" xfId="18210" xr:uid="{00000000-0005-0000-0000-000070570000}"/>
    <cellStyle name="40% - Accent4 5 4 4 2" xfId="9214" xr:uid="{00000000-0005-0000-0000-000071570000}"/>
    <cellStyle name="40% - Accent4 5 4 5" xfId="27715" xr:uid="{00000000-0005-0000-0000-000072570000}"/>
    <cellStyle name="40% - Accent4 5 4 6" xfId="35215" xr:uid="{00000000-0005-0000-0000-000073570000}"/>
    <cellStyle name="40% - Accent4 5 5" xfId="18980" xr:uid="{00000000-0005-0000-0000-000074570000}"/>
    <cellStyle name="40% - Accent4 5 5 2" xfId="9210" xr:uid="{00000000-0005-0000-0000-000075570000}"/>
    <cellStyle name="40% - Accent4 5 5 2 2" xfId="9209" xr:uid="{00000000-0005-0000-0000-000076570000}"/>
    <cellStyle name="40% - Accent4 5 5 2 2 2" xfId="31558" xr:uid="{00000000-0005-0000-0000-000077570000}"/>
    <cellStyle name="40% - Accent4 5 5 2 3" xfId="10597" xr:uid="{00000000-0005-0000-0000-000078570000}"/>
    <cellStyle name="40% - Accent4 5 5 3" xfId="11942" xr:uid="{00000000-0005-0000-0000-000079570000}"/>
    <cellStyle name="40% - Accent4 5 5 3 2" xfId="12814" xr:uid="{00000000-0005-0000-0000-00007A570000}"/>
    <cellStyle name="40% - Accent4 5 5 4" xfId="18206" xr:uid="{00000000-0005-0000-0000-00007B570000}"/>
    <cellStyle name="40% - Accent4 5 5 5" xfId="35444" xr:uid="{00000000-0005-0000-0000-00007C570000}"/>
    <cellStyle name="40% - Accent4 5 6" xfId="9205" xr:uid="{00000000-0005-0000-0000-00007D570000}"/>
    <cellStyle name="40% - Accent4 5 6 2" xfId="9204" xr:uid="{00000000-0005-0000-0000-00007E570000}"/>
    <cellStyle name="40% - Accent4 5 6 2 2" xfId="9200" xr:uid="{00000000-0005-0000-0000-00007F570000}"/>
    <cellStyle name="40% - Accent4 5 6 3" xfId="9196" xr:uid="{00000000-0005-0000-0000-000080570000}"/>
    <cellStyle name="40% - Accent4 5 6 4" xfId="36316" xr:uid="{00000000-0005-0000-0000-000081570000}"/>
    <cellStyle name="40% - Accent4 5 7" xfId="9192" xr:uid="{00000000-0005-0000-0000-000082570000}"/>
    <cellStyle name="40% - Accent4 5 7 2" xfId="9191" xr:uid="{00000000-0005-0000-0000-000083570000}"/>
    <cellStyle name="40% - Accent4 5 7 3" xfId="36602" xr:uid="{00000000-0005-0000-0000-000084570000}"/>
    <cellStyle name="40% - Accent4 5 8" xfId="9188" xr:uid="{00000000-0005-0000-0000-000085570000}"/>
    <cellStyle name="40% - Accent4 5 8 2" xfId="37487" xr:uid="{00000000-0005-0000-0000-000086570000}"/>
    <cellStyle name="40% - Accent4 5 9" xfId="34584" xr:uid="{00000000-0005-0000-0000-000087570000}"/>
    <cellStyle name="40% - Accent4 6" xfId="290" xr:uid="{00000000-0005-0000-0000-000088570000}"/>
    <cellStyle name="40% - Accent4 6 2" xfId="9187" xr:uid="{00000000-0005-0000-0000-000089570000}"/>
    <cellStyle name="40% - Accent4 6 2 2" xfId="9184" xr:uid="{00000000-0005-0000-0000-00008A570000}"/>
    <cellStyle name="40% - Accent4 6 2 2 2" xfId="13667" xr:uid="{00000000-0005-0000-0000-00008B570000}"/>
    <cellStyle name="40% - Accent4 6 2 2 2 2" xfId="9179" xr:uid="{00000000-0005-0000-0000-00008C570000}"/>
    <cellStyle name="40% - Accent4 6 2 2 2 2 2" xfId="9172" xr:uid="{00000000-0005-0000-0000-00008D570000}"/>
    <cellStyle name="40% - Accent4 6 2 2 2 2 2 2" xfId="13649" xr:uid="{00000000-0005-0000-0000-00008E570000}"/>
    <cellStyle name="40% - Accent4 6 2 2 2 2 3" xfId="9170" xr:uid="{00000000-0005-0000-0000-00008F570000}"/>
    <cellStyle name="40% - Accent4 6 2 2 2 3" xfId="9166" xr:uid="{00000000-0005-0000-0000-000090570000}"/>
    <cellStyle name="40% - Accent4 6 2 2 2 3 2" xfId="9163" xr:uid="{00000000-0005-0000-0000-000091570000}"/>
    <cellStyle name="40% - Accent4 6 2 2 2 4" xfId="9160" xr:uid="{00000000-0005-0000-0000-000092570000}"/>
    <cellStyle name="40% - Accent4 6 2 2 3" xfId="10549" xr:uid="{00000000-0005-0000-0000-000093570000}"/>
    <cellStyle name="40% - Accent4 6 2 2 3 2" xfId="12614" xr:uid="{00000000-0005-0000-0000-000094570000}"/>
    <cellStyle name="40% - Accent4 6 2 2 3 2 2" xfId="9156" xr:uid="{00000000-0005-0000-0000-000095570000}"/>
    <cellStyle name="40% - Accent4 6 2 2 3 3" xfId="12605" xr:uid="{00000000-0005-0000-0000-000096570000}"/>
    <cellStyle name="40% - Accent4 6 2 2 4" xfId="10539" xr:uid="{00000000-0005-0000-0000-000097570000}"/>
    <cellStyle name="40% - Accent4 6 2 2 4 2" xfId="12588" xr:uid="{00000000-0005-0000-0000-000098570000}"/>
    <cellStyle name="40% - Accent4 6 2 2 5" xfId="10527" xr:uid="{00000000-0005-0000-0000-000099570000}"/>
    <cellStyle name="40% - Accent4 6 2 3" xfId="5634" xr:uid="{00000000-0005-0000-0000-00009A570000}"/>
    <cellStyle name="40% - Accent4 6 2 3 2" xfId="13515" xr:uid="{00000000-0005-0000-0000-00009B570000}"/>
    <cellStyle name="40% - Accent4 6 2 3 2 2" xfId="9154" xr:uid="{00000000-0005-0000-0000-00009C570000}"/>
    <cellStyle name="40% - Accent4 6 2 3 2 2 2" xfId="9151" xr:uid="{00000000-0005-0000-0000-00009D570000}"/>
    <cellStyle name="40% - Accent4 6 2 3 2 3" xfId="9147" xr:uid="{00000000-0005-0000-0000-00009E570000}"/>
    <cellStyle name="40% - Accent4 6 2 3 3" xfId="10514" xr:uid="{00000000-0005-0000-0000-00009F570000}"/>
    <cellStyle name="40% - Accent4 6 2 3 3 2" xfId="12567" xr:uid="{00000000-0005-0000-0000-0000A0570000}"/>
    <cellStyle name="40% - Accent4 6 2 3 4" xfId="10508" xr:uid="{00000000-0005-0000-0000-0000A1570000}"/>
    <cellStyle name="40% - Accent4 6 2 4" xfId="25487" xr:uid="{00000000-0005-0000-0000-0000A2570000}"/>
    <cellStyle name="40% - Accent4 6 2 4 2" xfId="9143" xr:uid="{00000000-0005-0000-0000-0000A3570000}"/>
    <cellStyle name="40% - Accent4 6 2 4 2 2" xfId="13434" xr:uid="{00000000-0005-0000-0000-0000A4570000}"/>
    <cellStyle name="40% - Accent4 6 2 4 3" xfId="10499" xr:uid="{00000000-0005-0000-0000-0000A5570000}"/>
    <cellStyle name="40% - Accent4 6 2 5" xfId="22547" xr:uid="{00000000-0005-0000-0000-0000A6570000}"/>
    <cellStyle name="40% - Accent4 6 2 5 2" xfId="9139" xr:uid="{00000000-0005-0000-0000-0000A7570000}"/>
    <cellStyle name="40% - Accent4 6 2 6" xfId="18750" xr:uid="{00000000-0005-0000-0000-0000A8570000}"/>
    <cellStyle name="40% - Accent4 6 2 7" xfId="34826" xr:uid="{00000000-0005-0000-0000-0000A9570000}"/>
    <cellStyle name="40% - Accent4 6 3" xfId="13370" xr:uid="{00000000-0005-0000-0000-0000AA570000}"/>
    <cellStyle name="40% - Accent4 6 3 2" xfId="9134" xr:uid="{00000000-0005-0000-0000-0000AB570000}"/>
    <cellStyle name="40% - Accent4 6 3 2 2" xfId="9129" xr:uid="{00000000-0005-0000-0000-0000AC570000}"/>
    <cellStyle name="40% - Accent4 6 3 2 2 2" xfId="9124" xr:uid="{00000000-0005-0000-0000-0000AD570000}"/>
    <cellStyle name="40% - Accent4 6 3 2 2 2 2" xfId="9120" xr:uid="{00000000-0005-0000-0000-0000AE570000}"/>
    <cellStyle name="40% - Accent4 6 3 2 2 3" xfId="9118" xr:uid="{00000000-0005-0000-0000-0000AF570000}"/>
    <cellStyle name="40% - Accent4 6 3 2 3" xfId="10465" xr:uid="{00000000-0005-0000-0000-0000B0570000}"/>
    <cellStyle name="40% - Accent4 6 3 2 3 2" xfId="12500" xr:uid="{00000000-0005-0000-0000-0000B1570000}"/>
    <cellStyle name="40% - Accent4 6 3 2 4" xfId="10456" xr:uid="{00000000-0005-0000-0000-0000B2570000}"/>
    <cellStyle name="40% - Accent4 6 3 3" xfId="13293" xr:uid="{00000000-0005-0000-0000-0000B3570000}"/>
    <cellStyle name="40% - Accent4 6 3 3 2" xfId="13288" xr:uid="{00000000-0005-0000-0000-0000B4570000}"/>
    <cellStyle name="40% - Accent4 6 3 3 2 2" xfId="33811" xr:uid="{00000000-0005-0000-0000-0000B5570000}"/>
    <cellStyle name="40% - Accent4 6 3 3 3" xfId="10442" xr:uid="{00000000-0005-0000-0000-0000B6570000}"/>
    <cellStyle name="40% - Accent4 6 3 4" xfId="24505" xr:uid="{00000000-0005-0000-0000-0000B7570000}"/>
    <cellStyle name="40% - Accent4 6 3 4 2" xfId="9114" xr:uid="{00000000-0005-0000-0000-0000B8570000}"/>
    <cellStyle name="40% - Accent4 6 3 5" xfId="13628" xr:uid="{00000000-0005-0000-0000-0000B9570000}"/>
    <cellStyle name="40% - Accent4 6 3 6" xfId="35028" xr:uid="{00000000-0005-0000-0000-0000BA570000}"/>
    <cellStyle name="40% - Accent4 6 4" xfId="13220" xr:uid="{00000000-0005-0000-0000-0000BB570000}"/>
    <cellStyle name="40% - Accent4 6 4 2" xfId="9110" xr:uid="{00000000-0005-0000-0000-0000BC570000}"/>
    <cellStyle name="40% - Accent4 6 4 2 2" xfId="9107" xr:uid="{00000000-0005-0000-0000-0000BD570000}"/>
    <cellStyle name="40% - Accent4 6 4 2 2 2" xfId="9102" xr:uid="{00000000-0005-0000-0000-0000BE570000}"/>
    <cellStyle name="40% - Accent4 6 4 2 3" xfId="13197" xr:uid="{00000000-0005-0000-0000-0000BF570000}"/>
    <cellStyle name="40% - Accent4 6 4 3" xfId="19583" xr:uid="{00000000-0005-0000-0000-0000C0570000}"/>
    <cellStyle name="40% - Accent4 6 4 3 2" xfId="9099" xr:uid="{00000000-0005-0000-0000-0000C1570000}"/>
    <cellStyle name="40% - Accent4 6 4 4" xfId="13167" xr:uid="{00000000-0005-0000-0000-0000C2570000}"/>
    <cellStyle name="40% - Accent4 6 4 5" xfId="35234" xr:uid="{00000000-0005-0000-0000-0000C3570000}"/>
    <cellStyle name="40% - Accent4 6 5" xfId="19101" xr:uid="{00000000-0005-0000-0000-0000C4570000}"/>
    <cellStyle name="40% - Accent4 6 5 2" xfId="9094" xr:uid="{00000000-0005-0000-0000-0000C5570000}"/>
    <cellStyle name="40% - Accent4 6 5 2 2" xfId="9089" xr:uid="{00000000-0005-0000-0000-0000C6570000}"/>
    <cellStyle name="40% - Accent4 6 5 3" xfId="13146" xr:uid="{00000000-0005-0000-0000-0000C7570000}"/>
    <cellStyle name="40% - Accent4 6 5 4" xfId="35463" xr:uid="{00000000-0005-0000-0000-0000C8570000}"/>
    <cellStyle name="40% - Accent4 6 6" xfId="9086" xr:uid="{00000000-0005-0000-0000-0000C9570000}"/>
    <cellStyle name="40% - Accent4 6 6 2" xfId="13126" xr:uid="{00000000-0005-0000-0000-0000CA570000}"/>
    <cellStyle name="40% - Accent4 6 6 3" xfId="36335" xr:uid="{00000000-0005-0000-0000-0000CB570000}"/>
    <cellStyle name="40% - Accent4 6 7" xfId="9082" xr:uid="{00000000-0005-0000-0000-0000CC570000}"/>
    <cellStyle name="40% - Accent4 6 7 2" xfId="36621" xr:uid="{00000000-0005-0000-0000-0000CD570000}"/>
    <cellStyle name="40% - Accent4 6 8" xfId="34598" xr:uid="{00000000-0005-0000-0000-0000CE570000}"/>
    <cellStyle name="40% - Accent4 6 9" xfId="13669" xr:uid="{00000000-0005-0000-0000-0000CF570000}"/>
    <cellStyle name="40% - Accent4 7" xfId="310" xr:uid="{00000000-0005-0000-0000-0000D0570000}"/>
    <cellStyle name="40% - Accent4 7 2" xfId="9075" xr:uid="{00000000-0005-0000-0000-0000D1570000}"/>
    <cellStyle name="40% - Accent4 7 2 2" xfId="9072" xr:uid="{00000000-0005-0000-0000-0000D2570000}"/>
    <cellStyle name="40% - Accent4 7 2 2 2" xfId="17632" xr:uid="{00000000-0005-0000-0000-0000D3570000}"/>
    <cellStyle name="40% - Accent4 7 2 2 2 2" xfId="28056" xr:uid="{00000000-0005-0000-0000-0000D4570000}"/>
    <cellStyle name="40% - Accent4 7 2 2 2 2 2" xfId="33048" xr:uid="{00000000-0005-0000-0000-0000D5570000}"/>
    <cellStyle name="40% - Accent4 7 2 2 2 3" xfId="31849" xr:uid="{00000000-0005-0000-0000-0000D6570000}"/>
    <cellStyle name="40% - Accent4 7 2 2 3" xfId="13085" xr:uid="{00000000-0005-0000-0000-0000D7570000}"/>
    <cellStyle name="40% - Accent4 7 2 2 3 2" xfId="29618" xr:uid="{00000000-0005-0000-0000-0000D8570000}"/>
    <cellStyle name="40% - Accent4 7 2 2 4" xfId="10381" xr:uid="{00000000-0005-0000-0000-0000D9570000}"/>
    <cellStyle name="40% - Accent4 7 2 3" xfId="13052" xr:uid="{00000000-0005-0000-0000-0000DA570000}"/>
    <cellStyle name="40% - Accent4 7 2 3 2" xfId="13049" xr:uid="{00000000-0005-0000-0000-0000DB570000}"/>
    <cellStyle name="40% - Accent4 7 2 3 2 2" xfId="29645" xr:uid="{00000000-0005-0000-0000-0000DC570000}"/>
    <cellStyle name="40% - Accent4 7 2 3 3" xfId="10372" xr:uid="{00000000-0005-0000-0000-0000DD570000}"/>
    <cellStyle name="40% - Accent4 7 2 4" xfId="25460" xr:uid="{00000000-0005-0000-0000-0000DE570000}"/>
    <cellStyle name="40% - Accent4 7 2 4 2" xfId="9067" xr:uid="{00000000-0005-0000-0000-0000DF570000}"/>
    <cellStyle name="40% - Accent4 7 2 5" xfId="13584" xr:uid="{00000000-0005-0000-0000-0000E0570000}"/>
    <cellStyle name="40% - Accent4 7 2 6" xfId="34845" xr:uid="{00000000-0005-0000-0000-0000E1570000}"/>
    <cellStyle name="40% - Accent4 7 3" xfId="12990" xr:uid="{00000000-0005-0000-0000-0000E2570000}"/>
    <cellStyle name="40% - Accent4 7 3 2" xfId="9063" xr:uid="{00000000-0005-0000-0000-0000E3570000}"/>
    <cellStyle name="40% - Accent4 7 3 2 2" xfId="17518" xr:uid="{00000000-0005-0000-0000-0000E4570000}"/>
    <cellStyle name="40% - Accent4 7 3 2 2 2" xfId="23467" xr:uid="{00000000-0005-0000-0000-0000E5570000}"/>
    <cellStyle name="40% - Accent4 7 3 2 3" xfId="12027" xr:uid="{00000000-0005-0000-0000-0000E6570000}"/>
    <cellStyle name="40% - Accent4 7 3 3" xfId="12966" xr:uid="{00000000-0005-0000-0000-0000E7570000}"/>
    <cellStyle name="40% - Accent4 7 3 3 2" xfId="9059" xr:uid="{00000000-0005-0000-0000-0000E8570000}"/>
    <cellStyle name="40% - Accent4 7 3 4" xfId="12954" xr:uid="{00000000-0005-0000-0000-0000E9570000}"/>
    <cellStyle name="40% - Accent4 7 3 5" xfId="35047" xr:uid="{00000000-0005-0000-0000-0000EA570000}"/>
    <cellStyle name="40% - Accent4 7 4" xfId="12940" xr:uid="{00000000-0005-0000-0000-0000EB570000}"/>
    <cellStyle name="40% - Accent4 7 4 2" xfId="9055" xr:uid="{00000000-0005-0000-0000-0000EC570000}"/>
    <cellStyle name="40% - Accent4 7 4 2 2" xfId="9050" xr:uid="{00000000-0005-0000-0000-0000ED570000}"/>
    <cellStyle name="40% - Accent4 7 4 3" xfId="12930" xr:uid="{00000000-0005-0000-0000-0000EE570000}"/>
    <cellStyle name="40% - Accent4 7 4 4" xfId="35254" xr:uid="{00000000-0005-0000-0000-0000EF570000}"/>
    <cellStyle name="40% - Accent4 7 5" xfId="9045" xr:uid="{00000000-0005-0000-0000-0000F0570000}"/>
    <cellStyle name="40% - Accent4 7 5 2" xfId="9041" xr:uid="{00000000-0005-0000-0000-0000F1570000}"/>
    <cellStyle name="40% - Accent4 7 5 3" xfId="35483" xr:uid="{00000000-0005-0000-0000-0000F2570000}"/>
    <cellStyle name="40% - Accent4 7 6" xfId="9036" xr:uid="{00000000-0005-0000-0000-0000F3570000}"/>
    <cellStyle name="40% - Accent4 7 6 2" xfId="36355" xr:uid="{00000000-0005-0000-0000-0000F4570000}"/>
    <cellStyle name="40% - Accent4 7 7" xfId="34612" xr:uid="{00000000-0005-0000-0000-0000F5570000}"/>
    <cellStyle name="40% - Accent4 7 8" xfId="13107" xr:uid="{00000000-0005-0000-0000-0000F6570000}"/>
    <cellStyle name="40% - Accent4 7 8 2" xfId="37513" xr:uid="{00000000-0005-0000-0000-0000F7570000}"/>
    <cellStyle name="40% - Accent4 8" xfId="330" xr:uid="{00000000-0005-0000-0000-0000F8570000}"/>
    <cellStyle name="40% - Accent4 8 2" xfId="9031" xr:uid="{00000000-0005-0000-0000-0000F9570000}"/>
    <cellStyle name="40% - Accent4 8 2 2" xfId="11345" xr:uid="{00000000-0005-0000-0000-0000FA570000}"/>
    <cellStyle name="40% - Accent4 8 2 2 2" xfId="14788" xr:uid="{00000000-0005-0000-0000-0000FB570000}"/>
    <cellStyle name="40% - Accent4 8 2 2 2 2" xfId="9028" xr:uid="{00000000-0005-0000-0000-0000FC570000}"/>
    <cellStyle name="40% - Accent4 8 2 2 3" xfId="10319" xr:uid="{00000000-0005-0000-0000-0000FD570000}"/>
    <cellStyle name="40% - Accent4 8 2 3" xfId="14748" xr:uid="{00000000-0005-0000-0000-0000FE570000}"/>
    <cellStyle name="40% - Accent4 8 2 3 2" xfId="9025" xr:uid="{00000000-0005-0000-0000-0000FF570000}"/>
    <cellStyle name="40% - Accent4 8 2 4" xfId="14733" xr:uid="{00000000-0005-0000-0000-000000580000}"/>
    <cellStyle name="40% - Accent4 8 2 5" xfId="34864" xr:uid="{00000000-0005-0000-0000-000001580000}"/>
    <cellStyle name="40% - Accent4 8 3" xfId="12845" xr:uid="{00000000-0005-0000-0000-000002580000}"/>
    <cellStyle name="40% - Accent4 8 3 2" xfId="9020" xr:uid="{00000000-0005-0000-0000-000003580000}"/>
    <cellStyle name="40% - Accent4 8 3 2 2" xfId="9015" xr:uid="{00000000-0005-0000-0000-000004580000}"/>
    <cellStyle name="40% - Accent4 8 3 3" xfId="14693" xr:uid="{00000000-0005-0000-0000-000005580000}"/>
    <cellStyle name="40% - Accent4 8 3 4" xfId="35066" xr:uid="{00000000-0005-0000-0000-000006580000}"/>
    <cellStyle name="40% - Accent4 8 4" xfId="12830" xr:uid="{00000000-0005-0000-0000-000007580000}"/>
    <cellStyle name="40% - Accent4 8 4 2" xfId="9012" xr:uid="{00000000-0005-0000-0000-000008580000}"/>
    <cellStyle name="40% - Accent4 8 4 3" xfId="35273" xr:uid="{00000000-0005-0000-0000-000009580000}"/>
    <cellStyle name="40% - Accent4 8 5" xfId="12823" xr:uid="{00000000-0005-0000-0000-00000A580000}"/>
    <cellStyle name="40% - Accent4 8 5 2" xfId="35502" xr:uid="{00000000-0005-0000-0000-00000B580000}"/>
    <cellStyle name="40% - Accent4 8 6" xfId="34626" xr:uid="{00000000-0005-0000-0000-00000C580000}"/>
    <cellStyle name="40% - Accent4 8 7" xfId="12881" xr:uid="{00000000-0005-0000-0000-00000D580000}"/>
    <cellStyle name="40% - Accent4 8 7 2" xfId="36647" xr:uid="{00000000-0005-0000-0000-00000E580000}"/>
    <cellStyle name="40% - Accent4 8 8" xfId="37532" xr:uid="{00000000-0005-0000-0000-00000F580000}"/>
    <cellStyle name="40% - Accent4 9" xfId="350" xr:uid="{00000000-0005-0000-0000-000010580000}"/>
    <cellStyle name="40% - Accent4 9 2" xfId="9004" xr:uid="{00000000-0005-0000-0000-000011580000}"/>
    <cellStyle name="40% - Accent4 9 2 2" xfId="9001" xr:uid="{00000000-0005-0000-0000-000012580000}"/>
    <cellStyle name="40% - Accent4 9 2 2 2" xfId="14295" xr:uid="{00000000-0005-0000-0000-000013580000}"/>
    <cellStyle name="40% - Accent4 9 2 3" xfId="14282" xr:uid="{00000000-0005-0000-0000-000014580000}"/>
    <cellStyle name="40% - Accent4 9 2 4" xfId="34884" xr:uid="{00000000-0005-0000-0000-000015580000}"/>
    <cellStyle name="40% - Accent4 9 3" xfId="8996" xr:uid="{00000000-0005-0000-0000-000016580000}"/>
    <cellStyle name="40% - Accent4 9 3 2" xfId="8993" xr:uid="{00000000-0005-0000-0000-000017580000}"/>
    <cellStyle name="40% - Accent4 9 3 3" xfId="35085" xr:uid="{00000000-0005-0000-0000-000018580000}"/>
    <cellStyle name="40% - Accent4 9 4" xfId="12773" xr:uid="{00000000-0005-0000-0000-000019580000}"/>
    <cellStyle name="40% - Accent4 9 4 2" xfId="35293" xr:uid="{00000000-0005-0000-0000-00001A580000}"/>
    <cellStyle name="40% - Accent4 9 5" xfId="34640" xr:uid="{00000000-0005-0000-0000-00001B580000}"/>
    <cellStyle name="40% - Accent4 9 6" xfId="9007" xr:uid="{00000000-0005-0000-0000-00001C580000}"/>
    <cellStyle name="40% - Accent4 9 6 2" xfId="36381" xr:uid="{00000000-0005-0000-0000-00001D580000}"/>
    <cellStyle name="40% - Accent4 9 7" xfId="36667" xr:uid="{00000000-0005-0000-0000-00001E580000}"/>
    <cellStyle name="40% - Accent4 9 8" xfId="37552" xr:uid="{00000000-0005-0000-0000-00001F580000}"/>
    <cellStyle name="40% - Accent5" xfId="40" builtinId="47" customBuiltin="1"/>
    <cellStyle name="40% - Accent5 10" xfId="191" xr:uid="{00000000-0005-0000-0000-000021580000}"/>
    <cellStyle name="40% - Accent5 10 2" xfId="34173" xr:uid="{00000000-0005-0000-0000-000022580000}"/>
    <cellStyle name="40% - Accent5 10 2 2" xfId="8989" xr:uid="{00000000-0005-0000-0000-000023580000}"/>
    <cellStyle name="40% - Accent5 10 2 3" xfId="34905" xr:uid="{00000000-0005-0000-0000-000024580000}"/>
    <cellStyle name="40% - Accent5 10 3" xfId="21327" xr:uid="{00000000-0005-0000-0000-000025580000}"/>
    <cellStyle name="40% - Accent5 10 3 2" xfId="35107" xr:uid="{00000000-0005-0000-0000-000026580000}"/>
    <cellStyle name="40% - Accent5 10 4" xfId="34529" xr:uid="{00000000-0005-0000-0000-000027580000}"/>
    <cellStyle name="40% - Accent5 10 5" xfId="24316" xr:uid="{00000000-0005-0000-0000-000028580000}"/>
    <cellStyle name="40% - Accent5 10 5 2" xfId="35530" xr:uid="{00000000-0005-0000-0000-000029580000}"/>
    <cellStyle name="40% - Accent5 10 6" xfId="36403" xr:uid="{00000000-0005-0000-0000-00002A580000}"/>
    <cellStyle name="40% - Accent5 10 7" xfId="36689" xr:uid="{00000000-0005-0000-0000-00002B580000}"/>
    <cellStyle name="40% - Accent5 10 8" xfId="37574" xr:uid="{00000000-0005-0000-0000-00002C580000}"/>
    <cellStyle name="40% - Accent5 11" xfId="21958" xr:uid="{00000000-0005-0000-0000-00002D580000}"/>
    <cellStyle name="40% - Accent5 11 2" xfId="8985" xr:uid="{00000000-0005-0000-0000-00002E580000}"/>
    <cellStyle name="40% - Accent5 11 2 2" xfId="35126" xr:uid="{00000000-0005-0000-0000-00002F580000}"/>
    <cellStyle name="40% - Accent5 11 3" xfId="34699" xr:uid="{00000000-0005-0000-0000-000030580000}"/>
    <cellStyle name="40% - Accent5 11 4" xfId="35550" xr:uid="{00000000-0005-0000-0000-000031580000}"/>
    <cellStyle name="40% - Accent5 11 5" xfId="36423" xr:uid="{00000000-0005-0000-0000-000032580000}"/>
    <cellStyle name="40% - Accent5 11 6" xfId="36709" xr:uid="{00000000-0005-0000-0000-000033580000}"/>
    <cellStyle name="40% - Accent5 11 7" xfId="37594" xr:uid="{00000000-0005-0000-0000-000034580000}"/>
    <cellStyle name="40% - Accent5 12" xfId="21951" xr:uid="{00000000-0005-0000-0000-000035580000}"/>
    <cellStyle name="40% - Accent5 12 2" xfId="34716" xr:uid="{00000000-0005-0000-0000-000036580000}"/>
    <cellStyle name="40% - Accent5 12 3" xfId="35329" xr:uid="{00000000-0005-0000-0000-000037580000}"/>
    <cellStyle name="40% - Accent5 12 4" xfId="35569" xr:uid="{00000000-0005-0000-0000-000038580000}"/>
    <cellStyle name="40% - Accent5 12 5" xfId="36442" xr:uid="{00000000-0005-0000-0000-000039580000}"/>
    <cellStyle name="40% - Accent5 12 6" xfId="36728" xr:uid="{00000000-0005-0000-0000-00003A580000}"/>
    <cellStyle name="40% - Accent5 12 7" xfId="37613" xr:uid="{00000000-0005-0000-0000-00003B580000}"/>
    <cellStyle name="40% - Accent5 13" xfId="14533" xr:uid="{00000000-0005-0000-0000-00003C580000}"/>
    <cellStyle name="40% - Accent5 13 2" xfId="34744" xr:uid="{00000000-0005-0000-0000-00003D580000}"/>
    <cellStyle name="40% - Accent5 13 3" xfId="35588" xr:uid="{00000000-0005-0000-0000-00003E580000}"/>
    <cellStyle name="40% - Accent5 13 4" xfId="36463" xr:uid="{00000000-0005-0000-0000-00003F580000}"/>
    <cellStyle name="40% - Accent5 13 5" xfId="36749" xr:uid="{00000000-0005-0000-0000-000040580000}"/>
    <cellStyle name="40% - Accent5 13 6" xfId="37634" xr:uid="{00000000-0005-0000-0000-000041580000}"/>
    <cellStyle name="40% - Accent5 14" xfId="20412" xr:uid="{00000000-0005-0000-0000-000042580000}"/>
    <cellStyle name="40% - Accent5 14 2" xfId="34934" xr:uid="{00000000-0005-0000-0000-000043580000}"/>
    <cellStyle name="40% - Accent5 14 3" xfId="36764" xr:uid="{00000000-0005-0000-0000-000044580000}"/>
    <cellStyle name="40% - Accent5 14 4" xfId="37649" xr:uid="{00000000-0005-0000-0000-000045580000}"/>
    <cellStyle name="40% - Accent5 15" xfId="34657" xr:uid="{00000000-0005-0000-0000-000046580000}"/>
    <cellStyle name="40% - Accent5 15 2" xfId="36488" xr:uid="{00000000-0005-0000-0000-000047580000}"/>
    <cellStyle name="40% - Accent5 15 3" xfId="36786" xr:uid="{00000000-0005-0000-0000-000048580000}"/>
    <cellStyle name="40% - Accent5 15 4" xfId="37674" xr:uid="{00000000-0005-0000-0000-000049580000}"/>
    <cellStyle name="40% - Accent5 16" xfId="35368" xr:uid="{00000000-0005-0000-0000-00004A580000}"/>
    <cellStyle name="40% - Accent5 16 2" xfId="36506" xr:uid="{00000000-0005-0000-0000-00004B580000}"/>
    <cellStyle name="40% - Accent5 16 3" xfId="36804" xr:uid="{00000000-0005-0000-0000-00004C580000}"/>
    <cellStyle name="40% - Accent5 16 4" xfId="37693" xr:uid="{00000000-0005-0000-0000-00004D580000}"/>
    <cellStyle name="40% - Accent5 17" xfId="35655" xr:uid="{00000000-0005-0000-0000-00004E580000}"/>
    <cellStyle name="40% - Accent5 17 2" xfId="36823" xr:uid="{00000000-0005-0000-0000-00004F580000}"/>
    <cellStyle name="40% - Accent5 17 3" xfId="37713" xr:uid="{00000000-0005-0000-0000-000050580000}"/>
    <cellStyle name="40% - Accent5 18" xfId="35673" xr:uid="{00000000-0005-0000-0000-000051580000}"/>
    <cellStyle name="40% - Accent5 18 2" xfId="36842" xr:uid="{00000000-0005-0000-0000-000052580000}"/>
    <cellStyle name="40% - Accent5 18 3" xfId="37732" xr:uid="{00000000-0005-0000-0000-000053580000}"/>
    <cellStyle name="40% - Accent5 19" xfId="35692" xr:uid="{00000000-0005-0000-0000-000054580000}"/>
    <cellStyle name="40% - Accent5 19 2" xfId="36861" xr:uid="{00000000-0005-0000-0000-000055580000}"/>
    <cellStyle name="40% - Accent5 19 3" xfId="37751" xr:uid="{00000000-0005-0000-0000-000056580000}"/>
    <cellStyle name="40% - Accent5 2" xfId="91" xr:uid="{00000000-0005-0000-0000-000057580000}"/>
    <cellStyle name="40% - Accent5 2 10" xfId="8983" xr:uid="{00000000-0005-0000-0000-000058580000}"/>
    <cellStyle name="40% - Accent5 2 10 2" xfId="9103" xr:uid="{00000000-0005-0000-0000-000059580000}"/>
    <cellStyle name="40% - Accent5 2 10 3" xfId="37432" xr:uid="{00000000-0005-0000-0000-00005A580000}"/>
    <cellStyle name="40% - Accent5 2 11" xfId="8981" xr:uid="{00000000-0005-0000-0000-00005B580000}"/>
    <cellStyle name="40% - Accent5 2 12" xfId="34447" xr:uid="{00000000-0005-0000-0000-00005C580000}"/>
    <cellStyle name="40% - Accent5 2 13" xfId="13378" xr:uid="{00000000-0005-0000-0000-00005D580000}"/>
    <cellStyle name="40% - Accent5 2 2" xfId="152" xr:uid="{00000000-0005-0000-0000-00005E580000}"/>
    <cellStyle name="40% - Accent5 2 2 10" xfId="16720" xr:uid="{00000000-0005-0000-0000-00005F580000}"/>
    <cellStyle name="40% - Accent5 2 2 11" xfId="34502" xr:uid="{00000000-0005-0000-0000-000060580000}"/>
    <cellStyle name="40% - Accent5 2 2 12" xfId="28578" xr:uid="{00000000-0005-0000-0000-000061580000}"/>
    <cellStyle name="40% - Accent5 2 2 2" xfId="7108" xr:uid="{00000000-0005-0000-0000-000062580000}"/>
    <cellStyle name="40% - Accent5 2 2 2 2" xfId="8979" xr:uid="{00000000-0005-0000-0000-000063580000}"/>
    <cellStyle name="40% - Accent5 2 2 2 2 2" xfId="12671" xr:uid="{00000000-0005-0000-0000-000064580000}"/>
    <cellStyle name="40% - Accent5 2 2 2 2 2 2" xfId="8978" xr:uid="{00000000-0005-0000-0000-000065580000}"/>
    <cellStyle name="40% - Accent5 2 2 2 2 2 2 2" xfId="27741" xr:uid="{00000000-0005-0000-0000-000066580000}"/>
    <cellStyle name="40% - Accent5 2 2 2 2 2 2 2 2" xfId="8976" xr:uid="{00000000-0005-0000-0000-000067580000}"/>
    <cellStyle name="40% - Accent5 2 2 2 2 2 2 2 2 2" xfId="32816" xr:uid="{00000000-0005-0000-0000-000068580000}"/>
    <cellStyle name="40% - Accent5 2 2 2 2 2 2 2 2 2 2" xfId="32856" xr:uid="{00000000-0005-0000-0000-000069580000}"/>
    <cellStyle name="40% - Accent5 2 2 2 2 2 2 2 2 2 2 2" xfId="18487" xr:uid="{00000000-0005-0000-0000-00006A580000}"/>
    <cellStyle name="40% - Accent5 2 2 2 2 2 2 2 2 2 3" xfId="22510" xr:uid="{00000000-0005-0000-0000-00006B580000}"/>
    <cellStyle name="40% - Accent5 2 2 2 2 2 2 2 2 3" xfId="26742" xr:uid="{00000000-0005-0000-0000-00006C580000}"/>
    <cellStyle name="40% - Accent5 2 2 2 2 2 2 2 2 3 2" xfId="22492" xr:uid="{00000000-0005-0000-0000-00006D580000}"/>
    <cellStyle name="40% - Accent5 2 2 2 2 2 2 2 2 4" xfId="32920" xr:uid="{00000000-0005-0000-0000-00006E580000}"/>
    <cellStyle name="40% - Accent5 2 2 2 2 2 2 2 3" xfId="8974" xr:uid="{00000000-0005-0000-0000-00006F580000}"/>
    <cellStyle name="40% - Accent5 2 2 2 2 2 2 2 3 2" xfId="26713" xr:uid="{00000000-0005-0000-0000-000070580000}"/>
    <cellStyle name="40% - Accent5 2 2 2 2 2 2 2 3 2 2" xfId="22468" xr:uid="{00000000-0005-0000-0000-000071580000}"/>
    <cellStyle name="40% - Accent5 2 2 2 2 2 2 2 3 3" xfId="26703" xr:uid="{00000000-0005-0000-0000-000072580000}"/>
    <cellStyle name="40% - Accent5 2 2 2 2 2 2 2 4" xfId="8972" xr:uid="{00000000-0005-0000-0000-000073580000}"/>
    <cellStyle name="40% - Accent5 2 2 2 2 2 2 2 4 2" xfId="26684" xr:uid="{00000000-0005-0000-0000-000074580000}"/>
    <cellStyle name="40% - Accent5 2 2 2 2 2 2 2 5" xfId="31188" xr:uid="{00000000-0005-0000-0000-000075580000}"/>
    <cellStyle name="40% - Accent5 2 2 2 2 2 2 3" xfId="19230" xr:uid="{00000000-0005-0000-0000-000076580000}"/>
    <cellStyle name="40% - Accent5 2 2 2 2 2 2 3 2" xfId="8970" xr:uid="{00000000-0005-0000-0000-000077580000}"/>
    <cellStyle name="40% - Accent5 2 2 2 2 2 2 3 2 2" xfId="27393" xr:uid="{00000000-0005-0000-0000-000078580000}"/>
    <cellStyle name="40% - Accent5 2 2 2 2 2 2 3 2 2 2" xfId="22340" xr:uid="{00000000-0005-0000-0000-000079580000}"/>
    <cellStyle name="40% - Accent5 2 2 2 2 2 2 3 2 3" xfId="30680" xr:uid="{00000000-0005-0000-0000-00007A580000}"/>
    <cellStyle name="40% - Accent5 2 2 2 2 2 2 3 3" xfId="8966" xr:uid="{00000000-0005-0000-0000-00007B580000}"/>
    <cellStyle name="40% - Accent5 2 2 2 2 2 2 3 3 2" xfId="6199" xr:uid="{00000000-0005-0000-0000-00007C580000}"/>
    <cellStyle name="40% - Accent5 2 2 2 2 2 2 3 4" xfId="8963" xr:uid="{00000000-0005-0000-0000-00007D580000}"/>
    <cellStyle name="40% - Accent5 2 2 2 2 2 2 4" xfId="8961" xr:uid="{00000000-0005-0000-0000-00007E580000}"/>
    <cellStyle name="40% - Accent5 2 2 2 2 2 2 4 2" xfId="17927" xr:uid="{00000000-0005-0000-0000-00007F580000}"/>
    <cellStyle name="40% - Accent5 2 2 2 2 2 2 4 2 2" xfId="26621" xr:uid="{00000000-0005-0000-0000-000080580000}"/>
    <cellStyle name="40% - Accent5 2 2 2 2 2 2 4 3" xfId="8956" xr:uid="{00000000-0005-0000-0000-000081580000}"/>
    <cellStyle name="40% - Accent5 2 2 2 2 2 2 5" xfId="28428" xr:uid="{00000000-0005-0000-0000-000082580000}"/>
    <cellStyle name="40% - Accent5 2 2 2 2 2 2 5 2" xfId="8953" xr:uid="{00000000-0005-0000-0000-000083580000}"/>
    <cellStyle name="40% - Accent5 2 2 2 2 2 2 6" xfId="25363" xr:uid="{00000000-0005-0000-0000-000084580000}"/>
    <cellStyle name="40% - Accent5 2 2 2 2 2 3" xfId="8950" xr:uid="{00000000-0005-0000-0000-000085580000}"/>
    <cellStyle name="40% - Accent5 2 2 2 2 2 3 2" xfId="8949" xr:uid="{00000000-0005-0000-0000-000086580000}"/>
    <cellStyle name="40% - Accent5 2 2 2 2 2 3 2 2" xfId="20009" xr:uid="{00000000-0005-0000-0000-000087580000}"/>
    <cellStyle name="40% - Accent5 2 2 2 2 2 3 2 2 2" xfId="22672" xr:uid="{00000000-0005-0000-0000-000088580000}"/>
    <cellStyle name="40% - Accent5 2 2 2 2 2 3 2 2 2 2" xfId="28832" xr:uid="{00000000-0005-0000-0000-000089580000}"/>
    <cellStyle name="40% - Accent5 2 2 2 2 2 3 2 2 3" xfId="22679" xr:uid="{00000000-0005-0000-0000-00008A580000}"/>
    <cellStyle name="40% - Accent5 2 2 2 2 2 3 2 3" xfId="26022" xr:uid="{00000000-0005-0000-0000-00008B580000}"/>
    <cellStyle name="40% - Accent5 2 2 2 2 2 3 2 3 2" xfId="22640" xr:uid="{00000000-0005-0000-0000-00008C580000}"/>
    <cellStyle name="40% - Accent5 2 2 2 2 2 3 2 4" xfId="11499" xr:uid="{00000000-0005-0000-0000-00008D580000}"/>
    <cellStyle name="40% - Accent5 2 2 2 2 2 3 3" xfId="8947" xr:uid="{00000000-0005-0000-0000-00008E580000}"/>
    <cellStyle name="40% - Accent5 2 2 2 2 2 3 3 2" xfId="8945" xr:uid="{00000000-0005-0000-0000-00008F580000}"/>
    <cellStyle name="40% - Accent5 2 2 2 2 2 3 3 2 2" xfId="22506" xr:uid="{00000000-0005-0000-0000-000090580000}"/>
    <cellStyle name="40% - Accent5 2 2 2 2 2 3 3 3" xfId="8942" xr:uid="{00000000-0005-0000-0000-000091580000}"/>
    <cellStyle name="40% - Accent5 2 2 2 2 2 3 4" xfId="8940" xr:uid="{00000000-0005-0000-0000-000092580000}"/>
    <cellStyle name="40% - Accent5 2 2 2 2 2 3 4 2" xfId="8938" xr:uid="{00000000-0005-0000-0000-000093580000}"/>
    <cellStyle name="40% - Accent5 2 2 2 2 2 3 5" xfId="25889" xr:uid="{00000000-0005-0000-0000-000094580000}"/>
    <cellStyle name="40% - Accent5 2 2 2 2 2 4" xfId="15572" xr:uid="{00000000-0005-0000-0000-000095580000}"/>
    <cellStyle name="40% - Accent5 2 2 2 2 2 4 2" xfId="25046" xr:uid="{00000000-0005-0000-0000-000096580000}"/>
    <cellStyle name="40% - Accent5 2 2 2 2 2 4 2 2" xfId="8935" xr:uid="{00000000-0005-0000-0000-000097580000}"/>
    <cellStyle name="40% - Accent5 2 2 2 2 2 4 2 2 2" xfId="20404" xr:uid="{00000000-0005-0000-0000-000098580000}"/>
    <cellStyle name="40% - Accent5 2 2 2 2 2 4 2 3" xfId="8933" xr:uid="{00000000-0005-0000-0000-000099580000}"/>
    <cellStyle name="40% - Accent5 2 2 2 2 2 4 3" xfId="16275" xr:uid="{00000000-0005-0000-0000-00009A580000}"/>
    <cellStyle name="40% - Accent5 2 2 2 2 2 4 3 2" xfId="8930" xr:uid="{00000000-0005-0000-0000-00009B580000}"/>
    <cellStyle name="40% - Accent5 2 2 2 2 2 4 4" xfId="8928" xr:uid="{00000000-0005-0000-0000-00009C580000}"/>
    <cellStyle name="40% - Accent5 2 2 2 2 2 5" xfId="15568" xr:uid="{00000000-0005-0000-0000-00009D580000}"/>
    <cellStyle name="40% - Accent5 2 2 2 2 2 5 2" xfId="8925" xr:uid="{00000000-0005-0000-0000-00009E580000}"/>
    <cellStyle name="40% - Accent5 2 2 2 2 2 5 2 2" xfId="22542" xr:uid="{00000000-0005-0000-0000-00009F580000}"/>
    <cellStyle name="40% - Accent5 2 2 2 2 2 5 3" xfId="8924" xr:uid="{00000000-0005-0000-0000-0000A0580000}"/>
    <cellStyle name="40% - Accent5 2 2 2 2 2 6" xfId="8922" xr:uid="{00000000-0005-0000-0000-0000A1580000}"/>
    <cellStyle name="40% - Accent5 2 2 2 2 2 6 2" xfId="14665" xr:uid="{00000000-0005-0000-0000-0000A2580000}"/>
    <cellStyle name="40% - Accent5 2 2 2 2 2 7" xfId="32373" xr:uid="{00000000-0005-0000-0000-0000A3580000}"/>
    <cellStyle name="40% - Accent5 2 2 2 2 3" xfId="10569" xr:uid="{00000000-0005-0000-0000-0000A4580000}"/>
    <cellStyle name="40% - Accent5 2 2 2 2 3 2" xfId="8921" xr:uid="{00000000-0005-0000-0000-0000A5580000}"/>
    <cellStyle name="40% - Accent5 2 2 2 2 3 2 2" xfId="22659" xr:uid="{00000000-0005-0000-0000-0000A6580000}"/>
    <cellStyle name="40% - Accent5 2 2 2 2 3 2 2 2" xfId="8920" xr:uid="{00000000-0005-0000-0000-0000A7580000}"/>
    <cellStyle name="40% - Accent5 2 2 2 2 3 2 2 2 2" xfId="8918" xr:uid="{00000000-0005-0000-0000-0000A8580000}"/>
    <cellStyle name="40% - Accent5 2 2 2 2 3 2 2 2 2 2" xfId="8917" xr:uid="{00000000-0005-0000-0000-0000A9580000}"/>
    <cellStyle name="40% - Accent5 2 2 2 2 3 2 2 2 3" xfId="8914" xr:uid="{00000000-0005-0000-0000-0000AA580000}"/>
    <cellStyle name="40% - Accent5 2 2 2 2 3 2 2 3" xfId="8913" xr:uid="{00000000-0005-0000-0000-0000AB580000}"/>
    <cellStyle name="40% - Accent5 2 2 2 2 3 2 2 3 2" xfId="15065" xr:uid="{00000000-0005-0000-0000-0000AC580000}"/>
    <cellStyle name="40% - Accent5 2 2 2 2 3 2 2 4" xfId="8911" xr:uid="{00000000-0005-0000-0000-0000AD580000}"/>
    <cellStyle name="40% - Accent5 2 2 2 2 3 2 3" xfId="15764" xr:uid="{00000000-0005-0000-0000-0000AE580000}"/>
    <cellStyle name="40% - Accent5 2 2 2 2 3 2 3 2" xfId="22305" xr:uid="{00000000-0005-0000-0000-0000AF580000}"/>
    <cellStyle name="40% - Accent5 2 2 2 2 3 2 3 2 2" xfId="8909" xr:uid="{00000000-0005-0000-0000-0000B0580000}"/>
    <cellStyle name="40% - Accent5 2 2 2 2 3 2 3 3" xfId="18560" xr:uid="{00000000-0005-0000-0000-0000B1580000}"/>
    <cellStyle name="40% - Accent5 2 2 2 2 3 2 4" xfId="26270" xr:uid="{00000000-0005-0000-0000-0000B2580000}"/>
    <cellStyle name="40% - Accent5 2 2 2 2 3 2 4 2" xfId="20528" xr:uid="{00000000-0005-0000-0000-0000B3580000}"/>
    <cellStyle name="40% - Accent5 2 2 2 2 3 2 5" xfId="25315" xr:uid="{00000000-0005-0000-0000-0000B4580000}"/>
    <cellStyle name="40% - Accent5 2 2 2 2 3 3" xfId="8908" xr:uid="{00000000-0005-0000-0000-0000B5580000}"/>
    <cellStyle name="40% - Accent5 2 2 2 2 3 3 2" xfId="26047" xr:uid="{00000000-0005-0000-0000-0000B6580000}"/>
    <cellStyle name="40% - Accent5 2 2 2 2 3 3 2 2" xfId="8907" xr:uid="{00000000-0005-0000-0000-0000B7580000}"/>
    <cellStyle name="40% - Accent5 2 2 2 2 3 3 2 2 2" xfId="8905" xr:uid="{00000000-0005-0000-0000-0000B8580000}"/>
    <cellStyle name="40% - Accent5 2 2 2 2 3 3 2 3" xfId="8904" xr:uid="{00000000-0005-0000-0000-0000B9580000}"/>
    <cellStyle name="40% - Accent5 2 2 2 2 3 3 3" xfId="8902" xr:uid="{00000000-0005-0000-0000-0000BA580000}"/>
    <cellStyle name="40% - Accent5 2 2 2 2 3 3 3 2" xfId="20509" xr:uid="{00000000-0005-0000-0000-0000BB580000}"/>
    <cellStyle name="40% - Accent5 2 2 2 2 3 3 4" xfId="8900" xr:uid="{00000000-0005-0000-0000-0000BC580000}"/>
    <cellStyle name="40% - Accent5 2 2 2 2 3 4" xfId="15566" xr:uid="{00000000-0005-0000-0000-0000BD580000}"/>
    <cellStyle name="40% - Accent5 2 2 2 2 3 4 2" xfId="8898" xr:uid="{00000000-0005-0000-0000-0000BE580000}"/>
    <cellStyle name="40% - Accent5 2 2 2 2 3 4 2 2" xfId="8896" xr:uid="{00000000-0005-0000-0000-0000BF580000}"/>
    <cellStyle name="40% - Accent5 2 2 2 2 3 4 3" xfId="8893" xr:uid="{00000000-0005-0000-0000-0000C0580000}"/>
    <cellStyle name="40% - Accent5 2 2 2 2 3 5" xfId="8890" xr:uid="{00000000-0005-0000-0000-0000C1580000}"/>
    <cellStyle name="40% - Accent5 2 2 2 2 3 5 2" xfId="8889" xr:uid="{00000000-0005-0000-0000-0000C2580000}"/>
    <cellStyle name="40% - Accent5 2 2 2 2 3 6" xfId="8887" xr:uid="{00000000-0005-0000-0000-0000C3580000}"/>
    <cellStyle name="40% - Accent5 2 2 2 2 4" xfId="8886" xr:uid="{00000000-0005-0000-0000-0000C4580000}"/>
    <cellStyle name="40% - Accent5 2 2 2 2 4 2" xfId="27260" xr:uid="{00000000-0005-0000-0000-0000C5580000}"/>
    <cellStyle name="40% - Accent5 2 2 2 2 4 2 2" xfId="25601" xr:uid="{00000000-0005-0000-0000-0000C6580000}"/>
    <cellStyle name="40% - Accent5 2 2 2 2 4 2 2 2" xfId="8884" xr:uid="{00000000-0005-0000-0000-0000C7580000}"/>
    <cellStyle name="40% - Accent5 2 2 2 2 4 2 2 2 2" xfId="8882" xr:uid="{00000000-0005-0000-0000-0000C8580000}"/>
    <cellStyle name="40% - Accent5 2 2 2 2 4 2 2 3" xfId="8881" xr:uid="{00000000-0005-0000-0000-0000C9580000}"/>
    <cellStyle name="40% - Accent5 2 2 2 2 4 2 3" xfId="8879" xr:uid="{00000000-0005-0000-0000-0000CA580000}"/>
    <cellStyle name="40% - Accent5 2 2 2 2 4 2 3 2" xfId="28327" xr:uid="{00000000-0005-0000-0000-0000CB580000}"/>
    <cellStyle name="40% - Accent5 2 2 2 2 4 2 4" xfId="8877" xr:uid="{00000000-0005-0000-0000-0000CC580000}"/>
    <cellStyle name="40% - Accent5 2 2 2 2 4 3" xfId="27258" xr:uid="{00000000-0005-0000-0000-0000CD580000}"/>
    <cellStyle name="40% - Accent5 2 2 2 2 4 3 2" xfId="8875" xr:uid="{00000000-0005-0000-0000-0000CE580000}"/>
    <cellStyle name="40% - Accent5 2 2 2 2 4 3 2 2" xfId="18588" xr:uid="{00000000-0005-0000-0000-0000CF580000}"/>
    <cellStyle name="40% - Accent5 2 2 2 2 4 3 3" xfId="8874" xr:uid="{00000000-0005-0000-0000-0000D0580000}"/>
    <cellStyle name="40% - Accent5 2 2 2 2 4 4" xfId="22668" xr:uid="{00000000-0005-0000-0000-0000D1580000}"/>
    <cellStyle name="40% - Accent5 2 2 2 2 4 4 2" xfId="8872" xr:uid="{00000000-0005-0000-0000-0000D2580000}"/>
    <cellStyle name="40% - Accent5 2 2 2 2 4 5" xfId="22661" xr:uid="{00000000-0005-0000-0000-0000D3580000}"/>
    <cellStyle name="40% - Accent5 2 2 2 2 5" xfId="8870" xr:uid="{00000000-0005-0000-0000-0000D4580000}"/>
    <cellStyle name="40% - Accent5 2 2 2 2 5 2" xfId="29100" xr:uid="{00000000-0005-0000-0000-0000D5580000}"/>
    <cellStyle name="40% - Accent5 2 2 2 2 5 2 2" xfId="8869" xr:uid="{00000000-0005-0000-0000-0000D6580000}"/>
    <cellStyle name="40% - Accent5 2 2 2 2 5 2 2 2" xfId="8865" xr:uid="{00000000-0005-0000-0000-0000D7580000}"/>
    <cellStyle name="40% - Accent5 2 2 2 2 5 2 3" xfId="8863" xr:uid="{00000000-0005-0000-0000-0000D8580000}"/>
    <cellStyle name="40% - Accent5 2 2 2 2 5 3" xfId="8861" xr:uid="{00000000-0005-0000-0000-0000D9580000}"/>
    <cellStyle name="40% - Accent5 2 2 2 2 5 3 2" xfId="8860" xr:uid="{00000000-0005-0000-0000-0000DA580000}"/>
    <cellStyle name="40% - Accent5 2 2 2 2 5 4" xfId="22655" xr:uid="{00000000-0005-0000-0000-0000DB580000}"/>
    <cellStyle name="40% - Accent5 2 2 2 2 6" xfId="8859" xr:uid="{00000000-0005-0000-0000-0000DC580000}"/>
    <cellStyle name="40% - Accent5 2 2 2 2 6 2" xfId="8858" xr:uid="{00000000-0005-0000-0000-0000DD580000}"/>
    <cellStyle name="40% - Accent5 2 2 2 2 6 2 2" xfId="6892" xr:uid="{00000000-0005-0000-0000-0000DE580000}"/>
    <cellStyle name="40% - Accent5 2 2 2 2 6 3" xfId="8857" xr:uid="{00000000-0005-0000-0000-0000DF580000}"/>
    <cellStyle name="40% - Accent5 2 2 2 2 7" xfId="8856" xr:uid="{00000000-0005-0000-0000-0000E0580000}"/>
    <cellStyle name="40% - Accent5 2 2 2 2 7 2" xfId="20850" xr:uid="{00000000-0005-0000-0000-0000E1580000}"/>
    <cellStyle name="40% - Accent5 2 2 2 2 8" xfId="8855" xr:uid="{00000000-0005-0000-0000-0000E2580000}"/>
    <cellStyle name="40% - Accent5 2 2 2 3" xfId="8853" xr:uid="{00000000-0005-0000-0000-0000E3580000}"/>
    <cellStyle name="40% - Accent5 2 2 2 3 2" xfId="10560" xr:uid="{00000000-0005-0000-0000-0000E4580000}"/>
    <cellStyle name="40% - Accent5 2 2 2 3 2 2" xfId="12949" xr:uid="{00000000-0005-0000-0000-0000E5580000}"/>
    <cellStyle name="40% - Accent5 2 2 2 3 2 2 2" xfId="8851" xr:uid="{00000000-0005-0000-0000-0000E6580000}"/>
    <cellStyle name="40% - Accent5 2 2 2 3 2 2 2 2" xfId="8850" xr:uid="{00000000-0005-0000-0000-0000E7580000}"/>
    <cellStyle name="40% - Accent5 2 2 2 3 2 2 2 2 2" xfId="13832" xr:uid="{00000000-0005-0000-0000-0000E8580000}"/>
    <cellStyle name="40% - Accent5 2 2 2 3 2 2 2 2 2 2" xfId="8849" xr:uid="{00000000-0005-0000-0000-0000E9580000}"/>
    <cellStyle name="40% - Accent5 2 2 2 3 2 2 2 2 3" xfId="32000" xr:uid="{00000000-0005-0000-0000-0000EA580000}"/>
    <cellStyle name="40% - Accent5 2 2 2 3 2 2 2 3" xfId="26315" xr:uid="{00000000-0005-0000-0000-0000EB580000}"/>
    <cellStyle name="40% - Accent5 2 2 2 3 2 2 2 3 2" xfId="30151" xr:uid="{00000000-0005-0000-0000-0000EC580000}"/>
    <cellStyle name="40% - Accent5 2 2 2 3 2 2 2 4" xfId="8846" xr:uid="{00000000-0005-0000-0000-0000ED580000}"/>
    <cellStyle name="40% - Accent5 2 2 2 3 2 2 3" xfId="8845" xr:uid="{00000000-0005-0000-0000-0000EE580000}"/>
    <cellStyle name="40% - Accent5 2 2 2 3 2 2 3 2" xfId="8843" xr:uid="{00000000-0005-0000-0000-0000EF580000}"/>
    <cellStyle name="40% - Accent5 2 2 2 3 2 2 3 2 2" xfId="8841" xr:uid="{00000000-0005-0000-0000-0000F0580000}"/>
    <cellStyle name="40% - Accent5 2 2 2 3 2 2 3 3" xfId="23204" xr:uid="{00000000-0005-0000-0000-0000F1580000}"/>
    <cellStyle name="40% - Accent5 2 2 2 3 2 2 4" xfId="30908" xr:uid="{00000000-0005-0000-0000-0000F2580000}"/>
    <cellStyle name="40% - Accent5 2 2 2 3 2 2 4 2" xfId="8840" xr:uid="{00000000-0005-0000-0000-0000F3580000}"/>
    <cellStyle name="40% - Accent5 2 2 2 3 2 2 5" xfId="30978" xr:uid="{00000000-0005-0000-0000-0000F4580000}"/>
    <cellStyle name="40% - Accent5 2 2 2 3 2 3" xfId="8838" xr:uid="{00000000-0005-0000-0000-0000F5580000}"/>
    <cellStyle name="40% - Accent5 2 2 2 3 2 3 2" xfId="14093" xr:uid="{00000000-0005-0000-0000-0000F6580000}"/>
    <cellStyle name="40% - Accent5 2 2 2 3 2 3 2 2" xfId="8833" xr:uid="{00000000-0005-0000-0000-0000F7580000}"/>
    <cellStyle name="40% - Accent5 2 2 2 3 2 3 2 2 2" xfId="16871" xr:uid="{00000000-0005-0000-0000-0000F8580000}"/>
    <cellStyle name="40% - Accent5 2 2 2 3 2 3 2 3" xfId="8832" xr:uid="{00000000-0005-0000-0000-0000F9580000}"/>
    <cellStyle name="40% - Accent5 2 2 2 3 2 3 3" xfId="14087" xr:uid="{00000000-0005-0000-0000-0000FA580000}"/>
    <cellStyle name="40% - Accent5 2 2 2 3 2 3 3 2" xfId="8831" xr:uid="{00000000-0005-0000-0000-0000FB580000}"/>
    <cellStyle name="40% - Accent5 2 2 2 3 2 3 4" xfId="8830" xr:uid="{00000000-0005-0000-0000-0000FC580000}"/>
    <cellStyle name="40% - Accent5 2 2 2 3 2 4" xfId="15559" xr:uid="{00000000-0005-0000-0000-0000FD580000}"/>
    <cellStyle name="40% - Accent5 2 2 2 3 2 4 2" xfId="14081" xr:uid="{00000000-0005-0000-0000-0000FE580000}"/>
    <cellStyle name="40% - Accent5 2 2 2 3 2 4 2 2" xfId="31284" xr:uid="{00000000-0005-0000-0000-0000FF580000}"/>
    <cellStyle name="40% - Accent5 2 2 2 3 2 4 3" xfId="8828" xr:uid="{00000000-0005-0000-0000-000000590000}"/>
    <cellStyle name="40% - Accent5 2 2 2 3 2 5" xfId="8826" xr:uid="{00000000-0005-0000-0000-000001590000}"/>
    <cellStyle name="40% - Accent5 2 2 2 3 2 5 2" xfId="8823" xr:uid="{00000000-0005-0000-0000-000002590000}"/>
    <cellStyle name="40% - Accent5 2 2 2 3 2 6" xfId="8822" xr:uid="{00000000-0005-0000-0000-000003590000}"/>
    <cellStyle name="40% - Accent5 2 2 2 3 3" xfId="8821" xr:uid="{00000000-0005-0000-0000-000004590000}"/>
    <cellStyle name="40% - Accent5 2 2 2 3 3 2" xfId="8819" xr:uid="{00000000-0005-0000-0000-000005590000}"/>
    <cellStyle name="40% - Accent5 2 2 2 3 3 2 2" xfId="26421" xr:uid="{00000000-0005-0000-0000-000006590000}"/>
    <cellStyle name="40% - Accent5 2 2 2 3 3 2 2 2" xfId="8816" xr:uid="{00000000-0005-0000-0000-000007590000}"/>
    <cellStyle name="40% - Accent5 2 2 2 3 3 2 2 2 2" xfId="8815" xr:uid="{00000000-0005-0000-0000-000008590000}"/>
    <cellStyle name="40% - Accent5 2 2 2 3 3 2 2 3" xfId="8814" xr:uid="{00000000-0005-0000-0000-000009590000}"/>
    <cellStyle name="40% - Accent5 2 2 2 3 3 2 3" xfId="8813" xr:uid="{00000000-0005-0000-0000-00000A590000}"/>
    <cellStyle name="40% - Accent5 2 2 2 3 3 2 3 2" xfId="20446" xr:uid="{00000000-0005-0000-0000-00000B590000}"/>
    <cellStyle name="40% - Accent5 2 2 2 3 3 2 4" xfId="8811" xr:uid="{00000000-0005-0000-0000-00000C590000}"/>
    <cellStyle name="40% - Accent5 2 2 2 3 3 3" xfId="8809" xr:uid="{00000000-0005-0000-0000-00000D590000}"/>
    <cellStyle name="40% - Accent5 2 2 2 3 3 3 2" xfId="22351" xr:uid="{00000000-0005-0000-0000-00000E590000}"/>
    <cellStyle name="40% - Accent5 2 2 2 3 3 3 2 2" xfId="8805" xr:uid="{00000000-0005-0000-0000-00000F590000}"/>
    <cellStyle name="40% - Accent5 2 2 2 3 3 3 3" xfId="22330" xr:uid="{00000000-0005-0000-0000-000010590000}"/>
    <cellStyle name="40% - Accent5 2 2 2 3 3 4" xfId="8804" xr:uid="{00000000-0005-0000-0000-000011590000}"/>
    <cellStyle name="40% - Accent5 2 2 2 3 3 4 2" xfId="22314" xr:uid="{00000000-0005-0000-0000-000012590000}"/>
    <cellStyle name="40% - Accent5 2 2 2 3 3 5" xfId="8801" xr:uid="{00000000-0005-0000-0000-000013590000}"/>
    <cellStyle name="40% - Accent5 2 2 2 3 4" xfId="12948" xr:uid="{00000000-0005-0000-0000-000014590000}"/>
    <cellStyle name="40% - Accent5 2 2 2 3 4 2" xfId="27250" xr:uid="{00000000-0005-0000-0000-000015590000}"/>
    <cellStyle name="40% - Accent5 2 2 2 3 4 2 2" xfId="8799" xr:uid="{00000000-0005-0000-0000-000016590000}"/>
    <cellStyle name="40% - Accent5 2 2 2 3 4 2 2 2" xfId="8797" xr:uid="{00000000-0005-0000-0000-000017590000}"/>
    <cellStyle name="40% - Accent5 2 2 2 3 4 2 3" xfId="8795" xr:uid="{00000000-0005-0000-0000-000018590000}"/>
    <cellStyle name="40% - Accent5 2 2 2 3 4 3" xfId="8792" xr:uid="{00000000-0005-0000-0000-000019590000}"/>
    <cellStyle name="40% - Accent5 2 2 2 3 4 3 2" xfId="22253" xr:uid="{00000000-0005-0000-0000-00001A590000}"/>
    <cellStyle name="40% - Accent5 2 2 2 3 4 4" xfId="21990" xr:uid="{00000000-0005-0000-0000-00001B590000}"/>
    <cellStyle name="40% - Accent5 2 2 2 3 5" xfId="8836" xr:uid="{00000000-0005-0000-0000-00001C590000}"/>
    <cellStyle name="40% - Accent5 2 2 2 3 5 2" xfId="8788" xr:uid="{00000000-0005-0000-0000-00001D590000}"/>
    <cellStyle name="40% - Accent5 2 2 2 3 5 2 2" xfId="8784" xr:uid="{00000000-0005-0000-0000-00001E590000}"/>
    <cellStyle name="40% - Accent5 2 2 2 3 5 3" xfId="8782" xr:uid="{00000000-0005-0000-0000-00001F590000}"/>
    <cellStyle name="40% - Accent5 2 2 2 3 6" xfId="13596" xr:uid="{00000000-0005-0000-0000-000020590000}"/>
    <cellStyle name="40% - Accent5 2 2 2 3 6 2" xfId="34171" xr:uid="{00000000-0005-0000-0000-000021590000}"/>
    <cellStyle name="40% - Accent5 2 2 2 3 7" xfId="8824" xr:uid="{00000000-0005-0000-0000-000022590000}"/>
    <cellStyle name="40% - Accent5 2 2 2 4" xfId="8781" xr:uid="{00000000-0005-0000-0000-000023590000}"/>
    <cellStyle name="40% - Accent5 2 2 2 4 2" xfId="8779" xr:uid="{00000000-0005-0000-0000-000024590000}"/>
    <cellStyle name="40% - Accent5 2 2 2 4 2 2" xfId="8778" xr:uid="{00000000-0005-0000-0000-000025590000}"/>
    <cellStyle name="40% - Accent5 2 2 2 4 2 2 2" xfId="8774" xr:uid="{00000000-0005-0000-0000-000026590000}"/>
    <cellStyle name="40% - Accent5 2 2 2 4 2 2 2 2" xfId="8773" xr:uid="{00000000-0005-0000-0000-000027590000}"/>
    <cellStyle name="40% - Accent5 2 2 2 4 2 2 2 2 2" xfId="11848" xr:uid="{00000000-0005-0000-0000-000028590000}"/>
    <cellStyle name="40% - Accent5 2 2 2 4 2 2 2 3" xfId="8868" xr:uid="{00000000-0005-0000-0000-000029590000}"/>
    <cellStyle name="40% - Accent5 2 2 2 4 2 2 3" xfId="8770" xr:uid="{00000000-0005-0000-0000-00002A590000}"/>
    <cellStyle name="40% - Accent5 2 2 2 4 2 2 3 2" xfId="8768" xr:uid="{00000000-0005-0000-0000-00002B590000}"/>
    <cellStyle name="40% - Accent5 2 2 2 4 2 2 4" xfId="8765" xr:uid="{00000000-0005-0000-0000-00002C590000}"/>
    <cellStyle name="40% - Accent5 2 2 2 4 2 3" xfId="8763" xr:uid="{00000000-0005-0000-0000-00002D590000}"/>
    <cellStyle name="40% - Accent5 2 2 2 4 2 3 2" xfId="13989" xr:uid="{00000000-0005-0000-0000-00002E590000}"/>
    <cellStyle name="40% - Accent5 2 2 2 4 2 3 2 2" xfId="8758" xr:uid="{00000000-0005-0000-0000-00002F590000}"/>
    <cellStyle name="40% - Accent5 2 2 2 4 2 3 3" xfId="8755" xr:uid="{00000000-0005-0000-0000-000030590000}"/>
    <cellStyle name="40% - Accent5 2 2 2 4 2 4" xfId="8753" xr:uid="{00000000-0005-0000-0000-000031590000}"/>
    <cellStyle name="40% - Accent5 2 2 2 4 2 4 2" xfId="8750" xr:uid="{00000000-0005-0000-0000-000032590000}"/>
    <cellStyle name="40% - Accent5 2 2 2 4 2 5" xfId="8749" xr:uid="{00000000-0005-0000-0000-000033590000}"/>
    <cellStyle name="40% - Accent5 2 2 2 4 3" xfId="8747" xr:uid="{00000000-0005-0000-0000-000034590000}"/>
    <cellStyle name="40% - Accent5 2 2 2 4 3 2" xfId="8745" xr:uid="{00000000-0005-0000-0000-000035590000}"/>
    <cellStyle name="40% - Accent5 2 2 2 4 3 2 2" xfId="8743" xr:uid="{00000000-0005-0000-0000-000036590000}"/>
    <cellStyle name="40% - Accent5 2 2 2 4 3 2 2 2" xfId="8742" xr:uid="{00000000-0005-0000-0000-000037590000}"/>
    <cellStyle name="40% - Accent5 2 2 2 4 3 2 3" xfId="26488" xr:uid="{00000000-0005-0000-0000-000038590000}"/>
    <cellStyle name="40% - Accent5 2 2 2 4 3 3" xfId="8739" xr:uid="{00000000-0005-0000-0000-000039590000}"/>
    <cellStyle name="40% - Accent5 2 2 2 4 3 3 2" xfId="20196" xr:uid="{00000000-0005-0000-0000-00003A590000}"/>
    <cellStyle name="40% - Accent5 2 2 2 4 3 4" xfId="8735" xr:uid="{00000000-0005-0000-0000-00003B590000}"/>
    <cellStyle name="40% - Accent5 2 2 2 4 4" xfId="8818" xr:uid="{00000000-0005-0000-0000-00003C590000}"/>
    <cellStyle name="40% - Accent5 2 2 2 4 4 2" xfId="8734" xr:uid="{00000000-0005-0000-0000-00003D590000}"/>
    <cellStyle name="40% - Accent5 2 2 2 4 4 2 2" xfId="8730" xr:uid="{00000000-0005-0000-0000-00003E590000}"/>
    <cellStyle name="40% - Accent5 2 2 2 4 4 3" xfId="12416" xr:uid="{00000000-0005-0000-0000-00003F590000}"/>
    <cellStyle name="40% - Accent5 2 2 2 4 5" xfId="8807" xr:uid="{00000000-0005-0000-0000-000040590000}"/>
    <cellStyle name="40% - Accent5 2 2 2 4 5 2" xfId="34139" xr:uid="{00000000-0005-0000-0000-000041590000}"/>
    <cellStyle name="40% - Accent5 2 2 2 4 6" xfId="8802" xr:uid="{00000000-0005-0000-0000-000042590000}"/>
    <cellStyle name="40% - Accent5 2 2 2 5" xfId="16638" xr:uid="{00000000-0005-0000-0000-000043590000}"/>
    <cellStyle name="40% - Accent5 2 2 2 5 2" xfId="8728" xr:uid="{00000000-0005-0000-0000-000044590000}"/>
    <cellStyle name="40% - Accent5 2 2 2 5 2 2" xfId="8726" xr:uid="{00000000-0005-0000-0000-000045590000}"/>
    <cellStyle name="40% - Accent5 2 2 2 5 2 2 2" xfId="8723" xr:uid="{00000000-0005-0000-0000-000046590000}"/>
    <cellStyle name="40% - Accent5 2 2 2 5 2 2 2 2" xfId="8721" xr:uid="{00000000-0005-0000-0000-000047590000}"/>
    <cellStyle name="40% - Accent5 2 2 2 5 2 2 3" xfId="8719" xr:uid="{00000000-0005-0000-0000-000048590000}"/>
    <cellStyle name="40% - Accent5 2 2 2 5 2 3" xfId="27380" xr:uid="{00000000-0005-0000-0000-000049590000}"/>
    <cellStyle name="40% - Accent5 2 2 2 5 2 3 2" xfId="16774" xr:uid="{00000000-0005-0000-0000-00004A590000}"/>
    <cellStyle name="40% - Accent5 2 2 2 5 2 4" xfId="27364" xr:uid="{00000000-0005-0000-0000-00004B590000}"/>
    <cellStyle name="40% - Accent5 2 2 2 5 3" xfId="19590" xr:uid="{00000000-0005-0000-0000-00004C590000}"/>
    <cellStyle name="40% - Accent5 2 2 2 5 3 2" xfId="8717" xr:uid="{00000000-0005-0000-0000-00004D590000}"/>
    <cellStyle name="40% - Accent5 2 2 2 5 3 2 2" xfId="17454" xr:uid="{00000000-0005-0000-0000-00004E590000}"/>
    <cellStyle name="40% - Accent5 2 2 2 5 3 3" xfId="33992" xr:uid="{00000000-0005-0000-0000-00004F590000}"/>
    <cellStyle name="40% - Accent5 2 2 2 5 4" xfId="27248" xr:uid="{00000000-0005-0000-0000-000050590000}"/>
    <cellStyle name="40% - Accent5 2 2 2 5 4 2" xfId="11506" xr:uid="{00000000-0005-0000-0000-000051590000}"/>
    <cellStyle name="40% - Accent5 2 2 2 5 5" xfId="8790" xr:uid="{00000000-0005-0000-0000-000052590000}"/>
    <cellStyle name="40% - Accent5 2 2 2 6" xfId="13209" xr:uid="{00000000-0005-0000-0000-000053590000}"/>
    <cellStyle name="40% - Accent5 2 2 2 6 2" xfId="21207" xr:uid="{00000000-0005-0000-0000-000054590000}"/>
    <cellStyle name="40% - Accent5 2 2 2 6 2 2" xfId="8714" xr:uid="{00000000-0005-0000-0000-000055590000}"/>
    <cellStyle name="40% - Accent5 2 2 2 6 2 2 2" xfId="27931" xr:uid="{00000000-0005-0000-0000-000056590000}"/>
    <cellStyle name="40% - Accent5 2 2 2 6 2 3" xfId="18651" xr:uid="{00000000-0005-0000-0000-000057590000}"/>
    <cellStyle name="40% - Accent5 2 2 2 6 3" xfId="27240" xr:uid="{00000000-0005-0000-0000-000058590000}"/>
    <cellStyle name="40% - Accent5 2 2 2 6 3 2" xfId="8711" xr:uid="{00000000-0005-0000-0000-000059590000}"/>
    <cellStyle name="40% - Accent5 2 2 2 6 4" xfId="8787" xr:uid="{00000000-0005-0000-0000-00005A590000}"/>
    <cellStyle name="40% - Accent5 2 2 2 7" xfId="13205" xr:uid="{00000000-0005-0000-0000-00005B590000}"/>
    <cellStyle name="40% - Accent5 2 2 2 7 2" xfId="7096" xr:uid="{00000000-0005-0000-0000-00005C590000}"/>
    <cellStyle name="40% - Accent5 2 2 2 7 2 2" xfId="8709" xr:uid="{00000000-0005-0000-0000-00005D590000}"/>
    <cellStyle name="40% - Accent5 2 2 2 7 3" xfId="8707" xr:uid="{00000000-0005-0000-0000-00005E590000}"/>
    <cellStyle name="40% - Accent5 2 2 2 8" xfId="26338" xr:uid="{00000000-0005-0000-0000-00005F590000}"/>
    <cellStyle name="40% - Accent5 2 2 2 8 2" xfId="27156" xr:uid="{00000000-0005-0000-0000-000060590000}"/>
    <cellStyle name="40% - Accent5 2 2 2 9" xfId="8705" xr:uid="{00000000-0005-0000-0000-000061590000}"/>
    <cellStyle name="40% - Accent5 2 2 3" xfId="8704" xr:uid="{00000000-0005-0000-0000-000062590000}"/>
    <cellStyle name="40% - Accent5 2 2 3 2" xfId="8703" xr:uid="{00000000-0005-0000-0000-000063590000}"/>
    <cellStyle name="40% - Accent5 2 2 3 2 2" xfId="10542" xr:uid="{00000000-0005-0000-0000-000064590000}"/>
    <cellStyle name="40% - Accent5 2 2 3 2 2 2" xfId="8700" xr:uid="{00000000-0005-0000-0000-000065590000}"/>
    <cellStyle name="40% - Accent5 2 2 3 2 2 2 2" xfId="8699" xr:uid="{00000000-0005-0000-0000-000066590000}"/>
    <cellStyle name="40% - Accent5 2 2 3 2 2 2 2 2" xfId="8696" xr:uid="{00000000-0005-0000-0000-000067590000}"/>
    <cellStyle name="40% - Accent5 2 2 3 2 2 2 2 2 2" xfId="14518" xr:uid="{00000000-0005-0000-0000-000068590000}"/>
    <cellStyle name="40% - Accent5 2 2 3 2 2 2 2 2 2 2" xfId="8695" xr:uid="{00000000-0005-0000-0000-000069590000}"/>
    <cellStyle name="40% - Accent5 2 2 3 2 2 2 2 2 3" xfId="8694" xr:uid="{00000000-0005-0000-0000-00006A590000}"/>
    <cellStyle name="40% - Accent5 2 2 3 2 2 2 2 3" xfId="8693" xr:uid="{00000000-0005-0000-0000-00006B590000}"/>
    <cellStyle name="40% - Accent5 2 2 3 2 2 2 2 3 2" xfId="8692" xr:uid="{00000000-0005-0000-0000-00006C590000}"/>
    <cellStyle name="40% - Accent5 2 2 3 2 2 2 2 4" xfId="8691" xr:uid="{00000000-0005-0000-0000-00006D590000}"/>
    <cellStyle name="40% - Accent5 2 2 3 2 2 2 3" xfId="8689" xr:uid="{00000000-0005-0000-0000-00006E590000}"/>
    <cellStyle name="40% - Accent5 2 2 3 2 2 2 3 2" xfId="8688" xr:uid="{00000000-0005-0000-0000-00006F590000}"/>
    <cellStyle name="40% - Accent5 2 2 3 2 2 2 3 2 2" xfId="22394" xr:uid="{00000000-0005-0000-0000-000070590000}"/>
    <cellStyle name="40% - Accent5 2 2 3 2 2 2 3 3" xfId="8685" xr:uid="{00000000-0005-0000-0000-000071590000}"/>
    <cellStyle name="40% - Accent5 2 2 3 2 2 2 4" xfId="8682" xr:uid="{00000000-0005-0000-0000-000072590000}"/>
    <cellStyle name="40% - Accent5 2 2 3 2 2 2 4 2" xfId="27930" xr:uid="{00000000-0005-0000-0000-000073590000}"/>
    <cellStyle name="40% - Accent5 2 2 3 2 2 2 5" xfId="27169" xr:uid="{00000000-0005-0000-0000-000074590000}"/>
    <cellStyle name="40% - Accent5 2 2 3 2 2 3" xfId="8681" xr:uid="{00000000-0005-0000-0000-000075590000}"/>
    <cellStyle name="40% - Accent5 2 2 3 2 2 3 2" xfId="8680" xr:uid="{00000000-0005-0000-0000-000076590000}"/>
    <cellStyle name="40% - Accent5 2 2 3 2 2 3 2 2" xfId="16567" xr:uid="{00000000-0005-0000-0000-000077590000}"/>
    <cellStyle name="40% - Accent5 2 2 3 2 2 3 2 2 2" xfId="8679" xr:uid="{00000000-0005-0000-0000-000078590000}"/>
    <cellStyle name="40% - Accent5 2 2 3 2 2 3 2 3" xfId="26692" xr:uid="{00000000-0005-0000-0000-000079590000}"/>
    <cellStyle name="40% - Accent5 2 2 3 2 2 3 3" xfId="8678" xr:uid="{00000000-0005-0000-0000-00007A590000}"/>
    <cellStyle name="40% - Accent5 2 2 3 2 2 3 3 2" xfId="16545" xr:uid="{00000000-0005-0000-0000-00007B590000}"/>
    <cellStyle name="40% - Accent5 2 2 3 2 2 3 4" xfId="13305" xr:uid="{00000000-0005-0000-0000-00007C590000}"/>
    <cellStyle name="40% - Accent5 2 2 3 2 2 4" xfId="15546" xr:uid="{00000000-0005-0000-0000-00007D590000}"/>
    <cellStyle name="40% - Accent5 2 2 3 2 2 4 2" xfId="5564" xr:uid="{00000000-0005-0000-0000-00007E590000}"/>
    <cellStyle name="40% - Accent5 2 2 3 2 2 4 2 2" xfId="16386" xr:uid="{00000000-0005-0000-0000-00007F590000}"/>
    <cellStyle name="40% - Accent5 2 2 3 2 2 4 3" xfId="5773" xr:uid="{00000000-0005-0000-0000-000080590000}"/>
    <cellStyle name="40% - Accent5 2 2 3 2 2 5" xfId="8677" xr:uid="{00000000-0005-0000-0000-000081590000}"/>
    <cellStyle name="40% - Accent5 2 2 3 2 2 5 2" xfId="8676" xr:uid="{00000000-0005-0000-0000-000082590000}"/>
    <cellStyle name="40% - Accent5 2 2 3 2 2 6" xfId="8675" xr:uid="{00000000-0005-0000-0000-000083590000}"/>
    <cellStyle name="40% - Accent5 2 2 3 2 3" xfId="8674" xr:uid="{00000000-0005-0000-0000-000084590000}"/>
    <cellStyle name="40% - Accent5 2 2 3 2 3 2" xfId="8672" xr:uid="{00000000-0005-0000-0000-000085590000}"/>
    <cellStyle name="40% - Accent5 2 2 3 2 3 2 2" xfId="25907" xr:uid="{00000000-0005-0000-0000-000086590000}"/>
    <cellStyle name="40% - Accent5 2 2 3 2 3 2 2 2" xfId="8671" xr:uid="{00000000-0005-0000-0000-000087590000}"/>
    <cellStyle name="40% - Accent5 2 2 3 2 3 2 2 2 2" xfId="8670" xr:uid="{00000000-0005-0000-0000-000088590000}"/>
    <cellStyle name="40% - Accent5 2 2 3 2 3 2 2 3" xfId="8667" xr:uid="{00000000-0005-0000-0000-000089590000}"/>
    <cellStyle name="40% - Accent5 2 2 3 2 3 2 3" xfId="8666" xr:uid="{00000000-0005-0000-0000-00008A590000}"/>
    <cellStyle name="40% - Accent5 2 2 3 2 3 2 3 2" xfId="20349" xr:uid="{00000000-0005-0000-0000-00008B590000}"/>
    <cellStyle name="40% - Accent5 2 2 3 2 3 2 4" xfId="10242" xr:uid="{00000000-0005-0000-0000-00008C590000}"/>
    <cellStyle name="40% - Accent5 2 2 3 2 3 3" xfId="8664" xr:uid="{00000000-0005-0000-0000-00008D590000}"/>
    <cellStyle name="40% - Accent5 2 2 3 2 3 3 2" xfId="8663" xr:uid="{00000000-0005-0000-0000-00008E590000}"/>
    <cellStyle name="40% - Accent5 2 2 3 2 3 3 2 2" xfId="16062" xr:uid="{00000000-0005-0000-0000-00008F590000}"/>
    <cellStyle name="40% - Accent5 2 2 3 2 3 3 3" xfId="8662" xr:uid="{00000000-0005-0000-0000-000090590000}"/>
    <cellStyle name="40% - Accent5 2 2 3 2 3 4" xfId="8660" xr:uid="{00000000-0005-0000-0000-000091590000}"/>
    <cellStyle name="40% - Accent5 2 2 3 2 3 4 2" xfId="8659" xr:uid="{00000000-0005-0000-0000-000092590000}"/>
    <cellStyle name="40% - Accent5 2 2 3 2 3 5" xfId="8657" xr:uid="{00000000-0005-0000-0000-000093590000}"/>
    <cellStyle name="40% - Accent5 2 2 3 2 4" xfId="8655" xr:uid="{00000000-0005-0000-0000-000094590000}"/>
    <cellStyle name="40% - Accent5 2 2 3 2 4 2" xfId="27197" xr:uid="{00000000-0005-0000-0000-000095590000}"/>
    <cellStyle name="40% - Accent5 2 2 3 2 4 2 2" xfId="8652" xr:uid="{00000000-0005-0000-0000-000096590000}"/>
    <cellStyle name="40% - Accent5 2 2 3 2 4 2 2 2" xfId="8650" xr:uid="{00000000-0005-0000-0000-000097590000}"/>
    <cellStyle name="40% - Accent5 2 2 3 2 4 2 3" xfId="8649" xr:uid="{00000000-0005-0000-0000-000098590000}"/>
    <cellStyle name="40% - Accent5 2 2 3 2 4 3" xfId="28092" xr:uid="{00000000-0005-0000-0000-000099590000}"/>
    <cellStyle name="40% - Accent5 2 2 3 2 4 3 2" xfId="8647" xr:uid="{00000000-0005-0000-0000-00009A590000}"/>
    <cellStyle name="40% - Accent5 2 2 3 2 4 4" xfId="25300" xr:uid="{00000000-0005-0000-0000-00009B590000}"/>
    <cellStyle name="40% - Accent5 2 2 3 2 5" xfId="8646" xr:uid="{00000000-0005-0000-0000-00009C590000}"/>
    <cellStyle name="40% - Accent5 2 2 3 2 5 2" xfId="8644" xr:uid="{00000000-0005-0000-0000-00009D590000}"/>
    <cellStyle name="40% - Accent5 2 2 3 2 5 2 2" xfId="8643" xr:uid="{00000000-0005-0000-0000-00009E590000}"/>
    <cellStyle name="40% - Accent5 2 2 3 2 5 3" xfId="32854" xr:uid="{00000000-0005-0000-0000-00009F590000}"/>
    <cellStyle name="40% - Accent5 2 2 3 2 6" xfId="8642" xr:uid="{00000000-0005-0000-0000-0000A0590000}"/>
    <cellStyle name="40% - Accent5 2 2 3 2 6 2" xfId="8641" xr:uid="{00000000-0005-0000-0000-0000A1590000}"/>
    <cellStyle name="40% - Accent5 2 2 3 2 7" xfId="8640" xr:uid="{00000000-0005-0000-0000-0000A2590000}"/>
    <cellStyle name="40% - Accent5 2 2 3 3" xfId="8639" xr:uid="{00000000-0005-0000-0000-0000A3590000}"/>
    <cellStyle name="40% - Accent5 2 2 3 3 2" xfId="8636" xr:uid="{00000000-0005-0000-0000-0000A4590000}"/>
    <cellStyle name="40% - Accent5 2 2 3 3 2 2" xfId="8635" xr:uid="{00000000-0005-0000-0000-0000A5590000}"/>
    <cellStyle name="40% - Accent5 2 2 3 3 2 2 2" xfId="8632" xr:uid="{00000000-0005-0000-0000-0000A6590000}"/>
    <cellStyle name="40% - Accent5 2 2 3 3 2 2 2 2" xfId="34188" xr:uid="{00000000-0005-0000-0000-0000A7590000}"/>
    <cellStyle name="40% - Accent5 2 2 3 3 2 2 2 2 2" xfId="19040" xr:uid="{00000000-0005-0000-0000-0000A8590000}"/>
    <cellStyle name="40% - Accent5 2 2 3 3 2 2 2 3" xfId="33430" xr:uid="{00000000-0005-0000-0000-0000A9590000}"/>
    <cellStyle name="40% - Accent5 2 2 3 3 2 2 3" xfId="8629" xr:uid="{00000000-0005-0000-0000-0000AA590000}"/>
    <cellStyle name="40% - Accent5 2 2 3 3 2 2 3 2" xfId="33591" xr:uid="{00000000-0005-0000-0000-0000AB590000}"/>
    <cellStyle name="40% - Accent5 2 2 3 3 2 2 4" xfId="6151" xr:uid="{00000000-0005-0000-0000-0000AC590000}"/>
    <cellStyle name="40% - Accent5 2 2 3 3 2 3" xfId="8628" xr:uid="{00000000-0005-0000-0000-0000AD590000}"/>
    <cellStyle name="40% - Accent5 2 2 3 3 2 3 2" xfId="13838" xr:uid="{00000000-0005-0000-0000-0000AE590000}"/>
    <cellStyle name="40% - Accent5 2 2 3 3 2 3 2 2" xfId="34319" xr:uid="{00000000-0005-0000-0000-0000AF590000}"/>
    <cellStyle name="40% - Accent5 2 2 3 3 2 3 3" xfId="8623" xr:uid="{00000000-0005-0000-0000-0000B0590000}"/>
    <cellStyle name="40% - Accent5 2 2 3 3 2 4" xfId="8622" xr:uid="{00000000-0005-0000-0000-0000B1590000}"/>
    <cellStyle name="40% - Accent5 2 2 3 3 2 4 2" xfId="8618" xr:uid="{00000000-0005-0000-0000-0000B2590000}"/>
    <cellStyle name="40% - Accent5 2 2 3 3 2 5" xfId="8617" xr:uid="{00000000-0005-0000-0000-0000B3590000}"/>
    <cellStyle name="40% - Accent5 2 2 3 3 3" xfId="8615" xr:uid="{00000000-0005-0000-0000-0000B4590000}"/>
    <cellStyle name="40% - Accent5 2 2 3 3 3 2" xfId="8614" xr:uid="{00000000-0005-0000-0000-0000B5590000}"/>
    <cellStyle name="40% - Accent5 2 2 3 3 3 2 2" xfId="8611" xr:uid="{00000000-0005-0000-0000-0000B6590000}"/>
    <cellStyle name="40% - Accent5 2 2 3 3 3 2 2 2" xfId="8610" xr:uid="{00000000-0005-0000-0000-0000B7590000}"/>
    <cellStyle name="40% - Accent5 2 2 3 3 3 2 3" xfId="8609" xr:uid="{00000000-0005-0000-0000-0000B8590000}"/>
    <cellStyle name="40% - Accent5 2 2 3 3 3 3" xfId="8607" xr:uid="{00000000-0005-0000-0000-0000B9590000}"/>
    <cellStyle name="40% - Accent5 2 2 3 3 3 3 2" xfId="32138" xr:uid="{00000000-0005-0000-0000-0000BA590000}"/>
    <cellStyle name="40% - Accent5 2 2 3 3 3 4" xfId="8604" xr:uid="{00000000-0005-0000-0000-0000BB590000}"/>
    <cellStyle name="40% - Accent5 2 2 3 3 4" xfId="8777" xr:uid="{00000000-0005-0000-0000-0000BC590000}"/>
    <cellStyle name="40% - Accent5 2 2 3 3 4 2" xfId="8602" xr:uid="{00000000-0005-0000-0000-0000BD590000}"/>
    <cellStyle name="40% - Accent5 2 2 3 3 4 2 2" xfId="8599" xr:uid="{00000000-0005-0000-0000-0000BE590000}"/>
    <cellStyle name="40% - Accent5 2 2 3 3 4 3" xfId="28086" xr:uid="{00000000-0005-0000-0000-0000BF590000}"/>
    <cellStyle name="40% - Accent5 2 2 3 3 5" xfId="8760" xr:uid="{00000000-0005-0000-0000-0000C0590000}"/>
    <cellStyle name="40% - Accent5 2 2 3 3 5 2" xfId="8597" xr:uid="{00000000-0005-0000-0000-0000C1590000}"/>
    <cellStyle name="40% - Accent5 2 2 3 3 6" xfId="8751" xr:uid="{00000000-0005-0000-0000-0000C2590000}"/>
    <cellStyle name="40% - Accent5 2 2 3 4" xfId="8596" xr:uid="{00000000-0005-0000-0000-0000C3590000}"/>
    <cellStyle name="40% - Accent5 2 2 3 4 2" xfId="8594" xr:uid="{00000000-0005-0000-0000-0000C4590000}"/>
    <cellStyle name="40% - Accent5 2 2 3 4 2 2" xfId="8593" xr:uid="{00000000-0005-0000-0000-0000C5590000}"/>
    <cellStyle name="40% - Accent5 2 2 3 4 2 2 2" xfId="8591" xr:uid="{00000000-0005-0000-0000-0000C6590000}"/>
    <cellStyle name="40% - Accent5 2 2 3 4 2 2 2 2" xfId="8590" xr:uid="{00000000-0005-0000-0000-0000C7590000}"/>
    <cellStyle name="40% - Accent5 2 2 3 4 2 2 3" xfId="8588" xr:uid="{00000000-0005-0000-0000-0000C8590000}"/>
    <cellStyle name="40% - Accent5 2 2 3 4 2 3" xfId="8587" xr:uid="{00000000-0005-0000-0000-0000C9590000}"/>
    <cellStyle name="40% - Accent5 2 2 3 4 2 3 2" xfId="8584" xr:uid="{00000000-0005-0000-0000-0000CA590000}"/>
    <cellStyle name="40% - Accent5 2 2 3 4 2 4" xfId="18452" xr:uid="{00000000-0005-0000-0000-0000CB590000}"/>
    <cellStyle name="40% - Accent5 2 2 3 4 3" xfId="14949" xr:uid="{00000000-0005-0000-0000-0000CC590000}"/>
    <cellStyle name="40% - Accent5 2 2 3 4 3 2" xfId="8583" xr:uid="{00000000-0005-0000-0000-0000CD590000}"/>
    <cellStyle name="40% - Accent5 2 2 3 4 3 2 2" xfId="8581" xr:uid="{00000000-0005-0000-0000-0000CE590000}"/>
    <cellStyle name="40% - Accent5 2 2 3 4 3 3" xfId="8580" xr:uid="{00000000-0005-0000-0000-0000CF590000}"/>
    <cellStyle name="40% - Accent5 2 2 3 4 4" xfId="8744" xr:uid="{00000000-0005-0000-0000-0000D0590000}"/>
    <cellStyle name="40% - Accent5 2 2 3 4 4 2" xfId="8579" xr:uid="{00000000-0005-0000-0000-0000D1590000}"/>
    <cellStyle name="40% - Accent5 2 2 3 4 5" xfId="8737" xr:uid="{00000000-0005-0000-0000-0000D2590000}"/>
    <cellStyle name="40% - Accent5 2 2 3 5" xfId="13203" xr:uid="{00000000-0005-0000-0000-0000D3590000}"/>
    <cellStyle name="40% - Accent5 2 2 3 5 2" xfId="8576" xr:uid="{00000000-0005-0000-0000-0000D4590000}"/>
    <cellStyle name="40% - Accent5 2 2 3 5 2 2" xfId="8574" xr:uid="{00000000-0005-0000-0000-0000D5590000}"/>
    <cellStyle name="40% - Accent5 2 2 3 5 2 2 2" xfId="8570" xr:uid="{00000000-0005-0000-0000-0000D6590000}"/>
    <cellStyle name="40% - Accent5 2 2 3 5 2 3" xfId="27332" xr:uid="{00000000-0005-0000-0000-0000D7590000}"/>
    <cellStyle name="40% - Accent5 2 2 3 5 3" xfId="19575" xr:uid="{00000000-0005-0000-0000-0000D8590000}"/>
    <cellStyle name="40% - Accent5 2 2 3 5 3 2" xfId="8569" xr:uid="{00000000-0005-0000-0000-0000D9590000}"/>
    <cellStyle name="40% - Accent5 2 2 3 5 4" xfId="8733" xr:uid="{00000000-0005-0000-0000-0000DA590000}"/>
    <cellStyle name="40% - Accent5 2 2 3 6" xfId="13201" xr:uid="{00000000-0005-0000-0000-0000DB590000}"/>
    <cellStyle name="40% - Accent5 2 2 3 6 2" xfId="34252" xr:uid="{00000000-0005-0000-0000-0000DC590000}"/>
    <cellStyle name="40% - Accent5 2 2 3 6 2 2" xfId="8568" xr:uid="{00000000-0005-0000-0000-0000DD590000}"/>
    <cellStyle name="40% - Accent5 2 2 3 6 3" xfId="19561" xr:uid="{00000000-0005-0000-0000-0000DE590000}"/>
    <cellStyle name="40% - Accent5 2 2 3 7" xfId="5784" xr:uid="{00000000-0005-0000-0000-0000DF590000}"/>
    <cellStyle name="40% - Accent5 2 2 3 7 2" xfId="5781" xr:uid="{00000000-0005-0000-0000-0000E0590000}"/>
    <cellStyle name="40% - Accent5 2 2 3 8" xfId="7478" xr:uid="{00000000-0005-0000-0000-0000E1590000}"/>
    <cellStyle name="40% - Accent5 2 2 4" xfId="8567" xr:uid="{00000000-0005-0000-0000-0000E2590000}"/>
    <cellStyle name="40% - Accent5 2 2 4 2" xfId="8566" xr:uid="{00000000-0005-0000-0000-0000E3590000}"/>
    <cellStyle name="40% - Accent5 2 2 4 2 2" xfId="8562" xr:uid="{00000000-0005-0000-0000-0000E4590000}"/>
    <cellStyle name="40% - Accent5 2 2 4 2 2 2" xfId="8556" xr:uid="{00000000-0005-0000-0000-0000E5590000}"/>
    <cellStyle name="40% - Accent5 2 2 4 2 2 2 2" xfId="8555" xr:uid="{00000000-0005-0000-0000-0000E6590000}"/>
    <cellStyle name="40% - Accent5 2 2 4 2 2 2 2 2" xfId="31395" xr:uid="{00000000-0005-0000-0000-0000E7590000}"/>
    <cellStyle name="40% - Accent5 2 2 4 2 2 2 2 2 2" xfId="27862" xr:uid="{00000000-0005-0000-0000-0000E8590000}"/>
    <cellStyle name="40% - Accent5 2 2 4 2 2 2 2 3" xfId="8553" xr:uid="{00000000-0005-0000-0000-0000E9590000}"/>
    <cellStyle name="40% - Accent5 2 2 4 2 2 2 3" xfId="8549" xr:uid="{00000000-0005-0000-0000-0000EA590000}"/>
    <cellStyle name="40% - Accent5 2 2 4 2 2 2 3 2" xfId="8546" xr:uid="{00000000-0005-0000-0000-0000EB590000}"/>
    <cellStyle name="40% - Accent5 2 2 4 2 2 2 4" xfId="8545" xr:uid="{00000000-0005-0000-0000-0000EC590000}"/>
    <cellStyle name="40% - Accent5 2 2 4 2 2 3" xfId="8543" xr:uid="{00000000-0005-0000-0000-0000ED590000}"/>
    <cellStyle name="40% - Accent5 2 2 4 2 2 3 2" xfId="18696" xr:uid="{00000000-0005-0000-0000-0000EE590000}"/>
    <cellStyle name="40% - Accent5 2 2 4 2 2 3 2 2" xfId="8542" xr:uid="{00000000-0005-0000-0000-0000EF590000}"/>
    <cellStyle name="40% - Accent5 2 2 4 2 2 3 3" xfId="8541" xr:uid="{00000000-0005-0000-0000-0000F0590000}"/>
    <cellStyle name="40% - Accent5 2 2 4 2 2 4" xfId="24757" xr:uid="{00000000-0005-0000-0000-0000F1590000}"/>
    <cellStyle name="40% - Accent5 2 2 4 2 2 4 2" xfId="19536" xr:uid="{00000000-0005-0000-0000-0000F2590000}"/>
    <cellStyle name="40% - Accent5 2 2 4 2 2 5" xfId="24754" xr:uid="{00000000-0005-0000-0000-0000F3590000}"/>
    <cellStyle name="40% - Accent5 2 2 4 2 3" xfId="8539" xr:uid="{00000000-0005-0000-0000-0000F4590000}"/>
    <cellStyle name="40% - Accent5 2 2 4 2 3 2" xfId="8538" xr:uid="{00000000-0005-0000-0000-0000F5590000}"/>
    <cellStyle name="40% - Accent5 2 2 4 2 3 2 2" xfId="8537" xr:uid="{00000000-0005-0000-0000-0000F6590000}"/>
    <cellStyle name="40% - Accent5 2 2 4 2 3 2 2 2" xfId="25202" xr:uid="{00000000-0005-0000-0000-0000F7590000}"/>
    <cellStyle name="40% - Accent5 2 2 4 2 3 2 3" xfId="8535" xr:uid="{00000000-0005-0000-0000-0000F8590000}"/>
    <cellStyle name="40% - Accent5 2 2 4 2 3 3" xfId="8532" xr:uid="{00000000-0005-0000-0000-0000F9590000}"/>
    <cellStyle name="40% - Accent5 2 2 4 2 3 3 2" xfId="8531" xr:uid="{00000000-0005-0000-0000-0000FA590000}"/>
    <cellStyle name="40% - Accent5 2 2 4 2 3 4" xfId="24752" xr:uid="{00000000-0005-0000-0000-0000FB590000}"/>
    <cellStyle name="40% - Accent5 2 2 4 2 4" xfId="8530" xr:uid="{00000000-0005-0000-0000-0000FC590000}"/>
    <cellStyle name="40% - Accent5 2 2 4 2 4 2" xfId="8528" xr:uid="{00000000-0005-0000-0000-0000FD590000}"/>
    <cellStyle name="40% - Accent5 2 2 4 2 4 2 2" xfId="8527" xr:uid="{00000000-0005-0000-0000-0000FE590000}"/>
    <cellStyle name="40% - Accent5 2 2 4 2 4 3" xfId="28049" xr:uid="{00000000-0005-0000-0000-0000FF590000}"/>
    <cellStyle name="40% - Accent5 2 2 4 2 5" xfId="8525" xr:uid="{00000000-0005-0000-0000-0000005A0000}"/>
    <cellStyle name="40% - Accent5 2 2 4 2 5 2" xfId="8524" xr:uid="{00000000-0005-0000-0000-0000015A0000}"/>
    <cellStyle name="40% - Accent5 2 2 4 2 6" xfId="8523" xr:uid="{00000000-0005-0000-0000-0000025A0000}"/>
    <cellStyle name="40% - Accent5 2 2 4 3" xfId="8521" xr:uid="{00000000-0005-0000-0000-0000035A0000}"/>
    <cellStyle name="40% - Accent5 2 2 4 3 2" xfId="8517" xr:uid="{00000000-0005-0000-0000-0000045A0000}"/>
    <cellStyle name="40% - Accent5 2 2 4 3 2 2" xfId="8516" xr:uid="{00000000-0005-0000-0000-0000055A0000}"/>
    <cellStyle name="40% - Accent5 2 2 4 3 2 2 2" xfId="8514" xr:uid="{00000000-0005-0000-0000-0000065A0000}"/>
    <cellStyle name="40% - Accent5 2 2 4 3 2 2 2 2" xfId="8512" xr:uid="{00000000-0005-0000-0000-0000075A0000}"/>
    <cellStyle name="40% - Accent5 2 2 4 3 2 2 3" xfId="8510" xr:uid="{00000000-0005-0000-0000-0000085A0000}"/>
    <cellStyle name="40% - Accent5 2 2 4 3 2 3" xfId="8508" xr:uid="{00000000-0005-0000-0000-0000095A0000}"/>
    <cellStyle name="40% - Accent5 2 2 4 3 2 3 2" xfId="8505" xr:uid="{00000000-0005-0000-0000-00000A5A0000}"/>
    <cellStyle name="40% - Accent5 2 2 4 3 2 4" xfId="24750" xr:uid="{00000000-0005-0000-0000-00000B5A0000}"/>
    <cellStyle name="40% - Accent5 2 2 4 3 3" xfId="8504" xr:uid="{00000000-0005-0000-0000-00000C5A0000}"/>
    <cellStyle name="40% - Accent5 2 2 4 3 3 2" xfId="8503" xr:uid="{00000000-0005-0000-0000-00000D5A0000}"/>
    <cellStyle name="40% - Accent5 2 2 4 3 3 2 2" xfId="8501" xr:uid="{00000000-0005-0000-0000-00000E5A0000}"/>
    <cellStyle name="40% - Accent5 2 2 4 3 3 3" xfId="8499" xr:uid="{00000000-0005-0000-0000-00000F5A0000}"/>
    <cellStyle name="40% - Accent5 2 2 4 3 4" xfId="8724" xr:uid="{00000000-0005-0000-0000-0000105A0000}"/>
    <cellStyle name="40% - Accent5 2 2 4 3 4 2" xfId="8498" xr:uid="{00000000-0005-0000-0000-0000115A0000}"/>
    <cellStyle name="40% - Accent5 2 2 4 3 5" xfId="27377" xr:uid="{00000000-0005-0000-0000-0000125A0000}"/>
    <cellStyle name="40% - Accent5 2 2 4 4" xfId="8497" xr:uid="{00000000-0005-0000-0000-0000135A0000}"/>
    <cellStyle name="40% - Accent5 2 2 4 4 2" xfId="8496" xr:uid="{00000000-0005-0000-0000-0000145A0000}"/>
    <cellStyle name="40% - Accent5 2 2 4 4 2 2" xfId="8495" xr:uid="{00000000-0005-0000-0000-0000155A0000}"/>
    <cellStyle name="40% - Accent5 2 2 4 4 2 2 2" xfId="8492" xr:uid="{00000000-0005-0000-0000-0000165A0000}"/>
    <cellStyle name="40% - Accent5 2 2 4 4 2 3" xfId="8491" xr:uid="{00000000-0005-0000-0000-0000175A0000}"/>
    <cellStyle name="40% - Accent5 2 2 4 4 3" xfId="8490" xr:uid="{00000000-0005-0000-0000-0000185A0000}"/>
    <cellStyle name="40% - Accent5 2 2 4 4 3 2" xfId="8489" xr:uid="{00000000-0005-0000-0000-0000195A0000}"/>
    <cellStyle name="40% - Accent5 2 2 4 4 4" xfId="8715" xr:uid="{00000000-0005-0000-0000-00001A5A0000}"/>
    <cellStyle name="40% - Accent5 2 2 4 5" xfId="13199" xr:uid="{00000000-0005-0000-0000-00001B5A0000}"/>
    <cellStyle name="40% - Accent5 2 2 4 5 2" xfId="10958" xr:uid="{00000000-0005-0000-0000-00001C5A0000}"/>
    <cellStyle name="40% - Accent5 2 2 4 5 2 2" xfId="8487" xr:uid="{00000000-0005-0000-0000-00001D5A0000}"/>
    <cellStyle name="40% - Accent5 2 2 4 5 3" xfId="11636" xr:uid="{00000000-0005-0000-0000-00001E5A0000}"/>
    <cellStyle name="40% - Accent5 2 2 4 6" xfId="8485" xr:uid="{00000000-0005-0000-0000-00001F5A0000}"/>
    <cellStyle name="40% - Accent5 2 2 4 6 2" xfId="33960" xr:uid="{00000000-0005-0000-0000-0000205A0000}"/>
    <cellStyle name="40% - Accent5 2 2 4 7" xfId="5764" xr:uid="{00000000-0005-0000-0000-0000215A0000}"/>
    <cellStyle name="40% - Accent5 2 2 5" xfId="33902" xr:uid="{00000000-0005-0000-0000-0000225A0000}"/>
    <cellStyle name="40% - Accent5 2 2 5 2" xfId="25416" xr:uid="{00000000-0005-0000-0000-0000235A0000}"/>
    <cellStyle name="40% - Accent5 2 2 5 2 2" xfId="8483" xr:uid="{00000000-0005-0000-0000-0000245A0000}"/>
    <cellStyle name="40% - Accent5 2 2 5 2 2 2" xfId="8482" xr:uid="{00000000-0005-0000-0000-0000255A0000}"/>
    <cellStyle name="40% - Accent5 2 2 5 2 2 2 2" xfId="22602" xr:uid="{00000000-0005-0000-0000-0000265A0000}"/>
    <cellStyle name="40% - Accent5 2 2 5 2 2 2 2 2" xfId="7995" xr:uid="{00000000-0005-0000-0000-0000275A0000}"/>
    <cellStyle name="40% - Accent5 2 2 5 2 2 2 3" xfId="30187" xr:uid="{00000000-0005-0000-0000-0000285A0000}"/>
    <cellStyle name="40% - Accent5 2 2 5 2 2 3" xfId="8481" xr:uid="{00000000-0005-0000-0000-0000295A0000}"/>
    <cellStyle name="40% - Accent5 2 2 5 2 2 3 2" xfId="31820" xr:uid="{00000000-0005-0000-0000-00002A5A0000}"/>
    <cellStyle name="40% - Accent5 2 2 5 2 2 4" xfId="24559" xr:uid="{00000000-0005-0000-0000-00002B5A0000}"/>
    <cellStyle name="40% - Accent5 2 2 5 2 3" xfId="8479" xr:uid="{00000000-0005-0000-0000-00002C5A0000}"/>
    <cellStyle name="40% - Accent5 2 2 5 2 3 2" xfId="8478" xr:uid="{00000000-0005-0000-0000-00002D5A0000}"/>
    <cellStyle name="40% - Accent5 2 2 5 2 3 2 2" xfId="24032" xr:uid="{00000000-0005-0000-0000-00002E5A0000}"/>
    <cellStyle name="40% - Accent5 2 2 5 2 3 3" xfId="8477" xr:uid="{00000000-0005-0000-0000-00002F5A0000}"/>
    <cellStyle name="40% - Accent5 2 2 5 2 4" xfId="8475" xr:uid="{00000000-0005-0000-0000-0000305A0000}"/>
    <cellStyle name="40% - Accent5 2 2 5 2 4 2" xfId="8473" xr:uid="{00000000-0005-0000-0000-0000315A0000}"/>
    <cellStyle name="40% - Accent5 2 2 5 2 5" xfId="18653" xr:uid="{00000000-0005-0000-0000-0000325A0000}"/>
    <cellStyle name="40% - Accent5 2 2 5 3" xfId="29903" xr:uid="{00000000-0005-0000-0000-0000335A0000}"/>
    <cellStyle name="40% - Accent5 2 2 5 3 2" xfId="8472" xr:uid="{00000000-0005-0000-0000-0000345A0000}"/>
    <cellStyle name="40% - Accent5 2 2 5 3 2 2" xfId="8471" xr:uid="{00000000-0005-0000-0000-0000355A0000}"/>
    <cellStyle name="40% - Accent5 2 2 5 3 2 2 2" xfId="8467" xr:uid="{00000000-0005-0000-0000-0000365A0000}"/>
    <cellStyle name="40% - Accent5 2 2 5 3 2 3" xfId="8466" xr:uid="{00000000-0005-0000-0000-0000375A0000}"/>
    <cellStyle name="40% - Accent5 2 2 5 3 3" xfId="8464" xr:uid="{00000000-0005-0000-0000-0000385A0000}"/>
    <cellStyle name="40% - Accent5 2 2 5 3 3 2" xfId="8463" xr:uid="{00000000-0005-0000-0000-0000395A0000}"/>
    <cellStyle name="40% - Accent5 2 2 5 3 4" xfId="8712" xr:uid="{00000000-0005-0000-0000-00003A5A0000}"/>
    <cellStyle name="40% - Accent5 2 2 5 4" xfId="8462" xr:uid="{00000000-0005-0000-0000-00003B5A0000}"/>
    <cellStyle name="40% - Accent5 2 2 5 4 2" xfId="27843" xr:uid="{00000000-0005-0000-0000-00003C5A0000}"/>
    <cellStyle name="40% - Accent5 2 2 5 4 2 2" xfId="8461" xr:uid="{00000000-0005-0000-0000-00003D5A0000}"/>
    <cellStyle name="40% - Accent5 2 2 5 4 3" xfId="28426" xr:uid="{00000000-0005-0000-0000-00003E5A0000}"/>
    <cellStyle name="40% - Accent5 2 2 5 5" xfId="32739" xr:uid="{00000000-0005-0000-0000-00003F5A0000}"/>
    <cellStyle name="40% - Accent5 2 2 5 5 2" xfId="32135" xr:uid="{00000000-0005-0000-0000-0000405A0000}"/>
    <cellStyle name="40% - Accent5 2 2 5 6" xfId="8460" xr:uid="{00000000-0005-0000-0000-0000415A0000}"/>
    <cellStyle name="40% - Accent5 2 2 6" xfId="15247" xr:uid="{00000000-0005-0000-0000-0000425A0000}"/>
    <cellStyle name="40% - Accent5 2 2 6 2" xfId="25403" xr:uid="{00000000-0005-0000-0000-0000435A0000}"/>
    <cellStyle name="40% - Accent5 2 2 6 2 2" xfId="10251" xr:uid="{00000000-0005-0000-0000-0000445A0000}"/>
    <cellStyle name="40% - Accent5 2 2 6 2 2 2" xfId="8459" xr:uid="{00000000-0005-0000-0000-0000455A0000}"/>
    <cellStyle name="40% - Accent5 2 2 6 2 2 2 2" xfId="8457" xr:uid="{00000000-0005-0000-0000-0000465A0000}"/>
    <cellStyle name="40% - Accent5 2 2 6 2 2 3" xfId="8456" xr:uid="{00000000-0005-0000-0000-0000475A0000}"/>
    <cellStyle name="40% - Accent5 2 2 6 2 3" xfId="8454" xr:uid="{00000000-0005-0000-0000-0000485A0000}"/>
    <cellStyle name="40% - Accent5 2 2 6 2 3 2" xfId="31420" xr:uid="{00000000-0005-0000-0000-0000495A0000}"/>
    <cellStyle name="40% - Accent5 2 2 6 2 4" xfId="8452" xr:uid="{00000000-0005-0000-0000-00004A5A0000}"/>
    <cellStyle name="40% - Accent5 2 2 6 3" xfId="8450" xr:uid="{00000000-0005-0000-0000-00004B5A0000}"/>
    <cellStyle name="40% - Accent5 2 2 6 3 2" xfId="8449" xr:uid="{00000000-0005-0000-0000-00004C5A0000}"/>
    <cellStyle name="40% - Accent5 2 2 6 3 2 2" xfId="32612" xr:uid="{00000000-0005-0000-0000-00004D5A0000}"/>
    <cellStyle name="40% - Accent5 2 2 6 3 3" xfId="18868" xr:uid="{00000000-0005-0000-0000-00004E5A0000}"/>
    <cellStyle name="40% - Accent5 2 2 6 4" xfId="8447" xr:uid="{00000000-0005-0000-0000-00004F5A0000}"/>
    <cellStyle name="40% - Accent5 2 2 6 4 2" xfId="28408" xr:uid="{00000000-0005-0000-0000-0000505A0000}"/>
    <cellStyle name="40% - Accent5 2 2 6 5" xfId="8446" xr:uid="{00000000-0005-0000-0000-0000515A0000}"/>
    <cellStyle name="40% - Accent5 2 2 7" xfId="22410" xr:uid="{00000000-0005-0000-0000-0000525A0000}"/>
    <cellStyle name="40% - Accent5 2 2 7 2" xfId="22406" xr:uid="{00000000-0005-0000-0000-0000535A0000}"/>
    <cellStyle name="40% - Accent5 2 2 7 2 2" xfId="8445" xr:uid="{00000000-0005-0000-0000-0000545A0000}"/>
    <cellStyle name="40% - Accent5 2 2 7 2 2 2" xfId="8443" xr:uid="{00000000-0005-0000-0000-0000555A0000}"/>
    <cellStyle name="40% - Accent5 2 2 7 2 3" xfId="8441" xr:uid="{00000000-0005-0000-0000-0000565A0000}"/>
    <cellStyle name="40% - Accent5 2 2 7 3" xfId="8439" xr:uid="{00000000-0005-0000-0000-0000575A0000}"/>
    <cellStyle name="40% - Accent5 2 2 7 3 2" xfId="8437" xr:uid="{00000000-0005-0000-0000-0000585A0000}"/>
    <cellStyle name="40% - Accent5 2 2 7 4" xfId="8435" xr:uid="{00000000-0005-0000-0000-0000595A0000}"/>
    <cellStyle name="40% - Accent5 2 2 8" xfId="22359" xr:uid="{00000000-0005-0000-0000-00005A5A0000}"/>
    <cellStyle name="40% - Accent5 2 2 8 2" xfId="8433" xr:uid="{00000000-0005-0000-0000-00005B5A0000}"/>
    <cellStyle name="40% - Accent5 2 2 8 2 2" xfId="8432" xr:uid="{00000000-0005-0000-0000-00005C5A0000}"/>
    <cellStyle name="40% - Accent5 2 2 8 3" xfId="8429" xr:uid="{00000000-0005-0000-0000-00005D5A0000}"/>
    <cellStyle name="40% - Accent5 2 2 9" xfId="8427" xr:uid="{00000000-0005-0000-0000-00005E5A0000}"/>
    <cellStyle name="40% - Accent5 2 2 9 2" xfId="8426" xr:uid="{00000000-0005-0000-0000-00005F5A0000}"/>
    <cellStyle name="40% - Accent5 2 3" xfId="213" xr:uid="{00000000-0005-0000-0000-0000605A0000}"/>
    <cellStyle name="40% - Accent5 2 3 10" xfId="34544" xr:uid="{00000000-0005-0000-0000-0000615A0000}"/>
    <cellStyle name="40% - Accent5 2 3 11" xfId="31886" xr:uid="{00000000-0005-0000-0000-0000625A0000}"/>
    <cellStyle name="40% - Accent5 2 3 2" xfId="11844" xr:uid="{00000000-0005-0000-0000-0000635A0000}"/>
    <cellStyle name="40% - Accent5 2 3 2 2" xfId="11841" xr:uid="{00000000-0005-0000-0000-0000645A0000}"/>
    <cellStyle name="40% - Accent5 2 3 2 2 2" xfId="10479" xr:uid="{00000000-0005-0000-0000-0000655A0000}"/>
    <cellStyle name="40% - Accent5 2 3 2 2 2 2" xfId="24831" xr:uid="{00000000-0005-0000-0000-0000665A0000}"/>
    <cellStyle name="40% - Accent5 2 3 2 2 2 2 2" xfId="8425" xr:uid="{00000000-0005-0000-0000-0000675A0000}"/>
    <cellStyle name="40% - Accent5 2 3 2 2 2 2 2 2" xfId="8423" xr:uid="{00000000-0005-0000-0000-0000685A0000}"/>
    <cellStyle name="40% - Accent5 2 3 2 2 2 2 2 2 2" xfId="11981" xr:uid="{00000000-0005-0000-0000-0000695A0000}"/>
    <cellStyle name="40% - Accent5 2 3 2 2 2 2 2 2 2 2" xfId="8422" xr:uid="{00000000-0005-0000-0000-00006A5A0000}"/>
    <cellStyle name="40% - Accent5 2 3 2 2 2 2 2 2 3" xfId="10273" xr:uid="{00000000-0005-0000-0000-00006B5A0000}"/>
    <cellStyle name="40% - Accent5 2 3 2 2 2 2 2 3" xfId="26558" xr:uid="{00000000-0005-0000-0000-00006C5A0000}"/>
    <cellStyle name="40% - Accent5 2 3 2 2 2 2 2 3 2" xfId="15629" xr:uid="{00000000-0005-0000-0000-00006D5A0000}"/>
    <cellStyle name="40% - Accent5 2 3 2 2 2 2 2 4" xfId="25805" xr:uid="{00000000-0005-0000-0000-00006E5A0000}"/>
    <cellStyle name="40% - Accent5 2 3 2 2 2 2 3" xfId="8421" xr:uid="{00000000-0005-0000-0000-00006F5A0000}"/>
    <cellStyle name="40% - Accent5 2 3 2 2 2 2 3 2" xfId="8419" xr:uid="{00000000-0005-0000-0000-0000705A0000}"/>
    <cellStyle name="40% - Accent5 2 3 2 2 2 2 3 2 2" xfId="9524" xr:uid="{00000000-0005-0000-0000-0000715A0000}"/>
    <cellStyle name="40% - Accent5 2 3 2 2 2 2 3 3" xfId="25799" xr:uid="{00000000-0005-0000-0000-0000725A0000}"/>
    <cellStyle name="40% - Accent5 2 3 2 2 2 2 4" xfId="8417" xr:uid="{00000000-0005-0000-0000-0000735A0000}"/>
    <cellStyle name="40% - Accent5 2 3 2 2 2 2 4 2" xfId="8413" xr:uid="{00000000-0005-0000-0000-0000745A0000}"/>
    <cellStyle name="40% - Accent5 2 3 2 2 2 2 5" xfId="26510" xr:uid="{00000000-0005-0000-0000-0000755A0000}"/>
    <cellStyle name="40% - Accent5 2 3 2 2 2 3" xfId="29500" xr:uid="{00000000-0005-0000-0000-0000765A0000}"/>
    <cellStyle name="40% - Accent5 2 3 2 2 2 3 2" xfId="13916" xr:uid="{00000000-0005-0000-0000-0000775A0000}"/>
    <cellStyle name="40% - Accent5 2 3 2 2 2 3 2 2" xfId="24056" xr:uid="{00000000-0005-0000-0000-0000785A0000}"/>
    <cellStyle name="40% - Accent5 2 3 2 2 2 3 2 2 2" xfId="8410" xr:uid="{00000000-0005-0000-0000-0000795A0000}"/>
    <cellStyle name="40% - Accent5 2 3 2 2 2 3 2 3" xfId="22730" xr:uid="{00000000-0005-0000-0000-00007A5A0000}"/>
    <cellStyle name="40% - Accent5 2 3 2 2 2 3 3" xfId="8404" xr:uid="{00000000-0005-0000-0000-00007B5A0000}"/>
    <cellStyle name="40% - Accent5 2 3 2 2 2 3 3 2" xfId="8402" xr:uid="{00000000-0005-0000-0000-00007C5A0000}"/>
    <cellStyle name="40% - Accent5 2 3 2 2 2 3 4" xfId="8401" xr:uid="{00000000-0005-0000-0000-00007D5A0000}"/>
    <cellStyle name="40% - Accent5 2 3 2 2 2 4" xfId="32365" xr:uid="{00000000-0005-0000-0000-00007E5A0000}"/>
    <cellStyle name="40% - Accent5 2 3 2 2 2 4 2" xfId="25213" xr:uid="{00000000-0005-0000-0000-00007F5A0000}"/>
    <cellStyle name="40% - Accent5 2 3 2 2 2 4 2 2" xfId="8398" xr:uid="{00000000-0005-0000-0000-0000805A0000}"/>
    <cellStyle name="40% - Accent5 2 3 2 2 2 4 3" xfId="8397" xr:uid="{00000000-0005-0000-0000-0000815A0000}"/>
    <cellStyle name="40% - Accent5 2 3 2 2 2 5" xfId="24962" xr:uid="{00000000-0005-0000-0000-0000825A0000}"/>
    <cellStyle name="40% - Accent5 2 3 2 2 2 5 2" xfId="8394" xr:uid="{00000000-0005-0000-0000-0000835A0000}"/>
    <cellStyle name="40% - Accent5 2 3 2 2 2 6" xfId="8391" xr:uid="{00000000-0005-0000-0000-0000845A0000}"/>
    <cellStyle name="40% - Accent5 2 3 2 2 3" xfId="8388" xr:uid="{00000000-0005-0000-0000-0000855A0000}"/>
    <cellStyle name="40% - Accent5 2 3 2 2 3 2" xfId="29487" xr:uid="{00000000-0005-0000-0000-0000865A0000}"/>
    <cellStyle name="40% - Accent5 2 3 2 2 3 2 2" xfId="25579" xr:uid="{00000000-0005-0000-0000-0000875A0000}"/>
    <cellStyle name="40% - Accent5 2 3 2 2 3 2 2 2" xfId="8385" xr:uid="{00000000-0005-0000-0000-0000885A0000}"/>
    <cellStyle name="40% - Accent5 2 3 2 2 3 2 2 2 2" xfId="11039" xr:uid="{00000000-0005-0000-0000-0000895A0000}"/>
    <cellStyle name="40% - Accent5 2 3 2 2 3 2 2 3" xfId="25791" xr:uid="{00000000-0005-0000-0000-00008A5A0000}"/>
    <cellStyle name="40% - Accent5 2 3 2 2 3 2 3" xfId="25147" xr:uid="{00000000-0005-0000-0000-00008B5A0000}"/>
    <cellStyle name="40% - Accent5 2 3 2 2 3 2 3 2" xfId="27151" xr:uid="{00000000-0005-0000-0000-00008C5A0000}"/>
    <cellStyle name="40% - Accent5 2 3 2 2 3 2 4" xfId="33083" xr:uid="{00000000-0005-0000-0000-00008D5A0000}"/>
    <cellStyle name="40% - Accent5 2 3 2 2 3 3" xfId="32356" xr:uid="{00000000-0005-0000-0000-00008E5A0000}"/>
    <cellStyle name="40% - Accent5 2 3 2 2 3 3 2" xfId="8384" xr:uid="{00000000-0005-0000-0000-00008F5A0000}"/>
    <cellStyle name="40% - Accent5 2 3 2 2 3 3 2 2" xfId="8382" xr:uid="{00000000-0005-0000-0000-0000905A0000}"/>
    <cellStyle name="40% - Accent5 2 3 2 2 3 3 3" xfId="33065" xr:uid="{00000000-0005-0000-0000-0000915A0000}"/>
    <cellStyle name="40% - Accent5 2 3 2 2 3 4" xfId="24950" xr:uid="{00000000-0005-0000-0000-0000925A0000}"/>
    <cellStyle name="40% - Accent5 2 3 2 2 3 4 2" xfId="30705" xr:uid="{00000000-0005-0000-0000-0000935A0000}"/>
    <cellStyle name="40% - Accent5 2 3 2 2 3 5" xfId="8381" xr:uid="{00000000-0005-0000-0000-0000945A0000}"/>
    <cellStyle name="40% - Accent5 2 3 2 2 4" xfId="8378" xr:uid="{00000000-0005-0000-0000-0000955A0000}"/>
    <cellStyle name="40% - Accent5 2 3 2 2 4 2" xfId="26955" xr:uid="{00000000-0005-0000-0000-0000965A0000}"/>
    <cellStyle name="40% - Accent5 2 3 2 2 4 2 2" xfId="8377" xr:uid="{00000000-0005-0000-0000-0000975A0000}"/>
    <cellStyle name="40% - Accent5 2 3 2 2 4 2 2 2" xfId="8375" xr:uid="{00000000-0005-0000-0000-0000985A0000}"/>
    <cellStyle name="40% - Accent5 2 3 2 2 4 2 3" xfId="33001" xr:uid="{00000000-0005-0000-0000-0000995A0000}"/>
    <cellStyle name="40% - Accent5 2 3 2 2 4 3" xfId="33178" xr:uid="{00000000-0005-0000-0000-00009A5A0000}"/>
    <cellStyle name="40% - Accent5 2 3 2 2 4 3 2" xfId="8374" xr:uid="{00000000-0005-0000-0000-00009B5A0000}"/>
    <cellStyle name="40% - Accent5 2 3 2 2 4 4" xfId="22497" xr:uid="{00000000-0005-0000-0000-00009C5A0000}"/>
    <cellStyle name="40% - Accent5 2 3 2 2 5" xfId="8372" xr:uid="{00000000-0005-0000-0000-00009D5A0000}"/>
    <cellStyle name="40% - Accent5 2 3 2 2 5 2" xfId="33016" xr:uid="{00000000-0005-0000-0000-00009E5A0000}"/>
    <cellStyle name="40% - Accent5 2 3 2 2 5 2 2" xfId="8371" xr:uid="{00000000-0005-0000-0000-00009F5A0000}"/>
    <cellStyle name="40% - Accent5 2 3 2 2 5 3" xfId="8368" xr:uid="{00000000-0005-0000-0000-0000A05A0000}"/>
    <cellStyle name="40% - Accent5 2 3 2 2 6" xfId="8366" xr:uid="{00000000-0005-0000-0000-0000A15A0000}"/>
    <cellStyle name="40% - Accent5 2 3 2 2 6 2" xfId="8365" xr:uid="{00000000-0005-0000-0000-0000A25A0000}"/>
    <cellStyle name="40% - Accent5 2 3 2 2 7" xfId="8363" xr:uid="{00000000-0005-0000-0000-0000A35A0000}"/>
    <cellStyle name="40% - Accent5 2 3 2 3" xfId="8362" xr:uid="{00000000-0005-0000-0000-0000A45A0000}"/>
    <cellStyle name="40% - Accent5 2 3 2 3 2" xfId="8360" xr:uid="{00000000-0005-0000-0000-0000A55A0000}"/>
    <cellStyle name="40% - Accent5 2 3 2 3 2 2" xfId="26588" xr:uid="{00000000-0005-0000-0000-0000A65A0000}"/>
    <cellStyle name="40% - Accent5 2 3 2 3 2 2 2" xfId="8358" xr:uid="{00000000-0005-0000-0000-0000A75A0000}"/>
    <cellStyle name="40% - Accent5 2 3 2 3 2 2 2 2" xfId="8356" xr:uid="{00000000-0005-0000-0000-0000A85A0000}"/>
    <cellStyle name="40% - Accent5 2 3 2 3 2 2 2 2 2" xfId="8355" xr:uid="{00000000-0005-0000-0000-0000A95A0000}"/>
    <cellStyle name="40% - Accent5 2 3 2 3 2 2 2 3" xfId="23505" xr:uid="{00000000-0005-0000-0000-0000AA5A0000}"/>
    <cellStyle name="40% - Accent5 2 3 2 3 2 2 3" xfId="8353" xr:uid="{00000000-0005-0000-0000-0000AB5A0000}"/>
    <cellStyle name="40% - Accent5 2 3 2 3 2 2 3 2" xfId="8351" xr:uid="{00000000-0005-0000-0000-0000AC5A0000}"/>
    <cellStyle name="40% - Accent5 2 3 2 3 2 2 4" xfId="8350" xr:uid="{00000000-0005-0000-0000-0000AD5A0000}"/>
    <cellStyle name="40% - Accent5 2 3 2 3 2 3" xfId="28343" xr:uid="{00000000-0005-0000-0000-0000AE5A0000}"/>
    <cellStyle name="40% - Accent5 2 3 2 3 2 3 2" xfId="12115" xr:uid="{00000000-0005-0000-0000-0000AF5A0000}"/>
    <cellStyle name="40% - Accent5 2 3 2 3 2 3 2 2" xfId="8347" xr:uid="{00000000-0005-0000-0000-0000B05A0000}"/>
    <cellStyle name="40% - Accent5 2 3 2 3 2 3 3" xfId="12110" xr:uid="{00000000-0005-0000-0000-0000B15A0000}"/>
    <cellStyle name="40% - Accent5 2 3 2 3 2 4" xfId="24933" xr:uid="{00000000-0005-0000-0000-0000B25A0000}"/>
    <cellStyle name="40% - Accent5 2 3 2 3 2 4 2" xfId="12108" xr:uid="{00000000-0005-0000-0000-0000B35A0000}"/>
    <cellStyle name="40% - Accent5 2 3 2 3 2 5" xfId="8346" xr:uid="{00000000-0005-0000-0000-0000B45A0000}"/>
    <cellStyle name="40% - Accent5 2 3 2 3 3" xfId="8343" xr:uid="{00000000-0005-0000-0000-0000B55A0000}"/>
    <cellStyle name="40% - Accent5 2 3 2 3 3 2" xfId="32316" xr:uid="{00000000-0005-0000-0000-0000B65A0000}"/>
    <cellStyle name="40% - Accent5 2 3 2 3 3 2 2" xfId="8342" xr:uid="{00000000-0005-0000-0000-0000B75A0000}"/>
    <cellStyle name="40% - Accent5 2 3 2 3 3 2 2 2" xfId="8339" xr:uid="{00000000-0005-0000-0000-0000B85A0000}"/>
    <cellStyle name="40% - Accent5 2 3 2 3 3 2 3" xfId="29994" xr:uid="{00000000-0005-0000-0000-0000B95A0000}"/>
    <cellStyle name="40% - Accent5 2 3 2 3 3 3" xfId="24919" xr:uid="{00000000-0005-0000-0000-0000BA5A0000}"/>
    <cellStyle name="40% - Accent5 2 3 2 3 3 3 2" xfId="12103" xr:uid="{00000000-0005-0000-0000-0000BB5A0000}"/>
    <cellStyle name="40% - Accent5 2 3 2 3 3 4" xfId="8338" xr:uid="{00000000-0005-0000-0000-0000BC5A0000}"/>
    <cellStyle name="40% - Accent5 2 3 2 3 4" xfId="8634" xr:uid="{00000000-0005-0000-0000-0000BD5A0000}"/>
    <cellStyle name="40% - Accent5 2 3 2 3 4 2" xfId="23682" xr:uid="{00000000-0005-0000-0000-0000BE5A0000}"/>
    <cellStyle name="40% - Accent5 2 3 2 3 4 2 2" xfId="8335" xr:uid="{00000000-0005-0000-0000-0000BF5A0000}"/>
    <cellStyle name="40% - Accent5 2 3 2 3 4 3" xfId="8332" xr:uid="{00000000-0005-0000-0000-0000C05A0000}"/>
    <cellStyle name="40% - Accent5 2 3 2 3 5" xfId="8625" xr:uid="{00000000-0005-0000-0000-0000C15A0000}"/>
    <cellStyle name="40% - Accent5 2 3 2 3 5 2" xfId="8329" xr:uid="{00000000-0005-0000-0000-0000C25A0000}"/>
    <cellStyle name="40% - Accent5 2 3 2 3 6" xfId="8619" xr:uid="{00000000-0005-0000-0000-0000C35A0000}"/>
    <cellStyle name="40% - Accent5 2 3 2 4" xfId="8327" xr:uid="{00000000-0005-0000-0000-0000C45A0000}"/>
    <cellStyle name="40% - Accent5 2 3 2 4 2" xfId="8326" xr:uid="{00000000-0005-0000-0000-0000C55A0000}"/>
    <cellStyle name="40% - Accent5 2 3 2 4 2 2" xfId="29041" xr:uid="{00000000-0005-0000-0000-0000C65A0000}"/>
    <cellStyle name="40% - Accent5 2 3 2 4 2 2 2" xfId="8325" xr:uid="{00000000-0005-0000-0000-0000C75A0000}"/>
    <cellStyle name="40% - Accent5 2 3 2 4 2 2 2 2" xfId="8690" xr:uid="{00000000-0005-0000-0000-0000C85A0000}"/>
    <cellStyle name="40% - Accent5 2 3 2 4 2 2 3" xfId="8323" xr:uid="{00000000-0005-0000-0000-0000C95A0000}"/>
    <cellStyle name="40% - Accent5 2 3 2 4 2 3" xfId="25753" xr:uid="{00000000-0005-0000-0000-0000CA5A0000}"/>
    <cellStyle name="40% - Accent5 2 3 2 4 2 3 2" xfId="12052" xr:uid="{00000000-0005-0000-0000-0000CB5A0000}"/>
    <cellStyle name="40% - Accent5 2 3 2 4 2 4" xfId="8321" xr:uid="{00000000-0005-0000-0000-0000CC5A0000}"/>
    <cellStyle name="40% - Accent5 2 3 2 4 3" xfId="8317" xr:uid="{00000000-0005-0000-0000-0000CD5A0000}"/>
    <cellStyle name="40% - Accent5 2 3 2 4 3 2" xfId="32322" xr:uid="{00000000-0005-0000-0000-0000CE5A0000}"/>
    <cellStyle name="40% - Accent5 2 3 2 4 3 2 2" xfId="16209" xr:uid="{00000000-0005-0000-0000-0000CF5A0000}"/>
    <cellStyle name="40% - Accent5 2 3 2 4 3 3" xfId="8315" xr:uid="{00000000-0005-0000-0000-0000D05A0000}"/>
    <cellStyle name="40% - Accent5 2 3 2 4 4" xfId="8613" xr:uid="{00000000-0005-0000-0000-0000D15A0000}"/>
    <cellStyle name="40% - Accent5 2 3 2 4 4 2" xfId="8312" xr:uid="{00000000-0005-0000-0000-0000D25A0000}"/>
    <cellStyle name="40% - Accent5 2 3 2 4 5" xfId="8605" xr:uid="{00000000-0005-0000-0000-0000D35A0000}"/>
    <cellStyle name="40% - Accent5 2 3 2 5" xfId="13193" xr:uid="{00000000-0005-0000-0000-0000D45A0000}"/>
    <cellStyle name="40% - Accent5 2 3 2 5 2" xfId="8310" xr:uid="{00000000-0005-0000-0000-0000D55A0000}"/>
    <cellStyle name="40% - Accent5 2 3 2 5 2 2" xfId="22967" xr:uid="{00000000-0005-0000-0000-0000D65A0000}"/>
    <cellStyle name="40% - Accent5 2 3 2 5 2 2 2" xfId="10267" xr:uid="{00000000-0005-0000-0000-0000D75A0000}"/>
    <cellStyle name="40% - Accent5 2 3 2 5 2 3" xfId="22949" xr:uid="{00000000-0005-0000-0000-0000D85A0000}"/>
    <cellStyle name="40% - Accent5 2 3 2 5 3" xfId="14161" xr:uid="{00000000-0005-0000-0000-0000D95A0000}"/>
    <cellStyle name="40% - Accent5 2 3 2 5 3 2" xfId="8308" xr:uid="{00000000-0005-0000-0000-0000DA5A0000}"/>
    <cellStyle name="40% - Accent5 2 3 2 5 4" xfId="8601" xr:uid="{00000000-0005-0000-0000-0000DB5A0000}"/>
    <cellStyle name="40% - Accent5 2 3 2 6" xfId="13191" xr:uid="{00000000-0005-0000-0000-0000DC5A0000}"/>
    <cellStyle name="40% - Accent5 2 3 2 6 2" xfId="22756" xr:uid="{00000000-0005-0000-0000-0000DD5A0000}"/>
    <cellStyle name="40% - Accent5 2 3 2 6 2 2" xfId="8306" xr:uid="{00000000-0005-0000-0000-0000DE5A0000}"/>
    <cellStyle name="40% - Accent5 2 3 2 6 3" xfId="8304" xr:uid="{00000000-0005-0000-0000-0000DF5A0000}"/>
    <cellStyle name="40% - Accent5 2 3 2 7" xfId="8302" xr:uid="{00000000-0005-0000-0000-0000E05A0000}"/>
    <cellStyle name="40% - Accent5 2 3 2 7 2" xfId="8301" xr:uid="{00000000-0005-0000-0000-0000E15A0000}"/>
    <cellStyle name="40% - Accent5 2 3 2 8" xfId="8300" xr:uid="{00000000-0005-0000-0000-0000E25A0000}"/>
    <cellStyle name="40% - Accent5 2 3 3" xfId="11836" xr:uid="{00000000-0005-0000-0000-0000E35A0000}"/>
    <cellStyle name="40% - Accent5 2 3 3 2" xfId="8299" xr:uid="{00000000-0005-0000-0000-0000E45A0000}"/>
    <cellStyle name="40% - Accent5 2 3 3 2 2" xfId="8297" xr:uid="{00000000-0005-0000-0000-0000E55A0000}"/>
    <cellStyle name="40% - Accent5 2 3 3 2 2 2" xfId="32211" xr:uid="{00000000-0005-0000-0000-0000E65A0000}"/>
    <cellStyle name="40% - Accent5 2 3 3 2 2 2 2" xfId="12218" xr:uid="{00000000-0005-0000-0000-0000E75A0000}"/>
    <cellStyle name="40% - Accent5 2 3 3 2 2 2 2 2" xfId="29338" xr:uid="{00000000-0005-0000-0000-0000E85A0000}"/>
    <cellStyle name="40% - Accent5 2 3 3 2 2 2 2 2 2" xfId="31241" xr:uid="{00000000-0005-0000-0000-0000E95A0000}"/>
    <cellStyle name="40% - Accent5 2 3 3 2 2 2 2 3" xfId="25555" xr:uid="{00000000-0005-0000-0000-0000EA5A0000}"/>
    <cellStyle name="40% - Accent5 2 3 3 2 2 2 3" xfId="22449" xr:uid="{00000000-0005-0000-0000-0000EB5A0000}"/>
    <cellStyle name="40% - Accent5 2 3 3 2 2 2 3 2" xfId="8295" xr:uid="{00000000-0005-0000-0000-0000EC5A0000}"/>
    <cellStyle name="40% - Accent5 2 3 3 2 2 2 4" xfId="12127" xr:uid="{00000000-0005-0000-0000-0000ED5A0000}"/>
    <cellStyle name="40% - Accent5 2 3 3 2 2 3" xfId="22159" xr:uid="{00000000-0005-0000-0000-0000EE5A0000}"/>
    <cellStyle name="40% - Accent5 2 3 3 2 2 3 2" xfId="12094" xr:uid="{00000000-0005-0000-0000-0000EF5A0000}"/>
    <cellStyle name="40% - Accent5 2 3 3 2 2 3 2 2" xfId="8294" xr:uid="{00000000-0005-0000-0000-0000F05A0000}"/>
    <cellStyle name="40% - Accent5 2 3 3 2 2 3 3" xfId="12073" xr:uid="{00000000-0005-0000-0000-0000F15A0000}"/>
    <cellStyle name="40% - Accent5 2 3 3 2 2 4" xfId="22151" xr:uid="{00000000-0005-0000-0000-0000F25A0000}"/>
    <cellStyle name="40% - Accent5 2 3 3 2 2 4 2" xfId="12045" xr:uid="{00000000-0005-0000-0000-0000F35A0000}"/>
    <cellStyle name="40% - Accent5 2 3 3 2 2 5" xfId="8293" xr:uid="{00000000-0005-0000-0000-0000F45A0000}"/>
    <cellStyle name="40% - Accent5 2 3 3 2 3" xfId="8291" xr:uid="{00000000-0005-0000-0000-0000F55A0000}"/>
    <cellStyle name="40% - Accent5 2 3 3 2 3 2" xfId="32195" xr:uid="{00000000-0005-0000-0000-0000F65A0000}"/>
    <cellStyle name="40% - Accent5 2 3 3 2 3 2 2" xfId="11938" xr:uid="{00000000-0005-0000-0000-0000F75A0000}"/>
    <cellStyle name="40% - Accent5 2 3 3 2 3 2 2 2" xfId="25881" xr:uid="{00000000-0005-0000-0000-0000F85A0000}"/>
    <cellStyle name="40% - Accent5 2 3 3 2 3 2 3" xfId="20940" xr:uid="{00000000-0005-0000-0000-0000F95A0000}"/>
    <cellStyle name="40% - Accent5 2 3 3 2 3 3" xfId="22147" xr:uid="{00000000-0005-0000-0000-0000FA5A0000}"/>
    <cellStyle name="40% - Accent5 2 3 3 2 3 3 2" xfId="11858" xr:uid="{00000000-0005-0000-0000-0000FB5A0000}"/>
    <cellStyle name="40% - Accent5 2 3 3 2 3 4" xfId="8289" xr:uid="{00000000-0005-0000-0000-0000FC5A0000}"/>
    <cellStyle name="40% - Accent5 2 3 3 2 4" xfId="8287" xr:uid="{00000000-0005-0000-0000-0000FD5A0000}"/>
    <cellStyle name="40% - Accent5 2 3 3 2 4 2" xfId="18562" xr:uid="{00000000-0005-0000-0000-0000FE5A0000}"/>
    <cellStyle name="40% - Accent5 2 3 3 2 4 2 2" xfId="11773" xr:uid="{00000000-0005-0000-0000-0000FF5A0000}"/>
    <cellStyle name="40% - Accent5 2 3 3 2 4 3" xfId="19914" xr:uid="{00000000-0005-0000-0000-0000005B0000}"/>
    <cellStyle name="40% - Accent5 2 3 3 2 5" xfId="8284" xr:uid="{00000000-0005-0000-0000-0000015B0000}"/>
    <cellStyle name="40% - Accent5 2 3 3 2 5 2" xfId="8283" xr:uid="{00000000-0005-0000-0000-0000025B0000}"/>
    <cellStyle name="40% - Accent5 2 3 3 2 6" xfId="18460" xr:uid="{00000000-0005-0000-0000-0000035B0000}"/>
    <cellStyle name="40% - Accent5 2 3 3 3" xfId="8282" xr:uid="{00000000-0005-0000-0000-0000045B0000}"/>
    <cellStyle name="40% - Accent5 2 3 3 3 2" xfId="8278" xr:uid="{00000000-0005-0000-0000-0000055B0000}"/>
    <cellStyle name="40% - Accent5 2 3 3 3 2 2" xfId="23799" xr:uid="{00000000-0005-0000-0000-0000065B0000}"/>
    <cellStyle name="40% - Accent5 2 3 3 3 2 2 2" xfId="9516" xr:uid="{00000000-0005-0000-0000-0000075B0000}"/>
    <cellStyle name="40% - Accent5 2 3 3 3 2 2 2 2" xfId="11719" xr:uid="{00000000-0005-0000-0000-0000085B0000}"/>
    <cellStyle name="40% - Accent5 2 3 3 3 2 2 3" xfId="9470" xr:uid="{00000000-0005-0000-0000-0000095B0000}"/>
    <cellStyle name="40% - Accent5 2 3 3 3 2 3" xfId="22124" xr:uid="{00000000-0005-0000-0000-00000A5B0000}"/>
    <cellStyle name="40% - Accent5 2 3 3 3 2 3 2" xfId="11866" xr:uid="{00000000-0005-0000-0000-00000B5B0000}"/>
    <cellStyle name="40% - Accent5 2 3 3 3 2 4" xfId="8276" xr:uid="{00000000-0005-0000-0000-00000C5B0000}"/>
    <cellStyle name="40% - Accent5 2 3 3 3 3" xfId="8271" xr:uid="{00000000-0005-0000-0000-00000D5B0000}"/>
    <cellStyle name="40% - Accent5 2 3 3 3 3 2" xfId="16156" xr:uid="{00000000-0005-0000-0000-00000E5B0000}"/>
    <cellStyle name="40% - Accent5 2 3 3 3 3 2 2" xfId="9339" xr:uid="{00000000-0005-0000-0000-00000F5B0000}"/>
    <cellStyle name="40% - Accent5 2 3 3 3 3 3" xfId="8268" xr:uid="{00000000-0005-0000-0000-0000105B0000}"/>
    <cellStyle name="40% - Accent5 2 3 3 3 4" xfId="8592" xr:uid="{00000000-0005-0000-0000-0000115B0000}"/>
    <cellStyle name="40% - Accent5 2 3 3 3 4 2" xfId="8264" xr:uid="{00000000-0005-0000-0000-0000125B0000}"/>
    <cellStyle name="40% - Accent5 2 3 3 3 5" xfId="8585" xr:uid="{00000000-0005-0000-0000-0000135B0000}"/>
    <cellStyle name="40% - Accent5 2 3 3 4" xfId="8263" xr:uid="{00000000-0005-0000-0000-0000145B0000}"/>
    <cellStyle name="40% - Accent5 2 3 3 4 2" xfId="8260" xr:uid="{00000000-0005-0000-0000-0000155B0000}"/>
    <cellStyle name="40% - Accent5 2 3 3 4 2 2" xfId="22970" xr:uid="{00000000-0005-0000-0000-0000165B0000}"/>
    <cellStyle name="40% - Accent5 2 3 3 4 2 2 2" xfId="8258" xr:uid="{00000000-0005-0000-0000-0000175B0000}"/>
    <cellStyle name="40% - Accent5 2 3 3 4 2 3" xfId="8256" xr:uid="{00000000-0005-0000-0000-0000185B0000}"/>
    <cellStyle name="40% - Accent5 2 3 3 4 3" xfId="8253" xr:uid="{00000000-0005-0000-0000-0000195B0000}"/>
    <cellStyle name="40% - Accent5 2 3 3 4 3 2" xfId="8251" xr:uid="{00000000-0005-0000-0000-00001A5B0000}"/>
    <cellStyle name="40% - Accent5 2 3 3 4 4" xfId="8582" xr:uid="{00000000-0005-0000-0000-00001B5B0000}"/>
    <cellStyle name="40% - Accent5 2 3 3 5" xfId="13189" xr:uid="{00000000-0005-0000-0000-00001C5B0000}"/>
    <cellStyle name="40% - Accent5 2 3 3 5 2" xfId="8250" xr:uid="{00000000-0005-0000-0000-00001D5B0000}"/>
    <cellStyle name="40% - Accent5 2 3 3 5 2 2" xfId="8248" xr:uid="{00000000-0005-0000-0000-00001E5B0000}"/>
    <cellStyle name="40% - Accent5 2 3 3 5 3" xfId="8247" xr:uid="{00000000-0005-0000-0000-00001F5B0000}"/>
    <cellStyle name="40% - Accent5 2 3 3 6" xfId="8244" xr:uid="{00000000-0005-0000-0000-0000205B0000}"/>
    <cellStyle name="40% - Accent5 2 3 3 6 2" xfId="34020" xr:uid="{00000000-0005-0000-0000-0000215B0000}"/>
    <cellStyle name="40% - Accent5 2 3 3 7" xfId="8243" xr:uid="{00000000-0005-0000-0000-0000225B0000}"/>
    <cellStyle name="40% - Accent5 2 3 4" xfId="8241" xr:uid="{00000000-0005-0000-0000-0000235B0000}"/>
    <cellStyle name="40% - Accent5 2 3 4 2" xfId="10562" xr:uid="{00000000-0005-0000-0000-0000245B0000}"/>
    <cellStyle name="40% - Accent5 2 3 4 2 2" xfId="8240" xr:uid="{00000000-0005-0000-0000-0000255B0000}"/>
    <cellStyle name="40% - Accent5 2 3 4 2 2 2" xfId="24793" xr:uid="{00000000-0005-0000-0000-0000265B0000}"/>
    <cellStyle name="40% - Accent5 2 3 4 2 2 2 2" xfId="11590" xr:uid="{00000000-0005-0000-0000-0000275B0000}"/>
    <cellStyle name="40% - Accent5 2 3 4 2 2 2 2 2" xfId="26467" xr:uid="{00000000-0005-0000-0000-0000285B0000}"/>
    <cellStyle name="40% - Accent5 2 3 4 2 2 2 3" xfId="8239" xr:uid="{00000000-0005-0000-0000-0000295B0000}"/>
    <cellStyle name="40% - Accent5 2 3 4 2 2 3" xfId="22101" xr:uid="{00000000-0005-0000-0000-00002A5B0000}"/>
    <cellStyle name="40% - Accent5 2 3 4 2 2 3 2" xfId="8237" xr:uid="{00000000-0005-0000-0000-00002B5B0000}"/>
    <cellStyle name="40% - Accent5 2 3 4 2 2 4" xfId="24172" xr:uid="{00000000-0005-0000-0000-00002C5B0000}"/>
    <cellStyle name="40% - Accent5 2 3 4 2 3" xfId="8235" xr:uid="{00000000-0005-0000-0000-00002D5B0000}"/>
    <cellStyle name="40% - Accent5 2 3 4 2 3 2" xfId="31634" xr:uid="{00000000-0005-0000-0000-00002E5B0000}"/>
    <cellStyle name="40% - Accent5 2 3 4 2 3 2 2" xfId="8232" xr:uid="{00000000-0005-0000-0000-00002F5B0000}"/>
    <cellStyle name="40% - Accent5 2 3 4 2 3 3" xfId="8229" xr:uid="{00000000-0005-0000-0000-0000305B0000}"/>
    <cellStyle name="40% - Accent5 2 3 4 2 4" xfId="8227" xr:uid="{00000000-0005-0000-0000-0000315B0000}"/>
    <cellStyle name="40% - Accent5 2 3 4 2 4 2" xfId="8931" xr:uid="{00000000-0005-0000-0000-0000325B0000}"/>
    <cellStyle name="40% - Accent5 2 3 4 2 5" xfId="8225" xr:uid="{00000000-0005-0000-0000-0000335B0000}"/>
    <cellStyle name="40% - Accent5 2 3 4 3" xfId="8224" xr:uid="{00000000-0005-0000-0000-0000345B0000}"/>
    <cellStyle name="40% - Accent5 2 3 4 3 2" xfId="8221" xr:uid="{00000000-0005-0000-0000-0000355B0000}"/>
    <cellStyle name="40% - Accent5 2 3 4 3 2 2" xfId="24191" xr:uid="{00000000-0005-0000-0000-0000365B0000}"/>
    <cellStyle name="40% - Accent5 2 3 4 3 2 2 2" xfId="8219" xr:uid="{00000000-0005-0000-0000-0000375B0000}"/>
    <cellStyle name="40% - Accent5 2 3 4 3 2 3" xfId="22083" xr:uid="{00000000-0005-0000-0000-0000385B0000}"/>
    <cellStyle name="40% - Accent5 2 3 4 3 3" xfId="8217" xr:uid="{00000000-0005-0000-0000-0000395B0000}"/>
    <cellStyle name="40% - Accent5 2 3 4 3 3 2" xfId="34137" xr:uid="{00000000-0005-0000-0000-00003A5B0000}"/>
    <cellStyle name="40% - Accent5 2 3 4 3 4" xfId="8571" xr:uid="{00000000-0005-0000-0000-00003B5B0000}"/>
    <cellStyle name="40% - Accent5 2 3 4 4" xfId="8215" xr:uid="{00000000-0005-0000-0000-00003C5B0000}"/>
    <cellStyle name="40% - Accent5 2 3 4 4 2" xfId="8213" xr:uid="{00000000-0005-0000-0000-00003D5B0000}"/>
    <cellStyle name="40% - Accent5 2 3 4 4 2 2" xfId="24174" xr:uid="{00000000-0005-0000-0000-00003E5B0000}"/>
    <cellStyle name="40% - Accent5 2 3 4 4 3" xfId="20752" xr:uid="{00000000-0005-0000-0000-00003F5B0000}"/>
    <cellStyle name="40% - Accent5 2 3 4 5" xfId="13367" xr:uid="{00000000-0005-0000-0000-0000405B0000}"/>
    <cellStyle name="40% - Accent5 2 3 4 5 2" xfId="8212" xr:uid="{00000000-0005-0000-0000-0000415B0000}"/>
    <cellStyle name="40% - Accent5 2 3 4 6" xfId="13363" xr:uid="{00000000-0005-0000-0000-0000425B0000}"/>
    <cellStyle name="40% - Accent5 2 3 5" xfId="8211" xr:uid="{00000000-0005-0000-0000-0000435B0000}"/>
    <cellStyle name="40% - Accent5 2 3 5 2" xfId="25382" xr:uid="{00000000-0005-0000-0000-0000445B0000}"/>
    <cellStyle name="40% - Accent5 2 3 5 2 2" xfId="8209" xr:uid="{00000000-0005-0000-0000-0000455B0000}"/>
    <cellStyle name="40% - Accent5 2 3 5 2 2 2" xfId="24764" xr:uid="{00000000-0005-0000-0000-0000465B0000}"/>
    <cellStyle name="40% - Accent5 2 3 5 2 2 2 2" xfId="23483" xr:uid="{00000000-0005-0000-0000-0000475B0000}"/>
    <cellStyle name="40% - Accent5 2 3 5 2 2 3" xfId="8208" xr:uid="{00000000-0005-0000-0000-0000485B0000}"/>
    <cellStyle name="40% - Accent5 2 3 5 2 3" xfId="8204" xr:uid="{00000000-0005-0000-0000-0000495B0000}"/>
    <cellStyle name="40% - Accent5 2 3 5 2 3 2" xfId="8202" xr:uid="{00000000-0005-0000-0000-00004A5B0000}"/>
    <cellStyle name="40% - Accent5 2 3 5 2 4" xfId="8200" xr:uid="{00000000-0005-0000-0000-00004B5B0000}"/>
    <cellStyle name="40% - Accent5 2 3 5 3" xfId="8198" xr:uid="{00000000-0005-0000-0000-00004C5B0000}"/>
    <cellStyle name="40% - Accent5 2 3 5 3 2" xfId="8196" xr:uid="{00000000-0005-0000-0000-00004D5B0000}"/>
    <cellStyle name="40% - Accent5 2 3 5 3 2 2" xfId="16809" xr:uid="{00000000-0005-0000-0000-00004E5B0000}"/>
    <cellStyle name="40% - Accent5 2 3 5 3 3" xfId="8195" xr:uid="{00000000-0005-0000-0000-00004F5B0000}"/>
    <cellStyle name="40% - Accent5 2 3 5 4" xfId="7203" xr:uid="{00000000-0005-0000-0000-0000505B0000}"/>
    <cellStyle name="40% - Accent5 2 3 5 4 2" xfId="25239" xr:uid="{00000000-0005-0000-0000-0000515B0000}"/>
    <cellStyle name="40% - Accent5 2 3 5 5" xfId="7199" xr:uid="{00000000-0005-0000-0000-0000525B0000}"/>
    <cellStyle name="40% - Accent5 2 3 6" xfId="8194" xr:uid="{00000000-0005-0000-0000-0000535B0000}"/>
    <cellStyle name="40% - Accent5 2 3 6 2" xfId="8192" xr:uid="{00000000-0005-0000-0000-0000545B0000}"/>
    <cellStyle name="40% - Accent5 2 3 6 2 2" xfId="8191" xr:uid="{00000000-0005-0000-0000-0000555B0000}"/>
    <cellStyle name="40% - Accent5 2 3 6 2 2 2" xfId="8189" xr:uid="{00000000-0005-0000-0000-0000565B0000}"/>
    <cellStyle name="40% - Accent5 2 3 6 2 3" xfId="8186" xr:uid="{00000000-0005-0000-0000-0000575B0000}"/>
    <cellStyle name="40% - Accent5 2 3 6 3" xfId="8184" xr:uid="{00000000-0005-0000-0000-0000585B0000}"/>
    <cellStyle name="40% - Accent5 2 3 6 3 2" xfId="8182" xr:uid="{00000000-0005-0000-0000-0000595B0000}"/>
    <cellStyle name="40% - Accent5 2 3 6 4" xfId="8180" xr:uid="{00000000-0005-0000-0000-00005A5B0000}"/>
    <cellStyle name="40% - Accent5 2 3 7" xfId="28153" xr:uid="{00000000-0005-0000-0000-00005B5B0000}"/>
    <cellStyle name="40% - Accent5 2 3 7 2" xfId="8175" xr:uid="{00000000-0005-0000-0000-00005C5B0000}"/>
    <cellStyle name="40% - Accent5 2 3 7 2 2" xfId="8174" xr:uid="{00000000-0005-0000-0000-00005D5B0000}"/>
    <cellStyle name="40% - Accent5 2 3 7 3" xfId="8172" xr:uid="{00000000-0005-0000-0000-00005E5B0000}"/>
    <cellStyle name="40% - Accent5 2 3 8" xfId="15166" xr:uid="{00000000-0005-0000-0000-00005F5B0000}"/>
    <cellStyle name="40% - Accent5 2 3 8 2" xfId="8169" xr:uid="{00000000-0005-0000-0000-0000605B0000}"/>
    <cellStyle name="40% - Accent5 2 3 9" xfId="15162" xr:uid="{00000000-0005-0000-0000-0000615B0000}"/>
    <cellStyle name="40% - Accent5 2 4" xfId="31745" xr:uid="{00000000-0005-0000-0000-0000625B0000}"/>
    <cellStyle name="40% - Accent5 2 4 2" xfId="26766" xr:uid="{00000000-0005-0000-0000-0000635B0000}"/>
    <cellStyle name="40% - Accent5 2 4 2 2" xfId="26763" xr:uid="{00000000-0005-0000-0000-0000645B0000}"/>
    <cellStyle name="40% - Accent5 2 4 2 2 2" xfId="8168" xr:uid="{00000000-0005-0000-0000-0000655B0000}"/>
    <cellStyle name="40% - Accent5 2 4 2 2 2 2" xfId="24689" xr:uid="{00000000-0005-0000-0000-0000665B0000}"/>
    <cellStyle name="40% - Accent5 2 4 2 2 2 2 2" xfId="10219" xr:uid="{00000000-0005-0000-0000-0000675B0000}"/>
    <cellStyle name="40% - Accent5 2 4 2 2 2 2 2 2" xfId="10217" xr:uid="{00000000-0005-0000-0000-0000685B0000}"/>
    <cellStyle name="40% - Accent5 2 4 2 2 2 2 2 2 2" xfId="8165" xr:uid="{00000000-0005-0000-0000-0000695B0000}"/>
    <cellStyle name="40% - Accent5 2 4 2 2 2 2 2 3" xfId="8163" xr:uid="{00000000-0005-0000-0000-00006A5B0000}"/>
    <cellStyle name="40% - Accent5 2 4 2 2 2 2 3" xfId="10214" xr:uid="{00000000-0005-0000-0000-00006B5B0000}"/>
    <cellStyle name="40% - Accent5 2 4 2 2 2 2 3 2" xfId="8162" xr:uid="{00000000-0005-0000-0000-00006C5B0000}"/>
    <cellStyle name="40% - Accent5 2 4 2 2 2 2 4" xfId="8161" xr:uid="{00000000-0005-0000-0000-00006D5B0000}"/>
    <cellStyle name="40% - Accent5 2 4 2 2 2 3" xfId="24681" xr:uid="{00000000-0005-0000-0000-00006E5B0000}"/>
    <cellStyle name="40% - Accent5 2 4 2 2 2 3 2" xfId="10213" xr:uid="{00000000-0005-0000-0000-00006F5B0000}"/>
    <cellStyle name="40% - Accent5 2 4 2 2 2 3 2 2" xfId="20109" xr:uid="{00000000-0005-0000-0000-0000705B0000}"/>
    <cellStyle name="40% - Accent5 2 4 2 2 2 3 3" xfId="8159" xr:uid="{00000000-0005-0000-0000-0000715B0000}"/>
    <cellStyle name="40% - Accent5 2 4 2 2 2 4" xfId="24676" xr:uid="{00000000-0005-0000-0000-0000725B0000}"/>
    <cellStyle name="40% - Accent5 2 4 2 2 2 4 2" xfId="8158" xr:uid="{00000000-0005-0000-0000-0000735B0000}"/>
    <cellStyle name="40% - Accent5 2 4 2 2 2 5" xfId="31505" xr:uid="{00000000-0005-0000-0000-0000745B0000}"/>
    <cellStyle name="40% - Accent5 2 4 2 2 3" xfId="8154" xr:uid="{00000000-0005-0000-0000-0000755B0000}"/>
    <cellStyle name="40% - Accent5 2 4 2 2 3 2" xfId="24673" xr:uid="{00000000-0005-0000-0000-0000765B0000}"/>
    <cellStyle name="40% - Accent5 2 4 2 2 3 2 2" xfId="10199" xr:uid="{00000000-0005-0000-0000-0000775B0000}"/>
    <cellStyle name="40% - Accent5 2 4 2 2 3 2 2 2" xfId="18778" xr:uid="{00000000-0005-0000-0000-0000785B0000}"/>
    <cellStyle name="40% - Accent5 2 4 2 2 3 2 3" xfId="22097" xr:uid="{00000000-0005-0000-0000-0000795B0000}"/>
    <cellStyle name="40% - Accent5 2 4 2 2 3 3" xfId="24667" xr:uid="{00000000-0005-0000-0000-00007A5B0000}"/>
    <cellStyle name="40% - Accent5 2 4 2 2 3 3 2" xfId="8153" xr:uid="{00000000-0005-0000-0000-00007B5B0000}"/>
    <cellStyle name="40% - Accent5 2 4 2 2 3 4" xfId="31438" xr:uid="{00000000-0005-0000-0000-00007C5B0000}"/>
    <cellStyle name="40% - Accent5 2 4 2 2 4" xfId="8152" xr:uid="{00000000-0005-0000-0000-00007D5B0000}"/>
    <cellStyle name="40% - Accent5 2 4 2 2 4 2" xfId="24661" xr:uid="{00000000-0005-0000-0000-00007E5B0000}"/>
    <cellStyle name="40% - Accent5 2 4 2 2 4 2 2" xfId="8151" xr:uid="{00000000-0005-0000-0000-00007F5B0000}"/>
    <cellStyle name="40% - Accent5 2 4 2 2 4 3" xfId="8150" xr:uid="{00000000-0005-0000-0000-0000805B0000}"/>
    <cellStyle name="40% - Accent5 2 4 2 2 5" xfId="27289" xr:uid="{00000000-0005-0000-0000-0000815B0000}"/>
    <cellStyle name="40% - Accent5 2 4 2 2 5 2" xfId="25084" xr:uid="{00000000-0005-0000-0000-0000825B0000}"/>
    <cellStyle name="40% - Accent5 2 4 2 2 6" xfId="25073" xr:uid="{00000000-0005-0000-0000-0000835B0000}"/>
    <cellStyle name="40% - Accent5 2 4 2 3" xfId="8149" xr:uid="{00000000-0005-0000-0000-0000845B0000}"/>
    <cellStyle name="40% - Accent5 2 4 2 3 2" xfId="8147" xr:uid="{00000000-0005-0000-0000-0000855B0000}"/>
    <cellStyle name="40% - Accent5 2 4 2 3 2 2" xfId="34398" xr:uid="{00000000-0005-0000-0000-0000865B0000}"/>
    <cellStyle name="40% - Accent5 2 4 2 3 2 2 2" xfId="10163" xr:uid="{00000000-0005-0000-0000-0000875B0000}"/>
    <cellStyle name="40% - Accent5 2 4 2 3 2 2 2 2" xfId="32083" xr:uid="{00000000-0005-0000-0000-0000885B0000}"/>
    <cellStyle name="40% - Accent5 2 4 2 3 2 2 3" xfId="8146" xr:uid="{00000000-0005-0000-0000-0000895B0000}"/>
    <cellStyle name="40% - Accent5 2 4 2 3 2 3" xfId="25044" xr:uid="{00000000-0005-0000-0000-00008A5B0000}"/>
    <cellStyle name="40% - Accent5 2 4 2 3 2 3 2" xfId="9441" xr:uid="{00000000-0005-0000-0000-00008B5B0000}"/>
    <cellStyle name="40% - Accent5 2 4 2 3 2 4" xfId="31324" xr:uid="{00000000-0005-0000-0000-00008C5B0000}"/>
    <cellStyle name="40% - Accent5 2 4 2 3 3" xfId="8145" xr:uid="{00000000-0005-0000-0000-00008D5B0000}"/>
    <cellStyle name="40% - Accent5 2 4 2 3 3 2" xfId="33885" xr:uid="{00000000-0005-0000-0000-00008E5B0000}"/>
    <cellStyle name="40% - Accent5 2 4 2 3 3 2 2" xfId="8144" xr:uid="{00000000-0005-0000-0000-00008F5B0000}"/>
    <cellStyle name="40% - Accent5 2 4 2 3 3 3" xfId="8143" xr:uid="{00000000-0005-0000-0000-0000905B0000}"/>
    <cellStyle name="40% - Accent5 2 4 2 3 4" xfId="8515" xr:uid="{00000000-0005-0000-0000-0000915B0000}"/>
    <cellStyle name="40% - Accent5 2 4 2 3 4 2" xfId="8141" xr:uid="{00000000-0005-0000-0000-0000925B0000}"/>
    <cellStyle name="40% - Accent5 2 4 2 3 5" xfId="8506" xr:uid="{00000000-0005-0000-0000-0000935B0000}"/>
    <cellStyle name="40% - Accent5 2 4 2 4" xfId="8140" xr:uid="{00000000-0005-0000-0000-0000945B0000}"/>
    <cellStyle name="40% - Accent5 2 4 2 4 2" xfId="8139" xr:uid="{00000000-0005-0000-0000-0000955B0000}"/>
    <cellStyle name="40% - Accent5 2 4 2 4 2 2" xfId="26321" xr:uid="{00000000-0005-0000-0000-0000965B0000}"/>
    <cellStyle name="40% - Accent5 2 4 2 4 2 2 2" xfId="34141" xr:uid="{00000000-0005-0000-0000-0000975B0000}"/>
    <cellStyle name="40% - Accent5 2 4 2 4 2 3" xfId="8138" xr:uid="{00000000-0005-0000-0000-0000985B0000}"/>
    <cellStyle name="40% - Accent5 2 4 2 4 3" xfId="8135" xr:uid="{00000000-0005-0000-0000-0000995B0000}"/>
    <cellStyle name="40% - Accent5 2 4 2 4 3 2" xfId="15132" xr:uid="{00000000-0005-0000-0000-00009A5B0000}"/>
    <cellStyle name="40% - Accent5 2 4 2 4 4" xfId="8502" xr:uid="{00000000-0005-0000-0000-00009B5B0000}"/>
    <cellStyle name="40% - Accent5 2 4 2 5" xfId="13186" xr:uid="{00000000-0005-0000-0000-00009C5B0000}"/>
    <cellStyle name="40% - Accent5 2 4 2 5 2" xfId="8133" xr:uid="{00000000-0005-0000-0000-00009D5B0000}"/>
    <cellStyle name="40% - Accent5 2 4 2 5 2 2" xfId="17993" xr:uid="{00000000-0005-0000-0000-00009E5B0000}"/>
    <cellStyle name="40% - Accent5 2 4 2 5 3" xfId="8131" xr:uid="{00000000-0005-0000-0000-00009F5B0000}"/>
    <cellStyle name="40% - Accent5 2 4 2 6" xfId="16779" xr:uid="{00000000-0005-0000-0000-0000A05B0000}"/>
    <cellStyle name="40% - Accent5 2 4 2 6 2" xfId="8129" xr:uid="{00000000-0005-0000-0000-0000A15B0000}"/>
    <cellStyle name="40% - Accent5 2 4 2 7" xfId="10211" xr:uid="{00000000-0005-0000-0000-0000A25B0000}"/>
    <cellStyle name="40% - Accent5 2 4 3" xfId="26754" xr:uid="{00000000-0005-0000-0000-0000A35B0000}"/>
    <cellStyle name="40% - Accent5 2 4 3 2" xfId="8128" xr:uid="{00000000-0005-0000-0000-0000A45B0000}"/>
    <cellStyle name="40% - Accent5 2 4 3 2 2" xfId="8126" xr:uid="{00000000-0005-0000-0000-0000A55B0000}"/>
    <cellStyle name="40% - Accent5 2 4 3 2 2 2" xfId="24617" xr:uid="{00000000-0005-0000-0000-0000A65B0000}"/>
    <cellStyle name="40% - Accent5 2 4 3 2 2 2 2" xfId="25983" xr:uid="{00000000-0005-0000-0000-0000A75B0000}"/>
    <cellStyle name="40% - Accent5 2 4 3 2 2 2 2 2" xfId="15005" xr:uid="{00000000-0005-0000-0000-0000A85B0000}"/>
    <cellStyle name="40% - Accent5 2 4 3 2 2 2 3" xfId="8125" xr:uid="{00000000-0005-0000-0000-0000A95B0000}"/>
    <cellStyle name="40% - Accent5 2 4 3 2 2 3" xfId="22032" xr:uid="{00000000-0005-0000-0000-0000AA5B0000}"/>
    <cellStyle name="40% - Accent5 2 4 3 2 2 3 2" xfId="8124" xr:uid="{00000000-0005-0000-0000-0000AB5B0000}"/>
    <cellStyle name="40% - Accent5 2 4 3 2 2 4" xfId="21650" xr:uid="{00000000-0005-0000-0000-0000AC5B0000}"/>
    <cellStyle name="40% - Accent5 2 4 3 2 3" xfId="8122" xr:uid="{00000000-0005-0000-0000-0000AD5B0000}"/>
    <cellStyle name="40% - Accent5 2 4 3 2 3 2" xfId="24606" xr:uid="{00000000-0005-0000-0000-0000AE5B0000}"/>
    <cellStyle name="40% - Accent5 2 4 3 2 3 2 2" xfId="8120" xr:uid="{00000000-0005-0000-0000-0000AF5B0000}"/>
    <cellStyle name="40% - Accent5 2 4 3 2 3 3" xfId="8119" xr:uid="{00000000-0005-0000-0000-0000B05B0000}"/>
    <cellStyle name="40% - Accent5 2 4 3 2 4" xfId="8117" xr:uid="{00000000-0005-0000-0000-0000B15B0000}"/>
    <cellStyle name="40% - Accent5 2 4 3 2 4 2" xfId="31305" xr:uid="{00000000-0005-0000-0000-0000B25B0000}"/>
    <cellStyle name="40% - Accent5 2 4 3 2 5" xfId="22212" xr:uid="{00000000-0005-0000-0000-0000B35B0000}"/>
    <cellStyle name="40% - Accent5 2 4 3 3" xfId="8116" xr:uid="{00000000-0005-0000-0000-0000B45B0000}"/>
    <cellStyle name="40% - Accent5 2 4 3 3 2" xfId="8113" xr:uid="{00000000-0005-0000-0000-0000B55B0000}"/>
    <cellStyle name="40% - Accent5 2 4 3 3 2 2" xfId="31620" xr:uid="{00000000-0005-0000-0000-0000B65B0000}"/>
    <cellStyle name="40% - Accent5 2 4 3 3 2 2 2" xfId="13616" xr:uid="{00000000-0005-0000-0000-0000B75B0000}"/>
    <cellStyle name="40% - Accent5 2 4 3 3 2 3" xfId="8111" xr:uid="{00000000-0005-0000-0000-0000B85B0000}"/>
    <cellStyle name="40% - Accent5 2 4 3 3 3" xfId="8108" xr:uid="{00000000-0005-0000-0000-0000B95B0000}"/>
    <cellStyle name="40% - Accent5 2 4 3 3 3 2" xfId="8107" xr:uid="{00000000-0005-0000-0000-0000BA5B0000}"/>
    <cellStyle name="40% - Accent5 2 4 3 3 4" xfId="8493" xr:uid="{00000000-0005-0000-0000-0000BB5B0000}"/>
    <cellStyle name="40% - Accent5 2 4 3 4" xfId="8106" xr:uid="{00000000-0005-0000-0000-0000BC5B0000}"/>
    <cellStyle name="40% - Accent5 2 4 3 4 2" xfId="8104" xr:uid="{00000000-0005-0000-0000-0000BD5B0000}"/>
    <cellStyle name="40% - Accent5 2 4 3 4 2 2" xfId="18690" xr:uid="{00000000-0005-0000-0000-0000BE5B0000}"/>
    <cellStyle name="40% - Accent5 2 4 3 4 3" xfId="8103" xr:uid="{00000000-0005-0000-0000-0000BF5B0000}"/>
    <cellStyle name="40% - Accent5 2 4 3 5" xfId="8102" xr:uid="{00000000-0005-0000-0000-0000C05B0000}"/>
    <cellStyle name="40% - Accent5 2 4 3 5 2" xfId="8100" xr:uid="{00000000-0005-0000-0000-0000C15B0000}"/>
    <cellStyle name="40% - Accent5 2 4 3 6" xfId="16766" xr:uid="{00000000-0005-0000-0000-0000C25B0000}"/>
    <cellStyle name="40% - Accent5 2 4 4" xfId="33345" xr:uid="{00000000-0005-0000-0000-0000C35B0000}"/>
    <cellStyle name="40% - Accent5 2 4 4 2" xfId="32033" xr:uid="{00000000-0005-0000-0000-0000C45B0000}"/>
    <cellStyle name="40% - Accent5 2 4 4 2 2" xfId="32026" xr:uid="{00000000-0005-0000-0000-0000C55B0000}"/>
    <cellStyle name="40% - Accent5 2 4 4 2 2 2" xfId="24570" xr:uid="{00000000-0005-0000-0000-0000C65B0000}"/>
    <cellStyle name="40% - Accent5 2 4 4 2 2 2 2" xfId="8099" xr:uid="{00000000-0005-0000-0000-0000C75B0000}"/>
    <cellStyle name="40% - Accent5 2 4 4 2 2 3" xfId="8097" xr:uid="{00000000-0005-0000-0000-0000C85B0000}"/>
    <cellStyle name="40% - Accent5 2 4 4 2 3" xfId="24486" xr:uid="{00000000-0005-0000-0000-0000C95B0000}"/>
    <cellStyle name="40% - Accent5 2 4 4 2 3 2" xfId="8095" xr:uid="{00000000-0005-0000-0000-0000CA5B0000}"/>
    <cellStyle name="40% - Accent5 2 4 4 2 4" xfId="8094" xr:uid="{00000000-0005-0000-0000-0000CB5B0000}"/>
    <cellStyle name="40% - Accent5 2 4 4 3" xfId="31915" xr:uid="{00000000-0005-0000-0000-0000CC5B0000}"/>
    <cellStyle name="40% - Accent5 2 4 4 3 2" xfId="31905" xr:uid="{00000000-0005-0000-0000-0000CD5B0000}"/>
    <cellStyle name="40% - Accent5 2 4 4 3 2 2" xfId="8092" xr:uid="{00000000-0005-0000-0000-0000CE5B0000}"/>
    <cellStyle name="40% - Accent5 2 4 4 3 3" xfId="8091" xr:uid="{00000000-0005-0000-0000-0000CF5B0000}"/>
    <cellStyle name="40% - Accent5 2 4 4 4" xfId="31204" xr:uid="{00000000-0005-0000-0000-0000D05B0000}"/>
    <cellStyle name="40% - Accent5 2 4 4 4 2" xfId="13604" xr:uid="{00000000-0005-0000-0000-0000D15B0000}"/>
    <cellStyle name="40% - Accent5 2 4 4 5" xfId="13356" xr:uid="{00000000-0005-0000-0000-0000D25B0000}"/>
    <cellStyle name="40% - Accent5 2 4 5" xfId="8085" xr:uid="{00000000-0005-0000-0000-0000D35B0000}"/>
    <cellStyle name="40% - Accent5 2 4 5 2" xfId="31793" xr:uid="{00000000-0005-0000-0000-0000D45B0000}"/>
    <cellStyle name="40% - Accent5 2 4 5 2 2" xfId="31787" xr:uid="{00000000-0005-0000-0000-0000D55B0000}"/>
    <cellStyle name="40% - Accent5 2 4 5 2 2 2" xfId="8083" xr:uid="{00000000-0005-0000-0000-0000D65B0000}"/>
    <cellStyle name="40% - Accent5 2 4 5 2 3" xfId="8080" xr:uid="{00000000-0005-0000-0000-0000D75B0000}"/>
    <cellStyle name="40% - Accent5 2 4 5 3" xfId="31712" xr:uid="{00000000-0005-0000-0000-0000D85B0000}"/>
    <cellStyle name="40% - Accent5 2 4 5 3 2" xfId="11768" xr:uid="{00000000-0005-0000-0000-0000D95B0000}"/>
    <cellStyle name="40% - Accent5 2 4 5 4" xfId="11756" xr:uid="{00000000-0005-0000-0000-0000DA5B0000}"/>
    <cellStyle name="40% - Accent5 2 4 6" xfId="14201" xr:uid="{00000000-0005-0000-0000-0000DB5B0000}"/>
    <cellStyle name="40% - Accent5 2 4 6 2" xfId="20718" xr:uid="{00000000-0005-0000-0000-0000DC5B0000}"/>
    <cellStyle name="40% - Accent5 2 4 6 2 2" xfId="8074" xr:uid="{00000000-0005-0000-0000-0000DD5B0000}"/>
    <cellStyle name="40% - Accent5 2 4 6 3" xfId="33882" xr:uid="{00000000-0005-0000-0000-0000DE5B0000}"/>
    <cellStyle name="40% - Accent5 2 4 7" xfId="8070" xr:uid="{00000000-0005-0000-0000-0000DF5B0000}"/>
    <cellStyle name="40% - Accent5 2 4 7 2" xfId="8067" xr:uid="{00000000-0005-0000-0000-0000E05B0000}"/>
    <cellStyle name="40% - Accent5 2 4 8" xfId="15153" xr:uid="{00000000-0005-0000-0000-0000E15B0000}"/>
    <cellStyle name="40% - Accent5 2 4 9" xfId="34765" xr:uid="{00000000-0005-0000-0000-0000E25B0000}"/>
    <cellStyle name="40% - Accent5 2 5" xfId="28474" xr:uid="{00000000-0005-0000-0000-0000E35B0000}"/>
    <cellStyle name="40% - Accent5 2 5 2" xfId="26670" xr:uid="{00000000-0005-0000-0000-0000E45B0000}"/>
    <cellStyle name="40% - Accent5 2 5 2 2" xfId="8066" xr:uid="{00000000-0005-0000-0000-0000E55B0000}"/>
    <cellStyle name="40% - Accent5 2 5 2 2 2" xfId="15349" xr:uid="{00000000-0005-0000-0000-0000E65B0000}"/>
    <cellStyle name="40% - Accent5 2 5 2 2 2 2" xfId="24495" xr:uid="{00000000-0005-0000-0000-0000E75B0000}"/>
    <cellStyle name="40% - Accent5 2 5 2 2 2 2 2" xfId="24274" xr:uid="{00000000-0005-0000-0000-0000E85B0000}"/>
    <cellStyle name="40% - Accent5 2 5 2 2 2 2 2 2" xfId="8065" xr:uid="{00000000-0005-0000-0000-0000E95B0000}"/>
    <cellStyle name="40% - Accent5 2 5 2 2 2 2 3" xfId="8063" xr:uid="{00000000-0005-0000-0000-0000EA5B0000}"/>
    <cellStyle name="40% - Accent5 2 5 2 2 2 3" xfId="17987" xr:uid="{00000000-0005-0000-0000-0000EB5B0000}"/>
    <cellStyle name="40% - Accent5 2 5 2 2 2 3 2" xfId="8061" xr:uid="{00000000-0005-0000-0000-0000EC5B0000}"/>
    <cellStyle name="40% - Accent5 2 5 2 2 2 4" xfId="32516" xr:uid="{00000000-0005-0000-0000-0000ED5B0000}"/>
    <cellStyle name="40% - Accent5 2 5 2 2 3" xfId="15348" xr:uid="{00000000-0005-0000-0000-0000EE5B0000}"/>
    <cellStyle name="40% - Accent5 2 5 2 2 3 2" xfId="24478" xr:uid="{00000000-0005-0000-0000-0000EF5B0000}"/>
    <cellStyle name="40% - Accent5 2 5 2 2 3 2 2" xfId="8059" xr:uid="{00000000-0005-0000-0000-0000F05B0000}"/>
    <cellStyle name="40% - Accent5 2 5 2 2 3 3" xfId="8058" xr:uid="{00000000-0005-0000-0000-0000F15B0000}"/>
    <cellStyle name="40% - Accent5 2 5 2 2 4" xfId="8057" xr:uid="{00000000-0005-0000-0000-0000F25B0000}"/>
    <cellStyle name="40% - Accent5 2 5 2 2 4 2" xfId="8056" xr:uid="{00000000-0005-0000-0000-0000F35B0000}"/>
    <cellStyle name="40% - Accent5 2 5 2 2 5" xfId="8055" xr:uid="{00000000-0005-0000-0000-0000F45B0000}"/>
    <cellStyle name="40% - Accent5 2 5 2 3" xfId="8054" xr:uid="{00000000-0005-0000-0000-0000F55B0000}"/>
    <cellStyle name="40% - Accent5 2 5 2 3 2" xfId="15329" xr:uid="{00000000-0005-0000-0000-0000F65B0000}"/>
    <cellStyle name="40% - Accent5 2 5 2 3 2 2" xfId="31403" xr:uid="{00000000-0005-0000-0000-0000F75B0000}"/>
    <cellStyle name="40% - Accent5 2 5 2 3 2 2 2" xfId="8053" xr:uid="{00000000-0005-0000-0000-0000F85B0000}"/>
    <cellStyle name="40% - Accent5 2 5 2 3 2 3" xfId="30603" xr:uid="{00000000-0005-0000-0000-0000F95B0000}"/>
    <cellStyle name="40% - Accent5 2 5 2 3 3" xfId="8051" xr:uid="{00000000-0005-0000-0000-0000FA5B0000}"/>
    <cellStyle name="40% - Accent5 2 5 2 3 3 2" xfId="8049" xr:uid="{00000000-0005-0000-0000-0000FB5B0000}"/>
    <cellStyle name="40% - Accent5 2 5 2 3 4" xfId="8469" xr:uid="{00000000-0005-0000-0000-0000FC5B0000}"/>
    <cellStyle name="40% - Accent5 2 5 2 4" xfId="8048" xr:uid="{00000000-0005-0000-0000-0000FD5B0000}"/>
    <cellStyle name="40% - Accent5 2 5 2 4 2" xfId="8047" xr:uid="{00000000-0005-0000-0000-0000FE5B0000}"/>
    <cellStyle name="40% - Accent5 2 5 2 4 2 2" xfId="8045" xr:uid="{00000000-0005-0000-0000-0000FF5B0000}"/>
    <cellStyle name="40% - Accent5 2 5 2 4 3" xfId="8044" xr:uid="{00000000-0005-0000-0000-0000005C0000}"/>
    <cellStyle name="40% - Accent5 2 5 2 5" xfId="8042" xr:uid="{00000000-0005-0000-0000-0000015C0000}"/>
    <cellStyle name="40% - Accent5 2 5 2 5 2" xfId="8040" xr:uid="{00000000-0005-0000-0000-0000025C0000}"/>
    <cellStyle name="40% - Accent5 2 5 2 6" xfId="16730" xr:uid="{00000000-0005-0000-0000-0000035C0000}"/>
    <cellStyle name="40% - Accent5 2 5 3" xfId="11823" xr:uid="{00000000-0005-0000-0000-0000045C0000}"/>
    <cellStyle name="40% - Accent5 2 5 3 2" xfId="11820" xr:uid="{00000000-0005-0000-0000-0000055C0000}"/>
    <cellStyle name="40% - Accent5 2 5 3 2 2" xfId="27947" xr:uid="{00000000-0005-0000-0000-0000065C0000}"/>
    <cellStyle name="40% - Accent5 2 5 3 2 2 2" xfId="24446" xr:uid="{00000000-0005-0000-0000-0000075C0000}"/>
    <cellStyle name="40% - Accent5 2 5 3 2 2 2 2" xfId="8039" xr:uid="{00000000-0005-0000-0000-0000085C0000}"/>
    <cellStyle name="40% - Accent5 2 5 3 2 2 3" xfId="8038" xr:uid="{00000000-0005-0000-0000-0000095C0000}"/>
    <cellStyle name="40% - Accent5 2 5 3 2 3" xfId="8036" xr:uid="{00000000-0005-0000-0000-00000A5C0000}"/>
    <cellStyle name="40% - Accent5 2 5 3 2 3 2" xfId="8034" xr:uid="{00000000-0005-0000-0000-00000B5C0000}"/>
    <cellStyle name="40% - Accent5 2 5 3 2 4" xfId="8032" xr:uid="{00000000-0005-0000-0000-00000C5C0000}"/>
    <cellStyle name="40% - Accent5 2 5 3 3" xfId="11817" xr:uid="{00000000-0005-0000-0000-00000D5C0000}"/>
    <cellStyle name="40% - Accent5 2 5 3 3 2" xfId="8030" xr:uid="{00000000-0005-0000-0000-00000E5C0000}"/>
    <cellStyle name="40% - Accent5 2 5 3 3 2 2" xfId="8029" xr:uid="{00000000-0005-0000-0000-00000F5C0000}"/>
    <cellStyle name="40% - Accent5 2 5 3 3 3" xfId="8028" xr:uid="{00000000-0005-0000-0000-0000105C0000}"/>
    <cellStyle name="40% - Accent5 2 5 3 4" xfId="8025" xr:uid="{00000000-0005-0000-0000-0000115C0000}"/>
    <cellStyle name="40% - Accent5 2 5 3 4 2" xfId="12175" xr:uid="{00000000-0005-0000-0000-0000125C0000}"/>
    <cellStyle name="40% - Accent5 2 5 3 5" xfId="8024" xr:uid="{00000000-0005-0000-0000-0000135C0000}"/>
    <cellStyle name="40% - Accent5 2 5 4" xfId="11813" xr:uid="{00000000-0005-0000-0000-0000145C0000}"/>
    <cellStyle name="40% - Accent5 2 5 4 2" xfId="19859" xr:uid="{00000000-0005-0000-0000-0000155C0000}"/>
    <cellStyle name="40% - Accent5 2 5 4 2 2" xfId="31246" xr:uid="{00000000-0005-0000-0000-0000165C0000}"/>
    <cellStyle name="40% - Accent5 2 5 4 2 2 2" xfId="8023" xr:uid="{00000000-0005-0000-0000-0000175C0000}"/>
    <cellStyle name="40% - Accent5 2 5 4 2 3" xfId="8021" xr:uid="{00000000-0005-0000-0000-0000185C0000}"/>
    <cellStyle name="40% - Accent5 2 5 4 3" xfId="31503" xr:uid="{00000000-0005-0000-0000-0000195C0000}"/>
    <cellStyle name="40% - Accent5 2 5 4 3 2" xfId="8014" xr:uid="{00000000-0005-0000-0000-00001A5C0000}"/>
    <cellStyle name="40% - Accent5 2 5 4 4" xfId="33582" xr:uid="{00000000-0005-0000-0000-00001B5C0000}"/>
    <cellStyle name="40% - Accent5 2 5 5" xfId="11810" xr:uid="{00000000-0005-0000-0000-00001C5C0000}"/>
    <cellStyle name="40% - Accent5 2 5 5 2" xfId="31434" xr:uid="{00000000-0005-0000-0000-00001D5C0000}"/>
    <cellStyle name="40% - Accent5 2 5 5 2 2" xfId="8011" xr:uid="{00000000-0005-0000-0000-00001E5C0000}"/>
    <cellStyle name="40% - Accent5 2 5 5 3" xfId="11733" xr:uid="{00000000-0005-0000-0000-00001F5C0000}"/>
    <cellStyle name="40% - Accent5 2 5 6" xfId="8008" xr:uid="{00000000-0005-0000-0000-0000205C0000}"/>
    <cellStyle name="40% - Accent5 2 5 6 2" xfId="8007" xr:uid="{00000000-0005-0000-0000-0000215C0000}"/>
    <cellStyle name="40% - Accent5 2 5 7" xfId="12402" xr:uid="{00000000-0005-0000-0000-0000225C0000}"/>
    <cellStyle name="40% - Accent5 2 5 8" xfId="34955" xr:uid="{00000000-0005-0000-0000-0000235C0000}"/>
    <cellStyle name="40% - Accent5 2 6" xfId="8006" xr:uid="{00000000-0005-0000-0000-0000245C0000}"/>
    <cellStyle name="40% - Accent5 2 6 2" xfId="8003" xr:uid="{00000000-0005-0000-0000-0000255C0000}"/>
    <cellStyle name="40% - Accent5 2 6 2 2" xfId="7997" xr:uid="{00000000-0005-0000-0000-0000265C0000}"/>
    <cellStyle name="40% - Accent5 2 6 2 2 2" xfId="15019" xr:uid="{00000000-0005-0000-0000-0000275C0000}"/>
    <cellStyle name="40% - Accent5 2 6 2 2 2 2" xfId="24415" xr:uid="{00000000-0005-0000-0000-0000285C0000}"/>
    <cellStyle name="40% - Accent5 2 6 2 2 2 2 2" xfId="7991" xr:uid="{00000000-0005-0000-0000-0000295C0000}"/>
    <cellStyle name="40% - Accent5 2 6 2 2 2 3" xfId="7990" xr:uid="{00000000-0005-0000-0000-00002A5C0000}"/>
    <cellStyle name="40% - Accent5 2 6 2 2 3" xfId="13883" xr:uid="{00000000-0005-0000-0000-00002B5C0000}"/>
    <cellStyle name="40% - Accent5 2 6 2 2 3 2" xfId="7986" xr:uid="{00000000-0005-0000-0000-00002C5C0000}"/>
    <cellStyle name="40% - Accent5 2 6 2 2 4" xfId="13878" xr:uid="{00000000-0005-0000-0000-00002D5C0000}"/>
    <cellStyle name="40% - Accent5 2 6 2 3" xfId="7982" xr:uid="{00000000-0005-0000-0000-00002E5C0000}"/>
    <cellStyle name="40% - Accent5 2 6 2 3 2" xfId="7978" xr:uid="{00000000-0005-0000-0000-00002F5C0000}"/>
    <cellStyle name="40% - Accent5 2 6 2 3 2 2" xfId="7975" xr:uid="{00000000-0005-0000-0000-0000305C0000}"/>
    <cellStyle name="40% - Accent5 2 6 2 3 3" xfId="13874" xr:uid="{00000000-0005-0000-0000-0000315C0000}"/>
    <cellStyle name="40% - Accent5 2 6 2 4" xfId="30941" xr:uid="{00000000-0005-0000-0000-0000325C0000}"/>
    <cellStyle name="40% - Accent5 2 6 2 4 2" xfId="32633" xr:uid="{00000000-0005-0000-0000-0000335C0000}"/>
    <cellStyle name="40% - Accent5 2 6 2 5" xfId="22200" xr:uid="{00000000-0005-0000-0000-0000345C0000}"/>
    <cellStyle name="40% - Accent5 2 6 3" xfId="15133" xr:uid="{00000000-0005-0000-0000-0000355C0000}"/>
    <cellStyle name="40% - Accent5 2 6 3 2" xfId="11807" xr:uid="{00000000-0005-0000-0000-0000365C0000}"/>
    <cellStyle name="40% - Accent5 2 6 3 2 2" xfId="7971" xr:uid="{00000000-0005-0000-0000-0000375C0000}"/>
    <cellStyle name="40% - Accent5 2 6 3 2 2 2" xfId="16808" xr:uid="{00000000-0005-0000-0000-0000385C0000}"/>
    <cellStyle name="40% - Accent5 2 6 3 2 3" xfId="13858" xr:uid="{00000000-0005-0000-0000-0000395C0000}"/>
    <cellStyle name="40% - Accent5 2 6 3 3" xfId="7968" xr:uid="{00000000-0005-0000-0000-00003A5C0000}"/>
    <cellStyle name="40% - Accent5 2 6 3 3 2" xfId="7966" xr:uid="{00000000-0005-0000-0000-00003B5C0000}"/>
    <cellStyle name="40% - Accent5 2 6 3 4" xfId="30669" xr:uid="{00000000-0005-0000-0000-00003C5C0000}"/>
    <cellStyle name="40% - Accent5 2 6 4" xfId="11801" xr:uid="{00000000-0005-0000-0000-00003D5C0000}"/>
    <cellStyle name="40% - Accent5 2 6 4 2" xfId="31321" xr:uid="{00000000-0005-0000-0000-00003E5C0000}"/>
    <cellStyle name="40% - Accent5 2 6 4 2 2" xfId="7962" xr:uid="{00000000-0005-0000-0000-00003F5C0000}"/>
    <cellStyle name="40% - Accent5 2 6 4 3" xfId="7956" xr:uid="{00000000-0005-0000-0000-0000405C0000}"/>
    <cellStyle name="40% - Accent5 2 6 5" xfId="7954" xr:uid="{00000000-0005-0000-0000-0000415C0000}"/>
    <cellStyle name="40% - Accent5 2 6 5 2" xfId="7952" xr:uid="{00000000-0005-0000-0000-0000425C0000}"/>
    <cellStyle name="40% - Accent5 2 6 6" xfId="7950" xr:uid="{00000000-0005-0000-0000-0000435C0000}"/>
    <cellStyle name="40% - Accent5 2 6 7" xfId="35160" xr:uid="{00000000-0005-0000-0000-0000445C0000}"/>
    <cellStyle name="40% - Accent5 2 7" xfId="7947" xr:uid="{00000000-0005-0000-0000-0000455C0000}"/>
    <cellStyle name="40% - Accent5 2 7 2" xfId="15090" xr:uid="{00000000-0005-0000-0000-0000465C0000}"/>
    <cellStyle name="40% - Accent5 2 7 2 2" xfId="7944" xr:uid="{00000000-0005-0000-0000-0000475C0000}"/>
    <cellStyle name="40% - Accent5 2 7 2 2 2" xfId="7940" xr:uid="{00000000-0005-0000-0000-0000485C0000}"/>
    <cellStyle name="40% - Accent5 2 7 2 2 2 2" xfId="15082" xr:uid="{00000000-0005-0000-0000-0000495C0000}"/>
    <cellStyle name="40% - Accent5 2 7 2 2 3" xfId="13829" xr:uid="{00000000-0005-0000-0000-00004A5C0000}"/>
    <cellStyle name="40% - Accent5 2 7 2 3" xfId="7938" xr:uid="{00000000-0005-0000-0000-00004B5C0000}"/>
    <cellStyle name="40% - Accent5 2 7 2 3 2" xfId="7936" xr:uid="{00000000-0005-0000-0000-00004C5C0000}"/>
    <cellStyle name="40% - Accent5 2 7 2 4" xfId="30660" xr:uid="{00000000-0005-0000-0000-00004D5C0000}"/>
    <cellStyle name="40% - Accent5 2 7 3" xfId="11795" xr:uid="{00000000-0005-0000-0000-00004E5C0000}"/>
    <cellStyle name="40% - Accent5 2 7 3 2" xfId="7933" xr:uid="{00000000-0005-0000-0000-00004F5C0000}"/>
    <cellStyle name="40% - Accent5 2 7 3 2 2" xfId="7931" xr:uid="{00000000-0005-0000-0000-0000505C0000}"/>
    <cellStyle name="40% - Accent5 2 7 3 3" xfId="7928" xr:uid="{00000000-0005-0000-0000-0000515C0000}"/>
    <cellStyle name="40% - Accent5 2 7 4" xfId="8407" xr:uid="{00000000-0005-0000-0000-0000525C0000}"/>
    <cellStyle name="40% - Accent5 2 7 4 2" xfId="7926" xr:uid="{00000000-0005-0000-0000-0000535C0000}"/>
    <cellStyle name="40% - Accent5 2 7 5" xfId="7923" xr:uid="{00000000-0005-0000-0000-0000545C0000}"/>
    <cellStyle name="40% - Accent5 2 7 6" xfId="35389" xr:uid="{00000000-0005-0000-0000-0000555C0000}"/>
    <cellStyle name="40% - Accent5 2 8" xfId="15174" xr:uid="{00000000-0005-0000-0000-0000565C0000}"/>
    <cellStyle name="40% - Accent5 2 8 2" xfId="7919" xr:uid="{00000000-0005-0000-0000-0000575C0000}"/>
    <cellStyle name="40% - Accent5 2 8 2 2" xfId="7915" xr:uid="{00000000-0005-0000-0000-0000585C0000}"/>
    <cellStyle name="40% - Accent5 2 8 2 2 2" xfId="7913" xr:uid="{00000000-0005-0000-0000-0000595C0000}"/>
    <cellStyle name="40% - Accent5 2 8 2 3" xfId="7911" xr:uid="{00000000-0005-0000-0000-00005A5C0000}"/>
    <cellStyle name="40% - Accent5 2 8 3" xfId="7908" xr:uid="{00000000-0005-0000-0000-00005B5C0000}"/>
    <cellStyle name="40% - Accent5 2 8 3 2" xfId="7905" xr:uid="{00000000-0005-0000-0000-00005C5C0000}"/>
    <cellStyle name="40% - Accent5 2 8 4" xfId="15603" xr:uid="{00000000-0005-0000-0000-00005D5C0000}"/>
    <cellStyle name="40% - Accent5 2 8 5" xfId="36261" xr:uid="{00000000-0005-0000-0000-00005E5C0000}"/>
    <cellStyle name="40% - Accent5 2 9" xfId="7902" xr:uid="{00000000-0005-0000-0000-00005F5C0000}"/>
    <cellStyle name="40% - Accent5 2 9 2" xfId="7901" xr:uid="{00000000-0005-0000-0000-0000605C0000}"/>
    <cellStyle name="40% - Accent5 2 9 2 2" xfId="7899" xr:uid="{00000000-0005-0000-0000-0000615C0000}"/>
    <cellStyle name="40% - Accent5 2 9 3" xfId="7897" xr:uid="{00000000-0005-0000-0000-0000625C0000}"/>
    <cellStyle name="40% - Accent5 2 9 4" xfId="36547" xr:uid="{00000000-0005-0000-0000-0000635C0000}"/>
    <cellStyle name="40% - Accent5 20" xfId="35711" xr:uid="{00000000-0005-0000-0000-0000645C0000}"/>
    <cellStyle name="40% - Accent5 20 2" xfId="36880" xr:uid="{00000000-0005-0000-0000-0000655C0000}"/>
    <cellStyle name="40% - Accent5 20 3" xfId="37771" xr:uid="{00000000-0005-0000-0000-0000665C0000}"/>
    <cellStyle name="40% - Accent5 21" xfId="35730" xr:uid="{00000000-0005-0000-0000-0000675C0000}"/>
    <cellStyle name="40% - Accent5 21 2" xfId="36900" xr:uid="{00000000-0005-0000-0000-0000685C0000}"/>
    <cellStyle name="40% - Accent5 21 3" xfId="37791" xr:uid="{00000000-0005-0000-0000-0000695C0000}"/>
    <cellStyle name="40% - Accent5 22" xfId="35749" xr:uid="{00000000-0005-0000-0000-00006A5C0000}"/>
    <cellStyle name="40% - Accent5 22 2" xfId="36920" xr:uid="{00000000-0005-0000-0000-00006B5C0000}"/>
    <cellStyle name="40% - Accent5 22 3" xfId="37811" xr:uid="{00000000-0005-0000-0000-00006C5C0000}"/>
    <cellStyle name="40% - Accent5 23" xfId="35769" xr:uid="{00000000-0005-0000-0000-00006D5C0000}"/>
    <cellStyle name="40% - Accent5 23 2" xfId="36939" xr:uid="{00000000-0005-0000-0000-00006E5C0000}"/>
    <cellStyle name="40% - Accent5 23 3" xfId="37831" xr:uid="{00000000-0005-0000-0000-00006F5C0000}"/>
    <cellStyle name="40% - Accent5 24" xfId="35789" xr:uid="{00000000-0005-0000-0000-0000705C0000}"/>
    <cellStyle name="40% - Accent5 24 2" xfId="36958" xr:uid="{00000000-0005-0000-0000-0000715C0000}"/>
    <cellStyle name="40% - Accent5 24 3" xfId="37851" xr:uid="{00000000-0005-0000-0000-0000725C0000}"/>
    <cellStyle name="40% - Accent5 25" xfId="35808" xr:uid="{00000000-0005-0000-0000-0000735C0000}"/>
    <cellStyle name="40% - Accent5 25 2" xfId="36978" xr:uid="{00000000-0005-0000-0000-0000745C0000}"/>
    <cellStyle name="40% - Accent5 25 3" xfId="37871" xr:uid="{00000000-0005-0000-0000-0000755C0000}"/>
    <cellStyle name="40% - Accent5 26" xfId="35827" xr:uid="{00000000-0005-0000-0000-0000765C0000}"/>
    <cellStyle name="40% - Accent5 26 2" xfId="36998" xr:uid="{00000000-0005-0000-0000-0000775C0000}"/>
    <cellStyle name="40% - Accent5 26 3" xfId="37891" xr:uid="{00000000-0005-0000-0000-0000785C0000}"/>
    <cellStyle name="40% - Accent5 27" xfId="35846" xr:uid="{00000000-0005-0000-0000-0000795C0000}"/>
    <cellStyle name="40% - Accent5 27 2" xfId="37018" xr:uid="{00000000-0005-0000-0000-00007A5C0000}"/>
    <cellStyle name="40% - Accent5 27 3" xfId="37911" xr:uid="{00000000-0005-0000-0000-00007B5C0000}"/>
    <cellStyle name="40% - Accent5 28" xfId="35865" xr:uid="{00000000-0005-0000-0000-00007C5C0000}"/>
    <cellStyle name="40% - Accent5 28 2" xfId="37038" xr:uid="{00000000-0005-0000-0000-00007D5C0000}"/>
    <cellStyle name="40% - Accent5 28 3" xfId="37931" xr:uid="{00000000-0005-0000-0000-00007E5C0000}"/>
    <cellStyle name="40% - Accent5 29" xfId="35881" xr:uid="{00000000-0005-0000-0000-00007F5C0000}"/>
    <cellStyle name="40% - Accent5 29 2" xfId="37053" xr:uid="{00000000-0005-0000-0000-0000805C0000}"/>
    <cellStyle name="40% - Accent5 29 3" xfId="37947" xr:uid="{00000000-0005-0000-0000-0000815C0000}"/>
    <cellStyle name="40% - Accent5 3" xfId="111" xr:uid="{00000000-0005-0000-0000-0000825C0000}"/>
    <cellStyle name="40% - Accent5 3 10" xfId="7890" xr:uid="{00000000-0005-0000-0000-0000835C0000}"/>
    <cellStyle name="40% - Accent5 3 10 2" xfId="37451" xr:uid="{00000000-0005-0000-0000-0000845C0000}"/>
    <cellStyle name="40% - Accent5 3 11" xfId="34465" xr:uid="{00000000-0005-0000-0000-0000855C0000}"/>
    <cellStyle name="40% - Accent5 3 12" xfId="7894" xr:uid="{00000000-0005-0000-0000-0000865C0000}"/>
    <cellStyle name="40% - Accent5 3 2" xfId="172" xr:uid="{00000000-0005-0000-0000-0000875C0000}"/>
    <cellStyle name="40% - Accent5 3 2 10" xfId="34516" xr:uid="{00000000-0005-0000-0000-0000885C0000}"/>
    <cellStyle name="40% - Accent5 3 2 11" xfId="7889" xr:uid="{00000000-0005-0000-0000-0000895C0000}"/>
    <cellStyle name="40% - Accent5 3 2 2" xfId="7884" xr:uid="{00000000-0005-0000-0000-00008A5C0000}"/>
    <cellStyle name="40% - Accent5 3 2 2 2" xfId="7883" xr:uid="{00000000-0005-0000-0000-00008B5C0000}"/>
    <cellStyle name="40% - Accent5 3 2 2 2 2" xfId="26950" xr:uid="{00000000-0005-0000-0000-00008C5C0000}"/>
    <cellStyle name="40% - Accent5 3 2 2 2 2 2" xfId="26947" xr:uid="{00000000-0005-0000-0000-00008D5C0000}"/>
    <cellStyle name="40% - Accent5 3 2 2 2 2 2 2" xfId="23490" xr:uid="{00000000-0005-0000-0000-00008E5C0000}"/>
    <cellStyle name="40% - Accent5 3 2 2 2 2 2 2 2" xfId="7882" xr:uid="{00000000-0005-0000-0000-00008F5C0000}"/>
    <cellStyle name="40% - Accent5 3 2 2 2 2 2 2 2 2" xfId="7879" xr:uid="{00000000-0005-0000-0000-0000905C0000}"/>
    <cellStyle name="40% - Accent5 3 2 2 2 2 2 2 2 2 2" xfId="31413" xr:uid="{00000000-0005-0000-0000-0000915C0000}"/>
    <cellStyle name="40% - Accent5 3 2 2 2 2 2 2 2 3" xfId="18873" xr:uid="{00000000-0005-0000-0000-0000925C0000}"/>
    <cellStyle name="40% - Accent5 3 2 2 2 2 2 2 3" xfId="7875" xr:uid="{00000000-0005-0000-0000-0000935C0000}"/>
    <cellStyle name="40% - Accent5 3 2 2 2 2 2 2 3 2" xfId="7873" xr:uid="{00000000-0005-0000-0000-0000945C0000}"/>
    <cellStyle name="40% - Accent5 3 2 2 2 2 2 2 4" xfId="28967" xr:uid="{00000000-0005-0000-0000-0000955C0000}"/>
    <cellStyle name="40% - Accent5 3 2 2 2 2 2 3" xfId="21285" xr:uid="{00000000-0005-0000-0000-0000965C0000}"/>
    <cellStyle name="40% - Accent5 3 2 2 2 2 2 3 2" xfId="7871" xr:uid="{00000000-0005-0000-0000-0000975C0000}"/>
    <cellStyle name="40% - Accent5 3 2 2 2 2 2 3 2 2" xfId="7868" xr:uid="{00000000-0005-0000-0000-0000985C0000}"/>
    <cellStyle name="40% - Accent5 3 2 2 2 2 2 3 3" xfId="7867" xr:uid="{00000000-0005-0000-0000-0000995C0000}"/>
    <cellStyle name="40% - Accent5 3 2 2 2 2 2 4" xfId="33424" xr:uid="{00000000-0005-0000-0000-00009A5C0000}"/>
    <cellStyle name="40% - Accent5 3 2 2 2 2 2 4 2" xfId="6601" xr:uid="{00000000-0005-0000-0000-00009B5C0000}"/>
    <cellStyle name="40% - Accent5 3 2 2 2 2 2 5" xfId="26476" xr:uid="{00000000-0005-0000-0000-00009C5C0000}"/>
    <cellStyle name="40% - Accent5 3 2 2 2 2 3" xfId="26945" xr:uid="{00000000-0005-0000-0000-00009D5C0000}"/>
    <cellStyle name="40% - Accent5 3 2 2 2 2 3 2" xfId="7865" xr:uid="{00000000-0005-0000-0000-00009E5C0000}"/>
    <cellStyle name="40% - Accent5 3 2 2 2 2 3 2 2" xfId="7863" xr:uid="{00000000-0005-0000-0000-00009F5C0000}"/>
    <cellStyle name="40% - Accent5 3 2 2 2 2 3 2 2 2" xfId="8474" xr:uid="{00000000-0005-0000-0000-0000A05C0000}"/>
    <cellStyle name="40% - Accent5 3 2 2 2 2 3 2 3" xfId="25095" xr:uid="{00000000-0005-0000-0000-0000A15C0000}"/>
    <cellStyle name="40% - Accent5 3 2 2 2 2 3 3" xfId="33403" xr:uid="{00000000-0005-0000-0000-0000A25C0000}"/>
    <cellStyle name="40% - Accent5 3 2 2 2 2 3 3 2" xfId="7860" xr:uid="{00000000-0005-0000-0000-0000A35C0000}"/>
    <cellStyle name="40% - Accent5 3 2 2 2 2 3 4" xfId="33398" xr:uid="{00000000-0005-0000-0000-0000A45C0000}"/>
    <cellStyle name="40% - Accent5 3 2 2 2 2 4" xfId="23421" xr:uid="{00000000-0005-0000-0000-0000A55C0000}"/>
    <cellStyle name="40% - Accent5 3 2 2 2 2 4 2" xfId="7856" xr:uid="{00000000-0005-0000-0000-0000A65C0000}"/>
    <cellStyle name="40% - Accent5 3 2 2 2 2 4 2 2" xfId="7853" xr:uid="{00000000-0005-0000-0000-0000A75C0000}"/>
    <cellStyle name="40% - Accent5 3 2 2 2 2 4 3" xfId="28633" xr:uid="{00000000-0005-0000-0000-0000A85C0000}"/>
    <cellStyle name="40% - Accent5 3 2 2 2 2 5" xfId="19432" xr:uid="{00000000-0005-0000-0000-0000A95C0000}"/>
    <cellStyle name="40% - Accent5 3 2 2 2 2 5 2" xfId="7849" xr:uid="{00000000-0005-0000-0000-0000AA5C0000}"/>
    <cellStyle name="40% - Accent5 3 2 2 2 2 6" xfId="7887" xr:uid="{00000000-0005-0000-0000-0000AB5C0000}"/>
    <cellStyle name="40% - Accent5 3 2 2 2 3" xfId="27420" xr:uid="{00000000-0005-0000-0000-0000AC5C0000}"/>
    <cellStyle name="40% - Accent5 3 2 2 2 3 2" xfId="26935" xr:uid="{00000000-0005-0000-0000-0000AD5C0000}"/>
    <cellStyle name="40% - Accent5 3 2 2 2 3 2 2" xfId="23193" xr:uid="{00000000-0005-0000-0000-0000AE5C0000}"/>
    <cellStyle name="40% - Accent5 3 2 2 2 3 2 2 2" xfId="19850" xr:uid="{00000000-0005-0000-0000-0000AF5C0000}"/>
    <cellStyle name="40% - Accent5 3 2 2 2 3 2 2 2 2" xfId="7846" xr:uid="{00000000-0005-0000-0000-0000B05C0000}"/>
    <cellStyle name="40% - Accent5 3 2 2 2 3 2 2 3" xfId="19835" xr:uid="{00000000-0005-0000-0000-0000B15C0000}"/>
    <cellStyle name="40% - Accent5 3 2 2 2 3 2 3" xfId="15534" xr:uid="{00000000-0005-0000-0000-0000B25C0000}"/>
    <cellStyle name="40% - Accent5 3 2 2 2 3 2 3 2" xfId="19814" xr:uid="{00000000-0005-0000-0000-0000B35C0000}"/>
    <cellStyle name="40% - Accent5 3 2 2 2 3 2 4" xfId="23371" xr:uid="{00000000-0005-0000-0000-0000B45C0000}"/>
    <cellStyle name="40% - Accent5 3 2 2 2 3 3" xfId="26933" xr:uid="{00000000-0005-0000-0000-0000B55C0000}"/>
    <cellStyle name="40% - Accent5 3 2 2 2 3 3 2" xfId="27735" xr:uid="{00000000-0005-0000-0000-0000B65C0000}"/>
    <cellStyle name="40% - Accent5 3 2 2 2 3 3 2 2" xfId="20307" xr:uid="{00000000-0005-0000-0000-0000B75C0000}"/>
    <cellStyle name="40% - Accent5 3 2 2 2 3 3 3" xfId="21056" xr:uid="{00000000-0005-0000-0000-0000B85C0000}"/>
    <cellStyle name="40% - Accent5 3 2 2 2 3 4" xfId="19428" xr:uid="{00000000-0005-0000-0000-0000B95C0000}"/>
    <cellStyle name="40% - Accent5 3 2 2 2 3 4 2" xfId="7845" xr:uid="{00000000-0005-0000-0000-0000BA5C0000}"/>
    <cellStyle name="40% - Accent5 3 2 2 2 3 5" xfId="19420" xr:uid="{00000000-0005-0000-0000-0000BB5C0000}"/>
    <cellStyle name="40% - Accent5 3 2 2 2 4" xfId="27416" xr:uid="{00000000-0005-0000-0000-0000BC5C0000}"/>
    <cellStyle name="40% - Accent5 3 2 2 2 4 2" xfId="26175" xr:uid="{00000000-0005-0000-0000-0000BD5C0000}"/>
    <cellStyle name="40% - Accent5 3 2 2 2 4 2 2" xfId="23170" xr:uid="{00000000-0005-0000-0000-0000BE5C0000}"/>
    <cellStyle name="40% - Accent5 3 2 2 2 4 2 2 2" xfId="26056" xr:uid="{00000000-0005-0000-0000-0000BF5C0000}"/>
    <cellStyle name="40% - Accent5 3 2 2 2 4 2 3" xfId="21422" xr:uid="{00000000-0005-0000-0000-0000C05C0000}"/>
    <cellStyle name="40% - Accent5 3 2 2 2 4 3" xfId="26912" xr:uid="{00000000-0005-0000-0000-0000C15C0000}"/>
    <cellStyle name="40% - Accent5 3 2 2 2 4 3 2" xfId="7840" xr:uid="{00000000-0005-0000-0000-0000C25C0000}"/>
    <cellStyle name="40% - Accent5 3 2 2 2 4 4" xfId="19414" xr:uid="{00000000-0005-0000-0000-0000C35C0000}"/>
    <cellStyle name="40% - Accent5 3 2 2 2 5" xfId="26907" xr:uid="{00000000-0005-0000-0000-0000C45C0000}"/>
    <cellStyle name="40% - Accent5 3 2 2 2 5 2" xfId="26904" xr:uid="{00000000-0005-0000-0000-0000C55C0000}"/>
    <cellStyle name="40% - Accent5 3 2 2 2 5 2 2" xfId="7838" xr:uid="{00000000-0005-0000-0000-0000C65C0000}"/>
    <cellStyle name="40% - Accent5 3 2 2 2 5 3" xfId="7836" xr:uid="{00000000-0005-0000-0000-0000C75C0000}"/>
    <cellStyle name="40% - Accent5 3 2 2 2 6" xfId="25851" xr:uid="{00000000-0005-0000-0000-0000C85C0000}"/>
    <cellStyle name="40% - Accent5 3 2 2 2 6 2" xfId="7835" xr:uid="{00000000-0005-0000-0000-0000C95C0000}"/>
    <cellStyle name="40% - Accent5 3 2 2 2 7" xfId="7834" xr:uid="{00000000-0005-0000-0000-0000CA5C0000}"/>
    <cellStyle name="40% - Accent5 3 2 2 3" xfId="7833" xr:uid="{00000000-0005-0000-0000-0000CB5C0000}"/>
    <cellStyle name="40% - Accent5 3 2 2 3 2" xfId="18028" xr:uid="{00000000-0005-0000-0000-0000CC5C0000}"/>
    <cellStyle name="40% - Accent5 3 2 2 3 2 2" xfId="18025" xr:uid="{00000000-0005-0000-0000-0000CD5C0000}"/>
    <cellStyle name="40% - Accent5 3 2 2 3 2 2 2" xfId="22811" xr:uid="{00000000-0005-0000-0000-0000CE5C0000}"/>
    <cellStyle name="40% - Accent5 3 2 2 3 2 2 2 2" xfId="7831" xr:uid="{00000000-0005-0000-0000-0000CF5C0000}"/>
    <cellStyle name="40% - Accent5 3 2 2 3 2 2 2 2 2" xfId="7829" xr:uid="{00000000-0005-0000-0000-0000D05C0000}"/>
    <cellStyle name="40% - Accent5 3 2 2 3 2 2 2 3" xfId="7828" xr:uid="{00000000-0005-0000-0000-0000D15C0000}"/>
    <cellStyle name="40% - Accent5 3 2 2 3 2 2 3" xfId="32610" xr:uid="{00000000-0005-0000-0000-0000D25C0000}"/>
    <cellStyle name="40% - Accent5 3 2 2 3 2 2 3 2" xfId="7825" xr:uid="{00000000-0005-0000-0000-0000D35C0000}"/>
    <cellStyle name="40% - Accent5 3 2 2 3 2 2 4" xfId="29434" xr:uid="{00000000-0005-0000-0000-0000D45C0000}"/>
    <cellStyle name="40% - Accent5 3 2 2 3 2 3" xfId="18013" xr:uid="{00000000-0005-0000-0000-0000D55C0000}"/>
    <cellStyle name="40% - Accent5 3 2 2 3 2 3 2" xfId="30729" xr:uid="{00000000-0005-0000-0000-0000D65C0000}"/>
    <cellStyle name="40% - Accent5 3 2 2 3 2 3 2 2" xfId="7822" xr:uid="{00000000-0005-0000-0000-0000D75C0000}"/>
    <cellStyle name="40% - Accent5 3 2 2 3 2 3 3" xfId="33265" xr:uid="{00000000-0005-0000-0000-0000D85C0000}"/>
    <cellStyle name="40% - Accent5 3 2 2 3 2 4" xfId="19175" xr:uid="{00000000-0005-0000-0000-0000D95C0000}"/>
    <cellStyle name="40% - Accent5 3 2 2 3 2 4 2" xfId="13135" xr:uid="{00000000-0005-0000-0000-0000DA5C0000}"/>
    <cellStyle name="40% - Accent5 3 2 2 3 2 5" xfId="19170" xr:uid="{00000000-0005-0000-0000-0000DB5C0000}"/>
    <cellStyle name="40% - Accent5 3 2 2 3 3" xfId="18009" xr:uid="{00000000-0005-0000-0000-0000DC5C0000}"/>
    <cellStyle name="40% - Accent5 3 2 2 3 3 2" xfId="18006" xr:uid="{00000000-0005-0000-0000-0000DD5C0000}"/>
    <cellStyle name="40% - Accent5 3 2 2 3 3 2 2" xfId="28074" xr:uid="{00000000-0005-0000-0000-0000DE5C0000}"/>
    <cellStyle name="40% - Accent5 3 2 2 3 3 2 2 2" xfId="19351" xr:uid="{00000000-0005-0000-0000-0000DF5C0000}"/>
    <cellStyle name="40% - Accent5 3 2 2 3 3 2 3" xfId="28062" xr:uid="{00000000-0005-0000-0000-0000E05C0000}"/>
    <cellStyle name="40% - Accent5 3 2 2 3 3 3" xfId="25775" xr:uid="{00000000-0005-0000-0000-0000E15C0000}"/>
    <cellStyle name="40% - Accent5 3 2 2 3 3 3 2" xfId="13119" xr:uid="{00000000-0005-0000-0000-0000E25C0000}"/>
    <cellStyle name="40% - Accent5 3 2 2 3 3 4" xfId="19168" xr:uid="{00000000-0005-0000-0000-0000E35C0000}"/>
    <cellStyle name="40% - Accent5 3 2 2 3 4" xfId="26586" xr:uid="{00000000-0005-0000-0000-0000E45C0000}"/>
    <cellStyle name="40% - Accent5 3 2 2 3 4 2" xfId="26583" xr:uid="{00000000-0005-0000-0000-0000E55C0000}"/>
    <cellStyle name="40% - Accent5 3 2 2 3 4 2 2" xfId="7818" xr:uid="{00000000-0005-0000-0000-0000E65C0000}"/>
    <cellStyle name="40% - Accent5 3 2 2 3 4 3" xfId="31267" xr:uid="{00000000-0005-0000-0000-0000E75C0000}"/>
    <cellStyle name="40% - Accent5 3 2 2 3 5" xfId="13485" xr:uid="{00000000-0005-0000-0000-0000E85C0000}"/>
    <cellStyle name="40% - Accent5 3 2 2 3 5 2" xfId="7815" xr:uid="{00000000-0005-0000-0000-0000E95C0000}"/>
    <cellStyle name="40% - Accent5 3 2 2 3 6" xfId="24929" xr:uid="{00000000-0005-0000-0000-0000EA5C0000}"/>
    <cellStyle name="40% - Accent5 3 2 2 4" xfId="11512" xr:uid="{00000000-0005-0000-0000-0000EB5C0000}"/>
    <cellStyle name="40% - Accent5 3 2 2 4 2" xfId="26512" xr:uid="{00000000-0005-0000-0000-0000EC5C0000}"/>
    <cellStyle name="40% - Accent5 3 2 2 4 2 2" xfId="29083" xr:uid="{00000000-0005-0000-0000-0000ED5C0000}"/>
    <cellStyle name="40% - Accent5 3 2 2 4 2 2 2" xfId="30717" xr:uid="{00000000-0005-0000-0000-0000EE5C0000}"/>
    <cellStyle name="40% - Accent5 3 2 2 4 2 2 2 2" xfId="7812" xr:uid="{00000000-0005-0000-0000-0000EF5C0000}"/>
    <cellStyle name="40% - Accent5 3 2 2 4 2 2 3" xfId="31513" xr:uid="{00000000-0005-0000-0000-0000F05C0000}"/>
    <cellStyle name="40% - Accent5 3 2 2 4 2 3" xfId="26505" xr:uid="{00000000-0005-0000-0000-0000F15C0000}"/>
    <cellStyle name="40% - Accent5 3 2 2 4 2 3 2" xfId="12904" xr:uid="{00000000-0005-0000-0000-0000F25C0000}"/>
    <cellStyle name="40% - Accent5 3 2 2 4 2 4" xfId="19063" xr:uid="{00000000-0005-0000-0000-0000F35C0000}"/>
    <cellStyle name="40% - Accent5 3 2 2 4 3" xfId="26498" xr:uid="{00000000-0005-0000-0000-0000F45C0000}"/>
    <cellStyle name="40% - Accent5 3 2 2 4 3 2" xfId="26495" xr:uid="{00000000-0005-0000-0000-0000F55C0000}"/>
    <cellStyle name="40% - Accent5 3 2 2 4 3 2 2" xfId="7811" xr:uid="{00000000-0005-0000-0000-0000F65C0000}"/>
    <cellStyle name="40% - Accent5 3 2 2 4 3 3" xfId="31212" xr:uid="{00000000-0005-0000-0000-0000F75C0000}"/>
    <cellStyle name="40% - Accent5 3 2 2 4 4" xfId="32314" xr:uid="{00000000-0005-0000-0000-0000F85C0000}"/>
    <cellStyle name="40% - Accent5 3 2 2 4 4 2" xfId="7809" xr:uid="{00000000-0005-0000-0000-0000F95C0000}"/>
    <cellStyle name="40% - Accent5 3 2 2 4 5" xfId="24915" xr:uid="{00000000-0005-0000-0000-0000FA5C0000}"/>
    <cellStyle name="40% - Accent5 3 2 2 5" xfId="13180" xr:uid="{00000000-0005-0000-0000-0000FB5C0000}"/>
    <cellStyle name="40% - Accent5 3 2 2 5 2" xfId="26456" xr:uid="{00000000-0005-0000-0000-0000FC5C0000}"/>
    <cellStyle name="40% - Accent5 3 2 2 5 2 2" xfId="32408" xr:uid="{00000000-0005-0000-0000-0000FD5C0000}"/>
    <cellStyle name="40% - Accent5 3 2 2 5 2 2 2" xfId="7807" xr:uid="{00000000-0005-0000-0000-0000FE5C0000}"/>
    <cellStyle name="40% - Accent5 3 2 2 5 2 3" xfId="27006" xr:uid="{00000000-0005-0000-0000-0000FF5C0000}"/>
    <cellStyle name="40% - Accent5 3 2 2 5 3" xfId="18723" xr:uid="{00000000-0005-0000-0000-0000005D0000}"/>
    <cellStyle name="40% - Accent5 3 2 2 5 3 2" xfId="7805" xr:uid="{00000000-0005-0000-0000-0000015D0000}"/>
    <cellStyle name="40% - Accent5 3 2 2 5 4" xfId="24902" xr:uid="{00000000-0005-0000-0000-0000025D0000}"/>
    <cellStyle name="40% - Accent5 3 2 2 6" xfId="13176" xr:uid="{00000000-0005-0000-0000-0000035D0000}"/>
    <cellStyle name="40% - Accent5 3 2 2 6 2" xfId="26425" xr:uid="{00000000-0005-0000-0000-0000045D0000}"/>
    <cellStyle name="40% - Accent5 3 2 2 6 2 2" xfId="29492" xr:uid="{00000000-0005-0000-0000-0000055D0000}"/>
    <cellStyle name="40% - Accent5 3 2 2 6 3" xfId="7803" xr:uid="{00000000-0005-0000-0000-0000065D0000}"/>
    <cellStyle name="40% - Accent5 3 2 2 7" xfId="7800" xr:uid="{00000000-0005-0000-0000-0000075D0000}"/>
    <cellStyle name="40% - Accent5 3 2 2 7 2" xfId="7798" xr:uid="{00000000-0005-0000-0000-0000085D0000}"/>
    <cellStyle name="40% - Accent5 3 2 2 8" xfId="7797" xr:uid="{00000000-0005-0000-0000-0000095D0000}"/>
    <cellStyle name="40% - Accent5 3 2 3" xfId="7796" xr:uid="{00000000-0005-0000-0000-00000A5D0000}"/>
    <cellStyle name="40% - Accent5 3 2 3 2" xfId="7795" xr:uid="{00000000-0005-0000-0000-00000B5D0000}"/>
    <cellStyle name="40% - Accent5 3 2 3 2 2" xfId="32110" xr:uid="{00000000-0005-0000-0000-00000C5D0000}"/>
    <cellStyle name="40% - Accent5 3 2 3 2 2 2" xfId="25970" xr:uid="{00000000-0005-0000-0000-00000D5D0000}"/>
    <cellStyle name="40% - Accent5 3 2 3 2 2 2 2" xfId="25465" xr:uid="{00000000-0005-0000-0000-00000E5D0000}"/>
    <cellStyle name="40% - Accent5 3 2 3 2 2 2 2 2" xfId="7793" xr:uid="{00000000-0005-0000-0000-00000F5D0000}"/>
    <cellStyle name="40% - Accent5 3 2 3 2 2 2 2 2 2" xfId="7792" xr:uid="{00000000-0005-0000-0000-0000105D0000}"/>
    <cellStyle name="40% - Accent5 3 2 3 2 2 2 2 3" xfId="7790" xr:uid="{00000000-0005-0000-0000-0000115D0000}"/>
    <cellStyle name="40% - Accent5 3 2 3 2 2 2 3" xfId="28440" xr:uid="{00000000-0005-0000-0000-0000125D0000}"/>
    <cellStyle name="40% - Accent5 3 2 3 2 2 2 3 2" xfId="6893" xr:uid="{00000000-0005-0000-0000-0000135D0000}"/>
    <cellStyle name="40% - Accent5 3 2 3 2 2 2 4" xfId="33799" xr:uid="{00000000-0005-0000-0000-0000145D0000}"/>
    <cellStyle name="40% - Accent5 3 2 3 2 2 3" xfId="7075" xr:uid="{00000000-0005-0000-0000-0000155D0000}"/>
    <cellStyle name="40% - Accent5 3 2 3 2 2 3 2" xfId="28096" xr:uid="{00000000-0005-0000-0000-0000165D0000}"/>
    <cellStyle name="40% - Accent5 3 2 3 2 2 3 2 2" xfId="7788" xr:uid="{00000000-0005-0000-0000-0000175D0000}"/>
    <cellStyle name="40% - Accent5 3 2 3 2 2 3 3" xfId="17695" xr:uid="{00000000-0005-0000-0000-0000185D0000}"/>
    <cellStyle name="40% - Accent5 3 2 3 2 2 4" xfId="7072" xr:uid="{00000000-0005-0000-0000-0000195D0000}"/>
    <cellStyle name="40% - Accent5 3 2 3 2 2 4 2" xfId="28502" xr:uid="{00000000-0005-0000-0000-00001A5D0000}"/>
    <cellStyle name="40% - Accent5 3 2 3 2 2 5" xfId="7786" xr:uid="{00000000-0005-0000-0000-00001B5D0000}"/>
    <cellStyle name="40% - Accent5 3 2 3 2 3" xfId="27410" xr:uid="{00000000-0005-0000-0000-00001C5D0000}"/>
    <cellStyle name="40% - Accent5 3 2 3 2 3 2" xfId="25945" xr:uid="{00000000-0005-0000-0000-00001D5D0000}"/>
    <cellStyle name="40% - Accent5 3 2 3 2 3 2 2" xfId="23055" xr:uid="{00000000-0005-0000-0000-00001E5D0000}"/>
    <cellStyle name="40% - Accent5 3 2 3 2 3 2 2 2" xfId="29706" xr:uid="{00000000-0005-0000-0000-00001F5D0000}"/>
    <cellStyle name="40% - Accent5 3 2 3 2 3 2 3" xfId="9917" xr:uid="{00000000-0005-0000-0000-0000205D0000}"/>
    <cellStyle name="40% - Accent5 3 2 3 2 3 3" xfId="23829" xr:uid="{00000000-0005-0000-0000-0000215D0000}"/>
    <cellStyle name="40% - Accent5 3 2 3 2 3 3 2" xfId="30568" xr:uid="{00000000-0005-0000-0000-0000225D0000}"/>
    <cellStyle name="40% - Accent5 3 2 3 2 3 4" xfId="7782" xr:uid="{00000000-0005-0000-0000-0000235D0000}"/>
    <cellStyle name="40% - Accent5 3 2 3 2 4" xfId="18083" xr:uid="{00000000-0005-0000-0000-0000245D0000}"/>
    <cellStyle name="40% - Accent5 3 2 3 2 4 2" xfId="25933" xr:uid="{00000000-0005-0000-0000-0000255D0000}"/>
    <cellStyle name="40% - Accent5 3 2 3 2 4 2 2" xfId="22918" xr:uid="{00000000-0005-0000-0000-0000265D0000}"/>
    <cellStyle name="40% - Accent5 3 2 3 2 4 3" xfId="27925" xr:uid="{00000000-0005-0000-0000-0000275D0000}"/>
    <cellStyle name="40% - Accent5 3 2 3 2 5" xfId="25931" xr:uid="{00000000-0005-0000-0000-0000285D0000}"/>
    <cellStyle name="40% - Accent5 3 2 3 2 5 2" xfId="7779" xr:uid="{00000000-0005-0000-0000-0000295D0000}"/>
    <cellStyle name="40% - Accent5 3 2 3 2 6" xfId="7777" xr:uid="{00000000-0005-0000-0000-00002A5D0000}"/>
    <cellStyle name="40% - Accent5 3 2 3 3" xfId="7776" xr:uid="{00000000-0005-0000-0000-00002B5D0000}"/>
    <cellStyle name="40% - Accent5 3 2 3 3 2" xfId="26852" xr:uid="{00000000-0005-0000-0000-00002C5D0000}"/>
    <cellStyle name="40% - Accent5 3 2 3 3 2 2" xfId="26846" xr:uid="{00000000-0005-0000-0000-00002D5D0000}"/>
    <cellStyle name="40% - Accent5 3 2 3 3 2 2 2" xfId="30679" xr:uid="{00000000-0005-0000-0000-00002E5D0000}"/>
    <cellStyle name="40% - Accent5 3 2 3 3 2 2 2 2" xfId="7774" xr:uid="{00000000-0005-0000-0000-00002F5D0000}"/>
    <cellStyle name="40% - Accent5 3 2 3 3 2 2 3" xfId="29222" xr:uid="{00000000-0005-0000-0000-0000305D0000}"/>
    <cellStyle name="40% - Accent5 3 2 3 3 2 3" xfId="26830" xr:uid="{00000000-0005-0000-0000-0000315D0000}"/>
    <cellStyle name="40% - Accent5 3 2 3 3 2 3 2" xfId="12445" xr:uid="{00000000-0005-0000-0000-0000325D0000}"/>
    <cellStyle name="40% - Accent5 3 2 3 3 2 4" xfId="30530" xr:uid="{00000000-0005-0000-0000-0000335D0000}"/>
    <cellStyle name="40% - Accent5 3 2 3 3 3" xfId="26820" xr:uid="{00000000-0005-0000-0000-0000345D0000}"/>
    <cellStyle name="40% - Accent5 3 2 3 3 3 2" xfId="26810" xr:uid="{00000000-0005-0000-0000-0000355D0000}"/>
    <cellStyle name="40% - Accent5 3 2 3 3 3 2 2" xfId="31823" xr:uid="{00000000-0005-0000-0000-0000365D0000}"/>
    <cellStyle name="40% - Accent5 3 2 3 3 3 3" xfId="33118" xr:uid="{00000000-0005-0000-0000-0000375D0000}"/>
    <cellStyle name="40% - Accent5 3 2 3 3 4" xfId="29039" xr:uid="{00000000-0005-0000-0000-0000385D0000}"/>
    <cellStyle name="40% - Accent5 3 2 3 3 4 2" xfId="7772" xr:uid="{00000000-0005-0000-0000-0000395D0000}"/>
    <cellStyle name="40% - Accent5 3 2 3 3 5" xfId="29323" xr:uid="{00000000-0005-0000-0000-00003A5D0000}"/>
    <cellStyle name="40% - Accent5 3 2 3 4" xfId="7770" xr:uid="{00000000-0005-0000-0000-00003B5D0000}"/>
    <cellStyle name="40% - Accent5 3 2 3 4 2" xfId="26788" xr:uid="{00000000-0005-0000-0000-00003C5D0000}"/>
    <cellStyle name="40% - Accent5 3 2 3 4 2 2" xfId="26785" xr:uid="{00000000-0005-0000-0000-00003D5D0000}"/>
    <cellStyle name="40% - Accent5 3 2 3 4 2 2 2" xfId="7769" xr:uid="{00000000-0005-0000-0000-00003E5D0000}"/>
    <cellStyle name="40% - Accent5 3 2 3 4 2 3" xfId="33072" xr:uid="{00000000-0005-0000-0000-00003F5D0000}"/>
    <cellStyle name="40% - Accent5 3 2 3 4 3" xfId="26779" xr:uid="{00000000-0005-0000-0000-0000405D0000}"/>
    <cellStyle name="40% - Accent5 3 2 3 4 3 2" xfId="7768" xr:uid="{00000000-0005-0000-0000-0000415D0000}"/>
    <cellStyle name="40% - Accent5 3 2 3 4 4" xfId="32320" xr:uid="{00000000-0005-0000-0000-0000425D0000}"/>
    <cellStyle name="40% - Accent5 3 2 3 5" xfId="6112" xr:uid="{00000000-0005-0000-0000-0000435D0000}"/>
    <cellStyle name="40% - Accent5 3 2 3 5 2" xfId="29856" xr:uid="{00000000-0005-0000-0000-0000445D0000}"/>
    <cellStyle name="40% - Accent5 3 2 3 5 2 2" xfId="7766" xr:uid="{00000000-0005-0000-0000-0000455D0000}"/>
    <cellStyle name="40% - Accent5 3 2 3 5 3" xfId="7763" xr:uid="{00000000-0005-0000-0000-0000465D0000}"/>
    <cellStyle name="40% - Accent5 3 2 3 6" xfId="7760" xr:uid="{00000000-0005-0000-0000-0000475D0000}"/>
    <cellStyle name="40% - Accent5 3 2 3 6 2" xfId="31523" xr:uid="{00000000-0005-0000-0000-0000485D0000}"/>
    <cellStyle name="40% - Accent5 3 2 3 7" xfId="7758" xr:uid="{00000000-0005-0000-0000-0000495D0000}"/>
    <cellStyle name="40% - Accent5 3 2 4" xfId="7756" xr:uid="{00000000-0005-0000-0000-00004A5D0000}"/>
    <cellStyle name="40% - Accent5 3 2 4 2" xfId="7754" xr:uid="{00000000-0005-0000-0000-00004B5D0000}"/>
    <cellStyle name="40% - Accent5 3 2 4 2 2" xfId="10857" xr:uid="{00000000-0005-0000-0000-00004C5D0000}"/>
    <cellStyle name="40% - Accent5 3 2 4 2 2 2" xfId="34335" xr:uid="{00000000-0005-0000-0000-00004D5D0000}"/>
    <cellStyle name="40% - Accent5 3 2 4 2 2 2 2" xfId="8414" xr:uid="{00000000-0005-0000-0000-00004E5D0000}"/>
    <cellStyle name="40% - Accent5 3 2 4 2 2 2 2 2" xfId="8412" xr:uid="{00000000-0005-0000-0000-00004F5D0000}"/>
    <cellStyle name="40% - Accent5 3 2 4 2 2 2 3" xfId="26508" xr:uid="{00000000-0005-0000-0000-0000505D0000}"/>
    <cellStyle name="40% - Accent5 3 2 4 2 2 3" xfId="7058" xr:uid="{00000000-0005-0000-0000-0000515D0000}"/>
    <cellStyle name="40% - Accent5 3 2 4 2 2 3 2" xfId="8399" xr:uid="{00000000-0005-0000-0000-0000525D0000}"/>
    <cellStyle name="40% - Accent5 3 2 4 2 2 4" xfId="23477" xr:uid="{00000000-0005-0000-0000-0000535D0000}"/>
    <cellStyle name="40% - Accent5 3 2 4 2 3" xfId="32774" xr:uid="{00000000-0005-0000-0000-0000545D0000}"/>
    <cellStyle name="40% - Accent5 3 2 4 2 3 2" xfId="25505" xr:uid="{00000000-0005-0000-0000-0000555D0000}"/>
    <cellStyle name="40% - Accent5 3 2 4 2 3 2 2" xfId="25006" xr:uid="{00000000-0005-0000-0000-0000565D0000}"/>
    <cellStyle name="40% - Accent5 3 2 4 2 3 3" xfId="7750" xr:uid="{00000000-0005-0000-0000-0000575D0000}"/>
    <cellStyle name="40% - Accent5 3 2 4 2 4" xfId="25499" xr:uid="{00000000-0005-0000-0000-0000585D0000}"/>
    <cellStyle name="40% - Accent5 3 2 4 2 4 2" xfId="7749" xr:uid="{00000000-0005-0000-0000-0000595D0000}"/>
    <cellStyle name="40% - Accent5 3 2 4 2 5" xfId="16075" xr:uid="{00000000-0005-0000-0000-00005A5D0000}"/>
    <cellStyle name="40% - Accent5 3 2 4 3" xfId="7748" xr:uid="{00000000-0005-0000-0000-00005B5D0000}"/>
    <cellStyle name="40% - Accent5 3 2 4 3 2" xfId="32918" xr:uid="{00000000-0005-0000-0000-00005C5D0000}"/>
    <cellStyle name="40% - Accent5 3 2 4 3 2 2" xfId="26731" xr:uid="{00000000-0005-0000-0000-00005D5D0000}"/>
    <cellStyle name="40% - Accent5 3 2 4 3 2 2 2" xfId="8348" xr:uid="{00000000-0005-0000-0000-00005E5D0000}"/>
    <cellStyle name="40% - Accent5 3 2 4 3 2 3" xfId="32197" xr:uid="{00000000-0005-0000-0000-00005F5D0000}"/>
    <cellStyle name="40% - Accent5 3 2 4 3 3" xfId="26719" xr:uid="{00000000-0005-0000-0000-0000605D0000}"/>
    <cellStyle name="40% - Accent5 3 2 4 3 3 2" xfId="7747" xr:uid="{00000000-0005-0000-0000-0000615D0000}"/>
    <cellStyle name="40% - Accent5 3 2 4 3 4" xfId="32285" xr:uid="{00000000-0005-0000-0000-0000625D0000}"/>
    <cellStyle name="40% - Accent5 3 2 4 4" xfId="7745" xr:uid="{00000000-0005-0000-0000-0000635D0000}"/>
    <cellStyle name="40% - Accent5 3 2 4 4 2" xfId="26694" xr:uid="{00000000-0005-0000-0000-0000645D0000}"/>
    <cellStyle name="40% - Accent5 3 2 4 4 2 2" xfId="7744" xr:uid="{00000000-0005-0000-0000-0000655D0000}"/>
    <cellStyle name="40% - Accent5 3 2 4 4 3" xfId="7741" xr:uid="{00000000-0005-0000-0000-0000665D0000}"/>
    <cellStyle name="40% - Accent5 3 2 4 5" xfId="7740" xr:uid="{00000000-0005-0000-0000-0000675D0000}"/>
    <cellStyle name="40% - Accent5 3 2 4 5 2" xfId="7739" xr:uid="{00000000-0005-0000-0000-0000685D0000}"/>
    <cellStyle name="40% - Accent5 3 2 4 6" xfId="7738" xr:uid="{00000000-0005-0000-0000-0000695D0000}"/>
    <cellStyle name="40% - Accent5 3 2 5" xfId="7736" xr:uid="{00000000-0005-0000-0000-00006A5D0000}"/>
    <cellStyle name="40% - Accent5 3 2 5 2" xfId="25347" xr:uid="{00000000-0005-0000-0000-00006B5D0000}"/>
    <cellStyle name="40% - Accent5 3 2 5 2 2" xfId="32879" xr:uid="{00000000-0005-0000-0000-00006C5D0000}"/>
    <cellStyle name="40% - Accent5 3 2 5 2 2 2" xfId="25219" xr:uid="{00000000-0005-0000-0000-00006D5D0000}"/>
    <cellStyle name="40% - Accent5 3 2 5 2 2 2 2" xfId="12126" xr:uid="{00000000-0005-0000-0000-00006E5D0000}"/>
    <cellStyle name="40% - Accent5 3 2 5 2 2 3" xfId="5561" xr:uid="{00000000-0005-0000-0000-00006F5D0000}"/>
    <cellStyle name="40% - Accent5 3 2 5 2 3" xfId="33318" xr:uid="{00000000-0005-0000-0000-0000705D0000}"/>
    <cellStyle name="40% - Accent5 3 2 5 2 3 2" xfId="5557" xr:uid="{00000000-0005-0000-0000-0000715D0000}"/>
    <cellStyle name="40% - Accent5 3 2 5 2 4" xfId="7733" xr:uid="{00000000-0005-0000-0000-0000725D0000}"/>
    <cellStyle name="40% - Accent5 3 2 5 3" xfId="7732" xr:uid="{00000000-0005-0000-0000-0000735D0000}"/>
    <cellStyle name="40% - Accent5 3 2 5 3 2" xfId="33229" xr:uid="{00000000-0005-0000-0000-0000745D0000}"/>
    <cellStyle name="40% - Accent5 3 2 5 3 2 2" xfId="7731" xr:uid="{00000000-0005-0000-0000-0000755D0000}"/>
    <cellStyle name="40% - Accent5 3 2 5 3 3" xfId="7729" xr:uid="{00000000-0005-0000-0000-0000765D0000}"/>
    <cellStyle name="40% - Accent5 3 2 5 4" xfId="7728" xr:uid="{00000000-0005-0000-0000-0000775D0000}"/>
    <cellStyle name="40% - Accent5 3 2 5 4 2" xfId="26616" xr:uid="{00000000-0005-0000-0000-0000785D0000}"/>
    <cellStyle name="40% - Accent5 3 2 5 5" xfId="7727" xr:uid="{00000000-0005-0000-0000-0000795D0000}"/>
    <cellStyle name="40% - Accent5 3 2 6" xfId="7726" xr:uid="{00000000-0005-0000-0000-00007A5D0000}"/>
    <cellStyle name="40% - Accent5 3 2 6 2" xfId="7725" xr:uid="{00000000-0005-0000-0000-00007B5D0000}"/>
    <cellStyle name="40% - Accent5 3 2 6 2 2" xfId="33116" xr:uid="{00000000-0005-0000-0000-00007C5D0000}"/>
    <cellStyle name="40% - Accent5 3 2 6 2 2 2" xfId="7724" xr:uid="{00000000-0005-0000-0000-00007D5D0000}"/>
    <cellStyle name="40% - Accent5 3 2 6 2 3" xfId="28338" xr:uid="{00000000-0005-0000-0000-00007E5D0000}"/>
    <cellStyle name="40% - Accent5 3 2 6 3" xfId="7722" xr:uid="{00000000-0005-0000-0000-00007F5D0000}"/>
    <cellStyle name="40% - Accent5 3 2 6 3 2" xfId="7721" xr:uid="{00000000-0005-0000-0000-0000805D0000}"/>
    <cellStyle name="40% - Accent5 3 2 6 4" xfId="7719" xr:uid="{00000000-0005-0000-0000-0000815D0000}"/>
    <cellStyle name="40% - Accent5 3 2 7" xfId="20209" xr:uid="{00000000-0005-0000-0000-0000825D0000}"/>
    <cellStyle name="40% - Accent5 3 2 7 2" xfId="22848" xr:uid="{00000000-0005-0000-0000-0000835D0000}"/>
    <cellStyle name="40% - Accent5 3 2 7 2 2" xfId="29495" xr:uid="{00000000-0005-0000-0000-0000845D0000}"/>
    <cellStyle name="40% - Accent5 3 2 7 3" xfId="23552" xr:uid="{00000000-0005-0000-0000-0000855D0000}"/>
    <cellStyle name="40% - Accent5 3 2 8" xfId="32295" xr:uid="{00000000-0005-0000-0000-0000865D0000}"/>
    <cellStyle name="40% - Accent5 3 2 8 2" xfId="21246" xr:uid="{00000000-0005-0000-0000-0000875D0000}"/>
    <cellStyle name="40% - Accent5 3 2 9" xfId="21243" xr:uid="{00000000-0005-0000-0000-0000885D0000}"/>
    <cellStyle name="40% - Accent5 3 3" xfId="233" xr:uid="{00000000-0005-0000-0000-0000895D0000}"/>
    <cellStyle name="40% - Accent5 3 3 10" xfId="10961" xr:uid="{00000000-0005-0000-0000-00008A5D0000}"/>
    <cellStyle name="40% - Accent5 3 3 2" xfId="11833" xr:uid="{00000000-0005-0000-0000-00008B5D0000}"/>
    <cellStyle name="40% - Accent5 3 3 2 2" xfId="7718" xr:uid="{00000000-0005-0000-0000-00008C5D0000}"/>
    <cellStyle name="40% - Accent5 3 3 2 2 2" xfId="14967" xr:uid="{00000000-0005-0000-0000-00008D5D0000}"/>
    <cellStyle name="40% - Accent5 3 3 2 2 2 2" xfId="14965" xr:uid="{00000000-0005-0000-0000-00008E5D0000}"/>
    <cellStyle name="40% - Accent5 3 3 2 2 2 2 2" xfId="16918" xr:uid="{00000000-0005-0000-0000-00008F5D0000}"/>
    <cellStyle name="40% - Accent5 3 3 2 2 2 2 2 2" xfId="7717" xr:uid="{00000000-0005-0000-0000-0000905D0000}"/>
    <cellStyle name="40% - Accent5 3 3 2 2 2 2 2 2 2" xfId="7712" xr:uid="{00000000-0005-0000-0000-0000915D0000}"/>
    <cellStyle name="40% - Accent5 3 3 2 2 2 2 2 3" xfId="7710" xr:uid="{00000000-0005-0000-0000-0000925D0000}"/>
    <cellStyle name="40% - Accent5 3 3 2 2 2 2 3" xfId="23445" xr:uid="{00000000-0005-0000-0000-0000935D0000}"/>
    <cellStyle name="40% - Accent5 3 3 2 2 2 2 3 2" xfId="13216" xr:uid="{00000000-0005-0000-0000-0000945D0000}"/>
    <cellStyle name="40% - Accent5 3 3 2 2 2 2 4" xfId="32238" xr:uid="{00000000-0005-0000-0000-0000955D0000}"/>
    <cellStyle name="40% - Accent5 3 3 2 2 2 3" xfId="24308" xr:uid="{00000000-0005-0000-0000-0000965D0000}"/>
    <cellStyle name="40% - Accent5 3 3 2 2 2 3 2" xfId="7706" xr:uid="{00000000-0005-0000-0000-0000975D0000}"/>
    <cellStyle name="40% - Accent5 3 3 2 2 2 3 2 2" xfId="7703" xr:uid="{00000000-0005-0000-0000-0000985D0000}"/>
    <cellStyle name="40% - Accent5 3 3 2 2 2 3 3" xfId="34145" xr:uid="{00000000-0005-0000-0000-0000995D0000}"/>
    <cellStyle name="40% - Accent5 3 3 2 2 2 4" xfId="23296" xr:uid="{00000000-0005-0000-0000-00009A5D0000}"/>
    <cellStyle name="40% - Accent5 3 3 2 2 2 4 2" xfId="9567" xr:uid="{00000000-0005-0000-0000-00009B5D0000}"/>
    <cellStyle name="40% - Accent5 3 3 2 2 2 5" xfId="24064" xr:uid="{00000000-0005-0000-0000-00009C5D0000}"/>
    <cellStyle name="40% - Accent5 3 3 2 2 3" xfId="14963" xr:uid="{00000000-0005-0000-0000-00009D5D0000}"/>
    <cellStyle name="40% - Accent5 3 3 2 2 3 2" xfId="24305" xr:uid="{00000000-0005-0000-0000-00009E5D0000}"/>
    <cellStyle name="40% - Accent5 3 3 2 2 3 2 2" xfId="22753" xr:uid="{00000000-0005-0000-0000-00009F5D0000}"/>
    <cellStyle name="40% - Accent5 3 3 2 2 3 2 2 2" xfId="24957" xr:uid="{00000000-0005-0000-0000-0000A05D0000}"/>
    <cellStyle name="40% - Accent5 3 3 2 2 3 2 3" xfId="32216" xr:uid="{00000000-0005-0000-0000-0000A15D0000}"/>
    <cellStyle name="40% - Accent5 3 3 2 2 3 3" xfId="24301" xr:uid="{00000000-0005-0000-0000-0000A25D0000}"/>
    <cellStyle name="40% - Accent5 3 3 2 2 3 3 2" xfId="7697" xr:uid="{00000000-0005-0000-0000-0000A35D0000}"/>
    <cellStyle name="40% - Accent5 3 3 2 2 3 4" xfId="24049" xr:uid="{00000000-0005-0000-0000-0000A45D0000}"/>
    <cellStyle name="40% - Accent5 3 3 2 2 4" xfId="24046" xr:uid="{00000000-0005-0000-0000-0000A55D0000}"/>
    <cellStyle name="40% - Accent5 3 3 2 2 4 2" xfId="24043" xr:uid="{00000000-0005-0000-0000-0000A65D0000}"/>
    <cellStyle name="40% - Accent5 3 3 2 2 4 2 2" xfId="7696" xr:uid="{00000000-0005-0000-0000-0000A75D0000}"/>
    <cellStyle name="40% - Accent5 3 3 2 2 4 3" xfId="24041" xr:uid="{00000000-0005-0000-0000-0000A85D0000}"/>
    <cellStyle name="40% - Accent5 3 3 2 2 5" xfId="28260" xr:uid="{00000000-0005-0000-0000-0000A95D0000}"/>
    <cellStyle name="40% - Accent5 3 3 2 2 5 2" xfId="34023" xr:uid="{00000000-0005-0000-0000-0000AA5D0000}"/>
    <cellStyle name="40% - Accent5 3 3 2 2 6" xfId="24039" xr:uid="{00000000-0005-0000-0000-0000AB5D0000}"/>
    <cellStyle name="40% - Accent5 3 3 2 3" xfId="7695" xr:uid="{00000000-0005-0000-0000-0000AC5D0000}"/>
    <cellStyle name="40% - Accent5 3 3 2 3 2" xfId="14954" xr:uid="{00000000-0005-0000-0000-0000AD5D0000}"/>
    <cellStyle name="40% - Accent5 3 3 2 3 2 2" xfId="28767" xr:uid="{00000000-0005-0000-0000-0000AE5D0000}"/>
    <cellStyle name="40% - Accent5 3 3 2 3 2 2 2" xfId="25641" xr:uid="{00000000-0005-0000-0000-0000AF5D0000}"/>
    <cellStyle name="40% - Accent5 3 3 2 3 2 2 2 2" xfId="7694" xr:uid="{00000000-0005-0000-0000-0000B05D0000}"/>
    <cellStyle name="40% - Accent5 3 3 2 3 2 2 3" xfId="25965" xr:uid="{00000000-0005-0000-0000-0000B15D0000}"/>
    <cellStyle name="40% - Accent5 3 3 2 3 2 3" xfId="28199" xr:uid="{00000000-0005-0000-0000-0000B25D0000}"/>
    <cellStyle name="40% - Accent5 3 3 2 3 2 3 2" xfId="11015" xr:uid="{00000000-0005-0000-0000-0000B35D0000}"/>
    <cellStyle name="40% - Accent5 3 3 2 3 2 4" xfId="23819" xr:uid="{00000000-0005-0000-0000-0000B45D0000}"/>
    <cellStyle name="40% - Accent5 3 3 2 3 3" xfId="23813" xr:uid="{00000000-0005-0000-0000-0000B55D0000}"/>
    <cellStyle name="40% - Accent5 3 3 2 3 3 2" xfId="23809" xr:uid="{00000000-0005-0000-0000-0000B65D0000}"/>
    <cellStyle name="40% - Accent5 3 3 2 3 3 2 2" xfId="7690" xr:uid="{00000000-0005-0000-0000-0000B75D0000}"/>
    <cellStyle name="40% - Accent5 3 3 2 3 3 3" xfId="23803" xr:uid="{00000000-0005-0000-0000-0000B85D0000}"/>
    <cellStyle name="40% - Accent5 3 3 2 3 4" xfId="23797" xr:uid="{00000000-0005-0000-0000-0000B95D0000}"/>
    <cellStyle name="40% - Accent5 3 3 2 3 4 2" xfId="23795" xr:uid="{00000000-0005-0000-0000-0000BA5D0000}"/>
    <cellStyle name="40% - Accent5 3 3 2 3 5" xfId="26188" xr:uid="{00000000-0005-0000-0000-0000BB5D0000}"/>
    <cellStyle name="40% - Accent5 3 3 2 4" xfId="7688" xr:uid="{00000000-0005-0000-0000-0000BC5D0000}"/>
    <cellStyle name="40% - Accent5 3 3 2 4 2" xfId="23777" xr:uid="{00000000-0005-0000-0000-0000BD5D0000}"/>
    <cellStyle name="40% - Accent5 3 3 2 4 2 2" xfId="23772" xr:uid="{00000000-0005-0000-0000-0000BE5D0000}"/>
    <cellStyle name="40% - Accent5 3 3 2 4 2 2 2" xfId="7687" xr:uid="{00000000-0005-0000-0000-0000BF5D0000}"/>
    <cellStyle name="40% - Accent5 3 3 2 4 2 3" xfId="23766" xr:uid="{00000000-0005-0000-0000-0000C05D0000}"/>
    <cellStyle name="40% - Accent5 3 3 2 4 3" xfId="23762" xr:uid="{00000000-0005-0000-0000-0000C15D0000}"/>
    <cellStyle name="40% - Accent5 3 3 2 4 3 2" xfId="30857" xr:uid="{00000000-0005-0000-0000-0000C25D0000}"/>
    <cellStyle name="40% - Accent5 3 3 2 4 4" xfId="23757" xr:uid="{00000000-0005-0000-0000-0000C35D0000}"/>
    <cellStyle name="40% - Accent5 3 3 2 5" xfId="13172" xr:uid="{00000000-0005-0000-0000-0000C45D0000}"/>
    <cellStyle name="40% - Accent5 3 3 2 5 2" xfId="23734" xr:uid="{00000000-0005-0000-0000-0000C55D0000}"/>
    <cellStyle name="40% - Accent5 3 3 2 5 2 2" xfId="23730" xr:uid="{00000000-0005-0000-0000-0000C65D0000}"/>
    <cellStyle name="40% - Accent5 3 3 2 5 3" xfId="20569" xr:uid="{00000000-0005-0000-0000-0000C75D0000}"/>
    <cellStyle name="40% - Accent5 3 3 2 6" xfId="7684" xr:uid="{00000000-0005-0000-0000-0000C85D0000}"/>
    <cellStyle name="40% - Accent5 3 3 2 6 2" xfId="30567" xr:uid="{00000000-0005-0000-0000-0000C95D0000}"/>
    <cellStyle name="40% - Accent5 3 3 2 7" xfId="7683" xr:uid="{00000000-0005-0000-0000-0000CA5D0000}"/>
    <cellStyle name="40% - Accent5 3 3 3" xfId="7682" xr:uid="{00000000-0005-0000-0000-0000CB5D0000}"/>
    <cellStyle name="40% - Accent5 3 3 3 2" xfId="10533" xr:uid="{00000000-0005-0000-0000-0000CC5D0000}"/>
    <cellStyle name="40% - Accent5 3 3 3 2 2" xfId="14835" xr:uid="{00000000-0005-0000-0000-0000CD5D0000}"/>
    <cellStyle name="40% - Accent5 3 3 3 2 2 2" xfId="24253" xr:uid="{00000000-0005-0000-0000-0000CE5D0000}"/>
    <cellStyle name="40% - Accent5 3 3 3 2 2 2 2" xfId="7681" xr:uid="{00000000-0005-0000-0000-0000CF5D0000}"/>
    <cellStyle name="40% - Accent5 3 3 3 2 2 2 2 2" xfId="7679" xr:uid="{00000000-0005-0000-0000-0000D05D0000}"/>
    <cellStyle name="40% - Accent5 3 3 3 2 2 2 3" xfId="32107" xr:uid="{00000000-0005-0000-0000-0000D15D0000}"/>
    <cellStyle name="40% - Accent5 3 3 3 2 2 3" xfId="17072" xr:uid="{00000000-0005-0000-0000-0000D25D0000}"/>
    <cellStyle name="40% - Accent5 3 3 3 2 2 3 2" xfId="7677" xr:uid="{00000000-0005-0000-0000-0000D35D0000}"/>
    <cellStyle name="40% - Accent5 3 3 3 2 2 4" xfId="23094" xr:uid="{00000000-0005-0000-0000-0000D45D0000}"/>
    <cellStyle name="40% - Accent5 3 3 3 2 3" xfId="25453" xr:uid="{00000000-0005-0000-0000-0000D55D0000}"/>
    <cellStyle name="40% - Accent5 3 3 3 2 3 2" xfId="24243" xr:uid="{00000000-0005-0000-0000-0000D65D0000}"/>
    <cellStyle name="40% - Accent5 3 3 3 2 3 2 2" xfId="30372" xr:uid="{00000000-0005-0000-0000-0000D75D0000}"/>
    <cellStyle name="40% - Accent5 3 3 3 2 3 3" xfId="21891" xr:uid="{00000000-0005-0000-0000-0000D85D0000}"/>
    <cellStyle name="40% - Accent5 3 3 3 2 4" xfId="23086" xr:uid="{00000000-0005-0000-0000-0000D95D0000}"/>
    <cellStyle name="40% - Accent5 3 3 3 2 4 2" xfId="23083" xr:uid="{00000000-0005-0000-0000-0000DA5D0000}"/>
    <cellStyle name="40% - Accent5 3 3 3 2 5" xfId="23280" xr:uid="{00000000-0005-0000-0000-0000DB5D0000}"/>
    <cellStyle name="40% - Accent5 3 3 3 3" xfId="7676" xr:uid="{00000000-0005-0000-0000-0000DC5D0000}"/>
    <cellStyle name="40% - Accent5 3 3 3 3 2" xfId="19889" xr:uid="{00000000-0005-0000-0000-0000DD5D0000}"/>
    <cellStyle name="40% - Accent5 3 3 3 3 2 2" xfId="28585" xr:uid="{00000000-0005-0000-0000-0000DE5D0000}"/>
    <cellStyle name="40% - Accent5 3 3 3 3 2 2 2" xfId="7673" xr:uid="{00000000-0005-0000-0000-0000DF5D0000}"/>
    <cellStyle name="40% - Accent5 3 3 3 3 2 3" xfId="21880" xr:uid="{00000000-0005-0000-0000-0000E05D0000}"/>
    <cellStyle name="40% - Accent5 3 3 3 3 3" xfId="19872" xr:uid="{00000000-0005-0000-0000-0000E15D0000}"/>
    <cellStyle name="40% - Accent5 3 3 3 3 3 2" xfId="22972" xr:uid="{00000000-0005-0000-0000-0000E25D0000}"/>
    <cellStyle name="40% - Accent5 3 3 3 3 4" xfId="22969" xr:uid="{00000000-0005-0000-0000-0000E35D0000}"/>
    <cellStyle name="40% - Accent5 3 3 3 4" xfId="7672" xr:uid="{00000000-0005-0000-0000-0000E45D0000}"/>
    <cellStyle name="40% - Accent5 3 3 3 4 2" xfId="19837" xr:uid="{00000000-0005-0000-0000-0000E55D0000}"/>
    <cellStyle name="40% - Accent5 3 3 3 4 2 2" xfId="18821" xr:uid="{00000000-0005-0000-0000-0000E65D0000}"/>
    <cellStyle name="40% - Accent5 3 3 3 4 3" xfId="22958" xr:uid="{00000000-0005-0000-0000-0000E75D0000}"/>
    <cellStyle name="40% - Accent5 3 3 3 5" xfId="7670" xr:uid="{00000000-0005-0000-0000-0000E85D0000}"/>
    <cellStyle name="40% - Accent5 3 3 3 5 2" xfId="29709" xr:uid="{00000000-0005-0000-0000-0000E95D0000}"/>
    <cellStyle name="40% - Accent5 3 3 3 6" xfId="7669" xr:uid="{00000000-0005-0000-0000-0000EA5D0000}"/>
    <cellStyle name="40% - Accent5 3 3 4" xfId="7667" xr:uid="{00000000-0005-0000-0000-0000EB5D0000}"/>
    <cellStyle name="40% - Accent5 3 3 4 2" xfId="7666" xr:uid="{00000000-0005-0000-0000-0000EC5D0000}"/>
    <cellStyle name="40% - Accent5 3 3 4 2 2" xfId="22711" xr:uid="{00000000-0005-0000-0000-0000ED5D0000}"/>
    <cellStyle name="40% - Accent5 3 3 4 2 2 2" xfId="32458" xr:uid="{00000000-0005-0000-0000-0000EE5D0000}"/>
    <cellStyle name="40% - Accent5 3 3 4 2 2 2 2" xfId="8160" xr:uid="{00000000-0005-0000-0000-0000EF5D0000}"/>
    <cellStyle name="40% - Accent5 3 3 4 2 2 3" xfId="21858" xr:uid="{00000000-0005-0000-0000-0000F05D0000}"/>
    <cellStyle name="40% - Accent5 3 3 4 2 3" xfId="22699" xr:uid="{00000000-0005-0000-0000-0000F15D0000}"/>
    <cellStyle name="40% - Accent5 3 3 4 2 3 2" xfId="33227" xr:uid="{00000000-0005-0000-0000-0000F25D0000}"/>
    <cellStyle name="40% - Accent5 3 3 4 2 4" xfId="11578" xr:uid="{00000000-0005-0000-0000-0000F35D0000}"/>
    <cellStyle name="40% - Accent5 3 3 4 3" xfId="7664" xr:uid="{00000000-0005-0000-0000-0000F45D0000}"/>
    <cellStyle name="40% - Accent5 3 3 4 3 2" xfId="21945" xr:uid="{00000000-0005-0000-0000-0000F55D0000}"/>
    <cellStyle name="40% - Accent5 3 3 4 3 2 2" xfId="33112" xr:uid="{00000000-0005-0000-0000-0000F65D0000}"/>
    <cellStyle name="40% - Accent5 3 3 4 3 3" xfId="22645" xr:uid="{00000000-0005-0000-0000-0000F75D0000}"/>
    <cellStyle name="40% - Accent5 3 3 4 4" xfId="7661" xr:uid="{00000000-0005-0000-0000-0000F85D0000}"/>
    <cellStyle name="40% - Accent5 3 3 4 4 2" xfId="22632" xr:uid="{00000000-0005-0000-0000-0000F95D0000}"/>
    <cellStyle name="40% - Accent5 3 3 4 5" xfId="13343" xr:uid="{00000000-0005-0000-0000-0000FA5D0000}"/>
    <cellStyle name="40% - Accent5 3 3 5" xfId="16993" xr:uid="{00000000-0005-0000-0000-0000FB5D0000}"/>
    <cellStyle name="40% - Accent5 3 3 5 2" xfId="7660" xr:uid="{00000000-0005-0000-0000-0000FC5D0000}"/>
    <cellStyle name="40% - Accent5 3 3 5 2 2" xfId="22561" xr:uid="{00000000-0005-0000-0000-0000FD5D0000}"/>
    <cellStyle name="40% - Accent5 3 3 5 2 2 2" xfId="16689" xr:uid="{00000000-0005-0000-0000-0000FE5D0000}"/>
    <cellStyle name="40% - Accent5 3 3 5 2 3" xfId="22555" xr:uid="{00000000-0005-0000-0000-0000FF5D0000}"/>
    <cellStyle name="40% - Accent5 3 3 5 3" xfId="7658" xr:uid="{00000000-0005-0000-0000-0000005E0000}"/>
    <cellStyle name="40% - Accent5 3 3 5 3 2" xfId="22478" xr:uid="{00000000-0005-0000-0000-0000015E0000}"/>
    <cellStyle name="40% - Accent5 3 3 5 4" xfId="7184" xr:uid="{00000000-0005-0000-0000-0000025E0000}"/>
    <cellStyle name="40% - Accent5 3 3 6" xfId="7655" xr:uid="{00000000-0005-0000-0000-0000035E0000}"/>
    <cellStyle name="40% - Accent5 3 3 6 2" xfId="7654" xr:uid="{00000000-0005-0000-0000-0000045E0000}"/>
    <cellStyle name="40% - Accent5 3 3 6 2 2" xfId="22364" xr:uid="{00000000-0005-0000-0000-0000055E0000}"/>
    <cellStyle name="40% - Accent5 3 3 6 3" xfId="7653" xr:uid="{00000000-0005-0000-0000-0000065E0000}"/>
    <cellStyle name="40% - Accent5 3 3 7" xfId="28755" xr:uid="{00000000-0005-0000-0000-0000075E0000}"/>
    <cellStyle name="40% - Accent5 3 3 7 2" xfId="5824" xr:uid="{00000000-0005-0000-0000-0000085E0000}"/>
    <cellStyle name="40% - Accent5 3 3 8" xfId="21226" xr:uid="{00000000-0005-0000-0000-0000095E0000}"/>
    <cellStyle name="40% - Accent5 3 3 9" xfId="34558" xr:uid="{00000000-0005-0000-0000-00000A5E0000}"/>
    <cellStyle name="40% - Accent5 3 4" xfId="10959" xr:uid="{00000000-0005-0000-0000-00000B5E0000}"/>
    <cellStyle name="40% - Accent5 3 4 2" xfId="26545" xr:uid="{00000000-0005-0000-0000-00000C5E0000}"/>
    <cellStyle name="40% - Accent5 3 4 2 2" xfId="7651" xr:uid="{00000000-0005-0000-0000-00000D5E0000}"/>
    <cellStyle name="40% - Accent5 3 4 2 2 2" xfId="14413" xr:uid="{00000000-0005-0000-0000-00000E5E0000}"/>
    <cellStyle name="40% - Accent5 3 4 2 2 2 2" xfId="22525" xr:uid="{00000000-0005-0000-0000-00000F5E0000}"/>
    <cellStyle name="40% - Accent5 3 4 2 2 2 2 2" xfId="9505" xr:uid="{00000000-0005-0000-0000-0000105E0000}"/>
    <cellStyle name="40% - Accent5 3 4 2 2 2 2 2 2" xfId="7650" xr:uid="{00000000-0005-0000-0000-0000115E0000}"/>
    <cellStyle name="40% - Accent5 3 4 2 2 2 2 3" xfId="26111" xr:uid="{00000000-0005-0000-0000-0000125E0000}"/>
    <cellStyle name="40% - Accent5 3 4 2 2 2 3" xfId="27347" xr:uid="{00000000-0005-0000-0000-0000135E0000}"/>
    <cellStyle name="40% - Accent5 3 4 2 2 2 3 2" xfId="7878" xr:uid="{00000000-0005-0000-0000-0000145E0000}"/>
    <cellStyle name="40% - Accent5 3 4 2 2 2 4" xfId="21331" xr:uid="{00000000-0005-0000-0000-0000155E0000}"/>
    <cellStyle name="40% - Accent5 3 4 2 2 3" xfId="22519" xr:uid="{00000000-0005-0000-0000-0000165E0000}"/>
    <cellStyle name="40% - Accent5 3 4 2 2 3 2" xfId="21320" xr:uid="{00000000-0005-0000-0000-0000175E0000}"/>
    <cellStyle name="40% - Accent5 3 4 2 2 3 2 2" xfId="25947" xr:uid="{00000000-0005-0000-0000-0000185E0000}"/>
    <cellStyle name="40% - Accent5 3 4 2 2 3 3" xfId="21314" xr:uid="{00000000-0005-0000-0000-0000195E0000}"/>
    <cellStyle name="40% - Accent5 3 4 2 2 4" xfId="24217" xr:uid="{00000000-0005-0000-0000-00001A5E0000}"/>
    <cellStyle name="40% - Accent5 3 4 2 2 4 2" xfId="21310" xr:uid="{00000000-0005-0000-0000-00001B5E0000}"/>
    <cellStyle name="40% - Accent5 3 4 2 2 5" xfId="24205" xr:uid="{00000000-0005-0000-0000-00001C5E0000}"/>
    <cellStyle name="40% - Accent5 3 4 2 3" xfId="7649" xr:uid="{00000000-0005-0000-0000-00001D5E0000}"/>
    <cellStyle name="40% - Accent5 3 4 2 3 2" xfId="22512" xr:uid="{00000000-0005-0000-0000-00001E5E0000}"/>
    <cellStyle name="40% - Accent5 3 4 2 3 2 2" xfId="21184" xr:uid="{00000000-0005-0000-0000-00001F5E0000}"/>
    <cellStyle name="40% - Accent5 3 4 2 3 2 2 2" xfId="7648" xr:uid="{00000000-0005-0000-0000-0000205E0000}"/>
    <cellStyle name="40% - Accent5 3 4 2 3 2 3" xfId="21176" xr:uid="{00000000-0005-0000-0000-0000215E0000}"/>
    <cellStyle name="40% - Accent5 3 4 2 3 3" xfId="21166" xr:uid="{00000000-0005-0000-0000-0000225E0000}"/>
    <cellStyle name="40% - Accent5 3 4 2 3 3 2" xfId="21164" xr:uid="{00000000-0005-0000-0000-0000235E0000}"/>
    <cellStyle name="40% - Accent5 3 4 2 3 4" xfId="24190" xr:uid="{00000000-0005-0000-0000-0000245E0000}"/>
    <cellStyle name="40% - Accent5 3 4 2 4" xfId="7645" xr:uid="{00000000-0005-0000-0000-0000255E0000}"/>
    <cellStyle name="40% - Accent5 3 4 2 4 2" xfId="34249" xr:uid="{00000000-0005-0000-0000-0000265E0000}"/>
    <cellStyle name="40% - Accent5 3 4 2 4 2 2" xfId="21148" xr:uid="{00000000-0005-0000-0000-0000275E0000}"/>
    <cellStyle name="40% - Accent5 3 4 2 4 3" xfId="34156" xr:uid="{00000000-0005-0000-0000-0000285E0000}"/>
    <cellStyle name="40% - Accent5 3 4 2 5" xfId="7644" xr:uid="{00000000-0005-0000-0000-0000295E0000}"/>
    <cellStyle name="40% - Accent5 3 4 2 5 2" xfId="34152" xr:uid="{00000000-0005-0000-0000-00002A5E0000}"/>
    <cellStyle name="40% - Accent5 3 4 2 6" xfId="16659" xr:uid="{00000000-0005-0000-0000-00002B5E0000}"/>
    <cellStyle name="40% - Accent5 3 4 3" xfId="7643" xr:uid="{00000000-0005-0000-0000-00002C5E0000}"/>
    <cellStyle name="40% - Accent5 3 4 3 2" xfId="7642" xr:uid="{00000000-0005-0000-0000-00002D5E0000}"/>
    <cellStyle name="40% - Accent5 3 4 3 2 2" xfId="22494" xr:uid="{00000000-0005-0000-0000-00002E5E0000}"/>
    <cellStyle name="40% - Accent5 3 4 3 2 2 2" xfId="20679" xr:uid="{00000000-0005-0000-0000-00002F5E0000}"/>
    <cellStyle name="40% - Accent5 3 4 3 2 2 2 2" xfId="33033" xr:uid="{00000000-0005-0000-0000-0000305E0000}"/>
    <cellStyle name="40% - Accent5 3 4 3 2 2 3" xfId="20673" xr:uid="{00000000-0005-0000-0000-0000315E0000}"/>
    <cellStyle name="40% - Accent5 3 4 3 2 3" xfId="20665" xr:uid="{00000000-0005-0000-0000-0000325E0000}"/>
    <cellStyle name="40% - Accent5 3 4 3 2 3 2" xfId="20662" xr:uid="{00000000-0005-0000-0000-0000335E0000}"/>
    <cellStyle name="40% - Accent5 3 4 3 2 4" xfId="32572" xr:uid="{00000000-0005-0000-0000-0000345E0000}"/>
    <cellStyle name="40% - Accent5 3 4 3 3" xfId="21908" xr:uid="{00000000-0005-0000-0000-0000355E0000}"/>
    <cellStyle name="40% - Accent5 3 4 3 3 2" xfId="20615" xr:uid="{00000000-0005-0000-0000-0000365E0000}"/>
    <cellStyle name="40% - Accent5 3 4 3 3 2 2" xfId="20611" xr:uid="{00000000-0005-0000-0000-0000375E0000}"/>
    <cellStyle name="40% - Accent5 3 4 3 3 3" xfId="20603" xr:uid="{00000000-0005-0000-0000-0000385E0000}"/>
    <cellStyle name="40% - Accent5 3 4 3 4" xfId="21900" xr:uid="{00000000-0005-0000-0000-0000395E0000}"/>
    <cellStyle name="40% - Accent5 3 4 3 4 2" xfId="33957" xr:uid="{00000000-0005-0000-0000-00003A5E0000}"/>
    <cellStyle name="40% - Accent5 3 4 3 5" xfId="7641" xr:uid="{00000000-0005-0000-0000-00003B5E0000}"/>
    <cellStyle name="40% - Accent5 3 4 4" xfId="7640" xr:uid="{00000000-0005-0000-0000-00003C5E0000}"/>
    <cellStyle name="40% - Accent5 3 4 4 2" xfId="33792" xr:uid="{00000000-0005-0000-0000-00003D5E0000}"/>
    <cellStyle name="40% - Accent5 3 4 4 2 2" xfId="22422" xr:uid="{00000000-0005-0000-0000-00003E5E0000}"/>
    <cellStyle name="40% - Accent5 3 4 4 2 2 2" xfId="32977" xr:uid="{00000000-0005-0000-0000-00003F5E0000}"/>
    <cellStyle name="40% - Accent5 3 4 4 2 3" xfId="20416" xr:uid="{00000000-0005-0000-0000-0000405E0000}"/>
    <cellStyle name="40% - Accent5 3 4 4 3" xfId="21895" xr:uid="{00000000-0005-0000-0000-0000415E0000}"/>
    <cellStyle name="40% - Accent5 3 4 4 3 2" xfId="20400" xr:uid="{00000000-0005-0000-0000-0000425E0000}"/>
    <cellStyle name="40% - Accent5 3 4 4 4" xfId="7639" xr:uid="{00000000-0005-0000-0000-0000435E0000}"/>
    <cellStyle name="40% - Accent5 3 4 5" xfId="7638" xr:uid="{00000000-0005-0000-0000-0000445E0000}"/>
    <cellStyle name="40% - Accent5 3 4 5 2" xfId="33780" xr:uid="{00000000-0005-0000-0000-0000455E0000}"/>
    <cellStyle name="40% - Accent5 3 4 5 2 2" xfId="20277" xr:uid="{00000000-0005-0000-0000-0000465E0000}"/>
    <cellStyle name="40% - Accent5 3 4 5 3" xfId="11697" xr:uid="{00000000-0005-0000-0000-0000475E0000}"/>
    <cellStyle name="40% - Accent5 3 4 6" xfId="7636" xr:uid="{00000000-0005-0000-0000-0000485E0000}"/>
    <cellStyle name="40% - Accent5 3 4 6 2" xfId="7634" xr:uid="{00000000-0005-0000-0000-0000495E0000}"/>
    <cellStyle name="40% - Accent5 3 4 7" xfId="21219" xr:uid="{00000000-0005-0000-0000-00004A5E0000}"/>
    <cellStyle name="40% - Accent5 3 4 8" xfId="34780" xr:uid="{00000000-0005-0000-0000-00004B5E0000}"/>
    <cellStyle name="40% - Accent5 3 5" xfId="7633" xr:uid="{00000000-0005-0000-0000-00004C5E0000}"/>
    <cellStyle name="40% - Accent5 3 5 2" xfId="7631" xr:uid="{00000000-0005-0000-0000-00004D5E0000}"/>
    <cellStyle name="40% - Accent5 3 5 2 2" xfId="29179" xr:uid="{00000000-0005-0000-0000-00004E5E0000}"/>
    <cellStyle name="40% - Accent5 3 5 2 2 2" xfId="25155" xr:uid="{00000000-0005-0000-0000-00004F5E0000}"/>
    <cellStyle name="40% - Accent5 3 5 2 2 2 2" xfId="19196" xr:uid="{00000000-0005-0000-0000-0000505E0000}"/>
    <cellStyle name="40% - Accent5 3 5 2 2 2 2 2" xfId="7630" xr:uid="{00000000-0005-0000-0000-0000515E0000}"/>
    <cellStyle name="40% - Accent5 3 5 2 2 2 3" xfId="19187" xr:uid="{00000000-0005-0000-0000-0000525E0000}"/>
    <cellStyle name="40% - Accent5 3 5 2 2 3" xfId="19181" xr:uid="{00000000-0005-0000-0000-0000535E0000}"/>
    <cellStyle name="40% - Accent5 3 5 2 2 3 2" xfId="19179" xr:uid="{00000000-0005-0000-0000-0000545E0000}"/>
    <cellStyle name="40% - Accent5 3 5 2 2 4" xfId="24110" xr:uid="{00000000-0005-0000-0000-0000555E0000}"/>
    <cellStyle name="40% - Accent5 3 5 2 3" xfId="29168" xr:uid="{00000000-0005-0000-0000-0000565E0000}"/>
    <cellStyle name="40% - Accent5 3 5 2 3 2" xfId="19086" xr:uid="{00000000-0005-0000-0000-0000575E0000}"/>
    <cellStyle name="40% - Accent5 3 5 2 3 2 2" xfId="19084" xr:uid="{00000000-0005-0000-0000-0000585E0000}"/>
    <cellStyle name="40% - Accent5 3 5 2 3 3" xfId="19072" xr:uid="{00000000-0005-0000-0000-0000595E0000}"/>
    <cellStyle name="40% - Accent5 3 5 2 4" xfId="7627" xr:uid="{00000000-0005-0000-0000-00005A5E0000}"/>
    <cellStyle name="40% - Accent5 3 5 2 4 2" xfId="34017" xr:uid="{00000000-0005-0000-0000-00005B5E0000}"/>
    <cellStyle name="40% - Accent5 3 5 2 5" xfId="7626" xr:uid="{00000000-0005-0000-0000-00005C5E0000}"/>
    <cellStyle name="40% - Accent5 3 5 3" xfId="11785" xr:uid="{00000000-0005-0000-0000-00005D5E0000}"/>
    <cellStyle name="40% - Accent5 3 5 3 2" xfId="29137" xr:uid="{00000000-0005-0000-0000-00005E5E0000}"/>
    <cellStyle name="40% - Accent5 3 5 3 2 2" xfId="33238" xr:uid="{00000000-0005-0000-0000-00005F5E0000}"/>
    <cellStyle name="40% - Accent5 3 5 3 2 2 2" xfId="18608" xr:uid="{00000000-0005-0000-0000-0000605E0000}"/>
    <cellStyle name="40% - Accent5 3 5 3 2 3" xfId="18243" xr:uid="{00000000-0005-0000-0000-0000615E0000}"/>
    <cellStyle name="40% - Accent5 3 5 3 3" xfId="21893" xr:uid="{00000000-0005-0000-0000-0000625E0000}"/>
    <cellStyle name="40% - Accent5 3 5 3 3 2" xfId="18525" xr:uid="{00000000-0005-0000-0000-0000635E0000}"/>
    <cellStyle name="40% - Accent5 3 5 3 4" xfId="7624" xr:uid="{00000000-0005-0000-0000-0000645E0000}"/>
    <cellStyle name="40% - Accent5 3 5 4" xfId="11783" xr:uid="{00000000-0005-0000-0000-0000655E0000}"/>
    <cellStyle name="40% - Accent5 3 5 4 2" xfId="34108" xr:uid="{00000000-0005-0000-0000-0000665E0000}"/>
    <cellStyle name="40% - Accent5 3 5 4 2 2" xfId="18349" xr:uid="{00000000-0005-0000-0000-0000675E0000}"/>
    <cellStyle name="40% - Accent5 3 5 4 3" xfId="7623" xr:uid="{00000000-0005-0000-0000-0000685E0000}"/>
    <cellStyle name="40% - Accent5 3 5 5" xfId="7622" xr:uid="{00000000-0005-0000-0000-0000695E0000}"/>
    <cellStyle name="40% - Accent5 3 5 5 2" xfId="7620" xr:uid="{00000000-0005-0000-0000-00006A5E0000}"/>
    <cellStyle name="40% - Accent5 3 5 6" xfId="7619" xr:uid="{00000000-0005-0000-0000-00006B5E0000}"/>
    <cellStyle name="40% - Accent5 3 5 7" xfId="34974" xr:uid="{00000000-0005-0000-0000-00006C5E0000}"/>
    <cellStyle name="40% - Accent5 3 6" xfId="7618" xr:uid="{00000000-0005-0000-0000-00006D5E0000}"/>
    <cellStyle name="40% - Accent5 3 6 2" xfId="7616" xr:uid="{00000000-0005-0000-0000-00006E5E0000}"/>
    <cellStyle name="40% - Accent5 3 6 2 2" xfId="24428" xr:uid="{00000000-0005-0000-0000-00006F5E0000}"/>
    <cellStyle name="40% - Accent5 3 6 2 2 2" xfId="7614" xr:uid="{00000000-0005-0000-0000-0000705E0000}"/>
    <cellStyle name="40% - Accent5 3 6 2 2 2 2" xfId="7613" xr:uid="{00000000-0005-0000-0000-0000715E0000}"/>
    <cellStyle name="40% - Accent5 3 6 2 2 3" xfId="13792" xr:uid="{00000000-0005-0000-0000-0000725E0000}"/>
    <cellStyle name="40% - Accent5 3 6 2 3" xfId="7612" xr:uid="{00000000-0005-0000-0000-0000735E0000}"/>
    <cellStyle name="40% - Accent5 3 6 2 3 2" xfId="7611" xr:uid="{00000000-0005-0000-0000-0000745E0000}"/>
    <cellStyle name="40% - Accent5 3 6 2 4" xfId="30290" xr:uid="{00000000-0005-0000-0000-0000755E0000}"/>
    <cellStyle name="40% - Accent5 3 6 3" xfId="12229" xr:uid="{00000000-0005-0000-0000-0000765E0000}"/>
    <cellStyle name="40% - Accent5 3 6 3 2" xfId="7610" xr:uid="{00000000-0005-0000-0000-0000775E0000}"/>
    <cellStyle name="40% - Accent5 3 6 3 2 2" xfId="7609" xr:uid="{00000000-0005-0000-0000-0000785E0000}"/>
    <cellStyle name="40% - Accent5 3 6 3 3" xfId="7608" xr:uid="{00000000-0005-0000-0000-0000795E0000}"/>
    <cellStyle name="40% - Accent5 3 6 4" xfId="7607" xr:uid="{00000000-0005-0000-0000-00007A5E0000}"/>
    <cellStyle name="40% - Accent5 3 6 4 2" xfId="7606" xr:uid="{00000000-0005-0000-0000-00007B5E0000}"/>
    <cellStyle name="40% - Accent5 3 6 5" xfId="7605" xr:uid="{00000000-0005-0000-0000-00007C5E0000}"/>
    <cellStyle name="40% - Accent5 3 6 6" xfId="35179" xr:uid="{00000000-0005-0000-0000-00007D5E0000}"/>
    <cellStyle name="40% - Accent5 3 7" xfId="7604" xr:uid="{00000000-0005-0000-0000-00007E5E0000}"/>
    <cellStyle name="40% - Accent5 3 7 2" xfId="7602" xr:uid="{00000000-0005-0000-0000-00007F5E0000}"/>
    <cellStyle name="40% - Accent5 3 7 2 2" xfId="21213" xr:uid="{00000000-0005-0000-0000-0000805E0000}"/>
    <cellStyle name="40% - Accent5 3 7 2 2 2" xfId="7600" xr:uid="{00000000-0005-0000-0000-0000815E0000}"/>
    <cellStyle name="40% - Accent5 3 7 2 3" xfId="7598" xr:uid="{00000000-0005-0000-0000-0000825E0000}"/>
    <cellStyle name="40% - Accent5 3 7 3" xfId="7597" xr:uid="{00000000-0005-0000-0000-0000835E0000}"/>
    <cellStyle name="40% - Accent5 3 7 3 2" xfId="7596" xr:uid="{00000000-0005-0000-0000-0000845E0000}"/>
    <cellStyle name="40% - Accent5 3 7 4" xfId="7594" xr:uid="{00000000-0005-0000-0000-0000855E0000}"/>
    <cellStyle name="40% - Accent5 3 7 5" xfId="35408" xr:uid="{00000000-0005-0000-0000-0000865E0000}"/>
    <cellStyle name="40% - Accent5 3 8" xfId="24034" xr:uid="{00000000-0005-0000-0000-0000875E0000}"/>
    <cellStyle name="40% - Accent5 3 8 2" xfId="7592" xr:uid="{00000000-0005-0000-0000-0000885E0000}"/>
    <cellStyle name="40% - Accent5 3 8 2 2" xfId="7591" xr:uid="{00000000-0005-0000-0000-0000895E0000}"/>
    <cellStyle name="40% - Accent5 3 8 3" xfId="25195" xr:uid="{00000000-0005-0000-0000-00008A5E0000}"/>
    <cellStyle name="40% - Accent5 3 8 4" xfId="36280" xr:uid="{00000000-0005-0000-0000-00008B5E0000}"/>
    <cellStyle name="40% - Accent5 3 9" xfId="33068" xr:uid="{00000000-0005-0000-0000-00008C5E0000}"/>
    <cellStyle name="40% - Accent5 3 9 2" xfId="7590" xr:uid="{00000000-0005-0000-0000-00008D5E0000}"/>
    <cellStyle name="40% - Accent5 3 9 3" xfId="36566" xr:uid="{00000000-0005-0000-0000-00008E5E0000}"/>
    <cellStyle name="40% - Accent5 30" xfId="35905" xr:uid="{00000000-0005-0000-0000-00008F5E0000}"/>
    <cellStyle name="40% - Accent5 30 2" xfId="37077" xr:uid="{00000000-0005-0000-0000-0000905E0000}"/>
    <cellStyle name="40% - Accent5 30 3" xfId="37972" xr:uid="{00000000-0005-0000-0000-0000915E0000}"/>
    <cellStyle name="40% - Accent5 31" xfId="35925" xr:uid="{00000000-0005-0000-0000-0000925E0000}"/>
    <cellStyle name="40% - Accent5 31 2" xfId="37096" xr:uid="{00000000-0005-0000-0000-0000935E0000}"/>
    <cellStyle name="40% - Accent5 31 3" xfId="37992" xr:uid="{00000000-0005-0000-0000-0000945E0000}"/>
    <cellStyle name="40% - Accent5 32" xfId="35945" xr:uid="{00000000-0005-0000-0000-0000955E0000}"/>
    <cellStyle name="40% - Accent5 32 2" xfId="37115" xr:uid="{00000000-0005-0000-0000-0000965E0000}"/>
    <cellStyle name="40% - Accent5 32 3" xfId="38012" xr:uid="{00000000-0005-0000-0000-0000975E0000}"/>
    <cellStyle name="40% - Accent5 33" xfId="35965" xr:uid="{00000000-0005-0000-0000-0000985E0000}"/>
    <cellStyle name="40% - Accent5 33 2" xfId="37134" xr:uid="{00000000-0005-0000-0000-0000995E0000}"/>
    <cellStyle name="40% - Accent5 33 3" xfId="38032" xr:uid="{00000000-0005-0000-0000-00009A5E0000}"/>
    <cellStyle name="40% - Accent5 34" xfId="35985" xr:uid="{00000000-0005-0000-0000-00009B5E0000}"/>
    <cellStyle name="40% - Accent5 34 2" xfId="37154" xr:uid="{00000000-0005-0000-0000-00009C5E0000}"/>
    <cellStyle name="40% - Accent5 34 3" xfId="38052" xr:uid="{00000000-0005-0000-0000-00009D5E0000}"/>
    <cellStyle name="40% - Accent5 35" xfId="36005" xr:uid="{00000000-0005-0000-0000-00009E5E0000}"/>
    <cellStyle name="40% - Accent5 35 2" xfId="37174" xr:uid="{00000000-0005-0000-0000-00009F5E0000}"/>
    <cellStyle name="40% - Accent5 35 3" xfId="38072" xr:uid="{00000000-0005-0000-0000-0000A05E0000}"/>
    <cellStyle name="40% - Accent5 36" xfId="36025" xr:uid="{00000000-0005-0000-0000-0000A15E0000}"/>
    <cellStyle name="40% - Accent5 36 2" xfId="37194" xr:uid="{00000000-0005-0000-0000-0000A25E0000}"/>
    <cellStyle name="40% - Accent5 36 3" xfId="38092" xr:uid="{00000000-0005-0000-0000-0000A35E0000}"/>
    <cellStyle name="40% - Accent5 37" xfId="36045" xr:uid="{00000000-0005-0000-0000-0000A45E0000}"/>
    <cellStyle name="40% - Accent5 37 2" xfId="37214" xr:uid="{00000000-0005-0000-0000-0000A55E0000}"/>
    <cellStyle name="40% - Accent5 37 3" xfId="38112" xr:uid="{00000000-0005-0000-0000-0000A65E0000}"/>
    <cellStyle name="40% - Accent5 38" xfId="36065" xr:uid="{00000000-0005-0000-0000-0000A75E0000}"/>
    <cellStyle name="40% - Accent5 38 2" xfId="37234" xr:uid="{00000000-0005-0000-0000-0000A85E0000}"/>
    <cellStyle name="40% - Accent5 38 3" xfId="38132" xr:uid="{00000000-0005-0000-0000-0000A95E0000}"/>
    <cellStyle name="40% - Accent5 39" xfId="36085" xr:uid="{00000000-0005-0000-0000-0000AA5E0000}"/>
    <cellStyle name="40% - Accent5 39 2" xfId="37254" xr:uid="{00000000-0005-0000-0000-0000AB5E0000}"/>
    <cellStyle name="40% - Accent5 39 3" xfId="38152" xr:uid="{00000000-0005-0000-0000-0000AC5E0000}"/>
    <cellStyle name="40% - Accent5 4" xfId="130" xr:uid="{00000000-0005-0000-0000-0000AD5E0000}"/>
    <cellStyle name="40% - Accent5 4 10" xfId="34484" xr:uid="{00000000-0005-0000-0000-0000AE5E0000}"/>
    <cellStyle name="40% - Accent5 4 11" xfId="15180" xr:uid="{00000000-0005-0000-0000-0000AF5E0000}"/>
    <cellStyle name="40% - Accent5 4 2" xfId="253" xr:uid="{00000000-0005-0000-0000-0000B05E0000}"/>
    <cellStyle name="40% - Accent5 4 2 10" xfId="7589" xr:uid="{00000000-0005-0000-0000-0000B15E0000}"/>
    <cellStyle name="40% - Accent5 4 2 2" xfId="8257" xr:uid="{00000000-0005-0000-0000-0000B25E0000}"/>
    <cellStyle name="40% - Accent5 4 2 2 2" xfId="13068" xr:uid="{00000000-0005-0000-0000-0000B35E0000}"/>
    <cellStyle name="40% - Accent5 4 2 2 2 2" xfId="15340" xr:uid="{00000000-0005-0000-0000-0000B45E0000}"/>
    <cellStyle name="40% - Accent5 4 2 2 2 2 2" xfId="7586" xr:uid="{00000000-0005-0000-0000-0000B55E0000}"/>
    <cellStyle name="40% - Accent5 4 2 2 2 2 2 2" xfId="33998" xr:uid="{00000000-0005-0000-0000-0000B65E0000}"/>
    <cellStyle name="40% - Accent5 4 2 2 2 2 2 2 2" xfId="16595" xr:uid="{00000000-0005-0000-0000-0000B75E0000}"/>
    <cellStyle name="40% - Accent5 4 2 2 2 2 2 2 2 2" xfId="7585" xr:uid="{00000000-0005-0000-0000-0000B85E0000}"/>
    <cellStyle name="40% - Accent5 4 2 2 2 2 2 2 3" xfId="16585" xr:uid="{00000000-0005-0000-0000-0000B95E0000}"/>
    <cellStyle name="40% - Accent5 4 2 2 2 2 2 3" xfId="7583" xr:uid="{00000000-0005-0000-0000-0000BA5E0000}"/>
    <cellStyle name="40% - Accent5 4 2 2 2 2 2 3 2" xfId="16577" xr:uid="{00000000-0005-0000-0000-0000BB5E0000}"/>
    <cellStyle name="40% - Accent5 4 2 2 2 2 2 4" xfId="7581" xr:uid="{00000000-0005-0000-0000-0000BC5E0000}"/>
    <cellStyle name="40% - Accent5 4 2 2 2 2 3" xfId="34341" xr:uid="{00000000-0005-0000-0000-0000BD5E0000}"/>
    <cellStyle name="40% - Accent5 4 2 2 2 2 3 2" xfId="7580" xr:uid="{00000000-0005-0000-0000-0000BE5E0000}"/>
    <cellStyle name="40% - Accent5 4 2 2 2 2 3 2 2" xfId="16556" xr:uid="{00000000-0005-0000-0000-0000BF5E0000}"/>
    <cellStyle name="40% - Accent5 4 2 2 2 2 3 3" xfId="7579" xr:uid="{00000000-0005-0000-0000-0000C05E0000}"/>
    <cellStyle name="40% - Accent5 4 2 2 2 2 4" xfId="23139" xr:uid="{00000000-0005-0000-0000-0000C15E0000}"/>
    <cellStyle name="40% - Accent5 4 2 2 2 2 4 2" xfId="21794" xr:uid="{00000000-0005-0000-0000-0000C25E0000}"/>
    <cellStyle name="40% - Accent5 4 2 2 2 2 5" xfId="7577" xr:uid="{00000000-0005-0000-0000-0000C35E0000}"/>
    <cellStyle name="40% - Accent5 4 2 2 2 3" xfId="7573" xr:uid="{00000000-0005-0000-0000-0000C45E0000}"/>
    <cellStyle name="40% - Accent5 4 2 2 2 3 2" xfId="15618" xr:uid="{00000000-0005-0000-0000-0000C55E0000}"/>
    <cellStyle name="40% - Accent5 4 2 2 2 3 2 2" xfId="20724" xr:uid="{00000000-0005-0000-0000-0000C65E0000}"/>
    <cellStyle name="40% - Accent5 4 2 2 2 3 2 2 2" xfId="16398" xr:uid="{00000000-0005-0000-0000-0000C75E0000}"/>
    <cellStyle name="40% - Accent5 4 2 2 2 3 2 3" xfId="20720" xr:uid="{00000000-0005-0000-0000-0000C85E0000}"/>
    <cellStyle name="40% - Accent5 4 2 2 2 3 3" xfId="7572" xr:uid="{00000000-0005-0000-0000-0000C95E0000}"/>
    <cellStyle name="40% - Accent5 4 2 2 2 3 3 2" xfId="27171" xr:uid="{00000000-0005-0000-0000-0000CA5E0000}"/>
    <cellStyle name="40% - Accent5 4 2 2 2 3 4" xfId="7571" xr:uid="{00000000-0005-0000-0000-0000CB5E0000}"/>
    <cellStyle name="40% - Accent5 4 2 2 2 4" xfId="7566" xr:uid="{00000000-0005-0000-0000-0000CC5E0000}"/>
    <cellStyle name="40% - Accent5 4 2 2 2 4 2" xfId="7565" xr:uid="{00000000-0005-0000-0000-0000CD5E0000}"/>
    <cellStyle name="40% - Accent5 4 2 2 2 4 2 2" xfId="20709" xr:uid="{00000000-0005-0000-0000-0000CE5E0000}"/>
    <cellStyle name="40% - Accent5 4 2 2 2 4 3" xfId="7564" xr:uid="{00000000-0005-0000-0000-0000CF5E0000}"/>
    <cellStyle name="40% - Accent5 4 2 2 2 5" xfId="7563" xr:uid="{00000000-0005-0000-0000-0000D05E0000}"/>
    <cellStyle name="40% - Accent5 4 2 2 2 5 2" xfId="7562" xr:uid="{00000000-0005-0000-0000-0000D15E0000}"/>
    <cellStyle name="40% - Accent5 4 2 2 2 6" xfId="32711" xr:uid="{00000000-0005-0000-0000-0000D25E0000}"/>
    <cellStyle name="40% - Accent5 4 2 2 3" xfId="10180" xr:uid="{00000000-0005-0000-0000-0000D35E0000}"/>
    <cellStyle name="40% - Accent5 4 2 2 3 2" xfId="10177" xr:uid="{00000000-0005-0000-0000-0000D45E0000}"/>
    <cellStyle name="40% - Accent5 4 2 2 3 2 2" xfId="7561" xr:uid="{00000000-0005-0000-0000-0000D55E0000}"/>
    <cellStyle name="40% - Accent5 4 2 2 3 2 2 2" xfId="21851" xr:uid="{00000000-0005-0000-0000-0000D65E0000}"/>
    <cellStyle name="40% - Accent5 4 2 2 3 2 2 2 2" xfId="16068" xr:uid="{00000000-0005-0000-0000-0000D75E0000}"/>
    <cellStyle name="40% - Accent5 4 2 2 3 2 2 3" xfId="7559" xr:uid="{00000000-0005-0000-0000-0000D85E0000}"/>
    <cellStyle name="40% - Accent5 4 2 2 3 2 3" xfId="7557" xr:uid="{00000000-0005-0000-0000-0000D95E0000}"/>
    <cellStyle name="40% - Accent5 4 2 2 3 2 3 2" xfId="7554" xr:uid="{00000000-0005-0000-0000-0000DA5E0000}"/>
    <cellStyle name="40% - Accent5 4 2 2 3 2 4" xfId="16341" xr:uid="{00000000-0005-0000-0000-0000DB5E0000}"/>
    <cellStyle name="40% - Accent5 4 2 2 3 3" xfId="10169" xr:uid="{00000000-0005-0000-0000-0000DC5E0000}"/>
    <cellStyle name="40% - Accent5 4 2 2 3 3 2" xfId="7552" xr:uid="{00000000-0005-0000-0000-0000DD5E0000}"/>
    <cellStyle name="40% - Accent5 4 2 2 3 3 2 2" xfId="27179" xr:uid="{00000000-0005-0000-0000-0000DE5E0000}"/>
    <cellStyle name="40% - Accent5 4 2 2 3 3 3" xfId="7550" xr:uid="{00000000-0005-0000-0000-0000DF5E0000}"/>
    <cellStyle name="40% - Accent5 4 2 2 3 4" xfId="17836" xr:uid="{00000000-0005-0000-0000-0000E05E0000}"/>
    <cellStyle name="40% - Accent5 4 2 2 3 4 2" xfId="7549" xr:uid="{00000000-0005-0000-0000-0000E15E0000}"/>
    <cellStyle name="40% - Accent5 4 2 2 3 5" xfId="17833" xr:uid="{00000000-0005-0000-0000-0000E25E0000}"/>
    <cellStyle name="40% - Accent5 4 2 2 4" xfId="10160" xr:uid="{00000000-0005-0000-0000-0000E35E0000}"/>
    <cellStyle name="40% - Accent5 4 2 2 4 2" xfId="10156" xr:uid="{00000000-0005-0000-0000-0000E45E0000}"/>
    <cellStyle name="40% - Accent5 4 2 2 4 2 2" xfId="30387" xr:uid="{00000000-0005-0000-0000-0000E55E0000}"/>
    <cellStyle name="40% - Accent5 4 2 2 4 2 2 2" xfId="7548" xr:uid="{00000000-0005-0000-0000-0000E65E0000}"/>
    <cellStyle name="40% - Accent5 4 2 2 4 2 3" xfId="31038" xr:uid="{00000000-0005-0000-0000-0000E75E0000}"/>
    <cellStyle name="40% - Accent5 4 2 2 4 3" xfId="10150" xr:uid="{00000000-0005-0000-0000-0000E85E0000}"/>
    <cellStyle name="40% - Accent5 4 2 2 4 3 2" xfId="31881" xr:uid="{00000000-0005-0000-0000-0000E95E0000}"/>
    <cellStyle name="40% - Accent5 4 2 2 4 4" xfId="31170" xr:uid="{00000000-0005-0000-0000-0000EA5E0000}"/>
    <cellStyle name="40% - Accent5 4 2 2 5" xfId="13162" xr:uid="{00000000-0005-0000-0000-0000EB5E0000}"/>
    <cellStyle name="40% - Accent5 4 2 2 5 2" xfId="10145" xr:uid="{00000000-0005-0000-0000-0000EC5E0000}"/>
    <cellStyle name="40% - Accent5 4 2 2 5 2 2" xfId="31720" xr:uid="{00000000-0005-0000-0000-0000ED5E0000}"/>
    <cellStyle name="40% - Accent5 4 2 2 5 3" xfId="10140" xr:uid="{00000000-0005-0000-0000-0000EE5E0000}"/>
    <cellStyle name="40% - Accent5 4 2 2 6" xfId="10135" xr:uid="{00000000-0005-0000-0000-0000EF5E0000}"/>
    <cellStyle name="40% - Accent5 4 2 2 6 2" xfId="10132" xr:uid="{00000000-0005-0000-0000-0000F05E0000}"/>
    <cellStyle name="40% - Accent5 4 2 2 7" xfId="10130" xr:uid="{00000000-0005-0000-0000-0000F15E0000}"/>
    <cellStyle name="40% - Accent5 4 2 3" xfId="7547" xr:uid="{00000000-0005-0000-0000-0000F25E0000}"/>
    <cellStyle name="40% - Accent5 4 2 3 2" xfId="7545" xr:uid="{00000000-0005-0000-0000-0000F35E0000}"/>
    <cellStyle name="40% - Accent5 4 2 3 2 2" xfId="7542" xr:uid="{00000000-0005-0000-0000-0000F45E0000}"/>
    <cellStyle name="40% - Accent5 4 2 3 2 2 2" xfId="11137" xr:uid="{00000000-0005-0000-0000-0000F55E0000}"/>
    <cellStyle name="40% - Accent5 4 2 3 2 2 2 2" xfId="29467" xr:uid="{00000000-0005-0000-0000-0000F65E0000}"/>
    <cellStyle name="40% - Accent5 4 2 3 2 2 2 2 2" xfId="15295" xr:uid="{00000000-0005-0000-0000-0000F75E0000}"/>
    <cellStyle name="40% - Accent5 4 2 3 2 2 2 3" xfId="33040" xr:uid="{00000000-0005-0000-0000-0000F85E0000}"/>
    <cellStyle name="40% - Accent5 4 2 3 2 2 3" xfId="7541" xr:uid="{00000000-0005-0000-0000-0000F95E0000}"/>
    <cellStyle name="40% - Accent5 4 2 3 2 2 3 2" xfId="34013" xr:uid="{00000000-0005-0000-0000-0000FA5E0000}"/>
    <cellStyle name="40% - Accent5 4 2 3 2 2 4" xfId="7539" xr:uid="{00000000-0005-0000-0000-0000FB5E0000}"/>
    <cellStyle name="40% - Accent5 4 2 3 2 3" xfId="7535" xr:uid="{00000000-0005-0000-0000-0000FC5E0000}"/>
    <cellStyle name="40% - Accent5 4 2 3 2 3 2" xfId="30183" xr:uid="{00000000-0005-0000-0000-0000FD5E0000}"/>
    <cellStyle name="40% - Accent5 4 2 3 2 3 2 2" xfId="20642" xr:uid="{00000000-0005-0000-0000-0000FE5E0000}"/>
    <cellStyle name="40% - Accent5 4 2 3 2 3 3" xfId="7534" xr:uid="{00000000-0005-0000-0000-0000FF5E0000}"/>
    <cellStyle name="40% - Accent5 4 2 3 2 4" xfId="7533" xr:uid="{00000000-0005-0000-0000-0000005F0000}"/>
    <cellStyle name="40% - Accent5 4 2 3 2 4 2" xfId="7532" xr:uid="{00000000-0005-0000-0000-0000015F0000}"/>
    <cellStyle name="40% - Accent5 4 2 3 2 5" xfId="7531" xr:uid="{00000000-0005-0000-0000-0000025F0000}"/>
    <cellStyle name="40% - Accent5 4 2 3 3" xfId="10128" xr:uid="{00000000-0005-0000-0000-0000035F0000}"/>
    <cellStyle name="40% - Accent5 4 2 3 3 2" xfId="10124" xr:uid="{00000000-0005-0000-0000-0000045F0000}"/>
    <cellStyle name="40% - Accent5 4 2 3 3 2 2" xfId="7529" xr:uid="{00000000-0005-0000-0000-0000055F0000}"/>
    <cellStyle name="40% - Accent5 4 2 3 3 2 2 2" xfId="29354" xr:uid="{00000000-0005-0000-0000-0000065F0000}"/>
    <cellStyle name="40% - Accent5 4 2 3 3 2 3" xfId="7527" xr:uid="{00000000-0005-0000-0000-0000075F0000}"/>
    <cellStyle name="40% - Accent5 4 2 3 3 3" xfId="10119" xr:uid="{00000000-0005-0000-0000-0000085F0000}"/>
    <cellStyle name="40% - Accent5 4 2 3 3 3 2" xfId="7526" xr:uid="{00000000-0005-0000-0000-0000095F0000}"/>
    <cellStyle name="40% - Accent5 4 2 3 3 4" xfId="25896" xr:uid="{00000000-0005-0000-0000-00000A5F0000}"/>
    <cellStyle name="40% - Accent5 4 2 3 4" xfId="10115" xr:uid="{00000000-0005-0000-0000-00000B5F0000}"/>
    <cellStyle name="40% - Accent5 4 2 3 4 2" xfId="15144" xr:uid="{00000000-0005-0000-0000-00000C5F0000}"/>
    <cellStyle name="40% - Accent5 4 2 3 4 2 2" xfId="31668" xr:uid="{00000000-0005-0000-0000-00000D5F0000}"/>
    <cellStyle name="40% - Accent5 4 2 3 4 3" xfId="15136" xr:uid="{00000000-0005-0000-0000-00000E5F0000}"/>
    <cellStyle name="40% - Accent5 4 2 3 5" xfId="10111" xr:uid="{00000000-0005-0000-0000-00000F5F0000}"/>
    <cellStyle name="40% - Accent5 4 2 3 5 2" xfId="15094" xr:uid="{00000000-0005-0000-0000-0000105F0000}"/>
    <cellStyle name="40% - Accent5 4 2 3 6" xfId="10108" xr:uid="{00000000-0005-0000-0000-0000115F0000}"/>
    <cellStyle name="40% - Accent5 4 2 4" xfId="7525" xr:uid="{00000000-0005-0000-0000-0000125F0000}"/>
    <cellStyle name="40% - Accent5 4 2 4 2" xfId="7523" xr:uid="{00000000-0005-0000-0000-0000135F0000}"/>
    <cellStyle name="40% - Accent5 4 2 4 2 2" xfId="7521" xr:uid="{00000000-0005-0000-0000-0000145F0000}"/>
    <cellStyle name="40% - Accent5 4 2 4 2 2 2" xfId="7520" xr:uid="{00000000-0005-0000-0000-0000155F0000}"/>
    <cellStyle name="40% - Accent5 4 2 4 2 2 2 2" xfId="32237" xr:uid="{00000000-0005-0000-0000-0000165F0000}"/>
    <cellStyle name="40% - Accent5 4 2 4 2 2 3" xfId="7519" xr:uid="{00000000-0005-0000-0000-0000175F0000}"/>
    <cellStyle name="40% - Accent5 4 2 4 2 3" xfId="13045" xr:uid="{00000000-0005-0000-0000-0000185F0000}"/>
    <cellStyle name="40% - Accent5 4 2 4 2 3 2" xfId="11667" xr:uid="{00000000-0005-0000-0000-0000195F0000}"/>
    <cellStyle name="40% - Accent5 4 2 4 2 4" xfId="7518" xr:uid="{00000000-0005-0000-0000-00001A5F0000}"/>
    <cellStyle name="40% - Accent5 4 2 4 3" xfId="10105" xr:uid="{00000000-0005-0000-0000-00001B5F0000}"/>
    <cellStyle name="40% - Accent5 4 2 4 3 2" xfId="10101" xr:uid="{00000000-0005-0000-0000-00001C5F0000}"/>
    <cellStyle name="40% - Accent5 4 2 4 3 2 2" xfId="7516" xr:uid="{00000000-0005-0000-0000-00001D5F0000}"/>
    <cellStyle name="40% - Accent5 4 2 4 3 3" xfId="10097" xr:uid="{00000000-0005-0000-0000-00001E5F0000}"/>
    <cellStyle name="40% - Accent5 4 2 4 4" xfId="10093" xr:uid="{00000000-0005-0000-0000-00001F5F0000}"/>
    <cellStyle name="40% - Accent5 4 2 4 4 2" xfId="15041" xr:uid="{00000000-0005-0000-0000-0000205F0000}"/>
    <cellStyle name="40% - Accent5 4 2 4 5" xfId="10089" xr:uid="{00000000-0005-0000-0000-0000215F0000}"/>
    <cellStyle name="40% - Accent5 4 2 5" xfId="7515" xr:uid="{00000000-0005-0000-0000-0000225F0000}"/>
    <cellStyle name="40% - Accent5 4 2 5 2" xfId="7513" xr:uid="{00000000-0005-0000-0000-0000235F0000}"/>
    <cellStyle name="40% - Accent5 4 2 5 2 2" xfId="7511" xr:uid="{00000000-0005-0000-0000-0000245F0000}"/>
    <cellStyle name="40% - Accent5 4 2 5 2 2 2" xfId="7510" xr:uid="{00000000-0005-0000-0000-0000255F0000}"/>
    <cellStyle name="40% - Accent5 4 2 5 2 3" xfId="7507" xr:uid="{00000000-0005-0000-0000-0000265F0000}"/>
    <cellStyle name="40% - Accent5 4 2 5 3" xfId="10087" xr:uid="{00000000-0005-0000-0000-0000275F0000}"/>
    <cellStyle name="40% - Accent5 4 2 5 3 2" xfId="33494" xr:uid="{00000000-0005-0000-0000-0000285F0000}"/>
    <cellStyle name="40% - Accent5 4 2 5 4" xfId="10083" xr:uid="{00000000-0005-0000-0000-0000295F0000}"/>
    <cellStyle name="40% - Accent5 4 2 6" xfId="20073" xr:uid="{00000000-0005-0000-0000-00002A5F0000}"/>
    <cellStyle name="40% - Accent5 4 2 6 2" xfId="7506" xr:uid="{00000000-0005-0000-0000-00002B5F0000}"/>
    <cellStyle name="40% - Accent5 4 2 6 2 2" xfId="7504" xr:uid="{00000000-0005-0000-0000-00002C5F0000}"/>
    <cellStyle name="40% - Accent5 4 2 6 3" xfId="10080" xr:uid="{00000000-0005-0000-0000-00002D5F0000}"/>
    <cellStyle name="40% - Accent5 4 2 7" xfId="17639" xr:uid="{00000000-0005-0000-0000-00002E5F0000}"/>
    <cellStyle name="40% - Accent5 4 2 7 2" xfId="23354" xr:uid="{00000000-0005-0000-0000-00002F5F0000}"/>
    <cellStyle name="40% - Accent5 4 2 8" xfId="28851" xr:uid="{00000000-0005-0000-0000-0000305F0000}"/>
    <cellStyle name="40% - Accent5 4 2 9" xfId="34572" xr:uid="{00000000-0005-0000-0000-0000315F0000}"/>
    <cellStyle name="40% - Accent5 4 3" xfId="11829" xr:uid="{00000000-0005-0000-0000-0000325F0000}"/>
    <cellStyle name="40% - Accent5 4 3 2" xfId="7502" xr:uid="{00000000-0005-0000-0000-0000335F0000}"/>
    <cellStyle name="40% - Accent5 4 3 2 2" xfId="7500" xr:uid="{00000000-0005-0000-0000-0000345F0000}"/>
    <cellStyle name="40% - Accent5 4 3 2 2 2" xfId="7498" xr:uid="{00000000-0005-0000-0000-0000355F0000}"/>
    <cellStyle name="40% - Accent5 4 3 2 2 2 2" xfId="12893" xr:uid="{00000000-0005-0000-0000-0000365F0000}"/>
    <cellStyle name="40% - Accent5 4 3 2 2 2 2 2" xfId="14781" xr:uid="{00000000-0005-0000-0000-0000375F0000}"/>
    <cellStyle name="40% - Accent5 4 3 2 2 2 2 2 2" xfId="10999" xr:uid="{00000000-0005-0000-0000-0000385F0000}"/>
    <cellStyle name="40% - Accent5 4 3 2 2 2 2 3" xfId="7496" xr:uid="{00000000-0005-0000-0000-0000395F0000}"/>
    <cellStyle name="40% - Accent5 4 3 2 2 2 3" xfId="23993" xr:uid="{00000000-0005-0000-0000-00003A5F0000}"/>
    <cellStyle name="40% - Accent5 4 3 2 2 2 3 2" xfId="7495" xr:uid="{00000000-0005-0000-0000-00003B5F0000}"/>
    <cellStyle name="40% - Accent5 4 3 2 2 2 4" xfId="7494" xr:uid="{00000000-0005-0000-0000-00003C5F0000}"/>
    <cellStyle name="40% - Accent5 4 3 2 2 3" xfId="7491" xr:uid="{00000000-0005-0000-0000-00003D5F0000}"/>
    <cellStyle name="40% - Accent5 4 3 2 2 3 2" xfId="23990" xr:uid="{00000000-0005-0000-0000-00003E5F0000}"/>
    <cellStyle name="40% - Accent5 4 3 2 2 3 2 2" xfId="20450" xr:uid="{00000000-0005-0000-0000-00003F5F0000}"/>
    <cellStyle name="40% - Accent5 4 3 2 2 3 3" xfId="7489" xr:uid="{00000000-0005-0000-0000-0000405F0000}"/>
    <cellStyle name="40% - Accent5 4 3 2 2 4" xfId="7487" xr:uid="{00000000-0005-0000-0000-0000415F0000}"/>
    <cellStyle name="40% - Accent5 4 3 2 2 4 2" xfId="7486" xr:uid="{00000000-0005-0000-0000-0000425F0000}"/>
    <cellStyle name="40% - Accent5 4 3 2 2 5" xfId="7484" xr:uid="{00000000-0005-0000-0000-0000435F0000}"/>
    <cellStyle name="40% - Accent5 4 3 2 3" xfId="10038" xr:uid="{00000000-0005-0000-0000-0000445F0000}"/>
    <cellStyle name="40% - Accent5 4 3 2 3 2" xfId="10035" xr:uid="{00000000-0005-0000-0000-0000455F0000}"/>
    <cellStyle name="40% - Accent5 4 3 2 3 2 2" xfId="30356" xr:uid="{00000000-0005-0000-0000-0000465F0000}"/>
    <cellStyle name="40% - Accent5 4 3 2 3 2 2 2" xfId="7483" xr:uid="{00000000-0005-0000-0000-0000475F0000}"/>
    <cellStyle name="40% - Accent5 4 3 2 3 2 3" xfId="7481" xr:uid="{00000000-0005-0000-0000-0000485F0000}"/>
    <cellStyle name="40% - Accent5 4 3 2 3 3" xfId="10030" xr:uid="{00000000-0005-0000-0000-0000495F0000}"/>
    <cellStyle name="40% - Accent5 4 3 2 3 3 2" xfId="7480" xr:uid="{00000000-0005-0000-0000-00004A5F0000}"/>
    <cellStyle name="40% - Accent5 4 3 2 3 4" xfId="26915" xr:uid="{00000000-0005-0000-0000-00004B5F0000}"/>
    <cellStyle name="40% - Accent5 4 3 2 4" xfId="10025" xr:uid="{00000000-0005-0000-0000-00004C5F0000}"/>
    <cellStyle name="40% - Accent5 4 3 2 4 2" xfId="10022" xr:uid="{00000000-0005-0000-0000-00004D5F0000}"/>
    <cellStyle name="40% - Accent5 4 3 2 4 2 2" xfId="27778" xr:uid="{00000000-0005-0000-0000-00004E5F0000}"/>
    <cellStyle name="40% - Accent5 4 3 2 4 3" xfId="10018" xr:uid="{00000000-0005-0000-0000-00004F5F0000}"/>
    <cellStyle name="40% - Accent5 4 3 2 5" xfId="10014" xr:uid="{00000000-0005-0000-0000-0000505F0000}"/>
    <cellStyle name="40% - Accent5 4 3 2 5 2" xfId="10012" xr:uid="{00000000-0005-0000-0000-0000515F0000}"/>
    <cellStyle name="40% - Accent5 4 3 2 6" xfId="10010" xr:uid="{00000000-0005-0000-0000-0000525F0000}"/>
    <cellStyle name="40% - Accent5 4 3 3" xfId="7477" xr:uid="{00000000-0005-0000-0000-0000535F0000}"/>
    <cellStyle name="40% - Accent5 4 3 3 2" xfId="7474" xr:uid="{00000000-0005-0000-0000-0000545F0000}"/>
    <cellStyle name="40% - Accent5 4 3 3 2 2" xfId="7472" xr:uid="{00000000-0005-0000-0000-0000555F0000}"/>
    <cellStyle name="40% - Accent5 4 3 3 2 2 2" xfId="31172" xr:uid="{00000000-0005-0000-0000-0000565F0000}"/>
    <cellStyle name="40% - Accent5 4 3 3 2 2 2 2" xfId="31768" xr:uid="{00000000-0005-0000-0000-0000575F0000}"/>
    <cellStyle name="40% - Accent5 4 3 3 2 2 3" xfId="12667" xr:uid="{00000000-0005-0000-0000-0000585F0000}"/>
    <cellStyle name="40% - Accent5 4 3 3 2 3" xfId="7470" xr:uid="{00000000-0005-0000-0000-0000595F0000}"/>
    <cellStyle name="40% - Accent5 4 3 3 2 3 2" xfId="7469" xr:uid="{00000000-0005-0000-0000-00005A5F0000}"/>
    <cellStyle name="40% - Accent5 4 3 3 2 4" xfId="30520" xr:uid="{00000000-0005-0000-0000-00005B5F0000}"/>
    <cellStyle name="40% - Accent5 4 3 3 3" xfId="10007" xr:uid="{00000000-0005-0000-0000-00005C5F0000}"/>
    <cellStyle name="40% - Accent5 4 3 3 3 2" xfId="10003" xr:uid="{00000000-0005-0000-0000-00005D5F0000}"/>
    <cellStyle name="40% - Accent5 4 3 3 3 2 2" xfId="7468" xr:uid="{00000000-0005-0000-0000-00005E5F0000}"/>
    <cellStyle name="40% - Accent5 4 3 3 3 3" xfId="9998" xr:uid="{00000000-0005-0000-0000-00005F5F0000}"/>
    <cellStyle name="40% - Accent5 4 3 3 4" xfId="9995" xr:uid="{00000000-0005-0000-0000-0000605F0000}"/>
    <cellStyle name="40% - Accent5 4 3 3 4 2" xfId="14927" xr:uid="{00000000-0005-0000-0000-0000615F0000}"/>
    <cellStyle name="40% - Accent5 4 3 3 5" xfId="9992" xr:uid="{00000000-0005-0000-0000-0000625F0000}"/>
    <cellStyle name="40% - Accent5 4 3 4" xfId="7467" xr:uid="{00000000-0005-0000-0000-0000635F0000}"/>
    <cellStyle name="40% - Accent5 4 3 4 2" xfId="7465" xr:uid="{00000000-0005-0000-0000-0000645F0000}"/>
    <cellStyle name="40% - Accent5 4 3 4 2 2" xfId="7462" xr:uid="{00000000-0005-0000-0000-0000655F0000}"/>
    <cellStyle name="40% - Accent5 4 3 4 2 2 2" xfId="30690" xr:uid="{00000000-0005-0000-0000-0000665F0000}"/>
    <cellStyle name="40% - Accent5 4 3 4 2 3" xfId="7461" xr:uid="{00000000-0005-0000-0000-0000675F0000}"/>
    <cellStyle name="40% - Accent5 4 3 4 3" xfId="9990" xr:uid="{00000000-0005-0000-0000-0000685F0000}"/>
    <cellStyle name="40% - Accent5 4 3 4 3 2" xfId="9986" xr:uid="{00000000-0005-0000-0000-0000695F0000}"/>
    <cellStyle name="40% - Accent5 4 3 4 4" xfId="9983" xr:uid="{00000000-0005-0000-0000-00006A5F0000}"/>
    <cellStyle name="40% - Accent5 4 3 5" xfId="7460" xr:uid="{00000000-0005-0000-0000-00006B5F0000}"/>
    <cellStyle name="40% - Accent5 4 3 5 2" xfId="7458" xr:uid="{00000000-0005-0000-0000-00006C5F0000}"/>
    <cellStyle name="40% - Accent5 4 3 5 2 2" xfId="7456" xr:uid="{00000000-0005-0000-0000-00006D5F0000}"/>
    <cellStyle name="40% - Accent5 4 3 5 3" xfId="9981" xr:uid="{00000000-0005-0000-0000-00006E5F0000}"/>
    <cellStyle name="40% - Accent5 4 3 6" xfId="7455" xr:uid="{00000000-0005-0000-0000-00006F5F0000}"/>
    <cellStyle name="40% - Accent5 4 3 6 2" xfId="7453" xr:uid="{00000000-0005-0000-0000-0000705F0000}"/>
    <cellStyle name="40% - Accent5 4 3 7" xfId="28841" xr:uid="{00000000-0005-0000-0000-0000715F0000}"/>
    <cellStyle name="40% - Accent5 4 3 8" xfId="34793" xr:uid="{00000000-0005-0000-0000-0000725F0000}"/>
    <cellStyle name="40% - Accent5 4 4" xfId="7452" xr:uid="{00000000-0005-0000-0000-0000735F0000}"/>
    <cellStyle name="40% - Accent5 4 4 2" xfId="7450" xr:uid="{00000000-0005-0000-0000-0000745F0000}"/>
    <cellStyle name="40% - Accent5 4 4 2 2" xfId="7448" xr:uid="{00000000-0005-0000-0000-0000755F0000}"/>
    <cellStyle name="40% - Accent5 4 4 2 2 2" xfId="7447" xr:uid="{00000000-0005-0000-0000-0000765F0000}"/>
    <cellStyle name="40% - Accent5 4 4 2 2 2 2" xfId="23893" xr:uid="{00000000-0005-0000-0000-0000775F0000}"/>
    <cellStyle name="40% - Accent5 4 4 2 2 2 2 2" xfId="7445" xr:uid="{00000000-0005-0000-0000-0000785F0000}"/>
    <cellStyle name="40% - Accent5 4 4 2 2 2 3" xfId="27614" xr:uid="{00000000-0005-0000-0000-0000795F0000}"/>
    <cellStyle name="40% - Accent5 4 4 2 2 3" xfId="7442" xr:uid="{00000000-0005-0000-0000-00007A5F0000}"/>
    <cellStyle name="40% - Accent5 4 4 2 2 3 2" xfId="7441" xr:uid="{00000000-0005-0000-0000-00007B5F0000}"/>
    <cellStyle name="40% - Accent5 4 4 2 2 4" xfId="7438" xr:uid="{00000000-0005-0000-0000-00007C5F0000}"/>
    <cellStyle name="40% - Accent5 4 4 2 3" xfId="9962" xr:uid="{00000000-0005-0000-0000-00007D5F0000}"/>
    <cellStyle name="40% - Accent5 4 4 2 3 2" xfId="9960" xr:uid="{00000000-0005-0000-0000-00007E5F0000}"/>
    <cellStyle name="40% - Accent5 4 4 2 3 2 2" xfId="7437" xr:uid="{00000000-0005-0000-0000-00007F5F0000}"/>
    <cellStyle name="40% - Accent5 4 4 2 3 3" xfId="9957" xr:uid="{00000000-0005-0000-0000-0000805F0000}"/>
    <cellStyle name="40% - Accent5 4 4 2 4" xfId="12555" xr:uid="{00000000-0005-0000-0000-0000815F0000}"/>
    <cellStyle name="40% - Accent5 4 4 2 4 2" xfId="9954" xr:uid="{00000000-0005-0000-0000-0000825F0000}"/>
    <cellStyle name="40% - Accent5 4 4 2 5" xfId="12552" xr:uid="{00000000-0005-0000-0000-0000835F0000}"/>
    <cellStyle name="40% - Accent5 4 4 3" xfId="7430" xr:uid="{00000000-0005-0000-0000-0000845F0000}"/>
    <cellStyle name="40% - Accent5 4 4 3 2" xfId="7428" xr:uid="{00000000-0005-0000-0000-0000855F0000}"/>
    <cellStyle name="40% - Accent5 4 4 3 2 2" xfId="7426" xr:uid="{00000000-0005-0000-0000-0000865F0000}"/>
    <cellStyle name="40% - Accent5 4 4 3 2 2 2" xfId="7425" xr:uid="{00000000-0005-0000-0000-0000875F0000}"/>
    <cellStyle name="40% - Accent5 4 4 3 2 3" xfId="32936" xr:uid="{00000000-0005-0000-0000-0000885F0000}"/>
    <cellStyle name="40% - Accent5 4 4 3 3" xfId="21886" xr:uid="{00000000-0005-0000-0000-0000895F0000}"/>
    <cellStyle name="40% - Accent5 4 4 3 3 2" xfId="9950" xr:uid="{00000000-0005-0000-0000-00008A5F0000}"/>
    <cellStyle name="40% - Accent5 4 4 3 4" xfId="12548" xr:uid="{00000000-0005-0000-0000-00008B5F0000}"/>
    <cellStyle name="40% - Accent5 4 4 4" xfId="7423" xr:uid="{00000000-0005-0000-0000-00008C5F0000}"/>
    <cellStyle name="40% - Accent5 4 4 4 2" xfId="32199" xr:uid="{00000000-0005-0000-0000-00008D5F0000}"/>
    <cellStyle name="40% - Accent5 4 4 4 2 2" xfId="7421" xr:uid="{00000000-0005-0000-0000-00008E5F0000}"/>
    <cellStyle name="40% - Accent5 4 4 4 3" xfId="9948" xr:uid="{00000000-0005-0000-0000-00008F5F0000}"/>
    <cellStyle name="40% - Accent5 4 4 5" xfId="7419" xr:uid="{00000000-0005-0000-0000-0000905F0000}"/>
    <cellStyle name="40% - Accent5 4 4 5 2" xfId="29730" xr:uid="{00000000-0005-0000-0000-0000915F0000}"/>
    <cellStyle name="40% - Accent5 4 4 6" xfId="7416" xr:uid="{00000000-0005-0000-0000-0000925F0000}"/>
    <cellStyle name="40% - Accent5 4 4 7" xfId="34993" xr:uid="{00000000-0005-0000-0000-0000935F0000}"/>
    <cellStyle name="40% - Accent5 4 5" xfId="7415" xr:uid="{00000000-0005-0000-0000-0000945F0000}"/>
    <cellStyle name="40% - Accent5 4 5 2" xfId="7412" xr:uid="{00000000-0005-0000-0000-0000955F0000}"/>
    <cellStyle name="40% - Accent5 4 5 2 2" xfId="28800" xr:uid="{00000000-0005-0000-0000-0000965F0000}"/>
    <cellStyle name="40% - Accent5 4 5 2 2 2" xfId="7411" xr:uid="{00000000-0005-0000-0000-0000975F0000}"/>
    <cellStyle name="40% - Accent5 4 5 2 2 2 2" xfId="7410" xr:uid="{00000000-0005-0000-0000-0000985F0000}"/>
    <cellStyle name="40% - Accent5 4 5 2 2 3" xfId="7407" xr:uid="{00000000-0005-0000-0000-0000995F0000}"/>
    <cellStyle name="40% - Accent5 4 5 2 3" xfId="9935" xr:uid="{00000000-0005-0000-0000-00009A5F0000}"/>
    <cellStyle name="40% - Accent5 4 5 2 3 2" xfId="9933" xr:uid="{00000000-0005-0000-0000-00009B5F0000}"/>
    <cellStyle name="40% - Accent5 4 5 2 4" xfId="12544" xr:uid="{00000000-0005-0000-0000-00009C5F0000}"/>
    <cellStyle name="40% - Accent5 4 5 3" xfId="11780" xr:uid="{00000000-0005-0000-0000-00009D5F0000}"/>
    <cellStyle name="40% - Accent5 4 5 3 2" xfId="7405" xr:uid="{00000000-0005-0000-0000-00009E5F0000}"/>
    <cellStyle name="40% - Accent5 4 5 3 2 2" xfId="7402" xr:uid="{00000000-0005-0000-0000-00009F5F0000}"/>
    <cellStyle name="40% - Accent5 4 5 3 3" xfId="9930" xr:uid="{00000000-0005-0000-0000-0000A05F0000}"/>
    <cellStyle name="40% - Accent5 4 5 4" xfId="7400" xr:uid="{00000000-0005-0000-0000-0000A15F0000}"/>
    <cellStyle name="40% - Accent5 4 5 4 2" xfId="7398" xr:uid="{00000000-0005-0000-0000-0000A25F0000}"/>
    <cellStyle name="40% - Accent5 4 5 5" xfId="7396" xr:uid="{00000000-0005-0000-0000-0000A35F0000}"/>
    <cellStyle name="40% - Accent5 4 5 6" xfId="35198" xr:uid="{00000000-0005-0000-0000-0000A45F0000}"/>
    <cellStyle name="40% - Accent5 4 6" xfId="7395" xr:uid="{00000000-0005-0000-0000-0000A55F0000}"/>
    <cellStyle name="40% - Accent5 4 6 2" xfId="7393" xr:uid="{00000000-0005-0000-0000-0000A65F0000}"/>
    <cellStyle name="40% - Accent5 4 6 2 2" xfId="7391" xr:uid="{00000000-0005-0000-0000-0000A75F0000}"/>
    <cellStyle name="40% - Accent5 4 6 2 2 2" xfId="28255" xr:uid="{00000000-0005-0000-0000-0000A85F0000}"/>
    <cellStyle name="40% - Accent5 4 6 2 3" xfId="9921" xr:uid="{00000000-0005-0000-0000-0000A95F0000}"/>
    <cellStyle name="40% - Accent5 4 6 3" xfId="7390" xr:uid="{00000000-0005-0000-0000-0000AA5F0000}"/>
    <cellStyle name="40% - Accent5 4 6 3 2" xfId="7388" xr:uid="{00000000-0005-0000-0000-0000AB5F0000}"/>
    <cellStyle name="40% - Accent5 4 6 4" xfId="7386" xr:uid="{00000000-0005-0000-0000-0000AC5F0000}"/>
    <cellStyle name="40% - Accent5 4 6 5" xfId="35427" xr:uid="{00000000-0005-0000-0000-0000AD5F0000}"/>
    <cellStyle name="40% - Accent5 4 7" xfId="7385" xr:uid="{00000000-0005-0000-0000-0000AE5F0000}"/>
    <cellStyle name="40% - Accent5 4 7 2" xfId="17437" xr:uid="{00000000-0005-0000-0000-0000AF5F0000}"/>
    <cellStyle name="40% - Accent5 4 7 2 2" xfId="7384" xr:uid="{00000000-0005-0000-0000-0000B05F0000}"/>
    <cellStyle name="40% - Accent5 4 7 3" xfId="7383" xr:uid="{00000000-0005-0000-0000-0000B15F0000}"/>
    <cellStyle name="40% - Accent5 4 7 4" xfId="36299" xr:uid="{00000000-0005-0000-0000-0000B25F0000}"/>
    <cellStyle name="40% - Accent5 4 8" xfId="7382" xr:uid="{00000000-0005-0000-0000-0000B35F0000}"/>
    <cellStyle name="40% - Accent5 4 8 2" xfId="7381" xr:uid="{00000000-0005-0000-0000-0000B45F0000}"/>
    <cellStyle name="40% - Accent5 4 8 3" xfId="36585" xr:uid="{00000000-0005-0000-0000-0000B55F0000}"/>
    <cellStyle name="40% - Accent5 4 9" xfId="26982" xr:uid="{00000000-0005-0000-0000-0000B65F0000}"/>
    <cellStyle name="40% - Accent5 4 9 2" xfId="37470" xr:uid="{00000000-0005-0000-0000-0000B75F0000}"/>
    <cellStyle name="40% - Accent5 40" xfId="36105" xr:uid="{00000000-0005-0000-0000-0000B85F0000}"/>
    <cellStyle name="40% - Accent5 40 2" xfId="37274" xr:uid="{00000000-0005-0000-0000-0000B95F0000}"/>
    <cellStyle name="40% - Accent5 40 3" xfId="38172" xr:uid="{00000000-0005-0000-0000-0000BA5F0000}"/>
    <cellStyle name="40% - Accent5 41" xfId="36125" xr:uid="{00000000-0005-0000-0000-0000BB5F0000}"/>
    <cellStyle name="40% - Accent5 41 2" xfId="37294" xr:uid="{00000000-0005-0000-0000-0000BC5F0000}"/>
    <cellStyle name="40% - Accent5 41 3" xfId="38192" xr:uid="{00000000-0005-0000-0000-0000BD5F0000}"/>
    <cellStyle name="40% - Accent5 42" xfId="36145" xr:uid="{00000000-0005-0000-0000-0000BE5F0000}"/>
    <cellStyle name="40% - Accent5 42 2" xfId="37314" xr:uid="{00000000-0005-0000-0000-0000BF5F0000}"/>
    <cellStyle name="40% - Accent5 42 3" xfId="38212" xr:uid="{00000000-0005-0000-0000-0000C05F0000}"/>
    <cellStyle name="40% - Accent5 43" xfId="36165" xr:uid="{00000000-0005-0000-0000-0000C15F0000}"/>
    <cellStyle name="40% - Accent5 43 2" xfId="37334" xr:uid="{00000000-0005-0000-0000-0000C25F0000}"/>
    <cellStyle name="40% - Accent5 43 3" xfId="38232" xr:uid="{00000000-0005-0000-0000-0000C35F0000}"/>
    <cellStyle name="40% - Accent5 44" xfId="36185" xr:uid="{00000000-0005-0000-0000-0000C45F0000}"/>
    <cellStyle name="40% - Accent5 44 2" xfId="37354" xr:uid="{00000000-0005-0000-0000-0000C55F0000}"/>
    <cellStyle name="40% - Accent5 44 3" xfId="38252" xr:uid="{00000000-0005-0000-0000-0000C65F0000}"/>
    <cellStyle name="40% - Accent5 45" xfId="36205" xr:uid="{00000000-0005-0000-0000-0000C75F0000}"/>
    <cellStyle name="40% - Accent5 45 2" xfId="37374" xr:uid="{00000000-0005-0000-0000-0000C85F0000}"/>
    <cellStyle name="40% - Accent5 45 3" xfId="38272" xr:uid="{00000000-0005-0000-0000-0000C95F0000}"/>
    <cellStyle name="40% - Accent5 46" xfId="36225" xr:uid="{00000000-0005-0000-0000-0000CA5F0000}"/>
    <cellStyle name="40% - Accent5 46 2" xfId="37392" xr:uid="{00000000-0005-0000-0000-0000CB5F0000}"/>
    <cellStyle name="40% - Accent5 46 3" xfId="38292" xr:uid="{00000000-0005-0000-0000-0000CC5F0000}"/>
    <cellStyle name="40% - Accent5 47" xfId="36526" xr:uid="{00000000-0005-0000-0000-0000CD5F0000}"/>
    <cellStyle name="40% - Accent5 48" xfId="37411" xr:uid="{00000000-0005-0000-0000-0000CE5F0000}"/>
    <cellStyle name="40% - Accent5 5" xfId="273" xr:uid="{00000000-0005-0000-0000-0000CF5F0000}"/>
    <cellStyle name="40% - Accent5 5 10" xfId="15177" xr:uid="{00000000-0005-0000-0000-0000D05F0000}"/>
    <cellStyle name="40% - Accent5 5 2" xfId="7380" xr:uid="{00000000-0005-0000-0000-0000D15F0000}"/>
    <cellStyle name="40% - Accent5 5 2 2" xfId="7378" xr:uid="{00000000-0005-0000-0000-0000D25F0000}"/>
    <cellStyle name="40% - Accent5 5 2 2 2" xfId="28389" xr:uid="{00000000-0005-0000-0000-0000D35F0000}"/>
    <cellStyle name="40% - Accent5 5 2 2 2 2" xfId="21729" xr:uid="{00000000-0005-0000-0000-0000D45F0000}"/>
    <cellStyle name="40% - Accent5 5 2 2 2 2 2" xfId="7375" xr:uid="{00000000-0005-0000-0000-0000D55F0000}"/>
    <cellStyle name="40% - Accent5 5 2 2 2 2 2 2" xfId="15049" xr:uid="{00000000-0005-0000-0000-0000D65F0000}"/>
    <cellStyle name="40% - Accent5 5 2 2 2 2 2 2 2" xfId="33746" xr:uid="{00000000-0005-0000-0000-0000D75F0000}"/>
    <cellStyle name="40% - Accent5 5 2 2 2 2 2 3" xfId="7372" xr:uid="{00000000-0005-0000-0000-0000D85F0000}"/>
    <cellStyle name="40% - Accent5 5 2 2 2 2 3" xfId="7370" xr:uid="{00000000-0005-0000-0000-0000D95F0000}"/>
    <cellStyle name="40% - Accent5 5 2 2 2 2 3 2" xfId="27099" xr:uid="{00000000-0005-0000-0000-0000DA5F0000}"/>
    <cellStyle name="40% - Accent5 5 2 2 2 2 4" xfId="7367" xr:uid="{00000000-0005-0000-0000-0000DB5F0000}"/>
    <cellStyle name="40% - Accent5 5 2 2 2 3" xfId="7361" xr:uid="{00000000-0005-0000-0000-0000DC5F0000}"/>
    <cellStyle name="40% - Accent5 5 2 2 2 3 2" xfId="7359" xr:uid="{00000000-0005-0000-0000-0000DD5F0000}"/>
    <cellStyle name="40% - Accent5 5 2 2 2 3 2 2" xfId="34246" xr:uid="{00000000-0005-0000-0000-0000DE5F0000}"/>
    <cellStyle name="40% - Accent5 5 2 2 2 3 3" xfId="7355" xr:uid="{00000000-0005-0000-0000-0000DF5F0000}"/>
    <cellStyle name="40% - Accent5 5 2 2 2 4" xfId="15332" xr:uid="{00000000-0005-0000-0000-0000E05F0000}"/>
    <cellStyle name="40% - Accent5 5 2 2 2 4 2" xfId="7351" xr:uid="{00000000-0005-0000-0000-0000E15F0000}"/>
    <cellStyle name="40% - Accent5 5 2 2 2 5" xfId="22605" xr:uid="{00000000-0005-0000-0000-0000E25F0000}"/>
    <cellStyle name="40% - Accent5 5 2 2 3" xfId="33386" xr:uid="{00000000-0005-0000-0000-0000E35F0000}"/>
    <cellStyle name="40% - Accent5 5 2 2 3 2" xfId="9869" xr:uid="{00000000-0005-0000-0000-0000E45F0000}"/>
    <cellStyle name="40% - Accent5 5 2 2 3 2 2" xfId="7347" xr:uid="{00000000-0005-0000-0000-0000E55F0000}"/>
    <cellStyle name="40% - Accent5 5 2 2 3 2 2 2" xfId="7343" xr:uid="{00000000-0005-0000-0000-0000E65F0000}"/>
    <cellStyle name="40% - Accent5 5 2 2 3 2 3" xfId="29863" xr:uid="{00000000-0005-0000-0000-0000E75F0000}"/>
    <cellStyle name="40% - Accent5 5 2 2 3 3" xfId="9859" xr:uid="{00000000-0005-0000-0000-0000E85F0000}"/>
    <cellStyle name="40% - Accent5 5 2 2 3 3 2" xfId="7342" xr:uid="{00000000-0005-0000-0000-0000E95F0000}"/>
    <cellStyle name="40% - Accent5 5 2 2 3 4" xfId="17685" xr:uid="{00000000-0005-0000-0000-0000EA5F0000}"/>
    <cellStyle name="40% - Accent5 5 2 2 4" xfId="9850" xr:uid="{00000000-0005-0000-0000-0000EB5F0000}"/>
    <cellStyle name="40% - Accent5 5 2 2 4 2" xfId="9844" xr:uid="{00000000-0005-0000-0000-0000EC5F0000}"/>
    <cellStyle name="40% - Accent5 5 2 2 4 2 2" xfId="30371" xr:uid="{00000000-0005-0000-0000-0000ED5F0000}"/>
    <cellStyle name="40% - Accent5 5 2 2 4 3" xfId="9836" xr:uid="{00000000-0005-0000-0000-0000EE5F0000}"/>
    <cellStyle name="40% - Accent5 5 2 2 5" xfId="9831" xr:uid="{00000000-0005-0000-0000-0000EF5F0000}"/>
    <cellStyle name="40% - Accent5 5 2 2 5 2" xfId="34042" xr:uid="{00000000-0005-0000-0000-0000F05F0000}"/>
    <cellStyle name="40% - Accent5 5 2 2 6" xfId="9827" xr:uid="{00000000-0005-0000-0000-0000F15F0000}"/>
    <cellStyle name="40% - Accent5 5 2 3" xfId="22620" xr:uid="{00000000-0005-0000-0000-0000F25F0000}"/>
    <cellStyle name="40% - Accent5 5 2 3 2" xfId="21628" xr:uid="{00000000-0005-0000-0000-0000F35F0000}"/>
    <cellStyle name="40% - Accent5 5 2 3 2 2" xfId="7338" xr:uid="{00000000-0005-0000-0000-0000F45F0000}"/>
    <cellStyle name="40% - Accent5 5 2 3 2 2 2" xfId="7335" xr:uid="{00000000-0005-0000-0000-0000F55F0000}"/>
    <cellStyle name="40% - Accent5 5 2 3 2 2 2 2" xfId="15234" xr:uid="{00000000-0005-0000-0000-0000F65F0000}"/>
    <cellStyle name="40% - Accent5 5 2 3 2 2 3" xfId="7333" xr:uid="{00000000-0005-0000-0000-0000F75F0000}"/>
    <cellStyle name="40% - Accent5 5 2 3 2 3" xfId="7331" xr:uid="{00000000-0005-0000-0000-0000F85F0000}"/>
    <cellStyle name="40% - Accent5 5 2 3 2 3 2" xfId="25810" xr:uid="{00000000-0005-0000-0000-0000F95F0000}"/>
    <cellStyle name="40% - Accent5 5 2 3 2 4" xfId="7328" xr:uid="{00000000-0005-0000-0000-0000FA5F0000}"/>
    <cellStyle name="40% - Accent5 5 2 3 3" xfId="9822" xr:uid="{00000000-0005-0000-0000-0000FB5F0000}"/>
    <cellStyle name="40% - Accent5 5 2 3 3 2" xfId="9817" xr:uid="{00000000-0005-0000-0000-0000FC5F0000}"/>
    <cellStyle name="40% - Accent5 5 2 3 3 2 2" xfId="7325" xr:uid="{00000000-0005-0000-0000-0000FD5F0000}"/>
    <cellStyle name="40% - Accent5 5 2 3 3 3" xfId="9810" xr:uid="{00000000-0005-0000-0000-0000FE5F0000}"/>
    <cellStyle name="40% - Accent5 5 2 3 4" xfId="9806" xr:uid="{00000000-0005-0000-0000-0000FF5F0000}"/>
    <cellStyle name="40% - Accent5 5 2 3 4 2" xfId="14527" xr:uid="{00000000-0005-0000-0000-000000600000}"/>
    <cellStyle name="40% - Accent5 5 2 3 5" xfId="9802" xr:uid="{00000000-0005-0000-0000-000001600000}"/>
    <cellStyle name="40% - Accent5 5 2 4" xfId="22614" xr:uid="{00000000-0005-0000-0000-000002600000}"/>
    <cellStyle name="40% - Accent5 5 2 4 2" xfId="7323" xr:uid="{00000000-0005-0000-0000-000003600000}"/>
    <cellStyle name="40% - Accent5 5 2 4 2 2" xfId="13354" xr:uid="{00000000-0005-0000-0000-000004600000}"/>
    <cellStyle name="40% - Accent5 5 2 4 2 2 2" xfId="7320" xr:uid="{00000000-0005-0000-0000-000005600000}"/>
    <cellStyle name="40% - Accent5 5 2 4 2 3" xfId="7318" xr:uid="{00000000-0005-0000-0000-000006600000}"/>
    <cellStyle name="40% - Accent5 5 2 4 3" xfId="9799" xr:uid="{00000000-0005-0000-0000-000007600000}"/>
    <cellStyle name="40% - Accent5 5 2 4 3 2" xfId="9794" xr:uid="{00000000-0005-0000-0000-000008600000}"/>
    <cellStyle name="40% - Accent5 5 2 4 4" xfId="9790" xr:uid="{00000000-0005-0000-0000-000009600000}"/>
    <cellStyle name="40% - Accent5 5 2 5" xfId="7316" xr:uid="{00000000-0005-0000-0000-00000A600000}"/>
    <cellStyle name="40% - Accent5 5 2 5 2" xfId="6320" xr:uid="{00000000-0005-0000-0000-00000B600000}"/>
    <cellStyle name="40% - Accent5 5 2 5 2 2" xfId="7312" xr:uid="{00000000-0005-0000-0000-00000C600000}"/>
    <cellStyle name="40% - Accent5 5 2 5 3" xfId="33561" xr:uid="{00000000-0005-0000-0000-00000D600000}"/>
    <cellStyle name="40% - Accent5 5 2 6" xfId="7311" xr:uid="{00000000-0005-0000-0000-00000E600000}"/>
    <cellStyle name="40% - Accent5 5 2 6 2" xfId="7308" xr:uid="{00000000-0005-0000-0000-00000F600000}"/>
    <cellStyle name="40% - Accent5 5 2 7" xfId="28654" xr:uid="{00000000-0005-0000-0000-000010600000}"/>
    <cellStyle name="40% - Accent5 5 2 8" xfId="34810" xr:uid="{00000000-0005-0000-0000-000011600000}"/>
    <cellStyle name="40% - Accent5 5 3" xfId="23644" xr:uid="{00000000-0005-0000-0000-000012600000}"/>
    <cellStyle name="40% - Accent5 5 3 2" xfId="7305" xr:uid="{00000000-0005-0000-0000-000013600000}"/>
    <cellStyle name="40% - Accent5 5 3 2 2" xfId="21370" xr:uid="{00000000-0005-0000-0000-000014600000}"/>
    <cellStyle name="40% - Accent5 5 3 2 2 2" xfId="7302" xr:uid="{00000000-0005-0000-0000-000015600000}"/>
    <cellStyle name="40% - Accent5 5 3 2 2 2 2" xfId="10589" xr:uid="{00000000-0005-0000-0000-000016600000}"/>
    <cellStyle name="40% - Accent5 5 3 2 2 2 2 2" xfId="12792" xr:uid="{00000000-0005-0000-0000-000017600000}"/>
    <cellStyle name="40% - Accent5 5 3 2 2 2 3" xfId="7299" xr:uid="{00000000-0005-0000-0000-000018600000}"/>
    <cellStyle name="40% - Accent5 5 3 2 2 3" xfId="7298" xr:uid="{00000000-0005-0000-0000-000019600000}"/>
    <cellStyle name="40% - Accent5 5 3 2 2 3 2" xfId="7295" xr:uid="{00000000-0005-0000-0000-00001A600000}"/>
    <cellStyle name="40% - Accent5 5 3 2 2 4" xfId="7294" xr:uid="{00000000-0005-0000-0000-00001B600000}"/>
    <cellStyle name="40% - Accent5 5 3 2 3" xfId="9764" xr:uid="{00000000-0005-0000-0000-00001C600000}"/>
    <cellStyle name="40% - Accent5 5 3 2 3 2" xfId="9759" xr:uid="{00000000-0005-0000-0000-00001D600000}"/>
    <cellStyle name="40% - Accent5 5 3 2 3 2 2" xfId="7292" xr:uid="{00000000-0005-0000-0000-00001E600000}"/>
    <cellStyle name="40% - Accent5 5 3 2 3 3" xfId="9753" xr:uid="{00000000-0005-0000-0000-00001F600000}"/>
    <cellStyle name="40% - Accent5 5 3 2 4" xfId="9749" xr:uid="{00000000-0005-0000-0000-000020600000}"/>
    <cellStyle name="40% - Accent5 5 3 2 4 2" xfId="9744" xr:uid="{00000000-0005-0000-0000-000021600000}"/>
    <cellStyle name="40% - Accent5 5 3 2 5" xfId="17909" xr:uid="{00000000-0005-0000-0000-000022600000}"/>
    <cellStyle name="40% - Accent5 5 3 3" xfId="23362" xr:uid="{00000000-0005-0000-0000-000023600000}"/>
    <cellStyle name="40% - Accent5 5 3 3 2" xfId="14511" xr:uid="{00000000-0005-0000-0000-000024600000}"/>
    <cellStyle name="40% - Accent5 5 3 3 2 2" xfId="7291" xr:uid="{00000000-0005-0000-0000-000025600000}"/>
    <cellStyle name="40% - Accent5 5 3 3 2 2 2" xfId="7288" xr:uid="{00000000-0005-0000-0000-000026600000}"/>
    <cellStyle name="40% - Accent5 5 3 3 2 3" xfId="7287" xr:uid="{00000000-0005-0000-0000-000027600000}"/>
    <cellStyle name="40% - Accent5 5 3 3 3" xfId="9739" xr:uid="{00000000-0005-0000-0000-000028600000}"/>
    <cellStyle name="40% - Accent5 5 3 3 3 2" xfId="9733" xr:uid="{00000000-0005-0000-0000-000029600000}"/>
    <cellStyle name="40% - Accent5 5 3 3 4" xfId="9731" xr:uid="{00000000-0005-0000-0000-00002A600000}"/>
    <cellStyle name="40% - Accent5 5 3 4" xfId="7286" xr:uid="{00000000-0005-0000-0000-00002B600000}"/>
    <cellStyle name="40% - Accent5 5 3 4 2" xfId="7283" xr:uid="{00000000-0005-0000-0000-00002C600000}"/>
    <cellStyle name="40% - Accent5 5 3 4 2 2" xfId="7280" xr:uid="{00000000-0005-0000-0000-00002D600000}"/>
    <cellStyle name="40% - Accent5 5 3 4 3" xfId="9728" xr:uid="{00000000-0005-0000-0000-00002E600000}"/>
    <cellStyle name="40% - Accent5 5 3 5" xfId="7279" xr:uid="{00000000-0005-0000-0000-00002F600000}"/>
    <cellStyle name="40% - Accent5 5 3 5 2" xfId="7277" xr:uid="{00000000-0005-0000-0000-000030600000}"/>
    <cellStyle name="40% - Accent5 5 3 6" xfId="7273" xr:uid="{00000000-0005-0000-0000-000031600000}"/>
    <cellStyle name="40% - Accent5 5 3 7" xfId="35012" xr:uid="{00000000-0005-0000-0000-000032600000}"/>
    <cellStyle name="40% - Accent5 5 4" xfId="7272" xr:uid="{00000000-0005-0000-0000-000033600000}"/>
    <cellStyle name="40% - Accent5 5 4 2" xfId="7270" xr:uid="{00000000-0005-0000-0000-000034600000}"/>
    <cellStyle name="40% - Accent5 5 4 2 2" xfId="7269" xr:uid="{00000000-0005-0000-0000-000035600000}"/>
    <cellStyle name="40% - Accent5 5 4 2 2 2" xfId="7268" xr:uid="{00000000-0005-0000-0000-000036600000}"/>
    <cellStyle name="40% - Accent5 5 4 2 2 2 2" xfId="7266" xr:uid="{00000000-0005-0000-0000-000037600000}"/>
    <cellStyle name="40% - Accent5 5 4 2 2 3" xfId="7263" xr:uid="{00000000-0005-0000-0000-000038600000}"/>
    <cellStyle name="40% - Accent5 5 4 2 3" xfId="9700" xr:uid="{00000000-0005-0000-0000-000039600000}"/>
    <cellStyle name="40% - Accent5 5 4 2 3 2" xfId="9697" xr:uid="{00000000-0005-0000-0000-00003A600000}"/>
    <cellStyle name="40% - Accent5 5 4 2 4" xfId="12533" xr:uid="{00000000-0005-0000-0000-00003B600000}"/>
    <cellStyle name="40% - Accent5 5 4 3" xfId="7262" xr:uid="{00000000-0005-0000-0000-00003C600000}"/>
    <cellStyle name="40% - Accent5 5 4 3 2" xfId="7260" xr:uid="{00000000-0005-0000-0000-00003D600000}"/>
    <cellStyle name="40% - Accent5 5 4 3 2 2" xfId="7258" xr:uid="{00000000-0005-0000-0000-00003E600000}"/>
    <cellStyle name="40% - Accent5 5 4 3 3" xfId="9693" xr:uid="{00000000-0005-0000-0000-00003F600000}"/>
    <cellStyle name="40% - Accent5 5 4 4" xfId="28738" xr:uid="{00000000-0005-0000-0000-000040600000}"/>
    <cellStyle name="40% - Accent5 5 4 4 2" xfId="7257" xr:uid="{00000000-0005-0000-0000-000041600000}"/>
    <cellStyle name="40% - Accent5 5 4 5" xfId="7256" xr:uid="{00000000-0005-0000-0000-000042600000}"/>
    <cellStyle name="40% - Accent5 5 4 6" xfId="35218" xr:uid="{00000000-0005-0000-0000-000043600000}"/>
    <cellStyle name="40% - Accent5 5 5" xfId="7255" xr:uid="{00000000-0005-0000-0000-000044600000}"/>
    <cellStyle name="40% - Accent5 5 5 2" xfId="7253" xr:uid="{00000000-0005-0000-0000-000045600000}"/>
    <cellStyle name="40% - Accent5 5 5 2 2" xfId="7251" xr:uid="{00000000-0005-0000-0000-000046600000}"/>
    <cellStyle name="40% - Accent5 5 5 2 2 2" xfId="7249" xr:uid="{00000000-0005-0000-0000-000047600000}"/>
    <cellStyle name="40% - Accent5 5 5 2 3" xfId="9682" xr:uid="{00000000-0005-0000-0000-000048600000}"/>
    <cellStyle name="40% - Accent5 5 5 3" xfId="7247" xr:uid="{00000000-0005-0000-0000-000049600000}"/>
    <cellStyle name="40% - Accent5 5 5 3 2" xfId="7244" xr:uid="{00000000-0005-0000-0000-00004A600000}"/>
    <cellStyle name="40% - Accent5 5 5 4" xfId="7241" xr:uid="{00000000-0005-0000-0000-00004B600000}"/>
    <cellStyle name="40% - Accent5 5 5 5" xfId="35447" xr:uid="{00000000-0005-0000-0000-00004C600000}"/>
    <cellStyle name="40% - Accent5 5 6" xfId="7239" xr:uid="{00000000-0005-0000-0000-00004D600000}"/>
    <cellStyle name="40% - Accent5 5 6 2" xfId="7238" xr:uid="{00000000-0005-0000-0000-00004E600000}"/>
    <cellStyle name="40% - Accent5 5 6 2 2" xfId="33163" xr:uid="{00000000-0005-0000-0000-00004F600000}"/>
    <cellStyle name="40% - Accent5 5 6 3" xfId="7237" xr:uid="{00000000-0005-0000-0000-000050600000}"/>
    <cellStyle name="40% - Accent5 5 6 4" xfId="36319" xr:uid="{00000000-0005-0000-0000-000051600000}"/>
    <cellStyle name="40% - Accent5 5 7" xfId="7236" xr:uid="{00000000-0005-0000-0000-000052600000}"/>
    <cellStyle name="40% - Accent5 5 7 2" xfId="7235" xr:uid="{00000000-0005-0000-0000-000053600000}"/>
    <cellStyle name="40% - Accent5 5 7 3" xfId="36605" xr:uid="{00000000-0005-0000-0000-000054600000}"/>
    <cellStyle name="40% - Accent5 5 8" xfId="8771" xr:uid="{00000000-0005-0000-0000-000055600000}"/>
    <cellStyle name="40% - Accent5 5 8 2" xfId="37490" xr:uid="{00000000-0005-0000-0000-000056600000}"/>
    <cellStyle name="40% - Accent5 5 9" xfId="34586" xr:uid="{00000000-0005-0000-0000-000057600000}"/>
    <cellStyle name="40% - Accent5 6" xfId="293" xr:uid="{00000000-0005-0000-0000-000058600000}"/>
    <cellStyle name="40% - Accent5 6 2" xfId="12707" xr:uid="{00000000-0005-0000-0000-000059600000}"/>
    <cellStyle name="40% - Accent5 6 2 2" xfId="7234" xr:uid="{00000000-0005-0000-0000-00005A600000}"/>
    <cellStyle name="40% - Accent5 6 2 2 2" xfId="12704" xr:uid="{00000000-0005-0000-0000-00005B600000}"/>
    <cellStyle name="40% - Accent5 6 2 2 2 2" xfId="7232" xr:uid="{00000000-0005-0000-0000-00005C600000}"/>
    <cellStyle name="40% - Accent5 6 2 2 2 2 2" xfId="7637" xr:uid="{00000000-0005-0000-0000-00005D600000}"/>
    <cellStyle name="40% - Accent5 6 2 2 2 2 2 2" xfId="32657" xr:uid="{00000000-0005-0000-0000-00005E600000}"/>
    <cellStyle name="40% - Accent5 6 2 2 2 2 3" xfId="7635" xr:uid="{00000000-0005-0000-0000-00005F600000}"/>
    <cellStyle name="40% - Accent5 6 2 2 2 3" xfId="7229" xr:uid="{00000000-0005-0000-0000-000060600000}"/>
    <cellStyle name="40% - Accent5 6 2 2 2 3 2" xfId="7621" xr:uid="{00000000-0005-0000-0000-000061600000}"/>
    <cellStyle name="40% - Accent5 6 2 2 2 4" xfId="7227" xr:uid="{00000000-0005-0000-0000-000062600000}"/>
    <cellStyle name="40% - Accent5 6 2 2 3" xfId="9664" xr:uid="{00000000-0005-0000-0000-000063600000}"/>
    <cellStyle name="40% - Accent5 6 2 2 3 2" xfId="12669" xr:uid="{00000000-0005-0000-0000-000064600000}"/>
    <cellStyle name="40% - Accent5 6 2 2 3 2 2" xfId="7418" xr:uid="{00000000-0005-0000-0000-000065600000}"/>
    <cellStyle name="40% - Accent5 6 2 2 3 3" xfId="9658" xr:uid="{00000000-0005-0000-0000-000066600000}"/>
    <cellStyle name="40% - Accent5 6 2 2 4" xfId="9654" xr:uid="{00000000-0005-0000-0000-000067600000}"/>
    <cellStyle name="40% - Accent5 6 2 2 4 2" xfId="9651" xr:uid="{00000000-0005-0000-0000-000068600000}"/>
    <cellStyle name="40% - Accent5 6 2 2 5" xfId="9648" xr:uid="{00000000-0005-0000-0000-000069600000}"/>
    <cellStyle name="40% - Accent5 6 2 3" xfId="12634" xr:uid="{00000000-0005-0000-0000-00006A600000}"/>
    <cellStyle name="40% - Accent5 6 2 3 2" xfId="7224" xr:uid="{00000000-0005-0000-0000-00006B600000}"/>
    <cellStyle name="40% - Accent5 6 2 3 2 2" xfId="7221" xr:uid="{00000000-0005-0000-0000-00006C600000}"/>
    <cellStyle name="40% - Accent5 6 2 3 2 2 2" xfId="25308" xr:uid="{00000000-0005-0000-0000-00006D600000}"/>
    <cellStyle name="40% - Accent5 6 2 3 2 3" xfId="7219" xr:uid="{00000000-0005-0000-0000-00006E600000}"/>
    <cellStyle name="40% - Accent5 6 2 3 3" xfId="9643" xr:uid="{00000000-0005-0000-0000-00006F600000}"/>
    <cellStyle name="40% - Accent5 6 2 3 3 2" xfId="12601" xr:uid="{00000000-0005-0000-0000-000070600000}"/>
    <cellStyle name="40% - Accent5 6 2 3 4" xfId="6671" xr:uid="{00000000-0005-0000-0000-000071600000}"/>
    <cellStyle name="40% - Accent5 6 2 4" xfId="25446" xr:uid="{00000000-0005-0000-0000-000072600000}"/>
    <cellStyle name="40% - Accent5 6 2 4 2" xfId="7216" xr:uid="{00000000-0005-0000-0000-000073600000}"/>
    <cellStyle name="40% - Accent5 6 2 4 2 2" xfId="12577" xr:uid="{00000000-0005-0000-0000-000074600000}"/>
    <cellStyle name="40% - Accent5 6 2 4 3" xfId="9638" xr:uid="{00000000-0005-0000-0000-000075600000}"/>
    <cellStyle name="40% - Accent5 6 2 5" xfId="21810" xr:uid="{00000000-0005-0000-0000-000076600000}"/>
    <cellStyle name="40% - Accent5 6 2 5 2" xfId="7213" xr:uid="{00000000-0005-0000-0000-000077600000}"/>
    <cellStyle name="40% - Accent5 6 2 6" xfId="30516" xr:uid="{00000000-0005-0000-0000-000078600000}"/>
    <cellStyle name="40% - Accent5 6 2 7" xfId="34829" xr:uid="{00000000-0005-0000-0000-000079600000}"/>
    <cellStyle name="40% - Accent5 6 3" xfId="12559" xr:uid="{00000000-0005-0000-0000-00007A600000}"/>
    <cellStyle name="40% - Accent5 6 3 2" xfId="7210" xr:uid="{00000000-0005-0000-0000-00007B600000}"/>
    <cellStyle name="40% - Accent5 6 3 2 2" xfId="7206" xr:uid="{00000000-0005-0000-0000-00007C600000}"/>
    <cellStyle name="40% - Accent5 6 3 2 2 2" xfId="7204" xr:uid="{00000000-0005-0000-0000-00007D600000}"/>
    <cellStyle name="40% - Accent5 6 3 2 2 2 2" xfId="25240" xr:uid="{00000000-0005-0000-0000-00007E600000}"/>
    <cellStyle name="40% - Accent5 6 3 2 2 3" xfId="7201" xr:uid="{00000000-0005-0000-0000-00007F600000}"/>
    <cellStyle name="40% - Accent5 6 3 2 3" xfId="9623" xr:uid="{00000000-0005-0000-0000-000080600000}"/>
    <cellStyle name="40% - Accent5 6 3 2 3 2" xfId="8179" xr:uid="{00000000-0005-0000-0000-000081600000}"/>
    <cellStyle name="40% - Accent5 6 3 2 4" xfId="9617" xr:uid="{00000000-0005-0000-0000-000082600000}"/>
    <cellStyle name="40% - Accent5 6 3 3" xfId="12520" xr:uid="{00000000-0005-0000-0000-000083600000}"/>
    <cellStyle name="40% - Accent5 6 3 3 2" xfId="7198" xr:uid="{00000000-0005-0000-0000-000084600000}"/>
    <cellStyle name="40% - Accent5 6 3 3 2 2" xfId="11754" xr:uid="{00000000-0005-0000-0000-000085600000}"/>
    <cellStyle name="40% - Accent5 6 3 3 3" xfId="9612" xr:uid="{00000000-0005-0000-0000-000086600000}"/>
    <cellStyle name="40% - Accent5 6 3 4" xfId="21804" xr:uid="{00000000-0005-0000-0000-000087600000}"/>
    <cellStyle name="40% - Accent5 6 3 4 2" xfId="7195" xr:uid="{00000000-0005-0000-0000-000088600000}"/>
    <cellStyle name="40% - Accent5 6 3 5" xfId="7193" xr:uid="{00000000-0005-0000-0000-000089600000}"/>
    <cellStyle name="40% - Accent5 6 3 6" xfId="35031" xr:uid="{00000000-0005-0000-0000-00008A600000}"/>
    <cellStyle name="40% - Accent5 6 4" xfId="12478" xr:uid="{00000000-0005-0000-0000-00008B600000}"/>
    <cellStyle name="40% - Accent5 6 4 2" xfId="7191" xr:uid="{00000000-0005-0000-0000-00008C600000}"/>
    <cellStyle name="40% - Accent5 6 4 2 2" xfId="7188" xr:uid="{00000000-0005-0000-0000-00008D600000}"/>
    <cellStyle name="40% - Accent5 6 4 2 2 2" xfId="7185" xr:uid="{00000000-0005-0000-0000-00008E600000}"/>
    <cellStyle name="40% - Accent5 6 4 2 3" xfId="9601" xr:uid="{00000000-0005-0000-0000-00008F600000}"/>
    <cellStyle name="40% - Accent5 6 4 3" xfId="12466" xr:uid="{00000000-0005-0000-0000-000090600000}"/>
    <cellStyle name="40% - Accent5 6 4 3 2" xfId="7182" xr:uid="{00000000-0005-0000-0000-000091600000}"/>
    <cellStyle name="40% - Accent5 6 4 4" xfId="8698" xr:uid="{00000000-0005-0000-0000-000092600000}"/>
    <cellStyle name="40% - Accent5 6 4 5" xfId="35237" xr:uid="{00000000-0005-0000-0000-000093600000}"/>
    <cellStyle name="40% - Accent5 6 5" xfId="7179" xr:uid="{00000000-0005-0000-0000-000094600000}"/>
    <cellStyle name="40% - Accent5 6 5 2" xfId="7177" xr:uid="{00000000-0005-0000-0000-000095600000}"/>
    <cellStyle name="40% - Accent5 6 5 2 2" xfId="7175" xr:uid="{00000000-0005-0000-0000-000096600000}"/>
    <cellStyle name="40% - Accent5 6 5 3" xfId="7172" xr:uid="{00000000-0005-0000-0000-000097600000}"/>
    <cellStyle name="40% - Accent5 6 5 4" xfId="35466" xr:uid="{00000000-0005-0000-0000-000098600000}"/>
    <cellStyle name="40% - Accent5 6 6" xfId="7170" xr:uid="{00000000-0005-0000-0000-000099600000}"/>
    <cellStyle name="40% - Accent5 6 6 2" xfId="7168" xr:uid="{00000000-0005-0000-0000-00009A600000}"/>
    <cellStyle name="40% - Accent5 6 6 3" xfId="36338" xr:uid="{00000000-0005-0000-0000-00009B600000}"/>
    <cellStyle name="40% - Accent5 6 7" xfId="7165" xr:uid="{00000000-0005-0000-0000-00009C600000}"/>
    <cellStyle name="40% - Accent5 6 7 2" xfId="36624" xr:uid="{00000000-0005-0000-0000-00009D600000}"/>
    <cellStyle name="40% - Accent5 6 8" xfId="34600" xr:uid="{00000000-0005-0000-0000-00009E600000}"/>
    <cellStyle name="40% - Accent5 6 9" xfId="12827" xr:uid="{00000000-0005-0000-0000-00009F600000}"/>
    <cellStyle name="40% - Accent5 7" xfId="313" xr:uid="{00000000-0005-0000-0000-0000A0600000}"/>
    <cellStyle name="40% - Accent5 7 2" xfId="12428" xr:uid="{00000000-0005-0000-0000-0000A1600000}"/>
    <cellStyle name="40% - Accent5 7 2 2" xfId="12425" xr:uid="{00000000-0005-0000-0000-0000A2600000}"/>
    <cellStyle name="40% - Accent5 7 2 2 2" xfId="16219" xr:uid="{00000000-0005-0000-0000-0000A3600000}"/>
    <cellStyle name="40% - Accent5 7 2 2 2 2" xfId="33154" xr:uid="{00000000-0005-0000-0000-0000A4600000}"/>
    <cellStyle name="40% - Accent5 7 2 2 2 2 2" xfId="7162" xr:uid="{00000000-0005-0000-0000-0000A5600000}"/>
    <cellStyle name="40% - Accent5 7 2 2 2 3" xfId="7160" xr:uid="{00000000-0005-0000-0000-0000A6600000}"/>
    <cellStyle name="40% - Accent5 7 2 2 3" xfId="9581" xr:uid="{00000000-0005-0000-0000-0000A7600000}"/>
    <cellStyle name="40% - Accent5 7 2 2 3 2" xfId="9578" xr:uid="{00000000-0005-0000-0000-0000A8600000}"/>
    <cellStyle name="40% - Accent5 7 2 2 4" xfId="9575" xr:uid="{00000000-0005-0000-0000-0000A9600000}"/>
    <cellStyle name="40% - Accent5 7 2 3" xfId="12394" xr:uid="{00000000-0005-0000-0000-0000AA600000}"/>
    <cellStyle name="40% - Accent5 7 2 3 2" xfId="7158" xr:uid="{00000000-0005-0000-0000-0000AB600000}"/>
    <cellStyle name="40% - Accent5 7 2 3 2 2" xfId="7155" xr:uid="{00000000-0005-0000-0000-0000AC600000}"/>
    <cellStyle name="40% - Accent5 7 2 3 3" xfId="9572" xr:uid="{00000000-0005-0000-0000-0000AD600000}"/>
    <cellStyle name="40% - Accent5 7 2 4" xfId="12383" xr:uid="{00000000-0005-0000-0000-0000AE600000}"/>
    <cellStyle name="40% - Accent5 7 2 4 2" xfId="7153" xr:uid="{00000000-0005-0000-0000-0000AF600000}"/>
    <cellStyle name="40% - Accent5 7 2 5" xfId="13472" xr:uid="{00000000-0005-0000-0000-0000B0600000}"/>
    <cellStyle name="40% - Accent5 7 2 6" xfId="34848" xr:uid="{00000000-0005-0000-0000-0000B1600000}"/>
    <cellStyle name="40% - Accent5 7 3" xfId="12376" xr:uid="{00000000-0005-0000-0000-0000B2600000}"/>
    <cellStyle name="40% - Accent5 7 3 2" xfId="12373" xr:uid="{00000000-0005-0000-0000-0000B3600000}"/>
    <cellStyle name="40% - Accent5 7 3 2 2" xfId="7151" xr:uid="{00000000-0005-0000-0000-0000B4600000}"/>
    <cellStyle name="40% - Accent5 7 3 2 2 2" xfId="6523" xr:uid="{00000000-0005-0000-0000-0000B5600000}"/>
    <cellStyle name="40% - Accent5 7 3 2 3" xfId="9562" xr:uid="{00000000-0005-0000-0000-0000B6600000}"/>
    <cellStyle name="40% - Accent5 7 3 3" xfId="16968" xr:uid="{00000000-0005-0000-0000-0000B7600000}"/>
    <cellStyle name="40% - Accent5 7 3 3 2" xfId="7149" xr:uid="{00000000-0005-0000-0000-0000B8600000}"/>
    <cellStyle name="40% - Accent5 7 3 4" xfId="12357" xr:uid="{00000000-0005-0000-0000-0000B9600000}"/>
    <cellStyle name="40% - Accent5 7 3 5" xfId="35050" xr:uid="{00000000-0005-0000-0000-0000BA600000}"/>
    <cellStyle name="40% - Accent5 7 4" xfId="12351" xr:uid="{00000000-0005-0000-0000-0000BB600000}"/>
    <cellStyle name="40% - Accent5 7 4 2" xfId="12349" xr:uid="{00000000-0005-0000-0000-0000BC600000}"/>
    <cellStyle name="40% - Accent5 7 4 2 2" xfId="7147" xr:uid="{00000000-0005-0000-0000-0000BD600000}"/>
    <cellStyle name="40% - Accent5 7 4 3" xfId="12337" xr:uid="{00000000-0005-0000-0000-0000BE600000}"/>
    <cellStyle name="40% - Accent5 7 4 4" xfId="35257" xr:uid="{00000000-0005-0000-0000-0000BF600000}"/>
    <cellStyle name="40% - Accent5 7 5" xfId="17063" xr:uid="{00000000-0005-0000-0000-0000C0600000}"/>
    <cellStyle name="40% - Accent5 7 5 2" xfId="12328" xr:uid="{00000000-0005-0000-0000-0000C1600000}"/>
    <cellStyle name="40% - Accent5 7 5 3" xfId="35486" xr:uid="{00000000-0005-0000-0000-0000C2600000}"/>
    <cellStyle name="40% - Accent5 7 6" xfId="17059" xr:uid="{00000000-0005-0000-0000-0000C3600000}"/>
    <cellStyle name="40% - Accent5 7 6 2" xfId="36358" xr:uid="{00000000-0005-0000-0000-0000C4600000}"/>
    <cellStyle name="40% - Accent5 7 7" xfId="34614" xr:uid="{00000000-0005-0000-0000-0000C5600000}"/>
    <cellStyle name="40% - Accent5 7 8" xfId="12431" xr:uid="{00000000-0005-0000-0000-0000C6600000}"/>
    <cellStyle name="40% - Accent5 7 8 2" xfId="37516" xr:uid="{00000000-0005-0000-0000-0000C7600000}"/>
    <cellStyle name="40% - Accent5 8" xfId="333" xr:uid="{00000000-0005-0000-0000-0000C8600000}"/>
    <cellStyle name="40% - Accent5 8 2" xfId="12314" xr:uid="{00000000-0005-0000-0000-0000C9600000}"/>
    <cellStyle name="40% - Accent5 8 2 2" xfId="12796" xr:uid="{00000000-0005-0000-0000-0000CA600000}"/>
    <cellStyle name="40% - Accent5 8 2 2 2" xfId="7144" xr:uid="{00000000-0005-0000-0000-0000CB600000}"/>
    <cellStyle name="40% - Accent5 8 2 2 2 2" xfId="7142" xr:uid="{00000000-0005-0000-0000-0000CC600000}"/>
    <cellStyle name="40% - Accent5 8 2 2 3" xfId="9539" xr:uid="{00000000-0005-0000-0000-0000CD600000}"/>
    <cellStyle name="40% - Accent5 8 2 3" xfId="12771" xr:uid="{00000000-0005-0000-0000-0000CE600000}"/>
    <cellStyle name="40% - Accent5 8 2 3 2" xfId="7140" xr:uid="{00000000-0005-0000-0000-0000CF600000}"/>
    <cellStyle name="40% - Accent5 8 2 4" xfId="9783" xr:uid="{00000000-0005-0000-0000-0000D0600000}"/>
    <cellStyle name="40% - Accent5 8 2 5" xfId="34867" xr:uid="{00000000-0005-0000-0000-0000D1600000}"/>
    <cellStyle name="40% - Accent5 8 3" xfId="12307" xr:uid="{00000000-0005-0000-0000-0000D2600000}"/>
    <cellStyle name="40% - Accent5 8 3 2" xfId="13618" xr:uid="{00000000-0005-0000-0000-0000D3600000}"/>
    <cellStyle name="40% - Accent5 8 3 2 2" xfId="7137" xr:uid="{00000000-0005-0000-0000-0000D4600000}"/>
    <cellStyle name="40% - Accent5 8 3 3" xfId="12737" xr:uid="{00000000-0005-0000-0000-0000D5600000}"/>
    <cellStyle name="40% - Accent5 8 3 4" xfId="35069" xr:uid="{00000000-0005-0000-0000-0000D6600000}"/>
    <cellStyle name="40% - Accent5 8 4" xfId="12303" xr:uid="{00000000-0005-0000-0000-0000D7600000}"/>
    <cellStyle name="40% - Accent5 8 4 2" xfId="28375" xr:uid="{00000000-0005-0000-0000-0000D8600000}"/>
    <cellStyle name="40% - Accent5 8 4 3" xfId="35276" xr:uid="{00000000-0005-0000-0000-0000D9600000}"/>
    <cellStyle name="40% - Accent5 8 5" xfId="17051" xr:uid="{00000000-0005-0000-0000-0000DA600000}"/>
    <cellStyle name="40% - Accent5 8 5 2" xfId="35505" xr:uid="{00000000-0005-0000-0000-0000DB600000}"/>
    <cellStyle name="40% - Accent5 8 6" xfId="34628" xr:uid="{00000000-0005-0000-0000-0000DC600000}"/>
    <cellStyle name="40% - Accent5 8 7" xfId="12317" xr:uid="{00000000-0005-0000-0000-0000DD600000}"/>
    <cellStyle name="40% - Accent5 8 7 2" xfId="36650" xr:uid="{00000000-0005-0000-0000-0000DE600000}"/>
    <cellStyle name="40% - Accent5 8 8" xfId="37535" xr:uid="{00000000-0005-0000-0000-0000DF600000}"/>
    <cellStyle name="40% - Accent5 9" xfId="353" xr:uid="{00000000-0005-0000-0000-0000E0600000}"/>
    <cellStyle name="40% - Accent5 9 2" xfId="19611" xr:uid="{00000000-0005-0000-0000-0000E1600000}"/>
    <cellStyle name="40% - Accent5 9 2 2" xfId="12298" xr:uid="{00000000-0005-0000-0000-0000E2600000}"/>
    <cellStyle name="40% - Accent5 9 2 2 2" xfId="7135" xr:uid="{00000000-0005-0000-0000-0000E3600000}"/>
    <cellStyle name="40% - Accent5 9 2 3" xfId="12274" xr:uid="{00000000-0005-0000-0000-0000E4600000}"/>
    <cellStyle name="40% - Accent5 9 2 4" xfId="34887" xr:uid="{00000000-0005-0000-0000-0000E5600000}"/>
    <cellStyle name="40% - Accent5 9 3" xfId="12296" xr:uid="{00000000-0005-0000-0000-0000E6600000}"/>
    <cellStyle name="40% - Accent5 9 3 2" xfId="12293" xr:uid="{00000000-0005-0000-0000-0000E7600000}"/>
    <cellStyle name="40% - Accent5 9 3 3" xfId="35088" xr:uid="{00000000-0005-0000-0000-0000E8600000}"/>
    <cellStyle name="40% - Accent5 9 4" xfId="12272" xr:uid="{00000000-0005-0000-0000-0000E9600000}"/>
    <cellStyle name="40% - Accent5 9 4 2" xfId="35296" xr:uid="{00000000-0005-0000-0000-0000EA600000}"/>
    <cellStyle name="40% - Accent5 9 5" xfId="34642" xr:uid="{00000000-0005-0000-0000-0000EB600000}"/>
    <cellStyle name="40% - Accent5 9 6" xfId="12301" xr:uid="{00000000-0005-0000-0000-0000EC600000}"/>
    <cellStyle name="40% - Accent5 9 6 2" xfId="36384" xr:uid="{00000000-0005-0000-0000-0000ED600000}"/>
    <cellStyle name="40% - Accent5 9 7" xfId="36670" xr:uid="{00000000-0005-0000-0000-0000EE600000}"/>
    <cellStyle name="40% - Accent5 9 8" xfId="37555" xr:uid="{00000000-0005-0000-0000-0000EF600000}"/>
    <cellStyle name="40% - Accent6" xfId="44" builtinId="51" customBuiltin="1"/>
    <cellStyle name="40% - Accent6 10" xfId="194" xr:uid="{00000000-0005-0000-0000-0000F1600000}"/>
    <cellStyle name="40% - Accent6 10 2" xfId="26845" xr:uid="{00000000-0005-0000-0000-0000F2600000}"/>
    <cellStyle name="40% - Accent6 10 2 2" xfId="25854" xr:uid="{00000000-0005-0000-0000-0000F3600000}"/>
    <cellStyle name="40% - Accent6 10 2 3" xfId="34908" xr:uid="{00000000-0005-0000-0000-0000F4600000}"/>
    <cellStyle name="40% - Accent6 10 3" xfId="26827" xr:uid="{00000000-0005-0000-0000-0000F5600000}"/>
    <cellStyle name="40% - Accent6 10 3 2" xfId="35110" xr:uid="{00000000-0005-0000-0000-0000F6600000}"/>
    <cellStyle name="40% - Accent6 10 4" xfId="34531" xr:uid="{00000000-0005-0000-0000-0000F7600000}"/>
    <cellStyle name="40% - Accent6 10 5" xfId="26851" xr:uid="{00000000-0005-0000-0000-0000F8600000}"/>
    <cellStyle name="40% - Accent6 10 5 2" xfId="35533" xr:uid="{00000000-0005-0000-0000-0000F9600000}"/>
    <cellStyle name="40% - Accent6 10 6" xfId="36406" xr:uid="{00000000-0005-0000-0000-0000FA600000}"/>
    <cellStyle name="40% - Accent6 10 7" xfId="36692" xr:uid="{00000000-0005-0000-0000-0000FB600000}"/>
    <cellStyle name="40% - Accent6 10 8" xfId="37577" xr:uid="{00000000-0005-0000-0000-0000FC600000}"/>
    <cellStyle name="40% - Accent6 11" xfId="26819" xr:uid="{00000000-0005-0000-0000-0000FD600000}"/>
    <cellStyle name="40% - Accent6 11 2" xfId="26809" xr:uid="{00000000-0005-0000-0000-0000FE600000}"/>
    <cellStyle name="40% - Accent6 11 2 2" xfId="35129" xr:uid="{00000000-0005-0000-0000-0000FF600000}"/>
    <cellStyle name="40% - Accent6 11 3" xfId="34701" xr:uid="{00000000-0005-0000-0000-000000610000}"/>
    <cellStyle name="40% - Accent6 11 4" xfId="35553" xr:uid="{00000000-0005-0000-0000-000001610000}"/>
    <cellStyle name="40% - Accent6 11 5" xfId="36426" xr:uid="{00000000-0005-0000-0000-000002610000}"/>
    <cellStyle name="40% - Accent6 11 6" xfId="36712" xr:uid="{00000000-0005-0000-0000-000003610000}"/>
    <cellStyle name="40% - Accent6 11 7" xfId="37597" xr:uid="{00000000-0005-0000-0000-000004610000}"/>
    <cellStyle name="40% - Accent6 12" xfId="29038" xr:uid="{00000000-0005-0000-0000-000005610000}"/>
    <cellStyle name="40% - Accent6 12 2" xfId="34719" xr:uid="{00000000-0005-0000-0000-000006610000}"/>
    <cellStyle name="40% - Accent6 12 3" xfId="35332" xr:uid="{00000000-0005-0000-0000-000007610000}"/>
    <cellStyle name="40% - Accent6 12 4" xfId="35572" xr:uid="{00000000-0005-0000-0000-000008610000}"/>
    <cellStyle name="40% - Accent6 12 5" xfId="36445" xr:uid="{00000000-0005-0000-0000-000009610000}"/>
    <cellStyle name="40% - Accent6 12 6" xfId="36731" xr:uid="{00000000-0005-0000-0000-00000A610000}"/>
    <cellStyle name="40% - Accent6 12 7" xfId="37616" xr:uid="{00000000-0005-0000-0000-00000B610000}"/>
    <cellStyle name="40% - Accent6 13" xfId="29322" xr:uid="{00000000-0005-0000-0000-00000C610000}"/>
    <cellStyle name="40% - Accent6 13 2" xfId="34747" xr:uid="{00000000-0005-0000-0000-00000D610000}"/>
    <cellStyle name="40% - Accent6 13 3" xfId="35591" xr:uid="{00000000-0005-0000-0000-00000E610000}"/>
    <cellStyle name="40% - Accent6 13 4" xfId="36466" xr:uid="{00000000-0005-0000-0000-00000F610000}"/>
    <cellStyle name="40% - Accent6 13 5" xfId="36752" xr:uid="{00000000-0005-0000-0000-000010610000}"/>
    <cellStyle name="40% - Accent6 13 6" xfId="37637" xr:uid="{00000000-0005-0000-0000-000011610000}"/>
    <cellStyle name="40% - Accent6 14" xfId="8318" xr:uid="{00000000-0005-0000-0000-000012610000}"/>
    <cellStyle name="40% - Accent6 14 2" xfId="34937" xr:uid="{00000000-0005-0000-0000-000013610000}"/>
    <cellStyle name="40% - Accent6 14 3" xfId="36765" xr:uid="{00000000-0005-0000-0000-000014610000}"/>
    <cellStyle name="40% - Accent6 14 4" xfId="37650" xr:uid="{00000000-0005-0000-0000-000015610000}"/>
    <cellStyle name="40% - Accent6 15" xfId="34658" xr:uid="{00000000-0005-0000-0000-000016610000}"/>
    <cellStyle name="40% - Accent6 15 2" xfId="36491" xr:uid="{00000000-0005-0000-0000-000017610000}"/>
    <cellStyle name="40% - Accent6 15 3" xfId="36789" xr:uid="{00000000-0005-0000-0000-000018610000}"/>
    <cellStyle name="40% - Accent6 15 4" xfId="37677" xr:uid="{00000000-0005-0000-0000-000019610000}"/>
    <cellStyle name="40% - Accent6 16" xfId="35371" xr:uid="{00000000-0005-0000-0000-00001A610000}"/>
    <cellStyle name="40% - Accent6 16 2" xfId="36509" xr:uid="{00000000-0005-0000-0000-00001B610000}"/>
    <cellStyle name="40% - Accent6 16 3" xfId="36807" xr:uid="{00000000-0005-0000-0000-00001C610000}"/>
    <cellStyle name="40% - Accent6 16 4" xfId="37696" xr:uid="{00000000-0005-0000-0000-00001D610000}"/>
    <cellStyle name="40% - Accent6 17" xfId="35658" xr:uid="{00000000-0005-0000-0000-00001E610000}"/>
    <cellStyle name="40% - Accent6 17 2" xfId="36826" xr:uid="{00000000-0005-0000-0000-00001F610000}"/>
    <cellStyle name="40% - Accent6 17 3" xfId="37716" xr:uid="{00000000-0005-0000-0000-000020610000}"/>
    <cellStyle name="40% - Accent6 18" xfId="35676" xr:uid="{00000000-0005-0000-0000-000021610000}"/>
    <cellStyle name="40% - Accent6 18 2" xfId="36845" xr:uid="{00000000-0005-0000-0000-000022610000}"/>
    <cellStyle name="40% - Accent6 18 3" xfId="37735" xr:uid="{00000000-0005-0000-0000-000023610000}"/>
    <cellStyle name="40% - Accent6 19" xfId="35695" xr:uid="{00000000-0005-0000-0000-000024610000}"/>
    <cellStyle name="40% - Accent6 19 2" xfId="36864" xr:uid="{00000000-0005-0000-0000-000025610000}"/>
    <cellStyle name="40% - Accent6 19 3" xfId="37754" xr:uid="{00000000-0005-0000-0000-000026610000}"/>
    <cellStyle name="40% - Accent6 2" xfId="94" xr:uid="{00000000-0005-0000-0000-000027610000}"/>
    <cellStyle name="40% - Accent6 2 10" xfId="7132" xr:uid="{00000000-0005-0000-0000-000028610000}"/>
    <cellStyle name="40% - Accent6 2 10 2" xfId="7131" xr:uid="{00000000-0005-0000-0000-000029610000}"/>
    <cellStyle name="40% - Accent6 2 10 3" xfId="37435" xr:uid="{00000000-0005-0000-0000-00002A610000}"/>
    <cellStyle name="40% - Accent6 2 11" xfId="7129" xr:uid="{00000000-0005-0000-0000-00002B610000}"/>
    <cellStyle name="40% - Accent6 2 12" xfId="34449" xr:uid="{00000000-0005-0000-0000-00002C610000}"/>
    <cellStyle name="40% - Accent6 2 13" xfId="8005" xr:uid="{00000000-0005-0000-0000-00002D610000}"/>
    <cellStyle name="40% - Accent6 2 2" xfId="155" xr:uid="{00000000-0005-0000-0000-00002E610000}"/>
    <cellStyle name="40% - Accent6 2 2 10" xfId="31075" xr:uid="{00000000-0005-0000-0000-00002F610000}"/>
    <cellStyle name="40% - Accent6 2 2 11" xfId="34504" xr:uid="{00000000-0005-0000-0000-000030610000}"/>
    <cellStyle name="40% - Accent6 2 2 12" xfId="8001" xr:uid="{00000000-0005-0000-0000-000031610000}"/>
    <cellStyle name="40% - Accent6 2 2 2" xfId="7994" xr:uid="{00000000-0005-0000-0000-000032610000}"/>
    <cellStyle name="40% - Accent6 2 2 2 2" xfId="15018" xr:uid="{00000000-0005-0000-0000-000033610000}"/>
    <cellStyle name="40% - Accent6 2 2 2 2 2" xfId="24414" xr:uid="{00000000-0005-0000-0000-000034610000}"/>
    <cellStyle name="40% - Accent6 2 2 2 2 2 2" xfId="20721" xr:uid="{00000000-0005-0000-0000-000035610000}"/>
    <cellStyle name="40% - Accent6 2 2 2 2 2 2 2" xfId="19878" xr:uid="{00000000-0005-0000-0000-000036610000}"/>
    <cellStyle name="40% - Accent6 2 2 2 2 2 2 2 2" xfId="7128" xr:uid="{00000000-0005-0000-0000-000037610000}"/>
    <cellStyle name="40% - Accent6 2 2 2 2 2 2 2 2 2" xfId="7127" xr:uid="{00000000-0005-0000-0000-000038610000}"/>
    <cellStyle name="40% - Accent6 2 2 2 2 2 2 2 2 2 2" xfId="24195" xr:uid="{00000000-0005-0000-0000-000039610000}"/>
    <cellStyle name="40% - Accent6 2 2 2 2 2 2 2 2 2 2 2" xfId="7126" xr:uid="{00000000-0005-0000-0000-00003A610000}"/>
    <cellStyle name="40% - Accent6 2 2 2 2 2 2 2 2 2 3" xfId="21897" xr:uid="{00000000-0005-0000-0000-00003B610000}"/>
    <cellStyle name="40% - Accent6 2 2 2 2 2 2 2 2 3" xfId="7124" xr:uid="{00000000-0005-0000-0000-00003C610000}"/>
    <cellStyle name="40% - Accent6 2 2 2 2 2 2 2 2 3 2" xfId="33781" xr:uid="{00000000-0005-0000-0000-00003D610000}"/>
    <cellStyle name="40% - Accent6 2 2 2 2 2 2 2 2 4" xfId="7120" xr:uid="{00000000-0005-0000-0000-00003E610000}"/>
    <cellStyle name="40% - Accent6 2 2 2 2 2 2 2 3" xfId="7118" xr:uid="{00000000-0005-0000-0000-00003F610000}"/>
    <cellStyle name="40% - Accent6 2 2 2 2 2 2 2 3 2" xfId="21980" xr:uid="{00000000-0005-0000-0000-000040610000}"/>
    <cellStyle name="40% - Accent6 2 2 2 2 2 2 2 3 2 2" xfId="24176" xr:uid="{00000000-0005-0000-0000-000041610000}"/>
    <cellStyle name="40% - Accent6 2 2 2 2 2 2 2 3 3" xfId="21349" xr:uid="{00000000-0005-0000-0000-000042610000}"/>
    <cellStyle name="40% - Accent6 2 2 2 2 2 2 2 4" xfId="22878" xr:uid="{00000000-0005-0000-0000-000043610000}"/>
    <cellStyle name="40% - Accent6 2 2 2 2 2 2 2 4 2" xfId="21978" xr:uid="{00000000-0005-0000-0000-000044610000}"/>
    <cellStyle name="40% - Accent6 2 2 2 2 2 2 2 5" xfId="19082" xr:uid="{00000000-0005-0000-0000-000045610000}"/>
    <cellStyle name="40% - Accent6 2 2 2 2 2 2 3" xfId="6605" xr:uid="{00000000-0005-0000-0000-000046610000}"/>
    <cellStyle name="40% - Accent6 2 2 2 2 2 2 3 2" xfId="12856" xr:uid="{00000000-0005-0000-0000-000047610000}"/>
    <cellStyle name="40% - Accent6 2 2 2 2 2 2 3 2 2" xfId="7116" xr:uid="{00000000-0005-0000-0000-000048610000}"/>
    <cellStyle name="40% - Accent6 2 2 2 2 2 2 3 2 2 2" xfId="24097" xr:uid="{00000000-0005-0000-0000-000049610000}"/>
    <cellStyle name="40% - Accent6 2 2 2 2 2 2 3 2 3" xfId="7115" xr:uid="{00000000-0005-0000-0000-00004A610000}"/>
    <cellStyle name="40% - Accent6 2 2 2 2 2 2 3 3" xfId="7113" xr:uid="{00000000-0005-0000-0000-00004B610000}"/>
    <cellStyle name="40% - Accent6 2 2 2 2 2 2 3 3 2" xfId="21977" xr:uid="{00000000-0005-0000-0000-00004C610000}"/>
    <cellStyle name="40% - Accent6 2 2 2 2 2 2 3 4" xfId="7109" xr:uid="{00000000-0005-0000-0000-00004D610000}"/>
    <cellStyle name="40% - Accent6 2 2 2 2 2 2 4" xfId="29067" xr:uid="{00000000-0005-0000-0000-00004E610000}"/>
    <cellStyle name="40% - Accent6 2 2 2 2 2 2 4 2" xfId="7105" xr:uid="{00000000-0005-0000-0000-00004F610000}"/>
    <cellStyle name="40% - Accent6 2 2 2 2 2 2 4 2 2" xfId="7101" xr:uid="{00000000-0005-0000-0000-000050610000}"/>
    <cellStyle name="40% - Accent6 2 2 2 2 2 2 4 3" xfId="7100" xr:uid="{00000000-0005-0000-0000-000051610000}"/>
    <cellStyle name="40% - Accent6 2 2 2 2 2 2 5" xfId="10421" xr:uid="{00000000-0005-0000-0000-000052610000}"/>
    <cellStyle name="40% - Accent6 2 2 2 2 2 2 5 2" xfId="12217" xr:uid="{00000000-0005-0000-0000-000053610000}"/>
    <cellStyle name="40% - Accent6 2 2 2 2 2 2 6" xfId="7097" xr:uid="{00000000-0005-0000-0000-000054610000}"/>
    <cellStyle name="40% - Accent6 2 2 2 2 2 3" xfId="33478" xr:uid="{00000000-0005-0000-0000-000055610000}"/>
    <cellStyle name="40% - Accent6 2 2 2 2 2 3 2" xfId="9105" xr:uid="{00000000-0005-0000-0000-000056610000}"/>
    <cellStyle name="40% - Accent6 2 2 2 2 2 3 2 2" xfId="8656" xr:uid="{00000000-0005-0000-0000-000057610000}"/>
    <cellStyle name="40% - Accent6 2 2 2 2 2 3 2 2 2" xfId="7094" xr:uid="{00000000-0005-0000-0000-000058610000}"/>
    <cellStyle name="40% - Accent6 2 2 2 2 2 3 2 2 2 2" xfId="27795" xr:uid="{00000000-0005-0000-0000-000059610000}"/>
    <cellStyle name="40% - Accent6 2 2 2 2 2 3 2 2 3" xfId="8987" xr:uid="{00000000-0005-0000-0000-00005A610000}"/>
    <cellStyle name="40% - Accent6 2 2 2 2 2 3 2 3" xfId="7092" xr:uid="{00000000-0005-0000-0000-00005B610000}"/>
    <cellStyle name="40% - Accent6 2 2 2 2 2 3 2 3 2" xfId="21974" xr:uid="{00000000-0005-0000-0000-00005C610000}"/>
    <cellStyle name="40% - Accent6 2 2 2 2 2 3 2 4" xfId="7090" xr:uid="{00000000-0005-0000-0000-00005D610000}"/>
    <cellStyle name="40% - Accent6 2 2 2 2 2 3 3" xfId="29053" xr:uid="{00000000-0005-0000-0000-00005E610000}"/>
    <cellStyle name="40% - Accent6 2 2 2 2 2 3 3 2" xfId="22766" xr:uid="{00000000-0005-0000-0000-00005F610000}"/>
    <cellStyle name="40% - Accent6 2 2 2 2 2 3 3 2 2" xfId="7087" xr:uid="{00000000-0005-0000-0000-000060610000}"/>
    <cellStyle name="40% - Accent6 2 2 2 2 2 3 3 3" xfId="7121" xr:uid="{00000000-0005-0000-0000-000061610000}"/>
    <cellStyle name="40% - Accent6 2 2 2 2 2 3 4" xfId="10414" xr:uid="{00000000-0005-0000-0000-000062610000}"/>
    <cellStyle name="40% - Accent6 2 2 2 2 2 3 4 2" xfId="25482" xr:uid="{00000000-0005-0000-0000-000063610000}"/>
    <cellStyle name="40% - Accent6 2 2 2 2 2 3 5" xfId="7086" xr:uid="{00000000-0005-0000-0000-000064610000}"/>
    <cellStyle name="40% - Accent6 2 2 2 2 2 4" xfId="30575" xr:uid="{00000000-0005-0000-0000-000065610000}"/>
    <cellStyle name="40% - Accent6 2 2 2 2 2 4 2" xfId="9096" xr:uid="{00000000-0005-0000-0000-000066610000}"/>
    <cellStyle name="40% - Accent6 2 2 2 2 2 4 2 2" xfId="7084" xr:uid="{00000000-0005-0000-0000-000067610000}"/>
    <cellStyle name="40% - Accent6 2 2 2 2 2 4 2 2 2" xfId="7082" xr:uid="{00000000-0005-0000-0000-000068610000}"/>
    <cellStyle name="40% - Accent6 2 2 2 2 2 4 2 3" xfId="5452" xr:uid="{00000000-0005-0000-0000-000069610000}"/>
    <cellStyle name="40% - Accent6 2 2 2 2 2 4 3" xfId="14313" xr:uid="{00000000-0005-0000-0000-00006A610000}"/>
    <cellStyle name="40% - Accent6 2 2 2 2 2 4 3 2" xfId="28036" xr:uid="{00000000-0005-0000-0000-00006B610000}"/>
    <cellStyle name="40% - Accent6 2 2 2 2 2 4 4" xfId="7081" xr:uid="{00000000-0005-0000-0000-00006C610000}"/>
    <cellStyle name="40% - Accent6 2 2 2 2 2 5" xfId="15809" xr:uid="{00000000-0005-0000-0000-00006D610000}"/>
    <cellStyle name="40% - Accent6 2 2 2 2 2 5 2" xfId="7080" xr:uid="{00000000-0005-0000-0000-00006E610000}"/>
    <cellStyle name="40% - Accent6 2 2 2 2 2 5 2 2" xfId="6624" xr:uid="{00000000-0005-0000-0000-00006F610000}"/>
    <cellStyle name="40% - Accent6 2 2 2 2 2 5 3" xfId="7078" xr:uid="{00000000-0005-0000-0000-000070610000}"/>
    <cellStyle name="40% - Accent6 2 2 2 2 2 6" xfId="15804" xr:uid="{00000000-0005-0000-0000-000071610000}"/>
    <cellStyle name="40% - Accent6 2 2 2 2 2 6 2" xfId="7077" xr:uid="{00000000-0005-0000-0000-000072610000}"/>
    <cellStyle name="40% - Accent6 2 2 2 2 2 7" xfId="28780" xr:uid="{00000000-0005-0000-0000-000073610000}"/>
    <cellStyle name="40% - Accent6 2 2 2 2 3" xfId="7989" xr:uid="{00000000-0005-0000-0000-000074610000}"/>
    <cellStyle name="40% - Accent6 2 2 2 2 3 2" xfId="32505" xr:uid="{00000000-0005-0000-0000-000075610000}"/>
    <cellStyle name="40% - Accent6 2 2 2 2 3 2 2" xfId="31109" xr:uid="{00000000-0005-0000-0000-000076610000}"/>
    <cellStyle name="40% - Accent6 2 2 2 2 3 2 2 2" xfId="24759" xr:uid="{00000000-0005-0000-0000-000077610000}"/>
    <cellStyle name="40% - Accent6 2 2 2 2 3 2 2 2 2" xfId="7076" xr:uid="{00000000-0005-0000-0000-000078610000}"/>
    <cellStyle name="40% - Accent6 2 2 2 2 3 2 2 2 2 2" xfId="23162" xr:uid="{00000000-0005-0000-0000-000079610000}"/>
    <cellStyle name="40% - Accent6 2 2 2 2 3 2 2 2 3" xfId="7073" xr:uid="{00000000-0005-0000-0000-00007A610000}"/>
    <cellStyle name="40% - Accent6 2 2 2 2 3 2 2 3" xfId="9135" xr:uid="{00000000-0005-0000-0000-00007B610000}"/>
    <cellStyle name="40% - Accent6 2 2 2 2 3 2 2 3 2" xfId="23830" xr:uid="{00000000-0005-0000-0000-00007C610000}"/>
    <cellStyle name="40% - Accent6 2 2 2 2 3 2 2 4" xfId="7069" xr:uid="{00000000-0005-0000-0000-00007D610000}"/>
    <cellStyle name="40% - Accent6 2 2 2 2 3 2 3" xfId="28944" xr:uid="{00000000-0005-0000-0000-00007E610000}"/>
    <cellStyle name="40% - Accent6 2 2 2 2 3 2 3 2" xfId="28567" xr:uid="{00000000-0005-0000-0000-00007F610000}"/>
    <cellStyle name="40% - Accent6 2 2 2 2 3 2 3 2 2" xfId="26828" xr:uid="{00000000-0005-0000-0000-000080610000}"/>
    <cellStyle name="40% - Accent6 2 2 2 2 3 2 3 3" xfId="5401" xr:uid="{00000000-0005-0000-0000-000081610000}"/>
    <cellStyle name="40% - Accent6 2 2 2 2 3 2 4" xfId="10404" xr:uid="{00000000-0005-0000-0000-000082610000}"/>
    <cellStyle name="40% - Accent6 2 2 2 2 3 2 4 2" xfId="7065" xr:uid="{00000000-0005-0000-0000-000083610000}"/>
    <cellStyle name="40% - Accent6 2 2 2 2 3 2 5" xfId="7063" xr:uid="{00000000-0005-0000-0000-000084610000}"/>
    <cellStyle name="40% - Accent6 2 2 2 2 3 3" xfId="7060" xr:uid="{00000000-0005-0000-0000-000085610000}"/>
    <cellStyle name="40% - Accent6 2 2 2 2 3 3 2" xfId="9087" xr:uid="{00000000-0005-0000-0000-000086610000}"/>
    <cellStyle name="40% - Accent6 2 2 2 2 3 3 2 2" xfId="27138" xr:uid="{00000000-0005-0000-0000-000087610000}"/>
    <cellStyle name="40% - Accent6 2 2 2 2 3 3 2 2 2" xfId="7059" xr:uid="{00000000-0005-0000-0000-000088610000}"/>
    <cellStyle name="40% - Accent6 2 2 2 2 3 3 2 3" xfId="5387" xr:uid="{00000000-0005-0000-0000-000089610000}"/>
    <cellStyle name="40% - Accent6 2 2 2 2 3 3 3" xfId="13798" xr:uid="{00000000-0005-0000-0000-00008A610000}"/>
    <cellStyle name="40% - Accent6 2 2 2 2 3 3 3 2" xfId="25467" xr:uid="{00000000-0005-0000-0000-00008B610000}"/>
    <cellStyle name="40% - Accent6 2 2 2 2 3 3 4" xfId="13796" xr:uid="{00000000-0005-0000-0000-00008C610000}"/>
    <cellStyle name="40% - Accent6 2 2 2 2 3 4" xfId="7056" xr:uid="{00000000-0005-0000-0000-00008D610000}"/>
    <cellStyle name="40% - Accent6 2 2 2 2 3 4 2" xfId="7054" xr:uid="{00000000-0005-0000-0000-00008E610000}"/>
    <cellStyle name="40% - Accent6 2 2 2 2 3 4 2 2" xfId="7052" xr:uid="{00000000-0005-0000-0000-00008F610000}"/>
    <cellStyle name="40% - Accent6 2 2 2 2 3 4 3" xfId="13791" xr:uid="{00000000-0005-0000-0000-000090610000}"/>
    <cellStyle name="40% - Accent6 2 2 2 2 3 5" xfId="15800" xr:uid="{00000000-0005-0000-0000-000091610000}"/>
    <cellStyle name="40% - Accent6 2 2 2 2 3 5 2" xfId="7051" xr:uid="{00000000-0005-0000-0000-000092610000}"/>
    <cellStyle name="40% - Accent6 2 2 2 2 3 6" xfId="7049" xr:uid="{00000000-0005-0000-0000-000093610000}"/>
    <cellStyle name="40% - Accent6 2 2 2 2 4" xfId="28928" xr:uid="{00000000-0005-0000-0000-000094610000}"/>
    <cellStyle name="40% - Accent6 2 2 2 2 4 2" xfId="24457" xr:uid="{00000000-0005-0000-0000-000095610000}"/>
    <cellStyle name="40% - Accent6 2 2 2 2 4 2 2" xfId="7047" xr:uid="{00000000-0005-0000-0000-000096610000}"/>
    <cellStyle name="40% - Accent6 2 2 2 2 4 2 2 2" xfId="26928" xr:uid="{00000000-0005-0000-0000-000097610000}"/>
    <cellStyle name="40% - Accent6 2 2 2 2 4 2 2 2 2" xfId="17074" xr:uid="{00000000-0005-0000-0000-000098610000}"/>
    <cellStyle name="40% - Accent6 2 2 2 2 4 2 2 3" xfId="7045" xr:uid="{00000000-0005-0000-0000-000099610000}"/>
    <cellStyle name="40% - Accent6 2 2 2 2 4 2 3" xfId="10399" xr:uid="{00000000-0005-0000-0000-00009A610000}"/>
    <cellStyle name="40% - Accent6 2 2 2 2 4 2 3 2" xfId="7043" xr:uid="{00000000-0005-0000-0000-00009B610000}"/>
    <cellStyle name="40% - Accent6 2 2 2 2 4 2 4" xfId="7042" xr:uid="{00000000-0005-0000-0000-00009C610000}"/>
    <cellStyle name="40% - Accent6 2 2 2 2 4 3" xfId="24452" xr:uid="{00000000-0005-0000-0000-00009D610000}"/>
    <cellStyle name="40% - Accent6 2 2 2 2 4 3 2" xfId="7040" xr:uid="{00000000-0005-0000-0000-00009E610000}"/>
    <cellStyle name="40% - Accent6 2 2 2 2 4 3 2 2" xfId="7036" xr:uid="{00000000-0005-0000-0000-00009F610000}"/>
    <cellStyle name="40% - Accent6 2 2 2 2 4 3 3" xfId="13783" xr:uid="{00000000-0005-0000-0000-0000A0610000}"/>
    <cellStyle name="40% - Accent6 2 2 2 2 4 4" xfId="21563" xr:uid="{00000000-0005-0000-0000-0000A1610000}"/>
    <cellStyle name="40% - Accent6 2 2 2 2 4 4 2" xfId="7035" xr:uid="{00000000-0005-0000-0000-0000A2610000}"/>
    <cellStyle name="40% - Accent6 2 2 2 2 4 5" xfId="7032" xr:uid="{00000000-0005-0000-0000-0000A3610000}"/>
    <cellStyle name="40% - Accent6 2 2 2 2 5" xfId="26650" xr:uid="{00000000-0005-0000-0000-0000A4610000}"/>
    <cellStyle name="40% - Accent6 2 2 2 2 5 2" xfId="26648" xr:uid="{00000000-0005-0000-0000-0000A5610000}"/>
    <cellStyle name="40% - Accent6 2 2 2 2 5 2 2" xfId="7029" xr:uid="{00000000-0005-0000-0000-0000A6610000}"/>
    <cellStyle name="40% - Accent6 2 2 2 2 5 2 2 2" xfId="30766" xr:uid="{00000000-0005-0000-0000-0000A7610000}"/>
    <cellStyle name="40% - Accent6 2 2 2 2 5 2 3" xfId="7026" xr:uid="{00000000-0005-0000-0000-0000A8610000}"/>
    <cellStyle name="40% - Accent6 2 2 2 2 5 3" xfId="30676" xr:uid="{00000000-0005-0000-0000-0000A9610000}"/>
    <cellStyle name="40% - Accent6 2 2 2 2 5 3 2" xfId="7023" xr:uid="{00000000-0005-0000-0000-0000AA610000}"/>
    <cellStyle name="40% - Accent6 2 2 2 2 5 4" xfId="7020" xr:uid="{00000000-0005-0000-0000-0000AB610000}"/>
    <cellStyle name="40% - Accent6 2 2 2 2 6" xfId="26635" xr:uid="{00000000-0005-0000-0000-0000AC610000}"/>
    <cellStyle name="40% - Accent6 2 2 2 2 6 2" xfId="26629" xr:uid="{00000000-0005-0000-0000-0000AD610000}"/>
    <cellStyle name="40% - Accent6 2 2 2 2 6 2 2" xfId="7017" xr:uid="{00000000-0005-0000-0000-0000AE610000}"/>
    <cellStyle name="40% - Accent6 2 2 2 2 6 3" xfId="7013" xr:uid="{00000000-0005-0000-0000-0000AF610000}"/>
    <cellStyle name="40% - Accent6 2 2 2 2 7" xfId="31612" xr:uid="{00000000-0005-0000-0000-0000B0610000}"/>
    <cellStyle name="40% - Accent6 2 2 2 2 7 2" xfId="7011" xr:uid="{00000000-0005-0000-0000-0000B1610000}"/>
    <cellStyle name="40% - Accent6 2 2 2 2 8" xfId="7998" xr:uid="{00000000-0005-0000-0000-0000B2610000}"/>
    <cellStyle name="40% - Accent6 2 2 2 3" xfId="25142" xr:uid="{00000000-0005-0000-0000-0000B3610000}"/>
    <cellStyle name="40% - Accent6 2 2 2 3 2" xfId="7984" xr:uid="{00000000-0005-0000-0000-0000B4610000}"/>
    <cellStyle name="40% - Accent6 2 2 2 3 2 2" xfId="33758" xr:uid="{00000000-0005-0000-0000-0000B5610000}"/>
    <cellStyle name="40% - Accent6 2 2 2 3 2 2 2" xfId="19793" xr:uid="{00000000-0005-0000-0000-0000B6610000}"/>
    <cellStyle name="40% - Accent6 2 2 2 3 2 2 2 2" xfId="7010" xr:uid="{00000000-0005-0000-0000-0000B7610000}"/>
    <cellStyle name="40% - Accent6 2 2 2 3 2 2 2 2 2" xfId="34389" xr:uid="{00000000-0005-0000-0000-0000B8610000}"/>
    <cellStyle name="40% - Accent6 2 2 2 3 2 2 2 2 2 2" xfId="21436" xr:uid="{00000000-0005-0000-0000-0000B9610000}"/>
    <cellStyle name="40% - Accent6 2 2 2 3 2 2 2 2 3" xfId="31639" xr:uid="{00000000-0005-0000-0000-0000BA610000}"/>
    <cellStyle name="40% - Accent6 2 2 2 3 2 2 2 3" xfId="7009" xr:uid="{00000000-0005-0000-0000-0000BB610000}"/>
    <cellStyle name="40% - Accent6 2 2 2 3 2 2 2 3 2" xfId="33566" xr:uid="{00000000-0005-0000-0000-0000BC610000}"/>
    <cellStyle name="40% - Accent6 2 2 2 3 2 2 2 4" xfId="7007" xr:uid="{00000000-0005-0000-0000-0000BD610000}"/>
    <cellStyle name="40% - Accent6 2 2 2 3 2 2 3" xfId="28717" xr:uid="{00000000-0005-0000-0000-0000BE610000}"/>
    <cellStyle name="40% - Accent6 2 2 2 3 2 2 3 2" xfId="11620" xr:uid="{00000000-0005-0000-0000-0000BF610000}"/>
    <cellStyle name="40% - Accent6 2 2 2 3 2 2 3 2 2" xfId="29604" xr:uid="{00000000-0005-0000-0000-0000C0610000}"/>
    <cellStyle name="40% - Accent6 2 2 2 3 2 2 3 3" xfId="11616" xr:uid="{00000000-0005-0000-0000-0000C1610000}"/>
    <cellStyle name="40% - Accent6 2 2 2 3 2 2 4" xfId="10340" xr:uid="{00000000-0005-0000-0000-0000C2610000}"/>
    <cellStyle name="40% - Accent6 2 2 2 3 2 2 4 2" xfId="11601" xr:uid="{00000000-0005-0000-0000-0000C3610000}"/>
    <cellStyle name="40% - Accent6 2 2 2 3 2 2 5" xfId="7004" xr:uid="{00000000-0005-0000-0000-0000C4610000}"/>
    <cellStyle name="40% - Accent6 2 2 2 3 2 3" xfId="7002" xr:uid="{00000000-0005-0000-0000-0000C5610000}"/>
    <cellStyle name="40% - Accent6 2 2 2 3 2 3 2" xfId="9048" xr:uid="{00000000-0005-0000-0000-0000C6610000}"/>
    <cellStyle name="40% - Accent6 2 2 2 3 2 3 2 2" xfId="7000" xr:uid="{00000000-0005-0000-0000-0000C7610000}"/>
    <cellStyle name="40% - Accent6 2 2 2 3 2 3 2 2 2" xfId="27954" xr:uid="{00000000-0005-0000-0000-0000C8610000}"/>
    <cellStyle name="40% - Accent6 2 2 2 3 2 3 2 3" xfId="6999" xr:uid="{00000000-0005-0000-0000-0000C9610000}"/>
    <cellStyle name="40% - Accent6 2 2 2 3 2 3 3" xfId="10338" xr:uid="{00000000-0005-0000-0000-0000CA610000}"/>
    <cellStyle name="40% - Accent6 2 2 2 3 2 3 3 2" xfId="28039" xr:uid="{00000000-0005-0000-0000-0000CB610000}"/>
    <cellStyle name="40% - Accent6 2 2 2 3 2 3 4" xfId="6997" xr:uid="{00000000-0005-0000-0000-0000CC610000}"/>
    <cellStyle name="40% - Accent6 2 2 2 3 2 4" xfId="6996" xr:uid="{00000000-0005-0000-0000-0000CD610000}"/>
    <cellStyle name="40% - Accent6 2 2 2 3 2 4 2" xfId="32489" xr:uid="{00000000-0005-0000-0000-0000CE610000}"/>
    <cellStyle name="40% - Accent6 2 2 2 3 2 4 2 2" xfId="6994" xr:uid="{00000000-0005-0000-0000-0000CF610000}"/>
    <cellStyle name="40% - Accent6 2 2 2 3 2 4 3" xfId="6993" xr:uid="{00000000-0005-0000-0000-0000D0610000}"/>
    <cellStyle name="40% - Accent6 2 2 2 3 2 5" xfId="31013" xr:uid="{00000000-0005-0000-0000-0000D1610000}"/>
    <cellStyle name="40% - Accent6 2 2 2 3 2 5 2" xfId="6992" xr:uid="{00000000-0005-0000-0000-0000D2610000}"/>
    <cellStyle name="40% - Accent6 2 2 2 3 2 6" xfId="6991" xr:uid="{00000000-0005-0000-0000-0000D3610000}"/>
    <cellStyle name="40% - Accent6 2 2 2 3 3" xfId="6989" xr:uid="{00000000-0005-0000-0000-0000D4610000}"/>
    <cellStyle name="40% - Accent6 2 2 2 3 3 2" xfId="6988" xr:uid="{00000000-0005-0000-0000-0000D5610000}"/>
    <cellStyle name="40% - Accent6 2 2 2 3 3 2 2" xfId="30410" xr:uid="{00000000-0005-0000-0000-0000D6610000}"/>
    <cellStyle name="40% - Accent6 2 2 2 3 3 2 2 2" xfId="26099" xr:uid="{00000000-0005-0000-0000-0000D7610000}"/>
    <cellStyle name="40% - Accent6 2 2 2 3 3 2 2 2 2" xfId="7540" xr:uid="{00000000-0005-0000-0000-0000D8610000}"/>
    <cellStyle name="40% - Accent6 2 2 2 3 3 2 2 3" xfId="6987" xr:uid="{00000000-0005-0000-0000-0000D9610000}"/>
    <cellStyle name="40% - Accent6 2 2 2 3 3 2 3" xfId="30363" xr:uid="{00000000-0005-0000-0000-0000DA610000}"/>
    <cellStyle name="40% - Accent6 2 2 2 3 3 2 3 2" xfId="11493" xr:uid="{00000000-0005-0000-0000-0000DB610000}"/>
    <cellStyle name="40% - Accent6 2 2 2 3 3 2 4" xfId="6985" xr:uid="{00000000-0005-0000-0000-0000DC610000}"/>
    <cellStyle name="40% - Accent6 2 2 2 3 3 3" xfId="6984" xr:uid="{00000000-0005-0000-0000-0000DD610000}"/>
    <cellStyle name="40% - Accent6 2 2 2 3 3 3 2" xfId="25026" xr:uid="{00000000-0005-0000-0000-0000DE610000}"/>
    <cellStyle name="40% - Accent6 2 2 2 3 3 3 2 2" xfId="6982" xr:uid="{00000000-0005-0000-0000-0000DF610000}"/>
    <cellStyle name="40% - Accent6 2 2 2 3 3 3 3" xfId="13771" xr:uid="{00000000-0005-0000-0000-0000E0610000}"/>
    <cellStyle name="40% - Accent6 2 2 2 3 3 4" xfId="6981" xr:uid="{00000000-0005-0000-0000-0000E1610000}"/>
    <cellStyle name="40% - Accent6 2 2 2 3 3 4 2" xfId="6979" xr:uid="{00000000-0005-0000-0000-0000E2610000}"/>
    <cellStyle name="40% - Accent6 2 2 2 3 3 5" xfId="6977" xr:uid="{00000000-0005-0000-0000-0000E3610000}"/>
    <cellStyle name="40% - Accent6 2 2 2 3 4" xfId="18024" xr:uid="{00000000-0005-0000-0000-0000E4610000}"/>
    <cellStyle name="40% - Accent6 2 2 2 3 4 2" xfId="18019" xr:uid="{00000000-0005-0000-0000-0000E5610000}"/>
    <cellStyle name="40% - Accent6 2 2 2 3 4 2 2" xfId="14500" xr:uid="{00000000-0005-0000-0000-0000E6610000}"/>
    <cellStyle name="40% - Accent6 2 2 2 3 4 2 2 2" xfId="6973" xr:uid="{00000000-0005-0000-0000-0000E7610000}"/>
    <cellStyle name="40% - Accent6 2 2 2 3 4 2 3" xfId="6970" xr:uid="{00000000-0005-0000-0000-0000E8610000}"/>
    <cellStyle name="40% - Accent6 2 2 2 3 4 3" xfId="30665" xr:uid="{00000000-0005-0000-0000-0000E9610000}"/>
    <cellStyle name="40% - Accent6 2 2 2 3 4 3 2" xfId="6967" xr:uid="{00000000-0005-0000-0000-0000EA610000}"/>
    <cellStyle name="40% - Accent6 2 2 2 3 4 4" xfId="6964" xr:uid="{00000000-0005-0000-0000-0000EB610000}"/>
    <cellStyle name="40% - Accent6 2 2 2 3 5" xfId="13330" xr:uid="{00000000-0005-0000-0000-0000EC610000}"/>
    <cellStyle name="40% - Accent6 2 2 2 3 5 2" xfId="26605" xr:uid="{00000000-0005-0000-0000-0000ED610000}"/>
    <cellStyle name="40% - Accent6 2 2 2 3 5 2 2" xfId="6961" xr:uid="{00000000-0005-0000-0000-0000EE610000}"/>
    <cellStyle name="40% - Accent6 2 2 2 3 5 3" xfId="31303" xr:uid="{00000000-0005-0000-0000-0000EF610000}"/>
    <cellStyle name="40% - Accent6 2 2 2 3 6" xfId="23391" xr:uid="{00000000-0005-0000-0000-0000F0610000}"/>
    <cellStyle name="40% - Accent6 2 2 2 3 6 2" xfId="5610" xr:uid="{00000000-0005-0000-0000-0000F1610000}"/>
    <cellStyle name="40% - Accent6 2 2 2 3 7" xfId="32549" xr:uid="{00000000-0005-0000-0000-0000F2610000}"/>
    <cellStyle name="40% - Accent6 2 2 2 4" xfId="24603" xr:uid="{00000000-0005-0000-0000-0000F3610000}"/>
    <cellStyle name="40% - Accent6 2 2 2 4 2" xfId="6957" xr:uid="{00000000-0005-0000-0000-0000F4610000}"/>
    <cellStyle name="40% - Accent6 2 2 2 4 2 2" xfId="6955" xr:uid="{00000000-0005-0000-0000-0000F5610000}"/>
    <cellStyle name="40% - Accent6 2 2 2 4 2 2 2" xfId="6954" xr:uid="{00000000-0005-0000-0000-0000F6610000}"/>
    <cellStyle name="40% - Accent6 2 2 2 4 2 2 2 2" xfId="33189" xr:uid="{00000000-0005-0000-0000-0000F7610000}"/>
    <cellStyle name="40% - Accent6 2 2 2 4 2 2 2 2 2" xfId="29532" xr:uid="{00000000-0005-0000-0000-0000F8610000}"/>
    <cellStyle name="40% - Accent6 2 2 2 4 2 2 2 3" xfId="33881" xr:uid="{00000000-0005-0000-0000-0000F9610000}"/>
    <cellStyle name="40% - Accent6 2 2 2 4 2 2 3" xfId="10297" xr:uid="{00000000-0005-0000-0000-0000FA610000}"/>
    <cellStyle name="40% - Accent6 2 2 2 4 2 2 3 2" xfId="33668" xr:uid="{00000000-0005-0000-0000-0000FB610000}"/>
    <cellStyle name="40% - Accent6 2 2 2 4 2 2 4" xfId="15062" xr:uid="{00000000-0005-0000-0000-0000FC610000}"/>
    <cellStyle name="40% - Accent6 2 2 2 4 2 3" xfId="6953" xr:uid="{00000000-0005-0000-0000-0000FD610000}"/>
    <cellStyle name="40% - Accent6 2 2 2 4 2 3 2" xfId="6951" xr:uid="{00000000-0005-0000-0000-0000FE610000}"/>
    <cellStyle name="40% - Accent6 2 2 2 4 2 3 2 2" xfId="33855" xr:uid="{00000000-0005-0000-0000-0000FF610000}"/>
    <cellStyle name="40% - Accent6 2 2 2 4 2 3 3" xfId="6948" xr:uid="{00000000-0005-0000-0000-000000620000}"/>
    <cellStyle name="40% - Accent6 2 2 2 4 2 4" xfId="6947" xr:uid="{00000000-0005-0000-0000-000001620000}"/>
    <cellStyle name="40% - Accent6 2 2 2 4 2 4 2" xfId="6946" xr:uid="{00000000-0005-0000-0000-000002620000}"/>
    <cellStyle name="40% - Accent6 2 2 2 4 2 5" xfId="6945" xr:uid="{00000000-0005-0000-0000-000003620000}"/>
    <cellStyle name="40% - Accent6 2 2 2 4 3" xfId="6944" xr:uid="{00000000-0005-0000-0000-000004620000}"/>
    <cellStyle name="40% - Accent6 2 2 2 4 3 2" xfId="6943" xr:uid="{00000000-0005-0000-0000-000005620000}"/>
    <cellStyle name="40% - Accent6 2 2 2 4 3 2 2" xfId="29894" xr:uid="{00000000-0005-0000-0000-000006620000}"/>
    <cellStyle name="40% - Accent6 2 2 2 4 3 2 2 2" xfId="33373" xr:uid="{00000000-0005-0000-0000-000007620000}"/>
    <cellStyle name="40% - Accent6 2 2 2 4 3 2 3" xfId="6942" xr:uid="{00000000-0005-0000-0000-000008620000}"/>
    <cellStyle name="40% - Accent6 2 2 2 4 3 3" xfId="6941" xr:uid="{00000000-0005-0000-0000-000009620000}"/>
    <cellStyle name="40% - Accent6 2 2 2 4 3 3 2" xfId="6940" xr:uid="{00000000-0005-0000-0000-00000A620000}"/>
    <cellStyle name="40% - Accent6 2 2 2 4 3 4" xfId="6939" xr:uid="{00000000-0005-0000-0000-00000B620000}"/>
    <cellStyle name="40% - Accent6 2 2 2 4 4" xfId="18004" xr:uid="{00000000-0005-0000-0000-00000C620000}"/>
    <cellStyle name="40% - Accent6 2 2 2 4 4 2" xfId="26594" xr:uid="{00000000-0005-0000-0000-00000D620000}"/>
    <cellStyle name="40% - Accent6 2 2 2 4 4 2 2" xfId="6937" xr:uid="{00000000-0005-0000-0000-00000E620000}"/>
    <cellStyle name="40% - Accent6 2 2 2 4 4 3" xfId="6934" xr:uid="{00000000-0005-0000-0000-00000F620000}"/>
    <cellStyle name="40% - Accent6 2 2 2 4 5" xfId="25773" xr:uid="{00000000-0005-0000-0000-000010620000}"/>
    <cellStyle name="40% - Accent6 2 2 2 4 5 2" xfId="30765" xr:uid="{00000000-0005-0000-0000-000011620000}"/>
    <cellStyle name="40% - Accent6 2 2 2 4 6" xfId="25533" xr:uid="{00000000-0005-0000-0000-000012620000}"/>
    <cellStyle name="40% - Accent6 2 2 2 5" xfId="33841" xr:uid="{00000000-0005-0000-0000-000013620000}"/>
    <cellStyle name="40% - Accent6 2 2 2 5 2" xfId="6932" xr:uid="{00000000-0005-0000-0000-000014620000}"/>
    <cellStyle name="40% - Accent6 2 2 2 5 2 2" xfId="6931" xr:uid="{00000000-0005-0000-0000-000015620000}"/>
    <cellStyle name="40% - Accent6 2 2 2 5 2 2 2" xfId="6929" xr:uid="{00000000-0005-0000-0000-000016620000}"/>
    <cellStyle name="40% - Accent6 2 2 2 5 2 2 2 2" xfId="28667" xr:uid="{00000000-0005-0000-0000-000017620000}"/>
    <cellStyle name="40% - Accent6 2 2 2 5 2 2 3" xfId="6483" xr:uid="{00000000-0005-0000-0000-000018620000}"/>
    <cellStyle name="40% - Accent6 2 2 2 5 2 3" xfId="20386" xr:uid="{00000000-0005-0000-0000-000019620000}"/>
    <cellStyle name="40% - Accent6 2 2 2 5 2 3 2" xfId="14648" xr:uid="{00000000-0005-0000-0000-00001A620000}"/>
    <cellStyle name="40% - Accent6 2 2 2 5 2 4" xfId="18592" xr:uid="{00000000-0005-0000-0000-00001B620000}"/>
    <cellStyle name="40% - Accent6 2 2 2 5 3" xfId="18784" xr:uid="{00000000-0005-0000-0000-00001C620000}"/>
    <cellStyle name="40% - Accent6 2 2 2 5 3 2" xfId="6928" xr:uid="{00000000-0005-0000-0000-00001D620000}"/>
    <cellStyle name="40% - Accent6 2 2 2 5 3 2 2" xfId="6926" xr:uid="{00000000-0005-0000-0000-00001E620000}"/>
    <cellStyle name="40% - Accent6 2 2 2 5 3 3" xfId="20249" xr:uid="{00000000-0005-0000-0000-00001F620000}"/>
    <cellStyle name="40% - Accent6 2 2 2 5 4" xfId="26582" xr:uid="{00000000-0005-0000-0000-000020620000}"/>
    <cellStyle name="40% - Accent6 2 2 2 5 4 2" xfId="6925" xr:uid="{00000000-0005-0000-0000-000021620000}"/>
    <cellStyle name="40% - Accent6 2 2 2 5 5" xfId="31266" xr:uid="{00000000-0005-0000-0000-000022620000}"/>
    <cellStyle name="40% - Accent6 2 2 2 6" xfId="13152" xr:uid="{00000000-0005-0000-0000-000023620000}"/>
    <cellStyle name="40% - Accent6 2 2 2 6 2" xfId="6923" xr:uid="{00000000-0005-0000-0000-000024620000}"/>
    <cellStyle name="40% - Accent6 2 2 2 6 2 2" xfId="6922" xr:uid="{00000000-0005-0000-0000-000025620000}"/>
    <cellStyle name="40% - Accent6 2 2 2 6 2 2 2" xfId="6920" xr:uid="{00000000-0005-0000-0000-000026620000}"/>
    <cellStyle name="40% - Accent6 2 2 2 6 2 3" xfId="24321" xr:uid="{00000000-0005-0000-0000-000027620000}"/>
    <cellStyle name="40% - Accent6 2 2 2 6 3" xfId="6918" xr:uid="{00000000-0005-0000-0000-000028620000}"/>
    <cellStyle name="40% - Accent6 2 2 2 6 3 2" xfId="6916" xr:uid="{00000000-0005-0000-0000-000029620000}"/>
    <cellStyle name="40% - Accent6 2 2 2 6 4" xfId="7813" xr:uid="{00000000-0005-0000-0000-00002A620000}"/>
    <cellStyle name="40% - Accent6 2 2 2 7" xfId="6913" xr:uid="{00000000-0005-0000-0000-00002B620000}"/>
    <cellStyle name="40% - Accent6 2 2 2 7 2" xfId="8796" xr:uid="{00000000-0005-0000-0000-00002C620000}"/>
    <cellStyle name="40% - Accent6 2 2 2 7 2 2" xfId="6912" xr:uid="{00000000-0005-0000-0000-00002D620000}"/>
    <cellStyle name="40% - Accent6 2 2 2 7 3" xfId="6909" xr:uid="{00000000-0005-0000-0000-00002E620000}"/>
    <cellStyle name="40% - Accent6 2 2 2 8" xfId="6908" xr:uid="{00000000-0005-0000-0000-00002F620000}"/>
    <cellStyle name="40% - Accent6 2 2 2 8 2" xfId="6907" xr:uid="{00000000-0005-0000-0000-000030620000}"/>
    <cellStyle name="40% - Accent6 2 2 2 9" xfId="27595" xr:uid="{00000000-0005-0000-0000-000031620000}"/>
    <cellStyle name="40% - Accent6 2 2 3" xfId="7980" xr:uid="{00000000-0005-0000-0000-000032620000}"/>
    <cellStyle name="40% - Accent6 2 2 3 2" xfId="7977" xr:uid="{00000000-0005-0000-0000-000033620000}"/>
    <cellStyle name="40% - Accent6 2 2 3 2 2" xfId="7974" xr:uid="{00000000-0005-0000-0000-000034620000}"/>
    <cellStyle name="40% - Accent6 2 2 3 2 2 2" xfId="33879" xr:uid="{00000000-0005-0000-0000-000035620000}"/>
    <cellStyle name="40% - Accent6 2 2 3 2 2 2 2" xfId="6905" xr:uid="{00000000-0005-0000-0000-000036620000}"/>
    <cellStyle name="40% - Accent6 2 2 3 2 2 2 2 2" xfId="6904" xr:uid="{00000000-0005-0000-0000-000037620000}"/>
    <cellStyle name="40% - Accent6 2 2 3 2 2 2 2 2 2" xfId="6903" xr:uid="{00000000-0005-0000-0000-000038620000}"/>
    <cellStyle name="40% - Accent6 2 2 3 2 2 2 2 2 2 2" xfId="6902" xr:uid="{00000000-0005-0000-0000-000039620000}"/>
    <cellStyle name="40% - Accent6 2 2 3 2 2 2 2 2 3" xfId="29564" xr:uid="{00000000-0005-0000-0000-00003A620000}"/>
    <cellStyle name="40% - Accent6 2 2 3 2 2 2 2 3" xfId="6900" xr:uid="{00000000-0005-0000-0000-00003B620000}"/>
    <cellStyle name="40% - Accent6 2 2 3 2 2 2 2 3 2" xfId="27622" xr:uid="{00000000-0005-0000-0000-00003C620000}"/>
    <cellStyle name="40% - Accent6 2 2 3 2 2 2 2 4" xfId="11740" xr:uid="{00000000-0005-0000-0000-00003D620000}"/>
    <cellStyle name="40% - Accent6 2 2 3 2 2 2 3" xfId="27764" xr:uid="{00000000-0005-0000-0000-00003E620000}"/>
    <cellStyle name="40% - Accent6 2 2 3 2 2 2 3 2" xfId="10073" xr:uid="{00000000-0005-0000-0000-00003F620000}"/>
    <cellStyle name="40% - Accent6 2 2 3 2 2 2 3 2 2" xfId="6898" xr:uid="{00000000-0005-0000-0000-000040620000}"/>
    <cellStyle name="40% - Accent6 2 2 3 2 2 2 3 3" xfId="10067" xr:uid="{00000000-0005-0000-0000-000041620000}"/>
    <cellStyle name="40% - Accent6 2 2 3 2 2 2 4" xfId="9603" xr:uid="{00000000-0005-0000-0000-000042620000}"/>
    <cellStyle name="40% - Accent6 2 2 3 2 2 2 4 2" xfId="10061" xr:uid="{00000000-0005-0000-0000-000043620000}"/>
    <cellStyle name="40% - Accent6 2 2 3 2 2 2 5" xfId="6897" xr:uid="{00000000-0005-0000-0000-000044620000}"/>
    <cellStyle name="40% - Accent6 2 2 3 2 2 3" xfId="6894" xr:uid="{00000000-0005-0000-0000-000045620000}"/>
    <cellStyle name="40% - Accent6 2 2 3 2 2 3 2" xfId="7186" xr:uid="{00000000-0005-0000-0000-000046620000}"/>
    <cellStyle name="40% - Accent6 2 2 3 2 2 3 2 2" xfId="6890" xr:uid="{00000000-0005-0000-0000-000047620000}"/>
    <cellStyle name="40% - Accent6 2 2 3 2 2 3 2 2 2" xfId="29107" xr:uid="{00000000-0005-0000-0000-000048620000}"/>
    <cellStyle name="40% - Accent6 2 2 3 2 2 3 2 3" xfId="6888" xr:uid="{00000000-0005-0000-0000-000049620000}"/>
    <cellStyle name="40% - Accent6 2 2 3 2 2 3 3" xfId="9599" xr:uid="{00000000-0005-0000-0000-00004A620000}"/>
    <cellStyle name="40% - Accent6 2 2 3 2 2 3 3 2" xfId="30912" xr:uid="{00000000-0005-0000-0000-00004B620000}"/>
    <cellStyle name="40% - Accent6 2 2 3 2 2 3 4" xfId="6886" xr:uid="{00000000-0005-0000-0000-00004C620000}"/>
    <cellStyle name="40% - Accent6 2 2 3 2 2 4" xfId="6885" xr:uid="{00000000-0005-0000-0000-00004D620000}"/>
    <cellStyle name="40% - Accent6 2 2 3 2 2 4 2" xfId="7180" xr:uid="{00000000-0005-0000-0000-00004E620000}"/>
    <cellStyle name="40% - Accent6 2 2 3 2 2 4 2 2" xfId="6884" xr:uid="{00000000-0005-0000-0000-00004F620000}"/>
    <cellStyle name="40% - Accent6 2 2 3 2 2 4 3" xfId="29183" xr:uid="{00000000-0005-0000-0000-000050620000}"/>
    <cellStyle name="40% - Accent6 2 2 3 2 2 5" xfId="15692" xr:uid="{00000000-0005-0000-0000-000051620000}"/>
    <cellStyle name="40% - Accent6 2 2 3 2 2 5 2" xfId="6883" xr:uid="{00000000-0005-0000-0000-000052620000}"/>
    <cellStyle name="40% - Accent6 2 2 3 2 2 6" xfId="6882" xr:uid="{00000000-0005-0000-0000-000053620000}"/>
    <cellStyle name="40% - Accent6 2 2 3 2 3" xfId="6879" xr:uid="{00000000-0005-0000-0000-000054620000}"/>
    <cellStyle name="40% - Accent6 2 2 3 2 3 2" xfId="11307" xr:uid="{00000000-0005-0000-0000-000055620000}"/>
    <cellStyle name="40% - Accent6 2 2 3 2 3 2 2" xfId="17848" xr:uid="{00000000-0005-0000-0000-000056620000}"/>
    <cellStyle name="40% - Accent6 2 2 3 2 3 2 2 2" xfId="33610" xr:uid="{00000000-0005-0000-0000-000057620000}"/>
    <cellStyle name="40% - Accent6 2 2 3 2 3 2 2 2 2" xfId="6878" xr:uid="{00000000-0005-0000-0000-000058620000}"/>
    <cellStyle name="40% - Accent6 2 2 3 2 3 2 2 3" xfId="10288" xr:uid="{00000000-0005-0000-0000-000059620000}"/>
    <cellStyle name="40% - Accent6 2 2 3 2 3 2 3" xfId="9513" xr:uid="{00000000-0005-0000-0000-00005A620000}"/>
    <cellStyle name="40% - Accent6 2 2 3 2 3 2 3 2" xfId="24377" xr:uid="{00000000-0005-0000-0000-00005B620000}"/>
    <cellStyle name="40% - Accent6 2 2 3 2 3 2 4" xfId="6874" xr:uid="{00000000-0005-0000-0000-00005C620000}"/>
    <cellStyle name="40% - Accent6 2 2 3 2 3 3" xfId="6872" xr:uid="{00000000-0005-0000-0000-00005D620000}"/>
    <cellStyle name="40% - Accent6 2 2 3 2 3 3 2" xfId="7173" xr:uid="{00000000-0005-0000-0000-00005E620000}"/>
    <cellStyle name="40% - Accent6 2 2 3 2 3 3 2 2" xfId="24365" xr:uid="{00000000-0005-0000-0000-00005F620000}"/>
    <cellStyle name="40% - Accent6 2 2 3 2 3 3 3" xfId="9509" xr:uid="{00000000-0005-0000-0000-000060620000}"/>
    <cellStyle name="40% - Accent6 2 2 3 2 3 4" xfId="22236" xr:uid="{00000000-0005-0000-0000-000061620000}"/>
    <cellStyle name="40% - Accent6 2 2 3 2 3 4 2" xfId="6871" xr:uid="{00000000-0005-0000-0000-000062620000}"/>
    <cellStyle name="40% - Accent6 2 2 3 2 3 5" xfId="6869" xr:uid="{00000000-0005-0000-0000-000063620000}"/>
    <cellStyle name="40% - Accent6 2 2 3 2 4" xfId="11094" xr:uid="{00000000-0005-0000-0000-000064620000}"/>
    <cellStyle name="40% - Accent6 2 2 3 2 4 2" xfId="24407" xr:uid="{00000000-0005-0000-0000-000065620000}"/>
    <cellStyle name="40% - Accent6 2 2 3 2 4 2 2" xfId="6865" xr:uid="{00000000-0005-0000-0000-000066620000}"/>
    <cellStyle name="40% - Accent6 2 2 3 2 4 2 2 2" xfId="24051" xr:uid="{00000000-0005-0000-0000-000067620000}"/>
    <cellStyle name="40% - Accent6 2 2 3 2 4 2 3" xfId="6863" xr:uid="{00000000-0005-0000-0000-000068620000}"/>
    <cellStyle name="40% - Accent6 2 2 3 2 4 3" xfId="28874" xr:uid="{00000000-0005-0000-0000-000069620000}"/>
    <cellStyle name="40% - Accent6 2 2 3 2 4 3 2" xfId="6860" xr:uid="{00000000-0005-0000-0000-00006A620000}"/>
    <cellStyle name="40% - Accent6 2 2 3 2 4 4" xfId="25422" xr:uid="{00000000-0005-0000-0000-00006B620000}"/>
    <cellStyle name="40% - Accent6 2 2 3 2 5" xfId="29108" xr:uid="{00000000-0005-0000-0000-00006C620000}"/>
    <cellStyle name="40% - Accent6 2 2 3 2 5 2" xfId="26518" xr:uid="{00000000-0005-0000-0000-00006D620000}"/>
    <cellStyle name="40% - Accent6 2 2 3 2 5 2 2" xfId="6858" xr:uid="{00000000-0005-0000-0000-00006E620000}"/>
    <cellStyle name="40% - Accent6 2 2 3 2 5 3" xfId="25410" xr:uid="{00000000-0005-0000-0000-00006F620000}"/>
    <cellStyle name="40% - Accent6 2 2 3 2 6" xfId="33893" xr:uid="{00000000-0005-0000-0000-000070620000}"/>
    <cellStyle name="40% - Accent6 2 2 3 2 6 2" xfId="6855" xr:uid="{00000000-0005-0000-0000-000071620000}"/>
    <cellStyle name="40% - Accent6 2 2 3 2 7" xfId="6854" xr:uid="{00000000-0005-0000-0000-000072620000}"/>
    <cellStyle name="40% - Accent6 2 2 3 3" xfId="25132" xr:uid="{00000000-0005-0000-0000-000073620000}"/>
    <cellStyle name="40% - Accent6 2 2 3 3 2" xfId="6853" xr:uid="{00000000-0005-0000-0000-000074620000}"/>
    <cellStyle name="40% - Accent6 2 2 3 3 2 2" xfId="6852" xr:uid="{00000000-0005-0000-0000-000075620000}"/>
    <cellStyle name="40% - Accent6 2 2 3 3 2 2 2" xfId="6851" xr:uid="{00000000-0005-0000-0000-000076620000}"/>
    <cellStyle name="40% - Accent6 2 2 3 3 2 2 2 2" xfId="6850" xr:uid="{00000000-0005-0000-0000-000077620000}"/>
    <cellStyle name="40% - Accent6 2 2 3 3 2 2 2 2 2" xfId="18962" xr:uid="{00000000-0005-0000-0000-000078620000}"/>
    <cellStyle name="40% - Accent6 2 2 3 3 2 2 2 3" xfId="6849" xr:uid="{00000000-0005-0000-0000-000079620000}"/>
    <cellStyle name="40% - Accent6 2 2 3 3 2 2 3" xfId="9557" xr:uid="{00000000-0005-0000-0000-00007A620000}"/>
    <cellStyle name="40% - Accent6 2 2 3 3 2 2 3 2" xfId="10923" xr:uid="{00000000-0005-0000-0000-00007B620000}"/>
    <cellStyle name="40% - Accent6 2 2 3 3 2 2 4" xfId="5327" xr:uid="{00000000-0005-0000-0000-00007C620000}"/>
    <cellStyle name="40% - Accent6 2 2 3 3 2 3" xfId="6846" xr:uid="{00000000-0005-0000-0000-00007D620000}"/>
    <cellStyle name="40% - Accent6 2 2 3 3 2 3 2" xfId="7145" xr:uid="{00000000-0005-0000-0000-00007E620000}"/>
    <cellStyle name="40% - Accent6 2 2 3 3 2 3 2 2" xfId="6843" xr:uid="{00000000-0005-0000-0000-00007F620000}"/>
    <cellStyle name="40% - Accent6 2 2 3 3 2 3 3" xfId="6842" xr:uid="{00000000-0005-0000-0000-000080620000}"/>
    <cellStyle name="40% - Accent6 2 2 3 3 2 4" xfId="6841" xr:uid="{00000000-0005-0000-0000-000081620000}"/>
    <cellStyle name="40% - Accent6 2 2 3 3 2 4 2" xfId="6840" xr:uid="{00000000-0005-0000-0000-000082620000}"/>
    <cellStyle name="40% - Accent6 2 2 3 3 2 5" xfId="6839" xr:uid="{00000000-0005-0000-0000-000083620000}"/>
    <cellStyle name="40% - Accent6 2 2 3 3 3" xfId="6837" xr:uid="{00000000-0005-0000-0000-000084620000}"/>
    <cellStyle name="40% - Accent6 2 2 3 3 3 2" xfId="6836" xr:uid="{00000000-0005-0000-0000-000085620000}"/>
    <cellStyle name="40% - Accent6 2 2 3 3 3 2 2" xfId="34036" xr:uid="{00000000-0005-0000-0000-000086620000}"/>
    <cellStyle name="40% - Accent6 2 2 3 3 3 2 2 2" xfId="23258" xr:uid="{00000000-0005-0000-0000-000087620000}"/>
    <cellStyle name="40% - Accent6 2 2 3 3 3 2 3" xfId="6835" xr:uid="{00000000-0005-0000-0000-000088620000}"/>
    <cellStyle name="40% - Accent6 2 2 3 3 3 3" xfId="6833" xr:uid="{00000000-0005-0000-0000-000089620000}"/>
    <cellStyle name="40% - Accent6 2 2 3 3 3 3 2" xfId="6832" xr:uid="{00000000-0005-0000-0000-00008A620000}"/>
    <cellStyle name="40% - Accent6 2 2 3 3 3 4" xfId="6831" xr:uid="{00000000-0005-0000-0000-00008B620000}"/>
    <cellStyle name="40% - Accent6 2 2 3 3 4" xfId="29082" xr:uid="{00000000-0005-0000-0000-00008C620000}"/>
    <cellStyle name="40% - Accent6 2 2 3 3 4 2" xfId="26507" xr:uid="{00000000-0005-0000-0000-00008D620000}"/>
    <cellStyle name="40% - Accent6 2 2 3 3 4 2 2" xfId="6829" xr:uid="{00000000-0005-0000-0000-00008E620000}"/>
    <cellStyle name="40% - Accent6 2 2 3 3 4 3" xfId="25390" xr:uid="{00000000-0005-0000-0000-00008F620000}"/>
    <cellStyle name="40% - Accent6 2 2 3 3 5" xfId="26503" xr:uid="{00000000-0005-0000-0000-000090620000}"/>
    <cellStyle name="40% - Accent6 2 2 3 3 5 2" xfId="31222" xr:uid="{00000000-0005-0000-0000-000091620000}"/>
    <cellStyle name="40% - Accent6 2 2 3 3 6" xfId="29030" xr:uid="{00000000-0005-0000-0000-000092620000}"/>
    <cellStyle name="40% - Accent6 2 2 3 4" xfId="33643" xr:uid="{00000000-0005-0000-0000-000093620000}"/>
    <cellStyle name="40% - Accent6 2 2 3 4 2" xfId="6826" xr:uid="{00000000-0005-0000-0000-000094620000}"/>
    <cellStyle name="40% - Accent6 2 2 3 4 2 2" xfId="6825" xr:uid="{00000000-0005-0000-0000-000095620000}"/>
    <cellStyle name="40% - Accent6 2 2 3 4 2 2 2" xfId="6824" xr:uid="{00000000-0005-0000-0000-000096620000}"/>
    <cellStyle name="40% - Accent6 2 2 3 4 2 2 2 2" xfId="6823" xr:uid="{00000000-0005-0000-0000-000097620000}"/>
    <cellStyle name="40% - Accent6 2 2 3 4 2 2 3" xfId="6822" xr:uid="{00000000-0005-0000-0000-000098620000}"/>
    <cellStyle name="40% - Accent6 2 2 3 4 2 3" xfId="6821" xr:uid="{00000000-0005-0000-0000-000099620000}"/>
    <cellStyle name="40% - Accent6 2 2 3 4 2 3 2" xfId="6820" xr:uid="{00000000-0005-0000-0000-00009A620000}"/>
    <cellStyle name="40% - Accent6 2 2 3 4 2 4" xfId="6819" xr:uid="{00000000-0005-0000-0000-00009B620000}"/>
    <cellStyle name="40% - Accent6 2 2 3 4 3" xfId="6818" xr:uid="{00000000-0005-0000-0000-00009C620000}"/>
    <cellStyle name="40% - Accent6 2 2 3 4 3 2" xfId="6817" xr:uid="{00000000-0005-0000-0000-00009D620000}"/>
    <cellStyle name="40% - Accent6 2 2 3 4 3 2 2" xfId="6816" xr:uid="{00000000-0005-0000-0000-00009E620000}"/>
    <cellStyle name="40% - Accent6 2 2 3 4 3 3" xfId="6815" xr:uid="{00000000-0005-0000-0000-00009F620000}"/>
    <cellStyle name="40% - Accent6 2 2 3 4 4" xfId="26494" xr:uid="{00000000-0005-0000-0000-0000A0620000}"/>
    <cellStyle name="40% - Accent6 2 2 3 4 4 2" xfId="6814" xr:uid="{00000000-0005-0000-0000-0000A1620000}"/>
    <cellStyle name="40% - Accent6 2 2 3 4 5" xfId="14149" xr:uid="{00000000-0005-0000-0000-0000A2620000}"/>
    <cellStyle name="40% - Accent6 2 2 3 5" xfId="13150" xr:uid="{00000000-0005-0000-0000-0000A3620000}"/>
    <cellStyle name="40% - Accent6 2 2 3 5 2" xfId="6813" xr:uid="{00000000-0005-0000-0000-0000A4620000}"/>
    <cellStyle name="40% - Accent6 2 2 3 5 2 2" xfId="6812" xr:uid="{00000000-0005-0000-0000-0000A5620000}"/>
    <cellStyle name="40% - Accent6 2 2 3 5 2 2 2" xfId="6810" xr:uid="{00000000-0005-0000-0000-0000A6620000}"/>
    <cellStyle name="40% - Accent6 2 2 3 5 2 3" xfId="26237" xr:uid="{00000000-0005-0000-0000-0000A7620000}"/>
    <cellStyle name="40% - Accent6 2 2 3 5 3" xfId="6809" xr:uid="{00000000-0005-0000-0000-0000A8620000}"/>
    <cellStyle name="40% - Accent6 2 2 3 5 3 2" xfId="6807" xr:uid="{00000000-0005-0000-0000-0000A9620000}"/>
    <cellStyle name="40% - Accent6 2 2 3 5 4" xfId="7808" xr:uid="{00000000-0005-0000-0000-0000AA620000}"/>
    <cellStyle name="40% - Accent6 2 2 3 6" xfId="9295" xr:uid="{00000000-0005-0000-0000-0000AB620000}"/>
    <cellStyle name="40% - Accent6 2 2 3 6 2" xfId="29875" xr:uid="{00000000-0005-0000-0000-0000AC620000}"/>
    <cellStyle name="40% - Accent6 2 2 3 6 2 2" xfId="6805" xr:uid="{00000000-0005-0000-0000-0000AD620000}"/>
    <cellStyle name="40% - Accent6 2 2 3 6 3" xfId="29244" xr:uid="{00000000-0005-0000-0000-0000AE620000}"/>
    <cellStyle name="40% - Accent6 2 2 3 7" xfId="9292" xr:uid="{00000000-0005-0000-0000-0000AF620000}"/>
    <cellStyle name="40% - Accent6 2 2 3 7 2" xfId="25831" xr:uid="{00000000-0005-0000-0000-0000B0620000}"/>
    <cellStyle name="40% - Accent6 2 2 3 8" xfId="7424" xr:uid="{00000000-0005-0000-0000-0000B1620000}"/>
    <cellStyle name="40% - Accent6 2 2 4" xfId="30939" xr:uid="{00000000-0005-0000-0000-0000B2620000}"/>
    <cellStyle name="40% - Accent6 2 2 4 2" xfId="30478" xr:uid="{00000000-0005-0000-0000-0000B3620000}"/>
    <cellStyle name="40% - Accent6 2 2 4 2 2" xfId="6803" xr:uid="{00000000-0005-0000-0000-0000B4620000}"/>
    <cellStyle name="40% - Accent6 2 2 4 2 2 2" xfId="6802" xr:uid="{00000000-0005-0000-0000-0000B5620000}"/>
    <cellStyle name="40% - Accent6 2 2 4 2 2 2 2" xfId="16373" xr:uid="{00000000-0005-0000-0000-0000B6620000}"/>
    <cellStyle name="40% - Accent6 2 2 4 2 2 2 2 2" xfId="5513" xr:uid="{00000000-0005-0000-0000-0000B7620000}"/>
    <cellStyle name="40% - Accent6 2 2 4 2 2 2 2 2 2" xfId="6801" xr:uid="{00000000-0005-0000-0000-0000B8620000}"/>
    <cellStyle name="40% - Accent6 2 2 4 2 2 2 2 3" xfId="6799" xr:uid="{00000000-0005-0000-0000-0000B9620000}"/>
    <cellStyle name="40% - Accent6 2 2 4 2 2 2 3" xfId="9378" xr:uid="{00000000-0005-0000-0000-0000BA620000}"/>
    <cellStyle name="40% - Accent6 2 2 4 2 2 2 3 2" xfId="9782" xr:uid="{00000000-0005-0000-0000-0000BB620000}"/>
    <cellStyle name="40% - Accent6 2 2 4 2 2 2 4" xfId="6796" xr:uid="{00000000-0005-0000-0000-0000BC620000}"/>
    <cellStyle name="40% - Accent6 2 2 4 2 2 3" xfId="6795" xr:uid="{00000000-0005-0000-0000-0000BD620000}"/>
    <cellStyle name="40% - Accent6 2 2 4 2 2 3 2" xfId="6793" xr:uid="{00000000-0005-0000-0000-0000BE620000}"/>
    <cellStyle name="40% - Accent6 2 2 4 2 2 3 2 2" xfId="6789" xr:uid="{00000000-0005-0000-0000-0000BF620000}"/>
    <cellStyle name="40% - Accent6 2 2 4 2 2 3 3" xfId="11035" xr:uid="{00000000-0005-0000-0000-0000C0620000}"/>
    <cellStyle name="40% - Accent6 2 2 4 2 2 4" xfId="30861" xr:uid="{00000000-0005-0000-0000-0000C1620000}"/>
    <cellStyle name="40% - Accent6 2 2 4 2 2 4 2" xfId="16911" xr:uid="{00000000-0005-0000-0000-0000C2620000}"/>
    <cellStyle name="40% - Accent6 2 2 4 2 2 5" xfId="21932" xr:uid="{00000000-0005-0000-0000-0000C3620000}"/>
    <cellStyle name="40% - Accent6 2 2 4 2 3" xfId="6788" xr:uid="{00000000-0005-0000-0000-0000C4620000}"/>
    <cellStyle name="40% - Accent6 2 2 4 2 3 2" xfId="6787" xr:uid="{00000000-0005-0000-0000-0000C5620000}"/>
    <cellStyle name="40% - Accent6 2 2 4 2 3 2 2" xfId="6786" xr:uid="{00000000-0005-0000-0000-0000C6620000}"/>
    <cellStyle name="40% - Accent6 2 2 4 2 3 2 2 2" xfId="21566" xr:uid="{00000000-0005-0000-0000-0000C7620000}"/>
    <cellStyle name="40% - Accent6 2 2 4 2 3 2 3" xfId="6785" xr:uid="{00000000-0005-0000-0000-0000C8620000}"/>
    <cellStyle name="40% - Accent6 2 2 4 2 3 3" xfId="6783" xr:uid="{00000000-0005-0000-0000-0000C9620000}"/>
    <cellStyle name="40% - Accent6 2 2 4 2 3 3 2" xfId="6782" xr:uid="{00000000-0005-0000-0000-0000CA620000}"/>
    <cellStyle name="40% - Accent6 2 2 4 2 3 4" xfId="21924" xr:uid="{00000000-0005-0000-0000-0000CB620000}"/>
    <cellStyle name="40% - Accent6 2 2 4 2 4" xfId="28976" xr:uid="{00000000-0005-0000-0000-0000CC620000}"/>
    <cellStyle name="40% - Accent6 2 2 4 2 4 2" xfId="24867" xr:uid="{00000000-0005-0000-0000-0000CD620000}"/>
    <cellStyle name="40% - Accent6 2 2 4 2 4 2 2" xfId="6778" xr:uid="{00000000-0005-0000-0000-0000CE620000}"/>
    <cellStyle name="40% - Accent6 2 2 4 2 4 3" xfId="25353" xr:uid="{00000000-0005-0000-0000-0000CF620000}"/>
    <cellStyle name="40% - Accent6 2 2 4 2 5" xfId="16694" xr:uid="{00000000-0005-0000-0000-0000D0620000}"/>
    <cellStyle name="40% - Accent6 2 2 4 2 5 2" xfId="6776" xr:uid="{00000000-0005-0000-0000-0000D1620000}"/>
    <cellStyle name="40% - Accent6 2 2 4 2 6" xfId="6774" xr:uid="{00000000-0005-0000-0000-0000D2620000}"/>
    <cellStyle name="40% - Accent6 2 2 4 3" xfId="30157" xr:uid="{00000000-0005-0000-0000-0000D3620000}"/>
    <cellStyle name="40% - Accent6 2 2 4 3 2" xfId="8668" xr:uid="{00000000-0005-0000-0000-0000D4620000}"/>
    <cellStyle name="40% - Accent6 2 2 4 3 2 2" xfId="6770" xr:uid="{00000000-0005-0000-0000-0000D5620000}"/>
    <cellStyle name="40% - Accent6 2 2 4 3 2 2 2" xfId="6769" xr:uid="{00000000-0005-0000-0000-0000D6620000}"/>
    <cellStyle name="40% - Accent6 2 2 4 3 2 2 2 2" xfId="12684" xr:uid="{00000000-0005-0000-0000-0000D7620000}"/>
    <cellStyle name="40% - Accent6 2 2 4 3 2 2 3" xfId="6768" xr:uid="{00000000-0005-0000-0000-0000D8620000}"/>
    <cellStyle name="40% - Accent6 2 2 4 3 2 3" xfId="6767" xr:uid="{00000000-0005-0000-0000-0000D9620000}"/>
    <cellStyle name="40% - Accent6 2 2 4 3 2 3 2" xfId="6766" xr:uid="{00000000-0005-0000-0000-0000DA620000}"/>
    <cellStyle name="40% - Accent6 2 2 4 3 2 4" xfId="30823" xr:uid="{00000000-0005-0000-0000-0000DB620000}"/>
    <cellStyle name="40% - Accent6 2 2 4 3 3" xfId="6762" xr:uid="{00000000-0005-0000-0000-0000DC620000}"/>
    <cellStyle name="40% - Accent6 2 2 4 3 3 2" xfId="6761" xr:uid="{00000000-0005-0000-0000-0000DD620000}"/>
    <cellStyle name="40% - Accent6 2 2 4 3 3 2 2" xfId="20490" xr:uid="{00000000-0005-0000-0000-0000DE620000}"/>
    <cellStyle name="40% - Accent6 2 2 4 3 3 3" xfId="6760" xr:uid="{00000000-0005-0000-0000-0000DF620000}"/>
    <cellStyle name="40% - Accent6 2 2 4 3 4" xfId="32406" xr:uid="{00000000-0005-0000-0000-0000E0620000}"/>
    <cellStyle name="40% - Accent6 2 2 4 3 4 2" xfId="6759" xr:uid="{00000000-0005-0000-0000-0000E1620000}"/>
    <cellStyle name="40% - Accent6 2 2 4 3 5" xfId="16676" xr:uid="{00000000-0005-0000-0000-0000E2620000}"/>
    <cellStyle name="40% - Accent6 2 2 4 4" xfId="30152" xr:uid="{00000000-0005-0000-0000-0000E3620000}"/>
    <cellStyle name="40% - Accent6 2 2 4 4 2" xfId="6758" xr:uid="{00000000-0005-0000-0000-0000E4620000}"/>
    <cellStyle name="40% - Accent6 2 2 4 4 2 2" xfId="6757" xr:uid="{00000000-0005-0000-0000-0000E5620000}"/>
    <cellStyle name="40% - Accent6 2 2 4 4 2 2 2" xfId="15311" xr:uid="{00000000-0005-0000-0000-0000E6620000}"/>
    <cellStyle name="40% - Accent6 2 2 4 4 2 3" xfId="6756" xr:uid="{00000000-0005-0000-0000-0000E7620000}"/>
    <cellStyle name="40% - Accent6 2 2 4 4 3" xfId="6755" xr:uid="{00000000-0005-0000-0000-0000E8620000}"/>
    <cellStyle name="40% - Accent6 2 2 4 4 3 2" xfId="6754" xr:uid="{00000000-0005-0000-0000-0000E9620000}"/>
    <cellStyle name="40% - Accent6 2 2 4 4 4" xfId="7804" xr:uid="{00000000-0005-0000-0000-0000EA620000}"/>
    <cellStyle name="40% - Accent6 2 2 4 5" xfId="31374" xr:uid="{00000000-0005-0000-0000-0000EB620000}"/>
    <cellStyle name="40% - Accent6 2 2 4 5 2" xfId="22537" xr:uid="{00000000-0005-0000-0000-0000EC620000}"/>
    <cellStyle name="40% - Accent6 2 2 4 5 2 2" xfId="9463" xr:uid="{00000000-0005-0000-0000-0000ED620000}"/>
    <cellStyle name="40% - Accent6 2 2 4 5 3" xfId="22522" xr:uid="{00000000-0005-0000-0000-0000EE620000}"/>
    <cellStyle name="40% - Accent6 2 2 4 6" xfId="9288" xr:uid="{00000000-0005-0000-0000-0000EF620000}"/>
    <cellStyle name="40% - Accent6 2 2 4 6 2" xfId="22514" xr:uid="{00000000-0005-0000-0000-0000F0620000}"/>
    <cellStyle name="40% - Accent6 2 2 4 7" xfId="6753" xr:uid="{00000000-0005-0000-0000-0000F1620000}"/>
    <cellStyle name="40% - Accent6 2 2 5" xfId="32810" xr:uid="{00000000-0005-0000-0000-0000F2620000}"/>
    <cellStyle name="40% - Accent6 2 2 5 2" xfId="25273" xr:uid="{00000000-0005-0000-0000-0000F3620000}"/>
    <cellStyle name="40% - Accent6 2 2 5 2 2" xfId="17816" xr:uid="{00000000-0005-0000-0000-0000F4620000}"/>
    <cellStyle name="40% - Accent6 2 2 5 2 2 2" xfId="6749" xr:uid="{00000000-0005-0000-0000-0000F5620000}"/>
    <cellStyle name="40% - Accent6 2 2 5 2 2 2 2" xfId="20369" xr:uid="{00000000-0005-0000-0000-0000F6620000}"/>
    <cellStyle name="40% - Accent6 2 2 5 2 2 2 2 2" xfId="12150" xr:uid="{00000000-0005-0000-0000-0000F7620000}"/>
    <cellStyle name="40% - Accent6 2 2 5 2 2 2 3" xfId="6747" xr:uid="{00000000-0005-0000-0000-0000F8620000}"/>
    <cellStyle name="40% - Accent6 2 2 5 2 2 3" xfId="6744" xr:uid="{00000000-0005-0000-0000-0000F9620000}"/>
    <cellStyle name="40% - Accent6 2 2 5 2 2 3 2" xfId="6742" xr:uid="{00000000-0005-0000-0000-0000FA620000}"/>
    <cellStyle name="40% - Accent6 2 2 5 2 2 4" xfId="21734" xr:uid="{00000000-0005-0000-0000-0000FB620000}"/>
    <cellStyle name="40% - Accent6 2 2 5 2 3" xfId="17811" xr:uid="{00000000-0005-0000-0000-0000FC620000}"/>
    <cellStyle name="40% - Accent6 2 2 5 2 3 2" xfId="6741" xr:uid="{00000000-0005-0000-0000-0000FD620000}"/>
    <cellStyle name="40% - Accent6 2 2 5 2 3 2 2" xfId="6739" xr:uid="{00000000-0005-0000-0000-0000FE620000}"/>
    <cellStyle name="40% - Accent6 2 2 5 2 3 3" xfId="6738" xr:uid="{00000000-0005-0000-0000-0000FF620000}"/>
    <cellStyle name="40% - Accent6 2 2 5 2 4" xfId="26426" xr:uid="{00000000-0005-0000-0000-000000630000}"/>
    <cellStyle name="40% - Accent6 2 2 5 2 4 2" xfId="6736" xr:uid="{00000000-0005-0000-0000-000001630000}"/>
    <cellStyle name="40% - Accent6 2 2 5 2 5" xfId="6734" xr:uid="{00000000-0005-0000-0000-000002630000}"/>
    <cellStyle name="40% - Accent6 2 2 5 3" xfId="26639" xr:uid="{00000000-0005-0000-0000-000003630000}"/>
    <cellStyle name="40% - Accent6 2 2 5 3 2" xfId="20202" xr:uid="{00000000-0005-0000-0000-000004630000}"/>
    <cellStyle name="40% - Accent6 2 2 5 3 2 2" xfId="6731" xr:uid="{00000000-0005-0000-0000-000005630000}"/>
    <cellStyle name="40% - Accent6 2 2 5 3 2 2 2" xfId="6729" xr:uid="{00000000-0005-0000-0000-000006630000}"/>
    <cellStyle name="40% - Accent6 2 2 5 3 2 3" xfId="6727" xr:uid="{00000000-0005-0000-0000-000007630000}"/>
    <cellStyle name="40% - Accent6 2 2 5 3 3" xfId="6725" xr:uid="{00000000-0005-0000-0000-000008630000}"/>
    <cellStyle name="40% - Accent6 2 2 5 3 3 2" xfId="6724" xr:uid="{00000000-0005-0000-0000-000009630000}"/>
    <cellStyle name="40% - Accent6 2 2 5 3 4" xfId="29491" xr:uid="{00000000-0005-0000-0000-00000A630000}"/>
    <cellStyle name="40% - Accent6 2 2 5 4" xfId="31355" xr:uid="{00000000-0005-0000-0000-00000B630000}"/>
    <cellStyle name="40% - Accent6 2 2 5 4 2" xfId="28242" xr:uid="{00000000-0005-0000-0000-00000C630000}"/>
    <cellStyle name="40% - Accent6 2 2 5 4 2 2" xfId="6722" xr:uid="{00000000-0005-0000-0000-00000D630000}"/>
    <cellStyle name="40% - Accent6 2 2 5 4 3" xfId="6718" xr:uid="{00000000-0005-0000-0000-00000E630000}"/>
    <cellStyle name="40% - Accent6 2 2 5 5" xfId="6717" xr:uid="{00000000-0005-0000-0000-00000F630000}"/>
    <cellStyle name="40% - Accent6 2 2 5 5 2" xfId="22501" xr:uid="{00000000-0005-0000-0000-000010630000}"/>
    <cellStyle name="40% - Accent6 2 2 5 6" xfId="6716" xr:uid="{00000000-0005-0000-0000-000011630000}"/>
    <cellStyle name="40% - Accent6 2 2 6" xfId="29402" xr:uid="{00000000-0005-0000-0000-000012630000}"/>
    <cellStyle name="40% - Accent6 2 2 6 2" xfId="30879" xr:uid="{00000000-0005-0000-0000-000013630000}"/>
    <cellStyle name="40% - Accent6 2 2 6 2 2" xfId="19376" xr:uid="{00000000-0005-0000-0000-000014630000}"/>
    <cellStyle name="40% - Accent6 2 2 6 2 2 2" xfId="6713" xr:uid="{00000000-0005-0000-0000-000015630000}"/>
    <cellStyle name="40% - Accent6 2 2 6 2 2 2 2" xfId="6711" xr:uid="{00000000-0005-0000-0000-000016630000}"/>
    <cellStyle name="40% - Accent6 2 2 6 2 2 3" xfId="9299" xr:uid="{00000000-0005-0000-0000-000017630000}"/>
    <cellStyle name="40% - Accent6 2 2 6 2 3" xfId="6710" xr:uid="{00000000-0005-0000-0000-000018630000}"/>
    <cellStyle name="40% - Accent6 2 2 6 2 3 2" xfId="28278" xr:uid="{00000000-0005-0000-0000-000019630000}"/>
    <cellStyle name="40% - Accent6 2 2 6 2 4" xfId="6708" xr:uid="{00000000-0005-0000-0000-00001A630000}"/>
    <cellStyle name="40% - Accent6 2 2 6 3" xfId="29399" xr:uid="{00000000-0005-0000-0000-00001B630000}"/>
    <cellStyle name="40% - Accent6 2 2 6 3 2" xfId="6706" xr:uid="{00000000-0005-0000-0000-00001C630000}"/>
    <cellStyle name="40% - Accent6 2 2 6 3 2 2" xfId="12981" xr:uid="{00000000-0005-0000-0000-00001D630000}"/>
    <cellStyle name="40% - Accent6 2 2 6 3 3" xfId="6704" xr:uid="{00000000-0005-0000-0000-00001E630000}"/>
    <cellStyle name="40% - Accent6 2 2 6 4" xfId="6702" xr:uid="{00000000-0005-0000-0000-00001F630000}"/>
    <cellStyle name="40% - Accent6 2 2 6 4 2" xfId="6701" xr:uid="{00000000-0005-0000-0000-000020630000}"/>
    <cellStyle name="40% - Accent6 2 2 6 5" xfId="13681" xr:uid="{00000000-0005-0000-0000-000021630000}"/>
    <cellStyle name="40% - Accent6 2 2 7" xfId="30270" xr:uid="{00000000-0005-0000-0000-000022630000}"/>
    <cellStyle name="40% - Accent6 2 2 7 2" xfId="30186" xr:uid="{00000000-0005-0000-0000-000023630000}"/>
    <cellStyle name="40% - Accent6 2 2 7 2 2" xfId="15530" xr:uid="{00000000-0005-0000-0000-000024630000}"/>
    <cellStyle name="40% - Accent6 2 2 7 2 2 2" xfId="6699" xr:uid="{00000000-0005-0000-0000-000025630000}"/>
    <cellStyle name="40% - Accent6 2 2 7 2 3" xfId="15527" xr:uid="{00000000-0005-0000-0000-000026630000}"/>
    <cellStyle name="40% - Accent6 2 2 7 3" xfId="6697" xr:uid="{00000000-0005-0000-0000-000027630000}"/>
    <cellStyle name="40% - Accent6 2 2 7 3 2" xfId="15519" xr:uid="{00000000-0005-0000-0000-000028630000}"/>
    <cellStyle name="40% - Accent6 2 2 7 4" xfId="6695" xr:uid="{00000000-0005-0000-0000-000029630000}"/>
    <cellStyle name="40% - Accent6 2 2 8" xfId="32733" xr:uid="{00000000-0005-0000-0000-00002A630000}"/>
    <cellStyle name="40% - Accent6 2 2 8 2" xfId="6694" xr:uid="{00000000-0005-0000-0000-00002B630000}"/>
    <cellStyle name="40% - Accent6 2 2 8 2 2" xfId="15515" xr:uid="{00000000-0005-0000-0000-00002C630000}"/>
    <cellStyle name="40% - Accent6 2 2 8 3" xfId="6693" xr:uid="{00000000-0005-0000-0000-00002D630000}"/>
    <cellStyle name="40% - Accent6 2 2 9" xfId="6692" xr:uid="{00000000-0005-0000-0000-00002E630000}"/>
    <cellStyle name="40% - Accent6 2 2 9 2" xfId="6691" xr:uid="{00000000-0005-0000-0000-00002F630000}"/>
    <cellStyle name="40% - Accent6 2 3" xfId="216" xr:uid="{00000000-0005-0000-0000-000030630000}"/>
    <cellStyle name="40% - Accent6 2 3 10" xfId="34546" xr:uid="{00000000-0005-0000-0000-000031630000}"/>
    <cellStyle name="40% - Accent6 2 3 11" xfId="23736" xr:uid="{00000000-0005-0000-0000-000032630000}"/>
    <cellStyle name="40% - Accent6 2 3 2" xfId="11804" xr:uid="{00000000-0005-0000-0000-000033630000}"/>
    <cellStyle name="40% - Accent6 2 3 2 2" xfId="7970" xr:uid="{00000000-0005-0000-0000-000034630000}"/>
    <cellStyle name="40% - Accent6 2 3 2 2 2" xfId="16807" xr:uid="{00000000-0005-0000-0000-000035630000}"/>
    <cellStyle name="40% - Accent6 2 3 2 2 2 2" xfId="22974" xr:uid="{00000000-0005-0000-0000-000036630000}"/>
    <cellStyle name="40% - Accent6 2 3 2 2 2 2 2" xfId="6690" xr:uid="{00000000-0005-0000-0000-000037630000}"/>
    <cellStyle name="40% - Accent6 2 3 2 2 2 2 2 2" xfId="15713" xr:uid="{00000000-0005-0000-0000-000038630000}"/>
    <cellStyle name="40% - Accent6 2 3 2 2 2 2 2 2 2" xfId="8050" xr:uid="{00000000-0005-0000-0000-000039630000}"/>
    <cellStyle name="40% - Accent6 2 3 2 2 2 2 2 2 2 2" xfId="29357" xr:uid="{00000000-0005-0000-0000-00003A630000}"/>
    <cellStyle name="40% - Accent6 2 3 2 2 2 2 2 2 3" xfId="8468" xr:uid="{00000000-0005-0000-0000-00003B630000}"/>
    <cellStyle name="40% - Accent6 2 3 2 2 2 2 2 3" xfId="6688" xr:uid="{00000000-0005-0000-0000-00003C630000}"/>
    <cellStyle name="40% - Accent6 2 3 2 2 2 2 2 3 2" xfId="8043" xr:uid="{00000000-0005-0000-0000-00003D630000}"/>
    <cellStyle name="40% - Accent6 2 3 2 2 2 2 2 4" xfId="26482" xr:uid="{00000000-0005-0000-0000-00003E630000}"/>
    <cellStyle name="40% - Accent6 2 3 2 2 2 2 3" xfId="32025" xr:uid="{00000000-0005-0000-0000-00003F630000}"/>
    <cellStyle name="40% - Accent6 2 3 2 2 2 2 3 2" xfId="6687" xr:uid="{00000000-0005-0000-0000-000040630000}"/>
    <cellStyle name="40% - Accent6 2 3 2 2 2 2 3 2 2" xfId="8026" xr:uid="{00000000-0005-0000-0000-000041630000}"/>
    <cellStyle name="40% - Accent6 2 3 2 2 2 2 3 3" xfId="22476" xr:uid="{00000000-0005-0000-0000-000042630000}"/>
    <cellStyle name="40% - Accent6 2 3 2 2 2 2 4" xfId="31996" xr:uid="{00000000-0005-0000-0000-000043630000}"/>
    <cellStyle name="40% - Accent6 2 3 2 2 2 2 4 2" xfId="25610" xr:uid="{00000000-0005-0000-0000-000044630000}"/>
    <cellStyle name="40% - Accent6 2 3 2 2 2 2 5" xfId="8093" xr:uid="{00000000-0005-0000-0000-000045630000}"/>
    <cellStyle name="40% - Accent6 2 3 2 2 2 3" xfId="23623" xr:uid="{00000000-0005-0000-0000-000046630000}"/>
    <cellStyle name="40% - Accent6 2 3 2 2 2 3 2" xfId="6683" xr:uid="{00000000-0005-0000-0000-000047630000}"/>
    <cellStyle name="40% - Accent6 2 3 2 2 2 3 2 2" xfId="6866" xr:uid="{00000000-0005-0000-0000-000048630000}"/>
    <cellStyle name="40% - Accent6 2 3 2 2 2 3 2 2 2" xfId="13873" xr:uid="{00000000-0005-0000-0000-000049630000}"/>
    <cellStyle name="40% - Accent6 2 3 2 2 2 3 2 3" xfId="6682" xr:uid="{00000000-0005-0000-0000-00004A630000}"/>
    <cellStyle name="40% - Accent6 2 3 2 2 2 3 3" xfId="31904" xr:uid="{00000000-0005-0000-0000-00004B630000}"/>
    <cellStyle name="40% - Accent6 2 3 2 2 2 3 3 2" xfId="22714" xr:uid="{00000000-0005-0000-0000-00004C630000}"/>
    <cellStyle name="40% - Accent6 2 3 2 2 2 3 4" xfId="8090" xr:uid="{00000000-0005-0000-0000-00004D630000}"/>
    <cellStyle name="40% - Accent6 2 3 2 2 2 4" xfId="23619" xr:uid="{00000000-0005-0000-0000-00004E630000}"/>
    <cellStyle name="40% - Accent6 2 3 2 2 2 4 2" xfId="13632" xr:uid="{00000000-0005-0000-0000-00004F630000}"/>
    <cellStyle name="40% - Accent6 2 3 2 2 2 4 2 2" xfId="6681" xr:uid="{00000000-0005-0000-0000-000050630000}"/>
    <cellStyle name="40% - Accent6 2 3 2 2 2 4 3" xfId="13603" xr:uid="{00000000-0005-0000-0000-000051630000}"/>
    <cellStyle name="40% - Accent6 2 3 2 2 2 5" xfId="32492" xr:uid="{00000000-0005-0000-0000-000052630000}"/>
    <cellStyle name="40% - Accent6 2 3 2 2 2 5 2" xfId="13566" xr:uid="{00000000-0005-0000-0000-000053630000}"/>
    <cellStyle name="40% - Accent6 2 3 2 2 2 6" xfId="24079" xr:uid="{00000000-0005-0000-0000-000054630000}"/>
    <cellStyle name="40% - Accent6 2 3 2 2 3" xfId="6680" xr:uid="{00000000-0005-0000-0000-000055630000}"/>
    <cellStyle name="40% - Accent6 2 3 2 2 3 2" xfId="29921" xr:uid="{00000000-0005-0000-0000-000056630000}"/>
    <cellStyle name="40% - Accent6 2 3 2 2 3 2 2" xfId="20015" xr:uid="{00000000-0005-0000-0000-000057630000}"/>
    <cellStyle name="40% - Accent6 2 3 2 2 3 2 2 2" xfId="21942" xr:uid="{00000000-0005-0000-0000-000058630000}"/>
    <cellStyle name="40% - Accent6 2 3 2 2 3 2 2 2 2" xfId="19071" xr:uid="{00000000-0005-0000-0000-000059630000}"/>
    <cellStyle name="40% - Accent6 2 3 2 2 3 2 2 3" xfId="6678" xr:uid="{00000000-0005-0000-0000-00005A630000}"/>
    <cellStyle name="40% - Accent6 2 3 2 2 3 2 3" xfId="31786" xr:uid="{00000000-0005-0000-0000-00005B630000}"/>
    <cellStyle name="40% - Accent6 2 3 2 2 3 2 3 2" xfId="6677" xr:uid="{00000000-0005-0000-0000-00005C630000}"/>
    <cellStyle name="40% - Accent6 2 3 2 2 3 2 4" xfId="8079" xr:uid="{00000000-0005-0000-0000-00005D630000}"/>
    <cellStyle name="40% - Accent6 2 3 2 2 3 3" xfId="23613" xr:uid="{00000000-0005-0000-0000-00005E630000}"/>
    <cellStyle name="40% - Accent6 2 3 2 2 3 3 2" xfId="6676" xr:uid="{00000000-0005-0000-0000-00005F630000}"/>
    <cellStyle name="40% - Accent6 2 3 2 2 3 3 2 2" xfId="6675" xr:uid="{00000000-0005-0000-0000-000060630000}"/>
    <cellStyle name="40% - Accent6 2 3 2 2 3 3 3" xfId="11767" xr:uid="{00000000-0005-0000-0000-000061630000}"/>
    <cellStyle name="40% - Accent6 2 3 2 2 3 4" xfId="6674" xr:uid="{00000000-0005-0000-0000-000062630000}"/>
    <cellStyle name="40% - Accent6 2 3 2 2 3 4 2" xfId="33512" xr:uid="{00000000-0005-0000-0000-000063630000}"/>
    <cellStyle name="40% - Accent6 2 3 2 2 3 5" xfId="31987" xr:uid="{00000000-0005-0000-0000-000064630000}"/>
    <cellStyle name="40% - Accent6 2 3 2 2 4" xfId="26868" xr:uid="{00000000-0005-0000-0000-000065630000}"/>
    <cellStyle name="40% - Accent6 2 3 2 2 4 2" xfId="23603" xr:uid="{00000000-0005-0000-0000-000066630000}"/>
    <cellStyle name="40% - Accent6 2 3 2 2 4 2 2" xfId="6672" xr:uid="{00000000-0005-0000-0000-000067630000}"/>
    <cellStyle name="40% - Accent6 2 3 2 2 4 2 2 2" xfId="6669" xr:uid="{00000000-0005-0000-0000-000068630000}"/>
    <cellStyle name="40% - Accent6 2 3 2 2 4 2 3" xfId="8072" xr:uid="{00000000-0005-0000-0000-000069630000}"/>
    <cellStyle name="40% - Accent6 2 3 2 2 4 3" xfId="26121" xr:uid="{00000000-0005-0000-0000-00006A630000}"/>
    <cellStyle name="40% - Accent6 2 3 2 2 4 3 2" xfId="6668" xr:uid="{00000000-0005-0000-0000-00006B630000}"/>
    <cellStyle name="40% - Accent6 2 3 2 2 4 4" xfId="6666" xr:uid="{00000000-0005-0000-0000-00006C630000}"/>
    <cellStyle name="40% - Accent6 2 3 2 2 5" xfId="26862" xr:uid="{00000000-0005-0000-0000-00006D630000}"/>
    <cellStyle name="40% - Accent6 2 3 2 2 5 2" xfId="25864" xr:uid="{00000000-0005-0000-0000-00006E630000}"/>
    <cellStyle name="40% - Accent6 2 3 2 2 5 2 2" xfId="6663" xr:uid="{00000000-0005-0000-0000-00006F630000}"/>
    <cellStyle name="40% - Accent6 2 3 2 2 5 3" xfId="6660" xr:uid="{00000000-0005-0000-0000-000070630000}"/>
    <cellStyle name="40% - Accent6 2 3 2 2 6" xfId="19153" xr:uid="{00000000-0005-0000-0000-000071630000}"/>
    <cellStyle name="40% - Accent6 2 3 2 2 6 2" xfId="6658" xr:uid="{00000000-0005-0000-0000-000072630000}"/>
    <cellStyle name="40% - Accent6 2 3 2 2 7" xfId="6657" xr:uid="{00000000-0005-0000-0000-000073630000}"/>
    <cellStyle name="40% - Accent6 2 3 2 3" xfId="26614" xr:uid="{00000000-0005-0000-0000-000074630000}"/>
    <cellStyle name="40% - Accent6 2 3 2 3 2" xfId="6654" xr:uid="{00000000-0005-0000-0000-000075630000}"/>
    <cellStyle name="40% - Accent6 2 3 2 3 2 2" xfId="32755" xr:uid="{00000000-0005-0000-0000-000076630000}"/>
    <cellStyle name="40% - Accent6 2 3 2 3 2 2 2" xfId="25054" xr:uid="{00000000-0005-0000-0000-000077630000}"/>
    <cellStyle name="40% - Accent6 2 3 2 3 2 2 2 2" xfId="28481" xr:uid="{00000000-0005-0000-0000-000078630000}"/>
    <cellStyle name="40% - Accent6 2 3 2 3 2 2 2 2 2" xfId="6412" xr:uid="{00000000-0005-0000-0000-000079630000}"/>
    <cellStyle name="40% - Accent6 2 3 2 3 2 2 2 3" xfId="6652" xr:uid="{00000000-0005-0000-0000-00007A630000}"/>
    <cellStyle name="40% - Accent6 2 3 2 3 2 2 3" xfId="31244" xr:uid="{00000000-0005-0000-0000-00007B630000}"/>
    <cellStyle name="40% - Accent6 2 3 2 3 2 2 3 2" xfId="10231" xr:uid="{00000000-0005-0000-0000-00007C630000}"/>
    <cellStyle name="40% - Accent6 2 3 2 3 2 2 4" xfId="8018" xr:uid="{00000000-0005-0000-0000-00007D630000}"/>
    <cellStyle name="40% - Accent6 2 3 2 3 2 3" xfId="32246" xr:uid="{00000000-0005-0000-0000-00007E630000}"/>
    <cellStyle name="40% - Accent6 2 3 2 3 2 3 2" xfId="6651" xr:uid="{00000000-0005-0000-0000-00007F630000}"/>
    <cellStyle name="40% - Accent6 2 3 2 3 2 3 2 2" xfId="6650" xr:uid="{00000000-0005-0000-0000-000080630000}"/>
    <cellStyle name="40% - Accent6 2 3 2 3 2 3 3" xfId="8012" xr:uid="{00000000-0005-0000-0000-000081630000}"/>
    <cellStyle name="40% - Accent6 2 3 2 3 2 4" xfId="6648" xr:uid="{00000000-0005-0000-0000-000082630000}"/>
    <cellStyle name="40% - Accent6 2 3 2 3 2 4 2" xfId="33709" xr:uid="{00000000-0005-0000-0000-000083630000}"/>
    <cellStyle name="40% - Accent6 2 3 2 3 2 5" xfId="31967" xr:uid="{00000000-0005-0000-0000-000084630000}"/>
    <cellStyle name="40% - Accent6 2 3 2 3 3" xfId="6647" xr:uid="{00000000-0005-0000-0000-000085630000}"/>
    <cellStyle name="40% - Accent6 2 3 2 3 3 2" xfId="23592" xr:uid="{00000000-0005-0000-0000-000086630000}"/>
    <cellStyle name="40% - Accent6 2 3 2 3 3 2 2" xfId="34338" xr:uid="{00000000-0005-0000-0000-000087630000}"/>
    <cellStyle name="40% - Accent6 2 3 2 3 3 2 2 2" xfId="6646" xr:uid="{00000000-0005-0000-0000-000088630000}"/>
    <cellStyle name="40% - Accent6 2 3 2 3 3 2 3" xfId="8009" xr:uid="{00000000-0005-0000-0000-000089630000}"/>
    <cellStyle name="40% - Accent6 2 3 2 3 3 3" xfId="6645" xr:uid="{00000000-0005-0000-0000-00008A630000}"/>
    <cellStyle name="40% - Accent6 2 3 2 3 3 3 2" xfId="6644" xr:uid="{00000000-0005-0000-0000-00008B630000}"/>
    <cellStyle name="40% - Accent6 2 3 2 3 3 4" xfId="6643" xr:uid="{00000000-0005-0000-0000-00008C630000}"/>
    <cellStyle name="40% - Accent6 2 3 2 3 4" xfId="26844" xr:uid="{00000000-0005-0000-0000-00008D630000}"/>
    <cellStyle name="40% - Accent6 2 3 2 3 4 2" xfId="25853" xr:uid="{00000000-0005-0000-0000-00008E630000}"/>
    <cellStyle name="40% - Accent6 2 3 2 3 4 2 2" xfId="6641" xr:uid="{00000000-0005-0000-0000-00008F630000}"/>
    <cellStyle name="40% - Accent6 2 3 2 3 4 3" xfId="6638" xr:uid="{00000000-0005-0000-0000-000090630000}"/>
    <cellStyle name="40% - Accent6 2 3 2 3 5" xfId="26826" xr:uid="{00000000-0005-0000-0000-000091630000}"/>
    <cellStyle name="40% - Accent6 2 3 2 3 5 2" xfId="33309" xr:uid="{00000000-0005-0000-0000-000092630000}"/>
    <cellStyle name="40% - Accent6 2 3 2 3 6" xfId="32794" xr:uid="{00000000-0005-0000-0000-000093630000}"/>
    <cellStyle name="40% - Accent6 2 3 2 4" xfId="33899" xr:uid="{00000000-0005-0000-0000-000094630000}"/>
    <cellStyle name="40% - Accent6 2 3 2 4 2" xfId="25407" xr:uid="{00000000-0005-0000-0000-000095630000}"/>
    <cellStyle name="40% - Accent6 2 3 2 4 2 2" xfId="23581" xr:uid="{00000000-0005-0000-0000-000096630000}"/>
    <cellStyle name="40% - Accent6 2 3 2 4 2 2 2" xfId="6636" xr:uid="{00000000-0005-0000-0000-000097630000}"/>
    <cellStyle name="40% - Accent6 2 3 2 4 2 2 2 2" xfId="11737" xr:uid="{00000000-0005-0000-0000-000098630000}"/>
    <cellStyle name="40% - Accent6 2 3 2 4 2 2 3" xfId="7960" xr:uid="{00000000-0005-0000-0000-000099630000}"/>
    <cellStyle name="40% - Accent6 2 3 2 4 2 3" xfId="6634" xr:uid="{00000000-0005-0000-0000-00009A630000}"/>
    <cellStyle name="40% - Accent6 2 3 2 4 2 3 2" xfId="6633" xr:uid="{00000000-0005-0000-0000-00009B630000}"/>
    <cellStyle name="40% - Accent6 2 3 2 4 2 4" xfId="6632" xr:uid="{00000000-0005-0000-0000-00009C630000}"/>
    <cellStyle name="40% - Accent6 2 3 2 4 3" xfId="11020" xr:uid="{00000000-0005-0000-0000-00009D630000}"/>
    <cellStyle name="40% - Accent6 2 3 2 4 3 2" xfId="6631" xr:uid="{00000000-0005-0000-0000-00009E630000}"/>
    <cellStyle name="40% - Accent6 2 3 2 4 3 2 2" xfId="6630" xr:uid="{00000000-0005-0000-0000-00009F630000}"/>
    <cellStyle name="40% - Accent6 2 3 2 4 3 3" xfId="6629" xr:uid="{00000000-0005-0000-0000-0000A0630000}"/>
    <cellStyle name="40% - Accent6 2 3 2 4 4" xfId="26808" xr:uid="{00000000-0005-0000-0000-0000A1630000}"/>
    <cellStyle name="40% - Accent6 2 3 2 4 4 2" xfId="6628" xr:uid="{00000000-0005-0000-0000-0000A2630000}"/>
    <cellStyle name="40% - Accent6 2 3 2 4 5" xfId="33117" xr:uid="{00000000-0005-0000-0000-0000A3630000}"/>
    <cellStyle name="40% - Accent6 2 3 2 5" xfId="13148" xr:uid="{00000000-0005-0000-0000-0000A4630000}"/>
    <cellStyle name="40% - Accent6 2 3 2 5 2" xfId="6626" xr:uid="{00000000-0005-0000-0000-0000A5630000}"/>
    <cellStyle name="40% - Accent6 2 3 2 5 2 2" xfId="21110" xr:uid="{00000000-0005-0000-0000-0000A6630000}"/>
    <cellStyle name="40% - Accent6 2 3 2 5 2 2 2" xfId="6625" xr:uid="{00000000-0005-0000-0000-0000A7630000}"/>
    <cellStyle name="40% - Accent6 2 3 2 5 2 3" xfId="26180" xr:uid="{00000000-0005-0000-0000-0000A8630000}"/>
    <cellStyle name="40% - Accent6 2 3 2 5 3" xfId="6621" xr:uid="{00000000-0005-0000-0000-0000A9630000}"/>
    <cellStyle name="40% - Accent6 2 3 2 5 3 2" xfId="25728" xr:uid="{00000000-0005-0000-0000-0000AA630000}"/>
    <cellStyle name="40% - Accent6 2 3 2 5 4" xfId="7771" xr:uid="{00000000-0005-0000-0000-0000AB630000}"/>
    <cellStyle name="40% - Accent6 2 3 2 6" xfId="6619" xr:uid="{00000000-0005-0000-0000-0000AC630000}"/>
    <cellStyle name="40% - Accent6 2 3 2 6 2" xfId="6617" xr:uid="{00000000-0005-0000-0000-0000AD630000}"/>
    <cellStyle name="40% - Accent6 2 3 2 6 2 2" xfId="24005" xr:uid="{00000000-0005-0000-0000-0000AE630000}"/>
    <cellStyle name="40% - Accent6 2 3 2 6 3" xfId="6615" xr:uid="{00000000-0005-0000-0000-0000AF630000}"/>
    <cellStyle name="40% - Accent6 2 3 2 7" xfId="6614" xr:uid="{00000000-0005-0000-0000-0000B0630000}"/>
    <cellStyle name="40% - Accent6 2 3 2 7 2" xfId="6612" xr:uid="{00000000-0005-0000-0000-0000B1630000}"/>
    <cellStyle name="40% - Accent6 2 3 2 8" xfId="6611" xr:uid="{00000000-0005-0000-0000-0000B2630000}"/>
    <cellStyle name="40% - Accent6 2 3 3" xfId="7967" xr:uid="{00000000-0005-0000-0000-0000B3630000}"/>
    <cellStyle name="40% - Accent6 2 3 3 2" xfId="7965" xr:uid="{00000000-0005-0000-0000-0000B4630000}"/>
    <cellStyle name="40% - Accent6 2 3 3 2 2" xfId="14947" xr:uid="{00000000-0005-0000-0000-0000B5630000}"/>
    <cellStyle name="40% - Accent6 2 3 3 2 2 2" xfId="23544" xr:uid="{00000000-0005-0000-0000-0000B6630000}"/>
    <cellStyle name="40% - Accent6 2 3 3 2 2 2 2" xfId="22665" xr:uid="{00000000-0005-0000-0000-0000B7630000}"/>
    <cellStyle name="40% - Accent6 2 3 3 2 2 2 2 2" xfId="6610" xr:uid="{00000000-0005-0000-0000-0000B8630000}"/>
    <cellStyle name="40% - Accent6 2 3 3 2 2 2 2 2 2" xfId="6609" xr:uid="{00000000-0005-0000-0000-0000B9630000}"/>
    <cellStyle name="40% - Accent6 2 3 3 2 2 2 2 3" xfId="6607" xr:uid="{00000000-0005-0000-0000-0000BA630000}"/>
    <cellStyle name="40% - Accent6 2 3 3 2 2 2 3" xfId="22421" xr:uid="{00000000-0005-0000-0000-0000BB630000}"/>
    <cellStyle name="40% - Accent6 2 3 3 2 2 2 3 2" xfId="9467" xr:uid="{00000000-0005-0000-0000-0000BC630000}"/>
    <cellStyle name="40% - Accent6 2 3 3 2 2 2 4" xfId="20415" xr:uid="{00000000-0005-0000-0000-0000BD630000}"/>
    <cellStyle name="40% - Accent6 2 3 3 2 2 3" xfId="17680" xr:uid="{00000000-0005-0000-0000-0000BE630000}"/>
    <cellStyle name="40% - Accent6 2 3 3 2 2 3 2" xfId="20402" xr:uid="{00000000-0005-0000-0000-0000BF630000}"/>
    <cellStyle name="40% - Accent6 2 3 3 2 2 3 2 2" xfId="6606" xr:uid="{00000000-0005-0000-0000-0000C0630000}"/>
    <cellStyle name="40% - Accent6 2 3 3 2 2 3 3" xfId="20399" xr:uid="{00000000-0005-0000-0000-0000C1630000}"/>
    <cellStyle name="40% - Accent6 2 3 3 2 2 4" xfId="6604" xr:uid="{00000000-0005-0000-0000-0000C2630000}"/>
    <cellStyle name="40% - Accent6 2 3 3 2 2 4 2" xfId="33624" xr:uid="{00000000-0005-0000-0000-0000C3630000}"/>
    <cellStyle name="40% - Accent6 2 3 3 2 2 5" xfId="28472" xr:uid="{00000000-0005-0000-0000-0000C4630000}"/>
    <cellStyle name="40% - Accent6 2 3 3 2 3" xfId="6602" xr:uid="{00000000-0005-0000-0000-0000C5630000}"/>
    <cellStyle name="40% - Accent6 2 3 3 2 3 2" xfId="34220" xr:uid="{00000000-0005-0000-0000-0000C6630000}"/>
    <cellStyle name="40% - Accent6 2 3 3 2 3 2 2" xfId="20282" xr:uid="{00000000-0005-0000-0000-0000C7630000}"/>
    <cellStyle name="40% - Accent6 2 3 3 2 3 2 2 2" xfId="6599" xr:uid="{00000000-0005-0000-0000-0000C8630000}"/>
    <cellStyle name="40% - Accent6 2 3 3 2 3 2 3" xfId="9465" xr:uid="{00000000-0005-0000-0000-0000C9630000}"/>
    <cellStyle name="40% - Accent6 2 3 3 2 3 3" xfId="6598" xr:uid="{00000000-0005-0000-0000-0000CA630000}"/>
    <cellStyle name="40% - Accent6 2 3 3 2 3 3 2" xfId="20265" xr:uid="{00000000-0005-0000-0000-0000CB630000}"/>
    <cellStyle name="40% - Accent6 2 3 3 2 3 4" xfId="6596" xr:uid="{00000000-0005-0000-0000-0000CC630000}"/>
    <cellStyle name="40% - Accent6 2 3 3 2 4" xfId="28238" xr:uid="{00000000-0005-0000-0000-0000CD630000}"/>
    <cellStyle name="40% - Accent6 2 3 3 2 4 2" xfId="25812" xr:uid="{00000000-0005-0000-0000-0000CE630000}"/>
    <cellStyle name="40% - Accent6 2 3 3 2 4 2 2" xfId="11072" xr:uid="{00000000-0005-0000-0000-0000CF630000}"/>
    <cellStyle name="40% - Accent6 2 3 3 2 4 3" xfId="25283" xr:uid="{00000000-0005-0000-0000-0000D0630000}"/>
    <cellStyle name="40% - Accent6 2 3 3 2 5" xfId="26795" xr:uid="{00000000-0005-0000-0000-0000D1630000}"/>
    <cellStyle name="40% - Accent6 2 3 3 2 5 2" xfId="6593" xr:uid="{00000000-0005-0000-0000-0000D2630000}"/>
    <cellStyle name="40% - Accent6 2 3 3 2 6" xfId="31023" xr:uid="{00000000-0005-0000-0000-0000D3630000}"/>
    <cellStyle name="40% - Accent6 2 3 3 3" xfId="6592" xr:uid="{00000000-0005-0000-0000-0000D4630000}"/>
    <cellStyle name="40% - Accent6 2 3 3 3 2" xfId="6588" xr:uid="{00000000-0005-0000-0000-0000D5630000}"/>
    <cellStyle name="40% - Accent6 2 3 3 3 2 2" xfId="23532" xr:uid="{00000000-0005-0000-0000-0000D6630000}"/>
    <cellStyle name="40% - Accent6 2 3 3 3 2 2 2" xfId="25730" xr:uid="{00000000-0005-0000-0000-0000D7630000}"/>
    <cellStyle name="40% - Accent6 2 3 3 3 2 2 2 2" xfId="6586" xr:uid="{00000000-0005-0000-0000-0000D8630000}"/>
    <cellStyle name="40% - Accent6 2 3 3 3 2 2 3" xfId="18346" xr:uid="{00000000-0005-0000-0000-0000D9630000}"/>
    <cellStyle name="40% - Accent6 2 3 3 3 2 3" xfId="6585" xr:uid="{00000000-0005-0000-0000-0000DA630000}"/>
    <cellStyle name="40% - Accent6 2 3 3 3 2 3 2" xfId="18307" xr:uid="{00000000-0005-0000-0000-0000DB630000}"/>
    <cellStyle name="40% - Accent6 2 3 3 3 2 4" xfId="6583" xr:uid="{00000000-0005-0000-0000-0000DC630000}"/>
    <cellStyle name="40% - Accent6 2 3 3 3 3" xfId="6581" xr:uid="{00000000-0005-0000-0000-0000DD630000}"/>
    <cellStyle name="40% - Accent6 2 3 3 3 3 2" xfId="6580" xr:uid="{00000000-0005-0000-0000-0000DE630000}"/>
    <cellStyle name="40% - Accent6 2 3 3 3 3 2 2" xfId="18184" xr:uid="{00000000-0005-0000-0000-0000DF630000}"/>
    <cellStyle name="40% - Accent6 2 3 3 3 3 3" xfId="6579" xr:uid="{00000000-0005-0000-0000-0000E0630000}"/>
    <cellStyle name="40% - Accent6 2 3 3 3 4" xfId="26784" xr:uid="{00000000-0005-0000-0000-0000E1630000}"/>
    <cellStyle name="40% - Accent6 2 3 3 3 4 2" xfId="6578" xr:uid="{00000000-0005-0000-0000-0000E2630000}"/>
    <cellStyle name="40% - Accent6 2 3 3 3 5" xfId="33071" xr:uid="{00000000-0005-0000-0000-0000E3630000}"/>
    <cellStyle name="40% - Accent6 2 3 3 4" xfId="6577" xr:uid="{00000000-0005-0000-0000-0000E4630000}"/>
    <cellStyle name="40% - Accent6 2 3 3 4 2" xfId="6574" xr:uid="{00000000-0005-0000-0000-0000E5630000}"/>
    <cellStyle name="40% - Accent6 2 3 3 4 2 2" xfId="6573" xr:uid="{00000000-0005-0000-0000-0000E6630000}"/>
    <cellStyle name="40% - Accent6 2 3 3 4 2 2 2" xfId="6572" xr:uid="{00000000-0005-0000-0000-0000E7630000}"/>
    <cellStyle name="40% - Accent6 2 3 3 4 2 3" xfId="6571" xr:uid="{00000000-0005-0000-0000-0000E8630000}"/>
    <cellStyle name="40% - Accent6 2 3 3 4 3" xfId="6570" xr:uid="{00000000-0005-0000-0000-0000E9630000}"/>
    <cellStyle name="40% - Accent6 2 3 3 4 3 2" xfId="6569" xr:uid="{00000000-0005-0000-0000-0000EA630000}"/>
    <cellStyle name="40% - Accent6 2 3 3 4 4" xfId="7767" xr:uid="{00000000-0005-0000-0000-0000EB630000}"/>
    <cellStyle name="40% - Accent6 2 3 3 5" xfId="6568" xr:uid="{00000000-0005-0000-0000-0000EC630000}"/>
    <cellStyle name="40% - Accent6 2 3 3 5 2" xfId="6567" xr:uid="{00000000-0005-0000-0000-0000ED630000}"/>
    <cellStyle name="40% - Accent6 2 3 3 5 2 2" xfId="25582" xr:uid="{00000000-0005-0000-0000-0000EE630000}"/>
    <cellStyle name="40% - Accent6 2 3 3 5 3" xfId="6566" xr:uid="{00000000-0005-0000-0000-0000EF630000}"/>
    <cellStyle name="40% - Accent6 2 3 3 6" xfId="9280" xr:uid="{00000000-0005-0000-0000-0000F0630000}"/>
    <cellStyle name="40% - Accent6 2 3 3 6 2" xfId="29717" xr:uid="{00000000-0005-0000-0000-0000F1630000}"/>
    <cellStyle name="40% - Accent6 2 3 3 7" xfId="6565" xr:uid="{00000000-0005-0000-0000-0000F2630000}"/>
    <cellStyle name="40% - Accent6 2 3 4" xfId="30866" xr:uid="{00000000-0005-0000-0000-0000F3630000}"/>
    <cellStyle name="40% - Accent6 2 3 4 2" xfId="30864" xr:uid="{00000000-0005-0000-0000-0000F4630000}"/>
    <cellStyle name="40% - Accent6 2 3 4 2 2" xfId="6560" xr:uid="{00000000-0005-0000-0000-0000F5630000}"/>
    <cellStyle name="40% - Accent6 2 3 4 2 2 2" xfId="27187" xr:uid="{00000000-0005-0000-0000-0000F6630000}"/>
    <cellStyle name="40% - Accent6 2 3 4 2 2 2 2" xfId="8926" xr:uid="{00000000-0005-0000-0000-0000F7630000}"/>
    <cellStyle name="40% - Accent6 2 3 4 2 2 2 2 2" xfId="6559" xr:uid="{00000000-0005-0000-0000-0000F8630000}"/>
    <cellStyle name="40% - Accent6 2 3 4 2 2 2 3" xfId="7420" xr:uid="{00000000-0005-0000-0000-0000F9630000}"/>
    <cellStyle name="40% - Accent6 2 3 4 2 2 3" xfId="6557" xr:uid="{00000000-0005-0000-0000-0000FA630000}"/>
    <cellStyle name="40% - Accent6 2 3 4 2 2 3 2" xfId="6555" xr:uid="{00000000-0005-0000-0000-0000FB630000}"/>
    <cellStyle name="40% - Accent6 2 3 4 2 2 4" xfId="21406" xr:uid="{00000000-0005-0000-0000-0000FC630000}"/>
    <cellStyle name="40% - Accent6 2 3 4 2 3" xfId="6554" xr:uid="{00000000-0005-0000-0000-0000FD630000}"/>
    <cellStyle name="40% - Accent6 2 3 4 2 3 2" xfId="6552" xr:uid="{00000000-0005-0000-0000-0000FE630000}"/>
    <cellStyle name="40% - Accent6 2 3 4 2 3 2 2" xfId="6551" xr:uid="{00000000-0005-0000-0000-0000FF630000}"/>
    <cellStyle name="40% - Accent6 2 3 4 2 3 3" xfId="6550" xr:uid="{00000000-0005-0000-0000-000000640000}"/>
    <cellStyle name="40% - Accent6 2 3 4 2 4" xfId="33864" xr:uid="{00000000-0005-0000-0000-000001640000}"/>
    <cellStyle name="40% - Accent6 2 3 4 2 4 2" xfId="27375" xr:uid="{00000000-0005-0000-0000-000002640000}"/>
    <cellStyle name="40% - Accent6 2 3 4 2 5" xfId="6549" xr:uid="{00000000-0005-0000-0000-000003640000}"/>
    <cellStyle name="40% - Accent6 2 3 4 3" xfId="30120" xr:uid="{00000000-0005-0000-0000-000004640000}"/>
    <cellStyle name="40% - Accent6 2 3 4 3 2" xfId="6546" xr:uid="{00000000-0005-0000-0000-000005640000}"/>
    <cellStyle name="40% - Accent6 2 3 4 3 2 2" xfId="6545" xr:uid="{00000000-0005-0000-0000-000006640000}"/>
    <cellStyle name="40% - Accent6 2 3 4 3 2 2 2" xfId="6544" xr:uid="{00000000-0005-0000-0000-000007640000}"/>
    <cellStyle name="40% - Accent6 2 3 4 3 2 3" xfId="6543" xr:uid="{00000000-0005-0000-0000-000008640000}"/>
    <cellStyle name="40% - Accent6 2 3 4 3 3" xfId="6542" xr:uid="{00000000-0005-0000-0000-000009640000}"/>
    <cellStyle name="40% - Accent6 2 3 4 3 3 2" xfId="6541" xr:uid="{00000000-0005-0000-0000-00000A640000}"/>
    <cellStyle name="40% - Accent6 2 3 4 3 4" xfId="7765" xr:uid="{00000000-0005-0000-0000-00000B640000}"/>
    <cellStyle name="40% - Accent6 2 3 4 4" xfId="31348" xr:uid="{00000000-0005-0000-0000-00000C640000}"/>
    <cellStyle name="40% - Accent6 2 3 4 4 2" xfId="6540" xr:uid="{00000000-0005-0000-0000-00000D640000}"/>
    <cellStyle name="40% - Accent6 2 3 4 4 2 2" xfId="6539" xr:uid="{00000000-0005-0000-0000-00000E640000}"/>
    <cellStyle name="40% - Accent6 2 3 4 4 3" xfId="6538" xr:uid="{00000000-0005-0000-0000-00000F640000}"/>
    <cellStyle name="40% - Accent6 2 3 4 5" xfId="13323" xr:uid="{00000000-0005-0000-0000-000010640000}"/>
    <cellStyle name="40% - Accent6 2 3 4 5 2" xfId="25159" xr:uid="{00000000-0005-0000-0000-000011640000}"/>
    <cellStyle name="40% - Accent6 2 3 4 6" xfId="6537" xr:uid="{00000000-0005-0000-0000-000012640000}"/>
    <cellStyle name="40% - Accent6 2 3 5" xfId="32808" xr:uid="{00000000-0005-0000-0000-000013640000}"/>
    <cellStyle name="40% - Accent6 2 3 5 2" xfId="30843" xr:uid="{00000000-0005-0000-0000-000014640000}"/>
    <cellStyle name="40% - Accent6 2 3 5 2 2" xfId="17807" xr:uid="{00000000-0005-0000-0000-000015640000}"/>
    <cellStyle name="40% - Accent6 2 3 5 2 2 2" xfId="6533" xr:uid="{00000000-0005-0000-0000-000016640000}"/>
    <cellStyle name="40% - Accent6 2 3 5 2 2 2 2" xfId="6531" xr:uid="{00000000-0005-0000-0000-000017640000}"/>
    <cellStyle name="40% - Accent6 2 3 5 2 2 3" xfId="6530" xr:uid="{00000000-0005-0000-0000-000018640000}"/>
    <cellStyle name="40% - Accent6 2 3 5 2 3" xfId="21100" xr:uid="{00000000-0005-0000-0000-000019640000}"/>
    <cellStyle name="40% - Accent6 2 3 5 2 3 2" xfId="6529" xr:uid="{00000000-0005-0000-0000-00001A640000}"/>
    <cellStyle name="40% - Accent6 2 3 5 2 4" xfId="6528" xr:uid="{00000000-0005-0000-0000-00001B640000}"/>
    <cellStyle name="40% - Accent6 2 3 5 3" xfId="31335" xr:uid="{00000000-0005-0000-0000-00001C640000}"/>
    <cellStyle name="40% - Accent6 2 3 5 3 2" xfId="21094" xr:uid="{00000000-0005-0000-0000-00001D640000}"/>
    <cellStyle name="40% - Accent6 2 3 5 3 2 2" xfId="6527" xr:uid="{00000000-0005-0000-0000-00001E640000}"/>
    <cellStyle name="40% - Accent6 2 3 5 3 3" xfId="6525" xr:uid="{00000000-0005-0000-0000-00001F640000}"/>
    <cellStyle name="40% - Accent6 2 3 5 4" xfId="6524" xr:uid="{00000000-0005-0000-0000-000020640000}"/>
    <cellStyle name="40% - Accent6 2 3 5 4 2" xfId="6521" xr:uid="{00000000-0005-0000-0000-000021640000}"/>
    <cellStyle name="40% - Accent6 2 3 5 5" xfId="6520" xr:uid="{00000000-0005-0000-0000-000022640000}"/>
    <cellStyle name="40% - Accent6 2 3 6" xfId="29393" xr:uid="{00000000-0005-0000-0000-000023640000}"/>
    <cellStyle name="40% - Accent6 2 3 6 2" xfId="29384" xr:uid="{00000000-0005-0000-0000-000024640000}"/>
    <cellStyle name="40% - Accent6 2 3 6 2 2" xfId="21082" xr:uid="{00000000-0005-0000-0000-000025640000}"/>
    <cellStyle name="40% - Accent6 2 3 6 2 2 2" xfId="6518" xr:uid="{00000000-0005-0000-0000-000026640000}"/>
    <cellStyle name="40% - Accent6 2 3 6 2 3" xfId="6515" xr:uid="{00000000-0005-0000-0000-000027640000}"/>
    <cellStyle name="40% - Accent6 2 3 6 3" xfId="6513" xr:uid="{00000000-0005-0000-0000-000028640000}"/>
    <cellStyle name="40% - Accent6 2 3 6 3 2" xfId="6512" xr:uid="{00000000-0005-0000-0000-000029640000}"/>
    <cellStyle name="40% - Accent6 2 3 6 4" xfId="6510" xr:uid="{00000000-0005-0000-0000-00002A640000}"/>
    <cellStyle name="40% - Accent6 2 3 7" xfId="33150" xr:uid="{00000000-0005-0000-0000-00002B640000}"/>
    <cellStyle name="40% - Accent6 2 3 7 2" xfId="6506" xr:uid="{00000000-0005-0000-0000-00002C640000}"/>
    <cellStyle name="40% - Accent6 2 3 7 2 2" xfId="26469" xr:uid="{00000000-0005-0000-0000-00002D640000}"/>
    <cellStyle name="40% - Accent6 2 3 7 3" xfId="6504" xr:uid="{00000000-0005-0000-0000-00002E640000}"/>
    <cellStyle name="40% - Accent6 2 3 8" xfId="15106" xr:uid="{00000000-0005-0000-0000-00002F640000}"/>
    <cellStyle name="40% - Accent6 2 3 8 2" xfId="6502" xr:uid="{00000000-0005-0000-0000-000030640000}"/>
    <cellStyle name="40% - Accent6 2 3 9" xfId="33596" xr:uid="{00000000-0005-0000-0000-000031640000}"/>
    <cellStyle name="40% - Accent6 2 4" xfId="11798" xr:uid="{00000000-0005-0000-0000-000032640000}"/>
    <cellStyle name="40% - Accent6 2 4 2" xfId="31320" xr:uid="{00000000-0005-0000-0000-000033640000}"/>
    <cellStyle name="40% - Accent6 2 4 2 2" xfId="7959" xr:uid="{00000000-0005-0000-0000-000034640000}"/>
    <cellStyle name="40% - Accent6 2 4 2 2 2" xfId="6500" xr:uid="{00000000-0005-0000-0000-000035640000}"/>
    <cellStyle name="40% - Accent6 2 4 2 2 2 2" xfId="20600" xr:uid="{00000000-0005-0000-0000-000036640000}"/>
    <cellStyle name="40% - Accent6 2 4 2 2 2 2 2" xfId="7854" xr:uid="{00000000-0005-0000-0000-000037640000}"/>
    <cellStyle name="40% - Accent6 2 4 2 2 2 2 2 2" xfId="7851" xr:uid="{00000000-0005-0000-0000-000038640000}"/>
    <cellStyle name="40% - Accent6 2 4 2 2 2 2 2 2 2" xfId="8199" xr:uid="{00000000-0005-0000-0000-000039640000}"/>
    <cellStyle name="40% - Accent6 2 4 2 2 2 2 2 3" xfId="6498" xr:uid="{00000000-0005-0000-0000-00003A640000}"/>
    <cellStyle name="40% - Accent6 2 4 2 2 2 2 3" xfId="33390" xr:uid="{00000000-0005-0000-0000-00003B640000}"/>
    <cellStyle name="40% - Accent6 2 4 2 2 2 2 3 2" xfId="8137" xr:uid="{00000000-0005-0000-0000-00003C640000}"/>
    <cellStyle name="40% - Accent6 2 4 2 2 2 2 4" xfId="23474" xr:uid="{00000000-0005-0000-0000-00003D640000}"/>
    <cellStyle name="40% - Accent6 2 4 2 2 2 3" xfId="23416" xr:uid="{00000000-0005-0000-0000-00003E640000}"/>
    <cellStyle name="40% - Accent6 2 4 2 2 2 3 2" xfId="7847" xr:uid="{00000000-0005-0000-0000-00003F640000}"/>
    <cellStyle name="40% - Accent6 2 4 2 2 2 3 2 2" xfId="6495" xr:uid="{00000000-0005-0000-0000-000040640000}"/>
    <cellStyle name="40% - Accent6 2 4 2 2 2 3 3" xfId="23470" xr:uid="{00000000-0005-0000-0000-000041640000}"/>
    <cellStyle name="40% - Accent6 2 4 2 2 2 4" xfId="7885" xr:uid="{00000000-0005-0000-0000-000042640000}"/>
    <cellStyle name="40% - Accent6 2 4 2 2 2 4 2" xfId="12695" xr:uid="{00000000-0005-0000-0000-000043640000}"/>
    <cellStyle name="40% - Accent6 2 4 2 2 2 5" xfId="8046" xr:uid="{00000000-0005-0000-0000-000044640000}"/>
    <cellStyle name="40% - Accent6 2 4 2 2 3" xfId="6493" xr:uid="{00000000-0005-0000-0000-000045640000}"/>
    <cellStyle name="40% - Accent6 2 4 2 2 3 2" xfId="23408" xr:uid="{00000000-0005-0000-0000-000046640000}"/>
    <cellStyle name="40% - Accent6 2 4 2 2 3 2 2" xfId="7841" xr:uid="{00000000-0005-0000-0000-000047640000}"/>
    <cellStyle name="40% - Accent6 2 4 2 2 3 2 2 2" xfId="19720" xr:uid="{00000000-0005-0000-0000-000048640000}"/>
    <cellStyle name="40% - Accent6 2 4 2 2 3 2 3" xfId="21044" xr:uid="{00000000-0005-0000-0000-000049640000}"/>
    <cellStyle name="40% - Accent6 2 4 2 2 3 3" xfId="29065" xr:uid="{00000000-0005-0000-0000-00004A640000}"/>
    <cellStyle name="40% - Accent6 2 4 2 2 3 3 2" xfId="6490" xr:uid="{00000000-0005-0000-0000-00004B640000}"/>
    <cellStyle name="40% - Accent6 2 4 2 2 3 4" xfId="7588" xr:uid="{00000000-0005-0000-0000-00004C640000}"/>
    <cellStyle name="40% - Accent6 2 4 2 2 4" xfId="26738" xr:uid="{00000000-0005-0000-0000-00004D640000}"/>
    <cellStyle name="40% - Accent6 2 4 2 2 4 2" xfId="33193" xr:uid="{00000000-0005-0000-0000-00004E640000}"/>
    <cellStyle name="40% - Accent6 2 4 2 2 4 2 2" xfId="6489" xr:uid="{00000000-0005-0000-0000-00004F640000}"/>
    <cellStyle name="40% - Accent6 2 4 2 2 4 3" xfId="6487" xr:uid="{00000000-0005-0000-0000-000050640000}"/>
    <cellStyle name="40% - Accent6 2 4 2 2 5" xfId="26735" xr:uid="{00000000-0005-0000-0000-000051640000}"/>
    <cellStyle name="40% - Accent6 2 4 2 2 5 2" xfId="6484" xr:uid="{00000000-0005-0000-0000-000052640000}"/>
    <cellStyle name="40% - Accent6 2 4 2 2 6" xfId="6482" xr:uid="{00000000-0005-0000-0000-000053640000}"/>
    <cellStyle name="40% - Accent6 2 4 2 3" xfId="15001" xr:uid="{00000000-0005-0000-0000-000054640000}"/>
    <cellStyle name="40% - Accent6 2 4 2 3 2" xfId="6480" xr:uid="{00000000-0005-0000-0000-000055640000}"/>
    <cellStyle name="40% - Accent6 2 4 2 3 2 2" xfId="23390" xr:uid="{00000000-0005-0000-0000-000056640000}"/>
    <cellStyle name="40% - Accent6 2 4 2 3 2 2 2" xfId="13133" xr:uid="{00000000-0005-0000-0000-000057640000}"/>
    <cellStyle name="40% - Accent6 2 4 2 3 2 2 2 2" xfId="21660" xr:uid="{00000000-0005-0000-0000-000058640000}"/>
    <cellStyle name="40% - Accent6 2 4 2 3 2 2 3" xfId="23153" xr:uid="{00000000-0005-0000-0000-000059640000}"/>
    <cellStyle name="40% - Accent6 2 4 2 3 2 3" xfId="32548" xr:uid="{00000000-0005-0000-0000-00005A640000}"/>
    <cellStyle name="40% - Accent6 2 4 2 3 2 3 2" xfId="6478" xr:uid="{00000000-0005-0000-0000-00005B640000}"/>
    <cellStyle name="40% - Accent6 2 4 2 3 2 4" xfId="31578" xr:uid="{00000000-0005-0000-0000-00005C640000}"/>
    <cellStyle name="40% - Accent6 2 4 2 3 3" xfId="6477" xr:uid="{00000000-0005-0000-0000-00005D640000}"/>
    <cellStyle name="40% - Accent6 2 4 2 3 3 2" xfId="25532" xr:uid="{00000000-0005-0000-0000-00005E640000}"/>
    <cellStyle name="40% - Accent6 2 4 2 3 3 2 2" xfId="6475" xr:uid="{00000000-0005-0000-0000-00005F640000}"/>
    <cellStyle name="40% - Accent6 2 4 2 3 3 3" xfId="31271" xr:uid="{00000000-0005-0000-0000-000060640000}"/>
    <cellStyle name="40% - Accent6 2 4 2 3 4" xfId="26730" xr:uid="{00000000-0005-0000-0000-000061640000}"/>
    <cellStyle name="40% - Accent6 2 4 2 3 4 2" xfId="31254" xr:uid="{00000000-0005-0000-0000-000062640000}"/>
    <cellStyle name="40% - Accent6 2 4 2 3 5" xfId="32196" xr:uid="{00000000-0005-0000-0000-000063640000}"/>
    <cellStyle name="40% - Accent6 2 4 2 4" xfId="6474" xr:uid="{00000000-0005-0000-0000-000064640000}"/>
    <cellStyle name="40% - Accent6 2 4 2 4 2" xfId="6473" xr:uid="{00000000-0005-0000-0000-000065640000}"/>
    <cellStyle name="40% - Accent6 2 4 2 4 2 2" xfId="29029" xr:uid="{00000000-0005-0000-0000-000066640000}"/>
    <cellStyle name="40% - Accent6 2 4 2 4 2 2 2" xfId="6472" xr:uid="{00000000-0005-0000-0000-000067640000}"/>
    <cellStyle name="40% - Accent6 2 4 2 4 2 3" xfId="29025" xr:uid="{00000000-0005-0000-0000-000068640000}"/>
    <cellStyle name="40% - Accent6 2 4 2 4 3" xfId="6468" xr:uid="{00000000-0005-0000-0000-000069640000}"/>
    <cellStyle name="40% - Accent6 2 4 2 4 3 2" xfId="29020" xr:uid="{00000000-0005-0000-0000-00006A640000}"/>
    <cellStyle name="40% - Accent6 2 4 2 4 4" xfId="7746" xr:uid="{00000000-0005-0000-0000-00006B640000}"/>
    <cellStyle name="40% - Accent6 2 4 2 5" xfId="6467" xr:uid="{00000000-0005-0000-0000-00006C640000}"/>
    <cellStyle name="40% - Accent6 2 4 2 5 2" xfId="6466" xr:uid="{00000000-0005-0000-0000-00006D640000}"/>
    <cellStyle name="40% - Accent6 2 4 2 5 2 2" xfId="25398" xr:uid="{00000000-0005-0000-0000-00006E640000}"/>
    <cellStyle name="40% - Accent6 2 4 2 5 3" xfId="6465" xr:uid="{00000000-0005-0000-0000-00006F640000}"/>
    <cellStyle name="40% - Accent6 2 4 2 6" xfId="16520" xr:uid="{00000000-0005-0000-0000-000070640000}"/>
    <cellStyle name="40% - Accent6 2 4 2 6 2" xfId="6464" xr:uid="{00000000-0005-0000-0000-000071640000}"/>
    <cellStyle name="40% - Accent6 2 4 2 7" xfId="8123" xr:uid="{00000000-0005-0000-0000-000072640000}"/>
    <cellStyle name="40% - Accent6 2 4 3" xfId="7955" xr:uid="{00000000-0005-0000-0000-000073640000}"/>
    <cellStyle name="40% - Accent6 2 4 3 2" xfId="6463" xr:uid="{00000000-0005-0000-0000-000074640000}"/>
    <cellStyle name="40% - Accent6 2 4 3 2 2" xfId="6462" xr:uid="{00000000-0005-0000-0000-000075640000}"/>
    <cellStyle name="40% - Accent6 2 4 3 2 2 2" xfId="25949" xr:uid="{00000000-0005-0000-0000-000076640000}"/>
    <cellStyle name="40% - Accent6 2 4 3 2 2 2 2" xfId="29204" xr:uid="{00000000-0005-0000-0000-000077640000}"/>
    <cellStyle name="40% - Accent6 2 4 3 2 2 2 2 2" xfId="6460" xr:uid="{00000000-0005-0000-0000-000078640000}"/>
    <cellStyle name="40% - Accent6 2 4 3 2 2 2 3" xfId="17663" xr:uid="{00000000-0005-0000-0000-000079640000}"/>
    <cellStyle name="40% - Accent6 2 4 3 2 2 3" xfId="7784" xr:uid="{00000000-0005-0000-0000-00007A640000}"/>
    <cellStyle name="40% - Accent6 2 4 3 2 2 3 2" xfId="34317" xr:uid="{00000000-0005-0000-0000-00007B640000}"/>
    <cellStyle name="40% - Accent6 2 4 3 2 2 4" xfId="6458" xr:uid="{00000000-0005-0000-0000-00007C640000}"/>
    <cellStyle name="40% - Accent6 2 4 3 2 3" xfId="6457" xr:uid="{00000000-0005-0000-0000-00007D640000}"/>
    <cellStyle name="40% - Accent6 2 4 3 2 3 2" xfId="7780" xr:uid="{00000000-0005-0000-0000-00007E640000}"/>
    <cellStyle name="40% - Accent6 2 4 3 2 3 2 2" xfId="29191" xr:uid="{00000000-0005-0000-0000-00007F640000}"/>
    <cellStyle name="40% - Accent6 2 4 3 2 3 3" xfId="6889" xr:uid="{00000000-0005-0000-0000-000080640000}"/>
    <cellStyle name="40% - Accent6 2 4 3 2 4" xfId="30314" xr:uid="{00000000-0005-0000-0000-000081640000}"/>
    <cellStyle name="40% - Accent6 2 4 3 2 4 2" xfId="27921" xr:uid="{00000000-0005-0000-0000-000082640000}"/>
    <cellStyle name="40% - Accent6 2 4 3 2 5" xfId="6455" xr:uid="{00000000-0005-0000-0000-000083640000}"/>
    <cellStyle name="40% - Accent6 2 4 3 3" xfId="6454" xr:uid="{00000000-0005-0000-0000-000084640000}"/>
    <cellStyle name="40% - Accent6 2 4 3 3 2" xfId="6451" xr:uid="{00000000-0005-0000-0000-000085640000}"/>
    <cellStyle name="40% - Accent6 2 4 3 3 2 2" xfId="32792" xr:uid="{00000000-0005-0000-0000-000086640000}"/>
    <cellStyle name="40% - Accent6 2 4 3 3 2 2 2" xfId="12689" xr:uid="{00000000-0005-0000-0000-000087640000}"/>
    <cellStyle name="40% - Accent6 2 4 3 3 2 3" xfId="33011" xr:uid="{00000000-0005-0000-0000-000088640000}"/>
    <cellStyle name="40% - Accent6 2 4 3 3 3" xfId="6450" xr:uid="{00000000-0005-0000-0000-000089640000}"/>
    <cellStyle name="40% - Accent6 2 4 3 3 3 2" xfId="33208" xr:uid="{00000000-0005-0000-0000-00008A640000}"/>
    <cellStyle name="40% - Accent6 2 4 3 3 4" xfId="7742" xr:uid="{00000000-0005-0000-0000-00008B640000}"/>
    <cellStyle name="40% - Accent6 2 4 3 4" xfId="6449" xr:uid="{00000000-0005-0000-0000-00008C640000}"/>
    <cellStyle name="40% - Accent6 2 4 3 4 2" xfId="6447" xr:uid="{00000000-0005-0000-0000-00008D640000}"/>
    <cellStyle name="40% - Accent6 2 4 3 4 2 2" xfId="28991" xr:uid="{00000000-0005-0000-0000-00008E640000}"/>
    <cellStyle name="40% - Accent6 2 4 3 4 3" xfId="6446" xr:uid="{00000000-0005-0000-0000-00008F640000}"/>
    <cellStyle name="40% - Accent6 2 4 3 5" xfId="6445" xr:uid="{00000000-0005-0000-0000-000090640000}"/>
    <cellStyle name="40% - Accent6 2 4 3 5 2" xfId="6443" xr:uid="{00000000-0005-0000-0000-000091640000}"/>
    <cellStyle name="40% - Accent6 2 4 3 6" xfId="16507" xr:uid="{00000000-0005-0000-0000-000092640000}"/>
    <cellStyle name="40% - Accent6 2 4 4" xfId="30831" xr:uid="{00000000-0005-0000-0000-000093640000}"/>
    <cellStyle name="40% - Accent6 2 4 4 2" xfId="30828" xr:uid="{00000000-0005-0000-0000-000094640000}"/>
    <cellStyle name="40% - Accent6 2 4 4 2 2" xfId="33389" xr:uid="{00000000-0005-0000-0000-000095640000}"/>
    <cellStyle name="40% - Accent6 2 4 4 2 2 2" xfId="19098" xr:uid="{00000000-0005-0000-0000-000096640000}"/>
    <cellStyle name="40% - Accent6 2 4 4 2 2 2 2" xfId="32249" xr:uid="{00000000-0005-0000-0000-000097640000}"/>
    <cellStyle name="40% - Accent6 2 4 4 2 2 3" xfId="19090" xr:uid="{00000000-0005-0000-0000-000098640000}"/>
    <cellStyle name="40% - Accent6 2 4 4 2 3" xfId="23473" xr:uid="{00000000-0005-0000-0000-000099640000}"/>
    <cellStyle name="40% - Accent6 2 4 4 2 3 2" xfId="6442" xr:uid="{00000000-0005-0000-0000-00009A640000}"/>
    <cellStyle name="40% - Accent6 2 4 4 2 4" xfId="10237" xr:uid="{00000000-0005-0000-0000-00009B640000}"/>
    <cellStyle name="40% - Accent6 2 4 4 3" xfId="26999" xr:uid="{00000000-0005-0000-0000-00009C640000}"/>
    <cellStyle name="40% - Accent6 2 4 4 3 2" xfId="23469" xr:uid="{00000000-0005-0000-0000-00009D640000}"/>
    <cellStyle name="40% - Accent6 2 4 4 3 2 2" xfId="19056" xr:uid="{00000000-0005-0000-0000-00009E640000}"/>
    <cellStyle name="40% - Accent6 2 4 4 3 3" xfId="6440" xr:uid="{00000000-0005-0000-0000-00009F640000}"/>
    <cellStyle name="40% - Accent6 2 4 4 4" xfId="16815" xr:uid="{00000000-0005-0000-0000-0000A0640000}"/>
    <cellStyle name="40% - Accent6 2 4 4 4 2" xfId="12681" xr:uid="{00000000-0005-0000-0000-0000A1640000}"/>
    <cellStyle name="40% - Accent6 2 4 4 5" xfId="10565" xr:uid="{00000000-0005-0000-0000-0000A2640000}"/>
    <cellStyle name="40% - Accent6 2 4 5" xfId="31856" xr:uid="{00000000-0005-0000-0000-0000A3640000}"/>
    <cellStyle name="40% - Accent6 2 4 5 2" xfId="30818" xr:uid="{00000000-0005-0000-0000-0000A4640000}"/>
    <cellStyle name="40% - Accent6 2 4 5 2 2" xfId="21043" xr:uid="{00000000-0005-0000-0000-0000A5640000}"/>
    <cellStyle name="40% - Accent6 2 4 5 2 2 2" xfId="6437" xr:uid="{00000000-0005-0000-0000-0000A6640000}"/>
    <cellStyle name="40% - Accent6 2 4 5 2 3" xfId="6435" xr:uid="{00000000-0005-0000-0000-0000A7640000}"/>
    <cellStyle name="40% - Accent6 2 4 5 3" xfId="23321" xr:uid="{00000000-0005-0000-0000-0000A8640000}"/>
    <cellStyle name="40% - Accent6 2 4 5 3 2" xfId="9175" xr:uid="{00000000-0005-0000-0000-0000A9640000}"/>
    <cellStyle name="40% - Accent6 2 4 5 4" xfId="10547" xr:uid="{00000000-0005-0000-0000-0000AA640000}"/>
    <cellStyle name="40% - Accent6 2 4 6" xfId="30352" xr:uid="{00000000-0005-0000-0000-0000AB640000}"/>
    <cellStyle name="40% - Accent6 2 4 6 2" xfId="23278" xr:uid="{00000000-0005-0000-0000-0000AC640000}"/>
    <cellStyle name="40% - Accent6 2 4 6 2 2" xfId="6431" xr:uid="{00000000-0005-0000-0000-0000AD640000}"/>
    <cellStyle name="40% - Accent6 2 4 6 3" xfId="31606" xr:uid="{00000000-0005-0000-0000-0000AE640000}"/>
    <cellStyle name="40% - Accent6 2 4 7" xfId="6429" xr:uid="{00000000-0005-0000-0000-0000AF640000}"/>
    <cellStyle name="40% - Accent6 2 4 7 2" xfId="6427" xr:uid="{00000000-0005-0000-0000-0000B0640000}"/>
    <cellStyle name="40% - Accent6 2 4 8" xfId="15101" xr:uid="{00000000-0005-0000-0000-0000B1640000}"/>
    <cellStyle name="40% - Accent6 2 4 9" xfId="34768" xr:uid="{00000000-0005-0000-0000-0000B2640000}"/>
    <cellStyle name="40% - Accent6 2 5" xfId="7953" xr:uid="{00000000-0005-0000-0000-0000B3640000}"/>
    <cellStyle name="40% - Accent6 2 5 2" xfId="7951" xr:uid="{00000000-0005-0000-0000-0000B4640000}"/>
    <cellStyle name="40% - Accent6 2 5 2 2" xfId="6425" xr:uid="{00000000-0005-0000-0000-0000B5640000}"/>
    <cellStyle name="40% - Accent6 2 5 2 2 2" xfId="13258" xr:uid="{00000000-0005-0000-0000-0000B6640000}"/>
    <cellStyle name="40% - Accent6 2 5 2 2 2 2" xfId="21603" xr:uid="{00000000-0005-0000-0000-0000B7640000}"/>
    <cellStyle name="40% - Accent6 2 5 2 2 2 2 2" xfId="9565" xr:uid="{00000000-0005-0000-0000-0000B8640000}"/>
    <cellStyle name="40% - Accent6 2 5 2 2 2 2 2 2" xfId="6424" xr:uid="{00000000-0005-0000-0000-0000B9640000}"/>
    <cellStyle name="40% - Accent6 2 5 2 2 2 2 3" xfId="13512" xr:uid="{00000000-0005-0000-0000-0000BA640000}"/>
    <cellStyle name="40% - Accent6 2 5 2 2 2 3" xfId="24063" xr:uid="{00000000-0005-0000-0000-0000BB640000}"/>
    <cellStyle name="40% - Accent6 2 5 2 2 2 3 2" xfId="6420" xr:uid="{00000000-0005-0000-0000-0000BC640000}"/>
    <cellStyle name="40% - Accent6 2 5 2 2 2 4" xfId="6419" xr:uid="{00000000-0005-0000-0000-0000BD640000}"/>
    <cellStyle name="40% - Accent6 2 5 2 2 3" xfId="13255" xr:uid="{00000000-0005-0000-0000-0000BE640000}"/>
    <cellStyle name="40% - Accent6 2 5 2 2 3 2" xfId="24048" xr:uid="{00000000-0005-0000-0000-0000BF640000}"/>
    <cellStyle name="40% - Accent6 2 5 2 2 3 2 2" xfId="6418" xr:uid="{00000000-0005-0000-0000-0000C0640000}"/>
    <cellStyle name="40% - Accent6 2 5 2 2 3 3" xfId="6417" xr:uid="{00000000-0005-0000-0000-0000C1640000}"/>
    <cellStyle name="40% - Accent6 2 5 2 2 4" xfId="26652" xr:uid="{00000000-0005-0000-0000-0000C2640000}"/>
    <cellStyle name="40% - Accent6 2 5 2 2 4 2" xfId="6416" xr:uid="{00000000-0005-0000-0000-0000C3640000}"/>
    <cellStyle name="40% - Accent6 2 5 2 2 5" xfId="6415" xr:uid="{00000000-0005-0000-0000-0000C4640000}"/>
    <cellStyle name="40% - Accent6 2 5 2 3" xfId="6414" xr:uid="{00000000-0005-0000-0000-0000C5640000}"/>
    <cellStyle name="40% - Accent6 2 5 2 3 2" xfId="13230" xr:uid="{00000000-0005-0000-0000-0000C6640000}"/>
    <cellStyle name="40% - Accent6 2 5 2 3 2 2" xfId="23817" xr:uid="{00000000-0005-0000-0000-0000C7640000}"/>
    <cellStyle name="40% - Accent6 2 5 2 3 2 2 2" xfId="10986" xr:uid="{00000000-0005-0000-0000-0000C8640000}"/>
    <cellStyle name="40% - Accent6 2 5 2 3 2 3" xfId="19511" xr:uid="{00000000-0005-0000-0000-0000C9640000}"/>
    <cellStyle name="40% - Accent6 2 5 2 3 3" xfId="6413" xr:uid="{00000000-0005-0000-0000-0000CA640000}"/>
    <cellStyle name="40% - Accent6 2 5 2 3 3 2" xfId="27899" xr:uid="{00000000-0005-0000-0000-0000CB640000}"/>
    <cellStyle name="40% - Accent6 2 5 2 3 4" xfId="7730" xr:uid="{00000000-0005-0000-0000-0000CC640000}"/>
    <cellStyle name="40% - Accent6 2 5 2 4" xfId="6411" xr:uid="{00000000-0005-0000-0000-0000CD640000}"/>
    <cellStyle name="40% - Accent6 2 5 2 4 2" xfId="6410" xr:uid="{00000000-0005-0000-0000-0000CE640000}"/>
    <cellStyle name="40% - Accent6 2 5 2 4 2 2" xfId="27881" xr:uid="{00000000-0005-0000-0000-0000CF640000}"/>
    <cellStyle name="40% - Accent6 2 5 2 4 3" xfId="6409" xr:uid="{00000000-0005-0000-0000-0000D0640000}"/>
    <cellStyle name="40% - Accent6 2 5 2 5" xfId="20987" xr:uid="{00000000-0005-0000-0000-0000D1640000}"/>
    <cellStyle name="40% - Accent6 2 5 2 5 2" xfId="6408" xr:uid="{00000000-0005-0000-0000-0000D2640000}"/>
    <cellStyle name="40% - Accent6 2 5 2 6" xfId="16480" xr:uid="{00000000-0005-0000-0000-0000D3640000}"/>
    <cellStyle name="40% - Accent6 2 5 3" xfId="11715" xr:uid="{00000000-0005-0000-0000-0000D4640000}"/>
    <cellStyle name="40% - Accent6 2 5 3 2" xfId="11713" xr:uid="{00000000-0005-0000-0000-0000D5640000}"/>
    <cellStyle name="40% - Accent6 2 5 3 2 2" xfId="13170" xr:uid="{00000000-0005-0000-0000-0000D6640000}"/>
    <cellStyle name="40% - Accent6 2 5 3 2 2 2" xfId="23092" xr:uid="{00000000-0005-0000-0000-0000D7640000}"/>
    <cellStyle name="40% - Accent6 2 5 3 2 2 2 2" xfId="7625" xr:uid="{00000000-0005-0000-0000-0000D8640000}"/>
    <cellStyle name="40% - Accent6 2 5 3 2 2 3" xfId="6406" xr:uid="{00000000-0005-0000-0000-0000D9640000}"/>
    <cellStyle name="40% - Accent6 2 5 3 2 3" xfId="6405" xr:uid="{00000000-0005-0000-0000-0000DA640000}"/>
    <cellStyle name="40% - Accent6 2 5 3 2 3 2" xfId="6404" xr:uid="{00000000-0005-0000-0000-0000DB640000}"/>
    <cellStyle name="40% - Accent6 2 5 3 2 4" xfId="6402" xr:uid="{00000000-0005-0000-0000-0000DC640000}"/>
    <cellStyle name="40% - Accent6 2 5 3 3" xfId="6401" xr:uid="{00000000-0005-0000-0000-0000DD640000}"/>
    <cellStyle name="40% - Accent6 2 5 3 3 2" xfId="6400" xr:uid="{00000000-0005-0000-0000-0000DE640000}"/>
    <cellStyle name="40% - Accent6 2 5 3 3 2 2" xfId="28364" xr:uid="{00000000-0005-0000-0000-0000DF640000}"/>
    <cellStyle name="40% - Accent6 2 5 3 3 3" xfId="6399" xr:uid="{00000000-0005-0000-0000-0000E0640000}"/>
    <cellStyle name="40% - Accent6 2 5 3 4" xfId="6398" xr:uid="{00000000-0005-0000-0000-0000E1640000}"/>
    <cellStyle name="40% - Accent6 2 5 3 4 2" xfId="6396" xr:uid="{00000000-0005-0000-0000-0000E2640000}"/>
    <cellStyle name="40% - Accent6 2 5 3 5" xfId="6395" xr:uid="{00000000-0005-0000-0000-0000E3640000}"/>
    <cellStyle name="40% - Accent6 2 5 4" xfId="30809" xr:uid="{00000000-0005-0000-0000-0000E4640000}"/>
    <cellStyle name="40% - Accent6 2 5 4 2" xfId="33218" xr:uid="{00000000-0005-0000-0000-0000E5640000}"/>
    <cellStyle name="40% - Accent6 2 5 4 2 2" xfId="23152" xr:uid="{00000000-0005-0000-0000-0000E6640000}"/>
    <cellStyle name="40% - Accent6 2 5 4 2 2 2" xfId="6393" xr:uid="{00000000-0005-0000-0000-0000E7640000}"/>
    <cellStyle name="40% - Accent6 2 5 4 2 3" xfId="6391" xr:uid="{00000000-0005-0000-0000-0000E8640000}"/>
    <cellStyle name="40% - Accent6 2 5 4 3" xfId="23149" xr:uid="{00000000-0005-0000-0000-0000E9640000}"/>
    <cellStyle name="40% - Accent6 2 5 4 3 2" xfId="6387" xr:uid="{00000000-0005-0000-0000-0000EA640000}"/>
    <cellStyle name="40% - Accent6 2 5 4 4" xfId="10482" xr:uid="{00000000-0005-0000-0000-0000EB640000}"/>
    <cellStyle name="40% - Accent6 2 5 5" xfId="33731" xr:uid="{00000000-0005-0000-0000-0000EC640000}"/>
    <cellStyle name="40% - Accent6 2 5 5 2" xfId="23121" xr:uid="{00000000-0005-0000-0000-0000ED640000}"/>
    <cellStyle name="40% - Accent6 2 5 5 2 2" xfId="6385" xr:uid="{00000000-0005-0000-0000-0000EE640000}"/>
    <cellStyle name="40% - Accent6 2 5 5 3" xfId="9127" xr:uid="{00000000-0005-0000-0000-0000EF640000}"/>
    <cellStyle name="40% - Accent6 2 5 6" xfId="6383" xr:uid="{00000000-0005-0000-0000-0000F0640000}"/>
    <cellStyle name="40% - Accent6 2 5 6 2" xfId="6382" xr:uid="{00000000-0005-0000-0000-0000F1640000}"/>
    <cellStyle name="40% - Accent6 2 5 7" xfId="6381" xr:uid="{00000000-0005-0000-0000-0000F2640000}"/>
    <cellStyle name="40% - Accent6 2 5 8" xfId="34958" xr:uid="{00000000-0005-0000-0000-0000F3640000}"/>
    <cellStyle name="40% - Accent6 2 6" xfId="7948" xr:uid="{00000000-0005-0000-0000-0000F4640000}"/>
    <cellStyle name="40% - Accent6 2 6 2" xfId="6379" xr:uid="{00000000-0005-0000-0000-0000F5640000}"/>
    <cellStyle name="40% - Accent6 2 6 2 2" xfId="14923" xr:uid="{00000000-0005-0000-0000-0000F6640000}"/>
    <cellStyle name="40% - Accent6 2 6 2 2 2" xfId="12957" xr:uid="{00000000-0005-0000-0000-0000F7640000}"/>
    <cellStyle name="40% - Accent6 2 6 2 2 2 2" xfId="21330" xr:uid="{00000000-0005-0000-0000-0000F8640000}"/>
    <cellStyle name="40% - Accent6 2 6 2 2 2 2 2" xfId="7872" xr:uid="{00000000-0005-0000-0000-0000F9640000}"/>
    <cellStyle name="40% - Accent6 2 6 2 2 2 3" xfId="21324" xr:uid="{00000000-0005-0000-0000-0000FA640000}"/>
    <cellStyle name="40% - Accent6 2 6 2 2 3" xfId="11923" xr:uid="{00000000-0005-0000-0000-0000FB640000}"/>
    <cellStyle name="40% - Accent6 2 6 2 2 3 2" xfId="11921" xr:uid="{00000000-0005-0000-0000-0000FC640000}"/>
    <cellStyle name="40% - Accent6 2 6 2 2 4" xfId="11917" xr:uid="{00000000-0005-0000-0000-0000FD640000}"/>
    <cellStyle name="40% - Accent6 2 6 2 3" xfId="25224" xr:uid="{00000000-0005-0000-0000-0000FE640000}"/>
    <cellStyle name="40% - Accent6 2 6 2 3 2" xfId="6377" xr:uid="{00000000-0005-0000-0000-0000FF640000}"/>
    <cellStyle name="40% - Accent6 2 6 2 3 2 2" xfId="21168" xr:uid="{00000000-0005-0000-0000-000000650000}"/>
    <cellStyle name="40% - Accent6 2 6 2 3 3" xfId="11912" xr:uid="{00000000-0005-0000-0000-000001650000}"/>
    <cellStyle name="40% - Accent6 2 6 2 4" xfId="19911" xr:uid="{00000000-0005-0000-0000-000002650000}"/>
    <cellStyle name="40% - Accent6 2 6 2 4 2" xfId="29128" xr:uid="{00000000-0005-0000-0000-000003650000}"/>
    <cellStyle name="40% - Accent6 2 6 2 5" xfId="19905" xr:uid="{00000000-0005-0000-0000-000004650000}"/>
    <cellStyle name="40% - Accent6 2 6 3" xfId="11710" xr:uid="{00000000-0005-0000-0000-000005650000}"/>
    <cellStyle name="40% - Accent6 2 6 3 2" xfId="28599" xr:uid="{00000000-0005-0000-0000-000006650000}"/>
    <cellStyle name="40% - Accent6 2 6 3 2 2" xfId="6375" xr:uid="{00000000-0005-0000-0000-000007650000}"/>
    <cellStyle name="40% - Accent6 2 6 3 2 2 2" xfId="20668" xr:uid="{00000000-0005-0000-0000-000008650000}"/>
    <cellStyle name="40% - Accent6 2 6 3 2 3" xfId="11892" xr:uid="{00000000-0005-0000-0000-000009650000}"/>
    <cellStyle name="40% - Accent6 2 6 3 3" xfId="19901" xr:uid="{00000000-0005-0000-0000-00000A650000}"/>
    <cellStyle name="40% - Accent6 2 6 3 3 2" xfId="6373" xr:uid="{00000000-0005-0000-0000-00000B650000}"/>
    <cellStyle name="40% - Accent6 2 6 3 4" xfId="19896" xr:uid="{00000000-0005-0000-0000-00000C650000}"/>
    <cellStyle name="40% - Accent6 2 6 4" xfId="30803" xr:uid="{00000000-0005-0000-0000-00000D650000}"/>
    <cellStyle name="40% - Accent6 2 6 4 2" xfId="19882" xr:uid="{00000000-0005-0000-0000-00000E650000}"/>
    <cellStyle name="40% - Accent6 2 6 4 2 2" xfId="6371" xr:uid="{00000000-0005-0000-0000-00000F650000}"/>
    <cellStyle name="40% - Accent6 2 6 4 3" xfId="19877" xr:uid="{00000000-0005-0000-0000-000010650000}"/>
    <cellStyle name="40% - Accent6 2 6 5" xfId="6364" xr:uid="{00000000-0005-0000-0000-000011650000}"/>
    <cellStyle name="40% - Accent6 2 6 5 2" xfId="19870" xr:uid="{00000000-0005-0000-0000-000012650000}"/>
    <cellStyle name="40% - Accent6 2 6 6" xfId="12683" xr:uid="{00000000-0005-0000-0000-000013650000}"/>
    <cellStyle name="40% - Accent6 2 6 7" xfId="35163" xr:uid="{00000000-0005-0000-0000-000014650000}"/>
    <cellStyle name="40% - Accent6 2 7" xfId="6363" xr:uid="{00000000-0005-0000-0000-000015650000}"/>
    <cellStyle name="40% - Accent6 2 7 2" xfId="6362" xr:uid="{00000000-0005-0000-0000-000016650000}"/>
    <cellStyle name="40% - Accent6 2 7 2 2" xfId="15562" xr:uid="{00000000-0005-0000-0000-000017650000}"/>
    <cellStyle name="40% - Accent6 2 7 2 2 2" xfId="6360" xr:uid="{00000000-0005-0000-0000-000018650000}"/>
    <cellStyle name="40% - Accent6 2 7 2 2 2 2" xfId="19184" xr:uid="{00000000-0005-0000-0000-000019650000}"/>
    <cellStyle name="40% - Accent6 2 7 2 2 3" xfId="15364" xr:uid="{00000000-0005-0000-0000-00001A650000}"/>
    <cellStyle name="40% - Accent6 2 7 2 3" xfId="15556" xr:uid="{00000000-0005-0000-0000-00001B650000}"/>
    <cellStyle name="40% - Accent6 2 7 2 3 2" xfId="6357" xr:uid="{00000000-0005-0000-0000-00001C650000}"/>
    <cellStyle name="40% - Accent6 2 7 2 4" xfId="19854" xr:uid="{00000000-0005-0000-0000-00001D650000}"/>
    <cellStyle name="40% - Accent6 2 7 3" xfId="6355" xr:uid="{00000000-0005-0000-0000-00001E650000}"/>
    <cellStyle name="40% - Accent6 2 7 3 2" xfId="15552" xr:uid="{00000000-0005-0000-0000-00001F650000}"/>
    <cellStyle name="40% - Accent6 2 7 3 2 2" xfId="6354" xr:uid="{00000000-0005-0000-0000-000020650000}"/>
    <cellStyle name="40% - Accent6 2 7 3 3" xfId="19843" xr:uid="{00000000-0005-0000-0000-000021650000}"/>
    <cellStyle name="40% - Accent6 2 7 4" xfId="6352" xr:uid="{00000000-0005-0000-0000-000022650000}"/>
    <cellStyle name="40% - Accent6 2 7 4 2" xfId="19832" xr:uid="{00000000-0005-0000-0000-000023650000}"/>
    <cellStyle name="40% - Accent6 2 7 5" xfId="34233" xr:uid="{00000000-0005-0000-0000-000024650000}"/>
    <cellStyle name="40% - Accent6 2 7 6" xfId="35392" xr:uid="{00000000-0005-0000-0000-000025650000}"/>
    <cellStyle name="40% - Accent6 2 8" xfId="6350" xr:uid="{00000000-0005-0000-0000-000026650000}"/>
    <cellStyle name="40% - Accent6 2 8 2" xfId="6349" xr:uid="{00000000-0005-0000-0000-000027650000}"/>
    <cellStyle name="40% - Accent6 2 8 2 2" xfId="15542" xr:uid="{00000000-0005-0000-0000-000028650000}"/>
    <cellStyle name="40% - Accent6 2 8 2 2 2" xfId="6348" xr:uid="{00000000-0005-0000-0000-000029650000}"/>
    <cellStyle name="40% - Accent6 2 8 2 3" xfId="19821" xr:uid="{00000000-0005-0000-0000-00002A650000}"/>
    <cellStyle name="40% - Accent6 2 8 3" xfId="6345" xr:uid="{00000000-0005-0000-0000-00002B650000}"/>
    <cellStyle name="40% - Accent6 2 8 3 2" xfId="19809" xr:uid="{00000000-0005-0000-0000-00002C650000}"/>
    <cellStyle name="40% - Accent6 2 8 4" xfId="6344" xr:uid="{00000000-0005-0000-0000-00002D650000}"/>
    <cellStyle name="40% - Accent6 2 8 5" xfId="36264" xr:uid="{00000000-0005-0000-0000-00002E650000}"/>
    <cellStyle name="40% - Accent6 2 9" xfId="15263" xr:uid="{00000000-0005-0000-0000-00002F650000}"/>
    <cellStyle name="40% - Accent6 2 9 2" xfId="6343" xr:uid="{00000000-0005-0000-0000-000030650000}"/>
    <cellStyle name="40% - Accent6 2 9 2 2" xfId="19805" xr:uid="{00000000-0005-0000-0000-000031650000}"/>
    <cellStyle name="40% - Accent6 2 9 3" xfId="6342" xr:uid="{00000000-0005-0000-0000-000032650000}"/>
    <cellStyle name="40% - Accent6 2 9 4" xfId="36550" xr:uid="{00000000-0005-0000-0000-000033650000}"/>
    <cellStyle name="40% - Accent6 20" xfId="35714" xr:uid="{00000000-0005-0000-0000-000034650000}"/>
    <cellStyle name="40% - Accent6 20 2" xfId="36883" xr:uid="{00000000-0005-0000-0000-000035650000}"/>
    <cellStyle name="40% - Accent6 20 3" xfId="37774" xr:uid="{00000000-0005-0000-0000-000036650000}"/>
    <cellStyle name="40% - Accent6 21" xfId="35733" xr:uid="{00000000-0005-0000-0000-000037650000}"/>
    <cellStyle name="40% - Accent6 21 2" xfId="36903" xr:uid="{00000000-0005-0000-0000-000038650000}"/>
    <cellStyle name="40% - Accent6 21 3" xfId="37794" xr:uid="{00000000-0005-0000-0000-000039650000}"/>
    <cellStyle name="40% - Accent6 22" xfId="35752" xr:uid="{00000000-0005-0000-0000-00003A650000}"/>
    <cellStyle name="40% - Accent6 22 2" xfId="36923" xr:uid="{00000000-0005-0000-0000-00003B650000}"/>
    <cellStyle name="40% - Accent6 22 3" xfId="37814" xr:uid="{00000000-0005-0000-0000-00003C650000}"/>
    <cellStyle name="40% - Accent6 23" xfId="35772" xr:uid="{00000000-0005-0000-0000-00003D650000}"/>
    <cellStyle name="40% - Accent6 23 2" xfId="36942" xr:uid="{00000000-0005-0000-0000-00003E650000}"/>
    <cellStyle name="40% - Accent6 23 3" xfId="37834" xr:uid="{00000000-0005-0000-0000-00003F650000}"/>
    <cellStyle name="40% - Accent6 24" xfId="35792" xr:uid="{00000000-0005-0000-0000-000040650000}"/>
    <cellStyle name="40% - Accent6 24 2" xfId="36961" xr:uid="{00000000-0005-0000-0000-000041650000}"/>
    <cellStyle name="40% - Accent6 24 3" xfId="37854" xr:uid="{00000000-0005-0000-0000-000042650000}"/>
    <cellStyle name="40% - Accent6 25" xfId="35811" xr:uid="{00000000-0005-0000-0000-000043650000}"/>
    <cellStyle name="40% - Accent6 25 2" xfId="36981" xr:uid="{00000000-0005-0000-0000-000044650000}"/>
    <cellStyle name="40% - Accent6 25 3" xfId="37874" xr:uid="{00000000-0005-0000-0000-000045650000}"/>
    <cellStyle name="40% - Accent6 26" xfId="35830" xr:uid="{00000000-0005-0000-0000-000046650000}"/>
    <cellStyle name="40% - Accent6 26 2" xfId="37001" xr:uid="{00000000-0005-0000-0000-000047650000}"/>
    <cellStyle name="40% - Accent6 26 3" xfId="37894" xr:uid="{00000000-0005-0000-0000-000048650000}"/>
    <cellStyle name="40% - Accent6 27" xfId="35849" xr:uid="{00000000-0005-0000-0000-000049650000}"/>
    <cellStyle name="40% - Accent6 27 2" xfId="37021" xr:uid="{00000000-0005-0000-0000-00004A650000}"/>
    <cellStyle name="40% - Accent6 27 3" xfId="37914" xr:uid="{00000000-0005-0000-0000-00004B650000}"/>
    <cellStyle name="40% - Accent6 28" xfId="35868" xr:uid="{00000000-0005-0000-0000-00004C650000}"/>
    <cellStyle name="40% - Accent6 28 2" xfId="37041" xr:uid="{00000000-0005-0000-0000-00004D650000}"/>
    <cellStyle name="40% - Accent6 28 3" xfId="37934" xr:uid="{00000000-0005-0000-0000-00004E650000}"/>
    <cellStyle name="40% - Accent6 29" xfId="35882" xr:uid="{00000000-0005-0000-0000-00004F650000}"/>
    <cellStyle name="40% - Accent6 29 2" xfId="37054" xr:uid="{00000000-0005-0000-0000-000050650000}"/>
    <cellStyle name="40% - Accent6 29 3" xfId="37948" xr:uid="{00000000-0005-0000-0000-000051650000}"/>
    <cellStyle name="40% - Accent6 3" xfId="114" xr:uid="{00000000-0005-0000-0000-000052650000}"/>
    <cellStyle name="40% - Accent6 3 10" xfId="16883" xr:uid="{00000000-0005-0000-0000-000053650000}"/>
    <cellStyle name="40% - Accent6 3 10 2" xfId="37454" xr:uid="{00000000-0005-0000-0000-000054650000}"/>
    <cellStyle name="40% - Accent6 3 11" xfId="34468" xr:uid="{00000000-0005-0000-0000-000055650000}"/>
    <cellStyle name="40% - Accent6 3 12" xfId="7945" xr:uid="{00000000-0005-0000-0000-000056650000}"/>
    <cellStyle name="40% - Accent6 3 2" xfId="175" xr:uid="{00000000-0005-0000-0000-000057650000}"/>
    <cellStyle name="40% - Accent6 3 2 10" xfId="34518" xr:uid="{00000000-0005-0000-0000-000058650000}"/>
    <cellStyle name="40% - Accent6 3 2 11" xfId="31577" xr:uid="{00000000-0005-0000-0000-000059650000}"/>
    <cellStyle name="40% - Accent6 3 2 2" xfId="7942" xr:uid="{00000000-0005-0000-0000-00005A650000}"/>
    <cellStyle name="40% - Accent6 3 2 2 2" xfId="7939" xr:uid="{00000000-0005-0000-0000-00005B650000}"/>
    <cellStyle name="40% - Accent6 3 2 2 2 2" xfId="15081" xr:uid="{00000000-0005-0000-0000-00005C650000}"/>
    <cellStyle name="40% - Accent6 3 2 2 2 2 2" xfId="6341" xr:uid="{00000000-0005-0000-0000-00005D650000}"/>
    <cellStyle name="40% - Accent6 3 2 2 2 2 2 2" xfId="6340" xr:uid="{00000000-0005-0000-0000-00005E650000}"/>
    <cellStyle name="40% - Accent6 3 2 2 2 2 2 2 2" xfId="25822" xr:uid="{00000000-0005-0000-0000-00005F650000}"/>
    <cellStyle name="40% - Accent6 3 2 2 2 2 2 2 2 2" xfId="6339" xr:uid="{00000000-0005-0000-0000-000060650000}"/>
    <cellStyle name="40% - Accent6 3 2 2 2 2 2 2 2 2 2" xfId="21119" xr:uid="{00000000-0005-0000-0000-000061650000}"/>
    <cellStyle name="40% - Accent6 3 2 2 2 2 2 2 2 3" xfId="6337" xr:uid="{00000000-0005-0000-0000-000062650000}"/>
    <cellStyle name="40% - Accent6 3 2 2 2 2 2 2 3" xfId="27140" xr:uid="{00000000-0005-0000-0000-000063650000}"/>
    <cellStyle name="40% - Accent6 3 2 2 2 2 2 2 3 2" xfId="9855" xr:uid="{00000000-0005-0000-0000-000064650000}"/>
    <cellStyle name="40% - Accent6 3 2 2 2 2 2 2 4" xfId="27126" xr:uid="{00000000-0005-0000-0000-000065650000}"/>
    <cellStyle name="40% - Accent6 3 2 2 2 2 2 3" xfId="15831" xr:uid="{00000000-0005-0000-0000-000066650000}"/>
    <cellStyle name="40% - Accent6 3 2 2 2 2 2 3 2" xfId="18390" xr:uid="{00000000-0005-0000-0000-000067650000}"/>
    <cellStyle name="40% - Accent6 3 2 2 2 2 2 3 2 2" xfId="25701" xr:uid="{00000000-0005-0000-0000-000068650000}"/>
    <cellStyle name="40% - Accent6 3 2 2 2 2 2 3 3" xfId="27274" xr:uid="{00000000-0005-0000-0000-000069650000}"/>
    <cellStyle name="40% - Accent6 3 2 2 2 2 2 4" xfId="6333" xr:uid="{00000000-0005-0000-0000-00006A650000}"/>
    <cellStyle name="40% - Accent6 3 2 2 2 2 2 4 2" xfId="20475" xr:uid="{00000000-0005-0000-0000-00006B650000}"/>
    <cellStyle name="40% - Accent6 3 2 2 2 2 2 5" xfId="6332" xr:uid="{00000000-0005-0000-0000-00006C650000}"/>
    <cellStyle name="40% - Accent6 3 2 2 2 2 3" xfId="7314" xr:uid="{00000000-0005-0000-0000-00006D650000}"/>
    <cellStyle name="40% - Accent6 3 2 2 2 2 3 2" xfId="6331" xr:uid="{00000000-0005-0000-0000-00006E650000}"/>
    <cellStyle name="40% - Accent6 3 2 2 2 2 3 2 2" xfId="24000" xr:uid="{00000000-0005-0000-0000-00006F650000}"/>
    <cellStyle name="40% - Accent6 3 2 2 2 2 3 2 2 2" xfId="6330" xr:uid="{00000000-0005-0000-0000-000070650000}"/>
    <cellStyle name="40% - Accent6 3 2 2 2 2 3 2 3" xfId="26908" xr:uid="{00000000-0005-0000-0000-000071650000}"/>
    <cellStyle name="40% - Accent6 3 2 2 2 2 3 3" xfId="6326" xr:uid="{00000000-0005-0000-0000-000072650000}"/>
    <cellStyle name="40% - Accent6 3 2 2 2 2 3 3 2" xfId="23983" xr:uid="{00000000-0005-0000-0000-000073650000}"/>
    <cellStyle name="40% - Accent6 3 2 2 2 2 3 4" xfId="6325" xr:uid="{00000000-0005-0000-0000-000074650000}"/>
    <cellStyle name="40% - Accent6 3 2 2 2 2 4" xfId="33560" xr:uid="{00000000-0005-0000-0000-000075650000}"/>
    <cellStyle name="40% - Accent6 3 2 2 2 2 4 2" xfId="6324" xr:uid="{00000000-0005-0000-0000-000076650000}"/>
    <cellStyle name="40% - Accent6 3 2 2 2 2 4 2 2" xfId="23961" xr:uid="{00000000-0005-0000-0000-000077650000}"/>
    <cellStyle name="40% - Accent6 3 2 2 2 2 4 3" xfId="6323" xr:uid="{00000000-0005-0000-0000-000078650000}"/>
    <cellStyle name="40% - Accent6 3 2 2 2 2 5" xfId="6322" xr:uid="{00000000-0005-0000-0000-000079650000}"/>
    <cellStyle name="40% - Accent6 3 2 2 2 2 5 2" xfId="14239" xr:uid="{00000000-0005-0000-0000-00007A650000}"/>
    <cellStyle name="40% - Accent6 3 2 2 2 2 6" xfId="6321" xr:uid="{00000000-0005-0000-0000-00007B650000}"/>
    <cellStyle name="40% - Accent6 3 2 2 2 3" xfId="6318" xr:uid="{00000000-0005-0000-0000-00007C650000}"/>
    <cellStyle name="40% - Accent6 3 2 2 2 3 2" xfId="6317" xr:uid="{00000000-0005-0000-0000-00007D650000}"/>
    <cellStyle name="40% - Accent6 3 2 2 2 3 2 2" xfId="6316" xr:uid="{00000000-0005-0000-0000-00007E650000}"/>
    <cellStyle name="40% - Accent6 3 2 2 2 3 2 2 2" xfId="6315" xr:uid="{00000000-0005-0000-0000-00007F650000}"/>
    <cellStyle name="40% - Accent6 3 2 2 2 3 2 2 2 2" xfId="6314" xr:uid="{00000000-0005-0000-0000-000080650000}"/>
    <cellStyle name="40% - Accent6 3 2 2 2 3 2 2 3" xfId="26080" xr:uid="{00000000-0005-0000-0000-000081650000}"/>
    <cellStyle name="40% - Accent6 3 2 2 2 3 2 3" xfId="6312" xr:uid="{00000000-0005-0000-0000-000082650000}"/>
    <cellStyle name="40% - Accent6 3 2 2 2 3 2 3 2" xfId="27254" xr:uid="{00000000-0005-0000-0000-000083650000}"/>
    <cellStyle name="40% - Accent6 3 2 2 2 3 2 4" xfId="6311" xr:uid="{00000000-0005-0000-0000-000084650000}"/>
    <cellStyle name="40% - Accent6 3 2 2 2 3 3" xfId="7307" xr:uid="{00000000-0005-0000-0000-000085650000}"/>
    <cellStyle name="40% - Accent6 3 2 2 2 3 3 2" xfId="12200" xr:uid="{00000000-0005-0000-0000-000086650000}"/>
    <cellStyle name="40% - Accent6 3 2 2 2 3 3 2 2" xfId="23895" xr:uid="{00000000-0005-0000-0000-000087650000}"/>
    <cellStyle name="40% - Accent6 3 2 2 2 3 3 3" xfId="20539" xr:uid="{00000000-0005-0000-0000-000088650000}"/>
    <cellStyle name="40% - Accent6 3 2 2 2 3 4" xfId="6310" xr:uid="{00000000-0005-0000-0000-000089650000}"/>
    <cellStyle name="40% - Accent6 3 2 2 2 3 4 2" xfId="12170" xr:uid="{00000000-0005-0000-0000-00008A650000}"/>
    <cellStyle name="40% - Accent6 3 2 2 2 3 5" xfId="6309" xr:uid="{00000000-0005-0000-0000-00008B650000}"/>
    <cellStyle name="40% - Accent6 3 2 2 2 4" xfId="31250" xr:uid="{00000000-0005-0000-0000-00008C650000}"/>
    <cellStyle name="40% - Accent6 3 2 2 2 4 2" xfId="24036" xr:uid="{00000000-0005-0000-0000-00008D650000}"/>
    <cellStyle name="40% - Accent6 3 2 2 2 4 2 2" xfId="6308" xr:uid="{00000000-0005-0000-0000-00008E650000}"/>
    <cellStyle name="40% - Accent6 3 2 2 2 4 2 2 2" xfId="6307" xr:uid="{00000000-0005-0000-0000-00008F650000}"/>
    <cellStyle name="40% - Accent6 3 2 2 2 4 2 3" xfId="6306" xr:uid="{00000000-0005-0000-0000-000090650000}"/>
    <cellStyle name="40% - Accent6 3 2 2 2 4 3" xfId="23859" xr:uid="{00000000-0005-0000-0000-000091650000}"/>
    <cellStyle name="40% - Accent6 3 2 2 2 4 3 2" xfId="12149" xr:uid="{00000000-0005-0000-0000-000092650000}"/>
    <cellStyle name="40% - Accent6 3 2 2 2 4 4" xfId="23855" xr:uid="{00000000-0005-0000-0000-000093650000}"/>
    <cellStyle name="40% - Accent6 3 2 2 2 5" xfId="31236" xr:uid="{00000000-0005-0000-0000-000094650000}"/>
    <cellStyle name="40% - Accent6 3 2 2 2 5 2" xfId="32202" xr:uid="{00000000-0005-0000-0000-000095650000}"/>
    <cellStyle name="40% - Accent6 3 2 2 2 5 2 2" xfId="6305" xr:uid="{00000000-0005-0000-0000-000096650000}"/>
    <cellStyle name="40% - Accent6 3 2 2 2 5 3" xfId="23849" xr:uid="{00000000-0005-0000-0000-000097650000}"/>
    <cellStyle name="40% - Accent6 3 2 2 2 6" xfId="31868" xr:uid="{00000000-0005-0000-0000-000098650000}"/>
    <cellStyle name="40% - Accent6 3 2 2 2 6 2" xfId="23842" xr:uid="{00000000-0005-0000-0000-000099650000}"/>
    <cellStyle name="40% - Accent6 3 2 2 2 7" xfId="22184" xr:uid="{00000000-0005-0000-0000-00009A650000}"/>
    <cellStyle name="40% - Accent6 3 2 2 3" xfId="34009" xr:uid="{00000000-0005-0000-0000-00009B650000}"/>
    <cellStyle name="40% - Accent6 3 2 2 3 2" xfId="6304" xr:uid="{00000000-0005-0000-0000-00009C650000}"/>
    <cellStyle name="40% - Accent6 3 2 2 3 2 2" xfId="6303" xr:uid="{00000000-0005-0000-0000-00009D650000}"/>
    <cellStyle name="40% - Accent6 3 2 2 3 2 2 2" xfId="33343" xr:uid="{00000000-0005-0000-0000-00009E650000}"/>
    <cellStyle name="40% - Accent6 3 2 2 3 2 2 2 2" xfId="17527" xr:uid="{00000000-0005-0000-0000-00009F650000}"/>
    <cellStyle name="40% - Accent6 3 2 2 3 2 2 2 2 2" xfId="13291" xr:uid="{00000000-0005-0000-0000-0000A0650000}"/>
    <cellStyle name="40% - Accent6 3 2 2 3 2 2 2 3" xfId="25392" xr:uid="{00000000-0005-0000-0000-0000A1650000}"/>
    <cellStyle name="40% - Accent6 3 2 2 3 2 2 3" xfId="9390" xr:uid="{00000000-0005-0000-0000-0000A2650000}"/>
    <cellStyle name="40% - Accent6 3 2 2 3 2 2 3 2" xfId="8959" xr:uid="{00000000-0005-0000-0000-0000A3650000}"/>
    <cellStyle name="40% - Accent6 3 2 2 3 2 2 4" xfId="6302" xr:uid="{00000000-0005-0000-0000-0000A4650000}"/>
    <cellStyle name="40% - Accent6 3 2 2 3 2 3" xfId="7276" xr:uid="{00000000-0005-0000-0000-0000A5650000}"/>
    <cellStyle name="40% - Accent6 3 2 2 3 2 3 2" xfId="6297" xr:uid="{00000000-0005-0000-0000-0000A6650000}"/>
    <cellStyle name="40% - Accent6 3 2 2 3 2 3 2 2" xfId="26053" xr:uid="{00000000-0005-0000-0000-0000A7650000}"/>
    <cellStyle name="40% - Accent6 3 2 2 3 2 3 3" xfId="6296" xr:uid="{00000000-0005-0000-0000-0000A8650000}"/>
    <cellStyle name="40% - Accent6 3 2 2 3 2 4" xfId="6292" xr:uid="{00000000-0005-0000-0000-0000A9650000}"/>
    <cellStyle name="40% - Accent6 3 2 2 3 2 4 2" xfId="30813" xr:uid="{00000000-0005-0000-0000-0000AA650000}"/>
    <cellStyle name="40% - Accent6 3 2 2 3 2 5" xfId="6291" xr:uid="{00000000-0005-0000-0000-0000AB650000}"/>
    <cellStyle name="40% - Accent6 3 2 2 3 3" xfId="6290" xr:uid="{00000000-0005-0000-0000-0000AC650000}"/>
    <cellStyle name="40% - Accent6 3 2 2 3 3 2" xfId="7074" xr:uid="{00000000-0005-0000-0000-0000AD650000}"/>
    <cellStyle name="40% - Accent6 3 2 2 3 3 2 2" xfId="26975" xr:uid="{00000000-0005-0000-0000-0000AE650000}"/>
    <cellStyle name="40% - Accent6 3 2 2 3 3 2 2 2" xfId="6289" xr:uid="{00000000-0005-0000-0000-0000AF650000}"/>
    <cellStyle name="40% - Accent6 3 2 2 3 3 2 3" xfId="6288" xr:uid="{00000000-0005-0000-0000-0000B0650000}"/>
    <cellStyle name="40% - Accent6 3 2 2 3 3 3" xfId="7070" xr:uid="{00000000-0005-0000-0000-0000B1650000}"/>
    <cellStyle name="40% - Accent6 3 2 2 3 3 3 2" xfId="12084" xr:uid="{00000000-0005-0000-0000-0000B2650000}"/>
    <cellStyle name="40% - Accent6 3 2 2 3 3 4" xfId="6283" xr:uid="{00000000-0005-0000-0000-0000B3650000}"/>
    <cellStyle name="40% - Accent6 3 2 2 3 4" xfId="28766" xr:uid="{00000000-0005-0000-0000-0000B4650000}"/>
    <cellStyle name="40% - Accent6 3 2 2 3 4 2" xfId="23828" xr:uid="{00000000-0005-0000-0000-0000B5650000}"/>
    <cellStyle name="40% - Accent6 3 2 2 3 4 2 2" xfId="6282" xr:uid="{00000000-0005-0000-0000-0000B6650000}"/>
    <cellStyle name="40% - Accent6 3 2 2 3 4 3" xfId="23825" xr:uid="{00000000-0005-0000-0000-0000B7650000}"/>
    <cellStyle name="40% - Accent6 3 2 2 3 5" xfId="28758" xr:uid="{00000000-0005-0000-0000-0000B8650000}"/>
    <cellStyle name="40% - Accent6 3 2 2 3 5 2" xfId="20606" xr:uid="{00000000-0005-0000-0000-0000B9650000}"/>
    <cellStyle name="40% - Accent6 3 2 2 3 6" xfId="23816" xr:uid="{00000000-0005-0000-0000-0000BA650000}"/>
    <cellStyle name="40% - Accent6 3 2 2 4" xfId="31865" xr:uid="{00000000-0005-0000-0000-0000BB650000}"/>
    <cellStyle name="40% - Accent6 3 2 2 4 2" xfId="6279" xr:uid="{00000000-0005-0000-0000-0000BC650000}"/>
    <cellStyle name="40% - Accent6 3 2 2 4 2 2" xfId="34235" xr:uid="{00000000-0005-0000-0000-0000BD650000}"/>
    <cellStyle name="40% - Accent6 3 2 2 4 2 2 2" xfId="10551" xr:uid="{00000000-0005-0000-0000-0000BE650000}"/>
    <cellStyle name="40% - Accent6 3 2 2 4 2 2 2 2" xfId="6278" xr:uid="{00000000-0005-0000-0000-0000BF650000}"/>
    <cellStyle name="40% - Accent6 3 2 2 4 2 2 3" xfId="10519" xr:uid="{00000000-0005-0000-0000-0000C0650000}"/>
    <cellStyle name="40% - Accent6 3 2 2 4 2 3" xfId="34374" xr:uid="{00000000-0005-0000-0000-0000C1650000}"/>
    <cellStyle name="40% - Accent6 3 2 2 4 2 3 2" xfId="10467" xr:uid="{00000000-0005-0000-0000-0000C2650000}"/>
    <cellStyle name="40% - Accent6 3 2 2 4 2 4" xfId="11653" xr:uid="{00000000-0005-0000-0000-0000C3650000}"/>
    <cellStyle name="40% - Accent6 3 2 2 4 3" xfId="6275" xr:uid="{00000000-0005-0000-0000-0000C4650000}"/>
    <cellStyle name="40% - Accent6 3 2 2 4 3 2" xfId="34225" xr:uid="{00000000-0005-0000-0000-0000C5650000}"/>
    <cellStyle name="40% - Accent6 3 2 2 4 3 2 2" xfId="10385" xr:uid="{00000000-0005-0000-0000-0000C6650000}"/>
    <cellStyle name="40% - Accent6 3 2 2 4 3 3" xfId="6274" xr:uid="{00000000-0005-0000-0000-0000C7650000}"/>
    <cellStyle name="40% - Accent6 3 2 2 4 4" xfId="23808" xr:uid="{00000000-0005-0000-0000-0000C8650000}"/>
    <cellStyle name="40% - Accent6 3 2 2 4 4 2" xfId="23806" xr:uid="{00000000-0005-0000-0000-0000C9650000}"/>
    <cellStyle name="40% - Accent6 3 2 2 4 5" xfId="23801" xr:uid="{00000000-0005-0000-0000-0000CA650000}"/>
    <cellStyle name="40% - Accent6 3 2 2 5" xfId="13140" xr:uid="{00000000-0005-0000-0000-0000CB650000}"/>
    <cellStyle name="40% - Accent6 3 2 2 5 2" xfId="6273" xr:uid="{00000000-0005-0000-0000-0000CC650000}"/>
    <cellStyle name="40% - Accent6 3 2 2 5 2 2" xfId="23595" xr:uid="{00000000-0005-0000-0000-0000CD650000}"/>
    <cellStyle name="40% - Accent6 3 2 2 5 2 2 2" xfId="9667" xr:uid="{00000000-0005-0000-0000-0000CE650000}"/>
    <cellStyle name="40% - Accent6 3 2 2 5 2 3" xfId="23587" xr:uid="{00000000-0005-0000-0000-0000CF650000}"/>
    <cellStyle name="40% - Accent6 3 2 2 5 3" xfId="15635" xr:uid="{00000000-0005-0000-0000-0000D0650000}"/>
    <cellStyle name="40% - Accent6 3 2 2 5 3 2" xfId="6272" xr:uid="{00000000-0005-0000-0000-0000D1650000}"/>
    <cellStyle name="40% - Accent6 3 2 2 5 4" xfId="23794" xr:uid="{00000000-0005-0000-0000-0000D2650000}"/>
    <cellStyle name="40% - Accent6 3 2 2 6" xfId="6270" xr:uid="{00000000-0005-0000-0000-0000D3650000}"/>
    <cellStyle name="40% - Accent6 3 2 2 6 2" xfId="31330" xr:uid="{00000000-0005-0000-0000-0000D4650000}"/>
    <cellStyle name="40% - Accent6 3 2 2 6 2 2" xfId="23222" xr:uid="{00000000-0005-0000-0000-0000D5650000}"/>
    <cellStyle name="40% - Accent6 3 2 2 6 3" xfId="29551" xr:uid="{00000000-0005-0000-0000-0000D6650000}"/>
    <cellStyle name="40% - Accent6 3 2 2 7" xfId="6269" xr:uid="{00000000-0005-0000-0000-0000D7650000}"/>
    <cellStyle name="40% - Accent6 3 2 2 7 2" xfId="27927" xr:uid="{00000000-0005-0000-0000-0000D8650000}"/>
    <cellStyle name="40% - Accent6 3 2 2 8" xfId="6268" xr:uid="{00000000-0005-0000-0000-0000D9650000}"/>
    <cellStyle name="40% - Accent6 3 2 3" xfId="7937" xr:uid="{00000000-0005-0000-0000-0000DA650000}"/>
    <cellStyle name="40% - Accent6 3 2 3 2" xfId="7935" xr:uid="{00000000-0005-0000-0000-0000DB650000}"/>
    <cellStyle name="40% - Accent6 3 2 3 2 2" xfId="6267" xr:uid="{00000000-0005-0000-0000-0000DC650000}"/>
    <cellStyle name="40% - Accent6 3 2 3 2 2 2" xfId="6266" xr:uid="{00000000-0005-0000-0000-0000DD650000}"/>
    <cellStyle name="40% - Accent6 3 2 3 2 2 2 2" xfId="27723" xr:uid="{00000000-0005-0000-0000-0000DE650000}"/>
    <cellStyle name="40% - Accent6 3 2 3 2 2 2 2 2" xfId="25636" xr:uid="{00000000-0005-0000-0000-0000DF650000}"/>
    <cellStyle name="40% - Accent6 3 2 3 2 2 2 2 2 2" xfId="30209" xr:uid="{00000000-0005-0000-0000-0000E0650000}"/>
    <cellStyle name="40% - Accent6 3 2 3 2 2 2 2 3" xfId="18054" xr:uid="{00000000-0005-0000-0000-0000E1650000}"/>
    <cellStyle name="40% - Accent6 3 2 3 2 2 2 3" xfId="27702" xr:uid="{00000000-0005-0000-0000-0000E2650000}"/>
    <cellStyle name="40% - Accent6 3 2 3 2 2 2 3 2" xfId="28449" xr:uid="{00000000-0005-0000-0000-0000E3650000}"/>
    <cellStyle name="40% - Accent6 3 2 3 2 2 2 4" xfId="28531" xr:uid="{00000000-0005-0000-0000-0000E4650000}"/>
    <cellStyle name="40% - Accent6 3 2 3 2 2 3" xfId="6877" xr:uid="{00000000-0005-0000-0000-0000E5650000}"/>
    <cellStyle name="40% - Accent6 3 2 3 2 2 3 2" xfId="27445" xr:uid="{00000000-0005-0000-0000-0000E6650000}"/>
    <cellStyle name="40% - Accent6 3 2 3 2 2 3 2 2" xfId="29804" xr:uid="{00000000-0005-0000-0000-0000E7650000}"/>
    <cellStyle name="40% - Accent6 3 2 3 2 2 3 3" xfId="6265" xr:uid="{00000000-0005-0000-0000-0000E8650000}"/>
    <cellStyle name="40% - Accent6 3 2 3 2 2 4" xfId="6264" xr:uid="{00000000-0005-0000-0000-0000E9650000}"/>
    <cellStyle name="40% - Accent6 3 2 3 2 2 4 2" xfId="6262" xr:uid="{00000000-0005-0000-0000-0000EA650000}"/>
    <cellStyle name="40% - Accent6 3 2 3 2 2 5" xfId="6261" xr:uid="{00000000-0005-0000-0000-0000EB650000}"/>
    <cellStyle name="40% - Accent6 3 2 3 2 3" xfId="15231" xr:uid="{00000000-0005-0000-0000-0000EC650000}"/>
    <cellStyle name="40% - Accent6 3 2 3 2 3 2" xfId="31115" xr:uid="{00000000-0005-0000-0000-0000ED650000}"/>
    <cellStyle name="40% - Accent6 3 2 3 2 3 2 2" xfId="27291" xr:uid="{00000000-0005-0000-0000-0000EE650000}"/>
    <cellStyle name="40% - Accent6 3 2 3 2 3 2 2 2" xfId="6259" xr:uid="{00000000-0005-0000-0000-0000EF650000}"/>
    <cellStyle name="40% - Accent6 3 2 3 2 3 2 3" xfId="6257" xr:uid="{00000000-0005-0000-0000-0000F0650000}"/>
    <cellStyle name="40% - Accent6 3 2 3 2 3 3" xfId="6255" xr:uid="{00000000-0005-0000-0000-0000F1650000}"/>
    <cellStyle name="40% - Accent6 3 2 3 2 3 3 2" xfId="11930" xr:uid="{00000000-0005-0000-0000-0000F2650000}"/>
    <cellStyle name="40% - Accent6 3 2 3 2 3 4" xfId="20138" xr:uid="{00000000-0005-0000-0000-0000F3650000}"/>
    <cellStyle name="40% - Accent6 3 2 3 2 4" xfId="31167" xr:uid="{00000000-0005-0000-0000-0000F4650000}"/>
    <cellStyle name="40% - Accent6 3 2 3 2 4 2" xfId="32709" xr:uid="{00000000-0005-0000-0000-0000F5650000}"/>
    <cellStyle name="40% - Accent6 3 2 3 2 4 2 2" xfId="11316" xr:uid="{00000000-0005-0000-0000-0000F6650000}"/>
    <cellStyle name="40% - Accent6 3 2 3 2 4 3" xfId="25186" xr:uid="{00000000-0005-0000-0000-0000F7650000}"/>
    <cellStyle name="40% - Accent6 3 2 3 2 5" xfId="32230" xr:uid="{00000000-0005-0000-0000-0000F8650000}"/>
    <cellStyle name="40% - Accent6 3 2 3 2 5 2" xfId="32869" xr:uid="{00000000-0005-0000-0000-0000F9650000}"/>
    <cellStyle name="40% - Accent6 3 2 3 2 6" xfId="23780" xr:uid="{00000000-0005-0000-0000-0000FA650000}"/>
    <cellStyle name="40% - Accent6 3 2 3 3" xfId="6253" xr:uid="{00000000-0005-0000-0000-0000FB650000}"/>
    <cellStyle name="40% - Accent6 3 2 3 3 2" xfId="6252" xr:uid="{00000000-0005-0000-0000-0000FC650000}"/>
    <cellStyle name="40% - Accent6 3 2 3 3 2 2" xfId="6251" xr:uid="{00000000-0005-0000-0000-0000FD650000}"/>
    <cellStyle name="40% - Accent6 3 2 3 3 2 2 2" xfId="27057" xr:uid="{00000000-0005-0000-0000-0000FE650000}"/>
    <cellStyle name="40% - Accent6 3 2 3 3 2 2 2 2" xfId="6250" xr:uid="{00000000-0005-0000-0000-0000FF650000}"/>
    <cellStyle name="40% - Accent6 3 2 3 3 2 2 3" xfId="6248" xr:uid="{00000000-0005-0000-0000-000000660000}"/>
    <cellStyle name="40% - Accent6 3 2 3 3 2 3" xfId="6244" xr:uid="{00000000-0005-0000-0000-000001660000}"/>
    <cellStyle name="40% - Accent6 3 2 3 3 2 3 2" xfId="6242" xr:uid="{00000000-0005-0000-0000-000002660000}"/>
    <cellStyle name="40% - Accent6 3 2 3 3 2 4" xfId="6241" xr:uid="{00000000-0005-0000-0000-000003660000}"/>
    <cellStyle name="40% - Accent6 3 2 3 3 3" xfId="6239" xr:uid="{00000000-0005-0000-0000-000004660000}"/>
    <cellStyle name="40% - Accent6 3 2 3 3 3 2" xfId="7057" xr:uid="{00000000-0005-0000-0000-000005660000}"/>
    <cellStyle name="40% - Accent6 3 2 3 3 3 2 2" xfId="6238" xr:uid="{00000000-0005-0000-0000-000006660000}"/>
    <cellStyle name="40% - Accent6 3 2 3 3 3 3" xfId="6237" xr:uid="{00000000-0005-0000-0000-000007660000}"/>
    <cellStyle name="40% - Accent6 3 2 3 3 4" xfId="23771" xr:uid="{00000000-0005-0000-0000-000008660000}"/>
    <cellStyle name="40% - Accent6 3 2 3 3 4 2" xfId="32665" xr:uid="{00000000-0005-0000-0000-000009660000}"/>
    <cellStyle name="40% - Accent6 3 2 3 3 5" xfId="23764" xr:uid="{00000000-0005-0000-0000-00000A660000}"/>
    <cellStyle name="40% - Accent6 3 2 3 4" xfId="6235" xr:uid="{00000000-0005-0000-0000-00000B660000}"/>
    <cellStyle name="40% - Accent6 3 2 3 4 2" xfId="6234" xr:uid="{00000000-0005-0000-0000-00000C660000}"/>
    <cellStyle name="40% - Accent6 3 2 3 4 2 2" xfId="33446" xr:uid="{00000000-0005-0000-0000-00000D660000}"/>
    <cellStyle name="40% - Accent6 3 2 3 4 2 2 2" xfId="8148" xr:uid="{00000000-0005-0000-0000-00000E660000}"/>
    <cellStyle name="40% - Accent6 3 2 3 4 2 3" xfId="6232" xr:uid="{00000000-0005-0000-0000-00000F660000}"/>
    <cellStyle name="40% - Accent6 3 2 3 4 3" xfId="6231" xr:uid="{00000000-0005-0000-0000-000010660000}"/>
    <cellStyle name="40% - Accent6 3 2 3 4 3 2" xfId="6230" xr:uid="{00000000-0005-0000-0000-000011660000}"/>
    <cellStyle name="40% - Accent6 3 2 3 4 4" xfId="30856" xr:uid="{00000000-0005-0000-0000-000012660000}"/>
    <cellStyle name="40% - Accent6 3 2 3 5" xfId="6229" xr:uid="{00000000-0005-0000-0000-000013660000}"/>
    <cellStyle name="40% - Accent6 3 2 3 5 2" xfId="6228" xr:uid="{00000000-0005-0000-0000-000014660000}"/>
    <cellStyle name="40% - Accent6 3 2 3 5 2 2" xfId="6227" xr:uid="{00000000-0005-0000-0000-000015660000}"/>
    <cellStyle name="40% - Accent6 3 2 3 5 3" xfId="6225" xr:uid="{00000000-0005-0000-0000-000016660000}"/>
    <cellStyle name="40% - Accent6 3 2 3 6" xfId="9278" xr:uid="{00000000-0005-0000-0000-000017660000}"/>
    <cellStyle name="40% - Accent6 3 2 3 6 2" xfId="29534" xr:uid="{00000000-0005-0000-0000-000018660000}"/>
    <cellStyle name="40% - Accent6 3 2 3 7" xfId="6224" xr:uid="{00000000-0005-0000-0000-000019660000}"/>
    <cellStyle name="40% - Accent6 3 2 4" xfId="30659" xr:uid="{00000000-0005-0000-0000-00001A660000}"/>
    <cellStyle name="40% - Accent6 3 2 4 2" xfId="31946" xr:uid="{00000000-0005-0000-0000-00001B660000}"/>
    <cellStyle name="40% - Accent6 3 2 4 2 2" xfId="6221" xr:uid="{00000000-0005-0000-0000-00001C660000}"/>
    <cellStyle name="40% - Accent6 3 2 4 2 2 2" xfId="6220" xr:uid="{00000000-0005-0000-0000-00001D660000}"/>
    <cellStyle name="40% - Accent6 3 2 4 2 2 2 2" xfId="5338" xr:uid="{00000000-0005-0000-0000-00001E660000}"/>
    <cellStyle name="40% - Accent6 3 2 4 2 2 2 2 2" xfId="25609" xr:uid="{00000000-0005-0000-0000-00001F660000}"/>
    <cellStyle name="40% - Accent6 3 2 4 2 2 2 3" xfId="5333" xr:uid="{00000000-0005-0000-0000-000020660000}"/>
    <cellStyle name="40% - Accent6 3 2 4 2 2 3" xfId="6218" xr:uid="{00000000-0005-0000-0000-000021660000}"/>
    <cellStyle name="40% - Accent6 3 2 4 2 2 3 2" xfId="8088" xr:uid="{00000000-0005-0000-0000-000022660000}"/>
    <cellStyle name="40% - Accent6 3 2 4 2 2 4" xfId="20936" xr:uid="{00000000-0005-0000-0000-000023660000}"/>
    <cellStyle name="40% - Accent6 3 2 4 2 3" xfId="30960" xr:uid="{00000000-0005-0000-0000-000024660000}"/>
    <cellStyle name="40% - Accent6 3 2 4 2 3 2" xfId="6216" xr:uid="{00000000-0005-0000-0000-000025660000}"/>
    <cellStyle name="40% - Accent6 3 2 4 2 3 2 2" xfId="8078" xr:uid="{00000000-0005-0000-0000-000026660000}"/>
    <cellStyle name="40% - Accent6 3 2 4 2 3 3" xfId="6215" xr:uid="{00000000-0005-0000-0000-000027660000}"/>
    <cellStyle name="40% - Accent6 3 2 4 2 4" xfId="23745" xr:uid="{00000000-0005-0000-0000-000028660000}"/>
    <cellStyle name="40% - Accent6 3 2 4 2 4 2" xfId="30579" xr:uid="{00000000-0005-0000-0000-000029660000}"/>
    <cellStyle name="40% - Accent6 3 2 4 2 5" xfId="17427" xr:uid="{00000000-0005-0000-0000-00002A660000}"/>
    <cellStyle name="40% - Accent6 3 2 4 3" xfId="30054" xr:uid="{00000000-0005-0000-0000-00002B660000}"/>
    <cellStyle name="40% - Accent6 3 2 4 3 2" xfId="33671" xr:uid="{00000000-0005-0000-0000-00002C660000}"/>
    <cellStyle name="40% - Accent6 3 2 4 3 2 2" xfId="31573" xr:uid="{00000000-0005-0000-0000-00002D660000}"/>
    <cellStyle name="40% - Accent6 3 2 4 3 2 2 2" xfId="8017" xr:uid="{00000000-0005-0000-0000-00002E660000}"/>
    <cellStyle name="40% - Accent6 3 2 4 3 2 3" xfId="26626" xr:uid="{00000000-0005-0000-0000-00002F660000}"/>
    <cellStyle name="40% - Accent6 3 2 4 3 3" xfId="27717" xr:uid="{00000000-0005-0000-0000-000030660000}"/>
    <cellStyle name="40% - Accent6 3 2 4 3 3 2" xfId="32812" xr:uid="{00000000-0005-0000-0000-000031660000}"/>
    <cellStyle name="40% - Accent6 3 2 4 3 4" xfId="23729" xr:uid="{00000000-0005-0000-0000-000032660000}"/>
    <cellStyle name="40% - Accent6 3 2 4 4" xfId="31201" xr:uid="{00000000-0005-0000-0000-000033660000}"/>
    <cellStyle name="40% - Accent6 3 2 4 4 2" xfId="33551" xr:uid="{00000000-0005-0000-0000-000034660000}"/>
    <cellStyle name="40% - Accent6 3 2 4 4 2 2" xfId="33967" xr:uid="{00000000-0005-0000-0000-000035660000}"/>
    <cellStyle name="40% - Accent6 3 2 4 4 3" xfId="32047" xr:uid="{00000000-0005-0000-0000-000036660000}"/>
    <cellStyle name="40% - Accent6 3 2 4 5" xfId="13900" xr:uid="{00000000-0005-0000-0000-000037660000}"/>
    <cellStyle name="40% - Accent6 3 2 4 5 2" xfId="22344" xr:uid="{00000000-0005-0000-0000-000038660000}"/>
    <cellStyle name="40% - Accent6 3 2 4 6" xfId="13894" xr:uid="{00000000-0005-0000-0000-000039660000}"/>
    <cellStyle name="40% - Accent6 3 2 5" xfId="32141" xr:uid="{00000000-0005-0000-0000-00003A660000}"/>
    <cellStyle name="40% - Accent6 3 2 5 2" xfId="14071" xr:uid="{00000000-0005-0000-0000-00003B660000}"/>
    <cellStyle name="40% - Accent6 3 2 5 2 2" xfId="33340" xr:uid="{00000000-0005-0000-0000-00003C660000}"/>
    <cellStyle name="40% - Accent6 3 2 5 2 2 2" xfId="28088" xr:uid="{00000000-0005-0000-0000-00003D660000}"/>
    <cellStyle name="40% - Accent6 3 2 5 2 2 2 2" xfId="19042" xr:uid="{00000000-0005-0000-0000-00003E660000}"/>
    <cellStyle name="40% - Accent6 3 2 5 2 2 3" xfId="33834" xr:uid="{00000000-0005-0000-0000-00003F660000}"/>
    <cellStyle name="40% - Accent6 3 2 5 2 3" xfId="29966" xr:uid="{00000000-0005-0000-0000-000040660000}"/>
    <cellStyle name="40% - Accent6 3 2 5 2 3 2" xfId="33400" xr:uid="{00000000-0005-0000-0000-000041660000}"/>
    <cellStyle name="40% - Accent6 3 2 5 2 4" xfId="23717" xr:uid="{00000000-0005-0000-0000-000042660000}"/>
    <cellStyle name="40% - Accent6 3 2 5 3" xfId="14069" xr:uid="{00000000-0005-0000-0000-000043660000}"/>
    <cellStyle name="40% - Accent6 3 2 5 3 2" xfId="16948" xr:uid="{00000000-0005-0000-0000-000044660000}"/>
    <cellStyle name="40% - Accent6 3 2 5 3 2 2" xfId="25666" xr:uid="{00000000-0005-0000-0000-000045660000}"/>
    <cellStyle name="40% - Accent6 3 2 5 3 3" xfId="30944" xr:uid="{00000000-0005-0000-0000-000046660000}"/>
    <cellStyle name="40% - Accent6 3 2 5 4" xfId="6213" xr:uid="{00000000-0005-0000-0000-000047660000}"/>
    <cellStyle name="40% - Accent6 3 2 5 4 2" xfId="33804" xr:uid="{00000000-0005-0000-0000-000048660000}"/>
    <cellStyle name="40% - Accent6 3 2 5 5" xfId="13890" xr:uid="{00000000-0005-0000-0000-000049660000}"/>
    <cellStyle name="40% - Accent6 3 2 6" xfId="30178" xr:uid="{00000000-0005-0000-0000-00004A660000}"/>
    <cellStyle name="40% - Accent6 3 2 6 2" xfId="14065" xr:uid="{00000000-0005-0000-0000-00004B660000}"/>
    <cellStyle name="40% - Accent6 3 2 6 2 2" xfId="6212" xr:uid="{00000000-0005-0000-0000-00004C660000}"/>
    <cellStyle name="40% - Accent6 3 2 6 2 2 2" xfId="28376" xr:uid="{00000000-0005-0000-0000-00004D660000}"/>
    <cellStyle name="40% - Accent6 3 2 6 2 3" xfId="25893" xr:uid="{00000000-0005-0000-0000-00004E660000}"/>
    <cellStyle name="40% - Accent6 3 2 6 3" xfId="6208" xr:uid="{00000000-0005-0000-0000-00004F660000}"/>
    <cellStyle name="40% - Accent6 3 2 6 3 2" xfId="27803" xr:uid="{00000000-0005-0000-0000-000050660000}"/>
    <cellStyle name="40% - Accent6 3 2 6 4" xfId="6205" xr:uid="{00000000-0005-0000-0000-000051660000}"/>
    <cellStyle name="40% - Accent6 3 2 7" xfId="32570" xr:uid="{00000000-0005-0000-0000-000052660000}"/>
    <cellStyle name="40% - Accent6 3 2 7 2" xfId="23177" xr:uid="{00000000-0005-0000-0000-000053660000}"/>
    <cellStyle name="40% - Accent6 3 2 7 2 2" xfId="17823" xr:uid="{00000000-0005-0000-0000-000054660000}"/>
    <cellStyle name="40% - Accent6 3 2 7 3" xfId="23348" xr:uid="{00000000-0005-0000-0000-000055660000}"/>
    <cellStyle name="40% - Accent6 3 2 8" xfId="33369" xr:uid="{00000000-0005-0000-0000-000056660000}"/>
    <cellStyle name="40% - Accent6 3 2 8 2" xfId="23344" xr:uid="{00000000-0005-0000-0000-000057660000}"/>
    <cellStyle name="40% - Accent6 3 2 9" xfId="23339" xr:uid="{00000000-0005-0000-0000-000058660000}"/>
    <cellStyle name="40% - Accent6 3 3" xfId="236" xr:uid="{00000000-0005-0000-0000-000059660000}"/>
    <cellStyle name="40% - Accent6 3 3 10" xfId="11792" xr:uid="{00000000-0005-0000-0000-00005A660000}"/>
    <cellStyle name="40% - Accent6 3 3 2" xfId="7932" xr:uid="{00000000-0005-0000-0000-00005B660000}"/>
    <cellStyle name="40% - Accent6 3 3 2 2" xfId="7930" xr:uid="{00000000-0005-0000-0000-00005C660000}"/>
    <cellStyle name="40% - Accent6 3 3 2 2 2" xfId="6202" xr:uid="{00000000-0005-0000-0000-00005D660000}"/>
    <cellStyle name="40% - Accent6 3 3 2 2 2 2" xfId="23212" xr:uid="{00000000-0005-0000-0000-00005E660000}"/>
    <cellStyle name="40% - Accent6 3 3 2 2 2 2 2" xfId="6201" xr:uid="{00000000-0005-0000-0000-00005F660000}"/>
    <cellStyle name="40% - Accent6 3 3 2 2 2 2 2 2" xfId="11149" xr:uid="{00000000-0005-0000-0000-000060660000}"/>
    <cellStyle name="40% - Accent6 3 3 2 2 2 2 2 2 2" xfId="6198" xr:uid="{00000000-0005-0000-0000-000061660000}"/>
    <cellStyle name="40% - Accent6 3 3 2 2 2 2 2 3" xfId="5721" xr:uid="{00000000-0005-0000-0000-000062660000}"/>
    <cellStyle name="40% - Accent6 3 3 2 2 2 2 3" xfId="6194" xr:uid="{00000000-0005-0000-0000-000063660000}"/>
    <cellStyle name="40% - Accent6 3 3 2 2 2 2 3 2" xfId="11186" xr:uid="{00000000-0005-0000-0000-000064660000}"/>
    <cellStyle name="40% - Accent6 3 3 2 2 2 2 4" xfId="6193" xr:uid="{00000000-0005-0000-0000-000065660000}"/>
    <cellStyle name="40% - Accent6 3 3 2 2 2 3" xfId="23202" xr:uid="{00000000-0005-0000-0000-000066660000}"/>
    <cellStyle name="40% - Accent6 3 3 2 2 2 3 2" xfId="6191" xr:uid="{00000000-0005-0000-0000-000067660000}"/>
    <cellStyle name="40% - Accent6 3 3 2 2 2 3 2 2" xfId="21272" xr:uid="{00000000-0005-0000-0000-000068660000}"/>
    <cellStyle name="40% - Accent6 3 3 2 2 2 3 3" xfId="6190" xr:uid="{00000000-0005-0000-0000-000069660000}"/>
    <cellStyle name="40% - Accent6 3 3 2 2 2 4" xfId="11203" xr:uid="{00000000-0005-0000-0000-00006A660000}"/>
    <cellStyle name="40% - Accent6 3 3 2 2 2 4 2" xfId="11612" xr:uid="{00000000-0005-0000-0000-00006B660000}"/>
    <cellStyle name="40% - Accent6 3 3 2 2 2 5" xfId="33522" xr:uid="{00000000-0005-0000-0000-00006C660000}"/>
    <cellStyle name="40% - Accent6 3 3 2 2 3" xfId="6189" xr:uid="{00000000-0005-0000-0000-00006D660000}"/>
    <cellStyle name="40% - Accent6 3 3 2 2 3 2" xfId="23198" xr:uid="{00000000-0005-0000-0000-00006E660000}"/>
    <cellStyle name="40% - Accent6 3 3 2 2 3 2 2" xfId="22399" xr:uid="{00000000-0005-0000-0000-00006F660000}"/>
    <cellStyle name="40% - Accent6 3 3 2 2 3 2 2 2" xfId="30992" xr:uid="{00000000-0005-0000-0000-000070660000}"/>
    <cellStyle name="40% - Accent6 3 3 2 2 3 2 3" xfId="6188" xr:uid="{00000000-0005-0000-0000-000071660000}"/>
    <cellStyle name="40% - Accent6 3 3 2 2 3 3" xfId="6187" xr:uid="{00000000-0005-0000-0000-000072660000}"/>
    <cellStyle name="40% - Accent6 3 3 2 2 3 3 2" xfId="9500" xr:uid="{00000000-0005-0000-0000-000073660000}"/>
    <cellStyle name="40% - Accent6 3 3 2 2 3 4" xfId="6185" xr:uid="{00000000-0005-0000-0000-000074660000}"/>
    <cellStyle name="40% - Accent6 3 3 2 2 4" xfId="31318" xr:uid="{00000000-0005-0000-0000-000075660000}"/>
    <cellStyle name="40% - Accent6 3 3 2 2 4 2" xfId="23386" xr:uid="{00000000-0005-0000-0000-000076660000}"/>
    <cellStyle name="40% - Accent6 3 3 2 2 4 2 2" xfId="6184" xr:uid="{00000000-0005-0000-0000-000077660000}"/>
    <cellStyle name="40% - Accent6 3 3 2 2 4 3" xfId="23003" xr:uid="{00000000-0005-0000-0000-000078660000}"/>
    <cellStyle name="40% - Accent6 3 3 2 2 5" xfId="31484" xr:uid="{00000000-0005-0000-0000-000079660000}"/>
    <cellStyle name="40% - Accent6 3 3 2 2 5 2" xfId="22994" xr:uid="{00000000-0005-0000-0000-00007A660000}"/>
    <cellStyle name="40% - Accent6 3 3 2 2 6" xfId="22991" xr:uid="{00000000-0005-0000-0000-00007B660000}"/>
    <cellStyle name="40% - Accent6 3 3 2 3" xfId="6183" xr:uid="{00000000-0005-0000-0000-00007C660000}"/>
    <cellStyle name="40% - Accent6 3 3 2 3 2" xfId="17087" xr:uid="{00000000-0005-0000-0000-00007D660000}"/>
    <cellStyle name="40% - Accent6 3 3 2 3 2 2" xfId="23183" xr:uid="{00000000-0005-0000-0000-00007E660000}"/>
    <cellStyle name="40% - Accent6 3 3 2 3 2 2 2" xfId="6182" xr:uid="{00000000-0005-0000-0000-00007F660000}"/>
    <cellStyle name="40% - Accent6 3 3 2 3 2 2 2 2" xfId="15280" xr:uid="{00000000-0005-0000-0000-000080660000}"/>
    <cellStyle name="40% - Accent6 3 3 2 3 2 2 3" xfId="6181" xr:uid="{00000000-0005-0000-0000-000081660000}"/>
    <cellStyle name="40% - Accent6 3 3 2 3 2 3" xfId="17083" xr:uid="{00000000-0005-0000-0000-000082660000}"/>
    <cellStyle name="40% - Accent6 3 3 2 3 2 3 2" xfId="6177" xr:uid="{00000000-0005-0000-0000-000083660000}"/>
    <cellStyle name="40% - Accent6 3 3 2 3 2 4" xfId="17080" xr:uid="{00000000-0005-0000-0000-000084660000}"/>
    <cellStyle name="40% - Accent6 3 3 2 3 3" xfId="17078" xr:uid="{00000000-0005-0000-0000-000085660000}"/>
    <cellStyle name="40% - Accent6 3 3 2 3 3 2" xfId="17071" xr:uid="{00000000-0005-0000-0000-000086660000}"/>
    <cellStyle name="40% - Accent6 3 3 2 3 3 2 2" xfId="6176" xr:uid="{00000000-0005-0000-0000-000087660000}"/>
    <cellStyle name="40% - Accent6 3 3 2 3 3 3" xfId="17069" xr:uid="{00000000-0005-0000-0000-000088660000}"/>
    <cellStyle name="40% - Accent6 3 3 2 3 4" xfId="28584" xr:uid="{00000000-0005-0000-0000-000089660000}"/>
    <cellStyle name="40% - Accent6 3 3 2 3 4 2" xfId="22982" xr:uid="{00000000-0005-0000-0000-00008A660000}"/>
    <cellStyle name="40% - Accent6 3 3 2 3 5" xfId="22976" xr:uid="{00000000-0005-0000-0000-00008B660000}"/>
    <cellStyle name="40% - Accent6 3 3 2 4" xfId="6175" xr:uid="{00000000-0005-0000-0000-00008C660000}"/>
    <cellStyle name="40% - Accent6 3 3 2 4 2" xfId="17023" xr:uid="{00000000-0005-0000-0000-00008D660000}"/>
    <cellStyle name="40% - Accent6 3 3 2 4 2 2" xfId="34377" xr:uid="{00000000-0005-0000-0000-00008E660000}"/>
    <cellStyle name="40% - Accent6 3 3 2 4 2 2 2" xfId="25068" xr:uid="{00000000-0005-0000-0000-00008F660000}"/>
    <cellStyle name="40% - Accent6 3 3 2 4 2 3" xfId="17021" xr:uid="{00000000-0005-0000-0000-000090660000}"/>
    <cellStyle name="40% - Accent6 3 3 2 4 3" xfId="17018" xr:uid="{00000000-0005-0000-0000-000091660000}"/>
    <cellStyle name="40% - Accent6 3 3 2 4 3 2" xfId="17016" xr:uid="{00000000-0005-0000-0000-000092660000}"/>
    <cellStyle name="40% - Accent6 3 3 2 4 4" xfId="22971" xr:uid="{00000000-0005-0000-0000-000093660000}"/>
    <cellStyle name="40% - Accent6 3 3 2 5" xfId="6173" xr:uid="{00000000-0005-0000-0000-000094660000}"/>
    <cellStyle name="40% - Accent6 3 3 2 5 2" xfId="17002" xr:uid="{00000000-0005-0000-0000-000095660000}"/>
    <cellStyle name="40% - Accent6 3 3 2 5 2 2" xfId="22872" xr:uid="{00000000-0005-0000-0000-000096660000}"/>
    <cellStyle name="40% - Accent6 3 3 2 5 3" xfId="16998" xr:uid="{00000000-0005-0000-0000-000097660000}"/>
    <cellStyle name="40% - Accent6 3 3 2 6" xfId="6171" xr:uid="{00000000-0005-0000-0000-000098660000}"/>
    <cellStyle name="40% - Accent6 3 3 2 6 2" xfId="16985" xr:uid="{00000000-0005-0000-0000-000099660000}"/>
    <cellStyle name="40% - Accent6 3 3 2 7" xfId="6169" xr:uid="{00000000-0005-0000-0000-00009A660000}"/>
    <cellStyle name="40% - Accent6 3 3 3" xfId="7927" xr:uid="{00000000-0005-0000-0000-00009B660000}"/>
    <cellStyle name="40% - Accent6 3 3 3 2" xfId="32116" xr:uid="{00000000-0005-0000-0000-00009C660000}"/>
    <cellStyle name="40% - Accent6 3 3 3 2 2" xfId="17905" xr:uid="{00000000-0005-0000-0000-00009D660000}"/>
    <cellStyle name="40% - Accent6 3 3 3 2 2 2" xfId="23175" xr:uid="{00000000-0005-0000-0000-00009E660000}"/>
    <cellStyle name="40% - Accent6 3 3 3 2 2 2 2" xfId="34247" xr:uid="{00000000-0005-0000-0000-00009F660000}"/>
    <cellStyle name="40% - Accent6 3 3 3 2 2 2 2 2" xfId="8731" xr:uid="{00000000-0005-0000-0000-0000A0660000}"/>
    <cellStyle name="40% - Accent6 3 3 3 2 2 2 3" xfId="33042" xr:uid="{00000000-0005-0000-0000-0000A1660000}"/>
    <cellStyle name="40% - Accent6 3 3 3 2 2 3" xfId="6167" xr:uid="{00000000-0005-0000-0000-0000A2660000}"/>
    <cellStyle name="40% - Accent6 3 3 3 2 2 3 2" xfId="24747" xr:uid="{00000000-0005-0000-0000-0000A3660000}"/>
    <cellStyle name="40% - Accent6 3 3 3 2 2 4" xfId="6163" xr:uid="{00000000-0005-0000-0000-0000A4660000}"/>
    <cellStyle name="40% - Accent6 3 3 3 2 3" xfId="17895" xr:uid="{00000000-0005-0000-0000-0000A5660000}"/>
    <cellStyle name="40% - Accent6 3 3 3 2 3 2" xfId="6162" xr:uid="{00000000-0005-0000-0000-0000A6660000}"/>
    <cellStyle name="40% - Accent6 3 3 3 2 3 2 2" xfId="11574" xr:uid="{00000000-0005-0000-0000-0000A7660000}"/>
    <cellStyle name="40% - Accent6 3 3 3 2 3 3" xfId="6161" xr:uid="{00000000-0005-0000-0000-0000A8660000}"/>
    <cellStyle name="40% - Accent6 3 3 3 2 4" xfId="20340" xr:uid="{00000000-0005-0000-0000-0000A9660000}"/>
    <cellStyle name="40% - Accent6 3 3 3 2 4 2" xfId="32534" xr:uid="{00000000-0005-0000-0000-0000AA660000}"/>
    <cellStyle name="40% - Accent6 3 3 3 2 5" xfId="18829" xr:uid="{00000000-0005-0000-0000-0000AB660000}"/>
    <cellStyle name="40% - Accent6 3 3 3 3" xfId="21139" xr:uid="{00000000-0005-0000-0000-0000AC660000}"/>
    <cellStyle name="40% - Accent6 3 3 3 3 2" xfId="17881" xr:uid="{00000000-0005-0000-0000-0000AD660000}"/>
    <cellStyle name="40% - Accent6 3 3 3 3 2 2" xfId="16934" xr:uid="{00000000-0005-0000-0000-0000AE660000}"/>
    <cellStyle name="40% - Accent6 3 3 3 3 2 2 2" xfId="24169" xr:uid="{00000000-0005-0000-0000-0000AF660000}"/>
    <cellStyle name="40% - Accent6 3 3 3 3 2 3" xfId="16932" xr:uid="{00000000-0005-0000-0000-0000B0660000}"/>
    <cellStyle name="40% - Accent6 3 3 3 3 3" xfId="17873" xr:uid="{00000000-0005-0000-0000-0000B1660000}"/>
    <cellStyle name="40% - Accent6 3 3 3 3 3 2" xfId="16931" xr:uid="{00000000-0005-0000-0000-0000B2660000}"/>
    <cellStyle name="40% - Accent6 3 3 3 3 4" xfId="18820" xr:uid="{00000000-0005-0000-0000-0000B3660000}"/>
    <cellStyle name="40% - Accent6 3 3 3 4" xfId="27514" xr:uid="{00000000-0005-0000-0000-0000B4660000}"/>
    <cellStyle name="40% - Accent6 3 3 3 4 2" xfId="17866" xr:uid="{00000000-0005-0000-0000-0000B5660000}"/>
    <cellStyle name="40% - Accent6 3 3 3 4 2 2" xfId="16893" xr:uid="{00000000-0005-0000-0000-0000B6660000}"/>
    <cellStyle name="40% - Accent6 3 3 3 4 3" xfId="26240" xr:uid="{00000000-0005-0000-0000-0000B7660000}"/>
    <cellStyle name="40% - Accent6 3 3 3 5" xfId="17797" xr:uid="{00000000-0005-0000-0000-0000B8660000}"/>
    <cellStyle name="40% - Accent6 3 3 3 5 2" xfId="17863" xr:uid="{00000000-0005-0000-0000-0000B9660000}"/>
    <cellStyle name="40% - Accent6 3 3 3 6" xfId="17860" xr:uid="{00000000-0005-0000-0000-0000BA660000}"/>
    <cellStyle name="40% - Accent6 3 3 4" xfId="30652" xr:uid="{00000000-0005-0000-0000-0000BB660000}"/>
    <cellStyle name="40% - Accent6 3 3 4 2" xfId="27894" xr:uid="{00000000-0005-0000-0000-0000BC660000}"/>
    <cellStyle name="40% - Accent6 3 3 4 2 2" xfId="28950" xr:uid="{00000000-0005-0000-0000-0000BD660000}"/>
    <cellStyle name="40% - Accent6 3 3 4 2 2 2" xfId="6160" xr:uid="{00000000-0005-0000-0000-0000BE660000}"/>
    <cellStyle name="40% - Accent6 3 3 4 2 2 2 2" xfId="10884" xr:uid="{00000000-0005-0000-0000-0000BF660000}"/>
    <cellStyle name="40% - Accent6 3 3 4 2 2 3" xfId="6157" xr:uid="{00000000-0005-0000-0000-0000C0660000}"/>
    <cellStyle name="40% - Accent6 3 3 4 2 3" xfId="30919" xr:uid="{00000000-0005-0000-0000-0000C1660000}"/>
    <cellStyle name="40% - Accent6 3 3 4 2 3 2" xfId="6154" xr:uid="{00000000-0005-0000-0000-0000C2660000}"/>
    <cellStyle name="40% - Accent6 3 3 4 2 4" xfId="10209" xr:uid="{00000000-0005-0000-0000-0000C3660000}"/>
    <cellStyle name="40% - Accent6 3 3 4 3" xfId="30922" xr:uid="{00000000-0005-0000-0000-0000C4660000}"/>
    <cellStyle name="40% - Accent6 3 3 4 3 2" xfId="29560" xr:uid="{00000000-0005-0000-0000-0000C5660000}"/>
    <cellStyle name="40% - Accent6 3 3 4 3 2 2" xfId="30794" xr:uid="{00000000-0005-0000-0000-0000C6660000}"/>
    <cellStyle name="40% - Accent6 3 3 4 3 3" xfId="30898" xr:uid="{00000000-0005-0000-0000-0000C7660000}"/>
    <cellStyle name="40% - Accent6 3 3 4 4" xfId="30315" xr:uid="{00000000-0005-0000-0000-0000C8660000}"/>
    <cellStyle name="40% - Accent6 3 3 4 4 2" xfId="31814" xr:uid="{00000000-0005-0000-0000-0000C9660000}"/>
    <cellStyle name="40% - Accent6 3 3 4 5" xfId="17789" xr:uid="{00000000-0005-0000-0000-0000CA660000}"/>
    <cellStyle name="40% - Accent6 3 3 5" xfId="30650" xr:uid="{00000000-0005-0000-0000-0000CB660000}"/>
    <cellStyle name="40% - Accent6 3 3 5 2" xfId="16136" xr:uid="{00000000-0005-0000-0000-0000CC660000}"/>
    <cellStyle name="40% - Accent6 3 3 5 2 2" xfId="22333" xr:uid="{00000000-0005-0000-0000-0000CD660000}"/>
    <cellStyle name="40% - Accent6 3 3 5 2 2 2" xfId="33815" xr:uid="{00000000-0005-0000-0000-0000CE660000}"/>
    <cellStyle name="40% - Accent6 3 3 5 2 3" xfId="27840" xr:uid="{00000000-0005-0000-0000-0000CF660000}"/>
    <cellStyle name="40% - Accent6 3 3 5 3" xfId="7130" xr:uid="{00000000-0005-0000-0000-0000D0660000}"/>
    <cellStyle name="40% - Accent6 3 3 5 3 2" xfId="27775" xr:uid="{00000000-0005-0000-0000-0000D1660000}"/>
    <cellStyle name="40% - Accent6 3 3 5 4" xfId="12344" xr:uid="{00000000-0005-0000-0000-0000D2660000}"/>
    <cellStyle name="40% - Accent6 3 3 6" xfId="30638" xr:uid="{00000000-0005-0000-0000-0000D3660000}"/>
    <cellStyle name="40% - Accent6 3 3 6 2" xfId="17806" xr:uid="{00000000-0005-0000-0000-0000D4660000}"/>
    <cellStyle name="40% - Accent6 3 3 6 2 2" xfId="28221" xr:uid="{00000000-0005-0000-0000-0000D5660000}"/>
    <cellStyle name="40% - Accent6 3 3 6 3" xfId="17805" xr:uid="{00000000-0005-0000-0000-0000D6660000}"/>
    <cellStyle name="40% - Accent6 3 3 7" xfId="32821" xr:uid="{00000000-0005-0000-0000-0000D7660000}"/>
    <cellStyle name="40% - Accent6 3 3 7 2" xfId="23330" xr:uid="{00000000-0005-0000-0000-0000D8660000}"/>
    <cellStyle name="40% - Accent6 3 3 8" xfId="23325" xr:uid="{00000000-0005-0000-0000-0000D9660000}"/>
    <cellStyle name="40% - Accent6 3 3 9" xfId="34560" xr:uid="{00000000-0005-0000-0000-0000DA660000}"/>
    <cellStyle name="40% - Accent6 3 4" xfId="8405" xr:uid="{00000000-0005-0000-0000-0000DB660000}"/>
    <cellStyle name="40% - Accent6 3 4 2" xfId="7924" xr:uid="{00000000-0005-0000-0000-0000DC660000}"/>
    <cellStyle name="40% - Accent6 3 4 2 2" xfId="6150" xr:uid="{00000000-0005-0000-0000-0000DD660000}"/>
    <cellStyle name="40% - Accent6 3 4 2 2 2" xfId="6148" xr:uid="{00000000-0005-0000-0000-0000DE660000}"/>
    <cellStyle name="40% - Accent6 3 4 2 2 2 2" xfId="9207" xr:uid="{00000000-0005-0000-0000-0000DF660000}"/>
    <cellStyle name="40% - Accent6 3 4 2 2 2 2 2" xfId="31343" xr:uid="{00000000-0005-0000-0000-0000E0660000}"/>
    <cellStyle name="40% - Accent6 3 4 2 2 2 2 2 2" xfId="17458" xr:uid="{00000000-0005-0000-0000-0000E1660000}"/>
    <cellStyle name="40% - Accent6 3 4 2 2 2 2 3" xfId="6146" xr:uid="{00000000-0005-0000-0000-0000E2660000}"/>
    <cellStyle name="40% - Accent6 3 4 2 2 2 3" xfId="7576" xr:uid="{00000000-0005-0000-0000-0000E3660000}"/>
    <cellStyle name="40% - Accent6 3 4 2 2 2 3 2" xfId="7711" xr:uid="{00000000-0005-0000-0000-0000E4660000}"/>
    <cellStyle name="40% - Accent6 3 4 2 2 2 4" xfId="6144" xr:uid="{00000000-0005-0000-0000-0000E5660000}"/>
    <cellStyle name="40% - Accent6 3 4 2 2 3" xfId="6141" xr:uid="{00000000-0005-0000-0000-0000E6660000}"/>
    <cellStyle name="40% - Accent6 3 4 2 2 3 2" xfId="7570" xr:uid="{00000000-0005-0000-0000-0000E7660000}"/>
    <cellStyle name="40% - Accent6 3 4 2 2 3 2 2" xfId="15343" xr:uid="{00000000-0005-0000-0000-0000E8660000}"/>
    <cellStyle name="40% - Accent6 3 4 2 2 3 3" xfId="6138" xr:uid="{00000000-0005-0000-0000-0000E9660000}"/>
    <cellStyle name="40% - Accent6 3 4 2 2 4" xfId="18203" xr:uid="{00000000-0005-0000-0000-0000EA660000}"/>
    <cellStyle name="40% - Accent6 3 4 2 2 4 2" xfId="5439" xr:uid="{00000000-0005-0000-0000-0000EB660000}"/>
    <cellStyle name="40% - Accent6 3 4 2 2 5" xfId="5436" xr:uid="{00000000-0005-0000-0000-0000EC660000}"/>
    <cellStyle name="40% - Accent6 3 4 2 3" xfId="6134" xr:uid="{00000000-0005-0000-0000-0000ED660000}"/>
    <cellStyle name="40% - Accent6 3 4 2 3 2" xfId="9201" xr:uid="{00000000-0005-0000-0000-0000EE660000}"/>
    <cellStyle name="40% - Accent6 3 4 2 3 2 2" xfId="9198" xr:uid="{00000000-0005-0000-0000-0000EF660000}"/>
    <cellStyle name="40% - Accent6 3 4 2 3 2 2 2" xfId="6132" xr:uid="{00000000-0005-0000-0000-0000F0660000}"/>
    <cellStyle name="40% - Accent6 3 4 2 3 2 3" xfId="10577" xr:uid="{00000000-0005-0000-0000-0000F1660000}"/>
    <cellStyle name="40% - Accent6 3 4 2 3 3" xfId="9193" xr:uid="{00000000-0005-0000-0000-0000F2660000}"/>
    <cellStyle name="40% - Accent6 3 4 2 3 3 2" xfId="5434" xr:uid="{00000000-0005-0000-0000-0000F3660000}"/>
    <cellStyle name="40% - Accent6 3 4 2 3 4" xfId="15121" xr:uid="{00000000-0005-0000-0000-0000F4660000}"/>
    <cellStyle name="40% - Accent6 3 4 2 4" xfId="6131" xr:uid="{00000000-0005-0000-0000-0000F5660000}"/>
    <cellStyle name="40% - Accent6 3 4 2 4 2" xfId="9189" xr:uid="{00000000-0005-0000-0000-0000F6660000}"/>
    <cellStyle name="40% - Accent6 3 4 2 4 2 2" xfId="5431" xr:uid="{00000000-0005-0000-0000-0000F7660000}"/>
    <cellStyle name="40% - Accent6 3 4 2 4 3" xfId="5428" xr:uid="{00000000-0005-0000-0000-0000F8660000}"/>
    <cellStyle name="40% - Accent6 3 4 2 5" xfId="6128" xr:uid="{00000000-0005-0000-0000-0000F9660000}"/>
    <cellStyle name="40% - Accent6 3 4 2 5 2" xfId="5426" xr:uid="{00000000-0005-0000-0000-0000FA660000}"/>
    <cellStyle name="40% - Accent6 3 4 2 6" xfId="16441" xr:uid="{00000000-0005-0000-0000-0000FB660000}"/>
    <cellStyle name="40% - Accent6 3 4 3" xfId="6125" xr:uid="{00000000-0005-0000-0000-0000FC660000}"/>
    <cellStyle name="40% - Accent6 3 4 3 2" xfId="21669" xr:uid="{00000000-0005-0000-0000-0000FD660000}"/>
    <cellStyle name="40% - Accent6 3 4 3 2 2" xfId="9090" xr:uid="{00000000-0005-0000-0000-0000FE660000}"/>
    <cellStyle name="40% - Accent6 3 4 3 2 2 2" xfId="7537" xr:uid="{00000000-0005-0000-0000-0000FF660000}"/>
    <cellStyle name="40% - Accent6 3 4 3 2 2 2 2" xfId="21927" xr:uid="{00000000-0005-0000-0000-000000670000}"/>
    <cellStyle name="40% - Accent6 3 4 3 2 2 3" xfId="6124" xr:uid="{00000000-0005-0000-0000-000001670000}"/>
    <cellStyle name="40% - Accent6 3 4 3 2 3" xfId="17723" xr:uid="{00000000-0005-0000-0000-000002670000}"/>
    <cellStyle name="40% - Accent6 3 4 3 2 3 2" xfId="6122" xr:uid="{00000000-0005-0000-0000-000003670000}"/>
    <cellStyle name="40% - Accent6 3 4 3 2 4" xfId="5382" xr:uid="{00000000-0005-0000-0000-000004670000}"/>
    <cellStyle name="40% - Accent6 3 4 3 3" xfId="9083" xr:uid="{00000000-0005-0000-0000-000005670000}"/>
    <cellStyle name="40% - Accent6 3 4 3 3 2" xfId="17710" xr:uid="{00000000-0005-0000-0000-000006670000}"/>
    <cellStyle name="40% - Accent6 3 4 3 3 2 2" xfId="7037" xr:uid="{00000000-0005-0000-0000-000007670000}"/>
    <cellStyle name="40% - Accent6 3 4 3 3 3" xfId="5380" xr:uid="{00000000-0005-0000-0000-000008670000}"/>
    <cellStyle name="40% - Accent6 3 4 3 4" xfId="9077" xr:uid="{00000000-0005-0000-0000-000009670000}"/>
    <cellStyle name="40% - Accent6 3 4 3 4 2" xfId="5377" xr:uid="{00000000-0005-0000-0000-00000A670000}"/>
    <cellStyle name="40% - Accent6 3 4 3 5" xfId="5374" xr:uid="{00000000-0005-0000-0000-00000B670000}"/>
    <cellStyle name="40% - Accent6 3 4 4" xfId="30632" xr:uid="{00000000-0005-0000-0000-00000C670000}"/>
    <cellStyle name="40% - Accent6 3 4 4 2" xfId="9042" xr:uid="{00000000-0005-0000-0000-00000D670000}"/>
    <cellStyle name="40% - Accent6 3 4 4 2 2" xfId="9038" xr:uid="{00000000-0005-0000-0000-00000E670000}"/>
    <cellStyle name="40% - Accent6 3 4 4 2 2 2" xfId="6120" xr:uid="{00000000-0005-0000-0000-00000F670000}"/>
    <cellStyle name="40% - Accent6 3 4 4 2 3" xfId="5365" xr:uid="{00000000-0005-0000-0000-000010670000}"/>
    <cellStyle name="40% - Accent6 3 4 4 3" xfId="9032" xr:uid="{00000000-0005-0000-0000-000011670000}"/>
    <cellStyle name="40% - Accent6 3 4 4 3 2" xfId="5362" xr:uid="{00000000-0005-0000-0000-000012670000}"/>
    <cellStyle name="40% - Accent6 3 4 4 4" xfId="9911" xr:uid="{00000000-0005-0000-0000-000013670000}"/>
    <cellStyle name="40% - Accent6 3 4 5" xfId="25307" xr:uid="{00000000-0005-0000-0000-000014670000}"/>
    <cellStyle name="40% - Accent6 3 4 5 2" xfId="17634" xr:uid="{00000000-0005-0000-0000-000015670000}"/>
    <cellStyle name="40% - Accent6 3 4 5 2 2" xfId="5347" xr:uid="{00000000-0005-0000-0000-000016670000}"/>
    <cellStyle name="40% - Accent6 3 4 5 3" xfId="17630" xr:uid="{00000000-0005-0000-0000-000017670000}"/>
    <cellStyle name="40% - Accent6 3 4 6" xfId="6115" xr:uid="{00000000-0005-0000-0000-000018670000}"/>
    <cellStyle name="40% - Accent6 3 4 6 2" xfId="21704" xr:uid="{00000000-0005-0000-0000-000019670000}"/>
    <cellStyle name="40% - Accent6 3 4 7" xfId="31509" xr:uid="{00000000-0005-0000-0000-00001A670000}"/>
    <cellStyle name="40% - Accent6 3 4 8" xfId="34782" xr:uid="{00000000-0005-0000-0000-00001B670000}"/>
    <cellStyle name="40% - Accent6 3 5" xfId="7921" xr:uid="{00000000-0005-0000-0000-00001C670000}"/>
    <cellStyle name="40% - Accent6 3 5 2" xfId="6114" xr:uid="{00000000-0005-0000-0000-00001D670000}"/>
    <cellStyle name="40% - Accent6 3 5 2 2" xfId="23789" xr:uid="{00000000-0005-0000-0000-00001E670000}"/>
    <cellStyle name="40% - Accent6 3 5 2 2 2" xfId="12490" xr:uid="{00000000-0005-0000-0000-00001F670000}"/>
    <cellStyle name="40% - Accent6 3 5 2 2 2 2" xfId="7493" xr:uid="{00000000-0005-0000-0000-000020670000}"/>
    <cellStyle name="40% - Accent6 3 5 2 2 2 2 2" xfId="6113" xr:uid="{00000000-0005-0000-0000-000021670000}"/>
    <cellStyle name="40% - Accent6 3 5 2 2 2 3" xfId="6111" xr:uid="{00000000-0005-0000-0000-000022670000}"/>
    <cellStyle name="40% - Accent6 3 5 2 2 3" xfId="6109" xr:uid="{00000000-0005-0000-0000-000023670000}"/>
    <cellStyle name="40% - Accent6 3 5 2 2 3 2" xfId="6107" xr:uid="{00000000-0005-0000-0000-000024670000}"/>
    <cellStyle name="40% - Accent6 3 5 2 2 4" xfId="22481" xr:uid="{00000000-0005-0000-0000-000025670000}"/>
    <cellStyle name="40% - Accent6 3 5 2 3" xfId="8156" xr:uid="{00000000-0005-0000-0000-000026670000}"/>
    <cellStyle name="40% - Accent6 3 5 2 3 2" xfId="15964" xr:uid="{00000000-0005-0000-0000-000027670000}"/>
    <cellStyle name="40% - Accent6 3 5 2 3 2 2" xfId="15961" xr:uid="{00000000-0005-0000-0000-000028670000}"/>
    <cellStyle name="40% - Accent6 3 5 2 3 3" xfId="15957" xr:uid="{00000000-0005-0000-0000-000029670000}"/>
    <cellStyle name="40% - Accent6 3 5 2 4" xfId="6104" xr:uid="{00000000-0005-0000-0000-00002A670000}"/>
    <cellStyle name="40% - Accent6 3 5 2 4 2" xfId="15941" xr:uid="{00000000-0005-0000-0000-00002B670000}"/>
    <cellStyle name="40% - Accent6 3 5 2 5" xfId="6101" xr:uid="{00000000-0005-0000-0000-00002C670000}"/>
    <cellStyle name="40% - Accent6 3 5 3" xfId="11703" xr:uid="{00000000-0005-0000-0000-00002D670000}"/>
    <cellStyle name="40% - Accent6 3 5 3 2" xfId="27463" xr:uid="{00000000-0005-0000-0000-00002E670000}"/>
    <cellStyle name="40% - Accent6 3 5 3 2 2" xfId="17602" xr:uid="{00000000-0005-0000-0000-00002F670000}"/>
    <cellStyle name="40% - Accent6 3 5 3 2 2 2" xfId="12660" xr:uid="{00000000-0005-0000-0000-000030670000}"/>
    <cellStyle name="40% - Accent6 3 5 3 2 3" xfId="17595" xr:uid="{00000000-0005-0000-0000-000031670000}"/>
    <cellStyle name="40% - Accent6 3 5 3 3" xfId="17587" xr:uid="{00000000-0005-0000-0000-000032670000}"/>
    <cellStyle name="40% - Accent6 3 5 3 3 2" xfId="17583" xr:uid="{00000000-0005-0000-0000-000033670000}"/>
    <cellStyle name="40% - Accent6 3 5 3 4" xfId="27664" xr:uid="{00000000-0005-0000-0000-000034670000}"/>
    <cellStyle name="40% - Accent6 3 5 4" xfId="30616" xr:uid="{00000000-0005-0000-0000-000035670000}"/>
    <cellStyle name="40% - Accent6 3 5 4 2" xfId="17555" xr:uid="{00000000-0005-0000-0000-000036670000}"/>
    <cellStyle name="40% - Accent6 3 5 4 2 2" xfId="17551" xr:uid="{00000000-0005-0000-0000-000037670000}"/>
    <cellStyle name="40% - Accent6 3 5 4 3" xfId="17541" xr:uid="{00000000-0005-0000-0000-000038670000}"/>
    <cellStyle name="40% - Accent6 3 5 5" xfId="13888" xr:uid="{00000000-0005-0000-0000-000039670000}"/>
    <cellStyle name="40% - Accent6 3 5 5 2" xfId="17522" xr:uid="{00000000-0005-0000-0000-00003A670000}"/>
    <cellStyle name="40% - Accent6 3 5 6" xfId="13886" xr:uid="{00000000-0005-0000-0000-00003B670000}"/>
    <cellStyle name="40% - Accent6 3 5 7" xfId="34977" xr:uid="{00000000-0005-0000-0000-00003C670000}"/>
    <cellStyle name="40% - Accent6 3 6" xfId="6098" xr:uid="{00000000-0005-0000-0000-00003D670000}"/>
    <cellStyle name="40% - Accent6 3 6 2" xfId="6096" xr:uid="{00000000-0005-0000-0000-00003E670000}"/>
    <cellStyle name="40% - Accent6 3 6 2 2" xfId="25138" xr:uid="{00000000-0005-0000-0000-00003F670000}"/>
    <cellStyle name="40% - Accent6 3 6 2 2 2" xfId="6094" xr:uid="{00000000-0005-0000-0000-000040670000}"/>
    <cellStyle name="40% - Accent6 3 6 2 2 2 2" xfId="6090" xr:uid="{00000000-0005-0000-0000-000041670000}"/>
    <cellStyle name="40% - Accent6 3 6 2 2 3" xfId="13494" xr:uid="{00000000-0005-0000-0000-000042670000}"/>
    <cellStyle name="40% - Accent6 3 6 2 3" xfId="19792" xr:uid="{00000000-0005-0000-0000-000043670000}"/>
    <cellStyle name="40% - Accent6 3 6 2 3 2" xfId="15789" xr:uid="{00000000-0005-0000-0000-000044670000}"/>
    <cellStyle name="40% - Accent6 3 6 2 4" xfId="19785" xr:uid="{00000000-0005-0000-0000-000045670000}"/>
    <cellStyle name="40% - Accent6 3 6 3" xfId="6087" xr:uid="{00000000-0005-0000-0000-000046670000}"/>
    <cellStyle name="40% - Accent6 3 6 3 2" xfId="17490" xr:uid="{00000000-0005-0000-0000-000047670000}"/>
    <cellStyle name="40% - Accent6 3 6 3 2 2" xfId="27114" xr:uid="{00000000-0005-0000-0000-000048670000}"/>
    <cellStyle name="40% - Accent6 3 6 3 3" xfId="17484" xr:uid="{00000000-0005-0000-0000-000049670000}"/>
    <cellStyle name="40% - Accent6 3 6 4" xfId="13882" xr:uid="{00000000-0005-0000-0000-00004A670000}"/>
    <cellStyle name="40% - Accent6 3 6 4 2" xfId="17470" xr:uid="{00000000-0005-0000-0000-00004B670000}"/>
    <cellStyle name="40% - Accent6 3 6 5" xfId="13877" xr:uid="{00000000-0005-0000-0000-00004C670000}"/>
    <cellStyle name="40% - Accent6 3 6 6" xfId="35182" xr:uid="{00000000-0005-0000-0000-00004D670000}"/>
    <cellStyle name="40% - Accent6 3 7" xfId="6086" xr:uid="{00000000-0005-0000-0000-00004E670000}"/>
    <cellStyle name="40% - Accent6 3 7 2" xfId="6085" xr:uid="{00000000-0005-0000-0000-00004F670000}"/>
    <cellStyle name="40% - Accent6 3 7 2 2" xfId="15522" xr:uid="{00000000-0005-0000-0000-000050670000}"/>
    <cellStyle name="40% - Accent6 3 7 2 2 2" xfId="6084" xr:uid="{00000000-0005-0000-0000-000051670000}"/>
    <cellStyle name="40% - Accent6 3 7 2 3" xfId="27190" xr:uid="{00000000-0005-0000-0000-000052670000}"/>
    <cellStyle name="40% - Accent6 3 7 3" xfId="6080" xr:uid="{00000000-0005-0000-0000-000053670000}"/>
    <cellStyle name="40% - Accent6 3 7 3 2" xfId="19772" xr:uid="{00000000-0005-0000-0000-000054670000}"/>
    <cellStyle name="40% - Accent6 3 7 4" xfId="13872" xr:uid="{00000000-0005-0000-0000-000055670000}"/>
    <cellStyle name="40% - Accent6 3 7 5" xfId="35411" xr:uid="{00000000-0005-0000-0000-000056670000}"/>
    <cellStyle name="40% - Accent6 3 8" xfId="6079" xr:uid="{00000000-0005-0000-0000-000057670000}"/>
    <cellStyle name="40% - Accent6 3 8 2" xfId="6078" xr:uid="{00000000-0005-0000-0000-000058670000}"/>
    <cellStyle name="40% - Accent6 3 8 2 2" xfId="19764" xr:uid="{00000000-0005-0000-0000-000059670000}"/>
    <cellStyle name="40% - Accent6 3 8 3" xfId="6077" xr:uid="{00000000-0005-0000-0000-00005A670000}"/>
    <cellStyle name="40% - Accent6 3 8 4" xfId="36283" xr:uid="{00000000-0005-0000-0000-00005B670000}"/>
    <cellStyle name="40% - Accent6 3 9" xfId="24439" xr:uid="{00000000-0005-0000-0000-00005C670000}"/>
    <cellStyle name="40% - Accent6 3 9 2" xfId="6076" xr:uid="{00000000-0005-0000-0000-00005D670000}"/>
    <cellStyle name="40% - Accent6 3 9 3" xfId="36569" xr:uid="{00000000-0005-0000-0000-00005E670000}"/>
    <cellStyle name="40% - Accent6 30" xfId="35908" xr:uid="{00000000-0005-0000-0000-00005F670000}"/>
    <cellStyle name="40% - Accent6 30 2" xfId="37080" xr:uid="{00000000-0005-0000-0000-000060670000}"/>
    <cellStyle name="40% - Accent6 30 3" xfId="37975" xr:uid="{00000000-0005-0000-0000-000061670000}"/>
    <cellStyle name="40% - Accent6 31" xfId="35928" xr:uid="{00000000-0005-0000-0000-000062670000}"/>
    <cellStyle name="40% - Accent6 31 2" xfId="37099" xr:uid="{00000000-0005-0000-0000-000063670000}"/>
    <cellStyle name="40% - Accent6 31 3" xfId="37995" xr:uid="{00000000-0005-0000-0000-000064670000}"/>
    <cellStyle name="40% - Accent6 32" xfId="35948" xr:uid="{00000000-0005-0000-0000-000065670000}"/>
    <cellStyle name="40% - Accent6 32 2" xfId="37118" xr:uid="{00000000-0005-0000-0000-000066670000}"/>
    <cellStyle name="40% - Accent6 32 3" xfId="38015" xr:uid="{00000000-0005-0000-0000-000067670000}"/>
    <cellStyle name="40% - Accent6 33" xfId="35968" xr:uid="{00000000-0005-0000-0000-000068670000}"/>
    <cellStyle name="40% - Accent6 33 2" xfId="37137" xr:uid="{00000000-0005-0000-0000-000069670000}"/>
    <cellStyle name="40% - Accent6 33 3" xfId="38035" xr:uid="{00000000-0005-0000-0000-00006A670000}"/>
    <cellStyle name="40% - Accent6 34" xfId="35988" xr:uid="{00000000-0005-0000-0000-00006B670000}"/>
    <cellStyle name="40% - Accent6 34 2" xfId="37157" xr:uid="{00000000-0005-0000-0000-00006C670000}"/>
    <cellStyle name="40% - Accent6 34 3" xfId="38055" xr:uid="{00000000-0005-0000-0000-00006D670000}"/>
    <cellStyle name="40% - Accent6 35" xfId="36008" xr:uid="{00000000-0005-0000-0000-00006E670000}"/>
    <cellStyle name="40% - Accent6 35 2" xfId="37177" xr:uid="{00000000-0005-0000-0000-00006F670000}"/>
    <cellStyle name="40% - Accent6 35 3" xfId="38075" xr:uid="{00000000-0005-0000-0000-000070670000}"/>
    <cellStyle name="40% - Accent6 36" xfId="36028" xr:uid="{00000000-0005-0000-0000-000071670000}"/>
    <cellStyle name="40% - Accent6 36 2" xfId="37197" xr:uid="{00000000-0005-0000-0000-000072670000}"/>
    <cellStyle name="40% - Accent6 36 3" xfId="38095" xr:uid="{00000000-0005-0000-0000-000073670000}"/>
    <cellStyle name="40% - Accent6 37" xfId="36048" xr:uid="{00000000-0005-0000-0000-000074670000}"/>
    <cellStyle name="40% - Accent6 37 2" xfId="37217" xr:uid="{00000000-0005-0000-0000-000075670000}"/>
    <cellStyle name="40% - Accent6 37 3" xfId="38115" xr:uid="{00000000-0005-0000-0000-000076670000}"/>
    <cellStyle name="40% - Accent6 38" xfId="36068" xr:uid="{00000000-0005-0000-0000-000077670000}"/>
    <cellStyle name="40% - Accent6 38 2" xfId="37237" xr:uid="{00000000-0005-0000-0000-000078670000}"/>
    <cellStyle name="40% - Accent6 38 3" xfId="38135" xr:uid="{00000000-0005-0000-0000-000079670000}"/>
    <cellStyle name="40% - Accent6 39" xfId="36088" xr:uid="{00000000-0005-0000-0000-00007A670000}"/>
    <cellStyle name="40% - Accent6 39 2" xfId="37257" xr:uid="{00000000-0005-0000-0000-00007B670000}"/>
    <cellStyle name="40% - Accent6 39 3" xfId="38155" xr:uid="{00000000-0005-0000-0000-00007C670000}"/>
    <cellStyle name="40% - Accent6 4" xfId="133" xr:uid="{00000000-0005-0000-0000-00007D670000}"/>
    <cellStyle name="40% - Accent6 4 10" xfId="34487" xr:uid="{00000000-0005-0000-0000-00007E670000}"/>
    <cellStyle name="40% - Accent6 4 11" xfId="15173" xr:uid="{00000000-0005-0000-0000-00007F670000}"/>
    <cellStyle name="40% - Accent6 4 2" xfId="256" xr:uid="{00000000-0005-0000-0000-000080670000}"/>
    <cellStyle name="40% - Accent6 4 2 10" xfId="7917" xr:uid="{00000000-0005-0000-0000-000081670000}"/>
    <cellStyle name="40% - Accent6 4 2 2" xfId="7914" xr:uid="{00000000-0005-0000-0000-000082670000}"/>
    <cellStyle name="40% - Accent6 4 2 2 2" xfId="7912" xr:uid="{00000000-0005-0000-0000-000083670000}"/>
    <cellStyle name="40% - Accent6 4 2 2 2 2" xfId="6075" xr:uid="{00000000-0005-0000-0000-000084670000}"/>
    <cellStyle name="40% - Accent6 4 2 2 2 2 2" xfId="33271" xr:uid="{00000000-0005-0000-0000-000085670000}"/>
    <cellStyle name="40% - Accent6 4 2 2 2 2 2 2" xfId="6074" xr:uid="{00000000-0005-0000-0000-000086670000}"/>
    <cellStyle name="40% - Accent6 4 2 2 2 2 2 2 2" xfId="32806" xr:uid="{00000000-0005-0000-0000-000087670000}"/>
    <cellStyle name="40% - Accent6 4 2 2 2 2 2 2 2 2" xfId="24679" xr:uid="{00000000-0005-0000-0000-000088670000}"/>
    <cellStyle name="40% - Accent6 4 2 2 2 2 2 2 3" xfId="29392" xr:uid="{00000000-0005-0000-0000-000089670000}"/>
    <cellStyle name="40% - Accent6 4 2 2 2 2 2 3" xfId="6072" xr:uid="{00000000-0005-0000-0000-00008A670000}"/>
    <cellStyle name="40% - Accent6 4 2 2 2 2 2 3 2" xfId="24499" xr:uid="{00000000-0005-0000-0000-00008B670000}"/>
    <cellStyle name="40% - Accent6 4 2 2 2 2 2 4" xfId="27641" xr:uid="{00000000-0005-0000-0000-00008C670000}"/>
    <cellStyle name="40% - Accent6 4 2 2 2 2 3" xfId="22890" xr:uid="{00000000-0005-0000-0000-00008D670000}"/>
    <cellStyle name="40% - Accent6 4 2 2 2 2 3 2" xfId="6071" xr:uid="{00000000-0005-0000-0000-00008E670000}"/>
    <cellStyle name="40% - Accent6 4 2 2 2 2 3 2 2" xfId="30649" xr:uid="{00000000-0005-0000-0000-00008F670000}"/>
    <cellStyle name="40% - Accent6 4 2 2 2 2 3 3" xfId="6069" xr:uid="{00000000-0005-0000-0000-000090670000}"/>
    <cellStyle name="40% - Accent6 4 2 2 2 2 4" xfId="30566" xr:uid="{00000000-0005-0000-0000-000091670000}"/>
    <cellStyle name="40% - Accent6 4 2 2 2 2 4 2" xfId="6066" xr:uid="{00000000-0005-0000-0000-000092670000}"/>
    <cellStyle name="40% - Accent6 4 2 2 2 2 5" xfId="6064" xr:uid="{00000000-0005-0000-0000-000093670000}"/>
    <cellStyle name="40% - Accent6 4 2 2 2 3" xfId="6062" xr:uid="{00000000-0005-0000-0000-000094670000}"/>
    <cellStyle name="40% - Accent6 4 2 2 2 3 2" xfId="34242" xr:uid="{00000000-0005-0000-0000-000095670000}"/>
    <cellStyle name="40% - Accent6 4 2 2 2 3 2 2" xfId="6061" xr:uid="{00000000-0005-0000-0000-000096670000}"/>
    <cellStyle name="40% - Accent6 4 2 2 2 3 2 2 2" xfId="30250" xr:uid="{00000000-0005-0000-0000-000097670000}"/>
    <cellStyle name="40% - Accent6 4 2 2 2 3 2 3" xfId="6060" xr:uid="{00000000-0005-0000-0000-000098670000}"/>
    <cellStyle name="40% - Accent6 4 2 2 2 3 3" xfId="33974" xr:uid="{00000000-0005-0000-0000-000099670000}"/>
    <cellStyle name="40% - Accent6 4 2 2 2 3 3 2" xfId="11523" xr:uid="{00000000-0005-0000-0000-00009A670000}"/>
    <cellStyle name="40% - Accent6 4 2 2 2 3 4" xfId="6058" xr:uid="{00000000-0005-0000-0000-00009B670000}"/>
    <cellStyle name="40% - Accent6 4 2 2 2 4" xfId="21193" xr:uid="{00000000-0005-0000-0000-00009C670000}"/>
    <cellStyle name="40% - Accent6 4 2 2 2 4 2" xfId="28663" xr:uid="{00000000-0005-0000-0000-00009D670000}"/>
    <cellStyle name="40% - Accent6 4 2 2 2 4 2 2" xfId="30170" xr:uid="{00000000-0005-0000-0000-00009E670000}"/>
    <cellStyle name="40% - Accent6 4 2 2 2 4 3" xfId="28661" xr:uid="{00000000-0005-0000-0000-00009F670000}"/>
    <cellStyle name="40% - Accent6 4 2 2 2 5" xfId="32284" xr:uid="{00000000-0005-0000-0000-0000A0670000}"/>
    <cellStyle name="40% - Accent6 4 2 2 2 5 2" xfId="28653" xr:uid="{00000000-0005-0000-0000-0000A1670000}"/>
    <cellStyle name="40% - Accent6 4 2 2 2 6" xfId="21189" xr:uid="{00000000-0005-0000-0000-0000A2670000}"/>
    <cellStyle name="40% - Accent6 4 2 2 3" xfId="11501" xr:uid="{00000000-0005-0000-0000-0000A3670000}"/>
    <cellStyle name="40% - Accent6 4 2 2 3 2" xfId="9490" xr:uid="{00000000-0005-0000-0000-0000A4670000}"/>
    <cellStyle name="40% - Accent6 4 2 2 3 2 2" xfId="29699" xr:uid="{00000000-0005-0000-0000-0000A5670000}"/>
    <cellStyle name="40% - Accent6 4 2 2 3 2 2 2" xfId="9307" xr:uid="{00000000-0005-0000-0000-0000A6670000}"/>
    <cellStyle name="40% - Accent6 4 2 2 3 2 2 2 2" xfId="24054" xr:uid="{00000000-0005-0000-0000-0000A7670000}"/>
    <cellStyle name="40% - Accent6 4 2 2 3 2 2 3" xfId="7435" xr:uid="{00000000-0005-0000-0000-0000A8670000}"/>
    <cellStyle name="40% - Accent6 4 2 2 3 2 3" xfId="29689" xr:uid="{00000000-0005-0000-0000-0000A9670000}"/>
    <cellStyle name="40% - Accent6 4 2 2 3 2 3 2" xfId="6057" xr:uid="{00000000-0005-0000-0000-0000AA670000}"/>
    <cellStyle name="40% - Accent6 4 2 2 3 2 4" xfId="33592" xr:uid="{00000000-0005-0000-0000-0000AB670000}"/>
    <cellStyle name="40% - Accent6 4 2 2 3 3" xfId="17339" xr:uid="{00000000-0005-0000-0000-0000AC670000}"/>
    <cellStyle name="40% - Accent6 4 2 2 3 3 2" xfId="29681" xr:uid="{00000000-0005-0000-0000-0000AD670000}"/>
    <cellStyle name="40% - Accent6 4 2 2 3 3 2 2" xfId="12627" xr:uid="{00000000-0005-0000-0000-0000AE670000}"/>
    <cellStyle name="40% - Accent6 4 2 2 3 3 3" xfId="33969" xr:uid="{00000000-0005-0000-0000-0000AF670000}"/>
    <cellStyle name="40% - Accent6 4 2 2 3 4" xfId="17336" xr:uid="{00000000-0005-0000-0000-0000B0670000}"/>
    <cellStyle name="40% - Accent6 4 2 2 3 4 2" xfId="28520" xr:uid="{00000000-0005-0000-0000-0000B1670000}"/>
    <cellStyle name="40% - Accent6 4 2 2 3 5" xfId="17334" xr:uid="{00000000-0005-0000-0000-0000B2670000}"/>
    <cellStyle name="40% - Accent6 4 2 2 4" xfId="11489" xr:uid="{00000000-0005-0000-0000-0000B3670000}"/>
    <cellStyle name="40% - Accent6 4 2 2 4 2" xfId="9484" xr:uid="{00000000-0005-0000-0000-0000B4670000}"/>
    <cellStyle name="40% - Accent6 4 2 2 4 2 2" xfId="29659" xr:uid="{00000000-0005-0000-0000-0000B5670000}"/>
    <cellStyle name="40% - Accent6 4 2 2 4 2 2 2" xfId="6564" xr:uid="{00000000-0005-0000-0000-0000B6670000}"/>
    <cellStyle name="40% - Accent6 4 2 2 4 2 3" xfId="33756" xr:uid="{00000000-0005-0000-0000-0000B7670000}"/>
    <cellStyle name="40% - Accent6 4 2 2 4 3" xfId="9481" xr:uid="{00000000-0005-0000-0000-0000B8670000}"/>
    <cellStyle name="40% - Accent6 4 2 2 4 3 2" xfId="34128" xr:uid="{00000000-0005-0000-0000-0000B9670000}"/>
    <cellStyle name="40% - Accent6 4 2 2 4 4" xfId="17332" xr:uid="{00000000-0005-0000-0000-0000BA670000}"/>
    <cellStyle name="40% - Accent6 4 2 2 5" xfId="11481" xr:uid="{00000000-0005-0000-0000-0000BB670000}"/>
    <cellStyle name="40% - Accent6 4 2 2 5 2" xfId="9478" xr:uid="{00000000-0005-0000-0000-0000BC670000}"/>
    <cellStyle name="40% - Accent6 4 2 2 5 2 2" xfId="23557" xr:uid="{00000000-0005-0000-0000-0000BD670000}"/>
    <cellStyle name="40% - Accent6 4 2 2 5 3" xfId="6053" xr:uid="{00000000-0005-0000-0000-0000BE670000}"/>
    <cellStyle name="40% - Accent6 4 2 2 6" xfId="11474" xr:uid="{00000000-0005-0000-0000-0000BF670000}"/>
    <cellStyle name="40% - Accent6 4 2 2 6 2" xfId="6051" xr:uid="{00000000-0005-0000-0000-0000C0670000}"/>
    <cellStyle name="40% - Accent6 4 2 2 7" xfId="11468" xr:uid="{00000000-0005-0000-0000-0000C1670000}"/>
    <cellStyle name="40% - Accent6 4 2 3" xfId="7910" xr:uid="{00000000-0005-0000-0000-0000C2670000}"/>
    <cellStyle name="40% - Accent6 4 2 3 2" xfId="6050" xr:uid="{00000000-0005-0000-0000-0000C3670000}"/>
    <cellStyle name="40% - Accent6 4 2 3 2 2" xfId="15217" xr:uid="{00000000-0005-0000-0000-0000C4670000}"/>
    <cellStyle name="40% - Accent6 4 2 3 2 2 2" xfId="33947" xr:uid="{00000000-0005-0000-0000-0000C5670000}"/>
    <cellStyle name="40% - Accent6 4 2 3 2 2 2 2" xfId="6048" xr:uid="{00000000-0005-0000-0000-0000C6670000}"/>
    <cellStyle name="40% - Accent6 4 2 3 2 2 2 2 2" xfId="27399" xr:uid="{00000000-0005-0000-0000-0000C7670000}"/>
    <cellStyle name="40% - Accent6 4 2 3 2 2 2 3" xfId="6045" xr:uid="{00000000-0005-0000-0000-0000C8670000}"/>
    <cellStyle name="40% - Accent6 4 2 3 2 2 3" xfId="33944" xr:uid="{00000000-0005-0000-0000-0000C9670000}"/>
    <cellStyle name="40% - Accent6 4 2 3 2 2 3 2" xfId="6043" xr:uid="{00000000-0005-0000-0000-0000CA670000}"/>
    <cellStyle name="40% - Accent6 4 2 3 2 2 4" xfId="34305" xr:uid="{00000000-0005-0000-0000-0000CB670000}"/>
    <cellStyle name="40% - Accent6 4 2 3 2 3" xfId="6041" xr:uid="{00000000-0005-0000-0000-0000CC670000}"/>
    <cellStyle name="40% - Accent6 4 2 3 2 3 2" xfId="30708" xr:uid="{00000000-0005-0000-0000-0000CD670000}"/>
    <cellStyle name="40% - Accent6 4 2 3 2 3 2 2" xfId="6040" xr:uid="{00000000-0005-0000-0000-0000CE670000}"/>
    <cellStyle name="40% - Accent6 4 2 3 2 3 3" xfId="30042" xr:uid="{00000000-0005-0000-0000-0000CF670000}"/>
    <cellStyle name="40% - Accent6 4 2 3 2 4" xfId="21151" xr:uid="{00000000-0005-0000-0000-0000D0670000}"/>
    <cellStyle name="40% - Accent6 4 2 3 2 4 2" xfId="33491" xr:uid="{00000000-0005-0000-0000-0000D1670000}"/>
    <cellStyle name="40% - Accent6 4 2 3 2 5" xfId="10363" xr:uid="{00000000-0005-0000-0000-0000D2670000}"/>
    <cellStyle name="40% - Accent6 4 2 3 3" xfId="11461" xr:uid="{00000000-0005-0000-0000-0000D3670000}"/>
    <cellStyle name="40% - Accent6 4 2 3 3 2" xfId="9476" xr:uid="{00000000-0005-0000-0000-0000D4670000}"/>
    <cellStyle name="40% - Accent6 4 2 3 3 2 2" xfId="29623" xr:uid="{00000000-0005-0000-0000-0000D5670000}"/>
    <cellStyle name="40% - Accent6 4 2 3 3 2 2 2" xfId="6039" xr:uid="{00000000-0005-0000-0000-0000D6670000}"/>
    <cellStyle name="40% - Accent6 4 2 3 3 2 3" xfId="20013" xr:uid="{00000000-0005-0000-0000-0000D7670000}"/>
    <cellStyle name="40% - Accent6 4 2 3 3 3" xfId="25726" xr:uid="{00000000-0005-0000-0000-0000D8670000}"/>
    <cellStyle name="40% - Accent6 4 2 3 3 3 2" xfId="33770" xr:uid="{00000000-0005-0000-0000-0000D9670000}"/>
    <cellStyle name="40% - Accent6 4 2 3 3 4" xfId="21147" xr:uid="{00000000-0005-0000-0000-0000DA670000}"/>
    <cellStyle name="40% - Accent6 4 2 3 4" xfId="11448" xr:uid="{00000000-0005-0000-0000-0000DB670000}"/>
    <cellStyle name="40% - Accent6 4 2 3 4 2" xfId="13065" xr:uid="{00000000-0005-0000-0000-0000DC670000}"/>
    <cellStyle name="40% - Accent6 4 2 3 4 2 2" xfId="32348" xr:uid="{00000000-0005-0000-0000-0000DD670000}"/>
    <cellStyle name="40% - Accent6 4 2 3 4 3" xfId="13059" xr:uid="{00000000-0005-0000-0000-0000DE670000}"/>
    <cellStyle name="40% - Accent6 4 2 3 5" xfId="11439" xr:uid="{00000000-0005-0000-0000-0000DF670000}"/>
    <cellStyle name="40% - Accent6 4 2 3 5 2" xfId="13019" xr:uid="{00000000-0005-0000-0000-0000E0670000}"/>
    <cellStyle name="40% - Accent6 4 2 3 6" xfId="11433" xr:uid="{00000000-0005-0000-0000-0000E1670000}"/>
    <cellStyle name="40% - Accent6 4 2 4" xfId="30528" xr:uid="{00000000-0005-0000-0000-0000E2670000}"/>
    <cellStyle name="40% - Accent6 4 2 4 2" xfId="32923" xr:uid="{00000000-0005-0000-0000-0000E3670000}"/>
    <cellStyle name="40% - Accent6 4 2 4 2 2" xfId="6036" xr:uid="{00000000-0005-0000-0000-0000E4670000}"/>
    <cellStyle name="40% - Accent6 4 2 4 2 2 2" xfId="33564" xr:uid="{00000000-0005-0000-0000-0000E5670000}"/>
    <cellStyle name="40% - Accent6 4 2 4 2 2 2 2" xfId="6192" xr:uid="{00000000-0005-0000-0000-0000E6670000}"/>
    <cellStyle name="40% - Accent6 4 2 4 2 2 3" xfId="33907" xr:uid="{00000000-0005-0000-0000-0000E7670000}"/>
    <cellStyle name="40% - Accent6 4 2 4 2 3" xfId="30685" xr:uid="{00000000-0005-0000-0000-0000E8670000}"/>
    <cellStyle name="40% - Accent6 4 2 4 2 3 2" xfId="33909" xr:uid="{00000000-0005-0000-0000-0000E9670000}"/>
    <cellStyle name="40% - Accent6 4 2 4 2 4" xfId="32585" xr:uid="{00000000-0005-0000-0000-0000EA670000}"/>
    <cellStyle name="40% - Accent6 4 2 4 3" xfId="32823" xr:uid="{00000000-0005-0000-0000-0000EB670000}"/>
    <cellStyle name="40% - Accent6 4 2 4 3 2" xfId="9473" xr:uid="{00000000-0005-0000-0000-0000EC670000}"/>
    <cellStyle name="40% - Accent6 4 2 4 3 2 2" xfId="31932" xr:uid="{00000000-0005-0000-0000-0000ED670000}"/>
    <cellStyle name="40% - Accent6 4 2 4 3 3" xfId="25077" xr:uid="{00000000-0005-0000-0000-0000EE670000}"/>
    <cellStyle name="40% - Accent6 4 2 4 4" xfId="28425" xr:uid="{00000000-0005-0000-0000-0000EF670000}"/>
    <cellStyle name="40% - Accent6 4 2 4 4 2" xfId="12974" xr:uid="{00000000-0005-0000-0000-0000F0670000}"/>
    <cellStyle name="40% - Accent6 4 2 4 5" xfId="13880" xr:uid="{00000000-0005-0000-0000-0000F1670000}"/>
    <cellStyle name="40% - Accent6 4 2 5" xfId="20004" xr:uid="{00000000-0005-0000-0000-0000F2670000}"/>
    <cellStyle name="40% - Accent6 4 2 5 2" xfId="14051" xr:uid="{00000000-0005-0000-0000-0000F3670000}"/>
    <cellStyle name="40% - Accent6 4 2 5 2 2" xfId="6035" xr:uid="{00000000-0005-0000-0000-0000F4670000}"/>
    <cellStyle name="40% - Accent6 4 2 5 2 2 2" xfId="8761" xr:uid="{00000000-0005-0000-0000-0000F5670000}"/>
    <cellStyle name="40% - Accent6 4 2 5 2 3" xfId="30671" xr:uid="{00000000-0005-0000-0000-0000F6670000}"/>
    <cellStyle name="40% - Accent6 4 2 5 3" xfId="11424" xr:uid="{00000000-0005-0000-0000-0000F7670000}"/>
    <cellStyle name="40% - Accent6 4 2 5 3 2" xfId="31007" xr:uid="{00000000-0005-0000-0000-0000F8670000}"/>
    <cellStyle name="40% - Accent6 4 2 5 4" xfId="11420" xr:uid="{00000000-0005-0000-0000-0000F9670000}"/>
    <cellStyle name="40% - Accent6 4 2 6" xfId="17525" xr:uid="{00000000-0005-0000-0000-0000FA670000}"/>
    <cellStyle name="40% - Accent6 4 2 6 2" xfId="6034" xr:uid="{00000000-0005-0000-0000-0000FB670000}"/>
    <cellStyle name="40% - Accent6 4 2 6 2 2" xfId="6033" xr:uid="{00000000-0005-0000-0000-0000FC670000}"/>
    <cellStyle name="40% - Accent6 4 2 6 3" xfId="11416" xr:uid="{00000000-0005-0000-0000-0000FD670000}"/>
    <cellStyle name="40% - Accent6 4 2 7" xfId="33468" xr:uid="{00000000-0005-0000-0000-0000FE670000}"/>
    <cellStyle name="40% - Accent6 4 2 7 2" xfId="29259" xr:uid="{00000000-0005-0000-0000-0000FF670000}"/>
    <cellStyle name="40% - Accent6 4 2 8" xfId="30335" xr:uid="{00000000-0005-0000-0000-000000680000}"/>
    <cellStyle name="40% - Accent6 4 2 9" xfId="34574" xr:uid="{00000000-0005-0000-0000-000001680000}"/>
    <cellStyle name="40% - Accent6 4 3" xfId="7907" xr:uid="{00000000-0005-0000-0000-000002680000}"/>
    <cellStyle name="40% - Accent6 4 3 2" xfId="7904" xr:uid="{00000000-0005-0000-0000-000003680000}"/>
    <cellStyle name="40% - Accent6 4 3 2 2" xfId="6030" xr:uid="{00000000-0005-0000-0000-000004680000}"/>
    <cellStyle name="40% - Accent6 4 3 2 2 2" xfId="6029" xr:uid="{00000000-0005-0000-0000-000005680000}"/>
    <cellStyle name="40% - Accent6 4 3 2 2 2 2" xfId="23066" xr:uid="{00000000-0005-0000-0000-000006680000}"/>
    <cellStyle name="40% - Accent6 4 3 2 2 2 2 2" xfId="6028" xr:uid="{00000000-0005-0000-0000-000007680000}"/>
    <cellStyle name="40% - Accent6 4 3 2 2 2 2 2 2" xfId="6027" xr:uid="{00000000-0005-0000-0000-000008680000}"/>
    <cellStyle name="40% - Accent6 4 3 2 2 2 2 3" xfId="6025" xr:uid="{00000000-0005-0000-0000-000009680000}"/>
    <cellStyle name="40% - Accent6 4 3 2 2 2 3" xfId="13079" xr:uid="{00000000-0005-0000-0000-00000A680000}"/>
    <cellStyle name="40% - Accent6 4 3 2 2 2 3 2" xfId="6024" xr:uid="{00000000-0005-0000-0000-00000B680000}"/>
    <cellStyle name="40% - Accent6 4 3 2 2 2 4" xfId="6022" xr:uid="{00000000-0005-0000-0000-00000C680000}"/>
    <cellStyle name="40% - Accent6 4 3 2 2 3" xfId="6021" xr:uid="{00000000-0005-0000-0000-00000D680000}"/>
    <cellStyle name="40% - Accent6 4 3 2 2 3 2" xfId="6020" xr:uid="{00000000-0005-0000-0000-00000E680000}"/>
    <cellStyle name="40% - Accent6 4 3 2 2 3 2 2" xfId="24994" xr:uid="{00000000-0005-0000-0000-00000F680000}"/>
    <cellStyle name="40% - Accent6 4 3 2 2 3 3" xfId="6018" xr:uid="{00000000-0005-0000-0000-000010680000}"/>
    <cellStyle name="40% - Accent6 4 3 2 2 4" xfId="20617" xr:uid="{00000000-0005-0000-0000-000011680000}"/>
    <cellStyle name="40% - Accent6 4 3 2 2 4 2" xfId="25957" xr:uid="{00000000-0005-0000-0000-000012680000}"/>
    <cellStyle name="40% - Accent6 4 3 2 2 5" xfId="21109" xr:uid="{00000000-0005-0000-0000-000013680000}"/>
    <cellStyle name="40% - Accent6 4 3 2 3" xfId="11408" xr:uid="{00000000-0005-0000-0000-000014680000}"/>
    <cellStyle name="40% - Accent6 4 3 2 3 2" xfId="14905" xr:uid="{00000000-0005-0000-0000-000015680000}"/>
    <cellStyle name="40% - Accent6 4 3 2 3 2 2" xfId="31456" xr:uid="{00000000-0005-0000-0000-000016680000}"/>
    <cellStyle name="40% - Accent6 4 3 2 3 2 2 2" xfId="6016" xr:uid="{00000000-0005-0000-0000-000017680000}"/>
    <cellStyle name="40% - Accent6 4 3 2 3 2 3" xfId="30030" xr:uid="{00000000-0005-0000-0000-000018680000}"/>
    <cellStyle name="40% - Accent6 4 3 2 3 3" xfId="14897" xr:uid="{00000000-0005-0000-0000-000019680000}"/>
    <cellStyle name="40% - Accent6 4 3 2 3 3 2" xfId="29436" xr:uid="{00000000-0005-0000-0000-00001A680000}"/>
    <cellStyle name="40% - Accent6 4 3 2 3 4" xfId="17312" xr:uid="{00000000-0005-0000-0000-00001B680000}"/>
    <cellStyle name="40% - Accent6 4 3 2 4" xfId="11403" xr:uid="{00000000-0005-0000-0000-00001C680000}"/>
    <cellStyle name="40% - Accent6 4 3 2 4 2" xfId="14874" xr:uid="{00000000-0005-0000-0000-00001D680000}"/>
    <cellStyle name="40% - Accent6 4 3 2 4 2 2" xfId="33244" xr:uid="{00000000-0005-0000-0000-00001E680000}"/>
    <cellStyle name="40% - Accent6 4 3 2 4 3" xfId="14871" xr:uid="{00000000-0005-0000-0000-00001F680000}"/>
    <cellStyle name="40% - Accent6 4 3 2 5" xfId="11397" xr:uid="{00000000-0005-0000-0000-000020680000}"/>
    <cellStyle name="40% - Accent6 4 3 2 5 2" xfId="14853" xr:uid="{00000000-0005-0000-0000-000021680000}"/>
    <cellStyle name="40% - Accent6 4 3 2 6" xfId="11390" xr:uid="{00000000-0005-0000-0000-000022680000}"/>
    <cellStyle name="40% - Accent6 4 3 3" xfId="6013" xr:uid="{00000000-0005-0000-0000-000023680000}"/>
    <cellStyle name="40% - Accent6 4 3 3 2" xfId="17408" xr:uid="{00000000-0005-0000-0000-000024680000}"/>
    <cellStyle name="40% - Accent6 4 3 3 2 2" xfId="17405" xr:uid="{00000000-0005-0000-0000-000025680000}"/>
    <cellStyle name="40% - Accent6 4 3 3 2 2 2" xfId="6011" xr:uid="{00000000-0005-0000-0000-000026680000}"/>
    <cellStyle name="40% - Accent6 4 3 3 2 2 2 2" xfId="6010" xr:uid="{00000000-0005-0000-0000-000027680000}"/>
    <cellStyle name="40% - Accent6 4 3 3 2 2 3" xfId="12196" xr:uid="{00000000-0005-0000-0000-000028680000}"/>
    <cellStyle name="40% - Accent6 4 3 3 2 3" xfId="17391" xr:uid="{00000000-0005-0000-0000-000029680000}"/>
    <cellStyle name="40% - Accent6 4 3 3 2 3 2" xfId="6008" xr:uid="{00000000-0005-0000-0000-00002A680000}"/>
    <cellStyle name="40% - Accent6 4 3 3 2 4" xfId="18574" xr:uid="{00000000-0005-0000-0000-00002B680000}"/>
    <cellStyle name="40% - Accent6 4 3 3 3" xfId="17383" xr:uid="{00000000-0005-0000-0000-00002C680000}"/>
    <cellStyle name="40% - Accent6 4 3 3 3 2" xfId="17379" xr:uid="{00000000-0005-0000-0000-00002D680000}"/>
    <cellStyle name="40% - Accent6 4 3 3 3 2 2" xfId="32036" xr:uid="{00000000-0005-0000-0000-00002E680000}"/>
    <cellStyle name="40% - Accent6 4 3 3 3 3" xfId="17368" xr:uid="{00000000-0005-0000-0000-00002F680000}"/>
    <cellStyle name="40% - Accent6 4 3 3 4" xfId="17361" xr:uid="{00000000-0005-0000-0000-000030680000}"/>
    <cellStyle name="40% - Accent6 4 3 3 4 2" xfId="17358" xr:uid="{00000000-0005-0000-0000-000031680000}"/>
    <cellStyle name="40% - Accent6 4 3 3 5" xfId="17349" xr:uid="{00000000-0005-0000-0000-000032680000}"/>
    <cellStyle name="40% - Accent6 4 3 4" xfId="17297" xr:uid="{00000000-0005-0000-0000-000033680000}"/>
    <cellStyle name="40% - Accent6 4 3 4 2" xfId="29005" xr:uid="{00000000-0005-0000-0000-000034680000}"/>
    <cellStyle name="40% - Accent6 4 3 4 2 2" xfId="23638" xr:uid="{00000000-0005-0000-0000-000035680000}"/>
    <cellStyle name="40% - Accent6 4 3 4 2 2 2" xfId="28362" xr:uid="{00000000-0005-0000-0000-000036680000}"/>
    <cellStyle name="40% - Accent6 4 3 4 2 3" xfId="30655" xr:uid="{00000000-0005-0000-0000-000037680000}"/>
    <cellStyle name="40% - Accent6 4 3 4 3" xfId="17328" xr:uid="{00000000-0005-0000-0000-000038680000}"/>
    <cellStyle name="40% - Accent6 4 3 4 3 2" xfId="17326" xr:uid="{00000000-0005-0000-0000-000039680000}"/>
    <cellStyle name="40% - Accent6 4 3 4 4" xfId="32871" xr:uid="{00000000-0005-0000-0000-00003A680000}"/>
    <cellStyle name="40% - Accent6 4 3 5" xfId="18049" xr:uid="{00000000-0005-0000-0000-00003B680000}"/>
    <cellStyle name="40% - Accent6 4 3 5 2" xfId="17310" xr:uid="{00000000-0005-0000-0000-00003C680000}"/>
    <cellStyle name="40% - Accent6 4 3 5 2 2" xfId="34112" xr:uid="{00000000-0005-0000-0000-00003D680000}"/>
    <cellStyle name="40% - Accent6 4 3 5 3" xfId="17308" xr:uid="{00000000-0005-0000-0000-00003E680000}"/>
    <cellStyle name="40% - Accent6 4 3 6" xfId="6007" xr:uid="{00000000-0005-0000-0000-00003F680000}"/>
    <cellStyle name="40% - Accent6 4 3 6 2" xfId="17304" xr:uid="{00000000-0005-0000-0000-000040680000}"/>
    <cellStyle name="40% - Accent6 4 3 7" xfId="24707" xr:uid="{00000000-0005-0000-0000-000041680000}"/>
    <cellStyle name="40% - Accent6 4 3 8" xfId="34795" xr:uid="{00000000-0005-0000-0000-000042680000}"/>
    <cellStyle name="40% - Accent6 4 4" xfId="15601" xr:uid="{00000000-0005-0000-0000-000043680000}"/>
    <cellStyle name="40% - Accent6 4 4 2" xfId="6006" xr:uid="{00000000-0005-0000-0000-000044680000}"/>
    <cellStyle name="40% - Accent6 4 4 2 2" xfId="6005" xr:uid="{00000000-0005-0000-0000-000045680000}"/>
    <cellStyle name="40% - Accent6 4 4 2 2 2" xfId="6003" xr:uid="{00000000-0005-0000-0000-000046680000}"/>
    <cellStyle name="40% - Accent6 4 4 2 2 2 2" xfId="7364" xr:uid="{00000000-0005-0000-0000-000047680000}"/>
    <cellStyle name="40% - Accent6 4 4 2 2 2 2 2" xfId="27007" xr:uid="{00000000-0005-0000-0000-000048680000}"/>
    <cellStyle name="40% - Accent6 4 4 2 2 2 3" xfId="6001" xr:uid="{00000000-0005-0000-0000-000049680000}"/>
    <cellStyle name="40% - Accent6 4 4 2 2 3" xfId="5999" xr:uid="{00000000-0005-0000-0000-00004A680000}"/>
    <cellStyle name="40% - Accent6 4 4 2 2 3 2" xfId="5996" xr:uid="{00000000-0005-0000-0000-00004B680000}"/>
    <cellStyle name="40% - Accent6 4 4 2 2 4" xfId="34210" xr:uid="{00000000-0005-0000-0000-00004C680000}"/>
    <cellStyle name="40% - Accent6 4 4 2 3" xfId="11364" xr:uid="{00000000-0005-0000-0000-00004D680000}"/>
    <cellStyle name="40% - Accent6 4 4 2 3 2" xfId="14377" xr:uid="{00000000-0005-0000-0000-00004E680000}"/>
    <cellStyle name="40% - Accent6 4 4 2 3 2 2" xfId="29233" xr:uid="{00000000-0005-0000-0000-00004F680000}"/>
    <cellStyle name="40% - Accent6 4 4 2 3 3" xfId="14374" xr:uid="{00000000-0005-0000-0000-000050680000}"/>
    <cellStyle name="40% - Accent6 4 4 2 4" xfId="12511" xr:uid="{00000000-0005-0000-0000-000051680000}"/>
    <cellStyle name="40% - Accent6 4 4 2 4 2" xfId="14353" xr:uid="{00000000-0005-0000-0000-000052680000}"/>
    <cellStyle name="40% - Accent6 4 4 2 5" xfId="11358" xr:uid="{00000000-0005-0000-0000-000053680000}"/>
    <cellStyle name="40% - Accent6 4 4 3" xfId="5994" xr:uid="{00000000-0005-0000-0000-000054680000}"/>
    <cellStyle name="40% - Accent6 4 4 3 2" xfId="17282" xr:uid="{00000000-0005-0000-0000-000055680000}"/>
    <cellStyle name="40% - Accent6 4 4 3 2 2" xfId="17278" xr:uid="{00000000-0005-0000-0000-000056680000}"/>
    <cellStyle name="40% - Accent6 4 4 3 2 2 2" xfId="5992" xr:uid="{00000000-0005-0000-0000-000057680000}"/>
    <cellStyle name="40% - Accent6 4 4 3 2 3" xfId="17270" xr:uid="{00000000-0005-0000-0000-000058680000}"/>
    <cellStyle name="40% - Accent6 4 4 3 3" xfId="17264" xr:uid="{00000000-0005-0000-0000-000059680000}"/>
    <cellStyle name="40% - Accent6 4 4 3 3 2" xfId="17259" xr:uid="{00000000-0005-0000-0000-00005A680000}"/>
    <cellStyle name="40% - Accent6 4 4 3 4" xfId="16716" xr:uid="{00000000-0005-0000-0000-00005B680000}"/>
    <cellStyle name="40% - Accent6 4 4 4" xfId="23694" xr:uid="{00000000-0005-0000-0000-00005C680000}"/>
    <cellStyle name="40% - Accent6 4 4 4 2" xfId="22596" xr:uid="{00000000-0005-0000-0000-00005D680000}"/>
    <cellStyle name="40% - Accent6 4 4 4 2 2" xfId="17240" xr:uid="{00000000-0005-0000-0000-00005E680000}"/>
    <cellStyle name="40% - Accent6 4 4 4 3" xfId="17234" xr:uid="{00000000-0005-0000-0000-00005F680000}"/>
    <cellStyle name="40% - Accent6 4 4 5" xfId="5990" xr:uid="{00000000-0005-0000-0000-000060680000}"/>
    <cellStyle name="40% - Accent6 4 4 5 2" xfId="32705" xr:uid="{00000000-0005-0000-0000-000061680000}"/>
    <cellStyle name="40% - Accent6 4 4 6" xfId="5989" xr:uid="{00000000-0005-0000-0000-000062680000}"/>
    <cellStyle name="40% - Accent6 4 4 7" xfId="34996" xr:uid="{00000000-0005-0000-0000-000063680000}"/>
    <cellStyle name="40% - Accent6 4 5" xfId="5988" xr:uid="{00000000-0005-0000-0000-000064680000}"/>
    <cellStyle name="40% - Accent6 4 5 2" xfId="5986" xr:uid="{00000000-0005-0000-0000-000065680000}"/>
    <cellStyle name="40% - Accent6 4 5 2 2" xfId="5985" xr:uid="{00000000-0005-0000-0000-000066680000}"/>
    <cellStyle name="40% - Accent6 4 5 2 2 2" xfId="5983" xr:uid="{00000000-0005-0000-0000-000067680000}"/>
    <cellStyle name="40% - Accent6 4 5 2 2 2 2" xfId="5981" xr:uid="{00000000-0005-0000-0000-000068680000}"/>
    <cellStyle name="40% - Accent6 4 5 2 2 3" xfId="5979" xr:uid="{00000000-0005-0000-0000-000069680000}"/>
    <cellStyle name="40% - Accent6 4 5 2 3" xfId="11336" xr:uid="{00000000-0005-0000-0000-00006A680000}"/>
    <cellStyle name="40% - Accent6 4 5 2 3 2" xfId="13969" xr:uid="{00000000-0005-0000-0000-00006B680000}"/>
    <cellStyle name="40% - Accent6 4 5 2 4" xfId="11330" xr:uid="{00000000-0005-0000-0000-00006C680000}"/>
    <cellStyle name="40% - Accent6 4 5 3" xfId="5976" xr:uid="{00000000-0005-0000-0000-00006D680000}"/>
    <cellStyle name="40% - Accent6 4 5 3 2" xfId="29201" xr:uid="{00000000-0005-0000-0000-00006E680000}"/>
    <cellStyle name="40% - Accent6 4 5 3 2 2" xfId="17204" xr:uid="{00000000-0005-0000-0000-00006F680000}"/>
    <cellStyle name="40% - Accent6 4 5 3 3" xfId="33529" xr:uid="{00000000-0005-0000-0000-000070680000}"/>
    <cellStyle name="40% - Accent6 4 5 4" xfId="13866" xr:uid="{00000000-0005-0000-0000-000071680000}"/>
    <cellStyle name="40% - Accent6 4 5 4 2" xfId="33760" xr:uid="{00000000-0005-0000-0000-000072680000}"/>
    <cellStyle name="40% - Accent6 4 5 5" xfId="13863" xr:uid="{00000000-0005-0000-0000-000073680000}"/>
    <cellStyle name="40% - Accent6 4 5 6" xfId="35201" xr:uid="{00000000-0005-0000-0000-000074680000}"/>
    <cellStyle name="40% - Accent6 4 6" xfId="6327" xr:uid="{00000000-0005-0000-0000-000075680000}"/>
    <cellStyle name="40% - Accent6 4 6 2" xfId="5974" xr:uid="{00000000-0005-0000-0000-000076680000}"/>
    <cellStyle name="40% - Accent6 4 6 2 2" xfId="19756" xr:uid="{00000000-0005-0000-0000-000077680000}"/>
    <cellStyle name="40% - Accent6 4 6 2 2 2" xfId="27639" xr:uid="{00000000-0005-0000-0000-000078680000}"/>
    <cellStyle name="40% - Accent6 4 6 2 3" xfId="19749" xr:uid="{00000000-0005-0000-0000-000079680000}"/>
    <cellStyle name="40% - Accent6 4 6 3" xfId="5972" xr:uid="{00000000-0005-0000-0000-00007A680000}"/>
    <cellStyle name="40% - Accent6 4 6 3 2" xfId="19739" xr:uid="{00000000-0005-0000-0000-00007B680000}"/>
    <cellStyle name="40% - Accent6 4 6 4" xfId="13857" xr:uid="{00000000-0005-0000-0000-00007C680000}"/>
    <cellStyle name="40% - Accent6 4 6 5" xfId="35430" xr:uid="{00000000-0005-0000-0000-00007D680000}"/>
    <cellStyle name="40% - Accent6 4 7" xfId="5970" xr:uid="{00000000-0005-0000-0000-00007E680000}"/>
    <cellStyle name="40% - Accent6 4 7 2" xfId="5969" xr:uid="{00000000-0005-0000-0000-00007F680000}"/>
    <cellStyle name="40% - Accent6 4 7 2 2" xfId="19731" xr:uid="{00000000-0005-0000-0000-000080680000}"/>
    <cellStyle name="40% - Accent6 4 7 3" xfId="5967" xr:uid="{00000000-0005-0000-0000-000081680000}"/>
    <cellStyle name="40% - Accent6 4 7 4" xfId="36302" xr:uid="{00000000-0005-0000-0000-000082680000}"/>
    <cellStyle name="40% - Accent6 4 8" xfId="5965" xr:uid="{00000000-0005-0000-0000-000083680000}"/>
    <cellStyle name="40% - Accent6 4 8 2" xfId="5964" xr:uid="{00000000-0005-0000-0000-000084680000}"/>
    <cellStyle name="40% - Accent6 4 8 3" xfId="36588" xr:uid="{00000000-0005-0000-0000-000085680000}"/>
    <cellStyle name="40% - Accent6 4 9" xfId="5962" xr:uid="{00000000-0005-0000-0000-000086680000}"/>
    <cellStyle name="40% - Accent6 4 9 2" xfId="37473" xr:uid="{00000000-0005-0000-0000-000087680000}"/>
    <cellStyle name="40% - Accent6 40" xfId="36108" xr:uid="{00000000-0005-0000-0000-000088680000}"/>
    <cellStyle name="40% - Accent6 40 2" xfId="37277" xr:uid="{00000000-0005-0000-0000-000089680000}"/>
    <cellStyle name="40% - Accent6 40 3" xfId="38175" xr:uid="{00000000-0005-0000-0000-00008A680000}"/>
    <cellStyle name="40% - Accent6 41" xfId="36128" xr:uid="{00000000-0005-0000-0000-00008B680000}"/>
    <cellStyle name="40% - Accent6 41 2" xfId="37297" xr:uid="{00000000-0005-0000-0000-00008C680000}"/>
    <cellStyle name="40% - Accent6 41 3" xfId="38195" xr:uid="{00000000-0005-0000-0000-00008D680000}"/>
    <cellStyle name="40% - Accent6 42" xfId="36148" xr:uid="{00000000-0005-0000-0000-00008E680000}"/>
    <cellStyle name="40% - Accent6 42 2" xfId="37317" xr:uid="{00000000-0005-0000-0000-00008F680000}"/>
    <cellStyle name="40% - Accent6 42 3" xfId="38215" xr:uid="{00000000-0005-0000-0000-000090680000}"/>
    <cellStyle name="40% - Accent6 43" xfId="36168" xr:uid="{00000000-0005-0000-0000-000091680000}"/>
    <cellStyle name="40% - Accent6 43 2" xfId="37337" xr:uid="{00000000-0005-0000-0000-000092680000}"/>
    <cellStyle name="40% - Accent6 43 3" xfId="38235" xr:uid="{00000000-0005-0000-0000-000093680000}"/>
    <cellStyle name="40% - Accent6 44" xfId="36188" xr:uid="{00000000-0005-0000-0000-000094680000}"/>
    <cellStyle name="40% - Accent6 44 2" xfId="37357" xr:uid="{00000000-0005-0000-0000-000095680000}"/>
    <cellStyle name="40% - Accent6 44 3" xfId="38255" xr:uid="{00000000-0005-0000-0000-000096680000}"/>
    <cellStyle name="40% - Accent6 45" xfId="36208" xr:uid="{00000000-0005-0000-0000-000097680000}"/>
    <cellStyle name="40% - Accent6 45 2" xfId="37377" xr:uid="{00000000-0005-0000-0000-000098680000}"/>
    <cellStyle name="40% - Accent6 45 3" xfId="38275" xr:uid="{00000000-0005-0000-0000-000099680000}"/>
    <cellStyle name="40% - Accent6 46" xfId="36228" xr:uid="{00000000-0005-0000-0000-00009A680000}"/>
    <cellStyle name="40% - Accent6 46 2" xfId="37395" xr:uid="{00000000-0005-0000-0000-00009B680000}"/>
    <cellStyle name="40% - Accent6 46 3" xfId="38295" xr:uid="{00000000-0005-0000-0000-00009C680000}"/>
    <cellStyle name="40% - Accent6 47" xfId="36529" xr:uid="{00000000-0005-0000-0000-00009D680000}"/>
    <cellStyle name="40% - Accent6 48" xfId="37414" xr:uid="{00000000-0005-0000-0000-00009E680000}"/>
    <cellStyle name="40% - Accent6 5" xfId="276" xr:uid="{00000000-0005-0000-0000-00009F680000}"/>
    <cellStyle name="40% - Accent6 5 10" xfId="7599" xr:uid="{00000000-0005-0000-0000-0000A0680000}"/>
    <cellStyle name="40% - Accent6 5 2" xfId="7900" xr:uid="{00000000-0005-0000-0000-0000A1680000}"/>
    <cellStyle name="40% - Accent6 5 2 2" xfId="7898" xr:uid="{00000000-0005-0000-0000-0000A2680000}"/>
    <cellStyle name="40% - Accent6 5 2 2 2" xfId="19548" xr:uid="{00000000-0005-0000-0000-0000A3680000}"/>
    <cellStyle name="40% - Accent6 5 2 2 2 2" xfId="8621" xr:uid="{00000000-0005-0000-0000-0000A4680000}"/>
    <cellStyle name="40% - Accent6 5 2 2 2 2 2" xfId="16995" xr:uid="{00000000-0005-0000-0000-0000A5680000}"/>
    <cellStyle name="40% - Accent6 5 2 2 2 2 2 2" xfId="32762" xr:uid="{00000000-0005-0000-0000-0000A6680000}"/>
    <cellStyle name="40% - Accent6 5 2 2 2 2 2 2 2" xfId="5960" xr:uid="{00000000-0005-0000-0000-0000A7680000}"/>
    <cellStyle name="40% - Accent6 5 2 2 2 2 2 3" xfId="33777" xr:uid="{00000000-0005-0000-0000-0000A8680000}"/>
    <cellStyle name="40% - Accent6 5 2 2 2 2 3" xfId="16987" xr:uid="{00000000-0005-0000-0000-0000A9680000}"/>
    <cellStyle name="40% - Accent6 5 2 2 2 2 3 2" xfId="33160" xr:uid="{00000000-0005-0000-0000-0000AA680000}"/>
    <cellStyle name="40% - Accent6 5 2 2 2 2 4" xfId="16983" xr:uid="{00000000-0005-0000-0000-0000AB680000}"/>
    <cellStyle name="40% - Accent6 5 2 2 2 3" xfId="8616" xr:uid="{00000000-0005-0000-0000-0000AC680000}"/>
    <cellStyle name="40% - Accent6 5 2 2 2 3 2" xfId="16981" xr:uid="{00000000-0005-0000-0000-0000AD680000}"/>
    <cellStyle name="40% - Accent6 5 2 2 2 3 2 2" xfId="31010" xr:uid="{00000000-0005-0000-0000-0000AE680000}"/>
    <cellStyle name="40% - Accent6 5 2 2 2 3 3" xfId="16979" xr:uid="{00000000-0005-0000-0000-0000AF680000}"/>
    <cellStyle name="40% - Accent6 5 2 2 2 4" xfId="19097" xr:uid="{00000000-0005-0000-0000-0000B0680000}"/>
    <cellStyle name="40% - Accent6 5 2 2 2 4 2" xfId="23578" xr:uid="{00000000-0005-0000-0000-0000B1680000}"/>
    <cellStyle name="40% - Accent6 5 2 2 2 5" xfId="19089" xr:uid="{00000000-0005-0000-0000-0000B2680000}"/>
    <cellStyle name="40% - Accent6 5 2 2 3" xfId="19722" xr:uid="{00000000-0005-0000-0000-0000B3680000}"/>
    <cellStyle name="40% - Accent6 5 2 2 3 2" xfId="8603" xr:uid="{00000000-0005-0000-0000-0000B4680000}"/>
    <cellStyle name="40% - Accent6 5 2 2 3 2 2" xfId="34026" xr:uid="{00000000-0005-0000-0000-0000B5680000}"/>
    <cellStyle name="40% - Accent6 5 2 2 3 2 2 2" xfId="29861" xr:uid="{00000000-0005-0000-0000-0000B6680000}"/>
    <cellStyle name="40% - Accent6 5 2 2 3 2 3" xfId="29263" xr:uid="{00000000-0005-0000-0000-0000B7680000}"/>
    <cellStyle name="40% - Accent6 5 2 2 3 3" xfId="16876" xr:uid="{00000000-0005-0000-0000-0000B8680000}"/>
    <cellStyle name="40% - Accent6 5 2 2 3 3 2" xfId="29356" xr:uid="{00000000-0005-0000-0000-0000B9680000}"/>
    <cellStyle name="40% - Accent6 5 2 2 3 4" xfId="17242" xr:uid="{00000000-0005-0000-0000-0000BA680000}"/>
    <cellStyle name="40% - Accent6 5 2 2 4" xfId="11251" xr:uid="{00000000-0005-0000-0000-0000BB680000}"/>
    <cellStyle name="40% - Accent6 5 2 2 4 2" xfId="16845" xr:uid="{00000000-0005-0000-0000-0000BC680000}"/>
    <cellStyle name="40% - Accent6 5 2 2 4 2 2" xfId="30430" xr:uid="{00000000-0005-0000-0000-0000BD680000}"/>
    <cellStyle name="40% - Accent6 5 2 2 4 3" xfId="16843" xr:uid="{00000000-0005-0000-0000-0000BE680000}"/>
    <cellStyle name="40% - Accent6 5 2 2 5" xfId="33621" xr:uid="{00000000-0005-0000-0000-0000BF680000}"/>
    <cellStyle name="40% - Accent6 5 2 2 5 2" xfId="29217" xr:uid="{00000000-0005-0000-0000-0000C0680000}"/>
    <cellStyle name="40% - Accent6 5 2 2 6" xfId="11247" xr:uid="{00000000-0005-0000-0000-0000C1680000}"/>
    <cellStyle name="40% - Accent6 5 2 3" xfId="24584" xr:uid="{00000000-0005-0000-0000-0000C2680000}"/>
    <cellStyle name="40% - Accent6 5 2 3 2" xfId="19491" xr:uid="{00000000-0005-0000-0000-0000C3680000}"/>
    <cellStyle name="40% - Accent6 5 2 3 2 2" xfId="18451" xr:uid="{00000000-0005-0000-0000-0000C4680000}"/>
    <cellStyle name="40% - Accent6 5 2 3 2 2 2" xfId="16290" xr:uid="{00000000-0005-0000-0000-0000C5680000}"/>
    <cellStyle name="40% - Accent6 5 2 3 2 2 2 2" xfId="28330" xr:uid="{00000000-0005-0000-0000-0000C6680000}"/>
    <cellStyle name="40% - Accent6 5 2 3 2 2 3" xfId="16282" xr:uid="{00000000-0005-0000-0000-0000C7680000}"/>
    <cellStyle name="40% - Accent6 5 2 3 2 3" xfId="16280" xr:uid="{00000000-0005-0000-0000-0000C8680000}"/>
    <cellStyle name="40% - Accent6 5 2 3 2 3 2" xfId="29205" xr:uid="{00000000-0005-0000-0000-0000C9680000}"/>
    <cellStyle name="40% - Accent6 5 2 3 2 4" xfId="19055" xr:uid="{00000000-0005-0000-0000-0000CA680000}"/>
    <cellStyle name="40% - Accent6 5 2 3 3" xfId="11238" xr:uid="{00000000-0005-0000-0000-0000CB680000}"/>
    <cellStyle name="40% - Accent6 5 2 3 3 2" xfId="16232" xr:uid="{00000000-0005-0000-0000-0000CC680000}"/>
    <cellStyle name="40% - Accent6 5 2 3 3 2 2" xfId="32296" xr:uid="{00000000-0005-0000-0000-0000CD680000}"/>
    <cellStyle name="40% - Accent6 5 2 3 3 3" xfId="16228" xr:uid="{00000000-0005-0000-0000-0000CE680000}"/>
    <cellStyle name="40% - Accent6 5 2 3 4" xfId="11225" xr:uid="{00000000-0005-0000-0000-0000CF680000}"/>
    <cellStyle name="40% - Accent6 5 2 3 4 2" xfId="16211" xr:uid="{00000000-0005-0000-0000-0000D0680000}"/>
    <cellStyle name="40% - Accent6 5 2 3 5" xfId="11217" xr:uid="{00000000-0005-0000-0000-0000D1680000}"/>
    <cellStyle name="40% - Accent6 5 2 4" xfId="17288" xr:uid="{00000000-0005-0000-0000-0000D2680000}"/>
    <cellStyle name="40% - Accent6 5 2 4 2" xfId="27373" xr:uid="{00000000-0005-0000-0000-0000D3680000}"/>
    <cellStyle name="40% - Accent6 5 2 4 2 2" xfId="15927" xr:uid="{00000000-0005-0000-0000-0000D4680000}"/>
    <cellStyle name="40% - Accent6 5 2 4 2 2 2" xfId="15924" xr:uid="{00000000-0005-0000-0000-0000D5680000}"/>
    <cellStyle name="40% - Accent6 5 2 4 2 3" xfId="30541" xr:uid="{00000000-0005-0000-0000-0000D6680000}"/>
    <cellStyle name="40% - Accent6 5 2 4 3" xfId="11209" xr:uid="{00000000-0005-0000-0000-0000D7680000}"/>
    <cellStyle name="40% - Accent6 5 2 4 3 2" xfId="15894" xr:uid="{00000000-0005-0000-0000-0000D8680000}"/>
    <cellStyle name="40% - Accent6 5 2 4 4" xfId="33576" xr:uid="{00000000-0005-0000-0000-0000D9680000}"/>
    <cellStyle name="40% - Accent6 5 2 5" xfId="30467" xr:uid="{00000000-0005-0000-0000-0000DA680000}"/>
    <cellStyle name="40% - Accent6 5 2 5 2" xfId="23200" xr:uid="{00000000-0005-0000-0000-0000DB680000}"/>
    <cellStyle name="40% - Accent6 5 2 5 2 2" xfId="15775" xr:uid="{00000000-0005-0000-0000-0000DC680000}"/>
    <cellStyle name="40% - Accent6 5 2 5 3" xfId="11202" xr:uid="{00000000-0005-0000-0000-0000DD680000}"/>
    <cellStyle name="40% - Accent6 5 2 6" xfId="5959" xr:uid="{00000000-0005-0000-0000-0000DE680000}"/>
    <cellStyle name="40% - Accent6 5 2 6 2" xfId="6186" xr:uid="{00000000-0005-0000-0000-0000DF680000}"/>
    <cellStyle name="40% - Accent6 5 2 7" xfId="23268" xr:uid="{00000000-0005-0000-0000-0000E0680000}"/>
    <cellStyle name="40% - Accent6 5 2 8" xfId="34813" xr:uid="{00000000-0005-0000-0000-0000E1680000}"/>
    <cellStyle name="40% - Accent6 5 3" xfId="7896" xr:uid="{00000000-0005-0000-0000-0000E2680000}"/>
    <cellStyle name="40% - Accent6 5 3 2" xfId="5958" xr:uid="{00000000-0005-0000-0000-0000E3680000}"/>
    <cellStyle name="40% - Accent6 5 3 2 2" xfId="19262" xr:uid="{00000000-0005-0000-0000-0000E4680000}"/>
    <cellStyle name="40% - Accent6 5 3 2 2 2" xfId="24749" xr:uid="{00000000-0005-0000-0000-0000E5680000}"/>
    <cellStyle name="40% - Accent6 5 3 2 2 2 2" xfId="14845" xr:uid="{00000000-0005-0000-0000-0000E6680000}"/>
    <cellStyle name="40% - Accent6 5 3 2 2 2 2 2" xfId="20898" xr:uid="{00000000-0005-0000-0000-0000E7680000}"/>
    <cellStyle name="40% - Accent6 5 3 2 2 2 3" xfId="14839" xr:uid="{00000000-0005-0000-0000-0000E8680000}"/>
    <cellStyle name="40% - Accent6 5 3 2 2 3" xfId="14832" xr:uid="{00000000-0005-0000-0000-0000E9680000}"/>
    <cellStyle name="40% - Accent6 5 3 2 2 3 2" xfId="14829" xr:uid="{00000000-0005-0000-0000-0000EA680000}"/>
    <cellStyle name="40% - Accent6 5 3 2 2 4" xfId="18537" xr:uid="{00000000-0005-0000-0000-0000EB680000}"/>
    <cellStyle name="40% - Accent6 5 3 2 3" xfId="11191" xr:uid="{00000000-0005-0000-0000-0000EC680000}"/>
    <cellStyle name="40% - Accent6 5 3 2 3 2" xfId="14729" xr:uid="{00000000-0005-0000-0000-0000ED680000}"/>
    <cellStyle name="40% - Accent6 5 3 2 3 2 2" xfId="34343" xr:uid="{00000000-0005-0000-0000-0000EE680000}"/>
    <cellStyle name="40% - Accent6 5 3 2 3 3" xfId="14721" xr:uid="{00000000-0005-0000-0000-0000EF680000}"/>
    <cellStyle name="40% - Accent6 5 3 2 4" xfId="11181" xr:uid="{00000000-0005-0000-0000-0000F0680000}"/>
    <cellStyle name="40% - Accent6 5 3 2 4 2" xfId="14683" xr:uid="{00000000-0005-0000-0000-0000F1680000}"/>
    <cellStyle name="40% - Accent6 5 3 2 5" xfId="17076" xr:uid="{00000000-0005-0000-0000-0000F2680000}"/>
    <cellStyle name="40% - Accent6 5 3 3" xfId="5957" xr:uid="{00000000-0005-0000-0000-0000F3680000}"/>
    <cellStyle name="40% - Accent6 5 3 3 2" xfId="17157" xr:uid="{00000000-0005-0000-0000-0000F4680000}"/>
    <cellStyle name="40% - Accent6 5 3 3 2 2" xfId="17151" xr:uid="{00000000-0005-0000-0000-0000F5680000}"/>
    <cellStyle name="40% - Accent6 5 3 3 2 2 2" xfId="14332" xr:uid="{00000000-0005-0000-0000-0000F6680000}"/>
    <cellStyle name="40% - Accent6 5 3 3 2 3" xfId="17144" xr:uid="{00000000-0005-0000-0000-0000F7680000}"/>
    <cellStyle name="40% - Accent6 5 3 3 3" xfId="17138" xr:uid="{00000000-0005-0000-0000-0000F8680000}"/>
    <cellStyle name="40% - Accent6 5 3 3 3 2" xfId="17134" xr:uid="{00000000-0005-0000-0000-0000F9680000}"/>
    <cellStyle name="40% - Accent6 5 3 3 4" xfId="17122" xr:uid="{00000000-0005-0000-0000-0000FA680000}"/>
    <cellStyle name="40% - Accent6 5 3 4" xfId="30462" xr:uid="{00000000-0005-0000-0000-0000FB680000}"/>
    <cellStyle name="40% - Accent6 5 3 4 2" xfId="17103" xr:uid="{00000000-0005-0000-0000-0000FC680000}"/>
    <cellStyle name="40% - Accent6 5 3 4 2 2" xfId="17099" xr:uid="{00000000-0005-0000-0000-0000FD680000}"/>
    <cellStyle name="40% - Accent6 5 3 4 3" xfId="17092" xr:uid="{00000000-0005-0000-0000-0000FE680000}"/>
    <cellStyle name="40% - Accent6 5 3 5" xfId="5955" xr:uid="{00000000-0005-0000-0000-0000FF680000}"/>
    <cellStyle name="40% - Accent6 5 3 5 2" xfId="17082" xr:uid="{00000000-0005-0000-0000-000000690000}"/>
    <cellStyle name="40% - Accent6 5 3 6" xfId="5954" xr:uid="{00000000-0005-0000-0000-000001690000}"/>
    <cellStyle name="40% - Accent6 5 3 7" xfId="35015" xr:uid="{00000000-0005-0000-0000-000002690000}"/>
    <cellStyle name="40% - Accent6 5 4" xfId="5953" xr:uid="{00000000-0005-0000-0000-000003690000}"/>
    <cellStyle name="40% - Accent6 5 4 2" xfId="7830" xr:uid="{00000000-0005-0000-0000-000004690000}"/>
    <cellStyle name="40% - Accent6 5 4 2 2" xfId="5952" xr:uid="{00000000-0005-0000-0000-000005690000}"/>
    <cellStyle name="40% - Accent6 5 4 2 2 2" xfId="12822" xr:uid="{00000000-0005-0000-0000-000006690000}"/>
    <cellStyle name="40% - Accent6 5 4 2 2 2 2" xfId="18848" xr:uid="{00000000-0005-0000-0000-000007690000}"/>
    <cellStyle name="40% - Accent6 5 4 2 2 3" xfId="12818" xr:uid="{00000000-0005-0000-0000-000008690000}"/>
    <cellStyle name="40% - Accent6 5 4 2 3" xfId="11162" xr:uid="{00000000-0005-0000-0000-000009690000}"/>
    <cellStyle name="40% - Accent6 5 4 2 3 2" xfId="12763" xr:uid="{00000000-0005-0000-0000-00000A690000}"/>
    <cellStyle name="40% - Accent6 5 4 2 4" xfId="11156" xr:uid="{00000000-0005-0000-0000-00000B690000}"/>
    <cellStyle name="40% - Accent6 5 4 3" xfId="7827" xr:uid="{00000000-0005-0000-0000-00000C690000}"/>
    <cellStyle name="40% - Accent6 5 4 3 2" xfId="17056" xr:uid="{00000000-0005-0000-0000-00000D690000}"/>
    <cellStyle name="40% - Accent6 5 4 3 2 2" xfId="17050" xr:uid="{00000000-0005-0000-0000-00000E690000}"/>
    <cellStyle name="40% - Accent6 5 4 3 3" xfId="17042" xr:uid="{00000000-0005-0000-0000-00000F690000}"/>
    <cellStyle name="40% - Accent6 5 4 4" xfId="5950" xr:uid="{00000000-0005-0000-0000-000010690000}"/>
    <cellStyle name="40% - Accent6 5 4 4 2" xfId="17033" xr:uid="{00000000-0005-0000-0000-000011690000}"/>
    <cellStyle name="40% - Accent6 5 4 5" xfId="5949" xr:uid="{00000000-0005-0000-0000-000012690000}"/>
    <cellStyle name="40% - Accent6 5 4 6" xfId="35221" xr:uid="{00000000-0005-0000-0000-000013690000}"/>
    <cellStyle name="40% - Accent6 5 5" xfId="5948" xr:uid="{00000000-0005-0000-0000-000014690000}"/>
    <cellStyle name="40% - Accent6 5 5 2" xfId="7823" xr:uid="{00000000-0005-0000-0000-000015690000}"/>
    <cellStyle name="40% - Accent6 5 5 2 2" xfId="5947" xr:uid="{00000000-0005-0000-0000-000016690000}"/>
    <cellStyle name="40% - Accent6 5 5 2 2 2" xfId="10408" xr:uid="{00000000-0005-0000-0000-000017690000}"/>
    <cellStyle name="40% - Accent6 5 5 2 3" xfId="11143" xr:uid="{00000000-0005-0000-0000-000018690000}"/>
    <cellStyle name="40% - Accent6 5 5 3" xfId="5945" xr:uid="{00000000-0005-0000-0000-000019690000}"/>
    <cellStyle name="40% - Accent6 5 5 3 2" xfId="29151" xr:uid="{00000000-0005-0000-0000-00001A690000}"/>
    <cellStyle name="40% - Accent6 5 5 4" xfId="13848" xr:uid="{00000000-0005-0000-0000-00001B690000}"/>
    <cellStyle name="40% - Accent6 5 5 5" xfId="35450" xr:uid="{00000000-0005-0000-0000-00001C690000}"/>
    <cellStyle name="40% - Accent6 5 6" xfId="31150" xr:uid="{00000000-0005-0000-0000-00001D690000}"/>
    <cellStyle name="40% - Accent6 5 6 2" xfId="5944" xr:uid="{00000000-0005-0000-0000-00001E690000}"/>
    <cellStyle name="40% - Accent6 5 6 2 2" xfId="19710" xr:uid="{00000000-0005-0000-0000-00001F690000}"/>
    <cellStyle name="40% - Accent6 5 6 3" xfId="5943" xr:uid="{00000000-0005-0000-0000-000020690000}"/>
    <cellStyle name="40% - Accent6 5 6 4" xfId="36322" xr:uid="{00000000-0005-0000-0000-000021690000}"/>
    <cellStyle name="40% - Accent6 5 7" xfId="5942" xr:uid="{00000000-0005-0000-0000-000022690000}"/>
    <cellStyle name="40% - Accent6 5 7 2" xfId="5941" xr:uid="{00000000-0005-0000-0000-000023690000}"/>
    <cellStyle name="40% - Accent6 5 7 3" xfId="36608" xr:uid="{00000000-0005-0000-0000-000024690000}"/>
    <cellStyle name="40% - Accent6 5 8" xfId="8756" xr:uid="{00000000-0005-0000-0000-000025690000}"/>
    <cellStyle name="40% - Accent6 5 8 2" xfId="37493" xr:uid="{00000000-0005-0000-0000-000026690000}"/>
    <cellStyle name="40% - Accent6 5 9" xfId="34588" xr:uid="{00000000-0005-0000-0000-000027690000}"/>
    <cellStyle name="40% - Accent6 6" xfId="296" xr:uid="{00000000-0005-0000-0000-000028690000}"/>
    <cellStyle name="40% - Accent6 6 2" xfId="12219" xr:uid="{00000000-0005-0000-0000-000029690000}"/>
    <cellStyle name="40% - Accent6 6 2 2" xfId="5935" xr:uid="{00000000-0005-0000-0000-00002A690000}"/>
    <cellStyle name="40% - Accent6 6 2 2 2" xfId="12214" xr:uid="{00000000-0005-0000-0000-00002B690000}"/>
    <cellStyle name="40% - Accent6 6 2 2 2 2" xfId="8273" xr:uid="{00000000-0005-0000-0000-00002C690000}"/>
    <cellStyle name="40% - Accent6 6 2 2 2 2 2" xfId="8177" xr:uid="{00000000-0005-0000-0000-00002D690000}"/>
    <cellStyle name="40% - Accent6 6 2 2 2 2 2 2" xfId="16467" xr:uid="{00000000-0005-0000-0000-00002E690000}"/>
    <cellStyle name="40% - Accent6 6 2 2 2 2 3" xfId="5933" xr:uid="{00000000-0005-0000-0000-00002F690000}"/>
    <cellStyle name="40% - Accent6 6 2 2 2 3" xfId="5931" xr:uid="{00000000-0005-0000-0000-000030690000}"/>
    <cellStyle name="40% - Accent6 6 2 2 2 3 2" xfId="5928" xr:uid="{00000000-0005-0000-0000-000031690000}"/>
    <cellStyle name="40% - Accent6 6 2 2 2 4" xfId="5926" xr:uid="{00000000-0005-0000-0000-000032690000}"/>
    <cellStyle name="40% - Accent6 6 2 2 3" xfId="11099" xr:uid="{00000000-0005-0000-0000-000033690000}"/>
    <cellStyle name="40% - Accent6 6 2 2 3 2" xfId="9389" xr:uid="{00000000-0005-0000-0000-000034690000}"/>
    <cellStyle name="40% - Accent6 6 2 2 3 2 2" xfId="32926" xr:uid="{00000000-0005-0000-0000-000035690000}"/>
    <cellStyle name="40% - Accent6 6 2 2 3 3" xfId="6301" xr:uid="{00000000-0005-0000-0000-000036690000}"/>
    <cellStyle name="40% - Accent6 6 2 2 4" xfId="11087" xr:uid="{00000000-0005-0000-0000-000037690000}"/>
    <cellStyle name="40% - Accent6 6 2 2 4 2" xfId="6295" xr:uid="{00000000-0005-0000-0000-000038690000}"/>
    <cellStyle name="40% - Accent6 6 2 2 5" xfId="12185" xr:uid="{00000000-0005-0000-0000-000039690000}"/>
    <cellStyle name="40% - Accent6 6 2 3" xfId="12180" xr:uid="{00000000-0005-0000-0000-00003A690000}"/>
    <cellStyle name="40% - Accent6 6 2 3 2" xfId="5923" xr:uid="{00000000-0005-0000-0000-00003B690000}"/>
    <cellStyle name="40% - Accent6 6 2 3 2 2" xfId="5920" xr:uid="{00000000-0005-0000-0000-00003C690000}"/>
    <cellStyle name="40% - Accent6 6 2 3 2 2 2" xfId="5917" xr:uid="{00000000-0005-0000-0000-00003D690000}"/>
    <cellStyle name="40% - Accent6 6 2 3 2 3" xfId="5915" xr:uid="{00000000-0005-0000-0000-00003E690000}"/>
    <cellStyle name="40% - Accent6 6 2 3 3" xfId="11079" xr:uid="{00000000-0005-0000-0000-00003F690000}"/>
    <cellStyle name="40% - Accent6 6 2 3 3 2" xfId="6286" xr:uid="{00000000-0005-0000-0000-000040690000}"/>
    <cellStyle name="40% - Accent6 6 2 3 4" xfId="11074" xr:uid="{00000000-0005-0000-0000-000041690000}"/>
    <cellStyle name="40% - Accent6 6 2 4" xfId="20116" xr:uid="{00000000-0005-0000-0000-000042690000}"/>
    <cellStyle name="40% - Accent6 6 2 4 2" xfId="5911" xr:uid="{00000000-0005-0000-0000-000043690000}"/>
    <cellStyle name="40% - Accent6 6 2 4 2 2" xfId="5909" xr:uid="{00000000-0005-0000-0000-000044690000}"/>
    <cellStyle name="40% - Accent6 6 2 4 3" xfId="11066" xr:uid="{00000000-0005-0000-0000-000045690000}"/>
    <cellStyle name="40% - Accent6 6 2 5" xfId="5906" xr:uid="{00000000-0005-0000-0000-000046690000}"/>
    <cellStyle name="40% - Accent6 6 2 5 2" xfId="6165" xr:uid="{00000000-0005-0000-0000-000047690000}"/>
    <cellStyle name="40% - Accent6 6 2 6" xfId="5904" xr:uid="{00000000-0005-0000-0000-000048690000}"/>
    <cellStyle name="40% - Accent6 6 2 7" xfId="34832" xr:uid="{00000000-0005-0000-0000-000049690000}"/>
    <cellStyle name="40% - Accent6 6 3" xfId="21639" xr:uid="{00000000-0005-0000-0000-00004A690000}"/>
    <cellStyle name="40% - Accent6 6 3 2" xfId="5902" xr:uid="{00000000-0005-0000-0000-00004B690000}"/>
    <cellStyle name="40% - Accent6 6 3 2 2" xfId="12161" xr:uid="{00000000-0005-0000-0000-00004C690000}"/>
    <cellStyle name="40% - Accent6 6 3 2 2 2" xfId="5899" xr:uid="{00000000-0005-0000-0000-00004D690000}"/>
    <cellStyle name="40% - Accent6 6 3 2 2 2 2" xfId="6508" xr:uid="{00000000-0005-0000-0000-00004E690000}"/>
    <cellStyle name="40% - Accent6 6 3 2 2 3" xfId="5896" xr:uid="{00000000-0005-0000-0000-00004F690000}"/>
    <cellStyle name="40% - Accent6 6 3 2 3" xfId="11055" xr:uid="{00000000-0005-0000-0000-000050690000}"/>
    <cellStyle name="40% - Accent6 6 3 2 3 2" xfId="10518" xr:uid="{00000000-0005-0000-0000-000051690000}"/>
    <cellStyle name="40% - Accent6 6 3 2 4" xfId="11049" xr:uid="{00000000-0005-0000-0000-000052690000}"/>
    <cellStyle name="40% - Accent6 6 3 3" xfId="12142" xr:uid="{00000000-0005-0000-0000-000053690000}"/>
    <cellStyle name="40% - Accent6 6 3 3 2" xfId="12140" xr:uid="{00000000-0005-0000-0000-000054690000}"/>
    <cellStyle name="40% - Accent6 6 3 3 2 2" xfId="12138" xr:uid="{00000000-0005-0000-0000-000055690000}"/>
    <cellStyle name="40% - Accent6 6 3 3 3" xfId="12135" xr:uid="{00000000-0005-0000-0000-000056690000}"/>
    <cellStyle name="40% - Accent6 6 3 4" xfId="5893" xr:uid="{00000000-0005-0000-0000-000057690000}"/>
    <cellStyle name="40% - Accent6 6 3 4 2" xfId="12131" xr:uid="{00000000-0005-0000-0000-000058690000}"/>
    <cellStyle name="40% - Accent6 6 3 5" xfId="5891" xr:uid="{00000000-0005-0000-0000-000059690000}"/>
    <cellStyle name="40% - Accent6 6 3 6" xfId="35034" xr:uid="{00000000-0005-0000-0000-00005A690000}"/>
    <cellStyle name="40% - Accent6 6 4" xfId="5889" xr:uid="{00000000-0005-0000-0000-00005B690000}"/>
    <cellStyle name="40% - Accent6 6 4 2" xfId="7820" xr:uid="{00000000-0005-0000-0000-00005C690000}"/>
    <cellStyle name="40% - Accent6 6 4 2 2" xfId="6792" xr:uid="{00000000-0005-0000-0000-00005D690000}"/>
    <cellStyle name="40% - Accent6 6 4 2 2 2" xfId="5887" xr:uid="{00000000-0005-0000-0000-00005E690000}"/>
    <cellStyle name="40% - Accent6 6 4 2 3" xfId="11034" xr:uid="{00000000-0005-0000-0000-00005F690000}"/>
    <cellStyle name="40% - Accent6 6 4 3" xfId="5883" xr:uid="{00000000-0005-0000-0000-000060690000}"/>
    <cellStyle name="40% - Accent6 6 4 3 2" xfId="12119" xr:uid="{00000000-0005-0000-0000-000061690000}"/>
    <cellStyle name="40% - Accent6 6 4 4" xfId="8631" xr:uid="{00000000-0005-0000-0000-000062690000}"/>
    <cellStyle name="40% - Accent6 6 4 5" xfId="35240" xr:uid="{00000000-0005-0000-0000-000063690000}"/>
    <cellStyle name="40% - Accent6 6 5" xfId="5881" xr:uid="{00000000-0005-0000-0000-000064690000}"/>
    <cellStyle name="40% - Accent6 6 5 2" xfId="5879" xr:uid="{00000000-0005-0000-0000-000065690000}"/>
    <cellStyle name="40% - Accent6 6 5 2 2" xfId="6781" xr:uid="{00000000-0005-0000-0000-000066690000}"/>
    <cellStyle name="40% - Accent6 6 5 3" xfId="5877" xr:uid="{00000000-0005-0000-0000-000067690000}"/>
    <cellStyle name="40% - Accent6 6 5 4" xfId="35469" xr:uid="{00000000-0005-0000-0000-000068690000}"/>
    <cellStyle name="40% - Accent6 6 6" xfId="5875" xr:uid="{00000000-0005-0000-0000-000069690000}"/>
    <cellStyle name="40% - Accent6 6 6 2" xfId="5873" xr:uid="{00000000-0005-0000-0000-00006A690000}"/>
    <cellStyle name="40% - Accent6 6 6 3" xfId="36341" xr:uid="{00000000-0005-0000-0000-00006B690000}"/>
    <cellStyle name="40% - Accent6 6 7" xfId="5870" xr:uid="{00000000-0005-0000-0000-00006C690000}"/>
    <cellStyle name="40% - Accent6 6 7 2" xfId="36627" xr:uid="{00000000-0005-0000-0000-00006D690000}"/>
    <cellStyle name="40% - Accent6 6 8" xfId="34602" xr:uid="{00000000-0005-0000-0000-00006E690000}"/>
    <cellStyle name="40% - Accent6 6 9" xfId="5938" xr:uid="{00000000-0005-0000-0000-00006F690000}"/>
    <cellStyle name="40% - Accent6 7" xfId="316" xr:uid="{00000000-0005-0000-0000-000070690000}"/>
    <cellStyle name="40% - Accent6 7 2" xfId="12095" xr:uid="{00000000-0005-0000-0000-000071690000}"/>
    <cellStyle name="40% - Accent6 7 2 2" xfId="12092" xr:uid="{00000000-0005-0000-0000-000072690000}"/>
    <cellStyle name="40% - Accent6 7 2 2 2" xfId="5868" xr:uid="{00000000-0005-0000-0000-000073690000}"/>
    <cellStyle name="40% - Accent6 7 2 2 2 2" xfId="12089" xr:uid="{00000000-0005-0000-0000-000074690000}"/>
    <cellStyle name="40% - Accent6 7 2 2 2 2 2" xfId="5866" xr:uid="{00000000-0005-0000-0000-000075690000}"/>
    <cellStyle name="40% - Accent6 7 2 2 2 3" xfId="28143" xr:uid="{00000000-0005-0000-0000-000076690000}"/>
    <cellStyle name="40% - Accent6 7 2 2 3" xfId="11005" xr:uid="{00000000-0005-0000-0000-000077690000}"/>
    <cellStyle name="40% - Accent6 7 2 2 3 2" xfId="6247" xr:uid="{00000000-0005-0000-0000-000078690000}"/>
    <cellStyle name="40% - Accent6 7 2 2 4" xfId="10996" xr:uid="{00000000-0005-0000-0000-000079690000}"/>
    <cellStyle name="40% - Accent6 7 2 3" xfId="12079" xr:uid="{00000000-0005-0000-0000-00007A690000}"/>
    <cellStyle name="40% - Accent6 7 2 3 2" xfId="5863" xr:uid="{00000000-0005-0000-0000-00007B690000}"/>
    <cellStyle name="40% - Accent6 7 2 3 2 2" xfId="5860" xr:uid="{00000000-0005-0000-0000-00007C690000}"/>
    <cellStyle name="40% - Accent6 7 2 3 3" xfId="10989" xr:uid="{00000000-0005-0000-0000-00007D690000}"/>
    <cellStyle name="40% - Accent6 7 2 4" xfId="12076" xr:uid="{00000000-0005-0000-0000-00007E690000}"/>
    <cellStyle name="40% - Accent6 7 2 4 2" xfId="5857" xr:uid="{00000000-0005-0000-0000-00007F690000}"/>
    <cellStyle name="40% - Accent6 7 2 5" xfId="13414" xr:uid="{00000000-0005-0000-0000-000080690000}"/>
    <cellStyle name="40% - Accent6 7 2 6" xfId="34851" xr:uid="{00000000-0005-0000-0000-000081690000}"/>
    <cellStyle name="40% - Accent6 7 3" xfId="12074" xr:uid="{00000000-0005-0000-0000-000082690000}"/>
    <cellStyle name="40% - Accent6 7 3 2" xfId="12071" xr:uid="{00000000-0005-0000-0000-000083690000}"/>
    <cellStyle name="40% - Accent6 7 3 2 2" xfId="5855" xr:uid="{00000000-0005-0000-0000-000084690000}"/>
    <cellStyle name="40% - Accent6 7 3 2 2 2" xfId="5853" xr:uid="{00000000-0005-0000-0000-000085690000}"/>
    <cellStyle name="40% - Accent6 7 3 2 3" xfId="10975" xr:uid="{00000000-0005-0000-0000-000086690000}"/>
    <cellStyle name="40% - Accent6 7 3 3" xfId="12066" xr:uid="{00000000-0005-0000-0000-000087690000}"/>
    <cellStyle name="40% - Accent6 7 3 3 2" xfId="16866" xr:uid="{00000000-0005-0000-0000-000088690000}"/>
    <cellStyle name="40% - Accent6 7 3 4" xfId="12064" xr:uid="{00000000-0005-0000-0000-000089690000}"/>
    <cellStyle name="40% - Accent6 7 3 5" xfId="35053" xr:uid="{00000000-0005-0000-0000-00008A690000}"/>
    <cellStyle name="40% - Accent6 7 4" xfId="12062" xr:uid="{00000000-0005-0000-0000-00008B690000}"/>
    <cellStyle name="40% - Accent6 7 4 2" xfId="12060" xr:uid="{00000000-0005-0000-0000-00008C690000}"/>
    <cellStyle name="40% - Accent6 7 4 2 2" xfId="6765" xr:uid="{00000000-0005-0000-0000-00008D690000}"/>
    <cellStyle name="40% - Accent6 7 4 3" xfId="5850" xr:uid="{00000000-0005-0000-0000-00008E690000}"/>
    <cellStyle name="40% - Accent6 7 4 4" xfId="35260" xr:uid="{00000000-0005-0000-0000-00008F690000}"/>
    <cellStyle name="40% - Accent6 7 5" xfId="17035" xr:uid="{00000000-0005-0000-0000-000090690000}"/>
    <cellStyle name="40% - Accent6 7 5 2" xfId="12054" xr:uid="{00000000-0005-0000-0000-000091690000}"/>
    <cellStyle name="40% - Accent6 7 5 3" xfId="35489" xr:uid="{00000000-0005-0000-0000-000092690000}"/>
    <cellStyle name="40% - Accent6 7 6" xfId="5848" xr:uid="{00000000-0005-0000-0000-000093690000}"/>
    <cellStyle name="40% - Accent6 7 6 2" xfId="36361" xr:uid="{00000000-0005-0000-0000-000094690000}"/>
    <cellStyle name="40% - Accent6 7 7" xfId="34616" xr:uid="{00000000-0005-0000-0000-000095690000}"/>
    <cellStyle name="40% - Accent6 7 8" xfId="12098" xr:uid="{00000000-0005-0000-0000-000096690000}"/>
    <cellStyle name="40% - Accent6 7 8 2" xfId="37519" xr:uid="{00000000-0005-0000-0000-000097690000}"/>
    <cellStyle name="40% - Accent6 8" xfId="336" xr:uid="{00000000-0005-0000-0000-000098690000}"/>
    <cellStyle name="40% - Accent6 8 2" xfId="12046" xr:uid="{00000000-0005-0000-0000-000099690000}"/>
    <cellStyle name="40% - Accent6 8 2 2" xfId="12041" xr:uid="{00000000-0005-0000-0000-00009A690000}"/>
    <cellStyle name="40% - Accent6 8 2 2 2" xfId="5845" xr:uid="{00000000-0005-0000-0000-00009B690000}"/>
    <cellStyle name="40% - Accent6 8 2 2 2 2" xfId="5843" xr:uid="{00000000-0005-0000-0000-00009C690000}"/>
    <cellStyle name="40% - Accent6 8 2 2 3" xfId="12033" xr:uid="{00000000-0005-0000-0000-00009D690000}"/>
    <cellStyle name="40% - Accent6 8 2 3" xfId="12018" xr:uid="{00000000-0005-0000-0000-00009E690000}"/>
    <cellStyle name="40% - Accent6 8 2 3 2" xfId="28730" xr:uid="{00000000-0005-0000-0000-00009F690000}"/>
    <cellStyle name="40% - Accent6 8 2 4" xfId="12013" xr:uid="{00000000-0005-0000-0000-0000A0690000}"/>
    <cellStyle name="40% - Accent6 8 2 5" xfId="34870" xr:uid="{00000000-0005-0000-0000-0000A1690000}"/>
    <cellStyle name="40% - Accent6 8 3" xfId="12009" xr:uid="{00000000-0005-0000-0000-0000A2690000}"/>
    <cellStyle name="40% - Accent6 8 3 2" xfId="12007" xr:uid="{00000000-0005-0000-0000-0000A3690000}"/>
    <cellStyle name="40% - Accent6 8 3 2 2" xfId="8848" xr:uid="{00000000-0005-0000-0000-0000A4690000}"/>
    <cellStyle name="40% - Accent6 8 3 3" xfId="5840" xr:uid="{00000000-0005-0000-0000-0000A5690000}"/>
    <cellStyle name="40% - Accent6 8 3 4" xfId="35072" xr:uid="{00000000-0005-0000-0000-0000A6690000}"/>
    <cellStyle name="40% - Accent6 8 4" xfId="13663" xr:uid="{00000000-0005-0000-0000-0000A7690000}"/>
    <cellStyle name="40% - Accent6 8 4 2" xfId="5838" xr:uid="{00000000-0005-0000-0000-0000A8690000}"/>
    <cellStyle name="40% - Accent6 8 4 3" xfId="35279" xr:uid="{00000000-0005-0000-0000-0000A9690000}"/>
    <cellStyle name="40% - Accent6 8 5" xfId="17026" xr:uid="{00000000-0005-0000-0000-0000AA690000}"/>
    <cellStyle name="40% - Accent6 8 5 2" xfId="35508" xr:uid="{00000000-0005-0000-0000-0000AB690000}"/>
    <cellStyle name="40% - Accent6 8 6" xfId="34630" xr:uid="{00000000-0005-0000-0000-0000AC690000}"/>
    <cellStyle name="40% - Accent6 8 7" xfId="12048" xr:uid="{00000000-0005-0000-0000-0000AD690000}"/>
    <cellStyle name="40% - Accent6 8 7 2" xfId="36653" xr:uid="{00000000-0005-0000-0000-0000AE690000}"/>
    <cellStyle name="40% - Accent6 8 8" xfId="37538" xr:uid="{00000000-0005-0000-0000-0000AF690000}"/>
    <cellStyle name="40% - Accent6 9" xfId="356" xr:uid="{00000000-0005-0000-0000-0000B0690000}"/>
    <cellStyle name="40% - Accent6 9 2" xfId="11972" xr:uid="{00000000-0005-0000-0000-0000B1690000}"/>
    <cellStyle name="40% - Accent6 9 2 2" xfId="11970" xr:uid="{00000000-0005-0000-0000-0000B2690000}"/>
    <cellStyle name="40% - Accent6 9 2 2 2" xfId="5836" xr:uid="{00000000-0005-0000-0000-0000B3690000}"/>
    <cellStyle name="40% - Accent6 9 2 3" xfId="5834" xr:uid="{00000000-0005-0000-0000-0000B4690000}"/>
    <cellStyle name="40% - Accent6 9 2 4" xfId="34890" xr:uid="{00000000-0005-0000-0000-0000B5690000}"/>
    <cellStyle name="40% - Accent6 9 3" xfId="12254" xr:uid="{00000000-0005-0000-0000-0000B6690000}"/>
    <cellStyle name="40% - Accent6 9 3 2" xfId="5832" xr:uid="{00000000-0005-0000-0000-0000B7690000}"/>
    <cellStyle name="40% - Accent6 9 3 3" xfId="35091" xr:uid="{00000000-0005-0000-0000-0000B8690000}"/>
    <cellStyle name="40% - Accent6 9 4" xfId="13657" xr:uid="{00000000-0005-0000-0000-0000B9690000}"/>
    <cellStyle name="40% - Accent6 9 4 2" xfId="35299" xr:uid="{00000000-0005-0000-0000-0000BA690000}"/>
    <cellStyle name="40% - Accent6 9 5" xfId="34644" xr:uid="{00000000-0005-0000-0000-0000BB690000}"/>
    <cellStyle name="40% - Accent6 9 6" xfId="11974" xr:uid="{00000000-0005-0000-0000-0000BC690000}"/>
    <cellStyle name="40% - Accent6 9 6 2" xfId="36387" xr:uid="{00000000-0005-0000-0000-0000BD690000}"/>
    <cellStyle name="40% - Accent6 9 7" xfId="36673" xr:uid="{00000000-0005-0000-0000-0000BE690000}"/>
    <cellStyle name="40% - Accent6 9 8" xfId="37558" xr:uid="{00000000-0005-0000-0000-0000BF690000}"/>
    <cellStyle name="60% - Accent1" xfId="25" builtinId="32" customBuiltin="1"/>
    <cellStyle name="60% - Accent1 10" xfId="180" xr:uid="{00000000-0005-0000-0000-0000C1690000}"/>
    <cellStyle name="60% - Accent1 10 2" xfId="34894" xr:uid="{00000000-0005-0000-0000-0000C2690000}"/>
    <cellStyle name="60% - Accent1 10 3" xfId="35096" xr:uid="{00000000-0005-0000-0000-0000C3690000}"/>
    <cellStyle name="60% - Accent1 10 4" xfId="35302" xr:uid="{00000000-0005-0000-0000-0000C4690000}"/>
    <cellStyle name="60% - Accent1 10 5" xfId="35519" xr:uid="{00000000-0005-0000-0000-0000C5690000}"/>
    <cellStyle name="60% - Accent1 10 6" xfId="36392" xr:uid="{00000000-0005-0000-0000-0000C6690000}"/>
    <cellStyle name="60% - Accent1 10 7" xfId="36678" xr:uid="{00000000-0005-0000-0000-0000C7690000}"/>
    <cellStyle name="60% - Accent1 10 8" xfId="37563" xr:uid="{00000000-0005-0000-0000-0000C8690000}"/>
    <cellStyle name="60% - Accent1 11" xfId="34659" xr:uid="{00000000-0005-0000-0000-0000C9690000}"/>
    <cellStyle name="60% - Accent1 11 2" xfId="35115" xr:uid="{00000000-0005-0000-0000-0000CA690000}"/>
    <cellStyle name="60% - Accent1 11 3" xfId="35309" xr:uid="{00000000-0005-0000-0000-0000CB690000}"/>
    <cellStyle name="60% - Accent1 11 4" xfId="35539" xr:uid="{00000000-0005-0000-0000-0000CC690000}"/>
    <cellStyle name="60% - Accent1 11 5" xfId="36412" xr:uid="{00000000-0005-0000-0000-0000CD690000}"/>
    <cellStyle name="60% - Accent1 11 6" xfId="36698" xr:uid="{00000000-0005-0000-0000-0000CE690000}"/>
    <cellStyle name="60% - Accent1 11 7" xfId="37583" xr:uid="{00000000-0005-0000-0000-0000CF690000}"/>
    <cellStyle name="60% - Accent1 12" xfId="34705" xr:uid="{00000000-0005-0000-0000-0000D0690000}"/>
    <cellStyle name="60% - Accent1 12 2" xfId="35131" xr:uid="{00000000-0005-0000-0000-0000D1690000}"/>
    <cellStyle name="60% - Accent1 12 3" xfId="35318" xr:uid="{00000000-0005-0000-0000-0000D2690000}"/>
    <cellStyle name="60% - Accent1 12 4" xfId="35558" xr:uid="{00000000-0005-0000-0000-0000D3690000}"/>
    <cellStyle name="60% - Accent1 12 5" xfId="36431" xr:uid="{00000000-0005-0000-0000-0000D4690000}"/>
    <cellStyle name="60% - Accent1 12 6" xfId="36717" xr:uid="{00000000-0005-0000-0000-0000D5690000}"/>
    <cellStyle name="60% - Accent1 12 7" xfId="37602" xr:uid="{00000000-0005-0000-0000-0000D6690000}"/>
    <cellStyle name="60% - Accent1 13" xfId="34733" xr:uid="{00000000-0005-0000-0000-0000D7690000}"/>
    <cellStyle name="60% - Accent1 13 2" xfId="35336" xr:uid="{00000000-0005-0000-0000-0000D8690000}"/>
    <cellStyle name="60% - Accent1 13 3" xfId="35577" xr:uid="{00000000-0005-0000-0000-0000D9690000}"/>
    <cellStyle name="60% - Accent1 13 4" xfId="36452" xr:uid="{00000000-0005-0000-0000-0000DA690000}"/>
    <cellStyle name="60% - Accent1 13 5" xfId="36738" xr:uid="{00000000-0005-0000-0000-0000DB690000}"/>
    <cellStyle name="60% - Accent1 13 6" xfId="37623" xr:uid="{00000000-0005-0000-0000-0000DC690000}"/>
    <cellStyle name="60% - Accent1 14" xfId="34923" xr:uid="{00000000-0005-0000-0000-0000DD690000}"/>
    <cellStyle name="60% - Accent1 14 2" xfId="36468" xr:uid="{00000000-0005-0000-0000-0000DE690000}"/>
    <cellStyle name="60% - Accent1 14 3" xfId="36766" xr:uid="{00000000-0005-0000-0000-0000DF690000}"/>
    <cellStyle name="60% - Accent1 14 4" xfId="37651" xr:uid="{00000000-0005-0000-0000-0000E0690000}"/>
    <cellStyle name="60% - Accent1 15" xfId="35138" xr:uid="{00000000-0005-0000-0000-0000E1690000}"/>
    <cellStyle name="60% - Accent1 15 2" xfId="36477" xr:uid="{00000000-0005-0000-0000-0000E2690000}"/>
    <cellStyle name="60% - Accent1 15 3" xfId="36775" xr:uid="{00000000-0005-0000-0000-0000E3690000}"/>
    <cellStyle name="60% - Accent1 15 4" xfId="37663" xr:uid="{00000000-0005-0000-0000-0000E4690000}"/>
    <cellStyle name="60% - Accent1 16" xfId="35357" xr:uid="{00000000-0005-0000-0000-0000E5690000}"/>
    <cellStyle name="60% - Accent1 16 2" xfId="36495" xr:uid="{00000000-0005-0000-0000-0000E6690000}"/>
    <cellStyle name="60% - Accent1 16 3" xfId="36793" xr:uid="{00000000-0005-0000-0000-0000E7690000}"/>
    <cellStyle name="60% - Accent1 16 4" xfId="37682" xr:uid="{00000000-0005-0000-0000-0000E8690000}"/>
    <cellStyle name="60% - Accent1 17" xfId="35644" xr:uid="{00000000-0005-0000-0000-0000E9690000}"/>
    <cellStyle name="60% - Accent1 17 2" xfId="36812" xr:uid="{00000000-0005-0000-0000-0000EA690000}"/>
    <cellStyle name="60% - Accent1 17 3" xfId="37702" xr:uid="{00000000-0005-0000-0000-0000EB690000}"/>
    <cellStyle name="60% - Accent1 18" xfId="35662" xr:uid="{00000000-0005-0000-0000-0000EC690000}"/>
    <cellStyle name="60% - Accent1 18 2" xfId="36831" xr:uid="{00000000-0005-0000-0000-0000ED690000}"/>
    <cellStyle name="60% - Accent1 18 3" xfId="37721" xr:uid="{00000000-0005-0000-0000-0000EE690000}"/>
    <cellStyle name="60% - Accent1 19" xfId="35681" xr:uid="{00000000-0005-0000-0000-0000EF690000}"/>
    <cellStyle name="60% - Accent1 19 2" xfId="36850" xr:uid="{00000000-0005-0000-0000-0000F0690000}"/>
    <cellStyle name="60% - Accent1 19 3" xfId="37740" xr:uid="{00000000-0005-0000-0000-0000F1690000}"/>
    <cellStyle name="60% - Accent1 2" xfId="65" xr:uid="{00000000-0005-0000-0000-0000F2690000}"/>
    <cellStyle name="60% - Accent1 2 10" xfId="36536" xr:uid="{00000000-0005-0000-0000-0000F3690000}"/>
    <cellStyle name="60% - Accent1 2 11" xfId="37421" xr:uid="{00000000-0005-0000-0000-0000F4690000}"/>
    <cellStyle name="60% - Accent1 2 2" xfId="80" xr:uid="{00000000-0005-0000-0000-0000F5690000}"/>
    <cellStyle name="60% - Accent1 2 3" xfId="141" xr:uid="{00000000-0005-0000-0000-0000F6690000}"/>
    <cellStyle name="60% - Accent1 2 4" xfId="202" xr:uid="{00000000-0005-0000-0000-0000F7690000}"/>
    <cellStyle name="60% - Accent1 2 5" xfId="34427" xr:uid="{00000000-0005-0000-0000-0000F8690000}"/>
    <cellStyle name="60% - Accent1 2 5 2" xfId="34754" xr:uid="{00000000-0005-0000-0000-0000F9690000}"/>
    <cellStyle name="60% - Accent1 2 6" xfId="23852" xr:uid="{00000000-0005-0000-0000-0000FA690000}"/>
    <cellStyle name="60% - Accent1 2 6 2" xfId="34944" xr:uid="{00000000-0005-0000-0000-0000FB690000}"/>
    <cellStyle name="60% - Accent1 2 7" xfId="35149" xr:uid="{00000000-0005-0000-0000-0000FC690000}"/>
    <cellStyle name="60% - Accent1 2 8" xfId="35378" xr:uid="{00000000-0005-0000-0000-0000FD690000}"/>
    <cellStyle name="60% - Accent1 2 9" xfId="36250" xr:uid="{00000000-0005-0000-0000-0000FE690000}"/>
    <cellStyle name="60% - Accent1 20" xfId="35700" xr:uid="{00000000-0005-0000-0000-0000FF690000}"/>
    <cellStyle name="60% - Accent1 20 2" xfId="36869" xr:uid="{00000000-0005-0000-0000-0000006A0000}"/>
    <cellStyle name="60% - Accent1 20 3" xfId="37760" xr:uid="{00000000-0005-0000-0000-0000016A0000}"/>
    <cellStyle name="60% - Accent1 21" xfId="35719" xr:uid="{00000000-0005-0000-0000-0000026A0000}"/>
    <cellStyle name="60% - Accent1 21 2" xfId="36889" xr:uid="{00000000-0005-0000-0000-0000036A0000}"/>
    <cellStyle name="60% - Accent1 21 3" xfId="37780" xr:uid="{00000000-0005-0000-0000-0000046A0000}"/>
    <cellStyle name="60% - Accent1 22" xfId="35738" xr:uid="{00000000-0005-0000-0000-0000056A0000}"/>
    <cellStyle name="60% - Accent1 22 2" xfId="36909" xr:uid="{00000000-0005-0000-0000-0000066A0000}"/>
    <cellStyle name="60% - Accent1 22 3" xfId="37800" xr:uid="{00000000-0005-0000-0000-0000076A0000}"/>
    <cellStyle name="60% - Accent1 23" xfId="35758" xr:uid="{00000000-0005-0000-0000-0000086A0000}"/>
    <cellStyle name="60% - Accent1 23 2" xfId="36928" xr:uid="{00000000-0005-0000-0000-0000096A0000}"/>
    <cellStyle name="60% - Accent1 23 3" xfId="37820" xr:uid="{00000000-0005-0000-0000-00000A6A0000}"/>
    <cellStyle name="60% - Accent1 24" xfId="35778" xr:uid="{00000000-0005-0000-0000-00000B6A0000}"/>
    <cellStyle name="60% - Accent1 24 2" xfId="36947" xr:uid="{00000000-0005-0000-0000-00000C6A0000}"/>
    <cellStyle name="60% - Accent1 24 3" xfId="37840" xr:uid="{00000000-0005-0000-0000-00000D6A0000}"/>
    <cellStyle name="60% - Accent1 25" xfId="35797" xr:uid="{00000000-0005-0000-0000-00000E6A0000}"/>
    <cellStyle name="60% - Accent1 25 2" xfId="36967" xr:uid="{00000000-0005-0000-0000-00000F6A0000}"/>
    <cellStyle name="60% - Accent1 25 3" xfId="37860" xr:uid="{00000000-0005-0000-0000-0000106A0000}"/>
    <cellStyle name="60% - Accent1 26" xfId="35816" xr:uid="{00000000-0005-0000-0000-0000116A0000}"/>
    <cellStyle name="60% - Accent1 26 2" xfId="36987" xr:uid="{00000000-0005-0000-0000-0000126A0000}"/>
    <cellStyle name="60% - Accent1 26 3" xfId="37880" xr:uid="{00000000-0005-0000-0000-0000136A0000}"/>
    <cellStyle name="60% - Accent1 27" xfId="35835" xr:uid="{00000000-0005-0000-0000-0000146A0000}"/>
    <cellStyle name="60% - Accent1 27 2" xfId="37007" xr:uid="{00000000-0005-0000-0000-0000156A0000}"/>
    <cellStyle name="60% - Accent1 27 3" xfId="37900" xr:uid="{00000000-0005-0000-0000-0000166A0000}"/>
    <cellStyle name="60% - Accent1 28" xfId="35854" xr:uid="{00000000-0005-0000-0000-0000176A0000}"/>
    <cellStyle name="60% - Accent1 28 2" xfId="37027" xr:uid="{00000000-0005-0000-0000-0000186A0000}"/>
    <cellStyle name="60% - Accent1 28 3" xfId="37920" xr:uid="{00000000-0005-0000-0000-0000196A0000}"/>
    <cellStyle name="60% - Accent1 29" xfId="35883" xr:uid="{00000000-0005-0000-0000-00001A6A0000}"/>
    <cellStyle name="60% - Accent1 29 2" xfId="37055" xr:uid="{00000000-0005-0000-0000-00001B6A0000}"/>
    <cellStyle name="60% - Accent1 29 3" xfId="37949" xr:uid="{00000000-0005-0000-0000-00001C6A0000}"/>
    <cellStyle name="60% - Accent1 3" xfId="100" xr:uid="{00000000-0005-0000-0000-00001D6A0000}"/>
    <cellStyle name="60% - Accent1 3 10" xfId="37440" xr:uid="{00000000-0005-0000-0000-00001E6A0000}"/>
    <cellStyle name="60% - Accent1 3 2" xfId="161" xr:uid="{00000000-0005-0000-0000-00001F6A0000}"/>
    <cellStyle name="60% - Accent1 3 3" xfId="222" xr:uid="{00000000-0005-0000-0000-0000206A0000}"/>
    <cellStyle name="60% - Accent1 3 4" xfId="34454" xr:uid="{00000000-0005-0000-0000-0000216A0000}"/>
    <cellStyle name="60% - Accent1 3 5" xfId="17799" xr:uid="{00000000-0005-0000-0000-0000226A0000}"/>
    <cellStyle name="60% - Accent1 3 5 2" xfId="34963" xr:uid="{00000000-0005-0000-0000-0000236A0000}"/>
    <cellStyle name="60% - Accent1 3 6" xfId="35168" xr:uid="{00000000-0005-0000-0000-0000246A0000}"/>
    <cellStyle name="60% - Accent1 3 7" xfId="35397" xr:uid="{00000000-0005-0000-0000-0000256A0000}"/>
    <cellStyle name="60% - Accent1 3 8" xfId="36269" xr:uid="{00000000-0005-0000-0000-0000266A0000}"/>
    <cellStyle name="60% - Accent1 3 9" xfId="36555" xr:uid="{00000000-0005-0000-0000-0000276A0000}"/>
    <cellStyle name="60% - Accent1 30" xfId="35894" xr:uid="{00000000-0005-0000-0000-0000286A0000}"/>
    <cellStyle name="60% - Accent1 30 2" xfId="37066" xr:uid="{00000000-0005-0000-0000-0000296A0000}"/>
    <cellStyle name="60% - Accent1 30 3" xfId="37961" xr:uid="{00000000-0005-0000-0000-00002A6A0000}"/>
    <cellStyle name="60% - Accent1 31" xfId="35914" xr:uid="{00000000-0005-0000-0000-00002B6A0000}"/>
    <cellStyle name="60% - Accent1 31 2" xfId="37085" xr:uid="{00000000-0005-0000-0000-00002C6A0000}"/>
    <cellStyle name="60% - Accent1 31 3" xfId="37981" xr:uid="{00000000-0005-0000-0000-00002D6A0000}"/>
    <cellStyle name="60% - Accent1 32" xfId="35934" xr:uid="{00000000-0005-0000-0000-00002E6A0000}"/>
    <cellStyle name="60% - Accent1 32 2" xfId="37104" xr:uid="{00000000-0005-0000-0000-00002F6A0000}"/>
    <cellStyle name="60% - Accent1 32 3" xfId="38001" xr:uid="{00000000-0005-0000-0000-0000306A0000}"/>
    <cellStyle name="60% - Accent1 33" xfId="35954" xr:uid="{00000000-0005-0000-0000-0000316A0000}"/>
    <cellStyle name="60% - Accent1 33 2" xfId="37123" xr:uid="{00000000-0005-0000-0000-0000326A0000}"/>
    <cellStyle name="60% - Accent1 33 3" xfId="38021" xr:uid="{00000000-0005-0000-0000-0000336A0000}"/>
    <cellStyle name="60% - Accent1 34" xfId="35974" xr:uid="{00000000-0005-0000-0000-0000346A0000}"/>
    <cellStyle name="60% - Accent1 34 2" xfId="37143" xr:uid="{00000000-0005-0000-0000-0000356A0000}"/>
    <cellStyle name="60% - Accent1 34 3" xfId="38041" xr:uid="{00000000-0005-0000-0000-0000366A0000}"/>
    <cellStyle name="60% - Accent1 35" xfId="35994" xr:uid="{00000000-0005-0000-0000-0000376A0000}"/>
    <cellStyle name="60% - Accent1 35 2" xfId="37163" xr:uid="{00000000-0005-0000-0000-0000386A0000}"/>
    <cellStyle name="60% - Accent1 35 3" xfId="38061" xr:uid="{00000000-0005-0000-0000-0000396A0000}"/>
    <cellStyle name="60% - Accent1 36" xfId="36014" xr:uid="{00000000-0005-0000-0000-00003A6A0000}"/>
    <cellStyle name="60% - Accent1 36 2" xfId="37183" xr:uid="{00000000-0005-0000-0000-00003B6A0000}"/>
    <cellStyle name="60% - Accent1 36 3" xfId="38081" xr:uid="{00000000-0005-0000-0000-00003C6A0000}"/>
    <cellStyle name="60% - Accent1 37" xfId="36034" xr:uid="{00000000-0005-0000-0000-00003D6A0000}"/>
    <cellStyle name="60% - Accent1 37 2" xfId="37203" xr:uid="{00000000-0005-0000-0000-00003E6A0000}"/>
    <cellStyle name="60% - Accent1 37 3" xfId="38101" xr:uid="{00000000-0005-0000-0000-00003F6A0000}"/>
    <cellStyle name="60% - Accent1 38" xfId="36054" xr:uid="{00000000-0005-0000-0000-0000406A0000}"/>
    <cellStyle name="60% - Accent1 38 2" xfId="37223" xr:uid="{00000000-0005-0000-0000-0000416A0000}"/>
    <cellStyle name="60% - Accent1 38 3" xfId="38121" xr:uid="{00000000-0005-0000-0000-0000426A0000}"/>
    <cellStyle name="60% - Accent1 39" xfId="36074" xr:uid="{00000000-0005-0000-0000-0000436A0000}"/>
    <cellStyle name="60% - Accent1 39 2" xfId="37243" xr:uid="{00000000-0005-0000-0000-0000446A0000}"/>
    <cellStyle name="60% - Accent1 39 3" xfId="38141" xr:uid="{00000000-0005-0000-0000-0000456A0000}"/>
    <cellStyle name="60% - Accent1 4" xfId="119" xr:uid="{00000000-0005-0000-0000-0000466A0000}"/>
    <cellStyle name="60% - Accent1 4 2" xfId="242" xr:uid="{00000000-0005-0000-0000-0000476A0000}"/>
    <cellStyle name="60% - Accent1 4 3" xfId="34473" xr:uid="{00000000-0005-0000-0000-0000486A0000}"/>
    <cellStyle name="60% - Accent1 4 4" xfId="17791" xr:uid="{00000000-0005-0000-0000-0000496A0000}"/>
    <cellStyle name="60% - Accent1 4 4 2" xfId="34982" xr:uid="{00000000-0005-0000-0000-00004A6A0000}"/>
    <cellStyle name="60% - Accent1 4 5" xfId="35187" xr:uid="{00000000-0005-0000-0000-00004B6A0000}"/>
    <cellStyle name="60% - Accent1 4 6" xfId="35416" xr:uid="{00000000-0005-0000-0000-00004C6A0000}"/>
    <cellStyle name="60% - Accent1 4 7" xfId="36288" xr:uid="{00000000-0005-0000-0000-00004D6A0000}"/>
    <cellStyle name="60% - Accent1 4 8" xfId="36574" xr:uid="{00000000-0005-0000-0000-00004E6A0000}"/>
    <cellStyle name="60% - Accent1 4 9" xfId="37459" xr:uid="{00000000-0005-0000-0000-00004F6A0000}"/>
    <cellStyle name="60% - Accent1 40" xfId="36094" xr:uid="{00000000-0005-0000-0000-0000506A0000}"/>
    <cellStyle name="60% - Accent1 40 2" xfId="37263" xr:uid="{00000000-0005-0000-0000-0000516A0000}"/>
    <cellStyle name="60% - Accent1 40 3" xfId="38161" xr:uid="{00000000-0005-0000-0000-0000526A0000}"/>
    <cellStyle name="60% - Accent1 41" xfId="36114" xr:uid="{00000000-0005-0000-0000-0000536A0000}"/>
    <cellStyle name="60% - Accent1 41 2" xfId="37283" xr:uid="{00000000-0005-0000-0000-0000546A0000}"/>
    <cellStyle name="60% - Accent1 41 3" xfId="38181" xr:uid="{00000000-0005-0000-0000-0000556A0000}"/>
    <cellStyle name="60% - Accent1 42" xfId="36134" xr:uid="{00000000-0005-0000-0000-0000566A0000}"/>
    <cellStyle name="60% - Accent1 42 2" xfId="37303" xr:uid="{00000000-0005-0000-0000-0000576A0000}"/>
    <cellStyle name="60% - Accent1 42 3" xfId="38201" xr:uid="{00000000-0005-0000-0000-0000586A0000}"/>
    <cellStyle name="60% - Accent1 43" xfId="36154" xr:uid="{00000000-0005-0000-0000-0000596A0000}"/>
    <cellStyle name="60% - Accent1 43 2" xfId="37323" xr:uid="{00000000-0005-0000-0000-00005A6A0000}"/>
    <cellStyle name="60% - Accent1 43 3" xfId="38221" xr:uid="{00000000-0005-0000-0000-00005B6A0000}"/>
    <cellStyle name="60% - Accent1 44" xfId="36174" xr:uid="{00000000-0005-0000-0000-00005C6A0000}"/>
    <cellStyle name="60% - Accent1 44 2" xfId="37343" xr:uid="{00000000-0005-0000-0000-00005D6A0000}"/>
    <cellStyle name="60% - Accent1 44 3" xfId="38241" xr:uid="{00000000-0005-0000-0000-00005E6A0000}"/>
    <cellStyle name="60% - Accent1 45" xfId="36194" xr:uid="{00000000-0005-0000-0000-00005F6A0000}"/>
    <cellStyle name="60% - Accent1 45 2" xfId="37363" xr:uid="{00000000-0005-0000-0000-0000606A0000}"/>
    <cellStyle name="60% - Accent1 45 3" xfId="38261" xr:uid="{00000000-0005-0000-0000-0000616A0000}"/>
    <cellStyle name="60% - Accent1 46" xfId="36214" xr:uid="{00000000-0005-0000-0000-0000626A0000}"/>
    <cellStyle name="60% - Accent1 46 2" xfId="37381" xr:uid="{00000000-0005-0000-0000-0000636A0000}"/>
    <cellStyle name="60% - Accent1 46 3" xfId="38281" xr:uid="{00000000-0005-0000-0000-0000646A0000}"/>
    <cellStyle name="60% - Accent1 47" xfId="36515" xr:uid="{00000000-0005-0000-0000-0000656A0000}"/>
    <cellStyle name="60% - Accent1 48" xfId="37400" xr:uid="{00000000-0005-0000-0000-0000666A0000}"/>
    <cellStyle name="60% - Accent1 5" xfId="262" xr:uid="{00000000-0005-0000-0000-0000676A0000}"/>
    <cellStyle name="60% - Accent1 5 2" xfId="34799" xr:uid="{00000000-0005-0000-0000-0000686A0000}"/>
    <cellStyle name="60% - Accent1 5 3" xfId="35001" xr:uid="{00000000-0005-0000-0000-0000696A0000}"/>
    <cellStyle name="60% - Accent1 5 4" xfId="35207" xr:uid="{00000000-0005-0000-0000-00006A6A0000}"/>
    <cellStyle name="60% - Accent1 5 5" xfId="35436" xr:uid="{00000000-0005-0000-0000-00006B6A0000}"/>
    <cellStyle name="60% - Accent1 5 6" xfId="36308" xr:uid="{00000000-0005-0000-0000-00006C6A0000}"/>
    <cellStyle name="60% - Accent1 5 7" xfId="36594" xr:uid="{00000000-0005-0000-0000-00006D6A0000}"/>
    <cellStyle name="60% - Accent1 5 8" xfId="37479" xr:uid="{00000000-0005-0000-0000-00006E6A0000}"/>
    <cellStyle name="60% - Accent1 6" xfId="282" xr:uid="{00000000-0005-0000-0000-00006F6A0000}"/>
    <cellStyle name="60% - Accent1 6 2" xfId="34818" xr:uid="{00000000-0005-0000-0000-0000706A0000}"/>
    <cellStyle name="60% - Accent1 6 3" xfId="35020" xr:uid="{00000000-0005-0000-0000-0000716A0000}"/>
    <cellStyle name="60% - Accent1 6 4" xfId="35226" xr:uid="{00000000-0005-0000-0000-0000726A0000}"/>
    <cellStyle name="60% - Accent1 6 5" xfId="35455" xr:uid="{00000000-0005-0000-0000-0000736A0000}"/>
    <cellStyle name="60% - Accent1 6 6" xfId="36327" xr:uid="{00000000-0005-0000-0000-0000746A0000}"/>
    <cellStyle name="60% - Accent1 6 7" xfId="36613" xr:uid="{00000000-0005-0000-0000-0000756A0000}"/>
    <cellStyle name="60% - Accent1 6 8" xfId="37495" xr:uid="{00000000-0005-0000-0000-0000766A0000}"/>
    <cellStyle name="60% - Accent1 7" xfId="302" xr:uid="{00000000-0005-0000-0000-0000776A0000}"/>
    <cellStyle name="60% - Accent1 7 2" xfId="34837" xr:uid="{00000000-0005-0000-0000-0000786A0000}"/>
    <cellStyle name="60% - Accent1 7 3" xfId="35039" xr:uid="{00000000-0005-0000-0000-0000796A0000}"/>
    <cellStyle name="60% - Accent1 7 4" xfId="35246" xr:uid="{00000000-0005-0000-0000-00007A6A0000}"/>
    <cellStyle name="60% - Accent1 7 5" xfId="35475" xr:uid="{00000000-0005-0000-0000-00007B6A0000}"/>
    <cellStyle name="60% - Accent1 7 6" xfId="36347" xr:uid="{00000000-0005-0000-0000-00007C6A0000}"/>
    <cellStyle name="60% - Accent1 7 7" xfId="36630" xr:uid="{00000000-0005-0000-0000-00007D6A0000}"/>
    <cellStyle name="60% - Accent1 7 8" xfId="37505" xr:uid="{00000000-0005-0000-0000-00007E6A0000}"/>
    <cellStyle name="60% - Accent1 8" xfId="322" xr:uid="{00000000-0005-0000-0000-00007F6A0000}"/>
    <cellStyle name="60% - Accent1 8 2" xfId="34856" xr:uid="{00000000-0005-0000-0000-0000806A0000}"/>
    <cellStyle name="60% - Accent1 8 3" xfId="35058" xr:uid="{00000000-0005-0000-0000-0000816A0000}"/>
    <cellStyle name="60% - Accent1 8 4" xfId="35265" xr:uid="{00000000-0005-0000-0000-0000826A0000}"/>
    <cellStyle name="60% - Accent1 8 5" xfId="35494" xr:uid="{00000000-0005-0000-0000-0000836A0000}"/>
    <cellStyle name="60% - Accent1 8 6" xfId="36363" xr:uid="{00000000-0005-0000-0000-0000846A0000}"/>
    <cellStyle name="60% - Accent1 8 7" xfId="36639" xr:uid="{00000000-0005-0000-0000-0000856A0000}"/>
    <cellStyle name="60% - Accent1 8 8" xfId="37524" xr:uid="{00000000-0005-0000-0000-0000866A0000}"/>
    <cellStyle name="60% - Accent1 9" xfId="342" xr:uid="{00000000-0005-0000-0000-0000876A0000}"/>
    <cellStyle name="60% - Accent1 9 2" xfId="34876" xr:uid="{00000000-0005-0000-0000-0000886A0000}"/>
    <cellStyle name="60% - Accent1 9 3" xfId="35077" xr:uid="{00000000-0005-0000-0000-0000896A0000}"/>
    <cellStyle name="60% - Accent1 9 4" xfId="35285" xr:uid="{00000000-0005-0000-0000-00008A6A0000}"/>
    <cellStyle name="60% - Accent1 9 5" xfId="35511" xr:uid="{00000000-0005-0000-0000-00008B6A0000}"/>
    <cellStyle name="60% - Accent1 9 6" xfId="36373" xr:uid="{00000000-0005-0000-0000-00008C6A0000}"/>
    <cellStyle name="60% - Accent1 9 7" xfId="36659" xr:uid="{00000000-0005-0000-0000-00008D6A0000}"/>
    <cellStyle name="60% - Accent1 9 8" xfId="37544" xr:uid="{00000000-0005-0000-0000-00008E6A0000}"/>
    <cellStyle name="60% - Accent2" xfId="29" builtinId="36" customBuiltin="1"/>
    <cellStyle name="60% - Accent2 10" xfId="183" xr:uid="{00000000-0005-0000-0000-0000906A0000}"/>
    <cellStyle name="60% - Accent2 10 2" xfId="34897" xr:uid="{00000000-0005-0000-0000-0000916A0000}"/>
    <cellStyle name="60% - Accent2 10 3" xfId="35099" xr:uid="{00000000-0005-0000-0000-0000926A0000}"/>
    <cellStyle name="60% - Accent2 10 4" xfId="35303" xr:uid="{00000000-0005-0000-0000-0000936A0000}"/>
    <cellStyle name="60% - Accent2 10 5" xfId="35522" xr:uid="{00000000-0005-0000-0000-0000946A0000}"/>
    <cellStyle name="60% - Accent2 10 6" xfId="36395" xr:uid="{00000000-0005-0000-0000-0000956A0000}"/>
    <cellStyle name="60% - Accent2 10 7" xfId="36681" xr:uid="{00000000-0005-0000-0000-0000966A0000}"/>
    <cellStyle name="60% - Accent2 10 8" xfId="37566" xr:uid="{00000000-0005-0000-0000-0000976A0000}"/>
    <cellStyle name="60% - Accent2 11" xfId="34660" xr:uid="{00000000-0005-0000-0000-0000986A0000}"/>
    <cellStyle name="60% - Accent2 11 2" xfId="35118" xr:uid="{00000000-0005-0000-0000-0000996A0000}"/>
    <cellStyle name="60% - Accent2 11 3" xfId="35310" xr:uid="{00000000-0005-0000-0000-00009A6A0000}"/>
    <cellStyle name="60% - Accent2 11 4" xfId="35542" xr:uid="{00000000-0005-0000-0000-00009B6A0000}"/>
    <cellStyle name="60% - Accent2 11 5" xfId="36415" xr:uid="{00000000-0005-0000-0000-00009C6A0000}"/>
    <cellStyle name="60% - Accent2 11 6" xfId="36701" xr:uid="{00000000-0005-0000-0000-00009D6A0000}"/>
    <cellStyle name="60% - Accent2 11 7" xfId="37586" xr:uid="{00000000-0005-0000-0000-00009E6A0000}"/>
    <cellStyle name="60% - Accent2 12" xfId="34708" xr:uid="{00000000-0005-0000-0000-00009F6A0000}"/>
    <cellStyle name="60% - Accent2 12 2" xfId="35132" xr:uid="{00000000-0005-0000-0000-0000A06A0000}"/>
    <cellStyle name="60% - Accent2 12 3" xfId="35321" xr:uid="{00000000-0005-0000-0000-0000A16A0000}"/>
    <cellStyle name="60% - Accent2 12 4" xfId="35561" xr:uid="{00000000-0005-0000-0000-0000A26A0000}"/>
    <cellStyle name="60% - Accent2 12 5" xfId="36434" xr:uid="{00000000-0005-0000-0000-0000A36A0000}"/>
    <cellStyle name="60% - Accent2 12 6" xfId="36720" xr:uid="{00000000-0005-0000-0000-0000A46A0000}"/>
    <cellStyle name="60% - Accent2 12 7" xfId="37605" xr:uid="{00000000-0005-0000-0000-0000A56A0000}"/>
    <cellStyle name="60% - Accent2 13" xfId="34736" xr:uid="{00000000-0005-0000-0000-0000A66A0000}"/>
    <cellStyle name="60% - Accent2 13 2" xfId="35337" xr:uid="{00000000-0005-0000-0000-0000A76A0000}"/>
    <cellStyle name="60% - Accent2 13 3" xfId="35580" xr:uid="{00000000-0005-0000-0000-0000A86A0000}"/>
    <cellStyle name="60% - Accent2 13 4" xfId="36455" xr:uid="{00000000-0005-0000-0000-0000A96A0000}"/>
    <cellStyle name="60% - Accent2 13 5" xfId="36741" xr:uid="{00000000-0005-0000-0000-0000AA6A0000}"/>
    <cellStyle name="60% - Accent2 13 6" xfId="37626" xr:uid="{00000000-0005-0000-0000-0000AB6A0000}"/>
    <cellStyle name="60% - Accent2 14" xfId="34926" xr:uid="{00000000-0005-0000-0000-0000AC6A0000}"/>
    <cellStyle name="60% - Accent2 14 2" xfId="36469" xr:uid="{00000000-0005-0000-0000-0000AD6A0000}"/>
    <cellStyle name="60% - Accent2 14 3" xfId="36767" xr:uid="{00000000-0005-0000-0000-0000AE6A0000}"/>
    <cellStyle name="60% - Accent2 14 4" xfId="37652" xr:uid="{00000000-0005-0000-0000-0000AF6A0000}"/>
    <cellStyle name="60% - Accent2 15" xfId="35139" xr:uid="{00000000-0005-0000-0000-0000B06A0000}"/>
    <cellStyle name="60% - Accent2 15 2" xfId="36480" xr:uid="{00000000-0005-0000-0000-0000B16A0000}"/>
    <cellStyle name="60% - Accent2 15 3" xfId="36778" xr:uid="{00000000-0005-0000-0000-0000B26A0000}"/>
    <cellStyle name="60% - Accent2 15 4" xfId="37666" xr:uid="{00000000-0005-0000-0000-0000B36A0000}"/>
    <cellStyle name="60% - Accent2 16" xfId="35360" xr:uid="{00000000-0005-0000-0000-0000B46A0000}"/>
    <cellStyle name="60% - Accent2 16 2" xfId="36498" xr:uid="{00000000-0005-0000-0000-0000B56A0000}"/>
    <cellStyle name="60% - Accent2 16 3" xfId="36796" xr:uid="{00000000-0005-0000-0000-0000B66A0000}"/>
    <cellStyle name="60% - Accent2 16 4" xfId="37685" xr:uid="{00000000-0005-0000-0000-0000B76A0000}"/>
    <cellStyle name="60% - Accent2 17" xfId="35647" xr:uid="{00000000-0005-0000-0000-0000B86A0000}"/>
    <cellStyle name="60% - Accent2 17 2" xfId="36815" xr:uid="{00000000-0005-0000-0000-0000B96A0000}"/>
    <cellStyle name="60% - Accent2 17 3" xfId="37705" xr:uid="{00000000-0005-0000-0000-0000BA6A0000}"/>
    <cellStyle name="60% - Accent2 18" xfId="35665" xr:uid="{00000000-0005-0000-0000-0000BB6A0000}"/>
    <cellStyle name="60% - Accent2 18 2" xfId="36834" xr:uid="{00000000-0005-0000-0000-0000BC6A0000}"/>
    <cellStyle name="60% - Accent2 18 3" xfId="37724" xr:uid="{00000000-0005-0000-0000-0000BD6A0000}"/>
    <cellStyle name="60% - Accent2 19" xfId="35684" xr:uid="{00000000-0005-0000-0000-0000BE6A0000}"/>
    <cellStyle name="60% - Accent2 19 2" xfId="36853" xr:uid="{00000000-0005-0000-0000-0000BF6A0000}"/>
    <cellStyle name="60% - Accent2 19 3" xfId="37743" xr:uid="{00000000-0005-0000-0000-0000C06A0000}"/>
    <cellStyle name="60% - Accent2 2" xfId="67" xr:uid="{00000000-0005-0000-0000-0000C16A0000}"/>
    <cellStyle name="60% - Accent2 2 10" xfId="36539" xr:uid="{00000000-0005-0000-0000-0000C26A0000}"/>
    <cellStyle name="60% - Accent2 2 11" xfId="37424" xr:uid="{00000000-0005-0000-0000-0000C36A0000}"/>
    <cellStyle name="60% - Accent2 2 2" xfId="83" xr:uid="{00000000-0005-0000-0000-0000C46A0000}"/>
    <cellStyle name="60% - Accent2 2 3" xfId="144" xr:uid="{00000000-0005-0000-0000-0000C56A0000}"/>
    <cellStyle name="60% - Accent2 2 4" xfId="205" xr:uid="{00000000-0005-0000-0000-0000C66A0000}"/>
    <cellStyle name="60% - Accent2 2 5" xfId="34429" xr:uid="{00000000-0005-0000-0000-0000C76A0000}"/>
    <cellStyle name="60% - Accent2 2 5 2" xfId="34757" xr:uid="{00000000-0005-0000-0000-0000C86A0000}"/>
    <cellStyle name="60% - Accent2 2 6" xfId="34351" xr:uid="{00000000-0005-0000-0000-0000C96A0000}"/>
    <cellStyle name="60% - Accent2 2 6 2" xfId="34947" xr:uid="{00000000-0005-0000-0000-0000CA6A0000}"/>
    <cellStyle name="60% - Accent2 2 7" xfId="35152" xr:uid="{00000000-0005-0000-0000-0000CB6A0000}"/>
    <cellStyle name="60% - Accent2 2 8" xfId="35381" xr:uid="{00000000-0005-0000-0000-0000CC6A0000}"/>
    <cellStyle name="60% - Accent2 2 9" xfId="36253" xr:uid="{00000000-0005-0000-0000-0000CD6A0000}"/>
    <cellStyle name="60% - Accent2 20" xfId="35703" xr:uid="{00000000-0005-0000-0000-0000CE6A0000}"/>
    <cellStyle name="60% - Accent2 20 2" xfId="36872" xr:uid="{00000000-0005-0000-0000-0000CF6A0000}"/>
    <cellStyle name="60% - Accent2 20 3" xfId="37763" xr:uid="{00000000-0005-0000-0000-0000D06A0000}"/>
    <cellStyle name="60% - Accent2 21" xfId="35722" xr:uid="{00000000-0005-0000-0000-0000D16A0000}"/>
    <cellStyle name="60% - Accent2 21 2" xfId="36892" xr:uid="{00000000-0005-0000-0000-0000D26A0000}"/>
    <cellStyle name="60% - Accent2 21 3" xfId="37783" xr:uid="{00000000-0005-0000-0000-0000D36A0000}"/>
    <cellStyle name="60% - Accent2 22" xfId="35741" xr:uid="{00000000-0005-0000-0000-0000D46A0000}"/>
    <cellStyle name="60% - Accent2 22 2" xfId="36912" xr:uid="{00000000-0005-0000-0000-0000D56A0000}"/>
    <cellStyle name="60% - Accent2 22 3" xfId="37803" xr:uid="{00000000-0005-0000-0000-0000D66A0000}"/>
    <cellStyle name="60% - Accent2 23" xfId="35761" xr:uid="{00000000-0005-0000-0000-0000D76A0000}"/>
    <cellStyle name="60% - Accent2 23 2" xfId="36931" xr:uid="{00000000-0005-0000-0000-0000D86A0000}"/>
    <cellStyle name="60% - Accent2 23 3" xfId="37823" xr:uid="{00000000-0005-0000-0000-0000D96A0000}"/>
    <cellStyle name="60% - Accent2 24" xfId="35781" xr:uid="{00000000-0005-0000-0000-0000DA6A0000}"/>
    <cellStyle name="60% - Accent2 24 2" xfId="36950" xr:uid="{00000000-0005-0000-0000-0000DB6A0000}"/>
    <cellStyle name="60% - Accent2 24 3" xfId="37843" xr:uid="{00000000-0005-0000-0000-0000DC6A0000}"/>
    <cellStyle name="60% - Accent2 25" xfId="35800" xr:uid="{00000000-0005-0000-0000-0000DD6A0000}"/>
    <cellStyle name="60% - Accent2 25 2" xfId="36970" xr:uid="{00000000-0005-0000-0000-0000DE6A0000}"/>
    <cellStyle name="60% - Accent2 25 3" xfId="37863" xr:uid="{00000000-0005-0000-0000-0000DF6A0000}"/>
    <cellStyle name="60% - Accent2 26" xfId="35819" xr:uid="{00000000-0005-0000-0000-0000E06A0000}"/>
    <cellStyle name="60% - Accent2 26 2" xfId="36990" xr:uid="{00000000-0005-0000-0000-0000E16A0000}"/>
    <cellStyle name="60% - Accent2 26 3" xfId="37883" xr:uid="{00000000-0005-0000-0000-0000E26A0000}"/>
    <cellStyle name="60% - Accent2 27" xfId="35838" xr:uid="{00000000-0005-0000-0000-0000E36A0000}"/>
    <cellStyle name="60% - Accent2 27 2" xfId="37010" xr:uid="{00000000-0005-0000-0000-0000E46A0000}"/>
    <cellStyle name="60% - Accent2 27 3" xfId="37903" xr:uid="{00000000-0005-0000-0000-0000E56A0000}"/>
    <cellStyle name="60% - Accent2 28" xfId="35857" xr:uid="{00000000-0005-0000-0000-0000E66A0000}"/>
    <cellStyle name="60% - Accent2 28 2" xfId="37030" xr:uid="{00000000-0005-0000-0000-0000E76A0000}"/>
    <cellStyle name="60% - Accent2 28 3" xfId="37923" xr:uid="{00000000-0005-0000-0000-0000E86A0000}"/>
    <cellStyle name="60% - Accent2 29" xfId="35884" xr:uid="{00000000-0005-0000-0000-0000E96A0000}"/>
    <cellStyle name="60% - Accent2 29 2" xfId="37056" xr:uid="{00000000-0005-0000-0000-0000EA6A0000}"/>
    <cellStyle name="60% - Accent2 29 3" xfId="37950" xr:uid="{00000000-0005-0000-0000-0000EB6A0000}"/>
    <cellStyle name="60% - Accent2 3" xfId="103" xr:uid="{00000000-0005-0000-0000-0000EC6A0000}"/>
    <cellStyle name="60% - Accent2 3 10" xfId="37443" xr:uid="{00000000-0005-0000-0000-0000ED6A0000}"/>
    <cellStyle name="60% - Accent2 3 2" xfId="164" xr:uid="{00000000-0005-0000-0000-0000EE6A0000}"/>
    <cellStyle name="60% - Accent2 3 3" xfId="225" xr:uid="{00000000-0005-0000-0000-0000EF6A0000}"/>
    <cellStyle name="60% - Accent2 3 4" xfId="34457" xr:uid="{00000000-0005-0000-0000-0000F06A0000}"/>
    <cellStyle name="60% - Accent2 3 5" xfId="21635" xr:uid="{00000000-0005-0000-0000-0000F16A0000}"/>
    <cellStyle name="60% - Accent2 3 5 2" xfId="34966" xr:uid="{00000000-0005-0000-0000-0000F26A0000}"/>
    <cellStyle name="60% - Accent2 3 6" xfId="35171" xr:uid="{00000000-0005-0000-0000-0000F36A0000}"/>
    <cellStyle name="60% - Accent2 3 7" xfId="35400" xr:uid="{00000000-0005-0000-0000-0000F46A0000}"/>
    <cellStyle name="60% - Accent2 3 8" xfId="36272" xr:uid="{00000000-0005-0000-0000-0000F56A0000}"/>
    <cellStyle name="60% - Accent2 3 9" xfId="36558" xr:uid="{00000000-0005-0000-0000-0000F66A0000}"/>
    <cellStyle name="60% - Accent2 30" xfId="35897" xr:uid="{00000000-0005-0000-0000-0000F76A0000}"/>
    <cellStyle name="60% - Accent2 30 2" xfId="37069" xr:uid="{00000000-0005-0000-0000-0000F86A0000}"/>
    <cellStyle name="60% - Accent2 30 3" xfId="37964" xr:uid="{00000000-0005-0000-0000-0000F96A0000}"/>
    <cellStyle name="60% - Accent2 31" xfId="35917" xr:uid="{00000000-0005-0000-0000-0000FA6A0000}"/>
    <cellStyle name="60% - Accent2 31 2" xfId="37088" xr:uid="{00000000-0005-0000-0000-0000FB6A0000}"/>
    <cellStyle name="60% - Accent2 31 3" xfId="37984" xr:uid="{00000000-0005-0000-0000-0000FC6A0000}"/>
    <cellStyle name="60% - Accent2 32" xfId="35937" xr:uid="{00000000-0005-0000-0000-0000FD6A0000}"/>
    <cellStyle name="60% - Accent2 32 2" xfId="37107" xr:uid="{00000000-0005-0000-0000-0000FE6A0000}"/>
    <cellStyle name="60% - Accent2 32 3" xfId="38004" xr:uid="{00000000-0005-0000-0000-0000FF6A0000}"/>
    <cellStyle name="60% - Accent2 33" xfId="35957" xr:uid="{00000000-0005-0000-0000-0000006B0000}"/>
    <cellStyle name="60% - Accent2 33 2" xfId="37126" xr:uid="{00000000-0005-0000-0000-0000016B0000}"/>
    <cellStyle name="60% - Accent2 33 3" xfId="38024" xr:uid="{00000000-0005-0000-0000-0000026B0000}"/>
    <cellStyle name="60% - Accent2 34" xfId="35977" xr:uid="{00000000-0005-0000-0000-0000036B0000}"/>
    <cellStyle name="60% - Accent2 34 2" xfId="37146" xr:uid="{00000000-0005-0000-0000-0000046B0000}"/>
    <cellStyle name="60% - Accent2 34 3" xfId="38044" xr:uid="{00000000-0005-0000-0000-0000056B0000}"/>
    <cellStyle name="60% - Accent2 35" xfId="35997" xr:uid="{00000000-0005-0000-0000-0000066B0000}"/>
    <cellStyle name="60% - Accent2 35 2" xfId="37166" xr:uid="{00000000-0005-0000-0000-0000076B0000}"/>
    <cellStyle name="60% - Accent2 35 3" xfId="38064" xr:uid="{00000000-0005-0000-0000-0000086B0000}"/>
    <cellStyle name="60% - Accent2 36" xfId="36017" xr:uid="{00000000-0005-0000-0000-0000096B0000}"/>
    <cellStyle name="60% - Accent2 36 2" xfId="37186" xr:uid="{00000000-0005-0000-0000-00000A6B0000}"/>
    <cellStyle name="60% - Accent2 36 3" xfId="38084" xr:uid="{00000000-0005-0000-0000-00000B6B0000}"/>
    <cellStyle name="60% - Accent2 37" xfId="36037" xr:uid="{00000000-0005-0000-0000-00000C6B0000}"/>
    <cellStyle name="60% - Accent2 37 2" xfId="37206" xr:uid="{00000000-0005-0000-0000-00000D6B0000}"/>
    <cellStyle name="60% - Accent2 37 3" xfId="38104" xr:uid="{00000000-0005-0000-0000-00000E6B0000}"/>
    <cellStyle name="60% - Accent2 38" xfId="36057" xr:uid="{00000000-0005-0000-0000-00000F6B0000}"/>
    <cellStyle name="60% - Accent2 38 2" xfId="37226" xr:uid="{00000000-0005-0000-0000-0000106B0000}"/>
    <cellStyle name="60% - Accent2 38 3" xfId="38124" xr:uid="{00000000-0005-0000-0000-0000116B0000}"/>
    <cellStyle name="60% - Accent2 39" xfId="36077" xr:uid="{00000000-0005-0000-0000-0000126B0000}"/>
    <cellStyle name="60% - Accent2 39 2" xfId="37246" xr:uid="{00000000-0005-0000-0000-0000136B0000}"/>
    <cellStyle name="60% - Accent2 39 3" xfId="38144" xr:uid="{00000000-0005-0000-0000-0000146B0000}"/>
    <cellStyle name="60% - Accent2 4" xfId="122" xr:uid="{00000000-0005-0000-0000-0000156B0000}"/>
    <cellStyle name="60% - Accent2 4 2" xfId="245" xr:uid="{00000000-0005-0000-0000-0000166B0000}"/>
    <cellStyle name="60% - Accent2 4 3" xfId="34476" xr:uid="{00000000-0005-0000-0000-0000176B0000}"/>
    <cellStyle name="60% - Accent2 4 4" xfId="17616" xr:uid="{00000000-0005-0000-0000-0000186B0000}"/>
    <cellStyle name="60% - Accent2 4 4 2" xfId="34985" xr:uid="{00000000-0005-0000-0000-0000196B0000}"/>
    <cellStyle name="60% - Accent2 4 5" xfId="35190" xr:uid="{00000000-0005-0000-0000-00001A6B0000}"/>
    <cellStyle name="60% - Accent2 4 6" xfId="35419" xr:uid="{00000000-0005-0000-0000-00001B6B0000}"/>
    <cellStyle name="60% - Accent2 4 7" xfId="36291" xr:uid="{00000000-0005-0000-0000-00001C6B0000}"/>
    <cellStyle name="60% - Accent2 4 8" xfId="36577" xr:uid="{00000000-0005-0000-0000-00001D6B0000}"/>
    <cellStyle name="60% - Accent2 4 9" xfId="37462" xr:uid="{00000000-0005-0000-0000-00001E6B0000}"/>
    <cellStyle name="60% - Accent2 40" xfId="36097" xr:uid="{00000000-0005-0000-0000-00001F6B0000}"/>
    <cellStyle name="60% - Accent2 40 2" xfId="37266" xr:uid="{00000000-0005-0000-0000-0000206B0000}"/>
    <cellStyle name="60% - Accent2 40 3" xfId="38164" xr:uid="{00000000-0005-0000-0000-0000216B0000}"/>
    <cellStyle name="60% - Accent2 41" xfId="36117" xr:uid="{00000000-0005-0000-0000-0000226B0000}"/>
    <cellStyle name="60% - Accent2 41 2" xfId="37286" xr:uid="{00000000-0005-0000-0000-0000236B0000}"/>
    <cellStyle name="60% - Accent2 41 3" xfId="38184" xr:uid="{00000000-0005-0000-0000-0000246B0000}"/>
    <cellStyle name="60% - Accent2 42" xfId="36137" xr:uid="{00000000-0005-0000-0000-0000256B0000}"/>
    <cellStyle name="60% - Accent2 42 2" xfId="37306" xr:uid="{00000000-0005-0000-0000-0000266B0000}"/>
    <cellStyle name="60% - Accent2 42 3" xfId="38204" xr:uid="{00000000-0005-0000-0000-0000276B0000}"/>
    <cellStyle name="60% - Accent2 43" xfId="36157" xr:uid="{00000000-0005-0000-0000-0000286B0000}"/>
    <cellStyle name="60% - Accent2 43 2" xfId="37326" xr:uid="{00000000-0005-0000-0000-0000296B0000}"/>
    <cellStyle name="60% - Accent2 43 3" xfId="38224" xr:uid="{00000000-0005-0000-0000-00002A6B0000}"/>
    <cellStyle name="60% - Accent2 44" xfId="36177" xr:uid="{00000000-0005-0000-0000-00002B6B0000}"/>
    <cellStyle name="60% - Accent2 44 2" xfId="37346" xr:uid="{00000000-0005-0000-0000-00002C6B0000}"/>
    <cellStyle name="60% - Accent2 44 3" xfId="38244" xr:uid="{00000000-0005-0000-0000-00002D6B0000}"/>
    <cellStyle name="60% - Accent2 45" xfId="36197" xr:uid="{00000000-0005-0000-0000-00002E6B0000}"/>
    <cellStyle name="60% - Accent2 45 2" xfId="37366" xr:uid="{00000000-0005-0000-0000-00002F6B0000}"/>
    <cellStyle name="60% - Accent2 45 3" xfId="38264" xr:uid="{00000000-0005-0000-0000-0000306B0000}"/>
    <cellStyle name="60% - Accent2 46" xfId="36217" xr:uid="{00000000-0005-0000-0000-0000316B0000}"/>
    <cellStyle name="60% - Accent2 46 2" xfId="37384" xr:uid="{00000000-0005-0000-0000-0000326B0000}"/>
    <cellStyle name="60% - Accent2 46 3" xfId="38284" xr:uid="{00000000-0005-0000-0000-0000336B0000}"/>
    <cellStyle name="60% - Accent2 47" xfId="36518" xr:uid="{00000000-0005-0000-0000-0000346B0000}"/>
    <cellStyle name="60% - Accent2 48" xfId="37403" xr:uid="{00000000-0005-0000-0000-0000356B0000}"/>
    <cellStyle name="60% - Accent2 5" xfId="265" xr:uid="{00000000-0005-0000-0000-0000366B0000}"/>
    <cellStyle name="60% - Accent2 5 2" xfId="34802" xr:uid="{00000000-0005-0000-0000-0000376B0000}"/>
    <cellStyle name="60% - Accent2 5 3" xfId="35004" xr:uid="{00000000-0005-0000-0000-0000386B0000}"/>
    <cellStyle name="60% - Accent2 5 4" xfId="35210" xr:uid="{00000000-0005-0000-0000-0000396B0000}"/>
    <cellStyle name="60% - Accent2 5 5" xfId="35439" xr:uid="{00000000-0005-0000-0000-00003A6B0000}"/>
    <cellStyle name="60% - Accent2 5 6" xfId="36311" xr:uid="{00000000-0005-0000-0000-00003B6B0000}"/>
    <cellStyle name="60% - Accent2 5 7" xfId="36597" xr:uid="{00000000-0005-0000-0000-00003C6B0000}"/>
    <cellStyle name="60% - Accent2 5 8" xfId="37482" xr:uid="{00000000-0005-0000-0000-00003D6B0000}"/>
    <cellStyle name="60% - Accent2 6" xfId="285" xr:uid="{00000000-0005-0000-0000-00003E6B0000}"/>
    <cellStyle name="60% - Accent2 6 2" xfId="34821" xr:uid="{00000000-0005-0000-0000-00003F6B0000}"/>
    <cellStyle name="60% - Accent2 6 3" xfId="35023" xr:uid="{00000000-0005-0000-0000-0000406B0000}"/>
    <cellStyle name="60% - Accent2 6 4" xfId="35229" xr:uid="{00000000-0005-0000-0000-0000416B0000}"/>
    <cellStyle name="60% - Accent2 6 5" xfId="35458" xr:uid="{00000000-0005-0000-0000-0000426B0000}"/>
    <cellStyle name="60% - Accent2 6 6" xfId="36330" xr:uid="{00000000-0005-0000-0000-0000436B0000}"/>
    <cellStyle name="60% - Accent2 6 7" xfId="36616" xr:uid="{00000000-0005-0000-0000-0000446B0000}"/>
    <cellStyle name="60% - Accent2 6 8" xfId="37496" xr:uid="{00000000-0005-0000-0000-0000456B0000}"/>
    <cellStyle name="60% - Accent2 7" xfId="305" xr:uid="{00000000-0005-0000-0000-0000466B0000}"/>
    <cellStyle name="60% - Accent2 7 2" xfId="34840" xr:uid="{00000000-0005-0000-0000-0000476B0000}"/>
    <cellStyle name="60% - Accent2 7 3" xfId="35042" xr:uid="{00000000-0005-0000-0000-0000486B0000}"/>
    <cellStyle name="60% - Accent2 7 4" xfId="35249" xr:uid="{00000000-0005-0000-0000-0000496B0000}"/>
    <cellStyle name="60% - Accent2 7 5" xfId="35478" xr:uid="{00000000-0005-0000-0000-00004A6B0000}"/>
    <cellStyle name="60% - Accent2 7 6" xfId="36350" xr:uid="{00000000-0005-0000-0000-00004B6B0000}"/>
    <cellStyle name="60% - Accent2 7 7" xfId="36631" xr:uid="{00000000-0005-0000-0000-00004C6B0000}"/>
    <cellStyle name="60% - Accent2 7 8" xfId="37508" xr:uid="{00000000-0005-0000-0000-00004D6B0000}"/>
    <cellStyle name="60% - Accent2 8" xfId="325" xr:uid="{00000000-0005-0000-0000-00004E6B0000}"/>
    <cellStyle name="60% - Accent2 8 2" xfId="34859" xr:uid="{00000000-0005-0000-0000-00004F6B0000}"/>
    <cellStyle name="60% - Accent2 8 3" xfId="35061" xr:uid="{00000000-0005-0000-0000-0000506B0000}"/>
    <cellStyle name="60% - Accent2 8 4" xfId="35268" xr:uid="{00000000-0005-0000-0000-0000516B0000}"/>
    <cellStyle name="60% - Accent2 8 5" xfId="35497" xr:uid="{00000000-0005-0000-0000-0000526B0000}"/>
    <cellStyle name="60% - Accent2 8 6" xfId="36364" xr:uid="{00000000-0005-0000-0000-0000536B0000}"/>
    <cellStyle name="60% - Accent2 8 7" xfId="36642" xr:uid="{00000000-0005-0000-0000-0000546B0000}"/>
    <cellStyle name="60% - Accent2 8 8" xfId="37527" xr:uid="{00000000-0005-0000-0000-0000556B0000}"/>
    <cellStyle name="60% - Accent2 9" xfId="345" xr:uid="{00000000-0005-0000-0000-0000566B0000}"/>
    <cellStyle name="60% - Accent2 9 2" xfId="34879" xr:uid="{00000000-0005-0000-0000-0000576B0000}"/>
    <cellStyle name="60% - Accent2 9 3" xfId="35080" xr:uid="{00000000-0005-0000-0000-0000586B0000}"/>
    <cellStyle name="60% - Accent2 9 4" xfId="35288" xr:uid="{00000000-0005-0000-0000-0000596B0000}"/>
    <cellStyle name="60% - Accent2 9 5" xfId="35512" xr:uid="{00000000-0005-0000-0000-00005A6B0000}"/>
    <cellStyle name="60% - Accent2 9 6" xfId="36376" xr:uid="{00000000-0005-0000-0000-00005B6B0000}"/>
    <cellStyle name="60% - Accent2 9 7" xfId="36662" xr:uid="{00000000-0005-0000-0000-00005C6B0000}"/>
    <cellStyle name="60% - Accent2 9 8" xfId="37547" xr:uid="{00000000-0005-0000-0000-00005D6B0000}"/>
    <cellStyle name="60% - Accent3" xfId="33" builtinId="40" customBuiltin="1"/>
    <cellStyle name="60% - Accent3 10" xfId="186" xr:uid="{00000000-0005-0000-0000-00005F6B0000}"/>
    <cellStyle name="60% - Accent3 10 2" xfId="34900" xr:uid="{00000000-0005-0000-0000-0000606B0000}"/>
    <cellStyle name="60% - Accent3 10 3" xfId="35102" xr:uid="{00000000-0005-0000-0000-0000616B0000}"/>
    <cellStyle name="60% - Accent3 10 4" xfId="35304" xr:uid="{00000000-0005-0000-0000-0000626B0000}"/>
    <cellStyle name="60% - Accent3 10 5" xfId="35525" xr:uid="{00000000-0005-0000-0000-0000636B0000}"/>
    <cellStyle name="60% - Accent3 10 6" xfId="36398" xr:uid="{00000000-0005-0000-0000-0000646B0000}"/>
    <cellStyle name="60% - Accent3 10 7" xfId="36684" xr:uid="{00000000-0005-0000-0000-0000656B0000}"/>
    <cellStyle name="60% - Accent3 10 8" xfId="37569" xr:uid="{00000000-0005-0000-0000-0000666B0000}"/>
    <cellStyle name="60% - Accent3 11" xfId="34661" xr:uid="{00000000-0005-0000-0000-0000676B0000}"/>
    <cellStyle name="60% - Accent3 11 2" xfId="35121" xr:uid="{00000000-0005-0000-0000-0000686B0000}"/>
    <cellStyle name="60% - Accent3 11 3" xfId="35311" xr:uid="{00000000-0005-0000-0000-0000696B0000}"/>
    <cellStyle name="60% - Accent3 11 4" xfId="35545" xr:uid="{00000000-0005-0000-0000-00006A6B0000}"/>
    <cellStyle name="60% - Accent3 11 5" xfId="36418" xr:uid="{00000000-0005-0000-0000-00006B6B0000}"/>
    <cellStyle name="60% - Accent3 11 6" xfId="36704" xr:uid="{00000000-0005-0000-0000-00006C6B0000}"/>
    <cellStyle name="60% - Accent3 11 7" xfId="37589" xr:uid="{00000000-0005-0000-0000-00006D6B0000}"/>
    <cellStyle name="60% - Accent3 12" xfId="34711" xr:uid="{00000000-0005-0000-0000-00006E6B0000}"/>
    <cellStyle name="60% - Accent3 12 2" xfId="35133" xr:uid="{00000000-0005-0000-0000-00006F6B0000}"/>
    <cellStyle name="60% - Accent3 12 3" xfId="35324" xr:uid="{00000000-0005-0000-0000-0000706B0000}"/>
    <cellStyle name="60% - Accent3 12 4" xfId="35564" xr:uid="{00000000-0005-0000-0000-0000716B0000}"/>
    <cellStyle name="60% - Accent3 12 5" xfId="36437" xr:uid="{00000000-0005-0000-0000-0000726B0000}"/>
    <cellStyle name="60% - Accent3 12 6" xfId="36723" xr:uid="{00000000-0005-0000-0000-0000736B0000}"/>
    <cellStyle name="60% - Accent3 12 7" xfId="37608" xr:uid="{00000000-0005-0000-0000-0000746B0000}"/>
    <cellStyle name="60% - Accent3 13" xfId="34739" xr:uid="{00000000-0005-0000-0000-0000756B0000}"/>
    <cellStyle name="60% - Accent3 13 2" xfId="35338" xr:uid="{00000000-0005-0000-0000-0000766B0000}"/>
    <cellStyle name="60% - Accent3 13 3" xfId="35583" xr:uid="{00000000-0005-0000-0000-0000776B0000}"/>
    <cellStyle name="60% - Accent3 13 4" xfId="36458" xr:uid="{00000000-0005-0000-0000-0000786B0000}"/>
    <cellStyle name="60% - Accent3 13 5" xfId="36744" xr:uid="{00000000-0005-0000-0000-0000796B0000}"/>
    <cellStyle name="60% - Accent3 13 6" xfId="37629" xr:uid="{00000000-0005-0000-0000-00007A6B0000}"/>
    <cellStyle name="60% - Accent3 14" xfId="34929" xr:uid="{00000000-0005-0000-0000-00007B6B0000}"/>
    <cellStyle name="60% - Accent3 14 2" xfId="36470" xr:uid="{00000000-0005-0000-0000-00007C6B0000}"/>
    <cellStyle name="60% - Accent3 14 3" xfId="36768" xr:uid="{00000000-0005-0000-0000-00007D6B0000}"/>
    <cellStyle name="60% - Accent3 14 4" xfId="37653" xr:uid="{00000000-0005-0000-0000-00007E6B0000}"/>
    <cellStyle name="60% - Accent3 15" xfId="35140" xr:uid="{00000000-0005-0000-0000-00007F6B0000}"/>
    <cellStyle name="60% - Accent3 15 2" xfId="36483" xr:uid="{00000000-0005-0000-0000-0000806B0000}"/>
    <cellStyle name="60% - Accent3 15 3" xfId="36781" xr:uid="{00000000-0005-0000-0000-0000816B0000}"/>
    <cellStyle name="60% - Accent3 15 4" xfId="37669" xr:uid="{00000000-0005-0000-0000-0000826B0000}"/>
    <cellStyle name="60% - Accent3 16" xfId="35363" xr:uid="{00000000-0005-0000-0000-0000836B0000}"/>
    <cellStyle name="60% - Accent3 16 2" xfId="36501" xr:uid="{00000000-0005-0000-0000-0000846B0000}"/>
    <cellStyle name="60% - Accent3 16 3" xfId="36799" xr:uid="{00000000-0005-0000-0000-0000856B0000}"/>
    <cellStyle name="60% - Accent3 16 4" xfId="37688" xr:uid="{00000000-0005-0000-0000-0000866B0000}"/>
    <cellStyle name="60% - Accent3 17" xfId="35650" xr:uid="{00000000-0005-0000-0000-0000876B0000}"/>
    <cellStyle name="60% - Accent3 17 2" xfId="36818" xr:uid="{00000000-0005-0000-0000-0000886B0000}"/>
    <cellStyle name="60% - Accent3 17 3" xfId="37708" xr:uid="{00000000-0005-0000-0000-0000896B0000}"/>
    <cellStyle name="60% - Accent3 18" xfId="35668" xr:uid="{00000000-0005-0000-0000-00008A6B0000}"/>
    <cellStyle name="60% - Accent3 18 2" xfId="36837" xr:uid="{00000000-0005-0000-0000-00008B6B0000}"/>
    <cellStyle name="60% - Accent3 18 3" xfId="37727" xr:uid="{00000000-0005-0000-0000-00008C6B0000}"/>
    <cellStyle name="60% - Accent3 19" xfId="35687" xr:uid="{00000000-0005-0000-0000-00008D6B0000}"/>
    <cellStyle name="60% - Accent3 19 2" xfId="36856" xr:uid="{00000000-0005-0000-0000-00008E6B0000}"/>
    <cellStyle name="60% - Accent3 19 3" xfId="37746" xr:uid="{00000000-0005-0000-0000-00008F6B0000}"/>
    <cellStyle name="60% - Accent3 2" xfId="57" xr:uid="{00000000-0005-0000-0000-0000906B0000}"/>
    <cellStyle name="60% - Accent3 2 10" xfId="36542" xr:uid="{00000000-0005-0000-0000-0000916B0000}"/>
    <cellStyle name="60% - Accent3 2 11" xfId="37427" xr:uid="{00000000-0005-0000-0000-0000926B0000}"/>
    <cellStyle name="60% - Accent3 2 2" xfId="86" xr:uid="{00000000-0005-0000-0000-0000936B0000}"/>
    <cellStyle name="60% - Accent3 2 3" xfId="147" xr:uid="{00000000-0005-0000-0000-0000946B0000}"/>
    <cellStyle name="60% - Accent3 2 4" xfId="208" xr:uid="{00000000-0005-0000-0000-0000956B0000}"/>
    <cellStyle name="60% - Accent3 2 5" xfId="34421" xr:uid="{00000000-0005-0000-0000-0000966B0000}"/>
    <cellStyle name="60% - Accent3 2 5 2" xfId="34760" xr:uid="{00000000-0005-0000-0000-0000976B0000}"/>
    <cellStyle name="60% - Accent3 2 6" xfId="17510" xr:uid="{00000000-0005-0000-0000-0000986B0000}"/>
    <cellStyle name="60% - Accent3 2 6 2" xfId="34950" xr:uid="{00000000-0005-0000-0000-0000996B0000}"/>
    <cellStyle name="60% - Accent3 2 7" xfId="35155" xr:uid="{00000000-0005-0000-0000-00009A6B0000}"/>
    <cellStyle name="60% - Accent3 2 8" xfId="35384" xr:uid="{00000000-0005-0000-0000-00009B6B0000}"/>
    <cellStyle name="60% - Accent3 2 9" xfId="36256" xr:uid="{00000000-0005-0000-0000-00009C6B0000}"/>
    <cellStyle name="60% - Accent3 20" xfId="35706" xr:uid="{00000000-0005-0000-0000-00009D6B0000}"/>
    <cellStyle name="60% - Accent3 20 2" xfId="36875" xr:uid="{00000000-0005-0000-0000-00009E6B0000}"/>
    <cellStyle name="60% - Accent3 20 3" xfId="37766" xr:uid="{00000000-0005-0000-0000-00009F6B0000}"/>
    <cellStyle name="60% - Accent3 21" xfId="35725" xr:uid="{00000000-0005-0000-0000-0000A06B0000}"/>
    <cellStyle name="60% - Accent3 21 2" xfId="36895" xr:uid="{00000000-0005-0000-0000-0000A16B0000}"/>
    <cellStyle name="60% - Accent3 21 3" xfId="37786" xr:uid="{00000000-0005-0000-0000-0000A26B0000}"/>
    <cellStyle name="60% - Accent3 22" xfId="35744" xr:uid="{00000000-0005-0000-0000-0000A36B0000}"/>
    <cellStyle name="60% - Accent3 22 2" xfId="36915" xr:uid="{00000000-0005-0000-0000-0000A46B0000}"/>
    <cellStyle name="60% - Accent3 22 3" xfId="37806" xr:uid="{00000000-0005-0000-0000-0000A56B0000}"/>
    <cellStyle name="60% - Accent3 23" xfId="35764" xr:uid="{00000000-0005-0000-0000-0000A66B0000}"/>
    <cellStyle name="60% - Accent3 23 2" xfId="36934" xr:uid="{00000000-0005-0000-0000-0000A76B0000}"/>
    <cellStyle name="60% - Accent3 23 3" xfId="37826" xr:uid="{00000000-0005-0000-0000-0000A86B0000}"/>
    <cellStyle name="60% - Accent3 24" xfId="35784" xr:uid="{00000000-0005-0000-0000-0000A96B0000}"/>
    <cellStyle name="60% - Accent3 24 2" xfId="36953" xr:uid="{00000000-0005-0000-0000-0000AA6B0000}"/>
    <cellStyle name="60% - Accent3 24 3" xfId="37846" xr:uid="{00000000-0005-0000-0000-0000AB6B0000}"/>
    <cellStyle name="60% - Accent3 25" xfId="35803" xr:uid="{00000000-0005-0000-0000-0000AC6B0000}"/>
    <cellStyle name="60% - Accent3 25 2" xfId="36973" xr:uid="{00000000-0005-0000-0000-0000AD6B0000}"/>
    <cellStyle name="60% - Accent3 25 3" xfId="37866" xr:uid="{00000000-0005-0000-0000-0000AE6B0000}"/>
    <cellStyle name="60% - Accent3 26" xfId="35822" xr:uid="{00000000-0005-0000-0000-0000AF6B0000}"/>
    <cellStyle name="60% - Accent3 26 2" xfId="36993" xr:uid="{00000000-0005-0000-0000-0000B06B0000}"/>
    <cellStyle name="60% - Accent3 26 3" xfId="37886" xr:uid="{00000000-0005-0000-0000-0000B16B0000}"/>
    <cellStyle name="60% - Accent3 27" xfId="35841" xr:uid="{00000000-0005-0000-0000-0000B26B0000}"/>
    <cellStyle name="60% - Accent3 27 2" xfId="37013" xr:uid="{00000000-0005-0000-0000-0000B36B0000}"/>
    <cellStyle name="60% - Accent3 27 3" xfId="37906" xr:uid="{00000000-0005-0000-0000-0000B46B0000}"/>
    <cellStyle name="60% - Accent3 28" xfId="35860" xr:uid="{00000000-0005-0000-0000-0000B56B0000}"/>
    <cellStyle name="60% - Accent3 28 2" xfId="37033" xr:uid="{00000000-0005-0000-0000-0000B66B0000}"/>
    <cellStyle name="60% - Accent3 28 3" xfId="37926" xr:uid="{00000000-0005-0000-0000-0000B76B0000}"/>
    <cellStyle name="60% - Accent3 29" xfId="35885" xr:uid="{00000000-0005-0000-0000-0000B86B0000}"/>
    <cellStyle name="60% - Accent3 29 2" xfId="37057" xr:uid="{00000000-0005-0000-0000-0000B96B0000}"/>
    <cellStyle name="60% - Accent3 29 3" xfId="37951" xr:uid="{00000000-0005-0000-0000-0000BA6B0000}"/>
    <cellStyle name="60% - Accent3 3" xfId="106" xr:uid="{00000000-0005-0000-0000-0000BB6B0000}"/>
    <cellStyle name="60% - Accent3 3 10" xfId="37446" xr:uid="{00000000-0005-0000-0000-0000BC6B0000}"/>
    <cellStyle name="60% - Accent3 3 2" xfId="167" xr:uid="{00000000-0005-0000-0000-0000BD6B0000}"/>
    <cellStyle name="60% - Accent3 3 3" xfId="228" xr:uid="{00000000-0005-0000-0000-0000BE6B0000}"/>
    <cellStyle name="60% - Accent3 3 4" xfId="34460" xr:uid="{00000000-0005-0000-0000-0000BF6B0000}"/>
    <cellStyle name="60% - Accent3 3 5" xfId="17507" xr:uid="{00000000-0005-0000-0000-0000C06B0000}"/>
    <cellStyle name="60% - Accent3 3 5 2" xfId="34969" xr:uid="{00000000-0005-0000-0000-0000C16B0000}"/>
    <cellStyle name="60% - Accent3 3 6" xfId="35174" xr:uid="{00000000-0005-0000-0000-0000C26B0000}"/>
    <cellStyle name="60% - Accent3 3 7" xfId="35403" xr:uid="{00000000-0005-0000-0000-0000C36B0000}"/>
    <cellStyle name="60% - Accent3 3 8" xfId="36275" xr:uid="{00000000-0005-0000-0000-0000C46B0000}"/>
    <cellStyle name="60% - Accent3 3 9" xfId="36561" xr:uid="{00000000-0005-0000-0000-0000C56B0000}"/>
    <cellStyle name="60% - Accent3 30" xfId="35900" xr:uid="{00000000-0005-0000-0000-0000C66B0000}"/>
    <cellStyle name="60% - Accent3 30 2" xfId="37072" xr:uid="{00000000-0005-0000-0000-0000C76B0000}"/>
    <cellStyle name="60% - Accent3 30 3" xfId="37967" xr:uid="{00000000-0005-0000-0000-0000C86B0000}"/>
    <cellStyle name="60% - Accent3 31" xfId="35920" xr:uid="{00000000-0005-0000-0000-0000C96B0000}"/>
    <cellStyle name="60% - Accent3 31 2" xfId="37091" xr:uid="{00000000-0005-0000-0000-0000CA6B0000}"/>
    <cellStyle name="60% - Accent3 31 3" xfId="37987" xr:uid="{00000000-0005-0000-0000-0000CB6B0000}"/>
    <cellStyle name="60% - Accent3 32" xfId="35940" xr:uid="{00000000-0005-0000-0000-0000CC6B0000}"/>
    <cellStyle name="60% - Accent3 32 2" xfId="37110" xr:uid="{00000000-0005-0000-0000-0000CD6B0000}"/>
    <cellStyle name="60% - Accent3 32 3" xfId="38007" xr:uid="{00000000-0005-0000-0000-0000CE6B0000}"/>
    <cellStyle name="60% - Accent3 33" xfId="35960" xr:uid="{00000000-0005-0000-0000-0000CF6B0000}"/>
    <cellStyle name="60% - Accent3 33 2" xfId="37129" xr:uid="{00000000-0005-0000-0000-0000D06B0000}"/>
    <cellStyle name="60% - Accent3 33 3" xfId="38027" xr:uid="{00000000-0005-0000-0000-0000D16B0000}"/>
    <cellStyle name="60% - Accent3 34" xfId="35980" xr:uid="{00000000-0005-0000-0000-0000D26B0000}"/>
    <cellStyle name="60% - Accent3 34 2" xfId="37149" xr:uid="{00000000-0005-0000-0000-0000D36B0000}"/>
    <cellStyle name="60% - Accent3 34 3" xfId="38047" xr:uid="{00000000-0005-0000-0000-0000D46B0000}"/>
    <cellStyle name="60% - Accent3 35" xfId="36000" xr:uid="{00000000-0005-0000-0000-0000D56B0000}"/>
    <cellStyle name="60% - Accent3 35 2" xfId="37169" xr:uid="{00000000-0005-0000-0000-0000D66B0000}"/>
    <cellStyle name="60% - Accent3 35 3" xfId="38067" xr:uid="{00000000-0005-0000-0000-0000D76B0000}"/>
    <cellStyle name="60% - Accent3 36" xfId="36020" xr:uid="{00000000-0005-0000-0000-0000D86B0000}"/>
    <cellStyle name="60% - Accent3 36 2" xfId="37189" xr:uid="{00000000-0005-0000-0000-0000D96B0000}"/>
    <cellStyle name="60% - Accent3 36 3" xfId="38087" xr:uid="{00000000-0005-0000-0000-0000DA6B0000}"/>
    <cellStyle name="60% - Accent3 37" xfId="36040" xr:uid="{00000000-0005-0000-0000-0000DB6B0000}"/>
    <cellStyle name="60% - Accent3 37 2" xfId="37209" xr:uid="{00000000-0005-0000-0000-0000DC6B0000}"/>
    <cellStyle name="60% - Accent3 37 3" xfId="38107" xr:uid="{00000000-0005-0000-0000-0000DD6B0000}"/>
    <cellStyle name="60% - Accent3 38" xfId="36060" xr:uid="{00000000-0005-0000-0000-0000DE6B0000}"/>
    <cellStyle name="60% - Accent3 38 2" xfId="37229" xr:uid="{00000000-0005-0000-0000-0000DF6B0000}"/>
    <cellStyle name="60% - Accent3 38 3" xfId="38127" xr:uid="{00000000-0005-0000-0000-0000E06B0000}"/>
    <cellStyle name="60% - Accent3 39" xfId="36080" xr:uid="{00000000-0005-0000-0000-0000E16B0000}"/>
    <cellStyle name="60% - Accent3 39 2" xfId="37249" xr:uid="{00000000-0005-0000-0000-0000E26B0000}"/>
    <cellStyle name="60% - Accent3 39 3" xfId="38147" xr:uid="{00000000-0005-0000-0000-0000E36B0000}"/>
    <cellStyle name="60% - Accent3 4" xfId="125" xr:uid="{00000000-0005-0000-0000-0000E46B0000}"/>
    <cellStyle name="60% - Accent3 4 2" xfId="248" xr:uid="{00000000-0005-0000-0000-0000E56B0000}"/>
    <cellStyle name="60% - Accent3 4 3" xfId="34479" xr:uid="{00000000-0005-0000-0000-0000E66B0000}"/>
    <cellStyle name="60% - Accent3 4 4" xfId="17500" xr:uid="{00000000-0005-0000-0000-0000E76B0000}"/>
    <cellStyle name="60% - Accent3 4 4 2" xfId="34988" xr:uid="{00000000-0005-0000-0000-0000E86B0000}"/>
    <cellStyle name="60% - Accent3 4 5" xfId="35193" xr:uid="{00000000-0005-0000-0000-0000E96B0000}"/>
    <cellStyle name="60% - Accent3 4 6" xfId="35422" xr:uid="{00000000-0005-0000-0000-0000EA6B0000}"/>
    <cellStyle name="60% - Accent3 4 7" xfId="36294" xr:uid="{00000000-0005-0000-0000-0000EB6B0000}"/>
    <cellStyle name="60% - Accent3 4 8" xfId="36580" xr:uid="{00000000-0005-0000-0000-0000EC6B0000}"/>
    <cellStyle name="60% - Accent3 4 9" xfId="37465" xr:uid="{00000000-0005-0000-0000-0000ED6B0000}"/>
    <cellStyle name="60% - Accent3 40" xfId="36100" xr:uid="{00000000-0005-0000-0000-0000EE6B0000}"/>
    <cellStyle name="60% - Accent3 40 2" xfId="37269" xr:uid="{00000000-0005-0000-0000-0000EF6B0000}"/>
    <cellStyle name="60% - Accent3 40 3" xfId="38167" xr:uid="{00000000-0005-0000-0000-0000F06B0000}"/>
    <cellStyle name="60% - Accent3 41" xfId="36120" xr:uid="{00000000-0005-0000-0000-0000F16B0000}"/>
    <cellStyle name="60% - Accent3 41 2" xfId="37289" xr:uid="{00000000-0005-0000-0000-0000F26B0000}"/>
    <cellStyle name="60% - Accent3 41 3" xfId="38187" xr:uid="{00000000-0005-0000-0000-0000F36B0000}"/>
    <cellStyle name="60% - Accent3 42" xfId="36140" xr:uid="{00000000-0005-0000-0000-0000F46B0000}"/>
    <cellStyle name="60% - Accent3 42 2" xfId="37309" xr:uid="{00000000-0005-0000-0000-0000F56B0000}"/>
    <cellStyle name="60% - Accent3 42 3" xfId="38207" xr:uid="{00000000-0005-0000-0000-0000F66B0000}"/>
    <cellStyle name="60% - Accent3 43" xfId="36160" xr:uid="{00000000-0005-0000-0000-0000F76B0000}"/>
    <cellStyle name="60% - Accent3 43 2" xfId="37329" xr:uid="{00000000-0005-0000-0000-0000F86B0000}"/>
    <cellStyle name="60% - Accent3 43 3" xfId="38227" xr:uid="{00000000-0005-0000-0000-0000F96B0000}"/>
    <cellStyle name="60% - Accent3 44" xfId="36180" xr:uid="{00000000-0005-0000-0000-0000FA6B0000}"/>
    <cellStyle name="60% - Accent3 44 2" xfId="37349" xr:uid="{00000000-0005-0000-0000-0000FB6B0000}"/>
    <cellStyle name="60% - Accent3 44 3" xfId="38247" xr:uid="{00000000-0005-0000-0000-0000FC6B0000}"/>
    <cellStyle name="60% - Accent3 45" xfId="36200" xr:uid="{00000000-0005-0000-0000-0000FD6B0000}"/>
    <cellStyle name="60% - Accent3 45 2" xfId="37369" xr:uid="{00000000-0005-0000-0000-0000FE6B0000}"/>
    <cellStyle name="60% - Accent3 45 3" xfId="38267" xr:uid="{00000000-0005-0000-0000-0000FF6B0000}"/>
    <cellStyle name="60% - Accent3 46" xfId="36220" xr:uid="{00000000-0005-0000-0000-0000006C0000}"/>
    <cellStyle name="60% - Accent3 46 2" xfId="37387" xr:uid="{00000000-0005-0000-0000-0000016C0000}"/>
    <cellStyle name="60% - Accent3 46 3" xfId="38287" xr:uid="{00000000-0005-0000-0000-0000026C0000}"/>
    <cellStyle name="60% - Accent3 47" xfId="36521" xr:uid="{00000000-0005-0000-0000-0000036C0000}"/>
    <cellStyle name="60% - Accent3 48" xfId="37406" xr:uid="{00000000-0005-0000-0000-0000046C0000}"/>
    <cellStyle name="60% - Accent3 5" xfId="268" xr:uid="{00000000-0005-0000-0000-0000056C0000}"/>
    <cellStyle name="60% - Accent3 5 2" xfId="34805" xr:uid="{00000000-0005-0000-0000-0000066C0000}"/>
    <cellStyle name="60% - Accent3 5 3" xfId="35007" xr:uid="{00000000-0005-0000-0000-0000076C0000}"/>
    <cellStyle name="60% - Accent3 5 4" xfId="35213" xr:uid="{00000000-0005-0000-0000-0000086C0000}"/>
    <cellStyle name="60% - Accent3 5 5" xfId="35442" xr:uid="{00000000-0005-0000-0000-0000096C0000}"/>
    <cellStyle name="60% - Accent3 5 6" xfId="36314" xr:uid="{00000000-0005-0000-0000-00000A6C0000}"/>
    <cellStyle name="60% - Accent3 5 7" xfId="36600" xr:uid="{00000000-0005-0000-0000-00000B6C0000}"/>
    <cellStyle name="60% - Accent3 5 8" xfId="37485" xr:uid="{00000000-0005-0000-0000-00000C6C0000}"/>
    <cellStyle name="60% - Accent3 6" xfId="288" xr:uid="{00000000-0005-0000-0000-00000D6C0000}"/>
    <cellStyle name="60% - Accent3 6 2" xfId="34824" xr:uid="{00000000-0005-0000-0000-00000E6C0000}"/>
    <cellStyle name="60% - Accent3 6 3" xfId="35026" xr:uid="{00000000-0005-0000-0000-00000F6C0000}"/>
    <cellStyle name="60% - Accent3 6 4" xfId="35232" xr:uid="{00000000-0005-0000-0000-0000106C0000}"/>
    <cellStyle name="60% - Accent3 6 5" xfId="35461" xr:uid="{00000000-0005-0000-0000-0000116C0000}"/>
    <cellStyle name="60% - Accent3 6 6" xfId="36333" xr:uid="{00000000-0005-0000-0000-0000126C0000}"/>
    <cellStyle name="60% - Accent3 6 7" xfId="36619" xr:uid="{00000000-0005-0000-0000-0000136C0000}"/>
    <cellStyle name="60% - Accent3 6 8" xfId="37497" xr:uid="{00000000-0005-0000-0000-0000146C0000}"/>
    <cellStyle name="60% - Accent3 7" xfId="308" xr:uid="{00000000-0005-0000-0000-0000156C0000}"/>
    <cellStyle name="60% - Accent3 7 2" xfId="34843" xr:uid="{00000000-0005-0000-0000-0000166C0000}"/>
    <cellStyle name="60% - Accent3 7 3" xfId="35045" xr:uid="{00000000-0005-0000-0000-0000176C0000}"/>
    <cellStyle name="60% - Accent3 7 4" xfId="35252" xr:uid="{00000000-0005-0000-0000-0000186C0000}"/>
    <cellStyle name="60% - Accent3 7 5" xfId="35481" xr:uid="{00000000-0005-0000-0000-0000196C0000}"/>
    <cellStyle name="60% - Accent3 7 6" xfId="36353" xr:uid="{00000000-0005-0000-0000-00001A6C0000}"/>
    <cellStyle name="60% - Accent3 7 7" xfId="36632" xr:uid="{00000000-0005-0000-0000-00001B6C0000}"/>
    <cellStyle name="60% - Accent3 7 8" xfId="37511" xr:uid="{00000000-0005-0000-0000-00001C6C0000}"/>
    <cellStyle name="60% - Accent3 8" xfId="328" xr:uid="{00000000-0005-0000-0000-00001D6C0000}"/>
    <cellStyle name="60% - Accent3 8 2" xfId="34862" xr:uid="{00000000-0005-0000-0000-00001E6C0000}"/>
    <cellStyle name="60% - Accent3 8 3" xfId="35064" xr:uid="{00000000-0005-0000-0000-00001F6C0000}"/>
    <cellStyle name="60% - Accent3 8 4" xfId="35271" xr:uid="{00000000-0005-0000-0000-0000206C0000}"/>
    <cellStyle name="60% - Accent3 8 5" xfId="35500" xr:uid="{00000000-0005-0000-0000-0000216C0000}"/>
    <cellStyle name="60% - Accent3 8 6" xfId="36365" xr:uid="{00000000-0005-0000-0000-0000226C0000}"/>
    <cellStyle name="60% - Accent3 8 7" xfId="36645" xr:uid="{00000000-0005-0000-0000-0000236C0000}"/>
    <cellStyle name="60% - Accent3 8 8" xfId="37530" xr:uid="{00000000-0005-0000-0000-0000246C0000}"/>
    <cellStyle name="60% - Accent3 9" xfId="348" xr:uid="{00000000-0005-0000-0000-0000256C0000}"/>
    <cellStyle name="60% - Accent3 9 2" xfId="34882" xr:uid="{00000000-0005-0000-0000-0000266C0000}"/>
    <cellStyle name="60% - Accent3 9 3" xfId="35083" xr:uid="{00000000-0005-0000-0000-0000276C0000}"/>
    <cellStyle name="60% - Accent3 9 4" xfId="35291" xr:uid="{00000000-0005-0000-0000-0000286C0000}"/>
    <cellStyle name="60% - Accent3 9 5" xfId="35513" xr:uid="{00000000-0005-0000-0000-0000296C0000}"/>
    <cellStyle name="60% - Accent3 9 6" xfId="36379" xr:uid="{00000000-0005-0000-0000-00002A6C0000}"/>
    <cellStyle name="60% - Accent3 9 7" xfId="36665" xr:uid="{00000000-0005-0000-0000-00002B6C0000}"/>
    <cellStyle name="60% - Accent3 9 8" xfId="37550" xr:uid="{00000000-0005-0000-0000-00002C6C0000}"/>
    <cellStyle name="60% - Accent4" xfId="37" builtinId="44" customBuiltin="1"/>
    <cellStyle name="60% - Accent4 10" xfId="189" xr:uid="{00000000-0005-0000-0000-00002E6C0000}"/>
    <cellStyle name="60% - Accent4 10 2" xfId="34903" xr:uid="{00000000-0005-0000-0000-00002F6C0000}"/>
    <cellStyle name="60% - Accent4 10 3" xfId="35105" xr:uid="{00000000-0005-0000-0000-0000306C0000}"/>
    <cellStyle name="60% - Accent4 10 4" xfId="35305" xr:uid="{00000000-0005-0000-0000-0000316C0000}"/>
    <cellStyle name="60% - Accent4 10 5" xfId="35528" xr:uid="{00000000-0005-0000-0000-0000326C0000}"/>
    <cellStyle name="60% - Accent4 10 6" xfId="36401" xr:uid="{00000000-0005-0000-0000-0000336C0000}"/>
    <cellStyle name="60% - Accent4 10 7" xfId="36687" xr:uid="{00000000-0005-0000-0000-0000346C0000}"/>
    <cellStyle name="60% - Accent4 10 8" xfId="37572" xr:uid="{00000000-0005-0000-0000-0000356C0000}"/>
    <cellStyle name="60% - Accent4 11" xfId="34662" xr:uid="{00000000-0005-0000-0000-0000366C0000}"/>
    <cellStyle name="60% - Accent4 11 2" xfId="35124" xr:uid="{00000000-0005-0000-0000-0000376C0000}"/>
    <cellStyle name="60% - Accent4 11 3" xfId="35312" xr:uid="{00000000-0005-0000-0000-0000386C0000}"/>
    <cellStyle name="60% - Accent4 11 4" xfId="35548" xr:uid="{00000000-0005-0000-0000-0000396C0000}"/>
    <cellStyle name="60% - Accent4 11 5" xfId="36421" xr:uid="{00000000-0005-0000-0000-00003A6C0000}"/>
    <cellStyle name="60% - Accent4 11 6" xfId="36707" xr:uid="{00000000-0005-0000-0000-00003B6C0000}"/>
    <cellStyle name="60% - Accent4 11 7" xfId="37592" xr:uid="{00000000-0005-0000-0000-00003C6C0000}"/>
    <cellStyle name="60% - Accent4 12" xfId="34714" xr:uid="{00000000-0005-0000-0000-00003D6C0000}"/>
    <cellStyle name="60% - Accent4 12 2" xfId="35134" xr:uid="{00000000-0005-0000-0000-00003E6C0000}"/>
    <cellStyle name="60% - Accent4 12 3" xfId="35327" xr:uid="{00000000-0005-0000-0000-00003F6C0000}"/>
    <cellStyle name="60% - Accent4 12 4" xfId="35567" xr:uid="{00000000-0005-0000-0000-0000406C0000}"/>
    <cellStyle name="60% - Accent4 12 5" xfId="36440" xr:uid="{00000000-0005-0000-0000-0000416C0000}"/>
    <cellStyle name="60% - Accent4 12 6" xfId="36726" xr:uid="{00000000-0005-0000-0000-0000426C0000}"/>
    <cellStyle name="60% - Accent4 12 7" xfId="37611" xr:uid="{00000000-0005-0000-0000-0000436C0000}"/>
    <cellStyle name="60% - Accent4 13" xfId="34742" xr:uid="{00000000-0005-0000-0000-0000446C0000}"/>
    <cellStyle name="60% - Accent4 13 2" xfId="35339" xr:uid="{00000000-0005-0000-0000-0000456C0000}"/>
    <cellStyle name="60% - Accent4 13 3" xfId="35586" xr:uid="{00000000-0005-0000-0000-0000466C0000}"/>
    <cellStyle name="60% - Accent4 13 4" xfId="36461" xr:uid="{00000000-0005-0000-0000-0000476C0000}"/>
    <cellStyle name="60% - Accent4 13 5" xfId="36747" xr:uid="{00000000-0005-0000-0000-0000486C0000}"/>
    <cellStyle name="60% - Accent4 13 6" xfId="37632" xr:uid="{00000000-0005-0000-0000-0000496C0000}"/>
    <cellStyle name="60% - Accent4 14" xfId="34932" xr:uid="{00000000-0005-0000-0000-00004A6C0000}"/>
    <cellStyle name="60% - Accent4 14 2" xfId="36471" xr:uid="{00000000-0005-0000-0000-00004B6C0000}"/>
    <cellStyle name="60% - Accent4 14 3" xfId="36769" xr:uid="{00000000-0005-0000-0000-00004C6C0000}"/>
    <cellStyle name="60% - Accent4 14 4" xfId="37654" xr:uid="{00000000-0005-0000-0000-00004D6C0000}"/>
    <cellStyle name="60% - Accent4 15" xfId="35141" xr:uid="{00000000-0005-0000-0000-00004E6C0000}"/>
    <cellStyle name="60% - Accent4 15 2" xfId="36486" xr:uid="{00000000-0005-0000-0000-00004F6C0000}"/>
    <cellStyle name="60% - Accent4 15 3" xfId="36784" xr:uid="{00000000-0005-0000-0000-0000506C0000}"/>
    <cellStyle name="60% - Accent4 15 4" xfId="37672" xr:uid="{00000000-0005-0000-0000-0000516C0000}"/>
    <cellStyle name="60% - Accent4 16" xfId="35366" xr:uid="{00000000-0005-0000-0000-0000526C0000}"/>
    <cellStyle name="60% - Accent4 16 2" xfId="36504" xr:uid="{00000000-0005-0000-0000-0000536C0000}"/>
    <cellStyle name="60% - Accent4 16 3" xfId="36802" xr:uid="{00000000-0005-0000-0000-0000546C0000}"/>
    <cellStyle name="60% - Accent4 16 4" xfId="37691" xr:uid="{00000000-0005-0000-0000-0000556C0000}"/>
    <cellStyle name="60% - Accent4 17" xfId="35653" xr:uid="{00000000-0005-0000-0000-0000566C0000}"/>
    <cellStyle name="60% - Accent4 17 2" xfId="36821" xr:uid="{00000000-0005-0000-0000-0000576C0000}"/>
    <cellStyle name="60% - Accent4 17 3" xfId="37711" xr:uid="{00000000-0005-0000-0000-0000586C0000}"/>
    <cellStyle name="60% - Accent4 18" xfId="35671" xr:uid="{00000000-0005-0000-0000-0000596C0000}"/>
    <cellStyle name="60% - Accent4 18 2" xfId="36840" xr:uid="{00000000-0005-0000-0000-00005A6C0000}"/>
    <cellStyle name="60% - Accent4 18 3" xfId="37730" xr:uid="{00000000-0005-0000-0000-00005B6C0000}"/>
    <cellStyle name="60% - Accent4 19" xfId="35690" xr:uid="{00000000-0005-0000-0000-00005C6C0000}"/>
    <cellStyle name="60% - Accent4 19 2" xfId="36859" xr:uid="{00000000-0005-0000-0000-00005D6C0000}"/>
    <cellStyle name="60% - Accent4 19 3" xfId="37749" xr:uid="{00000000-0005-0000-0000-00005E6C0000}"/>
    <cellStyle name="60% - Accent4 2" xfId="55" xr:uid="{00000000-0005-0000-0000-00005F6C0000}"/>
    <cellStyle name="60% - Accent4 2 10" xfId="36545" xr:uid="{00000000-0005-0000-0000-0000606C0000}"/>
    <cellStyle name="60% - Accent4 2 11" xfId="37430" xr:uid="{00000000-0005-0000-0000-0000616C0000}"/>
    <cellStyle name="60% - Accent4 2 2" xfId="89" xr:uid="{00000000-0005-0000-0000-0000626C0000}"/>
    <cellStyle name="60% - Accent4 2 3" xfId="150" xr:uid="{00000000-0005-0000-0000-0000636C0000}"/>
    <cellStyle name="60% - Accent4 2 4" xfId="211" xr:uid="{00000000-0005-0000-0000-0000646C0000}"/>
    <cellStyle name="60% - Accent4 2 5" xfId="34419" xr:uid="{00000000-0005-0000-0000-0000656C0000}"/>
    <cellStyle name="60% - Accent4 2 5 2" xfId="34763" xr:uid="{00000000-0005-0000-0000-0000666C0000}"/>
    <cellStyle name="60% - Accent4 2 6" xfId="24141" xr:uid="{00000000-0005-0000-0000-0000676C0000}"/>
    <cellStyle name="60% - Accent4 2 6 2" xfId="34953" xr:uid="{00000000-0005-0000-0000-0000686C0000}"/>
    <cellStyle name="60% - Accent4 2 7" xfId="35158" xr:uid="{00000000-0005-0000-0000-0000696C0000}"/>
    <cellStyle name="60% - Accent4 2 8" xfId="35387" xr:uid="{00000000-0005-0000-0000-00006A6C0000}"/>
    <cellStyle name="60% - Accent4 2 9" xfId="36259" xr:uid="{00000000-0005-0000-0000-00006B6C0000}"/>
    <cellStyle name="60% - Accent4 20" xfId="35709" xr:uid="{00000000-0005-0000-0000-00006C6C0000}"/>
    <cellStyle name="60% - Accent4 20 2" xfId="36878" xr:uid="{00000000-0005-0000-0000-00006D6C0000}"/>
    <cellStyle name="60% - Accent4 20 3" xfId="37769" xr:uid="{00000000-0005-0000-0000-00006E6C0000}"/>
    <cellStyle name="60% - Accent4 21" xfId="35728" xr:uid="{00000000-0005-0000-0000-00006F6C0000}"/>
    <cellStyle name="60% - Accent4 21 2" xfId="36898" xr:uid="{00000000-0005-0000-0000-0000706C0000}"/>
    <cellStyle name="60% - Accent4 21 3" xfId="37789" xr:uid="{00000000-0005-0000-0000-0000716C0000}"/>
    <cellStyle name="60% - Accent4 22" xfId="35747" xr:uid="{00000000-0005-0000-0000-0000726C0000}"/>
    <cellStyle name="60% - Accent4 22 2" xfId="36918" xr:uid="{00000000-0005-0000-0000-0000736C0000}"/>
    <cellStyle name="60% - Accent4 22 3" xfId="37809" xr:uid="{00000000-0005-0000-0000-0000746C0000}"/>
    <cellStyle name="60% - Accent4 23" xfId="35767" xr:uid="{00000000-0005-0000-0000-0000756C0000}"/>
    <cellStyle name="60% - Accent4 23 2" xfId="36937" xr:uid="{00000000-0005-0000-0000-0000766C0000}"/>
    <cellStyle name="60% - Accent4 23 3" xfId="37829" xr:uid="{00000000-0005-0000-0000-0000776C0000}"/>
    <cellStyle name="60% - Accent4 24" xfId="35787" xr:uid="{00000000-0005-0000-0000-0000786C0000}"/>
    <cellStyle name="60% - Accent4 24 2" xfId="36956" xr:uid="{00000000-0005-0000-0000-0000796C0000}"/>
    <cellStyle name="60% - Accent4 24 3" xfId="37849" xr:uid="{00000000-0005-0000-0000-00007A6C0000}"/>
    <cellStyle name="60% - Accent4 25" xfId="35806" xr:uid="{00000000-0005-0000-0000-00007B6C0000}"/>
    <cellStyle name="60% - Accent4 25 2" xfId="36976" xr:uid="{00000000-0005-0000-0000-00007C6C0000}"/>
    <cellStyle name="60% - Accent4 25 3" xfId="37869" xr:uid="{00000000-0005-0000-0000-00007D6C0000}"/>
    <cellStyle name="60% - Accent4 26" xfId="35825" xr:uid="{00000000-0005-0000-0000-00007E6C0000}"/>
    <cellStyle name="60% - Accent4 26 2" xfId="36996" xr:uid="{00000000-0005-0000-0000-00007F6C0000}"/>
    <cellStyle name="60% - Accent4 26 3" xfId="37889" xr:uid="{00000000-0005-0000-0000-0000806C0000}"/>
    <cellStyle name="60% - Accent4 27" xfId="35844" xr:uid="{00000000-0005-0000-0000-0000816C0000}"/>
    <cellStyle name="60% - Accent4 27 2" xfId="37016" xr:uid="{00000000-0005-0000-0000-0000826C0000}"/>
    <cellStyle name="60% - Accent4 27 3" xfId="37909" xr:uid="{00000000-0005-0000-0000-0000836C0000}"/>
    <cellStyle name="60% - Accent4 28" xfId="35863" xr:uid="{00000000-0005-0000-0000-0000846C0000}"/>
    <cellStyle name="60% - Accent4 28 2" xfId="37036" xr:uid="{00000000-0005-0000-0000-0000856C0000}"/>
    <cellStyle name="60% - Accent4 28 3" xfId="37929" xr:uid="{00000000-0005-0000-0000-0000866C0000}"/>
    <cellStyle name="60% - Accent4 29" xfId="35886" xr:uid="{00000000-0005-0000-0000-0000876C0000}"/>
    <cellStyle name="60% - Accent4 29 2" xfId="37058" xr:uid="{00000000-0005-0000-0000-0000886C0000}"/>
    <cellStyle name="60% - Accent4 29 3" xfId="37952" xr:uid="{00000000-0005-0000-0000-0000896C0000}"/>
    <cellStyle name="60% - Accent4 3" xfId="109" xr:uid="{00000000-0005-0000-0000-00008A6C0000}"/>
    <cellStyle name="60% - Accent4 3 10" xfId="37449" xr:uid="{00000000-0005-0000-0000-00008B6C0000}"/>
    <cellStyle name="60% - Accent4 3 2" xfId="170" xr:uid="{00000000-0005-0000-0000-00008C6C0000}"/>
    <cellStyle name="60% - Accent4 3 3" xfId="231" xr:uid="{00000000-0005-0000-0000-00008D6C0000}"/>
    <cellStyle name="60% - Accent4 3 4" xfId="34463" xr:uid="{00000000-0005-0000-0000-00008E6C0000}"/>
    <cellStyle name="60% - Accent4 3 5" xfId="24129" xr:uid="{00000000-0005-0000-0000-00008F6C0000}"/>
    <cellStyle name="60% - Accent4 3 5 2" xfId="34972" xr:uid="{00000000-0005-0000-0000-0000906C0000}"/>
    <cellStyle name="60% - Accent4 3 6" xfId="35177" xr:uid="{00000000-0005-0000-0000-0000916C0000}"/>
    <cellStyle name="60% - Accent4 3 7" xfId="35406" xr:uid="{00000000-0005-0000-0000-0000926C0000}"/>
    <cellStyle name="60% - Accent4 3 8" xfId="36278" xr:uid="{00000000-0005-0000-0000-0000936C0000}"/>
    <cellStyle name="60% - Accent4 3 9" xfId="36564" xr:uid="{00000000-0005-0000-0000-0000946C0000}"/>
    <cellStyle name="60% - Accent4 30" xfId="35903" xr:uid="{00000000-0005-0000-0000-0000956C0000}"/>
    <cellStyle name="60% - Accent4 30 2" xfId="37075" xr:uid="{00000000-0005-0000-0000-0000966C0000}"/>
    <cellStyle name="60% - Accent4 30 3" xfId="37970" xr:uid="{00000000-0005-0000-0000-0000976C0000}"/>
    <cellStyle name="60% - Accent4 31" xfId="35923" xr:uid="{00000000-0005-0000-0000-0000986C0000}"/>
    <cellStyle name="60% - Accent4 31 2" xfId="37094" xr:uid="{00000000-0005-0000-0000-0000996C0000}"/>
    <cellStyle name="60% - Accent4 31 3" xfId="37990" xr:uid="{00000000-0005-0000-0000-00009A6C0000}"/>
    <cellStyle name="60% - Accent4 32" xfId="35943" xr:uid="{00000000-0005-0000-0000-00009B6C0000}"/>
    <cellStyle name="60% - Accent4 32 2" xfId="37113" xr:uid="{00000000-0005-0000-0000-00009C6C0000}"/>
    <cellStyle name="60% - Accent4 32 3" xfId="38010" xr:uid="{00000000-0005-0000-0000-00009D6C0000}"/>
    <cellStyle name="60% - Accent4 33" xfId="35963" xr:uid="{00000000-0005-0000-0000-00009E6C0000}"/>
    <cellStyle name="60% - Accent4 33 2" xfId="37132" xr:uid="{00000000-0005-0000-0000-00009F6C0000}"/>
    <cellStyle name="60% - Accent4 33 3" xfId="38030" xr:uid="{00000000-0005-0000-0000-0000A06C0000}"/>
    <cellStyle name="60% - Accent4 34" xfId="35983" xr:uid="{00000000-0005-0000-0000-0000A16C0000}"/>
    <cellStyle name="60% - Accent4 34 2" xfId="37152" xr:uid="{00000000-0005-0000-0000-0000A26C0000}"/>
    <cellStyle name="60% - Accent4 34 3" xfId="38050" xr:uid="{00000000-0005-0000-0000-0000A36C0000}"/>
    <cellStyle name="60% - Accent4 35" xfId="36003" xr:uid="{00000000-0005-0000-0000-0000A46C0000}"/>
    <cellStyle name="60% - Accent4 35 2" xfId="37172" xr:uid="{00000000-0005-0000-0000-0000A56C0000}"/>
    <cellStyle name="60% - Accent4 35 3" xfId="38070" xr:uid="{00000000-0005-0000-0000-0000A66C0000}"/>
    <cellStyle name="60% - Accent4 36" xfId="36023" xr:uid="{00000000-0005-0000-0000-0000A76C0000}"/>
    <cellStyle name="60% - Accent4 36 2" xfId="37192" xr:uid="{00000000-0005-0000-0000-0000A86C0000}"/>
    <cellStyle name="60% - Accent4 36 3" xfId="38090" xr:uid="{00000000-0005-0000-0000-0000A96C0000}"/>
    <cellStyle name="60% - Accent4 37" xfId="36043" xr:uid="{00000000-0005-0000-0000-0000AA6C0000}"/>
    <cellStyle name="60% - Accent4 37 2" xfId="37212" xr:uid="{00000000-0005-0000-0000-0000AB6C0000}"/>
    <cellStyle name="60% - Accent4 37 3" xfId="38110" xr:uid="{00000000-0005-0000-0000-0000AC6C0000}"/>
    <cellStyle name="60% - Accent4 38" xfId="36063" xr:uid="{00000000-0005-0000-0000-0000AD6C0000}"/>
    <cellStyle name="60% - Accent4 38 2" xfId="37232" xr:uid="{00000000-0005-0000-0000-0000AE6C0000}"/>
    <cellStyle name="60% - Accent4 38 3" xfId="38130" xr:uid="{00000000-0005-0000-0000-0000AF6C0000}"/>
    <cellStyle name="60% - Accent4 39" xfId="36083" xr:uid="{00000000-0005-0000-0000-0000B06C0000}"/>
    <cellStyle name="60% - Accent4 39 2" xfId="37252" xr:uid="{00000000-0005-0000-0000-0000B16C0000}"/>
    <cellStyle name="60% - Accent4 39 3" xfId="38150" xr:uid="{00000000-0005-0000-0000-0000B26C0000}"/>
    <cellStyle name="60% - Accent4 4" xfId="128" xr:uid="{00000000-0005-0000-0000-0000B36C0000}"/>
    <cellStyle name="60% - Accent4 4 2" xfId="251" xr:uid="{00000000-0005-0000-0000-0000B46C0000}"/>
    <cellStyle name="60% - Accent4 4 3" xfId="34482" xr:uid="{00000000-0005-0000-0000-0000B56C0000}"/>
    <cellStyle name="60% - Accent4 4 4" xfId="34116" xr:uid="{00000000-0005-0000-0000-0000B66C0000}"/>
    <cellStyle name="60% - Accent4 4 4 2" xfId="34991" xr:uid="{00000000-0005-0000-0000-0000B76C0000}"/>
    <cellStyle name="60% - Accent4 4 5" xfId="35196" xr:uid="{00000000-0005-0000-0000-0000B86C0000}"/>
    <cellStyle name="60% - Accent4 4 6" xfId="35425" xr:uid="{00000000-0005-0000-0000-0000B96C0000}"/>
    <cellStyle name="60% - Accent4 4 7" xfId="36297" xr:uid="{00000000-0005-0000-0000-0000BA6C0000}"/>
    <cellStyle name="60% - Accent4 4 8" xfId="36583" xr:uid="{00000000-0005-0000-0000-0000BB6C0000}"/>
    <cellStyle name="60% - Accent4 4 9" xfId="37468" xr:uid="{00000000-0005-0000-0000-0000BC6C0000}"/>
    <cellStyle name="60% - Accent4 40" xfId="36103" xr:uid="{00000000-0005-0000-0000-0000BD6C0000}"/>
    <cellStyle name="60% - Accent4 40 2" xfId="37272" xr:uid="{00000000-0005-0000-0000-0000BE6C0000}"/>
    <cellStyle name="60% - Accent4 40 3" xfId="38170" xr:uid="{00000000-0005-0000-0000-0000BF6C0000}"/>
    <cellStyle name="60% - Accent4 41" xfId="36123" xr:uid="{00000000-0005-0000-0000-0000C06C0000}"/>
    <cellStyle name="60% - Accent4 41 2" xfId="37292" xr:uid="{00000000-0005-0000-0000-0000C16C0000}"/>
    <cellStyle name="60% - Accent4 41 3" xfId="38190" xr:uid="{00000000-0005-0000-0000-0000C26C0000}"/>
    <cellStyle name="60% - Accent4 42" xfId="36143" xr:uid="{00000000-0005-0000-0000-0000C36C0000}"/>
    <cellStyle name="60% - Accent4 42 2" xfId="37312" xr:uid="{00000000-0005-0000-0000-0000C46C0000}"/>
    <cellStyle name="60% - Accent4 42 3" xfId="38210" xr:uid="{00000000-0005-0000-0000-0000C56C0000}"/>
    <cellStyle name="60% - Accent4 43" xfId="36163" xr:uid="{00000000-0005-0000-0000-0000C66C0000}"/>
    <cellStyle name="60% - Accent4 43 2" xfId="37332" xr:uid="{00000000-0005-0000-0000-0000C76C0000}"/>
    <cellStyle name="60% - Accent4 43 3" xfId="38230" xr:uid="{00000000-0005-0000-0000-0000C86C0000}"/>
    <cellStyle name="60% - Accent4 44" xfId="36183" xr:uid="{00000000-0005-0000-0000-0000C96C0000}"/>
    <cellStyle name="60% - Accent4 44 2" xfId="37352" xr:uid="{00000000-0005-0000-0000-0000CA6C0000}"/>
    <cellStyle name="60% - Accent4 44 3" xfId="38250" xr:uid="{00000000-0005-0000-0000-0000CB6C0000}"/>
    <cellStyle name="60% - Accent4 45" xfId="36203" xr:uid="{00000000-0005-0000-0000-0000CC6C0000}"/>
    <cellStyle name="60% - Accent4 45 2" xfId="37372" xr:uid="{00000000-0005-0000-0000-0000CD6C0000}"/>
    <cellStyle name="60% - Accent4 45 3" xfId="38270" xr:uid="{00000000-0005-0000-0000-0000CE6C0000}"/>
    <cellStyle name="60% - Accent4 46" xfId="36223" xr:uid="{00000000-0005-0000-0000-0000CF6C0000}"/>
    <cellStyle name="60% - Accent4 46 2" xfId="37390" xr:uid="{00000000-0005-0000-0000-0000D06C0000}"/>
    <cellStyle name="60% - Accent4 46 3" xfId="38290" xr:uid="{00000000-0005-0000-0000-0000D16C0000}"/>
    <cellStyle name="60% - Accent4 47" xfId="36524" xr:uid="{00000000-0005-0000-0000-0000D26C0000}"/>
    <cellStyle name="60% - Accent4 48" xfId="37409" xr:uid="{00000000-0005-0000-0000-0000D36C0000}"/>
    <cellStyle name="60% - Accent4 5" xfId="271" xr:uid="{00000000-0005-0000-0000-0000D46C0000}"/>
    <cellStyle name="60% - Accent4 5 2" xfId="34808" xr:uid="{00000000-0005-0000-0000-0000D56C0000}"/>
    <cellStyle name="60% - Accent4 5 3" xfId="35010" xr:uid="{00000000-0005-0000-0000-0000D66C0000}"/>
    <cellStyle name="60% - Accent4 5 4" xfId="35216" xr:uid="{00000000-0005-0000-0000-0000D76C0000}"/>
    <cellStyle name="60% - Accent4 5 5" xfId="35445" xr:uid="{00000000-0005-0000-0000-0000D86C0000}"/>
    <cellStyle name="60% - Accent4 5 6" xfId="36317" xr:uid="{00000000-0005-0000-0000-0000D96C0000}"/>
    <cellStyle name="60% - Accent4 5 7" xfId="36603" xr:uid="{00000000-0005-0000-0000-0000DA6C0000}"/>
    <cellStyle name="60% - Accent4 5 8" xfId="37488" xr:uid="{00000000-0005-0000-0000-0000DB6C0000}"/>
    <cellStyle name="60% - Accent4 6" xfId="291" xr:uid="{00000000-0005-0000-0000-0000DC6C0000}"/>
    <cellStyle name="60% - Accent4 6 2" xfId="34827" xr:uid="{00000000-0005-0000-0000-0000DD6C0000}"/>
    <cellStyle name="60% - Accent4 6 3" xfId="35029" xr:uid="{00000000-0005-0000-0000-0000DE6C0000}"/>
    <cellStyle name="60% - Accent4 6 4" xfId="35235" xr:uid="{00000000-0005-0000-0000-0000DF6C0000}"/>
    <cellStyle name="60% - Accent4 6 5" xfId="35464" xr:uid="{00000000-0005-0000-0000-0000E06C0000}"/>
    <cellStyle name="60% - Accent4 6 6" xfId="36336" xr:uid="{00000000-0005-0000-0000-0000E16C0000}"/>
    <cellStyle name="60% - Accent4 6 7" xfId="36622" xr:uid="{00000000-0005-0000-0000-0000E26C0000}"/>
    <cellStyle name="60% - Accent4 6 8" xfId="37498" xr:uid="{00000000-0005-0000-0000-0000E36C0000}"/>
    <cellStyle name="60% - Accent4 7" xfId="311" xr:uid="{00000000-0005-0000-0000-0000E46C0000}"/>
    <cellStyle name="60% - Accent4 7 2" xfId="34846" xr:uid="{00000000-0005-0000-0000-0000E56C0000}"/>
    <cellStyle name="60% - Accent4 7 3" xfId="35048" xr:uid="{00000000-0005-0000-0000-0000E66C0000}"/>
    <cellStyle name="60% - Accent4 7 4" xfId="35255" xr:uid="{00000000-0005-0000-0000-0000E76C0000}"/>
    <cellStyle name="60% - Accent4 7 5" xfId="35484" xr:uid="{00000000-0005-0000-0000-0000E86C0000}"/>
    <cellStyle name="60% - Accent4 7 6" xfId="36356" xr:uid="{00000000-0005-0000-0000-0000E96C0000}"/>
    <cellStyle name="60% - Accent4 7 7" xfId="36633" xr:uid="{00000000-0005-0000-0000-0000EA6C0000}"/>
    <cellStyle name="60% - Accent4 7 8" xfId="37514" xr:uid="{00000000-0005-0000-0000-0000EB6C0000}"/>
    <cellStyle name="60% - Accent4 8" xfId="331" xr:uid="{00000000-0005-0000-0000-0000EC6C0000}"/>
    <cellStyle name="60% - Accent4 8 2" xfId="34865" xr:uid="{00000000-0005-0000-0000-0000ED6C0000}"/>
    <cellStyle name="60% - Accent4 8 3" xfId="35067" xr:uid="{00000000-0005-0000-0000-0000EE6C0000}"/>
    <cellStyle name="60% - Accent4 8 4" xfId="35274" xr:uid="{00000000-0005-0000-0000-0000EF6C0000}"/>
    <cellStyle name="60% - Accent4 8 5" xfId="35503" xr:uid="{00000000-0005-0000-0000-0000F06C0000}"/>
    <cellStyle name="60% - Accent4 8 6" xfId="36366" xr:uid="{00000000-0005-0000-0000-0000F16C0000}"/>
    <cellStyle name="60% - Accent4 8 7" xfId="36648" xr:uid="{00000000-0005-0000-0000-0000F26C0000}"/>
    <cellStyle name="60% - Accent4 8 8" xfId="37533" xr:uid="{00000000-0005-0000-0000-0000F36C0000}"/>
    <cellStyle name="60% - Accent4 9" xfId="351" xr:uid="{00000000-0005-0000-0000-0000F46C0000}"/>
    <cellStyle name="60% - Accent4 9 2" xfId="34885" xr:uid="{00000000-0005-0000-0000-0000F56C0000}"/>
    <cellStyle name="60% - Accent4 9 3" xfId="35086" xr:uid="{00000000-0005-0000-0000-0000F66C0000}"/>
    <cellStyle name="60% - Accent4 9 4" xfId="35294" xr:uid="{00000000-0005-0000-0000-0000F76C0000}"/>
    <cellStyle name="60% - Accent4 9 5" xfId="35514" xr:uid="{00000000-0005-0000-0000-0000F86C0000}"/>
    <cellStyle name="60% - Accent4 9 6" xfId="36382" xr:uid="{00000000-0005-0000-0000-0000F96C0000}"/>
    <cellStyle name="60% - Accent4 9 7" xfId="36668" xr:uid="{00000000-0005-0000-0000-0000FA6C0000}"/>
    <cellStyle name="60% - Accent4 9 8" xfId="37553" xr:uid="{00000000-0005-0000-0000-0000FB6C0000}"/>
    <cellStyle name="60% - Accent5" xfId="41" builtinId="48" customBuiltin="1"/>
    <cellStyle name="60% - Accent5 10" xfId="192" xr:uid="{00000000-0005-0000-0000-0000FD6C0000}"/>
    <cellStyle name="60% - Accent5 10 2" xfId="34906" xr:uid="{00000000-0005-0000-0000-0000FE6C0000}"/>
    <cellStyle name="60% - Accent5 10 3" xfId="35108" xr:uid="{00000000-0005-0000-0000-0000FF6C0000}"/>
    <cellStyle name="60% - Accent5 10 4" xfId="35306" xr:uid="{00000000-0005-0000-0000-0000006D0000}"/>
    <cellStyle name="60% - Accent5 10 5" xfId="35531" xr:uid="{00000000-0005-0000-0000-0000016D0000}"/>
    <cellStyle name="60% - Accent5 10 6" xfId="36404" xr:uid="{00000000-0005-0000-0000-0000026D0000}"/>
    <cellStyle name="60% - Accent5 10 7" xfId="36690" xr:uid="{00000000-0005-0000-0000-0000036D0000}"/>
    <cellStyle name="60% - Accent5 10 8" xfId="37575" xr:uid="{00000000-0005-0000-0000-0000046D0000}"/>
    <cellStyle name="60% - Accent5 11" xfId="34663" xr:uid="{00000000-0005-0000-0000-0000056D0000}"/>
    <cellStyle name="60% - Accent5 11 2" xfId="35127" xr:uid="{00000000-0005-0000-0000-0000066D0000}"/>
    <cellStyle name="60% - Accent5 11 3" xfId="35313" xr:uid="{00000000-0005-0000-0000-0000076D0000}"/>
    <cellStyle name="60% - Accent5 11 4" xfId="35551" xr:uid="{00000000-0005-0000-0000-0000086D0000}"/>
    <cellStyle name="60% - Accent5 11 5" xfId="36424" xr:uid="{00000000-0005-0000-0000-0000096D0000}"/>
    <cellStyle name="60% - Accent5 11 6" xfId="36710" xr:uid="{00000000-0005-0000-0000-00000A6D0000}"/>
    <cellStyle name="60% - Accent5 11 7" xfId="37595" xr:uid="{00000000-0005-0000-0000-00000B6D0000}"/>
    <cellStyle name="60% - Accent5 12" xfId="34717" xr:uid="{00000000-0005-0000-0000-00000C6D0000}"/>
    <cellStyle name="60% - Accent5 12 2" xfId="35135" xr:uid="{00000000-0005-0000-0000-00000D6D0000}"/>
    <cellStyle name="60% - Accent5 12 3" xfId="35330" xr:uid="{00000000-0005-0000-0000-00000E6D0000}"/>
    <cellStyle name="60% - Accent5 12 4" xfId="35570" xr:uid="{00000000-0005-0000-0000-00000F6D0000}"/>
    <cellStyle name="60% - Accent5 12 5" xfId="36443" xr:uid="{00000000-0005-0000-0000-0000106D0000}"/>
    <cellStyle name="60% - Accent5 12 6" xfId="36729" xr:uid="{00000000-0005-0000-0000-0000116D0000}"/>
    <cellStyle name="60% - Accent5 12 7" xfId="37614" xr:uid="{00000000-0005-0000-0000-0000126D0000}"/>
    <cellStyle name="60% - Accent5 13" xfId="34745" xr:uid="{00000000-0005-0000-0000-0000136D0000}"/>
    <cellStyle name="60% - Accent5 13 2" xfId="35340" xr:uid="{00000000-0005-0000-0000-0000146D0000}"/>
    <cellStyle name="60% - Accent5 13 3" xfId="35589" xr:uid="{00000000-0005-0000-0000-0000156D0000}"/>
    <cellStyle name="60% - Accent5 13 4" xfId="36464" xr:uid="{00000000-0005-0000-0000-0000166D0000}"/>
    <cellStyle name="60% - Accent5 13 5" xfId="36750" xr:uid="{00000000-0005-0000-0000-0000176D0000}"/>
    <cellStyle name="60% - Accent5 13 6" xfId="37635" xr:uid="{00000000-0005-0000-0000-0000186D0000}"/>
    <cellStyle name="60% - Accent5 14" xfId="34935" xr:uid="{00000000-0005-0000-0000-0000196D0000}"/>
    <cellStyle name="60% - Accent5 14 2" xfId="36472" xr:uid="{00000000-0005-0000-0000-00001A6D0000}"/>
    <cellStyle name="60% - Accent5 14 3" xfId="36770" xr:uid="{00000000-0005-0000-0000-00001B6D0000}"/>
    <cellStyle name="60% - Accent5 14 4" xfId="37655" xr:uid="{00000000-0005-0000-0000-00001C6D0000}"/>
    <cellStyle name="60% - Accent5 15" xfId="35142" xr:uid="{00000000-0005-0000-0000-00001D6D0000}"/>
    <cellStyle name="60% - Accent5 15 2" xfId="36489" xr:uid="{00000000-0005-0000-0000-00001E6D0000}"/>
    <cellStyle name="60% - Accent5 15 3" xfId="36787" xr:uid="{00000000-0005-0000-0000-00001F6D0000}"/>
    <cellStyle name="60% - Accent5 15 4" xfId="37675" xr:uid="{00000000-0005-0000-0000-0000206D0000}"/>
    <cellStyle name="60% - Accent5 16" xfId="35369" xr:uid="{00000000-0005-0000-0000-0000216D0000}"/>
    <cellStyle name="60% - Accent5 16 2" xfId="36507" xr:uid="{00000000-0005-0000-0000-0000226D0000}"/>
    <cellStyle name="60% - Accent5 16 3" xfId="36805" xr:uid="{00000000-0005-0000-0000-0000236D0000}"/>
    <cellStyle name="60% - Accent5 16 4" xfId="37694" xr:uid="{00000000-0005-0000-0000-0000246D0000}"/>
    <cellStyle name="60% - Accent5 17" xfId="35656" xr:uid="{00000000-0005-0000-0000-0000256D0000}"/>
    <cellStyle name="60% - Accent5 17 2" xfId="36824" xr:uid="{00000000-0005-0000-0000-0000266D0000}"/>
    <cellStyle name="60% - Accent5 17 3" xfId="37714" xr:uid="{00000000-0005-0000-0000-0000276D0000}"/>
    <cellStyle name="60% - Accent5 18" xfId="35674" xr:uid="{00000000-0005-0000-0000-0000286D0000}"/>
    <cellStyle name="60% - Accent5 18 2" xfId="36843" xr:uid="{00000000-0005-0000-0000-0000296D0000}"/>
    <cellStyle name="60% - Accent5 18 3" xfId="37733" xr:uid="{00000000-0005-0000-0000-00002A6D0000}"/>
    <cellStyle name="60% - Accent5 19" xfId="35693" xr:uid="{00000000-0005-0000-0000-00002B6D0000}"/>
    <cellStyle name="60% - Accent5 19 2" xfId="36862" xr:uid="{00000000-0005-0000-0000-00002C6D0000}"/>
    <cellStyle name="60% - Accent5 19 3" xfId="37752" xr:uid="{00000000-0005-0000-0000-00002D6D0000}"/>
    <cellStyle name="60% - Accent5 2" xfId="60" xr:uid="{00000000-0005-0000-0000-00002E6D0000}"/>
    <cellStyle name="60% - Accent5 2 10" xfId="36548" xr:uid="{00000000-0005-0000-0000-00002F6D0000}"/>
    <cellStyle name="60% - Accent5 2 11" xfId="37433" xr:uid="{00000000-0005-0000-0000-0000306D0000}"/>
    <cellStyle name="60% - Accent5 2 2" xfId="92" xr:uid="{00000000-0005-0000-0000-0000316D0000}"/>
    <cellStyle name="60% - Accent5 2 3" xfId="153" xr:uid="{00000000-0005-0000-0000-0000326D0000}"/>
    <cellStyle name="60% - Accent5 2 4" xfId="214" xr:uid="{00000000-0005-0000-0000-0000336D0000}"/>
    <cellStyle name="60% - Accent5 2 5" xfId="34424" xr:uid="{00000000-0005-0000-0000-0000346D0000}"/>
    <cellStyle name="60% - Accent5 2 5 2" xfId="34766" xr:uid="{00000000-0005-0000-0000-0000356D0000}"/>
    <cellStyle name="60% - Accent5 2 6" xfId="17453" xr:uid="{00000000-0005-0000-0000-0000366D0000}"/>
    <cellStyle name="60% - Accent5 2 6 2" xfId="34956" xr:uid="{00000000-0005-0000-0000-0000376D0000}"/>
    <cellStyle name="60% - Accent5 2 7" xfId="35161" xr:uid="{00000000-0005-0000-0000-0000386D0000}"/>
    <cellStyle name="60% - Accent5 2 8" xfId="35390" xr:uid="{00000000-0005-0000-0000-0000396D0000}"/>
    <cellStyle name="60% - Accent5 2 9" xfId="36262" xr:uid="{00000000-0005-0000-0000-00003A6D0000}"/>
    <cellStyle name="60% - Accent5 20" xfId="35712" xr:uid="{00000000-0005-0000-0000-00003B6D0000}"/>
    <cellStyle name="60% - Accent5 20 2" xfId="36881" xr:uid="{00000000-0005-0000-0000-00003C6D0000}"/>
    <cellStyle name="60% - Accent5 20 3" xfId="37772" xr:uid="{00000000-0005-0000-0000-00003D6D0000}"/>
    <cellStyle name="60% - Accent5 21" xfId="35731" xr:uid="{00000000-0005-0000-0000-00003E6D0000}"/>
    <cellStyle name="60% - Accent5 21 2" xfId="36901" xr:uid="{00000000-0005-0000-0000-00003F6D0000}"/>
    <cellStyle name="60% - Accent5 21 3" xfId="37792" xr:uid="{00000000-0005-0000-0000-0000406D0000}"/>
    <cellStyle name="60% - Accent5 22" xfId="35750" xr:uid="{00000000-0005-0000-0000-0000416D0000}"/>
    <cellStyle name="60% - Accent5 22 2" xfId="36921" xr:uid="{00000000-0005-0000-0000-0000426D0000}"/>
    <cellStyle name="60% - Accent5 22 3" xfId="37812" xr:uid="{00000000-0005-0000-0000-0000436D0000}"/>
    <cellStyle name="60% - Accent5 23" xfId="35770" xr:uid="{00000000-0005-0000-0000-0000446D0000}"/>
    <cellStyle name="60% - Accent5 23 2" xfId="36940" xr:uid="{00000000-0005-0000-0000-0000456D0000}"/>
    <cellStyle name="60% - Accent5 23 3" xfId="37832" xr:uid="{00000000-0005-0000-0000-0000466D0000}"/>
    <cellStyle name="60% - Accent5 24" xfId="35790" xr:uid="{00000000-0005-0000-0000-0000476D0000}"/>
    <cellStyle name="60% - Accent5 24 2" xfId="36959" xr:uid="{00000000-0005-0000-0000-0000486D0000}"/>
    <cellStyle name="60% - Accent5 24 3" xfId="37852" xr:uid="{00000000-0005-0000-0000-0000496D0000}"/>
    <cellStyle name="60% - Accent5 25" xfId="35809" xr:uid="{00000000-0005-0000-0000-00004A6D0000}"/>
    <cellStyle name="60% - Accent5 25 2" xfId="36979" xr:uid="{00000000-0005-0000-0000-00004B6D0000}"/>
    <cellStyle name="60% - Accent5 25 3" xfId="37872" xr:uid="{00000000-0005-0000-0000-00004C6D0000}"/>
    <cellStyle name="60% - Accent5 26" xfId="35828" xr:uid="{00000000-0005-0000-0000-00004D6D0000}"/>
    <cellStyle name="60% - Accent5 26 2" xfId="36999" xr:uid="{00000000-0005-0000-0000-00004E6D0000}"/>
    <cellStyle name="60% - Accent5 26 3" xfId="37892" xr:uid="{00000000-0005-0000-0000-00004F6D0000}"/>
    <cellStyle name="60% - Accent5 27" xfId="35847" xr:uid="{00000000-0005-0000-0000-0000506D0000}"/>
    <cellStyle name="60% - Accent5 27 2" xfId="37019" xr:uid="{00000000-0005-0000-0000-0000516D0000}"/>
    <cellStyle name="60% - Accent5 27 3" xfId="37912" xr:uid="{00000000-0005-0000-0000-0000526D0000}"/>
    <cellStyle name="60% - Accent5 28" xfId="35866" xr:uid="{00000000-0005-0000-0000-0000536D0000}"/>
    <cellStyle name="60% - Accent5 28 2" xfId="37039" xr:uid="{00000000-0005-0000-0000-0000546D0000}"/>
    <cellStyle name="60% - Accent5 28 3" xfId="37932" xr:uid="{00000000-0005-0000-0000-0000556D0000}"/>
    <cellStyle name="60% - Accent5 29" xfId="35887" xr:uid="{00000000-0005-0000-0000-0000566D0000}"/>
    <cellStyle name="60% - Accent5 29 2" xfId="37059" xr:uid="{00000000-0005-0000-0000-0000576D0000}"/>
    <cellStyle name="60% - Accent5 29 3" xfId="37953" xr:uid="{00000000-0005-0000-0000-0000586D0000}"/>
    <cellStyle name="60% - Accent5 3" xfId="112" xr:uid="{00000000-0005-0000-0000-0000596D0000}"/>
    <cellStyle name="60% - Accent5 3 10" xfId="37452" xr:uid="{00000000-0005-0000-0000-00005A6D0000}"/>
    <cellStyle name="60% - Accent5 3 2" xfId="173" xr:uid="{00000000-0005-0000-0000-00005B6D0000}"/>
    <cellStyle name="60% - Accent5 3 3" xfId="234" xr:uid="{00000000-0005-0000-0000-00005C6D0000}"/>
    <cellStyle name="60% - Accent5 3 4" xfId="34466" xr:uid="{00000000-0005-0000-0000-00005D6D0000}"/>
    <cellStyle name="60% - Accent5 3 5" xfId="26265" xr:uid="{00000000-0005-0000-0000-00005E6D0000}"/>
    <cellStyle name="60% - Accent5 3 5 2" xfId="34975" xr:uid="{00000000-0005-0000-0000-00005F6D0000}"/>
    <cellStyle name="60% - Accent5 3 6" xfId="35180" xr:uid="{00000000-0005-0000-0000-0000606D0000}"/>
    <cellStyle name="60% - Accent5 3 7" xfId="35409" xr:uid="{00000000-0005-0000-0000-0000616D0000}"/>
    <cellStyle name="60% - Accent5 3 8" xfId="36281" xr:uid="{00000000-0005-0000-0000-0000626D0000}"/>
    <cellStyle name="60% - Accent5 3 9" xfId="36567" xr:uid="{00000000-0005-0000-0000-0000636D0000}"/>
    <cellStyle name="60% - Accent5 30" xfId="35906" xr:uid="{00000000-0005-0000-0000-0000646D0000}"/>
    <cellStyle name="60% - Accent5 30 2" xfId="37078" xr:uid="{00000000-0005-0000-0000-0000656D0000}"/>
    <cellStyle name="60% - Accent5 30 3" xfId="37973" xr:uid="{00000000-0005-0000-0000-0000666D0000}"/>
    <cellStyle name="60% - Accent5 31" xfId="35926" xr:uid="{00000000-0005-0000-0000-0000676D0000}"/>
    <cellStyle name="60% - Accent5 31 2" xfId="37097" xr:uid="{00000000-0005-0000-0000-0000686D0000}"/>
    <cellStyle name="60% - Accent5 31 3" xfId="37993" xr:uid="{00000000-0005-0000-0000-0000696D0000}"/>
    <cellStyle name="60% - Accent5 32" xfId="35946" xr:uid="{00000000-0005-0000-0000-00006A6D0000}"/>
    <cellStyle name="60% - Accent5 32 2" xfId="37116" xr:uid="{00000000-0005-0000-0000-00006B6D0000}"/>
    <cellStyle name="60% - Accent5 32 3" xfId="38013" xr:uid="{00000000-0005-0000-0000-00006C6D0000}"/>
    <cellStyle name="60% - Accent5 33" xfId="35966" xr:uid="{00000000-0005-0000-0000-00006D6D0000}"/>
    <cellStyle name="60% - Accent5 33 2" xfId="37135" xr:uid="{00000000-0005-0000-0000-00006E6D0000}"/>
    <cellStyle name="60% - Accent5 33 3" xfId="38033" xr:uid="{00000000-0005-0000-0000-00006F6D0000}"/>
    <cellStyle name="60% - Accent5 34" xfId="35986" xr:uid="{00000000-0005-0000-0000-0000706D0000}"/>
    <cellStyle name="60% - Accent5 34 2" xfId="37155" xr:uid="{00000000-0005-0000-0000-0000716D0000}"/>
    <cellStyle name="60% - Accent5 34 3" xfId="38053" xr:uid="{00000000-0005-0000-0000-0000726D0000}"/>
    <cellStyle name="60% - Accent5 35" xfId="36006" xr:uid="{00000000-0005-0000-0000-0000736D0000}"/>
    <cellStyle name="60% - Accent5 35 2" xfId="37175" xr:uid="{00000000-0005-0000-0000-0000746D0000}"/>
    <cellStyle name="60% - Accent5 35 3" xfId="38073" xr:uid="{00000000-0005-0000-0000-0000756D0000}"/>
    <cellStyle name="60% - Accent5 36" xfId="36026" xr:uid="{00000000-0005-0000-0000-0000766D0000}"/>
    <cellStyle name="60% - Accent5 36 2" xfId="37195" xr:uid="{00000000-0005-0000-0000-0000776D0000}"/>
    <cellStyle name="60% - Accent5 36 3" xfId="38093" xr:uid="{00000000-0005-0000-0000-0000786D0000}"/>
    <cellStyle name="60% - Accent5 37" xfId="36046" xr:uid="{00000000-0005-0000-0000-0000796D0000}"/>
    <cellStyle name="60% - Accent5 37 2" xfId="37215" xr:uid="{00000000-0005-0000-0000-00007A6D0000}"/>
    <cellStyle name="60% - Accent5 37 3" xfId="38113" xr:uid="{00000000-0005-0000-0000-00007B6D0000}"/>
    <cellStyle name="60% - Accent5 38" xfId="36066" xr:uid="{00000000-0005-0000-0000-00007C6D0000}"/>
    <cellStyle name="60% - Accent5 38 2" xfId="37235" xr:uid="{00000000-0005-0000-0000-00007D6D0000}"/>
    <cellStyle name="60% - Accent5 38 3" xfId="38133" xr:uid="{00000000-0005-0000-0000-00007E6D0000}"/>
    <cellStyle name="60% - Accent5 39" xfId="36086" xr:uid="{00000000-0005-0000-0000-00007F6D0000}"/>
    <cellStyle name="60% - Accent5 39 2" xfId="37255" xr:uid="{00000000-0005-0000-0000-0000806D0000}"/>
    <cellStyle name="60% - Accent5 39 3" xfId="38153" xr:uid="{00000000-0005-0000-0000-0000816D0000}"/>
    <cellStyle name="60% - Accent5 4" xfId="131" xr:uid="{00000000-0005-0000-0000-0000826D0000}"/>
    <cellStyle name="60% - Accent5 4 2" xfId="254" xr:uid="{00000000-0005-0000-0000-0000836D0000}"/>
    <cellStyle name="60% - Accent5 4 3" xfId="34485" xr:uid="{00000000-0005-0000-0000-0000846D0000}"/>
    <cellStyle name="60% - Accent5 4 4" xfId="24881" xr:uid="{00000000-0005-0000-0000-0000856D0000}"/>
    <cellStyle name="60% - Accent5 4 4 2" xfId="34994" xr:uid="{00000000-0005-0000-0000-0000866D0000}"/>
    <cellStyle name="60% - Accent5 4 5" xfId="35199" xr:uid="{00000000-0005-0000-0000-0000876D0000}"/>
    <cellStyle name="60% - Accent5 4 6" xfId="35428" xr:uid="{00000000-0005-0000-0000-0000886D0000}"/>
    <cellStyle name="60% - Accent5 4 7" xfId="36300" xr:uid="{00000000-0005-0000-0000-0000896D0000}"/>
    <cellStyle name="60% - Accent5 4 8" xfId="36586" xr:uid="{00000000-0005-0000-0000-00008A6D0000}"/>
    <cellStyle name="60% - Accent5 4 9" xfId="37471" xr:uid="{00000000-0005-0000-0000-00008B6D0000}"/>
    <cellStyle name="60% - Accent5 40" xfId="36106" xr:uid="{00000000-0005-0000-0000-00008C6D0000}"/>
    <cellStyle name="60% - Accent5 40 2" xfId="37275" xr:uid="{00000000-0005-0000-0000-00008D6D0000}"/>
    <cellStyle name="60% - Accent5 40 3" xfId="38173" xr:uid="{00000000-0005-0000-0000-00008E6D0000}"/>
    <cellStyle name="60% - Accent5 41" xfId="36126" xr:uid="{00000000-0005-0000-0000-00008F6D0000}"/>
    <cellStyle name="60% - Accent5 41 2" xfId="37295" xr:uid="{00000000-0005-0000-0000-0000906D0000}"/>
    <cellStyle name="60% - Accent5 41 3" xfId="38193" xr:uid="{00000000-0005-0000-0000-0000916D0000}"/>
    <cellStyle name="60% - Accent5 42" xfId="36146" xr:uid="{00000000-0005-0000-0000-0000926D0000}"/>
    <cellStyle name="60% - Accent5 42 2" xfId="37315" xr:uid="{00000000-0005-0000-0000-0000936D0000}"/>
    <cellStyle name="60% - Accent5 42 3" xfId="38213" xr:uid="{00000000-0005-0000-0000-0000946D0000}"/>
    <cellStyle name="60% - Accent5 43" xfId="36166" xr:uid="{00000000-0005-0000-0000-0000956D0000}"/>
    <cellStyle name="60% - Accent5 43 2" xfId="37335" xr:uid="{00000000-0005-0000-0000-0000966D0000}"/>
    <cellStyle name="60% - Accent5 43 3" xfId="38233" xr:uid="{00000000-0005-0000-0000-0000976D0000}"/>
    <cellStyle name="60% - Accent5 44" xfId="36186" xr:uid="{00000000-0005-0000-0000-0000986D0000}"/>
    <cellStyle name="60% - Accent5 44 2" xfId="37355" xr:uid="{00000000-0005-0000-0000-0000996D0000}"/>
    <cellStyle name="60% - Accent5 44 3" xfId="38253" xr:uid="{00000000-0005-0000-0000-00009A6D0000}"/>
    <cellStyle name="60% - Accent5 45" xfId="36206" xr:uid="{00000000-0005-0000-0000-00009B6D0000}"/>
    <cellStyle name="60% - Accent5 45 2" xfId="37375" xr:uid="{00000000-0005-0000-0000-00009C6D0000}"/>
    <cellStyle name="60% - Accent5 45 3" xfId="38273" xr:uid="{00000000-0005-0000-0000-00009D6D0000}"/>
    <cellStyle name="60% - Accent5 46" xfId="36226" xr:uid="{00000000-0005-0000-0000-00009E6D0000}"/>
    <cellStyle name="60% - Accent5 46 2" xfId="37393" xr:uid="{00000000-0005-0000-0000-00009F6D0000}"/>
    <cellStyle name="60% - Accent5 46 3" xfId="38293" xr:uid="{00000000-0005-0000-0000-0000A06D0000}"/>
    <cellStyle name="60% - Accent5 47" xfId="36527" xr:uid="{00000000-0005-0000-0000-0000A16D0000}"/>
    <cellStyle name="60% - Accent5 48" xfId="37412" xr:uid="{00000000-0005-0000-0000-0000A26D0000}"/>
    <cellStyle name="60% - Accent5 5" xfId="274" xr:uid="{00000000-0005-0000-0000-0000A36D0000}"/>
    <cellStyle name="60% - Accent5 5 2" xfId="34811" xr:uid="{00000000-0005-0000-0000-0000A46D0000}"/>
    <cellStyle name="60% - Accent5 5 3" xfId="35013" xr:uid="{00000000-0005-0000-0000-0000A56D0000}"/>
    <cellStyle name="60% - Accent5 5 4" xfId="35219" xr:uid="{00000000-0005-0000-0000-0000A66D0000}"/>
    <cellStyle name="60% - Accent5 5 5" xfId="35448" xr:uid="{00000000-0005-0000-0000-0000A76D0000}"/>
    <cellStyle name="60% - Accent5 5 6" xfId="36320" xr:uid="{00000000-0005-0000-0000-0000A86D0000}"/>
    <cellStyle name="60% - Accent5 5 7" xfId="36606" xr:uid="{00000000-0005-0000-0000-0000A96D0000}"/>
    <cellStyle name="60% - Accent5 5 8" xfId="37491" xr:uid="{00000000-0005-0000-0000-0000AA6D0000}"/>
    <cellStyle name="60% - Accent5 6" xfId="294" xr:uid="{00000000-0005-0000-0000-0000AB6D0000}"/>
    <cellStyle name="60% - Accent5 6 2" xfId="34830" xr:uid="{00000000-0005-0000-0000-0000AC6D0000}"/>
    <cellStyle name="60% - Accent5 6 3" xfId="35032" xr:uid="{00000000-0005-0000-0000-0000AD6D0000}"/>
    <cellStyle name="60% - Accent5 6 4" xfId="35238" xr:uid="{00000000-0005-0000-0000-0000AE6D0000}"/>
    <cellStyle name="60% - Accent5 6 5" xfId="35467" xr:uid="{00000000-0005-0000-0000-0000AF6D0000}"/>
    <cellStyle name="60% - Accent5 6 6" xfId="36339" xr:uid="{00000000-0005-0000-0000-0000B06D0000}"/>
    <cellStyle name="60% - Accent5 6 7" xfId="36625" xr:uid="{00000000-0005-0000-0000-0000B16D0000}"/>
    <cellStyle name="60% - Accent5 6 8" xfId="37499" xr:uid="{00000000-0005-0000-0000-0000B26D0000}"/>
    <cellStyle name="60% - Accent5 7" xfId="314" xr:uid="{00000000-0005-0000-0000-0000B36D0000}"/>
    <cellStyle name="60% - Accent5 7 2" xfId="34849" xr:uid="{00000000-0005-0000-0000-0000B46D0000}"/>
    <cellStyle name="60% - Accent5 7 3" xfId="35051" xr:uid="{00000000-0005-0000-0000-0000B56D0000}"/>
    <cellStyle name="60% - Accent5 7 4" xfId="35258" xr:uid="{00000000-0005-0000-0000-0000B66D0000}"/>
    <cellStyle name="60% - Accent5 7 5" xfId="35487" xr:uid="{00000000-0005-0000-0000-0000B76D0000}"/>
    <cellStyle name="60% - Accent5 7 6" xfId="36359" xr:uid="{00000000-0005-0000-0000-0000B86D0000}"/>
    <cellStyle name="60% - Accent5 7 7" xfId="36634" xr:uid="{00000000-0005-0000-0000-0000B96D0000}"/>
    <cellStyle name="60% - Accent5 7 8" xfId="37517" xr:uid="{00000000-0005-0000-0000-0000BA6D0000}"/>
    <cellStyle name="60% - Accent5 8" xfId="334" xr:uid="{00000000-0005-0000-0000-0000BB6D0000}"/>
    <cellStyle name="60% - Accent5 8 2" xfId="34868" xr:uid="{00000000-0005-0000-0000-0000BC6D0000}"/>
    <cellStyle name="60% - Accent5 8 3" xfId="35070" xr:uid="{00000000-0005-0000-0000-0000BD6D0000}"/>
    <cellStyle name="60% - Accent5 8 4" xfId="35277" xr:uid="{00000000-0005-0000-0000-0000BE6D0000}"/>
    <cellStyle name="60% - Accent5 8 5" xfId="35506" xr:uid="{00000000-0005-0000-0000-0000BF6D0000}"/>
    <cellStyle name="60% - Accent5 8 6" xfId="36367" xr:uid="{00000000-0005-0000-0000-0000C06D0000}"/>
    <cellStyle name="60% - Accent5 8 7" xfId="36651" xr:uid="{00000000-0005-0000-0000-0000C16D0000}"/>
    <cellStyle name="60% - Accent5 8 8" xfId="37536" xr:uid="{00000000-0005-0000-0000-0000C26D0000}"/>
    <cellStyle name="60% - Accent5 9" xfId="354" xr:uid="{00000000-0005-0000-0000-0000C36D0000}"/>
    <cellStyle name="60% - Accent5 9 2" xfId="34888" xr:uid="{00000000-0005-0000-0000-0000C46D0000}"/>
    <cellStyle name="60% - Accent5 9 3" xfId="35089" xr:uid="{00000000-0005-0000-0000-0000C56D0000}"/>
    <cellStyle name="60% - Accent5 9 4" xfId="35297" xr:uid="{00000000-0005-0000-0000-0000C66D0000}"/>
    <cellStyle name="60% - Accent5 9 5" xfId="35515" xr:uid="{00000000-0005-0000-0000-0000C76D0000}"/>
    <cellStyle name="60% - Accent5 9 6" xfId="36385" xr:uid="{00000000-0005-0000-0000-0000C86D0000}"/>
    <cellStyle name="60% - Accent5 9 7" xfId="36671" xr:uid="{00000000-0005-0000-0000-0000C96D0000}"/>
    <cellStyle name="60% - Accent5 9 8" xfId="37556" xr:uid="{00000000-0005-0000-0000-0000CA6D0000}"/>
    <cellStyle name="60% - Accent6" xfId="45" builtinId="52" customBuiltin="1"/>
    <cellStyle name="60% - Accent6 10" xfId="195" xr:uid="{00000000-0005-0000-0000-0000CC6D0000}"/>
    <cellStyle name="60% - Accent6 10 2" xfId="34909" xr:uid="{00000000-0005-0000-0000-0000CD6D0000}"/>
    <cellStyle name="60% - Accent6 10 3" xfId="35111" xr:uid="{00000000-0005-0000-0000-0000CE6D0000}"/>
    <cellStyle name="60% - Accent6 10 4" xfId="35307" xr:uid="{00000000-0005-0000-0000-0000CF6D0000}"/>
    <cellStyle name="60% - Accent6 10 5" xfId="35534" xr:uid="{00000000-0005-0000-0000-0000D06D0000}"/>
    <cellStyle name="60% - Accent6 10 6" xfId="36407" xr:uid="{00000000-0005-0000-0000-0000D16D0000}"/>
    <cellStyle name="60% - Accent6 10 7" xfId="36693" xr:uid="{00000000-0005-0000-0000-0000D26D0000}"/>
    <cellStyle name="60% - Accent6 10 8" xfId="37578" xr:uid="{00000000-0005-0000-0000-0000D36D0000}"/>
    <cellStyle name="60% - Accent6 11" xfId="34664" xr:uid="{00000000-0005-0000-0000-0000D46D0000}"/>
    <cellStyle name="60% - Accent6 11 2" xfId="35130" xr:uid="{00000000-0005-0000-0000-0000D56D0000}"/>
    <cellStyle name="60% - Accent6 11 3" xfId="35314" xr:uid="{00000000-0005-0000-0000-0000D66D0000}"/>
    <cellStyle name="60% - Accent6 11 4" xfId="35554" xr:uid="{00000000-0005-0000-0000-0000D76D0000}"/>
    <cellStyle name="60% - Accent6 11 5" xfId="36427" xr:uid="{00000000-0005-0000-0000-0000D86D0000}"/>
    <cellStyle name="60% - Accent6 11 6" xfId="36713" xr:uid="{00000000-0005-0000-0000-0000D96D0000}"/>
    <cellStyle name="60% - Accent6 11 7" xfId="37598" xr:uid="{00000000-0005-0000-0000-0000DA6D0000}"/>
    <cellStyle name="60% - Accent6 12" xfId="34720" xr:uid="{00000000-0005-0000-0000-0000DB6D0000}"/>
    <cellStyle name="60% - Accent6 12 2" xfId="35136" xr:uid="{00000000-0005-0000-0000-0000DC6D0000}"/>
    <cellStyle name="60% - Accent6 12 3" xfId="35333" xr:uid="{00000000-0005-0000-0000-0000DD6D0000}"/>
    <cellStyle name="60% - Accent6 12 4" xfId="35573" xr:uid="{00000000-0005-0000-0000-0000DE6D0000}"/>
    <cellStyle name="60% - Accent6 12 5" xfId="36446" xr:uid="{00000000-0005-0000-0000-0000DF6D0000}"/>
    <cellStyle name="60% - Accent6 12 6" xfId="36732" xr:uid="{00000000-0005-0000-0000-0000E06D0000}"/>
    <cellStyle name="60% - Accent6 12 7" xfId="37617" xr:uid="{00000000-0005-0000-0000-0000E16D0000}"/>
    <cellStyle name="60% - Accent6 13" xfId="34748" xr:uid="{00000000-0005-0000-0000-0000E26D0000}"/>
    <cellStyle name="60% - Accent6 13 2" xfId="35341" xr:uid="{00000000-0005-0000-0000-0000E36D0000}"/>
    <cellStyle name="60% - Accent6 13 3" xfId="35592" xr:uid="{00000000-0005-0000-0000-0000E46D0000}"/>
    <cellStyle name="60% - Accent6 13 4" xfId="36467" xr:uid="{00000000-0005-0000-0000-0000E56D0000}"/>
    <cellStyle name="60% - Accent6 13 5" xfId="36753" xr:uid="{00000000-0005-0000-0000-0000E66D0000}"/>
    <cellStyle name="60% - Accent6 13 6" xfId="37638" xr:uid="{00000000-0005-0000-0000-0000E76D0000}"/>
    <cellStyle name="60% - Accent6 14" xfId="34938" xr:uid="{00000000-0005-0000-0000-0000E86D0000}"/>
    <cellStyle name="60% - Accent6 14 2" xfId="36473" xr:uid="{00000000-0005-0000-0000-0000E96D0000}"/>
    <cellStyle name="60% - Accent6 14 3" xfId="36771" xr:uid="{00000000-0005-0000-0000-0000EA6D0000}"/>
    <cellStyle name="60% - Accent6 14 4" xfId="37656" xr:uid="{00000000-0005-0000-0000-0000EB6D0000}"/>
    <cellStyle name="60% - Accent6 15" xfId="35143" xr:uid="{00000000-0005-0000-0000-0000EC6D0000}"/>
    <cellStyle name="60% - Accent6 15 2" xfId="36492" xr:uid="{00000000-0005-0000-0000-0000ED6D0000}"/>
    <cellStyle name="60% - Accent6 15 3" xfId="36790" xr:uid="{00000000-0005-0000-0000-0000EE6D0000}"/>
    <cellStyle name="60% - Accent6 15 4" xfId="37678" xr:uid="{00000000-0005-0000-0000-0000EF6D0000}"/>
    <cellStyle name="60% - Accent6 16" xfId="35372" xr:uid="{00000000-0005-0000-0000-0000F06D0000}"/>
    <cellStyle name="60% - Accent6 16 2" xfId="36510" xr:uid="{00000000-0005-0000-0000-0000F16D0000}"/>
    <cellStyle name="60% - Accent6 16 3" xfId="36808" xr:uid="{00000000-0005-0000-0000-0000F26D0000}"/>
    <cellStyle name="60% - Accent6 16 4" xfId="37697" xr:uid="{00000000-0005-0000-0000-0000F36D0000}"/>
    <cellStyle name="60% - Accent6 17" xfId="35659" xr:uid="{00000000-0005-0000-0000-0000F46D0000}"/>
    <cellStyle name="60% - Accent6 17 2" xfId="36827" xr:uid="{00000000-0005-0000-0000-0000F56D0000}"/>
    <cellStyle name="60% - Accent6 17 3" xfId="37717" xr:uid="{00000000-0005-0000-0000-0000F66D0000}"/>
    <cellStyle name="60% - Accent6 18" xfId="35677" xr:uid="{00000000-0005-0000-0000-0000F76D0000}"/>
    <cellStyle name="60% - Accent6 18 2" xfId="36846" xr:uid="{00000000-0005-0000-0000-0000F86D0000}"/>
    <cellStyle name="60% - Accent6 18 3" xfId="37736" xr:uid="{00000000-0005-0000-0000-0000F96D0000}"/>
    <cellStyle name="60% - Accent6 19" xfId="35696" xr:uid="{00000000-0005-0000-0000-0000FA6D0000}"/>
    <cellStyle name="60% - Accent6 19 2" xfId="36865" xr:uid="{00000000-0005-0000-0000-0000FB6D0000}"/>
    <cellStyle name="60% - Accent6 19 3" xfId="37755" xr:uid="{00000000-0005-0000-0000-0000FC6D0000}"/>
    <cellStyle name="60% - Accent6 2" xfId="69" xr:uid="{00000000-0005-0000-0000-0000FD6D0000}"/>
    <cellStyle name="60% - Accent6 2 10" xfId="36551" xr:uid="{00000000-0005-0000-0000-0000FE6D0000}"/>
    <cellStyle name="60% - Accent6 2 11" xfId="37436" xr:uid="{00000000-0005-0000-0000-0000FF6D0000}"/>
    <cellStyle name="60% - Accent6 2 2" xfId="95" xr:uid="{00000000-0005-0000-0000-0000006E0000}"/>
    <cellStyle name="60% - Accent6 2 3" xfId="156" xr:uid="{00000000-0005-0000-0000-0000016E0000}"/>
    <cellStyle name="60% - Accent6 2 4" xfId="217" xr:uid="{00000000-0005-0000-0000-0000026E0000}"/>
    <cellStyle name="60% - Accent6 2 5" xfId="34431" xr:uid="{00000000-0005-0000-0000-0000036E0000}"/>
    <cellStyle name="60% - Accent6 2 5 2" xfId="34769" xr:uid="{00000000-0005-0000-0000-0000046E0000}"/>
    <cellStyle name="60% - Accent6 2 6" xfId="19154" xr:uid="{00000000-0005-0000-0000-0000056E0000}"/>
    <cellStyle name="60% - Accent6 2 6 2" xfId="34959" xr:uid="{00000000-0005-0000-0000-0000066E0000}"/>
    <cellStyle name="60% - Accent6 2 7" xfId="35164" xr:uid="{00000000-0005-0000-0000-0000076E0000}"/>
    <cellStyle name="60% - Accent6 2 8" xfId="35393" xr:uid="{00000000-0005-0000-0000-0000086E0000}"/>
    <cellStyle name="60% - Accent6 2 9" xfId="36265" xr:uid="{00000000-0005-0000-0000-0000096E0000}"/>
    <cellStyle name="60% - Accent6 20" xfId="35715" xr:uid="{00000000-0005-0000-0000-00000A6E0000}"/>
    <cellStyle name="60% - Accent6 20 2" xfId="36884" xr:uid="{00000000-0005-0000-0000-00000B6E0000}"/>
    <cellStyle name="60% - Accent6 20 3" xfId="37775" xr:uid="{00000000-0005-0000-0000-00000C6E0000}"/>
    <cellStyle name="60% - Accent6 21" xfId="35734" xr:uid="{00000000-0005-0000-0000-00000D6E0000}"/>
    <cellStyle name="60% - Accent6 21 2" xfId="36904" xr:uid="{00000000-0005-0000-0000-00000E6E0000}"/>
    <cellStyle name="60% - Accent6 21 3" xfId="37795" xr:uid="{00000000-0005-0000-0000-00000F6E0000}"/>
    <cellStyle name="60% - Accent6 22" xfId="35753" xr:uid="{00000000-0005-0000-0000-0000106E0000}"/>
    <cellStyle name="60% - Accent6 22 2" xfId="36924" xr:uid="{00000000-0005-0000-0000-0000116E0000}"/>
    <cellStyle name="60% - Accent6 22 3" xfId="37815" xr:uid="{00000000-0005-0000-0000-0000126E0000}"/>
    <cellStyle name="60% - Accent6 23" xfId="35773" xr:uid="{00000000-0005-0000-0000-0000136E0000}"/>
    <cellStyle name="60% - Accent6 23 2" xfId="36943" xr:uid="{00000000-0005-0000-0000-0000146E0000}"/>
    <cellStyle name="60% - Accent6 23 3" xfId="37835" xr:uid="{00000000-0005-0000-0000-0000156E0000}"/>
    <cellStyle name="60% - Accent6 24" xfId="35793" xr:uid="{00000000-0005-0000-0000-0000166E0000}"/>
    <cellStyle name="60% - Accent6 24 2" xfId="36962" xr:uid="{00000000-0005-0000-0000-0000176E0000}"/>
    <cellStyle name="60% - Accent6 24 3" xfId="37855" xr:uid="{00000000-0005-0000-0000-0000186E0000}"/>
    <cellStyle name="60% - Accent6 25" xfId="35812" xr:uid="{00000000-0005-0000-0000-0000196E0000}"/>
    <cellStyle name="60% - Accent6 25 2" xfId="36982" xr:uid="{00000000-0005-0000-0000-00001A6E0000}"/>
    <cellStyle name="60% - Accent6 25 3" xfId="37875" xr:uid="{00000000-0005-0000-0000-00001B6E0000}"/>
    <cellStyle name="60% - Accent6 26" xfId="35831" xr:uid="{00000000-0005-0000-0000-00001C6E0000}"/>
    <cellStyle name="60% - Accent6 26 2" xfId="37002" xr:uid="{00000000-0005-0000-0000-00001D6E0000}"/>
    <cellStyle name="60% - Accent6 26 3" xfId="37895" xr:uid="{00000000-0005-0000-0000-00001E6E0000}"/>
    <cellStyle name="60% - Accent6 27" xfId="35850" xr:uid="{00000000-0005-0000-0000-00001F6E0000}"/>
    <cellStyle name="60% - Accent6 27 2" xfId="37022" xr:uid="{00000000-0005-0000-0000-0000206E0000}"/>
    <cellStyle name="60% - Accent6 27 3" xfId="37915" xr:uid="{00000000-0005-0000-0000-0000216E0000}"/>
    <cellStyle name="60% - Accent6 28" xfId="35869" xr:uid="{00000000-0005-0000-0000-0000226E0000}"/>
    <cellStyle name="60% - Accent6 28 2" xfId="37042" xr:uid="{00000000-0005-0000-0000-0000236E0000}"/>
    <cellStyle name="60% - Accent6 28 3" xfId="37935" xr:uid="{00000000-0005-0000-0000-0000246E0000}"/>
    <cellStyle name="60% - Accent6 29" xfId="35888" xr:uid="{00000000-0005-0000-0000-0000256E0000}"/>
    <cellStyle name="60% - Accent6 29 2" xfId="37060" xr:uid="{00000000-0005-0000-0000-0000266E0000}"/>
    <cellStyle name="60% - Accent6 29 3" xfId="37954" xr:uid="{00000000-0005-0000-0000-0000276E0000}"/>
    <cellStyle name="60% - Accent6 3" xfId="115" xr:uid="{00000000-0005-0000-0000-0000286E0000}"/>
    <cellStyle name="60% - Accent6 3 10" xfId="37455" xr:uid="{00000000-0005-0000-0000-0000296E0000}"/>
    <cellStyle name="60% - Accent6 3 2" xfId="176" xr:uid="{00000000-0005-0000-0000-00002A6E0000}"/>
    <cellStyle name="60% - Accent6 3 3" xfId="237" xr:uid="{00000000-0005-0000-0000-00002B6E0000}"/>
    <cellStyle name="60% - Accent6 3 4" xfId="34469" xr:uid="{00000000-0005-0000-0000-00002C6E0000}"/>
    <cellStyle name="60% - Accent6 3 5" xfId="6656" xr:uid="{00000000-0005-0000-0000-00002D6E0000}"/>
    <cellStyle name="60% - Accent6 3 5 2" xfId="34978" xr:uid="{00000000-0005-0000-0000-00002E6E0000}"/>
    <cellStyle name="60% - Accent6 3 6" xfId="35183" xr:uid="{00000000-0005-0000-0000-00002F6E0000}"/>
    <cellStyle name="60% - Accent6 3 7" xfId="35412" xr:uid="{00000000-0005-0000-0000-0000306E0000}"/>
    <cellStyle name="60% - Accent6 3 8" xfId="36284" xr:uid="{00000000-0005-0000-0000-0000316E0000}"/>
    <cellStyle name="60% - Accent6 3 9" xfId="36570" xr:uid="{00000000-0005-0000-0000-0000326E0000}"/>
    <cellStyle name="60% - Accent6 30" xfId="35909" xr:uid="{00000000-0005-0000-0000-0000336E0000}"/>
    <cellStyle name="60% - Accent6 30 2" xfId="37081" xr:uid="{00000000-0005-0000-0000-0000346E0000}"/>
    <cellStyle name="60% - Accent6 30 3" xfId="37976" xr:uid="{00000000-0005-0000-0000-0000356E0000}"/>
    <cellStyle name="60% - Accent6 31" xfId="35929" xr:uid="{00000000-0005-0000-0000-0000366E0000}"/>
    <cellStyle name="60% - Accent6 31 2" xfId="37100" xr:uid="{00000000-0005-0000-0000-0000376E0000}"/>
    <cellStyle name="60% - Accent6 31 3" xfId="37996" xr:uid="{00000000-0005-0000-0000-0000386E0000}"/>
    <cellStyle name="60% - Accent6 32" xfId="35949" xr:uid="{00000000-0005-0000-0000-0000396E0000}"/>
    <cellStyle name="60% - Accent6 32 2" xfId="37119" xr:uid="{00000000-0005-0000-0000-00003A6E0000}"/>
    <cellStyle name="60% - Accent6 32 3" xfId="38016" xr:uid="{00000000-0005-0000-0000-00003B6E0000}"/>
    <cellStyle name="60% - Accent6 33" xfId="35969" xr:uid="{00000000-0005-0000-0000-00003C6E0000}"/>
    <cellStyle name="60% - Accent6 33 2" xfId="37138" xr:uid="{00000000-0005-0000-0000-00003D6E0000}"/>
    <cellStyle name="60% - Accent6 33 3" xfId="38036" xr:uid="{00000000-0005-0000-0000-00003E6E0000}"/>
    <cellStyle name="60% - Accent6 34" xfId="35989" xr:uid="{00000000-0005-0000-0000-00003F6E0000}"/>
    <cellStyle name="60% - Accent6 34 2" xfId="37158" xr:uid="{00000000-0005-0000-0000-0000406E0000}"/>
    <cellStyle name="60% - Accent6 34 3" xfId="38056" xr:uid="{00000000-0005-0000-0000-0000416E0000}"/>
    <cellStyle name="60% - Accent6 35" xfId="36009" xr:uid="{00000000-0005-0000-0000-0000426E0000}"/>
    <cellStyle name="60% - Accent6 35 2" xfId="37178" xr:uid="{00000000-0005-0000-0000-0000436E0000}"/>
    <cellStyle name="60% - Accent6 35 3" xfId="38076" xr:uid="{00000000-0005-0000-0000-0000446E0000}"/>
    <cellStyle name="60% - Accent6 36" xfId="36029" xr:uid="{00000000-0005-0000-0000-0000456E0000}"/>
    <cellStyle name="60% - Accent6 36 2" xfId="37198" xr:uid="{00000000-0005-0000-0000-0000466E0000}"/>
    <cellStyle name="60% - Accent6 36 3" xfId="38096" xr:uid="{00000000-0005-0000-0000-0000476E0000}"/>
    <cellStyle name="60% - Accent6 37" xfId="36049" xr:uid="{00000000-0005-0000-0000-0000486E0000}"/>
    <cellStyle name="60% - Accent6 37 2" xfId="37218" xr:uid="{00000000-0005-0000-0000-0000496E0000}"/>
    <cellStyle name="60% - Accent6 37 3" xfId="38116" xr:uid="{00000000-0005-0000-0000-00004A6E0000}"/>
    <cellStyle name="60% - Accent6 38" xfId="36069" xr:uid="{00000000-0005-0000-0000-00004B6E0000}"/>
    <cellStyle name="60% - Accent6 38 2" xfId="37238" xr:uid="{00000000-0005-0000-0000-00004C6E0000}"/>
    <cellStyle name="60% - Accent6 38 3" xfId="38136" xr:uid="{00000000-0005-0000-0000-00004D6E0000}"/>
    <cellStyle name="60% - Accent6 39" xfId="36089" xr:uid="{00000000-0005-0000-0000-00004E6E0000}"/>
    <cellStyle name="60% - Accent6 39 2" xfId="37258" xr:uid="{00000000-0005-0000-0000-00004F6E0000}"/>
    <cellStyle name="60% - Accent6 39 3" xfId="38156" xr:uid="{00000000-0005-0000-0000-0000506E0000}"/>
    <cellStyle name="60% - Accent6 4" xfId="134" xr:uid="{00000000-0005-0000-0000-0000516E0000}"/>
    <cellStyle name="60% - Accent6 4 2" xfId="257" xr:uid="{00000000-0005-0000-0000-0000526E0000}"/>
    <cellStyle name="60% - Accent6 4 3" xfId="34488" xr:uid="{00000000-0005-0000-0000-0000536E0000}"/>
    <cellStyle name="60% - Accent6 4 4" xfId="28281" xr:uid="{00000000-0005-0000-0000-0000546E0000}"/>
    <cellStyle name="60% - Accent6 4 4 2" xfId="34997" xr:uid="{00000000-0005-0000-0000-0000556E0000}"/>
    <cellStyle name="60% - Accent6 4 5" xfId="35202" xr:uid="{00000000-0005-0000-0000-0000566E0000}"/>
    <cellStyle name="60% - Accent6 4 6" xfId="35431" xr:uid="{00000000-0005-0000-0000-0000576E0000}"/>
    <cellStyle name="60% - Accent6 4 7" xfId="36303" xr:uid="{00000000-0005-0000-0000-0000586E0000}"/>
    <cellStyle name="60% - Accent6 4 8" xfId="36589" xr:uid="{00000000-0005-0000-0000-0000596E0000}"/>
    <cellStyle name="60% - Accent6 4 9" xfId="37474" xr:uid="{00000000-0005-0000-0000-00005A6E0000}"/>
    <cellStyle name="60% - Accent6 40" xfId="36109" xr:uid="{00000000-0005-0000-0000-00005B6E0000}"/>
    <cellStyle name="60% - Accent6 40 2" xfId="37278" xr:uid="{00000000-0005-0000-0000-00005C6E0000}"/>
    <cellStyle name="60% - Accent6 40 3" xfId="38176" xr:uid="{00000000-0005-0000-0000-00005D6E0000}"/>
    <cellStyle name="60% - Accent6 41" xfId="36129" xr:uid="{00000000-0005-0000-0000-00005E6E0000}"/>
    <cellStyle name="60% - Accent6 41 2" xfId="37298" xr:uid="{00000000-0005-0000-0000-00005F6E0000}"/>
    <cellStyle name="60% - Accent6 41 3" xfId="38196" xr:uid="{00000000-0005-0000-0000-0000606E0000}"/>
    <cellStyle name="60% - Accent6 42" xfId="36149" xr:uid="{00000000-0005-0000-0000-0000616E0000}"/>
    <cellStyle name="60% - Accent6 42 2" xfId="37318" xr:uid="{00000000-0005-0000-0000-0000626E0000}"/>
    <cellStyle name="60% - Accent6 42 3" xfId="38216" xr:uid="{00000000-0005-0000-0000-0000636E0000}"/>
    <cellStyle name="60% - Accent6 43" xfId="36169" xr:uid="{00000000-0005-0000-0000-0000646E0000}"/>
    <cellStyle name="60% - Accent6 43 2" xfId="37338" xr:uid="{00000000-0005-0000-0000-0000656E0000}"/>
    <cellStyle name="60% - Accent6 43 3" xfId="38236" xr:uid="{00000000-0005-0000-0000-0000666E0000}"/>
    <cellStyle name="60% - Accent6 44" xfId="36189" xr:uid="{00000000-0005-0000-0000-0000676E0000}"/>
    <cellStyle name="60% - Accent6 44 2" xfId="37358" xr:uid="{00000000-0005-0000-0000-0000686E0000}"/>
    <cellStyle name="60% - Accent6 44 3" xfId="38256" xr:uid="{00000000-0005-0000-0000-0000696E0000}"/>
    <cellStyle name="60% - Accent6 45" xfId="36209" xr:uid="{00000000-0005-0000-0000-00006A6E0000}"/>
    <cellStyle name="60% - Accent6 45 2" xfId="37378" xr:uid="{00000000-0005-0000-0000-00006B6E0000}"/>
    <cellStyle name="60% - Accent6 45 3" xfId="38276" xr:uid="{00000000-0005-0000-0000-00006C6E0000}"/>
    <cellStyle name="60% - Accent6 46" xfId="36229" xr:uid="{00000000-0005-0000-0000-00006D6E0000}"/>
    <cellStyle name="60% - Accent6 46 2" xfId="37396" xr:uid="{00000000-0005-0000-0000-00006E6E0000}"/>
    <cellStyle name="60% - Accent6 46 3" xfId="38296" xr:uid="{00000000-0005-0000-0000-00006F6E0000}"/>
    <cellStyle name="60% - Accent6 47" xfId="36530" xr:uid="{00000000-0005-0000-0000-0000706E0000}"/>
    <cellStyle name="60% - Accent6 48" xfId="37415" xr:uid="{00000000-0005-0000-0000-0000716E0000}"/>
    <cellStyle name="60% - Accent6 5" xfId="277" xr:uid="{00000000-0005-0000-0000-0000726E0000}"/>
    <cellStyle name="60% - Accent6 5 2" xfId="34814" xr:uid="{00000000-0005-0000-0000-0000736E0000}"/>
    <cellStyle name="60% - Accent6 5 3" xfId="35016" xr:uid="{00000000-0005-0000-0000-0000746E0000}"/>
    <cellStyle name="60% - Accent6 5 4" xfId="35222" xr:uid="{00000000-0005-0000-0000-0000756E0000}"/>
    <cellStyle name="60% - Accent6 5 5" xfId="35451" xr:uid="{00000000-0005-0000-0000-0000766E0000}"/>
    <cellStyle name="60% - Accent6 5 6" xfId="36323" xr:uid="{00000000-0005-0000-0000-0000776E0000}"/>
    <cellStyle name="60% - Accent6 5 7" xfId="36609" xr:uid="{00000000-0005-0000-0000-0000786E0000}"/>
    <cellStyle name="60% - Accent6 5 8" xfId="37494" xr:uid="{00000000-0005-0000-0000-0000796E0000}"/>
    <cellStyle name="60% - Accent6 6" xfId="297" xr:uid="{00000000-0005-0000-0000-00007A6E0000}"/>
    <cellStyle name="60% - Accent6 6 2" xfId="34833" xr:uid="{00000000-0005-0000-0000-00007B6E0000}"/>
    <cellStyle name="60% - Accent6 6 3" xfId="35035" xr:uid="{00000000-0005-0000-0000-00007C6E0000}"/>
    <cellStyle name="60% - Accent6 6 4" xfId="35241" xr:uid="{00000000-0005-0000-0000-00007D6E0000}"/>
    <cellStyle name="60% - Accent6 6 5" xfId="35470" xr:uid="{00000000-0005-0000-0000-00007E6E0000}"/>
    <cellStyle name="60% - Accent6 6 6" xfId="36342" xr:uid="{00000000-0005-0000-0000-00007F6E0000}"/>
    <cellStyle name="60% - Accent6 6 7" xfId="36628" xr:uid="{00000000-0005-0000-0000-0000806E0000}"/>
    <cellStyle name="60% - Accent6 6 8" xfId="37500" xr:uid="{00000000-0005-0000-0000-0000816E0000}"/>
    <cellStyle name="60% - Accent6 7" xfId="317" xr:uid="{00000000-0005-0000-0000-0000826E0000}"/>
    <cellStyle name="60% - Accent6 7 2" xfId="34852" xr:uid="{00000000-0005-0000-0000-0000836E0000}"/>
    <cellStyle name="60% - Accent6 7 3" xfId="35054" xr:uid="{00000000-0005-0000-0000-0000846E0000}"/>
    <cellStyle name="60% - Accent6 7 4" xfId="35261" xr:uid="{00000000-0005-0000-0000-0000856E0000}"/>
    <cellStyle name="60% - Accent6 7 5" xfId="35490" xr:uid="{00000000-0005-0000-0000-0000866E0000}"/>
    <cellStyle name="60% - Accent6 7 6" xfId="36362" xr:uid="{00000000-0005-0000-0000-0000876E0000}"/>
    <cellStyle name="60% - Accent6 7 7" xfId="36635" xr:uid="{00000000-0005-0000-0000-0000886E0000}"/>
    <cellStyle name="60% - Accent6 7 8" xfId="37520" xr:uid="{00000000-0005-0000-0000-0000896E0000}"/>
    <cellStyle name="60% - Accent6 8" xfId="337" xr:uid="{00000000-0005-0000-0000-00008A6E0000}"/>
    <cellStyle name="60% - Accent6 8 2" xfId="34871" xr:uid="{00000000-0005-0000-0000-00008B6E0000}"/>
    <cellStyle name="60% - Accent6 8 3" xfId="35073" xr:uid="{00000000-0005-0000-0000-00008C6E0000}"/>
    <cellStyle name="60% - Accent6 8 4" xfId="35280" xr:uid="{00000000-0005-0000-0000-00008D6E0000}"/>
    <cellStyle name="60% - Accent6 8 5" xfId="35509" xr:uid="{00000000-0005-0000-0000-00008E6E0000}"/>
    <cellStyle name="60% - Accent6 8 6" xfId="36368" xr:uid="{00000000-0005-0000-0000-00008F6E0000}"/>
    <cellStyle name="60% - Accent6 8 7" xfId="36654" xr:uid="{00000000-0005-0000-0000-0000906E0000}"/>
    <cellStyle name="60% - Accent6 8 8" xfId="37539" xr:uid="{00000000-0005-0000-0000-0000916E0000}"/>
    <cellStyle name="60% - Accent6 9" xfId="357" xr:uid="{00000000-0005-0000-0000-0000926E0000}"/>
    <cellStyle name="60% - Accent6 9 2" xfId="34891" xr:uid="{00000000-0005-0000-0000-0000936E0000}"/>
    <cellStyle name="60% - Accent6 9 3" xfId="35092" xr:uid="{00000000-0005-0000-0000-0000946E0000}"/>
    <cellStyle name="60% - Accent6 9 4" xfId="35300" xr:uid="{00000000-0005-0000-0000-0000956E0000}"/>
    <cellStyle name="60% - Accent6 9 5" xfId="35516" xr:uid="{00000000-0005-0000-0000-0000966E0000}"/>
    <cellStyle name="60% - Accent6 9 6" xfId="36388" xr:uid="{00000000-0005-0000-0000-0000976E0000}"/>
    <cellStyle name="60% - Accent6 9 7" xfId="36674" xr:uid="{00000000-0005-0000-0000-0000986E0000}"/>
    <cellStyle name="60% - Accent6 9 8" xfId="37559" xr:uid="{00000000-0005-0000-0000-0000996E0000}"/>
    <cellStyle name="Accent1" xfId="22" builtinId="29" customBuiltin="1"/>
    <cellStyle name="Accent1 2" xfId="20787" xr:uid="{00000000-0005-0000-0000-00009B6E0000}"/>
    <cellStyle name="Accent1 3" xfId="5830" xr:uid="{00000000-0005-0000-0000-00009C6E0000}"/>
    <cellStyle name="Accent2" xfId="26" builtinId="33" customBuiltin="1"/>
    <cellStyle name="Accent2 2" xfId="22392" xr:uid="{00000000-0005-0000-0000-00009E6E0000}"/>
    <cellStyle name="Accent2 3" xfId="24768" xr:uid="{00000000-0005-0000-0000-00009F6E0000}"/>
    <cellStyle name="Accent3" xfId="30" builtinId="37" customBuiltin="1"/>
    <cellStyle name="Accent3 2" xfId="24341" xr:uid="{00000000-0005-0000-0000-0000A16E0000}"/>
    <cellStyle name="Accent3 3" xfId="22827" xr:uid="{00000000-0005-0000-0000-0000A26E0000}"/>
    <cellStyle name="Accent4" xfId="34" builtinId="41" customBuiltin="1"/>
    <cellStyle name="Accent4 2" xfId="9445" xr:uid="{00000000-0005-0000-0000-0000A46E0000}"/>
    <cellStyle name="Accent4 3" xfId="22819" xr:uid="{00000000-0005-0000-0000-0000A56E0000}"/>
    <cellStyle name="Accent5" xfId="38" builtinId="45" customBuiltin="1"/>
    <cellStyle name="Accent5 2" xfId="17005" xr:uid="{00000000-0005-0000-0000-0000A76E0000}"/>
    <cellStyle name="Accent5 3" xfId="22805" xr:uid="{00000000-0005-0000-0000-0000A86E0000}"/>
    <cellStyle name="Accent6" xfId="42" builtinId="49" customBuiltin="1"/>
    <cellStyle name="Accent6 2" xfId="9375" xr:uid="{00000000-0005-0000-0000-0000AA6E0000}"/>
    <cellStyle name="Accent6 3" xfId="9371" xr:uid="{00000000-0005-0000-0000-0000AB6E0000}"/>
    <cellStyle name="Bad" xfId="12" builtinId="27" customBuiltin="1"/>
    <cellStyle name="Bad 2" xfId="5829" xr:uid="{00000000-0005-0000-0000-0000AD6E0000}"/>
    <cellStyle name="Bad 3" xfId="5826" xr:uid="{00000000-0005-0000-0000-0000AE6E0000}"/>
    <cellStyle name="Calculation" xfId="16" builtinId="22" customBuiltin="1"/>
    <cellStyle name="Calculation 2" xfId="23207" xr:uid="{00000000-0005-0000-0000-0000B06E0000}"/>
    <cellStyle name="Calculation 3" xfId="9552" xr:uid="{00000000-0005-0000-0000-0000B16E0000}"/>
    <cellStyle name="Check Cell" xfId="18" builtinId="23" customBuiltin="1"/>
    <cellStyle name="Check Cell 2" xfId="6594" xr:uid="{00000000-0005-0000-0000-0000B36E0000}"/>
    <cellStyle name="Check Cell 3" xfId="6649" xr:uid="{00000000-0005-0000-0000-0000B46E0000}"/>
    <cellStyle name="Comma" xfId="1" builtinId="3"/>
    <cellStyle name="Comma 10" xfId="34726" xr:uid="{00000000-0005-0000-0000-0000B66E0000}"/>
    <cellStyle name="Comma 11" xfId="34915" xr:uid="{00000000-0005-0000-0000-0000B76E0000}"/>
    <cellStyle name="Comma 12" xfId="35347" xr:uid="{00000000-0005-0000-0000-0000B86E0000}"/>
    <cellStyle name="Comma 13" xfId="35599" xr:uid="{00000000-0005-0000-0000-0000B96E0000}"/>
    <cellStyle name="Comma 14" xfId="35613" xr:uid="{00000000-0005-0000-0000-0000BA6E0000}"/>
    <cellStyle name="Comma 15" xfId="35627" xr:uid="{00000000-0005-0000-0000-0000BB6E0000}"/>
    <cellStyle name="Comma 16" xfId="36236" xr:uid="{00000000-0005-0000-0000-0000BC6E0000}"/>
    <cellStyle name="Comma 2" xfId="54" xr:uid="{00000000-0005-0000-0000-0000BD6E0000}"/>
    <cellStyle name="Comma 2 10" xfId="19489" xr:uid="{00000000-0005-0000-0000-0000BE6E0000}"/>
    <cellStyle name="Comma 2 10 2" xfId="34920" xr:uid="{00000000-0005-0000-0000-0000BF6E0000}"/>
    <cellStyle name="Comma 2 10 3" xfId="35352" xr:uid="{00000000-0005-0000-0000-0000C06E0000}"/>
    <cellStyle name="Comma 2 10 4" xfId="35604" xr:uid="{00000000-0005-0000-0000-0000C16E0000}"/>
    <cellStyle name="Comma 2 10 5" xfId="35618" xr:uid="{00000000-0005-0000-0000-0000C26E0000}"/>
    <cellStyle name="Comma 2 10 6" xfId="35632" xr:uid="{00000000-0005-0000-0000-0000C36E0000}"/>
    <cellStyle name="Comma 2 10 7" xfId="36241" xr:uid="{00000000-0005-0000-0000-0000C46E0000}"/>
    <cellStyle name="Comma 2 11" xfId="34670" xr:uid="{00000000-0005-0000-0000-0000C56E0000}"/>
    <cellStyle name="Comma 2 11 2" xfId="35137" xr:uid="{00000000-0005-0000-0000-0000C66E0000}"/>
    <cellStyle name="Comma 2 11 3" xfId="35353" xr:uid="{00000000-0005-0000-0000-0000C76E0000}"/>
    <cellStyle name="Comma 2 11 4" xfId="35605" xr:uid="{00000000-0005-0000-0000-0000C86E0000}"/>
    <cellStyle name="Comma 2 11 5" xfId="35619" xr:uid="{00000000-0005-0000-0000-0000C96E0000}"/>
    <cellStyle name="Comma 2 11 6" xfId="35633" xr:uid="{00000000-0005-0000-0000-0000CA6E0000}"/>
    <cellStyle name="Comma 2 11 7" xfId="36242" xr:uid="{00000000-0005-0000-0000-0000CB6E0000}"/>
    <cellStyle name="Comma 2 12" xfId="34679" xr:uid="{00000000-0005-0000-0000-0000CC6E0000}"/>
    <cellStyle name="Comma 2 12 2" xfId="35354" xr:uid="{00000000-0005-0000-0000-0000CD6E0000}"/>
    <cellStyle name="Comma 2 12 3" xfId="35606" xr:uid="{00000000-0005-0000-0000-0000CE6E0000}"/>
    <cellStyle name="Comma 2 12 4" xfId="35620" xr:uid="{00000000-0005-0000-0000-0000CF6E0000}"/>
    <cellStyle name="Comma 2 12 5" xfId="35634" xr:uid="{00000000-0005-0000-0000-0000D06E0000}"/>
    <cellStyle name="Comma 2 12 6" xfId="36243" xr:uid="{00000000-0005-0000-0000-0000D16E0000}"/>
    <cellStyle name="Comma 2 13" xfId="34686" xr:uid="{00000000-0005-0000-0000-0000D26E0000}"/>
    <cellStyle name="Comma 2 13 2" xfId="36244" xr:uid="{00000000-0005-0000-0000-0000D36E0000}"/>
    <cellStyle name="Comma 2 14" xfId="34723" xr:uid="{00000000-0005-0000-0000-0000D46E0000}"/>
    <cellStyle name="Comma 2 14 2" xfId="36512" xr:uid="{00000000-0005-0000-0000-0000D56E0000}"/>
    <cellStyle name="Comma 2 15" xfId="34912" xr:uid="{00000000-0005-0000-0000-0000D66E0000}"/>
    <cellStyle name="Comma 2 15 2" xfId="37397" xr:uid="{00000000-0005-0000-0000-0000D76E0000}"/>
    <cellStyle name="Comma 2 16" xfId="35344" xr:uid="{00000000-0005-0000-0000-0000D86E0000}"/>
    <cellStyle name="Comma 2 17" xfId="35596" xr:uid="{00000000-0005-0000-0000-0000D96E0000}"/>
    <cellStyle name="Comma 2 18" xfId="35610" xr:uid="{00000000-0005-0000-0000-0000DA6E0000}"/>
    <cellStyle name="Comma 2 19" xfId="35625" xr:uid="{00000000-0005-0000-0000-0000DB6E0000}"/>
    <cellStyle name="Comma 2 2" xfId="53" xr:uid="{00000000-0005-0000-0000-0000DC6E0000}"/>
    <cellStyle name="Comma 2 2 10" xfId="35621" xr:uid="{00000000-0005-0000-0000-0000DD6E0000}"/>
    <cellStyle name="Comma 2 2 11" xfId="36232" xr:uid="{00000000-0005-0000-0000-0000DE6E0000}"/>
    <cellStyle name="Comma 2 2 2" xfId="34417" xr:uid="{00000000-0005-0000-0000-0000DF6E0000}"/>
    <cellStyle name="Comma 2 2 3" xfId="34669" xr:uid="{00000000-0005-0000-0000-0000E06E0000}"/>
    <cellStyle name="Comma 2 2 4" xfId="34678" xr:uid="{00000000-0005-0000-0000-0000E16E0000}"/>
    <cellStyle name="Comma 2 2 5" xfId="34722" xr:uid="{00000000-0005-0000-0000-0000E26E0000}"/>
    <cellStyle name="Comma 2 2 6" xfId="34911" xr:uid="{00000000-0005-0000-0000-0000E36E0000}"/>
    <cellStyle name="Comma 2 2 7" xfId="35343" xr:uid="{00000000-0005-0000-0000-0000E46E0000}"/>
    <cellStyle name="Comma 2 2 8" xfId="35595" xr:uid="{00000000-0005-0000-0000-0000E56E0000}"/>
    <cellStyle name="Comma 2 2 9" xfId="35609" xr:uid="{00000000-0005-0000-0000-0000E66E0000}"/>
    <cellStyle name="Comma 2 20" xfId="35636" xr:uid="{00000000-0005-0000-0000-0000E76E0000}"/>
    <cellStyle name="Comma 2 21" xfId="36233" xr:uid="{00000000-0005-0000-0000-0000E86E0000}"/>
    <cellStyle name="Comma 2 3" xfId="64" xr:uid="{00000000-0005-0000-0000-0000E96E0000}"/>
    <cellStyle name="Comma 2 3 10" xfId="35626" xr:uid="{00000000-0005-0000-0000-0000EA6E0000}"/>
    <cellStyle name="Comma 2 3 11" xfId="36235" xr:uid="{00000000-0005-0000-0000-0000EB6E0000}"/>
    <cellStyle name="Comma 2 3 2" xfId="34426" xr:uid="{00000000-0005-0000-0000-0000EC6E0000}"/>
    <cellStyle name="Comma 2 3 3" xfId="34672" xr:uid="{00000000-0005-0000-0000-0000ED6E0000}"/>
    <cellStyle name="Comma 2 3 4" xfId="34681" xr:uid="{00000000-0005-0000-0000-0000EE6E0000}"/>
    <cellStyle name="Comma 2 3 5" xfId="34725" xr:uid="{00000000-0005-0000-0000-0000EF6E0000}"/>
    <cellStyle name="Comma 2 3 6" xfId="34914" xr:uid="{00000000-0005-0000-0000-0000F06E0000}"/>
    <cellStyle name="Comma 2 3 7" xfId="35346" xr:uid="{00000000-0005-0000-0000-0000F16E0000}"/>
    <cellStyle name="Comma 2 3 8" xfId="35598" xr:uid="{00000000-0005-0000-0000-0000F26E0000}"/>
    <cellStyle name="Comma 2 3 9" xfId="35612" xr:uid="{00000000-0005-0000-0000-0000F36E0000}"/>
    <cellStyle name="Comma 2 4" xfId="52" xr:uid="{00000000-0005-0000-0000-0000F46E0000}"/>
    <cellStyle name="Comma 2 4 10" xfId="35622" xr:uid="{00000000-0005-0000-0000-0000F56E0000}"/>
    <cellStyle name="Comma 2 4 11" xfId="36231" xr:uid="{00000000-0005-0000-0000-0000F66E0000}"/>
    <cellStyle name="Comma 2 4 2" xfId="34416" xr:uid="{00000000-0005-0000-0000-0000F76E0000}"/>
    <cellStyle name="Comma 2 4 3" xfId="34668" xr:uid="{00000000-0005-0000-0000-0000F86E0000}"/>
    <cellStyle name="Comma 2 4 4" xfId="34677" xr:uid="{00000000-0005-0000-0000-0000F96E0000}"/>
    <cellStyle name="Comma 2 4 5" xfId="34721" xr:uid="{00000000-0005-0000-0000-0000FA6E0000}"/>
    <cellStyle name="Comma 2 4 6" xfId="34910" xr:uid="{00000000-0005-0000-0000-0000FB6E0000}"/>
    <cellStyle name="Comma 2 4 7" xfId="35342" xr:uid="{00000000-0005-0000-0000-0000FC6E0000}"/>
    <cellStyle name="Comma 2 4 8" xfId="35594" xr:uid="{00000000-0005-0000-0000-0000FD6E0000}"/>
    <cellStyle name="Comma 2 4 9" xfId="35608" xr:uid="{00000000-0005-0000-0000-0000FE6E0000}"/>
    <cellStyle name="Comma 2 5" xfId="56" xr:uid="{00000000-0005-0000-0000-0000FF6E0000}"/>
    <cellStyle name="Comma 2 5 10" xfId="35624" xr:uid="{00000000-0005-0000-0000-0000006F0000}"/>
    <cellStyle name="Comma 2 5 11" xfId="36234" xr:uid="{00000000-0005-0000-0000-0000016F0000}"/>
    <cellStyle name="Comma 2 5 2" xfId="34420" xr:uid="{00000000-0005-0000-0000-0000026F0000}"/>
    <cellStyle name="Comma 2 5 3" xfId="34671" xr:uid="{00000000-0005-0000-0000-0000036F0000}"/>
    <cellStyle name="Comma 2 5 4" xfId="34680" xr:uid="{00000000-0005-0000-0000-0000046F0000}"/>
    <cellStyle name="Comma 2 5 5" xfId="34724" xr:uid="{00000000-0005-0000-0000-0000056F0000}"/>
    <cellStyle name="Comma 2 5 6" xfId="34913" xr:uid="{00000000-0005-0000-0000-0000066F0000}"/>
    <cellStyle name="Comma 2 5 7" xfId="35345" xr:uid="{00000000-0005-0000-0000-0000076F0000}"/>
    <cellStyle name="Comma 2 5 8" xfId="35597" xr:uid="{00000000-0005-0000-0000-0000086F0000}"/>
    <cellStyle name="Comma 2 5 9" xfId="35611" xr:uid="{00000000-0005-0000-0000-0000096F0000}"/>
    <cellStyle name="Comma 2 6" xfId="71" xr:uid="{00000000-0005-0000-0000-00000A6F0000}"/>
    <cellStyle name="Comma 2 6 10" xfId="35628" xr:uid="{00000000-0005-0000-0000-00000B6F0000}"/>
    <cellStyle name="Comma 2 6 11" xfId="36237" xr:uid="{00000000-0005-0000-0000-00000C6F0000}"/>
    <cellStyle name="Comma 2 6 2" xfId="34433" xr:uid="{00000000-0005-0000-0000-00000D6F0000}"/>
    <cellStyle name="Comma 2 6 3" xfId="34674" xr:uid="{00000000-0005-0000-0000-00000E6F0000}"/>
    <cellStyle name="Comma 2 6 4" xfId="34683" xr:uid="{00000000-0005-0000-0000-00000F6F0000}"/>
    <cellStyle name="Comma 2 6 5" xfId="34727" xr:uid="{00000000-0005-0000-0000-0000106F0000}"/>
    <cellStyle name="Comma 2 6 6" xfId="34916" xr:uid="{00000000-0005-0000-0000-0000116F0000}"/>
    <cellStyle name="Comma 2 6 7" xfId="35348" xr:uid="{00000000-0005-0000-0000-0000126F0000}"/>
    <cellStyle name="Comma 2 6 8" xfId="35600" xr:uid="{00000000-0005-0000-0000-0000136F0000}"/>
    <cellStyle name="Comma 2 6 9" xfId="35614" xr:uid="{00000000-0005-0000-0000-0000146F0000}"/>
    <cellStyle name="Comma 2 7" xfId="116" xr:uid="{00000000-0005-0000-0000-0000156F0000}"/>
    <cellStyle name="Comma 2 7 10" xfId="35629" xr:uid="{00000000-0005-0000-0000-0000166F0000}"/>
    <cellStyle name="Comma 2 7 11" xfId="36238" xr:uid="{00000000-0005-0000-0000-0000176F0000}"/>
    <cellStyle name="Comma 2 7 2" xfId="34470" xr:uid="{00000000-0005-0000-0000-0000186F0000}"/>
    <cellStyle name="Comma 2 7 3" xfId="34675" xr:uid="{00000000-0005-0000-0000-0000196F0000}"/>
    <cellStyle name="Comma 2 7 4" xfId="34684" xr:uid="{00000000-0005-0000-0000-00001A6F0000}"/>
    <cellStyle name="Comma 2 7 5" xfId="34728" xr:uid="{00000000-0005-0000-0000-00001B6F0000}"/>
    <cellStyle name="Comma 2 7 6" xfId="34917" xr:uid="{00000000-0005-0000-0000-00001C6F0000}"/>
    <cellStyle name="Comma 2 7 7" xfId="35349" xr:uid="{00000000-0005-0000-0000-00001D6F0000}"/>
    <cellStyle name="Comma 2 7 8" xfId="35601" xr:uid="{00000000-0005-0000-0000-00001E6F0000}"/>
    <cellStyle name="Comma 2 7 9" xfId="35615" xr:uid="{00000000-0005-0000-0000-00001F6F0000}"/>
    <cellStyle name="Comma 2 8" xfId="177" xr:uid="{00000000-0005-0000-0000-0000206F0000}"/>
    <cellStyle name="Comma 2 8 10" xfId="35630" xr:uid="{00000000-0005-0000-0000-0000216F0000}"/>
    <cellStyle name="Comma 2 8 11" xfId="36239" xr:uid="{00000000-0005-0000-0000-0000226F0000}"/>
    <cellStyle name="Comma 2 8 2" xfId="34519" xr:uid="{00000000-0005-0000-0000-0000236F0000}"/>
    <cellStyle name="Comma 2 8 3" xfId="34676" xr:uid="{00000000-0005-0000-0000-0000246F0000}"/>
    <cellStyle name="Comma 2 8 4" xfId="34685" xr:uid="{00000000-0005-0000-0000-0000256F0000}"/>
    <cellStyle name="Comma 2 8 5" xfId="34729" xr:uid="{00000000-0005-0000-0000-0000266F0000}"/>
    <cellStyle name="Comma 2 8 6" xfId="34918" xr:uid="{00000000-0005-0000-0000-0000276F0000}"/>
    <cellStyle name="Comma 2 8 7" xfId="35350" xr:uid="{00000000-0005-0000-0000-0000286F0000}"/>
    <cellStyle name="Comma 2 8 8" xfId="35602" xr:uid="{00000000-0005-0000-0000-0000296F0000}"/>
    <cellStyle name="Comma 2 8 9" xfId="35616" xr:uid="{00000000-0005-0000-0000-00002A6F0000}"/>
    <cellStyle name="Comma 2 9" xfId="34418" xr:uid="{00000000-0005-0000-0000-00002B6F0000}"/>
    <cellStyle name="Comma 2 9 2" xfId="34730" xr:uid="{00000000-0005-0000-0000-00002C6F0000}"/>
    <cellStyle name="Comma 2 9 3" xfId="34919" xr:uid="{00000000-0005-0000-0000-00002D6F0000}"/>
    <cellStyle name="Comma 2 9 4" xfId="35351" xr:uid="{00000000-0005-0000-0000-00002E6F0000}"/>
    <cellStyle name="Comma 2 9 5" xfId="35603" xr:uid="{00000000-0005-0000-0000-00002F6F0000}"/>
    <cellStyle name="Comma 2 9 6" xfId="35617" xr:uid="{00000000-0005-0000-0000-0000306F0000}"/>
    <cellStyle name="Comma 2 9 7" xfId="35631" xr:uid="{00000000-0005-0000-0000-0000316F0000}"/>
    <cellStyle name="Comma 2 9 8" xfId="36240" xr:uid="{00000000-0005-0000-0000-0000326F0000}"/>
    <cellStyle name="Comma 3" xfId="70" xr:uid="{00000000-0005-0000-0000-0000336F0000}"/>
    <cellStyle name="Comma 3 2" xfId="34432" xr:uid="{00000000-0005-0000-0000-0000346F0000}"/>
    <cellStyle name="Comma 3 3" xfId="11236" xr:uid="{00000000-0005-0000-0000-0000356F0000}"/>
    <cellStyle name="Comma 4" xfId="11224" xr:uid="{00000000-0005-0000-0000-0000366F0000}"/>
    <cellStyle name="Comma 42" xfId="38301" xr:uid="{75833A1F-4A7E-4DE8-B04E-371E321A1713}"/>
    <cellStyle name="Comma 5" xfId="11216" xr:uid="{00000000-0005-0000-0000-0000376F0000}"/>
    <cellStyle name="Comma 6" xfId="34410" xr:uid="{00000000-0005-0000-0000-0000386F0000}"/>
    <cellStyle name="Comma 7" xfId="24587" xr:uid="{00000000-0005-0000-0000-0000396F0000}"/>
    <cellStyle name="Comma 8" xfId="34673" xr:uid="{00000000-0005-0000-0000-00003A6F0000}"/>
    <cellStyle name="Comma 9" xfId="34682" xr:uid="{00000000-0005-0000-0000-00003B6F0000}"/>
    <cellStyle name="Excel Built-in Normal" xfId="51" xr:uid="{00000000-0005-0000-0000-00003C6F0000}"/>
    <cellStyle name="Excel Built-in Normal 2" xfId="62" xr:uid="{00000000-0005-0000-0000-00003D6F0000}"/>
    <cellStyle name="Explanatory Text" xfId="20" builtinId="53" customBuiltin="1"/>
    <cellStyle name="Explanatory Text 2" xfId="21606" xr:uid="{00000000-0005-0000-0000-00003F6F0000}"/>
    <cellStyle name="Good" xfId="11" builtinId="26" customBuiltin="1"/>
    <cellStyle name="Good 2" xfId="26429" xr:uid="{00000000-0005-0000-0000-0000416F0000}"/>
    <cellStyle name="Good 3" xfId="26423" xr:uid="{00000000-0005-0000-0000-0000426F0000}"/>
    <cellStyle name="Heading 1" xfId="7" builtinId="16" customBuiltin="1"/>
    <cellStyle name="Heading 1 2" xfId="5825" xr:uid="{00000000-0005-0000-0000-0000446F0000}"/>
    <cellStyle name="Heading 2" xfId="8" builtinId="17" customBuiltin="1"/>
    <cellStyle name="Heading 2 2" xfId="5823" xr:uid="{00000000-0005-0000-0000-0000466F0000}"/>
    <cellStyle name="Heading 3" xfId="9" builtinId="18" customBuiltin="1"/>
    <cellStyle name="Heading 3 2" xfId="5822" xr:uid="{00000000-0005-0000-0000-0000486F0000}"/>
    <cellStyle name="Heading 3 3" xfId="19998" xr:uid="{00000000-0005-0000-0000-0000496F0000}"/>
    <cellStyle name="Heading 4" xfId="10" builtinId="19" customBuiltin="1"/>
    <cellStyle name="Heading 4 2" xfId="31295" xr:uid="{00000000-0005-0000-0000-00004B6F0000}"/>
    <cellStyle name="Input" xfId="14" builtinId="20" customBuiltin="1"/>
    <cellStyle name="Input 2" xfId="12473" xr:uid="{00000000-0005-0000-0000-00004D6F0000}"/>
    <cellStyle name="Input 3" xfId="16372" xr:uid="{00000000-0005-0000-0000-00004E6F0000}"/>
    <cellStyle name="Linked Cell" xfId="17" builtinId="24" customBuiltin="1"/>
    <cellStyle name="Linked Cell 2" xfId="26522" xr:uid="{00000000-0005-0000-0000-0000506F0000}"/>
    <cellStyle name="Neutral" xfId="13" builtinId="28" customBuiltin="1"/>
    <cellStyle name="Neutral 2" xfId="68" xr:uid="{00000000-0005-0000-0000-0000526F0000}"/>
    <cellStyle name="Neutral 2 2" xfId="34430" xr:uid="{00000000-0005-0000-0000-0000536F0000}"/>
    <cellStyle name="Neutral 2 3" xfId="14114" xr:uid="{00000000-0005-0000-0000-0000546F0000}"/>
    <cellStyle name="Neutral 3" xfId="20234" xr:uid="{00000000-0005-0000-0000-0000556F0000}"/>
    <cellStyle name="Normal" xfId="0" builtinId="0"/>
    <cellStyle name="Normal 10" xfId="338" xr:uid="{00000000-0005-0000-0000-0000576F0000}"/>
    <cellStyle name="Normal 10 2" xfId="23302" xr:uid="{00000000-0005-0000-0000-0000586F0000}"/>
    <cellStyle name="Normal 10 2 2" xfId="34872" xr:uid="{00000000-0005-0000-0000-0000596F0000}"/>
    <cellStyle name="Normal 10 3" xfId="34631" xr:uid="{00000000-0005-0000-0000-00005A6F0000}"/>
    <cellStyle name="Normal 10 4" xfId="14837" xr:uid="{00000000-0005-0000-0000-00005B6F0000}"/>
    <cellStyle name="Normal 10 4 2" xfId="35281" xr:uid="{00000000-0005-0000-0000-00005C6F0000}"/>
    <cellStyle name="Normal 10 5" xfId="35510" xr:uid="{00000000-0005-0000-0000-00005D6F0000}"/>
    <cellStyle name="Normal 10 6" xfId="36369" xr:uid="{00000000-0005-0000-0000-00005E6F0000}"/>
    <cellStyle name="Normal 10 7" xfId="36655" xr:uid="{00000000-0005-0000-0000-00005F6F0000}"/>
    <cellStyle name="Normal 10 8" xfId="37540" xr:uid="{00000000-0005-0000-0000-0000606F0000}"/>
    <cellStyle name="Normal 11" xfId="46" xr:uid="{00000000-0005-0000-0000-0000616F0000}"/>
    <cellStyle name="Normal 11 10" xfId="34413" xr:uid="{00000000-0005-0000-0000-0000626F0000}"/>
    <cellStyle name="Normal 11 11" xfId="21910" xr:uid="{00000000-0005-0000-0000-0000636F0000}"/>
    <cellStyle name="Normal 11 2" xfId="24822" xr:uid="{00000000-0005-0000-0000-0000646F0000}"/>
    <cellStyle name="Normal 11 2 2" xfId="23879" xr:uid="{00000000-0005-0000-0000-0000656F0000}"/>
    <cellStyle name="Normal 11 2 2 2" xfId="5821" xr:uid="{00000000-0005-0000-0000-0000666F0000}"/>
    <cellStyle name="Normal 11 2 2 2 2" xfId="32223" xr:uid="{00000000-0005-0000-0000-0000676F0000}"/>
    <cellStyle name="Normal 11 2 2 2 2 2" xfId="7715" xr:uid="{00000000-0005-0000-0000-0000686F0000}"/>
    <cellStyle name="Normal 11 2 2 2 2 2 2" xfId="5820" xr:uid="{00000000-0005-0000-0000-0000696F0000}"/>
    <cellStyle name="Normal 11 2 2 2 2 2 2 2" xfId="12909" xr:uid="{00000000-0005-0000-0000-00006A6F0000}"/>
    <cellStyle name="Normal 11 2 2 2 2 2 3" xfId="5817" xr:uid="{00000000-0005-0000-0000-00006B6F0000}"/>
    <cellStyle name="Normal 11 2 2 2 2 3" xfId="7709" xr:uid="{00000000-0005-0000-0000-00006C6F0000}"/>
    <cellStyle name="Normal 11 2 2 2 2 3 2" xfId="5815" xr:uid="{00000000-0005-0000-0000-00006D6F0000}"/>
    <cellStyle name="Normal 11 2 2 2 2 4" xfId="6031" xr:uid="{00000000-0005-0000-0000-00006E6F0000}"/>
    <cellStyle name="Normal 11 2 2 2 3" xfId="13219" xr:uid="{00000000-0005-0000-0000-00006F6F0000}"/>
    <cellStyle name="Normal 11 2 2 2 3 2" xfId="13214" xr:uid="{00000000-0005-0000-0000-0000706F0000}"/>
    <cellStyle name="Normal 11 2 2 2 3 2 2" xfId="17532" xr:uid="{00000000-0005-0000-0000-0000716F0000}"/>
    <cellStyle name="Normal 11 2 2 2 3 3" xfId="13196" xr:uid="{00000000-0005-0000-0000-0000726F0000}"/>
    <cellStyle name="Normal 11 2 2 2 4" xfId="19582" xr:uid="{00000000-0005-0000-0000-0000736F0000}"/>
    <cellStyle name="Normal 11 2 2 2 4 2" xfId="13183" xr:uid="{00000000-0005-0000-0000-0000746F0000}"/>
    <cellStyle name="Normal 11 2 2 2 5" xfId="12868" xr:uid="{00000000-0005-0000-0000-0000756F0000}"/>
    <cellStyle name="Normal 11 2 2 3" xfId="23989" xr:uid="{00000000-0005-0000-0000-0000766F0000}"/>
    <cellStyle name="Normal 11 2 2 3 2" xfId="5813" xr:uid="{00000000-0005-0000-0000-0000776F0000}"/>
    <cellStyle name="Normal 11 2 2 3 2 2" xfId="7701" xr:uid="{00000000-0005-0000-0000-0000786F0000}"/>
    <cellStyle name="Normal 11 2 2 3 2 2 2" xfId="14556" xr:uid="{00000000-0005-0000-0000-0000796F0000}"/>
    <cellStyle name="Normal 11 2 2 3 2 3" xfId="25441" xr:uid="{00000000-0005-0000-0000-00007A6F0000}"/>
    <cellStyle name="Normal 11 2 2 3 3" xfId="13157" xr:uid="{00000000-0005-0000-0000-00007B6F0000}"/>
    <cellStyle name="Normal 11 2 2 3 3 2" xfId="13155" xr:uid="{00000000-0005-0000-0000-00007C6F0000}"/>
    <cellStyle name="Normal 11 2 2 3 4" xfId="13144" xr:uid="{00000000-0005-0000-0000-00007D6F0000}"/>
    <cellStyle name="Normal 11 2 2 4" xfId="7488" xr:uid="{00000000-0005-0000-0000-00007E6F0000}"/>
    <cellStyle name="Normal 11 2 2 4 2" xfId="5811" xr:uid="{00000000-0005-0000-0000-00007F6F0000}"/>
    <cellStyle name="Normal 11 2 2 4 2 2" xfId="6423" xr:uid="{00000000-0005-0000-0000-0000806F0000}"/>
    <cellStyle name="Normal 11 2 2 4 3" xfId="13124" xr:uid="{00000000-0005-0000-0000-0000816F0000}"/>
    <cellStyle name="Normal 11 2 2 5" xfId="6105" xr:uid="{00000000-0005-0000-0000-0000826F0000}"/>
    <cellStyle name="Normal 11 2 2 5 2" xfId="17377" xr:uid="{00000000-0005-0000-0000-0000836F0000}"/>
    <cellStyle name="Normal 11 2 2 6" xfId="21128" xr:uid="{00000000-0005-0000-0000-0000846F0000}"/>
    <cellStyle name="Normal 11 2 3" xfId="33456" xr:uid="{00000000-0005-0000-0000-0000856F0000}"/>
    <cellStyle name="Normal 11 2 3 2" xfId="5809" xr:uid="{00000000-0005-0000-0000-0000866F0000}"/>
    <cellStyle name="Normal 11 2 3 2 2" xfId="5808" xr:uid="{00000000-0005-0000-0000-0000876F0000}"/>
    <cellStyle name="Normal 11 2 3 2 2 2" xfId="23442" xr:uid="{00000000-0005-0000-0000-0000886F0000}"/>
    <cellStyle name="Normal 11 2 3 2 2 2 2" xfId="5805" xr:uid="{00000000-0005-0000-0000-0000896F0000}"/>
    <cellStyle name="Normal 11 2 3 2 2 3" xfId="5802" xr:uid="{00000000-0005-0000-0000-00008A6F0000}"/>
    <cellStyle name="Normal 11 2 3 2 3" xfId="12939" xr:uid="{00000000-0005-0000-0000-00008B6F0000}"/>
    <cellStyle name="Normal 11 2 3 2 3 2" xfId="32714" xr:uid="{00000000-0005-0000-0000-00008C6F0000}"/>
    <cellStyle name="Normal 11 2 3 2 4" xfId="12928" xr:uid="{00000000-0005-0000-0000-00008D6F0000}"/>
    <cellStyle name="Normal 11 2 3 3" xfId="7485" xr:uid="{00000000-0005-0000-0000-00008E6F0000}"/>
    <cellStyle name="Normal 11 2 3 3 2" xfId="5799" xr:uid="{00000000-0005-0000-0000-00008F6F0000}"/>
    <cellStyle name="Normal 11 2 3 3 2 2" xfId="5796" xr:uid="{00000000-0005-0000-0000-0000906F0000}"/>
    <cellStyle name="Normal 11 2 3 3 3" xfId="12915" xr:uid="{00000000-0005-0000-0000-0000916F0000}"/>
    <cellStyle name="Normal 11 2 3 4" xfId="5793" xr:uid="{00000000-0005-0000-0000-0000926F0000}"/>
    <cellStyle name="Normal 11 2 3 4 2" xfId="5792" xr:uid="{00000000-0005-0000-0000-0000936F0000}"/>
    <cellStyle name="Normal 11 2 3 5" xfId="5789" xr:uid="{00000000-0005-0000-0000-0000946F0000}"/>
    <cellStyle name="Normal 11 2 4" xfId="5788" xr:uid="{00000000-0005-0000-0000-0000956F0000}"/>
    <cellStyle name="Normal 11 2 4 2" xfId="14676" xr:uid="{00000000-0005-0000-0000-0000966F0000}"/>
    <cellStyle name="Normal 11 2 4 2 2" xfId="27978" xr:uid="{00000000-0005-0000-0000-0000976F0000}"/>
    <cellStyle name="Normal 11 2 4 2 2 2" xfId="27971" xr:uid="{00000000-0005-0000-0000-0000986F0000}"/>
    <cellStyle name="Normal 11 2 4 2 3" xfId="27967" xr:uid="{00000000-0005-0000-0000-0000996F0000}"/>
    <cellStyle name="Normal 11 2 4 3" xfId="14673" xr:uid="{00000000-0005-0000-0000-00009A6F0000}"/>
    <cellStyle name="Normal 11 2 4 3 2" xfId="25343" xr:uid="{00000000-0005-0000-0000-00009B6F0000}"/>
    <cellStyle name="Normal 11 2 4 4" xfId="28701" xr:uid="{00000000-0005-0000-0000-00009C6F0000}"/>
    <cellStyle name="Normal 11 2 5" xfId="5787" xr:uid="{00000000-0005-0000-0000-00009D6F0000}"/>
    <cellStyle name="Normal 11 2 5 2" xfId="14242" xr:uid="{00000000-0005-0000-0000-00009E6F0000}"/>
    <cellStyle name="Normal 11 2 5 2 2" xfId="29539" xr:uid="{00000000-0005-0000-0000-00009F6F0000}"/>
    <cellStyle name="Normal 11 2 5 3" xfId="28320" xr:uid="{00000000-0005-0000-0000-0000A06F0000}"/>
    <cellStyle name="Normal 11 2 6" xfId="18260" xr:uid="{00000000-0005-0000-0000-0000A16F0000}"/>
    <cellStyle name="Normal 11 2 6 2" xfId="13903" xr:uid="{00000000-0005-0000-0000-0000A26F0000}"/>
    <cellStyle name="Normal 11 2 7" xfId="21763" xr:uid="{00000000-0005-0000-0000-0000A36F0000}"/>
    <cellStyle name="Normal 11 2 8" xfId="22905" xr:uid="{00000000-0005-0000-0000-0000A46F0000}"/>
    <cellStyle name="Normal 11 3" xfId="23877" xr:uid="{00000000-0005-0000-0000-0000A56F0000}"/>
    <cellStyle name="Normal 11 3 2" xfId="5786" xr:uid="{00000000-0005-0000-0000-0000A66F0000}"/>
    <cellStyle name="Normal 11 3 2 2" xfId="5785" xr:uid="{00000000-0005-0000-0000-0000A76F0000}"/>
    <cellStyle name="Normal 11 3 2 2 2" xfId="5783" xr:uid="{00000000-0005-0000-0000-0000A86F0000}"/>
    <cellStyle name="Normal 11 3 2 2 2 2" xfId="7693" xr:uid="{00000000-0005-0000-0000-0000A96F0000}"/>
    <cellStyle name="Normal 11 3 2 2 2 2 2" xfId="5780" xr:uid="{00000000-0005-0000-0000-0000AA6F0000}"/>
    <cellStyle name="Normal 11 3 2 2 2 3" xfId="5778" xr:uid="{00000000-0005-0000-0000-0000AB6F0000}"/>
    <cellStyle name="Normal 11 3 2 2 3" xfId="12477" xr:uid="{00000000-0005-0000-0000-0000AC6F0000}"/>
    <cellStyle name="Normal 11 3 2 2 3 2" xfId="12474" xr:uid="{00000000-0005-0000-0000-0000AD6F0000}"/>
    <cellStyle name="Normal 11 3 2 2 4" xfId="12464" xr:uid="{00000000-0005-0000-0000-0000AE6F0000}"/>
    <cellStyle name="Normal 11 3 2 3" xfId="7479" xr:uid="{00000000-0005-0000-0000-0000AF6F0000}"/>
    <cellStyle name="Normal 11 3 2 3 2" xfId="5776" xr:uid="{00000000-0005-0000-0000-0000B06F0000}"/>
    <cellStyle name="Normal 11 3 2 3 2 2" xfId="5772" xr:uid="{00000000-0005-0000-0000-0000B16F0000}"/>
    <cellStyle name="Normal 11 3 2 3 3" xfId="12454" xr:uid="{00000000-0005-0000-0000-0000B26F0000}"/>
    <cellStyle name="Normal 11 3 2 4" xfId="5768" xr:uid="{00000000-0005-0000-0000-0000B36F0000}"/>
    <cellStyle name="Normal 11 3 2 4 2" xfId="24004" xr:uid="{00000000-0005-0000-0000-0000B46F0000}"/>
    <cellStyle name="Normal 11 3 2 5" xfId="5767" xr:uid="{00000000-0005-0000-0000-0000B56F0000}"/>
    <cellStyle name="Normal 11 3 3" xfId="5766" xr:uid="{00000000-0005-0000-0000-0000B66F0000}"/>
    <cellStyle name="Normal 11 3 3 2" xfId="5765" xr:uid="{00000000-0005-0000-0000-0000B76F0000}"/>
    <cellStyle name="Normal 11 3 3 2 2" xfId="5763" xr:uid="{00000000-0005-0000-0000-0000B86F0000}"/>
    <cellStyle name="Normal 11 3 3 2 2 2" xfId="15766" xr:uid="{00000000-0005-0000-0000-0000B96F0000}"/>
    <cellStyle name="Normal 11 3 3 2 3" xfId="12348" xr:uid="{00000000-0005-0000-0000-0000BA6F0000}"/>
    <cellStyle name="Normal 11 3 3 3" xfId="5760" xr:uid="{00000000-0005-0000-0000-0000BB6F0000}"/>
    <cellStyle name="Normal 11 3 3 3 2" xfId="5759" xr:uid="{00000000-0005-0000-0000-0000BC6F0000}"/>
    <cellStyle name="Normal 11 3 3 4" xfId="5756" xr:uid="{00000000-0005-0000-0000-0000BD6F0000}"/>
    <cellStyle name="Normal 11 3 4" xfId="5755" xr:uid="{00000000-0005-0000-0000-0000BE6F0000}"/>
    <cellStyle name="Normal 11 3 4 2" xfId="12728" xr:uid="{00000000-0005-0000-0000-0000BF6F0000}"/>
    <cellStyle name="Normal 11 3 4 2 2" xfId="27853" xr:uid="{00000000-0005-0000-0000-0000C06F0000}"/>
    <cellStyle name="Normal 11 3 4 3" xfId="12718" xr:uid="{00000000-0005-0000-0000-0000C16F0000}"/>
    <cellStyle name="Normal 11 3 5" xfId="5754" xr:uid="{00000000-0005-0000-0000-0000C26F0000}"/>
    <cellStyle name="Normal 11 3 5 2" xfId="12232" xr:uid="{00000000-0005-0000-0000-0000C36F0000}"/>
    <cellStyle name="Normal 11 3 6" xfId="13248" xr:uid="{00000000-0005-0000-0000-0000C46F0000}"/>
    <cellStyle name="Normal 11 4" xfId="5752" xr:uid="{00000000-0005-0000-0000-0000C56F0000}"/>
    <cellStyle name="Normal 11 4 2" xfId="18119" xr:uid="{00000000-0005-0000-0000-0000C66F0000}"/>
    <cellStyle name="Normal 11 4 2 2" xfId="8242" xr:uid="{00000000-0005-0000-0000-0000C76F0000}"/>
    <cellStyle name="Normal 11 4 2 2 2" xfId="28365" xr:uid="{00000000-0005-0000-0000-0000C86F0000}"/>
    <cellStyle name="Normal 11 4 2 2 2 2" xfId="5751" xr:uid="{00000000-0005-0000-0000-0000C96F0000}"/>
    <cellStyle name="Normal 11 4 2 2 3" xfId="12125" xr:uid="{00000000-0005-0000-0000-0000CA6F0000}"/>
    <cellStyle name="Normal 11 4 2 3" xfId="27729" xr:uid="{00000000-0005-0000-0000-0000CB6F0000}"/>
    <cellStyle name="Normal 11 4 2 3 2" xfId="5749" xr:uid="{00000000-0005-0000-0000-0000CC6F0000}"/>
    <cellStyle name="Normal 11 4 2 4" xfId="5747" xr:uid="{00000000-0005-0000-0000-0000CD6F0000}"/>
    <cellStyle name="Normal 11 4 3" xfId="33694" xr:uid="{00000000-0005-0000-0000-0000CE6F0000}"/>
    <cellStyle name="Normal 11 4 3 2" xfId="27703" xr:uid="{00000000-0005-0000-0000-0000CF6F0000}"/>
    <cellStyle name="Normal 11 4 3 2 2" xfId="5746" xr:uid="{00000000-0005-0000-0000-0000D06F0000}"/>
    <cellStyle name="Normal 11 4 3 3" xfId="5744" xr:uid="{00000000-0005-0000-0000-0000D16F0000}"/>
    <cellStyle name="Normal 11 4 4" xfId="18114" xr:uid="{00000000-0005-0000-0000-0000D26F0000}"/>
    <cellStyle name="Normal 11 4 4 2" xfId="12539" xr:uid="{00000000-0005-0000-0000-0000D36F0000}"/>
    <cellStyle name="Normal 11 4 5" xfId="13244" xr:uid="{00000000-0005-0000-0000-0000D46F0000}"/>
    <cellStyle name="Normal 11 5" xfId="5743" xr:uid="{00000000-0005-0000-0000-0000D56F0000}"/>
    <cellStyle name="Normal 11 5 2" xfId="11949" xr:uid="{00000000-0005-0000-0000-0000D66F0000}"/>
    <cellStyle name="Normal 11 5 2 2" xfId="8157" xr:uid="{00000000-0005-0000-0000-0000D76F0000}"/>
    <cellStyle name="Normal 11 5 2 2 2" xfId="23437" xr:uid="{00000000-0005-0000-0000-0000D86F0000}"/>
    <cellStyle name="Normal 11 5 2 3" xfId="15197" xr:uid="{00000000-0005-0000-0000-0000D96F0000}"/>
    <cellStyle name="Normal 11 5 3" xfId="18100" xr:uid="{00000000-0005-0000-0000-0000DA6F0000}"/>
    <cellStyle name="Normal 11 5 3 2" xfId="7891" xr:uid="{00000000-0005-0000-0000-0000DB6F0000}"/>
    <cellStyle name="Normal 11 5 4" xfId="26441" xr:uid="{00000000-0005-0000-0000-0000DC6F0000}"/>
    <cellStyle name="Normal 11 6" xfId="19517" xr:uid="{00000000-0005-0000-0000-0000DD6F0000}"/>
    <cellStyle name="Normal 11 6 2" xfId="18096" xr:uid="{00000000-0005-0000-0000-0000DE6F0000}"/>
    <cellStyle name="Normal 11 6 2 2" xfId="8069" xr:uid="{00000000-0005-0000-0000-0000DF6F0000}"/>
    <cellStyle name="Normal 11 6 3" xfId="32672" xr:uid="{00000000-0005-0000-0000-0000E06F0000}"/>
    <cellStyle name="Normal 11 7" xfId="22135" xr:uid="{00000000-0005-0000-0000-0000E16F0000}"/>
    <cellStyle name="Normal 11 7 2" xfId="29281" xr:uid="{00000000-0005-0000-0000-0000E26F0000}"/>
    <cellStyle name="Normal 11 8" xfId="23289" xr:uid="{00000000-0005-0000-0000-0000E36F0000}"/>
    <cellStyle name="Normal 11 9" xfId="5742" xr:uid="{00000000-0005-0000-0000-0000E46F0000}"/>
    <cellStyle name="Normal 12" xfId="21191" xr:uid="{00000000-0005-0000-0000-0000E56F0000}"/>
    <cellStyle name="Normal 12 2" xfId="34688" xr:uid="{00000000-0005-0000-0000-0000E66F0000}"/>
    <cellStyle name="Normal 12 3" xfId="35308" xr:uid="{00000000-0005-0000-0000-0000E76F0000}"/>
    <cellStyle name="Normal 12 4" xfId="35535" xr:uid="{00000000-0005-0000-0000-0000E86F0000}"/>
    <cellStyle name="Normal 12 5" xfId="36408" xr:uid="{00000000-0005-0000-0000-0000E96F0000}"/>
    <cellStyle name="Normal 12 6" xfId="36694" xr:uid="{00000000-0005-0000-0000-0000EA6F0000}"/>
    <cellStyle name="Normal 12 7" xfId="37579" xr:uid="{00000000-0005-0000-0000-0000EB6F0000}"/>
    <cellStyle name="Normal 13" xfId="5940" xr:uid="{00000000-0005-0000-0000-0000EC6F0000}"/>
    <cellStyle name="Normal 13 2" xfId="33260" xr:uid="{00000000-0005-0000-0000-0000ED6F0000}"/>
    <cellStyle name="Normal 13 2 2" xfId="11148" xr:uid="{00000000-0005-0000-0000-0000EE6F0000}"/>
    <cellStyle name="Normal 13 2 2 2" xfId="5740" xr:uid="{00000000-0005-0000-0000-0000EF6F0000}"/>
    <cellStyle name="Normal 13 2 2 2 2" xfId="5739" xr:uid="{00000000-0005-0000-0000-0000F06F0000}"/>
    <cellStyle name="Normal 13 2 2 2 2 2" xfId="5737" xr:uid="{00000000-0005-0000-0000-0000F16F0000}"/>
    <cellStyle name="Normal 13 2 2 2 2 2 2" xfId="5733" xr:uid="{00000000-0005-0000-0000-0000F26F0000}"/>
    <cellStyle name="Normal 13 2 2 2 2 3" xfId="5731" xr:uid="{00000000-0005-0000-0000-0000F36F0000}"/>
    <cellStyle name="Normal 13 2 2 2 3" xfId="8564" xr:uid="{00000000-0005-0000-0000-0000F46F0000}"/>
    <cellStyle name="Normal 13 2 2 2 3 2" xfId="8560" xr:uid="{00000000-0005-0000-0000-0000F56F0000}"/>
    <cellStyle name="Normal 13 2 2 2 4" xfId="8519" xr:uid="{00000000-0005-0000-0000-0000F66F0000}"/>
    <cellStyle name="Normal 13 2 2 3" xfId="30682" xr:uid="{00000000-0005-0000-0000-0000F76F0000}"/>
    <cellStyle name="Normal 13 2 2 3 2" xfId="5728" xr:uid="{00000000-0005-0000-0000-0000F86F0000}"/>
    <cellStyle name="Normal 13 2 2 3 2 2" xfId="10917" xr:uid="{00000000-0005-0000-0000-0000F96F0000}"/>
    <cellStyle name="Normal 13 2 2 3 3" xfId="25414" xr:uid="{00000000-0005-0000-0000-0000FA6F0000}"/>
    <cellStyle name="Normal 13 2 2 4" xfId="12592" xr:uid="{00000000-0005-0000-0000-0000FB6F0000}"/>
    <cellStyle name="Normal 13 2 2 4 2" xfId="5726" xr:uid="{00000000-0005-0000-0000-0000FC6F0000}"/>
    <cellStyle name="Normal 13 2 2 5" xfId="5724" xr:uid="{00000000-0005-0000-0000-0000FD6F0000}"/>
    <cellStyle name="Normal 13 2 3" xfId="5722" xr:uid="{00000000-0005-0000-0000-0000FE6F0000}"/>
    <cellStyle name="Normal 13 2 3 2" xfId="5720" xr:uid="{00000000-0005-0000-0000-0000FF6F0000}"/>
    <cellStyle name="Normal 13 2 3 2 2" xfId="5719" xr:uid="{00000000-0005-0000-0000-000000700000}"/>
    <cellStyle name="Normal 13 2 3 2 2 2" xfId="19399" xr:uid="{00000000-0005-0000-0000-000001700000}"/>
    <cellStyle name="Normal 13 2 3 2 3" xfId="12194" xr:uid="{00000000-0005-0000-0000-000002700000}"/>
    <cellStyle name="Normal 13 2 3 3" xfId="5717" xr:uid="{00000000-0005-0000-0000-000003700000}"/>
    <cellStyle name="Normal 13 2 3 3 2" xfId="5716" xr:uid="{00000000-0005-0000-0000-000004700000}"/>
    <cellStyle name="Normal 13 2 3 4" xfId="10532" xr:uid="{00000000-0005-0000-0000-000005700000}"/>
    <cellStyle name="Normal 13 2 4" xfId="6748" xr:uid="{00000000-0005-0000-0000-000006700000}"/>
    <cellStyle name="Normal 13 2 4 2" xfId="5714" xr:uid="{00000000-0005-0000-0000-000007700000}"/>
    <cellStyle name="Normal 13 2 4 2 2" xfId="32857" xr:uid="{00000000-0005-0000-0000-000008700000}"/>
    <cellStyle name="Normal 13 2 4 3" xfId="5713" xr:uid="{00000000-0005-0000-0000-000009700000}"/>
    <cellStyle name="Normal 13 2 5" xfId="6743" xr:uid="{00000000-0005-0000-0000-00000A700000}"/>
    <cellStyle name="Normal 13 2 5 2" xfId="5712" xr:uid="{00000000-0005-0000-0000-00000B700000}"/>
    <cellStyle name="Normal 13 2 6" xfId="21733" xr:uid="{00000000-0005-0000-0000-00000C700000}"/>
    <cellStyle name="Normal 13 3" xfId="33380" xr:uid="{00000000-0005-0000-0000-00000D700000}"/>
    <cellStyle name="Normal 13 3 2" xfId="11188" xr:uid="{00000000-0005-0000-0000-00000E700000}"/>
    <cellStyle name="Normal 13 3 2 2" xfId="5711" xr:uid="{00000000-0005-0000-0000-00000F700000}"/>
    <cellStyle name="Normal 13 3 2 2 2" xfId="5710" xr:uid="{00000000-0005-0000-0000-000010700000}"/>
    <cellStyle name="Normal 13 3 2 2 2 2" xfId="21657" xr:uid="{00000000-0005-0000-0000-000011700000}"/>
    <cellStyle name="Normal 13 3 2 2 3" xfId="7752" xr:uid="{00000000-0005-0000-0000-000012700000}"/>
    <cellStyle name="Normal 13 3 2 3" xfId="5708" xr:uid="{00000000-0005-0000-0000-000013700000}"/>
    <cellStyle name="Normal 13 3 2 3 2" xfId="5707" xr:uid="{00000000-0005-0000-0000-000014700000}"/>
    <cellStyle name="Normal 13 3 2 4" xfId="5705" xr:uid="{00000000-0005-0000-0000-000015700000}"/>
    <cellStyle name="Normal 13 3 3" xfId="5704" xr:uid="{00000000-0005-0000-0000-000016700000}"/>
    <cellStyle name="Normal 13 3 3 2" xfId="5703" xr:uid="{00000000-0005-0000-0000-000017700000}"/>
    <cellStyle name="Normal 13 3 3 2 2" xfId="14159" xr:uid="{00000000-0005-0000-0000-000018700000}"/>
    <cellStyle name="Normal 13 3 3 3" xfId="5702" xr:uid="{00000000-0005-0000-0000-000019700000}"/>
    <cellStyle name="Normal 13 3 4" xfId="6740" xr:uid="{00000000-0005-0000-0000-00001A700000}"/>
    <cellStyle name="Normal 13 3 4 2" xfId="5701" xr:uid="{00000000-0005-0000-0000-00001B700000}"/>
    <cellStyle name="Normal 13 3 5" xfId="6737" xr:uid="{00000000-0005-0000-0000-00001C700000}"/>
    <cellStyle name="Normal 13 4" xfId="5700" xr:uid="{00000000-0005-0000-0000-00001D700000}"/>
    <cellStyle name="Normal 13 4 2" xfId="27510" xr:uid="{00000000-0005-0000-0000-00001E700000}"/>
    <cellStyle name="Normal 13 4 2 2" xfId="5699" xr:uid="{00000000-0005-0000-0000-00001F700000}"/>
    <cellStyle name="Normal 13 4 2 2 2" xfId="5698" xr:uid="{00000000-0005-0000-0000-000020700000}"/>
    <cellStyle name="Normal 13 4 2 3" xfId="24398" xr:uid="{00000000-0005-0000-0000-000021700000}"/>
    <cellStyle name="Normal 13 4 3" xfId="5696" xr:uid="{00000000-0005-0000-0000-000022700000}"/>
    <cellStyle name="Normal 13 4 3 2" xfId="5695" xr:uid="{00000000-0005-0000-0000-000023700000}"/>
    <cellStyle name="Normal 13 4 4" xfId="6735" xr:uid="{00000000-0005-0000-0000-000024700000}"/>
    <cellStyle name="Normal 13 5" xfId="16157" xr:uid="{00000000-0005-0000-0000-000025700000}"/>
    <cellStyle name="Normal 13 5 2" xfId="5694" xr:uid="{00000000-0005-0000-0000-000026700000}"/>
    <cellStyle name="Normal 13 5 2 2" xfId="9589" xr:uid="{00000000-0005-0000-0000-000027700000}"/>
    <cellStyle name="Normal 13 5 3" xfId="22635" xr:uid="{00000000-0005-0000-0000-000028700000}"/>
    <cellStyle name="Normal 13 6" xfId="8267" xr:uid="{00000000-0005-0000-0000-000029700000}"/>
    <cellStyle name="Normal 13 6 2" xfId="5693" xr:uid="{00000000-0005-0000-0000-00002A700000}"/>
    <cellStyle name="Normal 13 7" xfId="9387" xr:uid="{00000000-0005-0000-0000-00002B700000}"/>
    <cellStyle name="Normal 14" xfId="5691" xr:uid="{00000000-0005-0000-0000-00002C700000}"/>
    <cellStyle name="Normal 14 2" xfId="35334" xr:uid="{00000000-0005-0000-0000-00002D700000}"/>
    <cellStyle name="Normal 14 3" xfId="36448" xr:uid="{00000000-0005-0000-0000-00002E700000}"/>
    <cellStyle name="Normal 14 4" xfId="36734" xr:uid="{00000000-0005-0000-0000-00002F700000}"/>
    <cellStyle name="Normal 14 5" xfId="37619" xr:uid="{00000000-0005-0000-0000-000030700000}"/>
    <cellStyle name="Normal 15" xfId="5690" xr:uid="{00000000-0005-0000-0000-000031700000}"/>
    <cellStyle name="Normal 15 2" xfId="9223" xr:uid="{00000000-0005-0000-0000-000032700000}"/>
    <cellStyle name="Normal 15 2 2" xfId="5688" xr:uid="{00000000-0005-0000-0000-000033700000}"/>
    <cellStyle name="Normal 15 2 2 2" xfId="34125" xr:uid="{00000000-0005-0000-0000-000034700000}"/>
    <cellStyle name="Normal 15 2 2 2 2" xfId="5683" xr:uid="{00000000-0005-0000-0000-000035700000}"/>
    <cellStyle name="Normal 15 2 2 2 2 2" xfId="5681" xr:uid="{00000000-0005-0000-0000-000036700000}"/>
    <cellStyle name="Normal 15 2 2 2 3" xfId="18245" xr:uid="{00000000-0005-0000-0000-000037700000}"/>
    <cellStyle name="Normal 15 2 2 3" xfId="25832" xr:uid="{00000000-0005-0000-0000-000038700000}"/>
    <cellStyle name="Normal 15 2 2 3 2" xfId="30779" xr:uid="{00000000-0005-0000-0000-000039700000}"/>
    <cellStyle name="Normal 15 2 2 4" xfId="5679" xr:uid="{00000000-0005-0000-0000-00003A700000}"/>
    <cellStyle name="Normal 15 2 3" xfId="5678" xr:uid="{00000000-0005-0000-0000-00003B700000}"/>
    <cellStyle name="Normal 15 2 3 2" xfId="5676" xr:uid="{00000000-0005-0000-0000-00003C700000}"/>
    <cellStyle name="Normal 15 2 3 2 2" xfId="5674" xr:uid="{00000000-0005-0000-0000-00003D700000}"/>
    <cellStyle name="Normal 15 2 3 3" xfId="5671" xr:uid="{00000000-0005-0000-0000-00003E700000}"/>
    <cellStyle name="Normal 15 2 4" xfId="6720" xr:uid="{00000000-0005-0000-0000-00003F700000}"/>
    <cellStyle name="Normal 15 2 4 2" xfId="5669" xr:uid="{00000000-0005-0000-0000-000040700000}"/>
    <cellStyle name="Normal 15 2 5" xfId="5666" xr:uid="{00000000-0005-0000-0000-000041700000}"/>
    <cellStyle name="Normal 15 3" xfId="5664" xr:uid="{00000000-0005-0000-0000-000042700000}"/>
    <cellStyle name="Normal 15 3 2" xfId="5657" xr:uid="{00000000-0005-0000-0000-000043700000}"/>
    <cellStyle name="Normal 15 3 2 2" xfId="5656" xr:uid="{00000000-0005-0000-0000-000044700000}"/>
    <cellStyle name="Normal 15 3 2 2 2" xfId="15537" xr:uid="{00000000-0005-0000-0000-000045700000}"/>
    <cellStyle name="Normal 15 3 2 3" xfId="5655" xr:uid="{00000000-0005-0000-0000-000046700000}"/>
    <cellStyle name="Normal 15 3 3" xfId="5654" xr:uid="{00000000-0005-0000-0000-000047700000}"/>
    <cellStyle name="Normal 15 3 3 2" xfId="16754" xr:uid="{00000000-0005-0000-0000-000048700000}"/>
    <cellStyle name="Normal 15 3 4" xfId="5652" xr:uid="{00000000-0005-0000-0000-000049700000}"/>
    <cellStyle name="Normal 15 4" xfId="5651" xr:uid="{00000000-0005-0000-0000-00004A700000}"/>
    <cellStyle name="Normal 15 4 2" xfId="5650" xr:uid="{00000000-0005-0000-0000-00004B700000}"/>
    <cellStyle name="Normal 15 4 2 2" xfId="16728" xr:uid="{00000000-0005-0000-0000-00004C700000}"/>
    <cellStyle name="Normal 15 4 3" xfId="5648" xr:uid="{00000000-0005-0000-0000-00004D700000}"/>
    <cellStyle name="Normal 15 5" xfId="16134" xr:uid="{00000000-0005-0000-0000-00004E700000}"/>
    <cellStyle name="Normal 15 5 2" xfId="5647" xr:uid="{00000000-0005-0000-0000-00004F700000}"/>
    <cellStyle name="Normal 15 6" xfId="5646" xr:uid="{00000000-0005-0000-0000-000050700000}"/>
    <cellStyle name="Normal 16" xfId="5644" xr:uid="{00000000-0005-0000-0000-000051700000}"/>
    <cellStyle name="Normal 16 2" xfId="35638" xr:uid="{00000000-0005-0000-0000-000052700000}"/>
    <cellStyle name="Normal 16 3" xfId="37659" xr:uid="{00000000-0005-0000-0000-000053700000}"/>
    <cellStyle name="Normal 17" xfId="5642" xr:uid="{00000000-0005-0000-0000-000054700000}"/>
    <cellStyle name="Normal 17 2" xfId="5640" xr:uid="{00000000-0005-0000-0000-000055700000}"/>
    <cellStyle name="Normal 17 2 2" xfId="9428" xr:uid="{00000000-0005-0000-0000-000056700000}"/>
    <cellStyle name="Normal 17 2 2 2" xfId="9425" xr:uid="{00000000-0005-0000-0000-000057700000}"/>
    <cellStyle name="Normal 17 2 2 2 2" xfId="33337" xr:uid="{00000000-0005-0000-0000-000058700000}"/>
    <cellStyle name="Normal 17 2 2 3" xfId="5638" xr:uid="{00000000-0005-0000-0000-000059700000}"/>
    <cellStyle name="Normal 17 2 3" xfId="9422" xr:uid="{00000000-0005-0000-0000-00005A700000}"/>
    <cellStyle name="Normal 17 2 3 2" xfId="5636" xr:uid="{00000000-0005-0000-0000-00005B700000}"/>
    <cellStyle name="Normal 17 2 4" xfId="5632" xr:uid="{00000000-0005-0000-0000-00005C700000}"/>
    <cellStyle name="Normal 17 3" xfId="5630" xr:uid="{00000000-0005-0000-0000-00005D700000}"/>
    <cellStyle name="Normal 17 3 2" xfId="33157" xr:uid="{00000000-0005-0000-0000-00005E700000}"/>
    <cellStyle name="Normal 17 3 2 2" xfId="29216" xr:uid="{00000000-0005-0000-0000-00005F700000}"/>
    <cellStyle name="Normal 17 3 3" xfId="11246" xr:uid="{00000000-0005-0000-0000-000060700000}"/>
    <cellStyle name="Normal 17 4" xfId="5628" xr:uid="{00000000-0005-0000-0000-000061700000}"/>
    <cellStyle name="Normal 17 4 2" xfId="11214" xr:uid="{00000000-0005-0000-0000-000062700000}"/>
    <cellStyle name="Normal 17 5" xfId="5626" xr:uid="{00000000-0005-0000-0000-000063700000}"/>
    <cellStyle name="Normal 18" xfId="31394" xr:uid="{00000000-0005-0000-0000-000064700000}"/>
    <cellStyle name="Normal 18 2" xfId="35641" xr:uid="{00000000-0005-0000-0000-000065700000}"/>
    <cellStyle name="Normal 18 3" xfId="37698" xr:uid="{00000000-0005-0000-0000-000066700000}"/>
    <cellStyle name="Normal 19" xfId="8552" xr:uid="{00000000-0005-0000-0000-000067700000}"/>
    <cellStyle name="Normal 19 2" xfId="5624" xr:uid="{00000000-0005-0000-0000-000068700000}"/>
    <cellStyle name="Normal 19 2 2" xfId="18965" xr:uid="{00000000-0005-0000-0000-000069700000}"/>
    <cellStyle name="Normal 19 2 2 2" xfId="12332" xr:uid="{00000000-0005-0000-0000-00006A700000}"/>
    <cellStyle name="Normal 19 2 3" xfId="25058" xr:uid="{00000000-0005-0000-0000-00006B700000}"/>
    <cellStyle name="Normal 19 3" xfId="5622" xr:uid="{00000000-0005-0000-0000-00006C700000}"/>
    <cellStyle name="Normal 19 3 2" xfId="18955" xr:uid="{00000000-0005-0000-0000-00006D700000}"/>
    <cellStyle name="Normal 19 4" xfId="5407" xr:uid="{00000000-0005-0000-0000-00006E700000}"/>
    <cellStyle name="Normal 2" xfId="4" xr:uid="{00000000-0005-0000-0000-00006F700000}"/>
    <cellStyle name="Normal 2 10" xfId="36245" xr:uid="{00000000-0005-0000-0000-000070700000}"/>
    <cellStyle name="Normal 2 11" xfId="36531" xr:uid="{00000000-0005-0000-0000-000071700000}"/>
    <cellStyle name="Normal 2 12" xfId="37416" xr:uid="{00000000-0005-0000-0000-000072700000}"/>
    <cellStyle name="Normal 2 2" xfId="49" xr:uid="{00000000-0005-0000-0000-000073700000}"/>
    <cellStyle name="Normal 2 2 2" xfId="5618" xr:uid="{00000000-0005-0000-0000-000074700000}"/>
    <cellStyle name="Normal 2 2 3" xfId="34415" xr:uid="{00000000-0005-0000-0000-000075700000}"/>
    <cellStyle name="Normal 2 2 4" xfId="5619" xr:uid="{00000000-0005-0000-0000-000076700000}"/>
    <cellStyle name="Normal 2 3" xfId="72" xr:uid="{00000000-0005-0000-0000-000077700000}"/>
    <cellStyle name="Normal 2 3 2" xfId="15315" xr:uid="{00000000-0005-0000-0000-000078700000}"/>
    <cellStyle name="Normal 2 3 3" xfId="34434" xr:uid="{00000000-0005-0000-0000-000079700000}"/>
    <cellStyle name="Normal 2 3 4" xfId="15317" xr:uid="{00000000-0005-0000-0000-00007A700000}"/>
    <cellStyle name="Normal 2 4" xfId="135" xr:uid="{00000000-0005-0000-0000-00007B700000}"/>
    <cellStyle name="Normal 2 4 2" xfId="34489" xr:uid="{00000000-0005-0000-0000-00007C700000}"/>
    <cellStyle name="Normal 2 4 3" xfId="19616" xr:uid="{00000000-0005-0000-0000-00007D700000}"/>
    <cellStyle name="Normal 2 5" xfId="196" xr:uid="{00000000-0005-0000-0000-00007E700000}"/>
    <cellStyle name="Normal 2 6" xfId="50" xr:uid="{00000000-0005-0000-0000-00007F700000}"/>
    <cellStyle name="Normal 2 6 2" xfId="34749" xr:uid="{00000000-0005-0000-0000-000080700000}"/>
    <cellStyle name="Normal 2 7" xfId="34939" xr:uid="{00000000-0005-0000-0000-000081700000}"/>
    <cellStyle name="Normal 2 8" xfId="35144" xr:uid="{00000000-0005-0000-0000-000082700000}"/>
    <cellStyle name="Normal 2 9" xfId="35373" xr:uid="{00000000-0005-0000-0000-000083700000}"/>
    <cellStyle name="Normal 20" xfId="5689" xr:uid="{00000000-0005-0000-0000-000084700000}"/>
    <cellStyle name="Normal 20 2" xfId="9222" xr:uid="{00000000-0005-0000-0000-000085700000}"/>
    <cellStyle name="Normal 20 2 2" xfId="5687" xr:uid="{00000000-0005-0000-0000-000086700000}"/>
    <cellStyle name="Normal 20 3" xfId="5663" xr:uid="{00000000-0005-0000-0000-000087700000}"/>
    <cellStyle name="Normal 21" xfId="5643" xr:uid="{00000000-0005-0000-0000-000088700000}"/>
    <cellStyle name="Normal 21 2" xfId="10648" xr:uid="{00000000-0005-0000-0000-000089700000}"/>
    <cellStyle name="Normal 21 3" xfId="37756" xr:uid="{00000000-0005-0000-0000-00008A700000}"/>
    <cellStyle name="Normal 22" xfId="5641" xr:uid="{00000000-0005-0000-0000-00008B700000}"/>
    <cellStyle name="Normal 22 2" xfId="36885" xr:uid="{00000000-0005-0000-0000-00008C700000}"/>
    <cellStyle name="Normal 22 3" xfId="37776" xr:uid="{00000000-0005-0000-0000-00008D700000}"/>
    <cellStyle name="Normal 23" xfId="31393" xr:uid="{00000000-0005-0000-0000-00008E700000}"/>
    <cellStyle name="Normal 23 2" xfId="36905" xr:uid="{00000000-0005-0000-0000-00008F700000}"/>
    <cellStyle name="Normal 23 3" xfId="37796" xr:uid="{00000000-0005-0000-0000-000090700000}"/>
    <cellStyle name="Normal 24" xfId="8551" xr:uid="{00000000-0005-0000-0000-000091700000}"/>
    <cellStyle name="Normal 24 2" xfId="35754" xr:uid="{00000000-0005-0000-0000-000092700000}"/>
    <cellStyle name="Normal 24 3" xfId="37816" xr:uid="{00000000-0005-0000-0000-000093700000}"/>
    <cellStyle name="Normal 25" xfId="5616" xr:uid="{00000000-0005-0000-0000-000094700000}"/>
    <cellStyle name="Normal 25 2" xfId="35774" xr:uid="{00000000-0005-0000-0000-000095700000}"/>
    <cellStyle name="Normal 25 3" xfId="37836" xr:uid="{00000000-0005-0000-0000-000096700000}"/>
    <cellStyle name="Normal 26" xfId="3" xr:uid="{00000000-0005-0000-0000-000097700000}"/>
    <cellStyle name="Normal 26 2" xfId="34412" xr:uid="{00000000-0005-0000-0000-000098700000}"/>
    <cellStyle name="Normal 26 2 2" xfId="36474" xr:uid="{00000000-0005-0000-0000-000099700000}"/>
    <cellStyle name="Normal 26 2 3" xfId="36772" xr:uid="{00000000-0005-0000-0000-00009A700000}"/>
    <cellStyle name="Normal 26 2 4" xfId="37658" xr:uid="{00000000-0005-0000-0000-00009B700000}"/>
    <cellStyle name="Normal 26 3" xfId="34666" xr:uid="{00000000-0005-0000-0000-00009C700000}"/>
    <cellStyle name="Normal 26 3 2" xfId="36511" xr:uid="{00000000-0005-0000-0000-00009D700000}"/>
    <cellStyle name="Normal 26 3 3" xfId="37062" xr:uid="{00000000-0005-0000-0000-00009E700000}"/>
    <cellStyle name="Normal 26 3 4" xfId="37956" xr:uid="{00000000-0005-0000-0000-00009F700000}"/>
    <cellStyle name="Normal 26 4" xfId="35574" xr:uid="{00000000-0005-0000-0000-0000A0700000}"/>
    <cellStyle name="Normal 26 41" xfId="38297" xr:uid="{346A9B44-44C0-47D4-946F-41D9FF6092F9}"/>
    <cellStyle name="Normal 26 5" xfId="36447" xr:uid="{00000000-0005-0000-0000-0000A1700000}"/>
    <cellStyle name="Normal 26 6" xfId="36733" xr:uid="{00000000-0005-0000-0000-0000A2700000}"/>
    <cellStyle name="Normal 26 7" xfId="37618" xr:uid="{00000000-0005-0000-0000-0000A3700000}"/>
    <cellStyle name="Normal 27" xfId="20797" xr:uid="{00000000-0005-0000-0000-0000A4700000}"/>
    <cellStyle name="Normal 27 2" xfId="36963" xr:uid="{00000000-0005-0000-0000-0000A5700000}"/>
    <cellStyle name="Normal 27 3" xfId="37856" xr:uid="{00000000-0005-0000-0000-0000A6700000}"/>
    <cellStyle name="Normal 28" xfId="5611" xr:uid="{00000000-0005-0000-0000-0000A7700000}"/>
    <cellStyle name="Normal 28 2" xfId="36983" xr:uid="{00000000-0005-0000-0000-0000A8700000}"/>
    <cellStyle name="Normal 28 3" xfId="37876" xr:uid="{00000000-0005-0000-0000-0000A9700000}"/>
    <cellStyle name="Normal 29" xfId="34409" xr:uid="{00000000-0005-0000-0000-0000AA700000}"/>
    <cellStyle name="Normal 29 2" xfId="37003" xr:uid="{00000000-0005-0000-0000-0000AB700000}"/>
    <cellStyle name="Normal 29 3" xfId="37896" xr:uid="{00000000-0005-0000-0000-0000AC700000}"/>
    <cellStyle name="Normal 3" xfId="61" xr:uid="{00000000-0005-0000-0000-0000AD700000}"/>
    <cellStyle name="Normal 3 10" xfId="25877" xr:uid="{00000000-0005-0000-0000-0000AE700000}"/>
    <cellStyle name="Normal 3 10 2" xfId="19024" xr:uid="{00000000-0005-0000-0000-0000AF700000}"/>
    <cellStyle name="Normal 3 10 2 2" xfId="22674" xr:uid="{00000000-0005-0000-0000-0000B0700000}"/>
    <cellStyle name="Normal 3 10 2 2 2" xfId="5609" xr:uid="{00000000-0005-0000-0000-0000B1700000}"/>
    <cellStyle name="Normal 3 10 2 3" xfId="5608" xr:uid="{00000000-0005-0000-0000-0000B2700000}"/>
    <cellStyle name="Normal 3 10 2 3 2" xfId="28523" xr:uid="{00000000-0005-0000-0000-0000B3700000}"/>
    <cellStyle name="Normal 3 10 2 4" xfId="20865" xr:uid="{00000000-0005-0000-0000-0000B4700000}"/>
    <cellStyle name="Normal 3 10 2 4 2" xfId="28508" xr:uid="{00000000-0005-0000-0000-0000B5700000}"/>
    <cellStyle name="Normal 3 10 2 5" xfId="20969" xr:uid="{00000000-0005-0000-0000-0000B6700000}"/>
    <cellStyle name="Normal 3 10 2 5 2" xfId="27101" xr:uid="{00000000-0005-0000-0000-0000B7700000}"/>
    <cellStyle name="Normal 3 10 2 6" xfId="20861" xr:uid="{00000000-0005-0000-0000-0000B8700000}"/>
    <cellStyle name="Normal 3 10 2 6 2" xfId="30773" xr:uid="{00000000-0005-0000-0000-0000B9700000}"/>
    <cellStyle name="Normal 3 10 2 7" xfId="12147" xr:uid="{00000000-0005-0000-0000-0000BA700000}"/>
    <cellStyle name="Normal 3 10 3" xfId="5606" xr:uid="{00000000-0005-0000-0000-0000BB700000}"/>
    <cellStyle name="Normal 3 10 3 2" xfId="15299" xr:uid="{00000000-0005-0000-0000-0000BC700000}"/>
    <cellStyle name="Normal 3 10 4" xfId="8164" xr:uid="{00000000-0005-0000-0000-0000BD700000}"/>
    <cellStyle name="Normal 3 10 4 2" xfId="17474" xr:uid="{00000000-0005-0000-0000-0000BE700000}"/>
    <cellStyle name="Normal 3 10 5" xfId="5605" xr:uid="{00000000-0005-0000-0000-0000BF700000}"/>
    <cellStyle name="Normal 3 10 5 2" xfId="5604" xr:uid="{00000000-0005-0000-0000-0000C0700000}"/>
    <cellStyle name="Normal 3 10 6" xfId="5602" xr:uid="{00000000-0005-0000-0000-0000C1700000}"/>
    <cellStyle name="Normal 3 10 6 2" xfId="21724" xr:uid="{00000000-0005-0000-0000-0000C2700000}"/>
    <cellStyle name="Normal 3 10 7" xfId="5601" xr:uid="{00000000-0005-0000-0000-0000C3700000}"/>
    <cellStyle name="Normal 3 10 7 2" xfId="21367" xr:uid="{00000000-0005-0000-0000-0000C4700000}"/>
    <cellStyle name="Normal 3 10 8" xfId="6562" xr:uid="{00000000-0005-0000-0000-0000C5700000}"/>
    <cellStyle name="Normal 3 11" xfId="32624" xr:uid="{00000000-0005-0000-0000-0000C6700000}"/>
    <cellStyle name="Normal 3 11 2" xfId="5599" xr:uid="{00000000-0005-0000-0000-0000C7700000}"/>
    <cellStyle name="Normal 3 11 2 2" xfId="11308" xr:uid="{00000000-0005-0000-0000-0000C8700000}"/>
    <cellStyle name="Normal 3 11 2 2 2" xfId="5597" xr:uid="{00000000-0005-0000-0000-0000C9700000}"/>
    <cellStyle name="Normal 3 11 2 3" xfId="5596" xr:uid="{00000000-0005-0000-0000-0000CA700000}"/>
    <cellStyle name="Normal 3 11 2 3 2" xfId="29703" xr:uid="{00000000-0005-0000-0000-0000CB700000}"/>
    <cellStyle name="Normal 3 11 2 4" xfId="21236" xr:uid="{00000000-0005-0000-0000-0000CC700000}"/>
    <cellStyle name="Normal 3 11 2 4 2" xfId="27011" xr:uid="{00000000-0005-0000-0000-0000CD700000}"/>
    <cellStyle name="Normal 3 11 2 5" xfId="22179" xr:uid="{00000000-0005-0000-0000-0000CE700000}"/>
    <cellStyle name="Normal 3 11 2 5 2" xfId="30549" xr:uid="{00000000-0005-0000-0000-0000CF700000}"/>
    <cellStyle name="Normal 3 11 2 6" xfId="21965" xr:uid="{00000000-0005-0000-0000-0000D0700000}"/>
    <cellStyle name="Normal 3 11 2 6 2" xfId="5595" xr:uid="{00000000-0005-0000-0000-0000D1700000}"/>
    <cellStyle name="Normal 3 11 2 7" xfId="5593" xr:uid="{00000000-0005-0000-0000-0000D2700000}"/>
    <cellStyle name="Normal 3 11 3" xfId="5592" xr:uid="{00000000-0005-0000-0000-0000D3700000}"/>
    <cellStyle name="Normal 3 11 3 2" xfId="33135" xr:uid="{00000000-0005-0000-0000-0000D4700000}"/>
    <cellStyle name="Normal 3 11 4" xfId="5591" xr:uid="{00000000-0005-0000-0000-0000D5700000}"/>
    <cellStyle name="Normal 3 11 4 2" xfId="5590" xr:uid="{00000000-0005-0000-0000-0000D6700000}"/>
    <cellStyle name="Normal 3 11 5" xfId="5589" xr:uid="{00000000-0005-0000-0000-0000D7700000}"/>
    <cellStyle name="Normal 3 11 5 2" xfId="5587" xr:uid="{00000000-0005-0000-0000-0000D8700000}"/>
    <cellStyle name="Normal 3 11 6" xfId="6196" xr:uid="{00000000-0005-0000-0000-0000D9700000}"/>
    <cellStyle name="Normal 3 11 6 2" xfId="20872" xr:uid="{00000000-0005-0000-0000-0000DA700000}"/>
    <cellStyle name="Normal 3 11 7" xfId="6534" xr:uid="{00000000-0005-0000-0000-0000DB700000}"/>
    <cellStyle name="Normal 3 11 7 2" xfId="20689" xr:uid="{00000000-0005-0000-0000-0000DC700000}"/>
    <cellStyle name="Normal 3 11 8" xfId="32912" xr:uid="{00000000-0005-0000-0000-0000DD700000}"/>
    <cellStyle name="Normal 3 12" xfId="5585" xr:uid="{00000000-0005-0000-0000-0000DE700000}"/>
    <cellStyle name="Normal 3 12 2" xfId="5584" xr:uid="{00000000-0005-0000-0000-0000DF700000}"/>
    <cellStyle name="Normal 3 12 2 2" xfId="5583" xr:uid="{00000000-0005-0000-0000-0000E0700000}"/>
    <cellStyle name="Normal 3 12 2 2 2" xfId="5579" xr:uid="{00000000-0005-0000-0000-0000E1700000}"/>
    <cellStyle name="Normal 3 12 2 3" xfId="21817" xr:uid="{00000000-0005-0000-0000-0000E2700000}"/>
    <cellStyle name="Normal 3 12 2 3 2" xfId="26960" xr:uid="{00000000-0005-0000-0000-0000E3700000}"/>
    <cellStyle name="Normal 3 12 2 4" xfId="20829" xr:uid="{00000000-0005-0000-0000-0000E4700000}"/>
    <cellStyle name="Normal 3 12 2 4 2" xfId="29424" xr:uid="{00000000-0005-0000-0000-0000E5700000}"/>
    <cellStyle name="Normal 3 12 2 5" xfId="5578" xr:uid="{00000000-0005-0000-0000-0000E6700000}"/>
    <cellStyle name="Normal 3 12 2 5 2" xfId="33712" xr:uid="{00000000-0005-0000-0000-0000E7700000}"/>
    <cellStyle name="Normal 3 12 2 6" xfId="5577" xr:uid="{00000000-0005-0000-0000-0000E8700000}"/>
    <cellStyle name="Normal 3 12 2 6 2" xfId="32429" xr:uid="{00000000-0005-0000-0000-0000E9700000}"/>
    <cellStyle name="Normal 3 12 2 7" xfId="5576" xr:uid="{00000000-0005-0000-0000-0000EA700000}"/>
    <cellStyle name="Normal 3 12 3" xfId="5575" xr:uid="{00000000-0005-0000-0000-0000EB700000}"/>
    <cellStyle name="Normal 3 12 3 2" xfId="5573" xr:uid="{00000000-0005-0000-0000-0000EC700000}"/>
    <cellStyle name="Normal 3 12 4" xfId="23712" xr:uid="{00000000-0005-0000-0000-0000ED700000}"/>
    <cellStyle name="Normal 3 12 4 2" xfId="25821" xr:uid="{00000000-0005-0000-0000-0000EE700000}"/>
    <cellStyle name="Normal 3 12 5" xfId="25735" xr:uid="{00000000-0005-0000-0000-0000EF700000}"/>
    <cellStyle name="Normal 3 12 5 2" xfId="21198" xr:uid="{00000000-0005-0000-0000-0000F0700000}"/>
    <cellStyle name="Normal 3 12 6" xfId="18885" xr:uid="{00000000-0005-0000-0000-0000F1700000}"/>
    <cellStyle name="Normal 3 12 6 2" xfId="20472" xr:uid="{00000000-0005-0000-0000-0000F2700000}"/>
    <cellStyle name="Normal 3 12 7" xfId="28955" xr:uid="{00000000-0005-0000-0000-0000F3700000}"/>
    <cellStyle name="Normal 3 12 7 2" xfId="22664" xr:uid="{00000000-0005-0000-0000-0000F4700000}"/>
    <cellStyle name="Normal 3 12 8" xfId="5571" xr:uid="{00000000-0005-0000-0000-0000F5700000}"/>
    <cellStyle name="Normal 3 13" xfId="5570" xr:uid="{00000000-0005-0000-0000-0000F6700000}"/>
    <cellStyle name="Normal 3 13 2" xfId="5569" xr:uid="{00000000-0005-0000-0000-0000F7700000}"/>
    <cellStyle name="Normal 3 13 2 2" xfId="5568" xr:uid="{00000000-0005-0000-0000-0000F8700000}"/>
    <cellStyle name="Normal 3 13 2 2 2" xfId="5566" xr:uid="{00000000-0005-0000-0000-0000F9700000}"/>
    <cellStyle name="Normal 3 13 2 3" xfId="21805" xr:uid="{00000000-0005-0000-0000-0000FA700000}"/>
    <cellStyle name="Normal 3 13 2 3 2" xfId="29285" xr:uid="{00000000-0005-0000-0000-0000FB700000}"/>
    <cellStyle name="Normal 3 13 2 4" xfId="5565" xr:uid="{00000000-0005-0000-0000-0000FC700000}"/>
    <cellStyle name="Normal 3 13 2 4 2" xfId="5563" xr:uid="{00000000-0005-0000-0000-0000FD700000}"/>
    <cellStyle name="Normal 3 13 2 5" xfId="5774" xr:uid="{00000000-0005-0000-0000-0000FE700000}"/>
    <cellStyle name="Normal 3 13 2 5 2" xfId="5769" xr:uid="{00000000-0005-0000-0000-0000FF700000}"/>
    <cellStyle name="Normal 3 13 2 6" xfId="12452" xr:uid="{00000000-0005-0000-0000-000000710000}"/>
    <cellStyle name="Normal 3 13 2 6 2" xfId="12451" xr:uid="{00000000-0005-0000-0000-000001710000}"/>
    <cellStyle name="Normal 3 13 2 7" xfId="12444" xr:uid="{00000000-0005-0000-0000-000002710000}"/>
    <cellStyle name="Normal 3 13 3" xfId="24027" xr:uid="{00000000-0005-0000-0000-000003710000}"/>
    <cellStyle name="Normal 3 13 3 2" xfId="26377" xr:uid="{00000000-0005-0000-0000-000004710000}"/>
    <cellStyle name="Normal 3 13 4" xfId="23704" xr:uid="{00000000-0005-0000-0000-000005710000}"/>
    <cellStyle name="Normal 3 13 4 2" xfId="23999" xr:uid="{00000000-0005-0000-0000-000006710000}"/>
    <cellStyle name="Normal 3 13 5" xfId="23987" xr:uid="{00000000-0005-0000-0000-000007710000}"/>
    <cellStyle name="Normal 3 13 5 2" xfId="23981" xr:uid="{00000000-0005-0000-0000-000008710000}"/>
    <cellStyle name="Normal 3 13 6" xfId="23976" xr:uid="{00000000-0005-0000-0000-000009710000}"/>
    <cellStyle name="Normal 3 13 6 2" xfId="20317" xr:uid="{00000000-0005-0000-0000-00000A710000}"/>
    <cellStyle name="Normal 3 13 7" xfId="25218" xr:uid="{00000000-0005-0000-0000-00000B710000}"/>
    <cellStyle name="Normal 3 13 7 2" xfId="20281" xr:uid="{00000000-0005-0000-0000-00000C710000}"/>
    <cellStyle name="Normal 3 13 8" xfId="5562" xr:uid="{00000000-0005-0000-0000-00000D710000}"/>
    <cellStyle name="Normal 3 13 9" xfId="5560" xr:uid="{00000000-0005-0000-0000-00000E710000}"/>
    <cellStyle name="Normal 3 14" xfId="29251" xr:uid="{00000000-0005-0000-0000-00000F710000}"/>
    <cellStyle name="Normal 3 14 2" xfId="6210" xr:uid="{00000000-0005-0000-0000-000010710000}"/>
    <cellStyle name="Normal 3 14 2 2" xfId="34320" xr:uid="{00000000-0005-0000-0000-000011710000}"/>
    <cellStyle name="Normal 3 14 3" xfId="32798" xr:uid="{00000000-0005-0000-0000-000012710000}"/>
    <cellStyle name="Normal 3 14 3 2" xfId="23973" xr:uid="{00000000-0005-0000-0000-000013710000}"/>
    <cellStyle name="Normal 3 14 4" xfId="32583" xr:uid="{00000000-0005-0000-0000-000014710000}"/>
    <cellStyle name="Normal 3 14 4 2" xfId="23960" xr:uid="{00000000-0005-0000-0000-000015710000}"/>
    <cellStyle name="Normal 3 14 5" xfId="32566" xr:uid="{00000000-0005-0000-0000-000016710000}"/>
    <cellStyle name="Normal 3 14 5 2" xfId="23957" xr:uid="{00000000-0005-0000-0000-000017710000}"/>
    <cellStyle name="Normal 3 14 6" xfId="23950" xr:uid="{00000000-0005-0000-0000-000018710000}"/>
    <cellStyle name="Normal 3 14 6 2" xfId="20224" xr:uid="{00000000-0005-0000-0000-000019710000}"/>
    <cellStyle name="Normal 3 14 7" xfId="5558" xr:uid="{00000000-0005-0000-0000-00001A710000}"/>
    <cellStyle name="Normal 3 15" xfId="6207" xr:uid="{00000000-0005-0000-0000-00001B710000}"/>
    <cellStyle name="Normal 3 15 2" xfId="31918" xr:uid="{00000000-0005-0000-0000-00001C710000}"/>
    <cellStyle name="Normal 3 15 2 2" xfId="31912" xr:uid="{00000000-0005-0000-0000-00001D710000}"/>
    <cellStyle name="Normal 3 15 3" xfId="32993" xr:uid="{00000000-0005-0000-0000-00001E710000}"/>
    <cellStyle name="Normal 3 15 3 2" xfId="23938" xr:uid="{00000000-0005-0000-0000-00001F710000}"/>
    <cellStyle name="Normal 3 15 4" xfId="32980" xr:uid="{00000000-0005-0000-0000-000020710000}"/>
    <cellStyle name="Normal 3 15 4 2" xfId="28120" xr:uid="{00000000-0005-0000-0000-000021710000}"/>
    <cellStyle name="Normal 3 15 5" xfId="23932" xr:uid="{00000000-0005-0000-0000-000022710000}"/>
    <cellStyle name="Normal 3 15 5 2" xfId="24333" xr:uid="{00000000-0005-0000-0000-000023710000}"/>
    <cellStyle name="Normal 3 15 6" xfId="33407" xr:uid="{00000000-0005-0000-0000-000024710000}"/>
    <cellStyle name="Normal 3 15 6 2" xfId="20165" xr:uid="{00000000-0005-0000-0000-000025710000}"/>
    <cellStyle name="Normal 3 15 7" xfId="31804" xr:uid="{00000000-0005-0000-0000-000026710000}"/>
    <cellStyle name="Normal 3 16" xfId="6204" xr:uid="{00000000-0005-0000-0000-000027710000}"/>
    <cellStyle name="Normal 3 16 2" xfId="31717" xr:uid="{00000000-0005-0000-0000-000028710000}"/>
    <cellStyle name="Normal 3 16 2 2" xfId="32256" xr:uid="{00000000-0005-0000-0000-000029710000}"/>
    <cellStyle name="Normal 3 16 3" xfId="32965" xr:uid="{00000000-0005-0000-0000-00002A710000}"/>
    <cellStyle name="Normal 3 16 3 2" xfId="23928" xr:uid="{00000000-0005-0000-0000-00002B710000}"/>
    <cellStyle name="Normal 3 16 4" xfId="23925" xr:uid="{00000000-0005-0000-0000-00002C710000}"/>
    <cellStyle name="Normal 3 16 4 2" xfId="34186" xr:uid="{00000000-0005-0000-0000-00002D710000}"/>
    <cellStyle name="Normal 3 16 5" xfId="33362" xr:uid="{00000000-0005-0000-0000-00002E710000}"/>
    <cellStyle name="Normal 3 16 5 2" xfId="27742" xr:uid="{00000000-0005-0000-0000-00002F710000}"/>
    <cellStyle name="Normal 3 16 6" xfId="33359" xr:uid="{00000000-0005-0000-0000-000030710000}"/>
    <cellStyle name="Normal 3 16 6 2" xfId="27548" xr:uid="{00000000-0005-0000-0000-000031710000}"/>
    <cellStyle name="Normal 3 16 7" xfId="16197" xr:uid="{00000000-0005-0000-0000-000032710000}"/>
    <cellStyle name="Normal 3 17" xfId="12036" xr:uid="{00000000-0005-0000-0000-000033710000}"/>
    <cellStyle name="Normal 3 17 2" xfId="31616" xr:uid="{00000000-0005-0000-0000-000034710000}"/>
    <cellStyle name="Normal 3 18" xfId="5556" xr:uid="{00000000-0005-0000-0000-000035710000}"/>
    <cellStyle name="Normal 3 18 2" xfId="31561" xr:uid="{00000000-0005-0000-0000-000036710000}"/>
    <cellStyle name="Normal 3 19" xfId="5554" xr:uid="{00000000-0005-0000-0000-000037710000}"/>
    <cellStyle name="Normal 3 19 2" xfId="31542" xr:uid="{00000000-0005-0000-0000-000038710000}"/>
    <cellStyle name="Normal 3 2" xfId="63" xr:uid="{00000000-0005-0000-0000-000039710000}"/>
    <cellStyle name="Normal 3 2 10" xfId="5552" xr:uid="{00000000-0005-0000-0000-00003A710000}"/>
    <cellStyle name="Normal 3 2 10 2" xfId="5550" xr:uid="{00000000-0005-0000-0000-00003B710000}"/>
    <cellStyle name="Normal 3 2 10 2 2" xfId="10402" xr:uid="{00000000-0005-0000-0000-00003C710000}"/>
    <cellStyle name="Normal 3 2 10 2 2 2" xfId="5548" xr:uid="{00000000-0005-0000-0000-00003D710000}"/>
    <cellStyle name="Normal 3 2 10 2 3" xfId="22028" xr:uid="{00000000-0005-0000-0000-00003E710000}"/>
    <cellStyle name="Normal 3 2 10 2 3 2" xfId="16611" xr:uid="{00000000-0005-0000-0000-00003F710000}"/>
    <cellStyle name="Normal 3 2 10 2 4" xfId="10396" xr:uid="{00000000-0005-0000-0000-000040710000}"/>
    <cellStyle name="Normal 3 2 10 2 4 2" xfId="14717" xr:uid="{00000000-0005-0000-0000-000041710000}"/>
    <cellStyle name="Normal 3 2 10 2 5" xfId="16593" xr:uid="{00000000-0005-0000-0000-000042710000}"/>
    <cellStyle name="Normal 3 2 10 2 5 2" xfId="14278" xr:uid="{00000000-0005-0000-0000-000043710000}"/>
    <cellStyle name="Normal 3 2 10 2 6" xfId="16200" xr:uid="{00000000-0005-0000-0000-000044710000}"/>
    <cellStyle name="Normal 3 2 10 2 6 2" xfId="5545" xr:uid="{00000000-0005-0000-0000-000045710000}"/>
    <cellStyle name="Normal 3 2 10 2 7" xfId="17450" xr:uid="{00000000-0005-0000-0000-000046710000}"/>
    <cellStyle name="Normal 3 2 10 3" xfId="12901" xr:uid="{00000000-0005-0000-0000-000047710000}"/>
    <cellStyle name="Normal 3 2 10 3 2" xfId="13397" xr:uid="{00000000-0005-0000-0000-000048710000}"/>
    <cellStyle name="Normal 3 2 10 4" xfId="12897" xr:uid="{00000000-0005-0000-0000-000049710000}"/>
    <cellStyle name="Normal 3 2 10 4 2" xfId="10293" xr:uid="{00000000-0005-0000-0000-00004A710000}"/>
    <cellStyle name="Normal 3 2 10 5" xfId="6471" xr:uid="{00000000-0005-0000-0000-00004B710000}"/>
    <cellStyle name="Normal 3 2 10 5 2" xfId="29027" xr:uid="{00000000-0005-0000-0000-00004C710000}"/>
    <cellStyle name="Normal 3 2 10 6" xfId="6368" xr:uid="{00000000-0005-0000-0000-00004D710000}"/>
    <cellStyle name="Normal 3 2 10 6 2" xfId="5543" xr:uid="{00000000-0005-0000-0000-00004E710000}"/>
    <cellStyle name="Normal 3 2 10 7" xfId="5542" xr:uid="{00000000-0005-0000-0000-00004F710000}"/>
    <cellStyle name="Normal 3 2 10 7 2" xfId="5539" xr:uid="{00000000-0005-0000-0000-000050710000}"/>
    <cellStyle name="Normal 3 2 10 8" xfId="5538" xr:uid="{00000000-0005-0000-0000-000051710000}"/>
    <cellStyle name="Normal 3 2 11" xfId="26157" xr:uid="{00000000-0005-0000-0000-000052710000}"/>
    <cellStyle name="Normal 3 2 11 2" xfId="5534" xr:uid="{00000000-0005-0000-0000-000053710000}"/>
    <cellStyle name="Normal 3 2 11 2 2" xfId="5531" xr:uid="{00000000-0005-0000-0000-000054710000}"/>
    <cellStyle name="Normal 3 2 11 3" xfId="12892" xr:uid="{00000000-0005-0000-0000-000055710000}"/>
    <cellStyle name="Normal 3 2 11 3 2" xfId="9553" xr:uid="{00000000-0005-0000-0000-000056710000}"/>
    <cellStyle name="Normal 3 2 11 4" xfId="5529" xr:uid="{00000000-0005-0000-0000-000057710000}"/>
    <cellStyle name="Normal 3 2 11 4 2" xfId="31074" xr:uid="{00000000-0005-0000-0000-000058710000}"/>
    <cellStyle name="Normal 3 2 11 5" xfId="5527" xr:uid="{00000000-0005-0000-0000-000059710000}"/>
    <cellStyle name="Normal 3 2 11 5 2" xfId="5523" xr:uid="{00000000-0005-0000-0000-00005A710000}"/>
    <cellStyle name="Normal 3 2 11 6" xfId="5522" xr:uid="{00000000-0005-0000-0000-00005B710000}"/>
    <cellStyle name="Normal 3 2 11 6 2" xfId="25102" xr:uid="{00000000-0005-0000-0000-00005C710000}"/>
    <cellStyle name="Normal 3 2 11 7" xfId="5520" xr:uid="{00000000-0005-0000-0000-00005D710000}"/>
    <cellStyle name="Normal 3 2 12" xfId="18274" xr:uid="{00000000-0005-0000-0000-00005E710000}"/>
    <cellStyle name="Normal 3 2 12 2" xfId="5518" xr:uid="{00000000-0005-0000-0000-00005F710000}"/>
    <cellStyle name="Normal 3 2 12 2 2" xfId="5517" xr:uid="{00000000-0005-0000-0000-000060710000}"/>
    <cellStyle name="Normal 3 2 12 3" xfId="5514" xr:uid="{00000000-0005-0000-0000-000061710000}"/>
    <cellStyle name="Normal 3 2 12 3 2" xfId="20395" xr:uid="{00000000-0005-0000-0000-000062710000}"/>
    <cellStyle name="Normal 3 2 12 4" xfId="6798" xr:uid="{00000000-0005-0000-0000-000063710000}"/>
    <cellStyle name="Normal 3 2 12 4 2" xfId="7582" xr:uid="{00000000-0005-0000-0000-000064710000}"/>
    <cellStyle name="Normal 3 2 12 5" xfId="12470" xr:uid="{00000000-0005-0000-0000-000065710000}"/>
    <cellStyle name="Normal 3 2 12 5 2" xfId="7578" xr:uid="{00000000-0005-0000-0000-000066710000}"/>
    <cellStyle name="Normal 3 2 12 6" xfId="29071" xr:uid="{00000000-0005-0000-0000-000067710000}"/>
    <cellStyle name="Normal 3 2 12 6 2" xfId="6145" xr:uid="{00000000-0005-0000-0000-000068710000}"/>
    <cellStyle name="Normal 3 2 12 7" xfId="10426" xr:uid="{00000000-0005-0000-0000-000069710000}"/>
    <cellStyle name="Normal 3 2 13" xfId="18271" xr:uid="{00000000-0005-0000-0000-00006A710000}"/>
    <cellStyle name="Normal 3 2 13 2" xfId="30998" xr:uid="{00000000-0005-0000-0000-00006B710000}"/>
    <cellStyle name="Normal 3 2 14" xfId="5512" xr:uid="{00000000-0005-0000-0000-00006C710000}"/>
    <cellStyle name="Normal 3 2 14 2" xfId="26347" xr:uid="{00000000-0005-0000-0000-00006D710000}"/>
    <cellStyle name="Normal 3 2 15" xfId="5511" xr:uid="{00000000-0005-0000-0000-00006E710000}"/>
    <cellStyle name="Normal 3 2 15 2" xfId="26344" xr:uid="{00000000-0005-0000-0000-00006F710000}"/>
    <cellStyle name="Normal 3 2 16" xfId="5509" xr:uid="{00000000-0005-0000-0000-000070710000}"/>
    <cellStyle name="Normal 3 2 16 2" xfId="30074" xr:uid="{00000000-0005-0000-0000-000071710000}"/>
    <cellStyle name="Normal 3 2 17" xfId="11903" xr:uid="{00000000-0005-0000-0000-000072710000}"/>
    <cellStyle name="Normal 3 2 17 2" xfId="5507" xr:uid="{00000000-0005-0000-0000-000073710000}"/>
    <cellStyle name="Normal 3 2 18" xfId="24469" xr:uid="{00000000-0005-0000-0000-000074710000}"/>
    <cellStyle name="Normal 3 2 19" xfId="34425" xr:uid="{00000000-0005-0000-0000-000075710000}"/>
    <cellStyle name="Normal 3 2 2" xfId="5505" xr:uid="{00000000-0005-0000-0000-000076710000}"/>
    <cellStyle name="Normal 3 2 2 10" xfId="5649" xr:uid="{00000000-0005-0000-0000-000077710000}"/>
    <cellStyle name="Normal 3 2 2 2" xfId="15189" xr:uid="{00000000-0005-0000-0000-000078710000}"/>
    <cellStyle name="Normal 3 2 2 2 2" xfId="9341" xr:uid="{00000000-0005-0000-0000-000079710000}"/>
    <cellStyle name="Normal 3 2 2 2 2 2" xfId="9338" xr:uid="{00000000-0005-0000-0000-00007A710000}"/>
    <cellStyle name="Normal 3 2 2 2 2 2 2" xfId="34269" xr:uid="{00000000-0005-0000-0000-00007B710000}"/>
    <cellStyle name="Normal 3 2 2 2 2 2 2 2" xfId="24553" xr:uid="{00000000-0005-0000-0000-00007C710000}"/>
    <cellStyle name="Normal 3 2 2 2 2 2 2 2 2" xfId="9336" xr:uid="{00000000-0005-0000-0000-00007D710000}"/>
    <cellStyle name="Normal 3 2 2 2 2 2 2 2 2 2" xfId="6158" xr:uid="{00000000-0005-0000-0000-00007E710000}"/>
    <cellStyle name="Normal 3 2 2 2 2 2 2 2 2 2 2" xfId="23472" xr:uid="{00000000-0005-0000-0000-00007F710000}"/>
    <cellStyle name="Normal 3 2 2 2 2 2 2 2 2 2 2 2" xfId="29279" xr:uid="{00000000-0005-0000-0000-000080710000}"/>
    <cellStyle name="Normal 3 2 2 2 2 2 2 2 2 2 3" xfId="10236" xr:uid="{00000000-0005-0000-0000-000081710000}"/>
    <cellStyle name="Normal 3 2 2 2 2 2 2 2 2 3" xfId="6155" xr:uid="{00000000-0005-0000-0000-000082710000}"/>
    <cellStyle name="Normal 3 2 2 2 2 2 2 2 2 3 2" xfId="6439" xr:uid="{00000000-0005-0000-0000-000083710000}"/>
    <cellStyle name="Normal 3 2 2 2 2 2 2 2 2 4" xfId="5503" xr:uid="{00000000-0005-0000-0000-000084710000}"/>
    <cellStyle name="Normal 3 2 2 2 2 2 2 2 3" xfId="30869" xr:uid="{00000000-0005-0000-0000-000085710000}"/>
    <cellStyle name="Normal 3 2 2 2 2 2 2 2 3 2" xfId="6152" xr:uid="{00000000-0005-0000-0000-000086710000}"/>
    <cellStyle name="Normal 3 2 2 2 2 2 2 2 3 2 2" xfId="6434" xr:uid="{00000000-0005-0000-0000-000087710000}"/>
    <cellStyle name="Normal 3 2 2 2 2 2 2 2 3 3" xfId="5502" xr:uid="{00000000-0005-0000-0000-000088710000}"/>
    <cellStyle name="Normal 3 2 2 2 2 2 2 2 4" xfId="23892" xr:uid="{00000000-0005-0000-0000-000089710000}"/>
    <cellStyle name="Normal 3 2 2 2 2 2 2 2 4 2" xfId="5501" xr:uid="{00000000-0005-0000-0000-00008A710000}"/>
    <cellStyle name="Normal 3 2 2 2 2 2 2 2 5" xfId="6914" xr:uid="{00000000-0005-0000-0000-00008B710000}"/>
    <cellStyle name="Normal 3 2 2 2 2 2 2 3" xfId="9328" xr:uid="{00000000-0005-0000-0000-00008C710000}"/>
    <cellStyle name="Normal 3 2 2 2 2 2 2 3 2" xfId="9326" xr:uid="{00000000-0005-0000-0000-00008D710000}"/>
    <cellStyle name="Normal 3 2 2 2 2 2 2 3 2 2" xfId="30792" xr:uid="{00000000-0005-0000-0000-00008E710000}"/>
    <cellStyle name="Normal 3 2 2 2 2 2 2 3 2 2 2" xfId="6389" xr:uid="{00000000-0005-0000-0000-00008F710000}"/>
    <cellStyle name="Normal 3 2 2 2 2 2 2 3 2 3" xfId="30701" xr:uid="{00000000-0005-0000-0000-000090710000}"/>
    <cellStyle name="Normal 3 2 2 2 2 2 2 3 3" xfId="9324" xr:uid="{00000000-0005-0000-0000-000091710000}"/>
    <cellStyle name="Normal 3 2 2 2 2 2 2 3 3 2" xfId="15405" xr:uid="{00000000-0005-0000-0000-000092710000}"/>
    <cellStyle name="Normal 3 2 2 2 2 2 2 3 4" xfId="7440" xr:uid="{00000000-0005-0000-0000-000093710000}"/>
    <cellStyle name="Normal 3 2 2 2 2 2 2 4" xfId="9321" xr:uid="{00000000-0005-0000-0000-000094710000}"/>
    <cellStyle name="Normal 3 2 2 2 2 2 2 4 2" xfId="9318" xr:uid="{00000000-0005-0000-0000-000095710000}"/>
    <cellStyle name="Normal 3 2 2 2 2 2 2 4 2 2" xfId="33910" xr:uid="{00000000-0005-0000-0000-000096710000}"/>
    <cellStyle name="Normal 3 2 2 2 2 2 2 4 3" xfId="5500" xr:uid="{00000000-0005-0000-0000-000097710000}"/>
    <cellStyle name="Normal 3 2 2 2 2 2 2 5" xfId="9316" xr:uid="{00000000-0005-0000-0000-000098710000}"/>
    <cellStyle name="Normal 3 2 2 2 2 2 2 5 2" xfId="5498" xr:uid="{00000000-0005-0000-0000-000099710000}"/>
    <cellStyle name="Normal 3 2 2 2 2 2 2 6" xfId="5497" xr:uid="{00000000-0005-0000-0000-00009A710000}"/>
    <cellStyle name="Normal 3 2 2 2 2 2 3" xfId="24548" xr:uid="{00000000-0005-0000-0000-00009B710000}"/>
    <cellStyle name="Normal 3 2 2 2 2 2 3 2" xfId="10878" xr:uid="{00000000-0005-0000-0000-00009C710000}"/>
    <cellStyle name="Normal 3 2 2 2 2 2 3 2 2" xfId="9311" xr:uid="{00000000-0005-0000-0000-00009D710000}"/>
    <cellStyle name="Normal 3 2 2 2 2 2 3 2 2 2" xfId="33813" xr:uid="{00000000-0005-0000-0000-00009E710000}"/>
    <cellStyle name="Normal 3 2 2 2 2 2 3 2 2 2 2" xfId="17656" xr:uid="{00000000-0005-0000-0000-00009F710000}"/>
    <cellStyle name="Normal 3 2 2 2 2 2 3 2 2 3" xfId="34364" xr:uid="{00000000-0005-0000-0000-0000A0710000}"/>
    <cellStyle name="Normal 3 2 2 2 2 2 3 2 3" xfId="9306" xr:uid="{00000000-0005-0000-0000-0000A1710000}"/>
    <cellStyle name="Normal 3 2 2 2 2 2 3 2 3 2" xfId="21441" xr:uid="{00000000-0005-0000-0000-0000A2710000}"/>
    <cellStyle name="Normal 3 2 2 2 2 2 3 2 4" xfId="7433" xr:uid="{00000000-0005-0000-0000-0000A3710000}"/>
    <cellStyle name="Normal 3 2 2 2 2 2 3 3" xfId="10868" xr:uid="{00000000-0005-0000-0000-0000A4710000}"/>
    <cellStyle name="Normal 3 2 2 2 2 2 3 3 2" xfId="9303" xr:uid="{00000000-0005-0000-0000-0000A5710000}"/>
    <cellStyle name="Normal 3 2 2 2 2 2 3 3 2 2" xfId="32485" xr:uid="{00000000-0005-0000-0000-0000A6710000}"/>
    <cellStyle name="Normal 3 2 2 2 2 2 3 3 3" xfId="6055" xr:uid="{00000000-0005-0000-0000-0000A7710000}"/>
    <cellStyle name="Normal 3 2 2 2 2 2 3 4" xfId="10863" xr:uid="{00000000-0005-0000-0000-0000A8710000}"/>
    <cellStyle name="Normal 3 2 2 2 2 2 3 4 2" xfId="5496" xr:uid="{00000000-0005-0000-0000-0000A9710000}"/>
    <cellStyle name="Normal 3 2 2 2 2 2 3 5" xfId="10858" xr:uid="{00000000-0005-0000-0000-0000AA710000}"/>
    <cellStyle name="Normal 3 2 2 2 2 2 4" xfId="22195" xr:uid="{00000000-0005-0000-0000-0000AB710000}"/>
    <cellStyle name="Normal 3 2 2 2 2 2 4 2" xfId="10854" xr:uid="{00000000-0005-0000-0000-0000AC710000}"/>
    <cellStyle name="Normal 3 2 2 2 2 2 4 2 2" xfId="9301" xr:uid="{00000000-0005-0000-0000-0000AD710000}"/>
    <cellStyle name="Normal 3 2 2 2 2 2 4 2 2 2" xfId="32942" xr:uid="{00000000-0005-0000-0000-0000AE710000}"/>
    <cellStyle name="Normal 3 2 2 2 2 2 4 2 3" xfId="12626" xr:uid="{00000000-0005-0000-0000-0000AF710000}"/>
    <cellStyle name="Normal 3 2 2 2 2 2 4 3" xfId="10846" xr:uid="{00000000-0005-0000-0000-0000B0710000}"/>
    <cellStyle name="Normal 3 2 2 2 2 2 4 3 2" xfId="10894" xr:uid="{00000000-0005-0000-0000-0000B1710000}"/>
    <cellStyle name="Normal 3 2 2 2 2 2 4 4" xfId="10841" xr:uid="{00000000-0005-0000-0000-0000B2710000}"/>
    <cellStyle name="Normal 3 2 2 2 2 2 5" xfId="13224" xr:uid="{00000000-0005-0000-0000-0000B3710000}"/>
    <cellStyle name="Normal 3 2 2 2 2 2 5 2" xfId="10838" xr:uid="{00000000-0005-0000-0000-0000B4710000}"/>
    <cellStyle name="Normal 3 2 2 2 2 2 5 2 2" xfId="5495" xr:uid="{00000000-0005-0000-0000-0000B5710000}"/>
    <cellStyle name="Normal 3 2 2 2 2 2 5 3" xfId="10834" xr:uid="{00000000-0005-0000-0000-0000B6710000}"/>
    <cellStyle name="Normal 3 2 2 2 2 2 6" xfId="10831" xr:uid="{00000000-0005-0000-0000-0000B7710000}"/>
    <cellStyle name="Normal 3 2 2 2 2 2 6 2" xfId="10829" xr:uid="{00000000-0005-0000-0000-0000B8710000}"/>
    <cellStyle name="Normal 3 2 2 2 2 2 7" xfId="10827" xr:uid="{00000000-0005-0000-0000-0000B9710000}"/>
    <cellStyle name="Normal 3 2 2 2 2 3" xfId="31701" xr:uid="{00000000-0005-0000-0000-0000BA710000}"/>
    <cellStyle name="Normal 3 2 2 2 2 3 2" xfId="24432" xr:uid="{00000000-0005-0000-0000-0000BB710000}"/>
    <cellStyle name="Normal 3 2 2 2 2 3 2 2" xfId="9297" xr:uid="{00000000-0005-0000-0000-0000BC710000}"/>
    <cellStyle name="Normal 3 2 2 2 2 3 2 2 2" xfId="8550" xr:uid="{00000000-0005-0000-0000-0000BD710000}"/>
    <cellStyle name="Normal 3 2 2 2 2 3 2 2 2 2" xfId="6117" xr:uid="{00000000-0005-0000-0000-0000BE710000}"/>
    <cellStyle name="Normal 3 2 2 2 2 3 2 2 2 2 2" xfId="20932" xr:uid="{00000000-0005-0000-0000-0000BF710000}"/>
    <cellStyle name="Normal 3 2 2 2 2 3 2 2 2 3" xfId="21554" xr:uid="{00000000-0005-0000-0000-0000C0710000}"/>
    <cellStyle name="Normal 3 2 2 2 2 3 2 2 3" xfId="5615" xr:uid="{00000000-0005-0000-0000-0000C1710000}"/>
    <cellStyle name="Normal 3 2 2 2 2 3 2 2 3 2" xfId="5494" xr:uid="{00000000-0005-0000-0000-0000C2710000}"/>
    <cellStyle name="Normal 3 2 2 2 2 3 2 2 4" xfId="5613" xr:uid="{00000000-0005-0000-0000-0000C3710000}"/>
    <cellStyle name="Normal 3 2 2 2 2 3 2 3" xfId="9290" xr:uid="{00000000-0005-0000-0000-0000C4710000}"/>
    <cellStyle name="Normal 3 2 2 2 2 3 2 3 2" xfId="9287" xr:uid="{00000000-0005-0000-0000-0000C5710000}"/>
    <cellStyle name="Normal 3 2 2 2 2 3 2 3 2 2" xfId="26632" xr:uid="{00000000-0005-0000-0000-0000C6710000}"/>
    <cellStyle name="Normal 3 2 2 2 2 3 2 3 3" xfId="6752" xr:uid="{00000000-0005-0000-0000-0000C7710000}"/>
    <cellStyle name="Normal 3 2 2 2 2 3 2 4" xfId="9284" xr:uid="{00000000-0005-0000-0000-0000C8710000}"/>
    <cellStyle name="Normal 3 2 2 2 2 3 2 4 2" xfId="6715" xr:uid="{00000000-0005-0000-0000-0000C9710000}"/>
    <cellStyle name="Normal 3 2 2 2 2 3 2 5" xfId="5492" xr:uid="{00000000-0005-0000-0000-0000CA710000}"/>
    <cellStyle name="Normal 3 2 2 2 2 3 3" xfId="31681" xr:uid="{00000000-0005-0000-0000-0000CB710000}"/>
    <cellStyle name="Normal 3 2 2 2 2 3 3 2" xfId="10820" xr:uid="{00000000-0005-0000-0000-0000CC710000}"/>
    <cellStyle name="Normal 3 2 2 2 2 3 3 2 2" xfId="5600" xr:uid="{00000000-0005-0000-0000-0000CD710000}"/>
    <cellStyle name="Normal 3 2 2 2 2 3 3 2 2 2" xfId="34199" xr:uid="{00000000-0005-0000-0000-0000CE710000}"/>
    <cellStyle name="Normal 3 2 2 2 2 3 3 2 3" xfId="6563" xr:uid="{00000000-0005-0000-0000-0000CF710000}"/>
    <cellStyle name="Normal 3 2 2 2 2 3 3 3" xfId="10814" xr:uid="{00000000-0005-0000-0000-0000D0710000}"/>
    <cellStyle name="Normal 3 2 2 2 2 3 3 3 2" xfId="6536" xr:uid="{00000000-0005-0000-0000-0000D1710000}"/>
    <cellStyle name="Normal 3 2 2 2 2 3 3 4" xfId="10810" xr:uid="{00000000-0005-0000-0000-0000D2710000}"/>
    <cellStyle name="Normal 3 2 2 2 2 3 4" xfId="32883" xr:uid="{00000000-0005-0000-0000-0000D3710000}"/>
    <cellStyle name="Normal 3 2 2 2 2 3 4 2" xfId="16509" xr:uid="{00000000-0005-0000-0000-0000D4710000}"/>
    <cellStyle name="Normal 3 2 2 2 2 3 4 2 2" xfId="16505" xr:uid="{00000000-0005-0000-0000-0000D5710000}"/>
    <cellStyle name="Normal 3 2 2 2 2 3 4 3" xfId="16498" xr:uid="{00000000-0005-0000-0000-0000D6710000}"/>
    <cellStyle name="Normal 3 2 2 2 2 3 5" xfId="10805" xr:uid="{00000000-0005-0000-0000-0000D7710000}"/>
    <cellStyle name="Normal 3 2 2 2 2 3 5 2" xfId="16476" xr:uid="{00000000-0005-0000-0000-0000D8710000}"/>
    <cellStyle name="Normal 3 2 2 2 2 3 6" xfId="10803" xr:uid="{00000000-0005-0000-0000-0000D9710000}"/>
    <cellStyle name="Normal 3 2 2 2 2 4" xfId="31675" xr:uid="{00000000-0005-0000-0000-0000DA710000}"/>
    <cellStyle name="Normal 3 2 2 2 2 4 2" xfId="31663" xr:uid="{00000000-0005-0000-0000-0000DB710000}"/>
    <cellStyle name="Normal 3 2 2 2 2 4 2 2" xfId="13645" xr:uid="{00000000-0005-0000-0000-0000DC710000}"/>
    <cellStyle name="Normal 3 2 2 2 2 4 2 2 2" xfId="9276" xr:uid="{00000000-0005-0000-0000-0000DD710000}"/>
    <cellStyle name="Normal 3 2 2 2 2 4 2 2 2 2" xfId="12597" xr:uid="{00000000-0005-0000-0000-0000DE710000}"/>
    <cellStyle name="Normal 3 2 2 2 2 4 2 2 3" xfId="6223" xr:uid="{00000000-0005-0000-0000-0000DF710000}"/>
    <cellStyle name="Normal 3 2 2 2 2 4 2 3" xfId="13642" xr:uid="{00000000-0005-0000-0000-0000E0710000}"/>
    <cellStyle name="Normal 3 2 2 2 2 4 2 3 2" xfId="13893" xr:uid="{00000000-0005-0000-0000-0000E1710000}"/>
    <cellStyle name="Normal 3 2 2 2 2 4 2 4" xfId="5490" xr:uid="{00000000-0005-0000-0000-0000E2710000}"/>
    <cellStyle name="Normal 3 2 2 2 2 4 3" xfId="10799" xr:uid="{00000000-0005-0000-0000-0000E3710000}"/>
    <cellStyle name="Normal 3 2 2 2 2 4 3 2" xfId="13634" xr:uid="{00000000-0005-0000-0000-0000E4710000}"/>
    <cellStyle name="Normal 3 2 2 2 2 4 3 2 2" xfId="17858" xr:uid="{00000000-0005-0000-0000-0000E5710000}"/>
    <cellStyle name="Normal 3 2 2 2 2 4 3 3" xfId="10795" xr:uid="{00000000-0005-0000-0000-0000E6710000}"/>
    <cellStyle name="Normal 3 2 2 2 2 4 4" xfId="10789" xr:uid="{00000000-0005-0000-0000-0000E7710000}"/>
    <cellStyle name="Normal 3 2 2 2 2 4 4 2" xfId="16433" xr:uid="{00000000-0005-0000-0000-0000E8710000}"/>
    <cellStyle name="Normal 3 2 2 2 2 4 5" xfId="10786" xr:uid="{00000000-0005-0000-0000-0000E9710000}"/>
    <cellStyle name="Normal 3 2 2 2 2 5" xfId="31659" xr:uid="{00000000-0005-0000-0000-0000EA710000}"/>
    <cellStyle name="Normal 3 2 2 2 2 5 2" xfId="7117" xr:uid="{00000000-0005-0000-0000-0000EB710000}"/>
    <cellStyle name="Normal 3 2 2 2 2 5 2 2" xfId="13608" xr:uid="{00000000-0005-0000-0000-0000EC710000}"/>
    <cellStyle name="Normal 3 2 2 2 2 5 2 2 2" xfId="11432" xr:uid="{00000000-0005-0000-0000-0000ED710000}"/>
    <cellStyle name="Normal 3 2 2 2 2 5 2 3" xfId="5488" xr:uid="{00000000-0005-0000-0000-0000EE710000}"/>
    <cellStyle name="Normal 3 2 2 2 2 5 3" xfId="22879" xr:uid="{00000000-0005-0000-0000-0000EF710000}"/>
    <cellStyle name="Normal 3 2 2 2 2 5 3 2" xfId="10783" xr:uid="{00000000-0005-0000-0000-0000F0710000}"/>
    <cellStyle name="Normal 3 2 2 2 2 5 4" xfId="19081" xr:uid="{00000000-0005-0000-0000-0000F1710000}"/>
    <cellStyle name="Normal 3 2 2 2 2 6" xfId="22789" xr:uid="{00000000-0005-0000-0000-0000F2710000}"/>
    <cellStyle name="Normal 3 2 2 2 2 6 2" xfId="7112" xr:uid="{00000000-0005-0000-0000-0000F3710000}"/>
    <cellStyle name="Normal 3 2 2 2 2 6 2 2" xfId="5486" xr:uid="{00000000-0005-0000-0000-0000F4710000}"/>
    <cellStyle name="Normal 3 2 2 2 2 6 3" xfId="7107" xr:uid="{00000000-0005-0000-0000-0000F5710000}"/>
    <cellStyle name="Normal 3 2 2 2 2 7" xfId="29926" xr:uid="{00000000-0005-0000-0000-0000F6710000}"/>
    <cellStyle name="Normal 3 2 2 2 2 7 2" xfId="7099" xr:uid="{00000000-0005-0000-0000-0000F7710000}"/>
    <cellStyle name="Normal 3 2 2 2 2 8" xfId="29920" xr:uid="{00000000-0005-0000-0000-0000F8710000}"/>
    <cellStyle name="Normal 3 2 2 2 3" xfId="11861" xr:uid="{00000000-0005-0000-0000-0000F9710000}"/>
    <cellStyle name="Normal 3 2 2 2 3 2" xfId="9270" xr:uid="{00000000-0005-0000-0000-0000FA710000}"/>
    <cellStyle name="Normal 3 2 2 2 3 2 2" xfId="24090" xr:uid="{00000000-0005-0000-0000-0000FB710000}"/>
    <cellStyle name="Normal 3 2 2 2 3 2 2 2" xfId="9267" xr:uid="{00000000-0005-0000-0000-0000FC710000}"/>
    <cellStyle name="Normal 3 2 2 2 3 2 2 2 2" xfId="34259" xr:uid="{00000000-0005-0000-0000-0000FD710000}"/>
    <cellStyle name="Normal 3 2 2 2 3 2 2 2 2 2" xfId="28360" xr:uid="{00000000-0005-0000-0000-0000FE710000}"/>
    <cellStyle name="Normal 3 2 2 2 3 2 2 2 2 2 2" xfId="5485" xr:uid="{00000000-0005-0000-0000-0000FF710000}"/>
    <cellStyle name="Normal 3 2 2 2 3 2 2 2 2 3" xfId="12165" xr:uid="{00000000-0005-0000-0000-000000720000}"/>
    <cellStyle name="Normal 3 2 2 2 3 2 2 2 3" xfId="9263" xr:uid="{00000000-0005-0000-0000-000001720000}"/>
    <cellStyle name="Normal 3 2 2 2 3 2 2 2 3 2" xfId="5483" xr:uid="{00000000-0005-0000-0000-000002720000}"/>
    <cellStyle name="Normal 3 2 2 2 3 2 2 2 4" xfId="7409" xr:uid="{00000000-0005-0000-0000-000003720000}"/>
    <cellStyle name="Normal 3 2 2 2 3 2 2 3" xfId="9260" xr:uid="{00000000-0005-0000-0000-000004720000}"/>
    <cellStyle name="Normal 3 2 2 2 3 2 2 3 2" xfId="9256" xr:uid="{00000000-0005-0000-0000-000005720000}"/>
    <cellStyle name="Normal 3 2 2 2 3 2 2 3 2 2" xfId="14705" xr:uid="{00000000-0005-0000-0000-000006720000}"/>
    <cellStyle name="Normal 3 2 2 2 3 2 2 3 3" xfId="5482" xr:uid="{00000000-0005-0000-0000-000007720000}"/>
    <cellStyle name="Normal 3 2 2 2 3 2 2 4" xfId="9253" xr:uid="{00000000-0005-0000-0000-000008720000}"/>
    <cellStyle name="Normal 3 2 2 2 3 2 2 4 2" xfId="12086" xr:uid="{00000000-0005-0000-0000-000009720000}"/>
    <cellStyle name="Normal 3 2 2 2 3 2 2 5" xfId="5479" xr:uid="{00000000-0005-0000-0000-00000A720000}"/>
    <cellStyle name="Normal 3 2 2 2 3 2 3" xfId="10741" xr:uid="{00000000-0005-0000-0000-00000B720000}"/>
    <cellStyle name="Normal 3 2 2 2 3 2 3 2" xfId="10737" xr:uid="{00000000-0005-0000-0000-00000C720000}"/>
    <cellStyle name="Normal 3 2 2 2 3 2 3 2 2" xfId="9248" xr:uid="{00000000-0005-0000-0000-00000D720000}"/>
    <cellStyle name="Normal 3 2 2 2 3 2 3 2 2 2" xfId="32611" xr:uid="{00000000-0005-0000-0000-00000E720000}"/>
    <cellStyle name="Normal 3 2 2 2 3 2 3 2 3" xfId="6038" xr:uid="{00000000-0005-0000-0000-00000F720000}"/>
    <cellStyle name="Normal 3 2 2 2 3 2 3 3" xfId="10731" xr:uid="{00000000-0005-0000-0000-000010720000}"/>
    <cellStyle name="Normal 3 2 2 2 3 2 3 3 2" xfId="5476" xr:uid="{00000000-0005-0000-0000-000011720000}"/>
    <cellStyle name="Normal 3 2 2 2 3 2 3 4" xfId="29293" xr:uid="{00000000-0005-0000-0000-000012720000}"/>
    <cellStyle name="Normal 3 2 2 2 3 2 4" xfId="10725" xr:uid="{00000000-0005-0000-0000-000013720000}"/>
    <cellStyle name="Normal 3 2 2 2 3 2 4 2" xfId="10721" xr:uid="{00000000-0005-0000-0000-000014720000}"/>
    <cellStyle name="Normal 3 2 2 2 3 2 4 2 2" xfId="5473" xr:uid="{00000000-0005-0000-0000-000015720000}"/>
    <cellStyle name="Normal 3 2 2 2 3 2 4 3" xfId="10718" xr:uid="{00000000-0005-0000-0000-000016720000}"/>
    <cellStyle name="Normal 3 2 2 2 3 2 5" xfId="10711" xr:uid="{00000000-0005-0000-0000-000017720000}"/>
    <cellStyle name="Normal 3 2 2 2 3 2 5 2" xfId="10709" xr:uid="{00000000-0005-0000-0000-000018720000}"/>
    <cellStyle name="Normal 3 2 2 2 3 2 6" xfId="10707" xr:uid="{00000000-0005-0000-0000-000019720000}"/>
    <cellStyle name="Normal 3 2 2 2 3 3" xfId="31643" xr:uid="{00000000-0005-0000-0000-00001A720000}"/>
    <cellStyle name="Normal 3 2 2 2 3 3 2" xfId="31640" xr:uid="{00000000-0005-0000-0000-00001B720000}"/>
    <cellStyle name="Normal 3 2 2 2 3 3 2 2" xfId="9246" xr:uid="{00000000-0005-0000-0000-00001C720000}"/>
    <cellStyle name="Normal 3 2 2 2 3 3 2 2 2" xfId="9243" xr:uid="{00000000-0005-0000-0000-00001D720000}"/>
    <cellStyle name="Normal 3 2 2 2 3 3 2 2 2 2" xfId="5472" xr:uid="{00000000-0005-0000-0000-00001E720000}"/>
    <cellStyle name="Normal 3 2 2 2 3 3 2 2 3" xfId="13083" xr:uid="{00000000-0005-0000-0000-00001F720000}"/>
    <cellStyle name="Normal 3 2 2 2 3 3 2 3" xfId="9241" xr:uid="{00000000-0005-0000-0000-000020720000}"/>
    <cellStyle name="Normal 3 2 2 2 3 3 2 3 2" xfId="5471" xr:uid="{00000000-0005-0000-0000-000021720000}"/>
    <cellStyle name="Normal 3 2 2 2 3 3 2 4" xfId="14688" xr:uid="{00000000-0005-0000-0000-000022720000}"/>
    <cellStyle name="Normal 3 2 2 2 3 3 3" xfId="14573" xr:uid="{00000000-0005-0000-0000-000023720000}"/>
    <cellStyle name="Normal 3 2 2 2 3 3 3 2" xfId="10701" xr:uid="{00000000-0005-0000-0000-000024720000}"/>
    <cellStyle name="Normal 3 2 2 2 3 3 3 2 2" xfId="5468" xr:uid="{00000000-0005-0000-0000-000025720000}"/>
    <cellStyle name="Normal 3 2 2 2 3 3 3 3" xfId="10698" xr:uid="{00000000-0005-0000-0000-000026720000}"/>
    <cellStyle name="Normal 3 2 2 2 3 3 4" xfId="10692" xr:uid="{00000000-0005-0000-0000-000027720000}"/>
    <cellStyle name="Normal 3 2 2 2 3 3 4 2" xfId="16356" xr:uid="{00000000-0005-0000-0000-000028720000}"/>
    <cellStyle name="Normal 3 2 2 2 3 3 5" xfId="10690" xr:uid="{00000000-0005-0000-0000-000029720000}"/>
    <cellStyle name="Normal 3 2 2 2 3 4" xfId="31630" xr:uid="{00000000-0005-0000-0000-00002A720000}"/>
    <cellStyle name="Normal 3 2 2 2 3 4 2" xfId="14565" xr:uid="{00000000-0005-0000-0000-00002B720000}"/>
    <cellStyle name="Normal 3 2 2 2 3 4 2 2" xfId="13569" xr:uid="{00000000-0005-0000-0000-00002C720000}"/>
    <cellStyle name="Normal 3 2 2 2 3 4 2 2 2" xfId="5467" xr:uid="{00000000-0005-0000-0000-00002D720000}"/>
    <cellStyle name="Normal 3 2 2 2 3 4 2 3" xfId="5466" xr:uid="{00000000-0005-0000-0000-00002E720000}"/>
    <cellStyle name="Normal 3 2 2 2 3 4 3" xfId="10686" xr:uid="{00000000-0005-0000-0000-00002F720000}"/>
    <cellStyle name="Normal 3 2 2 2 3 4 3 2" xfId="10683" xr:uid="{00000000-0005-0000-0000-000030720000}"/>
    <cellStyle name="Normal 3 2 2 2 3 4 4" xfId="10680" xr:uid="{00000000-0005-0000-0000-000031720000}"/>
    <cellStyle name="Normal 3 2 2 2 3 5" xfId="9237" xr:uid="{00000000-0005-0000-0000-000032720000}"/>
    <cellStyle name="Normal 3 2 2 2 3 5 2" xfId="7091" xr:uid="{00000000-0005-0000-0000-000033720000}"/>
    <cellStyle name="Normal 3 2 2 2 3 5 2 2" xfId="5463" xr:uid="{00000000-0005-0000-0000-000034720000}"/>
    <cellStyle name="Normal 3 2 2 2 3 5 3" xfId="7089" xr:uid="{00000000-0005-0000-0000-000035720000}"/>
    <cellStyle name="Normal 3 2 2 2 3 6" xfId="9232" xr:uid="{00000000-0005-0000-0000-000036720000}"/>
    <cellStyle name="Normal 3 2 2 2 3 6 2" xfId="7122" xr:uid="{00000000-0005-0000-0000-000037720000}"/>
    <cellStyle name="Normal 3 2 2 2 3 7" xfId="30871" xr:uid="{00000000-0005-0000-0000-000038720000}"/>
    <cellStyle name="Normal 3 2 2 2 4" xfId="9230" xr:uid="{00000000-0005-0000-0000-000039720000}"/>
    <cellStyle name="Normal 3 2 2 2 4 2" xfId="10773" xr:uid="{00000000-0005-0000-0000-00003A720000}"/>
    <cellStyle name="Normal 3 2 2 2 4 2 2" xfId="20024" xr:uid="{00000000-0005-0000-0000-00003B720000}"/>
    <cellStyle name="Normal 3 2 2 2 4 2 2 2" xfId="19034" xr:uid="{00000000-0005-0000-0000-00003C720000}"/>
    <cellStyle name="Normal 3 2 2 2 4 2 2 2 2" xfId="9227" xr:uid="{00000000-0005-0000-0000-00003D720000}"/>
    <cellStyle name="Normal 3 2 2 2 4 2 2 2 2 2" xfId="13948" xr:uid="{00000000-0005-0000-0000-00003E720000}"/>
    <cellStyle name="Normal 3 2 2 2 4 2 2 2 3" xfId="5461" xr:uid="{00000000-0005-0000-0000-00003F720000}"/>
    <cellStyle name="Normal 3 2 2 2 4 2 2 3" xfId="9220" xr:uid="{00000000-0005-0000-0000-000040720000}"/>
    <cellStyle name="Normal 3 2 2 2 4 2 2 3 2" xfId="5686" xr:uid="{00000000-0005-0000-0000-000041720000}"/>
    <cellStyle name="Normal 3 2 2 2 4 2 2 4" xfId="5660" xr:uid="{00000000-0005-0000-0000-000042720000}"/>
    <cellStyle name="Normal 3 2 2 2 4 2 3" xfId="10658" xr:uid="{00000000-0005-0000-0000-000043720000}"/>
    <cellStyle name="Normal 3 2 2 2 4 2 3 2" xfId="10652" xr:uid="{00000000-0005-0000-0000-000044720000}"/>
    <cellStyle name="Normal 3 2 2 2 4 2 3 2 2" xfId="6179" xr:uid="{00000000-0005-0000-0000-000045720000}"/>
    <cellStyle name="Normal 3 2 2 2 4 2 3 3" xfId="10646" xr:uid="{00000000-0005-0000-0000-000046720000}"/>
    <cellStyle name="Normal 3 2 2 2 4 2 4" xfId="10639" xr:uid="{00000000-0005-0000-0000-000047720000}"/>
    <cellStyle name="Normal 3 2 2 2 4 2 4 2" xfId="10636" xr:uid="{00000000-0005-0000-0000-000048720000}"/>
    <cellStyle name="Normal 3 2 2 2 4 2 5" xfId="10632" xr:uid="{00000000-0005-0000-0000-000049720000}"/>
    <cellStyle name="Normal 3 2 2 2 4 3" xfId="31623" xr:uid="{00000000-0005-0000-0000-00004A720000}"/>
    <cellStyle name="Normal 3 2 2 2 4 3 2" xfId="14559" xr:uid="{00000000-0005-0000-0000-00004B720000}"/>
    <cellStyle name="Normal 3 2 2 2 4 3 2 2" xfId="9216" xr:uid="{00000000-0005-0000-0000-00004C720000}"/>
    <cellStyle name="Normal 3 2 2 2 4 3 2 2 2" xfId="5458" xr:uid="{00000000-0005-0000-0000-00004D720000}"/>
    <cellStyle name="Normal 3 2 2 2 4 3 2 3" xfId="5456" xr:uid="{00000000-0005-0000-0000-00004E720000}"/>
    <cellStyle name="Normal 3 2 2 2 4 3 3" xfId="10625" xr:uid="{00000000-0005-0000-0000-00004F720000}"/>
    <cellStyle name="Normal 3 2 2 2 4 3 3 2" xfId="10621" xr:uid="{00000000-0005-0000-0000-000050720000}"/>
    <cellStyle name="Normal 3 2 2 2 4 3 4" xfId="10617" xr:uid="{00000000-0005-0000-0000-000051720000}"/>
    <cellStyle name="Normal 3 2 2 2 4 4" xfId="18208" xr:uid="{00000000-0005-0000-0000-000052720000}"/>
    <cellStyle name="Normal 3 2 2 2 4 4 2" xfId="9212" xr:uid="{00000000-0005-0000-0000-000053720000}"/>
    <cellStyle name="Normal 3 2 2 2 4 4 2 2" xfId="6746" xr:uid="{00000000-0005-0000-0000-000054720000}"/>
    <cellStyle name="Normal 3 2 2 2 4 4 3" xfId="10614" xr:uid="{00000000-0005-0000-0000-000055720000}"/>
    <cellStyle name="Normal 3 2 2 2 4 5" xfId="27713" xr:uid="{00000000-0005-0000-0000-000056720000}"/>
    <cellStyle name="Normal 3 2 2 2 4 5 2" xfId="5453" xr:uid="{00000000-0005-0000-0000-000057720000}"/>
    <cellStyle name="Normal 3 2 2 2 4 6" xfId="5450" xr:uid="{00000000-0005-0000-0000-000058720000}"/>
    <cellStyle name="Normal 3 2 2 2 5" xfId="6149" xr:uid="{00000000-0005-0000-0000-000059720000}"/>
    <cellStyle name="Normal 3 2 2 2 5 2" xfId="6147" xr:uid="{00000000-0005-0000-0000-00005A720000}"/>
    <cellStyle name="Normal 3 2 2 2 5 2 2" xfId="9208" xr:uid="{00000000-0005-0000-0000-00005B720000}"/>
    <cellStyle name="Normal 3 2 2 2 5 2 2 2" xfId="18501" xr:uid="{00000000-0005-0000-0000-00005C720000}"/>
    <cellStyle name="Normal 3 2 2 2 5 2 2 2 2" xfId="5449" xr:uid="{00000000-0005-0000-0000-00005D720000}"/>
    <cellStyle name="Normal 3 2 2 2 5 2 2 3" xfId="5447" xr:uid="{00000000-0005-0000-0000-00005E720000}"/>
    <cellStyle name="Normal 3 2 2 2 5 2 3" xfId="7575" xr:uid="{00000000-0005-0000-0000-00005F720000}"/>
    <cellStyle name="Normal 3 2 2 2 5 2 3 2" xfId="10595" xr:uid="{00000000-0005-0000-0000-000060720000}"/>
    <cellStyle name="Normal 3 2 2 2 5 2 4" xfId="6143" xr:uid="{00000000-0005-0000-0000-000061720000}"/>
    <cellStyle name="Normal 3 2 2 2 5 3" xfId="6140" xr:uid="{00000000-0005-0000-0000-000062720000}"/>
    <cellStyle name="Normal 3 2 2 2 5 3 2" xfId="7569" xr:uid="{00000000-0005-0000-0000-000063720000}"/>
    <cellStyle name="Normal 3 2 2 2 5 3 2 2" xfId="5444" xr:uid="{00000000-0005-0000-0000-000064720000}"/>
    <cellStyle name="Normal 3 2 2 2 5 3 3" xfId="6137" xr:uid="{00000000-0005-0000-0000-000065720000}"/>
    <cellStyle name="Normal 3 2 2 2 5 4" xfId="18204" xr:uid="{00000000-0005-0000-0000-000066720000}"/>
    <cellStyle name="Normal 3 2 2 2 5 4 2" xfId="5441" xr:uid="{00000000-0005-0000-0000-000067720000}"/>
    <cellStyle name="Normal 3 2 2 2 5 5" xfId="5437" xr:uid="{00000000-0005-0000-0000-000068720000}"/>
    <cellStyle name="Normal 3 2 2 2 6" xfId="6133" xr:uid="{00000000-0005-0000-0000-000069720000}"/>
    <cellStyle name="Normal 3 2 2 2 6 2" xfId="9202" xr:uid="{00000000-0005-0000-0000-00006A720000}"/>
    <cellStyle name="Normal 3 2 2 2 6 2 2" xfId="9199" xr:uid="{00000000-0005-0000-0000-00006B720000}"/>
    <cellStyle name="Normal 3 2 2 2 6 2 2 2" xfId="23107" xr:uid="{00000000-0005-0000-0000-00006C720000}"/>
    <cellStyle name="Normal 3 2 2 2 6 2 3" xfId="10578" xr:uid="{00000000-0005-0000-0000-00006D720000}"/>
    <cellStyle name="Normal 3 2 2 2 6 3" xfId="9194" xr:uid="{00000000-0005-0000-0000-00006E720000}"/>
    <cellStyle name="Normal 3 2 2 2 6 3 2" xfId="5435" xr:uid="{00000000-0005-0000-0000-00006F720000}"/>
    <cellStyle name="Normal 3 2 2 2 6 4" xfId="15122" xr:uid="{00000000-0005-0000-0000-000070720000}"/>
    <cellStyle name="Normal 3 2 2 2 7" xfId="6130" xr:uid="{00000000-0005-0000-0000-000071720000}"/>
    <cellStyle name="Normal 3 2 2 2 7 2" xfId="9190" xr:uid="{00000000-0005-0000-0000-000072720000}"/>
    <cellStyle name="Normal 3 2 2 2 7 2 2" xfId="5432" xr:uid="{00000000-0005-0000-0000-000073720000}"/>
    <cellStyle name="Normal 3 2 2 2 7 3" xfId="5429" xr:uid="{00000000-0005-0000-0000-000074720000}"/>
    <cellStyle name="Normal 3 2 2 2 8" xfId="6127" xr:uid="{00000000-0005-0000-0000-000075720000}"/>
    <cellStyle name="Normal 3 2 2 2 8 2" xfId="5427" xr:uid="{00000000-0005-0000-0000-000076720000}"/>
    <cellStyle name="Normal 3 2 2 2 9" xfId="16439" xr:uid="{00000000-0005-0000-0000-000077720000}"/>
    <cellStyle name="Normal 3 2 2 3" xfId="7743" xr:uid="{00000000-0005-0000-0000-000078720000}"/>
    <cellStyle name="Normal 3 2 2 3 2" xfId="9185" xr:uid="{00000000-0005-0000-0000-000079720000}"/>
    <cellStyle name="Normal 3 2 2 3 2 2" xfId="9182" xr:uid="{00000000-0005-0000-0000-00007A720000}"/>
    <cellStyle name="Normal 3 2 2 3 2 2 2" xfId="23320" xr:uid="{00000000-0005-0000-0000-00007B720000}"/>
    <cellStyle name="Normal 3 2 2 3 2 2 2 2" xfId="9174" xr:uid="{00000000-0005-0000-0000-00007C720000}"/>
    <cellStyle name="Normal 3 2 2 3 2 2 2 2 2" xfId="9171" xr:uid="{00000000-0005-0000-0000-00007D720000}"/>
    <cellStyle name="Normal 3 2 2 3 2 2 2 2 2 2" xfId="5424" xr:uid="{00000000-0005-0000-0000-00007E720000}"/>
    <cellStyle name="Normal 3 2 2 3 2 2 2 2 2 2 2" xfId="5422" xr:uid="{00000000-0005-0000-0000-00007F720000}"/>
    <cellStyle name="Normal 3 2 2 3 2 2 2 2 2 3" xfId="5421" xr:uid="{00000000-0005-0000-0000-000080720000}"/>
    <cellStyle name="Normal 3 2 2 3 2 2 2 2 3" xfId="9168" xr:uid="{00000000-0005-0000-0000-000081720000}"/>
    <cellStyle name="Normal 3 2 2 3 2 2 2 2 3 2" xfId="33107" xr:uid="{00000000-0005-0000-0000-000082720000}"/>
    <cellStyle name="Normal 3 2 2 3 2 2 2 2 4" xfId="7265" xr:uid="{00000000-0005-0000-0000-000083720000}"/>
    <cellStyle name="Normal 3 2 2 3 2 2 2 3" xfId="9164" xr:uid="{00000000-0005-0000-0000-000084720000}"/>
    <cellStyle name="Normal 3 2 2 3 2 2 2 3 2" xfId="9162" xr:uid="{00000000-0005-0000-0000-000085720000}"/>
    <cellStyle name="Normal 3 2 2 3 2 2 2 3 2 2" xfId="5420" xr:uid="{00000000-0005-0000-0000-000086720000}"/>
    <cellStyle name="Normal 3 2 2 3 2 2 2 3 3" xfId="5419" xr:uid="{00000000-0005-0000-0000-000087720000}"/>
    <cellStyle name="Normal 3 2 2 3 2 2 2 4" xfId="9158" xr:uid="{00000000-0005-0000-0000-000088720000}"/>
    <cellStyle name="Normal 3 2 2 3 2 2 2 4 2" xfId="5417" xr:uid="{00000000-0005-0000-0000-000089720000}"/>
    <cellStyle name="Normal 3 2 2 3 2 2 2 5" xfId="5416" xr:uid="{00000000-0005-0000-0000-00008A720000}"/>
    <cellStyle name="Normal 3 2 2 3 2 2 3" xfId="8231" xr:uid="{00000000-0005-0000-0000-00008B720000}"/>
    <cellStyle name="Normal 3 2 2 3 2 2 3 2" xfId="12612" xr:uid="{00000000-0005-0000-0000-00008C720000}"/>
    <cellStyle name="Normal 3 2 2 3 2 2 3 2 2" xfId="9155" xr:uid="{00000000-0005-0000-0000-00008D720000}"/>
    <cellStyle name="Normal 3 2 2 3 2 2 3 2 2 2" xfId="30878" xr:uid="{00000000-0005-0000-0000-00008E720000}"/>
    <cellStyle name="Normal 3 2 2 3 2 2 3 2 3" xfId="6015" xr:uid="{00000000-0005-0000-0000-00008F720000}"/>
    <cellStyle name="Normal 3 2 2 3 2 2 3 3" xfId="12603" xr:uid="{00000000-0005-0000-0000-000090720000}"/>
    <cellStyle name="Normal 3 2 2 3 2 2 3 3 2" xfId="5415" xr:uid="{00000000-0005-0000-0000-000091720000}"/>
    <cellStyle name="Normal 3 2 2 3 2 2 3 4" xfId="10541" xr:uid="{00000000-0005-0000-0000-000092720000}"/>
    <cellStyle name="Normal 3 2 2 3 2 2 4" xfId="10537" xr:uid="{00000000-0005-0000-0000-000093720000}"/>
    <cellStyle name="Normal 3 2 2 3 2 2 4 2" xfId="12586" xr:uid="{00000000-0005-0000-0000-000094720000}"/>
    <cellStyle name="Normal 3 2 2 3 2 2 4 2 2" xfId="5414" xr:uid="{00000000-0005-0000-0000-000095720000}"/>
    <cellStyle name="Normal 3 2 2 3 2 2 4 3" xfId="10529" xr:uid="{00000000-0005-0000-0000-000096720000}"/>
    <cellStyle name="Normal 3 2 2 3 2 2 5" xfId="10525" xr:uid="{00000000-0005-0000-0000-000097720000}"/>
    <cellStyle name="Normal 3 2 2 3 2 2 5 2" xfId="14048" xr:uid="{00000000-0005-0000-0000-000098720000}"/>
    <cellStyle name="Normal 3 2 2 3 2 2 6" xfId="10522" xr:uid="{00000000-0005-0000-0000-000099720000}"/>
    <cellStyle name="Normal 3 2 2 3 2 3" xfId="9674" xr:uid="{00000000-0005-0000-0000-00009A720000}"/>
    <cellStyle name="Normal 3 2 2 3 2 3 2" xfId="24557" xr:uid="{00000000-0005-0000-0000-00009B720000}"/>
    <cellStyle name="Normal 3 2 2 3 2 3 2 2" xfId="9152" xr:uid="{00000000-0005-0000-0000-00009C720000}"/>
    <cellStyle name="Normal 3 2 2 3 2 3 2 2 2" xfId="9149" xr:uid="{00000000-0005-0000-0000-00009D720000}"/>
    <cellStyle name="Normal 3 2 2 3 2 3 2 2 2 2" xfId="19437" xr:uid="{00000000-0005-0000-0000-00009E720000}"/>
    <cellStyle name="Normal 3 2 2 3 2 3 2 2 3" xfId="21827" xr:uid="{00000000-0005-0000-0000-00009F720000}"/>
    <cellStyle name="Normal 3 2 2 3 2 3 2 3" xfId="9144" xr:uid="{00000000-0005-0000-0000-0000A0720000}"/>
    <cellStyle name="Normal 3 2 2 3 2 3 2 3 2" xfId="5413" xr:uid="{00000000-0005-0000-0000-0000A1720000}"/>
    <cellStyle name="Normal 3 2 2 3 2 3 2 4" xfId="5734" xr:uid="{00000000-0005-0000-0000-0000A2720000}"/>
    <cellStyle name="Normal 3 2 2 3 2 3 3" xfId="10511" xr:uid="{00000000-0005-0000-0000-0000A3720000}"/>
    <cellStyle name="Normal 3 2 2 3 2 3 3 2" xfId="12565" xr:uid="{00000000-0005-0000-0000-0000A4720000}"/>
    <cellStyle name="Normal 3 2 2 3 2 3 3 2 2" xfId="5410" xr:uid="{00000000-0005-0000-0000-0000A5720000}"/>
    <cellStyle name="Normal 3 2 2 3 2 3 3 3" xfId="10510" xr:uid="{00000000-0005-0000-0000-0000A6720000}"/>
    <cellStyle name="Normal 3 2 2 3 2 3 4" xfId="10505" xr:uid="{00000000-0005-0000-0000-0000A7720000}"/>
    <cellStyle name="Normal 3 2 2 3 2 3 4 2" xfId="16037" xr:uid="{00000000-0005-0000-0000-0000A8720000}"/>
    <cellStyle name="Normal 3 2 2 3 2 3 5" xfId="10502" xr:uid="{00000000-0005-0000-0000-0000A9720000}"/>
    <cellStyle name="Normal 3 2 2 3 2 4" xfId="25484" xr:uid="{00000000-0005-0000-0000-0000AA720000}"/>
    <cellStyle name="Normal 3 2 2 3 2 4 2" xfId="9140" xr:uid="{00000000-0005-0000-0000-0000AB720000}"/>
    <cellStyle name="Normal 3 2 2 3 2 4 2 2" xfId="13504" xr:uid="{00000000-0005-0000-0000-0000AC720000}"/>
    <cellStyle name="Normal 3 2 2 3 2 4 2 2 2" xfId="5408" xr:uid="{00000000-0005-0000-0000-0000AD720000}"/>
    <cellStyle name="Normal 3 2 2 3 2 4 2 3" xfId="5404" xr:uid="{00000000-0005-0000-0000-0000AE720000}"/>
    <cellStyle name="Normal 3 2 2 3 2 4 3" xfId="10496" xr:uid="{00000000-0005-0000-0000-0000AF720000}"/>
    <cellStyle name="Normal 3 2 2 3 2 4 3 2" xfId="10491" xr:uid="{00000000-0005-0000-0000-0000B0720000}"/>
    <cellStyle name="Normal 3 2 2 3 2 4 4" xfId="10487" xr:uid="{00000000-0005-0000-0000-0000B1720000}"/>
    <cellStyle name="Normal 3 2 2 3 2 5" xfId="33752" xr:uid="{00000000-0005-0000-0000-0000B2720000}"/>
    <cellStyle name="Normal 3 2 2 3 2 5 2" xfId="9136" xr:uid="{00000000-0005-0000-0000-0000B3720000}"/>
    <cellStyle name="Normal 3 2 2 3 2 5 2 2" xfId="21040" xr:uid="{00000000-0005-0000-0000-0000B4720000}"/>
    <cellStyle name="Normal 3 2 2 3 2 5 3" xfId="7068" xr:uid="{00000000-0005-0000-0000-0000B5720000}"/>
    <cellStyle name="Normal 3 2 2 3 2 6" xfId="16033" xr:uid="{00000000-0005-0000-0000-0000B6720000}"/>
    <cellStyle name="Normal 3 2 2 3 2 6 2" xfId="5402" xr:uid="{00000000-0005-0000-0000-0000B7720000}"/>
    <cellStyle name="Normal 3 2 2 3 2 7" xfId="31937" xr:uid="{00000000-0005-0000-0000-0000B8720000}"/>
    <cellStyle name="Normal 3 2 2 3 3" xfId="23943" xr:uid="{00000000-0005-0000-0000-0000B9720000}"/>
    <cellStyle name="Normal 3 2 2 3 3 2" xfId="9131" xr:uid="{00000000-0005-0000-0000-0000BA720000}"/>
    <cellStyle name="Normal 3 2 2 3 3 2 2" xfId="9126" xr:uid="{00000000-0005-0000-0000-0000BB720000}"/>
    <cellStyle name="Normal 3 2 2 3 3 2 2 2" xfId="9122" xr:uid="{00000000-0005-0000-0000-0000BC720000}"/>
    <cellStyle name="Normal 3 2 2 3 3 2 2 2 2" xfId="9119" xr:uid="{00000000-0005-0000-0000-0000BD720000}"/>
    <cellStyle name="Normal 3 2 2 3 3 2 2 2 2 2" xfId="5399" xr:uid="{00000000-0005-0000-0000-0000BE720000}"/>
    <cellStyle name="Normal 3 2 2 3 3 2 2 2 3" xfId="5398" xr:uid="{00000000-0005-0000-0000-0000BF720000}"/>
    <cellStyle name="Normal 3 2 2 3 3 2 2 3" xfId="9116" xr:uid="{00000000-0005-0000-0000-0000C0720000}"/>
    <cellStyle name="Normal 3 2 2 3 3 2 2 3 2" xfId="5395" xr:uid="{00000000-0005-0000-0000-0000C1720000}"/>
    <cellStyle name="Normal 3 2 2 3 3 2 2 4" xfId="5393" xr:uid="{00000000-0005-0000-0000-0000C2720000}"/>
    <cellStyle name="Normal 3 2 2 3 3 2 3" xfId="10463" xr:uid="{00000000-0005-0000-0000-0000C3720000}"/>
    <cellStyle name="Normal 3 2 2 3 3 2 3 2" xfId="12497" xr:uid="{00000000-0005-0000-0000-0000C4720000}"/>
    <cellStyle name="Normal 3 2 2 3 3 2 3 2 2" xfId="5391" xr:uid="{00000000-0005-0000-0000-0000C5720000}"/>
    <cellStyle name="Normal 3 2 2 3 3 2 3 3" xfId="10460" xr:uid="{00000000-0005-0000-0000-0000C6720000}"/>
    <cellStyle name="Normal 3 2 2 3 3 2 4" xfId="10454" xr:uid="{00000000-0005-0000-0000-0000C7720000}"/>
    <cellStyle name="Normal 3 2 2 3 3 2 4 2" xfId="10451" xr:uid="{00000000-0005-0000-0000-0000C8720000}"/>
    <cellStyle name="Normal 3 2 2 3 3 2 5" xfId="10447" xr:uid="{00000000-0005-0000-0000-0000C9720000}"/>
    <cellStyle name="Normal 3 2 2 3 3 3" xfId="19350" xr:uid="{00000000-0005-0000-0000-0000CA720000}"/>
    <cellStyle name="Normal 3 2 2 3 3 3 2" xfId="14537" xr:uid="{00000000-0005-0000-0000-0000CB720000}"/>
    <cellStyle name="Normal 3 2 2 3 3 3 2 2" xfId="33850" xr:uid="{00000000-0005-0000-0000-0000CC720000}"/>
    <cellStyle name="Normal 3 2 2 3 3 3 2 2 2" xfId="5390" xr:uid="{00000000-0005-0000-0000-0000CD720000}"/>
    <cellStyle name="Normal 3 2 2 3 3 3 2 3" xfId="32189" xr:uid="{00000000-0005-0000-0000-0000CE720000}"/>
    <cellStyle name="Normal 3 2 2 3 3 3 3" xfId="10439" xr:uid="{00000000-0005-0000-0000-0000CF720000}"/>
    <cellStyle name="Normal 3 2 2 3 3 3 3 2" xfId="33647" xr:uid="{00000000-0005-0000-0000-0000D0720000}"/>
    <cellStyle name="Normal 3 2 2 3 3 3 4" xfId="10437" xr:uid="{00000000-0005-0000-0000-0000D1720000}"/>
    <cellStyle name="Normal 3 2 2 3 3 4" xfId="25479" xr:uid="{00000000-0005-0000-0000-0000D2720000}"/>
    <cellStyle name="Normal 3 2 2 3 3 4 2" xfId="9111" xr:uid="{00000000-0005-0000-0000-0000D3720000}"/>
    <cellStyle name="Normal 3 2 2 3 3 4 2 2" xfId="33900" xr:uid="{00000000-0005-0000-0000-0000D4720000}"/>
    <cellStyle name="Normal 3 2 2 3 3 4 3" xfId="10433" xr:uid="{00000000-0005-0000-0000-0000D5720000}"/>
    <cellStyle name="Normal 3 2 2 3 3 5" xfId="21876" xr:uid="{00000000-0005-0000-0000-0000D6720000}"/>
    <cellStyle name="Normal 3 2 2 3 3 5 2" xfId="5388" xr:uid="{00000000-0005-0000-0000-0000D7720000}"/>
    <cellStyle name="Normal 3 2 2 3 3 6" xfId="16026" xr:uid="{00000000-0005-0000-0000-0000D8720000}"/>
    <cellStyle name="Normal 3 2 2 3 4" xfId="21677" xr:uid="{00000000-0005-0000-0000-0000D9720000}"/>
    <cellStyle name="Normal 3 2 2 3 4 2" xfId="8982" xr:uid="{00000000-0005-0000-0000-0000DA720000}"/>
    <cellStyle name="Normal 3 2 2 3 4 2 2" xfId="9104" xr:uid="{00000000-0005-0000-0000-0000DB720000}"/>
    <cellStyle name="Normal 3 2 2 3 4 2 2 2" xfId="9100" xr:uid="{00000000-0005-0000-0000-0000DC720000}"/>
    <cellStyle name="Normal 3 2 2 3 4 2 2 2 2" xfId="5386" xr:uid="{00000000-0005-0000-0000-0000DD720000}"/>
    <cellStyle name="Normal 3 2 2 3 4 2 2 3" xfId="5385" xr:uid="{00000000-0005-0000-0000-0000DE720000}"/>
    <cellStyle name="Normal 3 2 2 3 4 2 3" xfId="29052" xr:uid="{00000000-0005-0000-0000-0000DF720000}"/>
    <cellStyle name="Normal 3 2 2 3 4 2 3 2" xfId="10417" xr:uid="{00000000-0005-0000-0000-0000E0720000}"/>
    <cellStyle name="Normal 3 2 2 3 4 2 4" xfId="10413" xr:uid="{00000000-0005-0000-0000-0000E1720000}"/>
    <cellStyle name="Normal 3 2 2 3 4 3" xfId="8980" xr:uid="{00000000-0005-0000-0000-0000E2720000}"/>
    <cellStyle name="Normal 3 2 2 3 4 3 2" xfId="9095" xr:uid="{00000000-0005-0000-0000-0000E3720000}"/>
    <cellStyle name="Normal 3 2 2 3 4 3 2 2" xfId="31866" xr:uid="{00000000-0005-0000-0000-0000E4720000}"/>
    <cellStyle name="Normal 3 2 2 3 4 3 3" xfId="14312" xr:uid="{00000000-0005-0000-0000-0000E5720000}"/>
    <cellStyle name="Normal 3 2 2 3 4 4" xfId="18201" xr:uid="{00000000-0005-0000-0000-0000E6720000}"/>
    <cellStyle name="Normal 3 2 2 3 4 4 2" xfId="7079" xr:uid="{00000000-0005-0000-0000-0000E7720000}"/>
    <cellStyle name="Normal 3 2 2 3 4 5" xfId="19193" xr:uid="{00000000-0005-0000-0000-0000E8720000}"/>
    <cellStyle name="Normal 3 2 2 3 5" xfId="21670" xr:uid="{00000000-0005-0000-0000-0000E9720000}"/>
    <cellStyle name="Normal 3 2 2 3 5 2" xfId="9091" xr:uid="{00000000-0005-0000-0000-0000EA720000}"/>
    <cellStyle name="Normal 3 2 2 3 5 2 2" xfId="7536" xr:uid="{00000000-0005-0000-0000-0000EB720000}"/>
    <cellStyle name="Normal 3 2 2 3 5 2 2 2" xfId="15307" xr:uid="{00000000-0005-0000-0000-0000EC720000}"/>
    <cellStyle name="Normal 3 2 2 3 5 2 3" xfId="6123" xr:uid="{00000000-0005-0000-0000-0000ED720000}"/>
    <cellStyle name="Normal 3 2 2 3 5 3" xfId="17722" xr:uid="{00000000-0005-0000-0000-0000EE720000}"/>
    <cellStyle name="Normal 3 2 2 3 5 3 2" xfId="6121" xr:uid="{00000000-0005-0000-0000-0000EF720000}"/>
    <cellStyle name="Normal 3 2 2 3 5 4" xfId="5383" xr:uid="{00000000-0005-0000-0000-0000F0720000}"/>
    <cellStyle name="Normal 3 2 2 3 6" xfId="9084" xr:uid="{00000000-0005-0000-0000-0000F1720000}"/>
    <cellStyle name="Normal 3 2 2 3 6 2" xfId="17709" xr:uid="{00000000-0005-0000-0000-0000F2720000}"/>
    <cellStyle name="Normal 3 2 2 3 6 2 2" xfId="7038" xr:uid="{00000000-0005-0000-0000-0000F3720000}"/>
    <cellStyle name="Normal 3 2 2 3 6 3" xfId="5381" xr:uid="{00000000-0005-0000-0000-0000F4720000}"/>
    <cellStyle name="Normal 3 2 2 3 7" xfId="9079" xr:uid="{00000000-0005-0000-0000-0000F5720000}"/>
    <cellStyle name="Normal 3 2 2 3 7 2" xfId="5378" xr:uid="{00000000-0005-0000-0000-0000F6720000}"/>
    <cellStyle name="Normal 3 2 2 3 8" xfId="5376" xr:uid="{00000000-0005-0000-0000-0000F7720000}"/>
    <cellStyle name="Normal 3 2 2 4" xfId="33174" xr:uid="{00000000-0005-0000-0000-0000F8720000}"/>
    <cellStyle name="Normal 3 2 2 4 2" xfId="9073" xr:uid="{00000000-0005-0000-0000-0000F9720000}"/>
    <cellStyle name="Normal 3 2 2 4 2 2" xfId="9069" xr:uid="{00000000-0005-0000-0000-0000FA720000}"/>
    <cellStyle name="Normal 3 2 2 4 2 2 2" xfId="17627" xr:uid="{00000000-0005-0000-0000-0000FB720000}"/>
    <cellStyle name="Normal 3 2 2 4 2 2 2 2" xfId="28054" xr:uid="{00000000-0005-0000-0000-0000FC720000}"/>
    <cellStyle name="Normal 3 2 2 4 2 2 2 2 2" xfId="33047" xr:uid="{00000000-0005-0000-0000-0000FD720000}"/>
    <cellStyle name="Normal 3 2 2 4 2 2 2 2 2 2" xfId="5372" xr:uid="{00000000-0005-0000-0000-0000FE720000}"/>
    <cellStyle name="Normal 3 2 2 4 2 2 2 2 3" xfId="25292" xr:uid="{00000000-0005-0000-0000-0000FF720000}"/>
    <cellStyle name="Normal 3 2 2 4 2 2 2 3" xfId="20071" xr:uid="{00000000-0005-0000-0000-000000730000}"/>
    <cellStyle name="Normal 3 2 2 4 2 2 2 3 2" xfId="29788" xr:uid="{00000000-0005-0000-0000-000001730000}"/>
    <cellStyle name="Normal 3 2 2 4 2 2 2 4" xfId="20061" xr:uid="{00000000-0005-0000-0000-000002730000}"/>
    <cellStyle name="Normal 3 2 2 4 2 2 3" xfId="17623" xr:uid="{00000000-0005-0000-0000-000003730000}"/>
    <cellStyle name="Normal 3 2 2 4 2 2 3 2" xfId="31834" xr:uid="{00000000-0005-0000-0000-000004730000}"/>
    <cellStyle name="Normal 3 2 2 4 2 2 3 2 2" xfId="31831" xr:uid="{00000000-0005-0000-0000-000005730000}"/>
    <cellStyle name="Normal 3 2 2 4 2 2 3 3" xfId="28081" xr:uid="{00000000-0005-0000-0000-000006730000}"/>
    <cellStyle name="Normal 3 2 2 4 2 2 4" xfId="10379" xr:uid="{00000000-0005-0000-0000-000007730000}"/>
    <cellStyle name="Normal 3 2 2 4 2 2 4 2" xfId="33414" xr:uid="{00000000-0005-0000-0000-000008730000}"/>
    <cellStyle name="Normal 3 2 2 4 2 2 5" xfId="10375" xr:uid="{00000000-0005-0000-0000-000009730000}"/>
    <cellStyle name="Normal 3 2 2 4 2 3" xfId="25469" xr:uid="{00000000-0005-0000-0000-00000A730000}"/>
    <cellStyle name="Normal 3 2 2 4 2 3 2" xfId="17620" xr:uid="{00000000-0005-0000-0000-00000B730000}"/>
    <cellStyle name="Normal 3 2 2 4 2 3 2 2" xfId="34294" xr:uid="{00000000-0005-0000-0000-00000C730000}"/>
    <cellStyle name="Normal 3 2 2 4 2 3 2 2 2" xfId="13094" xr:uid="{00000000-0005-0000-0000-00000D730000}"/>
    <cellStyle name="Normal 3 2 2 4 2 3 2 3" xfId="25996" xr:uid="{00000000-0005-0000-0000-00000E730000}"/>
    <cellStyle name="Normal 3 2 2 4 2 3 3" xfId="10369" xr:uid="{00000000-0005-0000-0000-00000F730000}"/>
    <cellStyle name="Normal 3 2 2 4 2 3 3 2" xfId="33371" xr:uid="{00000000-0005-0000-0000-000010730000}"/>
    <cellStyle name="Normal 3 2 2 4 2 3 4" xfId="10366" xr:uid="{00000000-0005-0000-0000-000011730000}"/>
    <cellStyle name="Normal 3 2 2 4 2 4" xfId="25457" xr:uid="{00000000-0005-0000-0000-000012730000}"/>
    <cellStyle name="Normal 3 2 2 4 2 4 2" xfId="9064" xr:uid="{00000000-0005-0000-0000-000013730000}"/>
    <cellStyle name="Normal 3 2 2 4 2 4 2 2" xfId="34175" xr:uid="{00000000-0005-0000-0000-000014730000}"/>
    <cellStyle name="Normal 3 2 2 4 2 4 3" xfId="10362" xr:uid="{00000000-0005-0000-0000-000015730000}"/>
    <cellStyle name="Normal 3 2 2 4 2 5" xfId="21850" xr:uid="{00000000-0005-0000-0000-000016730000}"/>
    <cellStyle name="Normal 3 2 2 4 2 5 2" xfId="7044" xr:uid="{00000000-0005-0000-0000-000017730000}"/>
    <cellStyle name="Normal 3 2 2 4 2 6" xfId="18235" xr:uid="{00000000-0005-0000-0000-000018730000}"/>
    <cellStyle name="Normal 3 2 2 4 3" xfId="30601" xr:uid="{00000000-0005-0000-0000-000019730000}"/>
    <cellStyle name="Normal 3 2 2 4 3 2" xfId="9060" xr:uid="{00000000-0005-0000-0000-00001A730000}"/>
    <cellStyle name="Normal 3 2 2 4 3 2 2" xfId="17516" xr:uid="{00000000-0005-0000-0000-00001B730000}"/>
    <cellStyle name="Normal 3 2 2 4 3 2 2 2" xfId="23465" xr:uid="{00000000-0005-0000-0000-00001C730000}"/>
    <cellStyle name="Normal 3 2 2 4 3 2 2 2 2" xfId="23457" xr:uid="{00000000-0005-0000-0000-00001D730000}"/>
    <cellStyle name="Normal 3 2 2 4 3 2 2 3" xfId="20001" xr:uid="{00000000-0005-0000-0000-00001E730000}"/>
    <cellStyle name="Normal 3 2 2 4 3 2 3" xfId="12024" xr:uid="{00000000-0005-0000-0000-00001F730000}"/>
    <cellStyle name="Normal 3 2 2 4 3 2 3 2" xfId="15607" xr:uid="{00000000-0005-0000-0000-000020730000}"/>
    <cellStyle name="Normal 3 2 2 4 3 2 4" xfId="10350" xr:uid="{00000000-0005-0000-0000-000021730000}"/>
    <cellStyle name="Normal 3 2 2 4 3 3" xfId="25452" xr:uid="{00000000-0005-0000-0000-000022730000}"/>
    <cellStyle name="Normal 3 2 2 4 3 3 2" xfId="9056" xr:uid="{00000000-0005-0000-0000-000023730000}"/>
    <cellStyle name="Normal 3 2 2 4 3 3 2 2" xfId="22833" xr:uid="{00000000-0005-0000-0000-000024730000}"/>
    <cellStyle name="Normal 3 2 2 4 3 3 3" xfId="10347" xr:uid="{00000000-0005-0000-0000-000025730000}"/>
    <cellStyle name="Normal 3 2 2 4 3 4" xfId="21842" xr:uid="{00000000-0005-0000-0000-000026730000}"/>
    <cellStyle name="Normal 3 2 2 4 3 4 2" xfId="5371" xr:uid="{00000000-0005-0000-0000-000027730000}"/>
    <cellStyle name="Normal 3 2 2 4 3 5" xfId="5370" xr:uid="{00000000-0005-0000-0000-000028730000}"/>
    <cellStyle name="Normal 3 2 2 4 4" xfId="21664" xr:uid="{00000000-0005-0000-0000-000029730000}"/>
    <cellStyle name="Normal 3 2 2 4 4 2" xfId="9052" xr:uid="{00000000-0005-0000-0000-00002A730000}"/>
    <cellStyle name="Normal 3 2 2 4 4 2 2" xfId="9047" xr:uid="{00000000-0005-0000-0000-00002B730000}"/>
    <cellStyle name="Normal 3 2 2 4 4 2 2 2" xfId="20930" xr:uid="{00000000-0005-0000-0000-00002C730000}"/>
    <cellStyle name="Normal 3 2 2 4 4 2 3" xfId="10337" xr:uid="{00000000-0005-0000-0000-00002D730000}"/>
    <cellStyle name="Normal 3 2 2 4 4 3" xfId="31114" xr:uid="{00000000-0005-0000-0000-00002E730000}"/>
    <cellStyle name="Normal 3 2 2 4 4 3 2" xfId="32488" xr:uid="{00000000-0005-0000-0000-00002F730000}"/>
    <cellStyle name="Normal 3 2 2 4 4 4" xfId="5369" xr:uid="{00000000-0005-0000-0000-000030730000}"/>
    <cellStyle name="Normal 3 2 2 4 5" xfId="9043" xr:uid="{00000000-0005-0000-0000-000031730000}"/>
    <cellStyle name="Normal 3 2 2 4 5 2" xfId="9039" xr:uid="{00000000-0005-0000-0000-000032730000}"/>
    <cellStyle name="Normal 3 2 2 4 5 2 2" xfId="6119" xr:uid="{00000000-0005-0000-0000-000033730000}"/>
    <cellStyle name="Normal 3 2 2 4 5 3" xfId="5366" xr:uid="{00000000-0005-0000-0000-000034730000}"/>
    <cellStyle name="Normal 3 2 2 4 6" xfId="9034" xr:uid="{00000000-0005-0000-0000-000035730000}"/>
    <cellStyle name="Normal 3 2 2 4 6 2" xfId="5363" xr:uid="{00000000-0005-0000-0000-000036730000}"/>
    <cellStyle name="Normal 3 2 2 4 7" xfId="9913" xr:uid="{00000000-0005-0000-0000-000037730000}"/>
    <cellStyle name="Normal 3 2 2 5" xfId="6403" xr:uid="{00000000-0005-0000-0000-000038730000}"/>
    <cellStyle name="Normal 3 2 2 5 2" xfId="9029" xr:uid="{00000000-0005-0000-0000-000039730000}"/>
    <cellStyle name="Normal 3 2 2 5 2 2" xfId="11342" xr:uid="{00000000-0005-0000-0000-00003A730000}"/>
    <cellStyle name="Normal 3 2 2 5 2 2 2" xfId="17227" xr:uid="{00000000-0005-0000-0000-00003B730000}"/>
    <cellStyle name="Normal 3 2 2 5 2 2 2 2" xfId="9026" xr:uid="{00000000-0005-0000-0000-00003C730000}"/>
    <cellStyle name="Normal 3 2 2 5 2 2 2 2 2" xfId="5360" xr:uid="{00000000-0005-0000-0000-00003D730000}"/>
    <cellStyle name="Normal 3 2 2 5 2 2 2 3" xfId="5359" xr:uid="{00000000-0005-0000-0000-00003E730000}"/>
    <cellStyle name="Normal 3 2 2 5 2 2 3" xfId="10317" xr:uid="{00000000-0005-0000-0000-00003F730000}"/>
    <cellStyle name="Normal 3 2 2 5 2 2 3 2" xfId="10314" xr:uid="{00000000-0005-0000-0000-000040730000}"/>
    <cellStyle name="Normal 3 2 2 5 2 2 4" xfId="10311" xr:uid="{00000000-0005-0000-0000-000041730000}"/>
    <cellStyle name="Normal 3 2 2 5 2 3" xfId="25535" xr:uid="{00000000-0005-0000-0000-000042730000}"/>
    <cellStyle name="Normal 3 2 2 5 2 3 2" xfId="9021" xr:uid="{00000000-0005-0000-0000-000043730000}"/>
    <cellStyle name="Normal 3 2 2 5 2 3 2 2" xfId="5356" xr:uid="{00000000-0005-0000-0000-000044730000}"/>
    <cellStyle name="Normal 3 2 2 5 2 3 3" xfId="10306" xr:uid="{00000000-0005-0000-0000-000045730000}"/>
    <cellStyle name="Normal 3 2 2 5 2 4" xfId="13030" xr:uid="{00000000-0005-0000-0000-000046730000}"/>
    <cellStyle name="Normal 3 2 2 5 2 4 2" xfId="5355" xr:uid="{00000000-0005-0000-0000-000047730000}"/>
    <cellStyle name="Normal 3 2 2 5 2 5" xfId="5354" xr:uid="{00000000-0005-0000-0000-000048730000}"/>
    <cellStyle name="Normal 3 2 2 5 3" xfId="23460" xr:uid="{00000000-0005-0000-0000-000049730000}"/>
    <cellStyle name="Normal 3 2 2 5 3 2" xfId="9016" xr:uid="{00000000-0005-0000-0000-00004A730000}"/>
    <cellStyle name="Normal 3 2 2 5 3 2 2" xfId="9013" xr:uid="{00000000-0005-0000-0000-00004B730000}"/>
    <cellStyle name="Normal 3 2 2 5 3 2 2 2" xfId="18269" xr:uid="{00000000-0005-0000-0000-00004C730000}"/>
    <cellStyle name="Normal 3 2 2 5 3 2 3" xfId="10300" xr:uid="{00000000-0005-0000-0000-00004D730000}"/>
    <cellStyle name="Normal 3 2 2 5 3 3" xfId="23136" xr:uid="{00000000-0005-0000-0000-00004E730000}"/>
    <cellStyle name="Normal 3 2 2 5 3 3 2" xfId="5352" xr:uid="{00000000-0005-0000-0000-00004F730000}"/>
    <cellStyle name="Normal 3 2 2 5 3 4" xfId="5351" xr:uid="{00000000-0005-0000-0000-000050730000}"/>
    <cellStyle name="Normal 3 2 2 5 4" xfId="17855" xr:uid="{00000000-0005-0000-0000-000051730000}"/>
    <cellStyle name="Normal 3 2 2 5 4 2" xfId="9009" xr:uid="{00000000-0005-0000-0000-000052730000}"/>
    <cellStyle name="Normal 3 2 2 5 4 2 2" xfId="6950" xr:uid="{00000000-0005-0000-0000-000053730000}"/>
    <cellStyle name="Normal 3 2 2 5 4 3" xfId="5350" xr:uid="{00000000-0005-0000-0000-000054730000}"/>
    <cellStyle name="Normal 3 2 2 5 5" xfId="17633" xr:uid="{00000000-0005-0000-0000-000055730000}"/>
    <cellStyle name="Normal 3 2 2 5 5 2" xfId="5348" xr:uid="{00000000-0005-0000-0000-000056730000}"/>
    <cellStyle name="Normal 3 2 2 5 6" xfId="17629" xr:uid="{00000000-0005-0000-0000-000057730000}"/>
    <cellStyle name="Normal 3 2 2 6" xfId="9005" xr:uid="{00000000-0005-0000-0000-000058730000}"/>
    <cellStyle name="Normal 3 2 2 6 2" xfId="9002" xr:uid="{00000000-0005-0000-0000-000059730000}"/>
    <cellStyle name="Normal 3 2 2 6 2 2" xfId="8998" xr:uid="{00000000-0005-0000-0000-00005A730000}"/>
    <cellStyle name="Normal 3 2 2 6 2 2 2" xfId="27390" xr:uid="{00000000-0005-0000-0000-00005B730000}"/>
    <cellStyle name="Normal 3 2 2 6 2 2 2 2" xfId="28604" xr:uid="{00000000-0005-0000-0000-00005C730000}"/>
    <cellStyle name="Normal 3 2 2 6 2 2 3" xfId="26643" xr:uid="{00000000-0005-0000-0000-00005D730000}"/>
    <cellStyle name="Normal 3 2 2 6 2 3" xfId="23129" xr:uid="{00000000-0005-0000-0000-00005E730000}"/>
    <cellStyle name="Normal 3 2 2 6 2 3 2" xfId="5345" xr:uid="{00000000-0005-0000-0000-00005F730000}"/>
    <cellStyle name="Normal 3 2 2 6 2 4" xfId="5827" xr:uid="{00000000-0005-0000-0000-000060730000}"/>
    <cellStyle name="Normal 3 2 2 6 3" xfId="8994" xr:uid="{00000000-0005-0000-0000-000061730000}"/>
    <cellStyle name="Normal 3 2 2 6 3 2" xfId="8990" xr:uid="{00000000-0005-0000-0000-000062730000}"/>
    <cellStyle name="Normal 3 2 2 6 3 2 2" xfId="17107" xr:uid="{00000000-0005-0000-0000-000063730000}"/>
    <cellStyle name="Normal 3 2 2 6 3 3" xfId="5344" xr:uid="{00000000-0005-0000-0000-000064730000}"/>
    <cellStyle name="Normal 3 2 2 6 4" xfId="31177" xr:uid="{00000000-0005-0000-0000-000065730000}"/>
    <cellStyle name="Normal 3 2 2 6 4 2" xfId="5343" xr:uid="{00000000-0005-0000-0000-000066730000}"/>
    <cellStyle name="Normal 3 2 2 6 5" xfId="21703" xr:uid="{00000000-0005-0000-0000-000067730000}"/>
    <cellStyle name="Normal 3 2 2 7" xfId="14210" xr:uid="{00000000-0005-0000-0000-000068730000}"/>
    <cellStyle name="Normal 3 2 2 7 2" xfId="5340" xr:uid="{00000000-0005-0000-0000-000069730000}"/>
    <cellStyle name="Normal 3 2 2 7 2 2" xfId="5337" xr:uid="{00000000-0005-0000-0000-00006A730000}"/>
    <cellStyle name="Normal 3 2 2 7 2 2 2" xfId="5335" xr:uid="{00000000-0005-0000-0000-00006B730000}"/>
    <cellStyle name="Normal 3 2 2 7 2 3" xfId="16832" xr:uid="{00000000-0005-0000-0000-00006C730000}"/>
    <cellStyle name="Normal 3 2 2 7 3" xfId="5334" xr:uid="{00000000-0005-0000-0000-00006D730000}"/>
    <cellStyle name="Normal 3 2 2 7 3 2" xfId="5331" xr:uid="{00000000-0005-0000-0000-00006E730000}"/>
    <cellStyle name="Normal 3 2 2 7 4" xfId="31166" xr:uid="{00000000-0005-0000-0000-00006F730000}"/>
    <cellStyle name="Normal 3 2 2 8" xfId="14206" xr:uid="{00000000-0005-0000-0000-000070730000}"/>
    <cellStyle name="Normal 3 2 2 8 2" xfId="8087" xr:uid="{00000000-0005-0000-0000-000071730000}"/>
    <cellStyle name="Normal 3 2 2 8 2 2" xfId="29186" xr:uid="{00000000-0005-0000-0000-000072730000}"/>
    <cellStyle name="Normal 3 2 2 8 3" xfId="9629" xr:uid="{00000000-0005-0000-0000-000073730000}"/>
    <cellStyle name="Normal 3 2 2 9" xfId="9625" xr:uid="{00000000-0005-0000-0000-000074730000}"/>
    <cellStyle name="Normal 3 2 2 9 2" xfId="9621" xr:uid="{00000000-0005-0000-0000-000075730000}"/>
    <cellStyle name="Normal 3 2 20" xfId="5553" xr:uid="{00000000-0005-0000-0000-000076730000}"/>
    <cellStyle name="Normal 3 2 3" xfId="33198" xr:uid="{00000000-0005-0000-0000-000077730000}"/>
    <cellStyle name="Normal 3 2 3 2" xfId="15176" xr:uid="{00000000-0005-0000-0000-000078730000}"/>
    <cellStyle name="Normal 3 2 3 2 2" xfId="7379" xr:uid="{00000000-0005-0000-0000-000079730000}"/>
    <cellStyle name="Normal 3 2 3 2 2 2" xfId="7376" xr:uid="{00000000-0005-0000-0000-00007A730000}"/>
    <cellStyle name="Normal 3 2 3 2 2 2 2" xfId="28387" xr:uid="{00000000-0005-0000-0000-00007B730000}"/>
    <cellStyle name="Normal 3 2 3 2 2 2 2 2" xfId="21726" xr:uid="{00000000-0005-0000-0000-00007C730000}"/>
    <cellStyle name="Normal 3 2 3 2 2 2 2 2 2" xfId="7373" xr:uid="{00000000-0005-0000-0000-00007D730000}"/>
    <cellStyle name="Normal 3 2 3 2 2 2 2 2 2 2" xfId="5330" xr:uid="{00000000-0005-0000-0000-00007E730000}"/>
    <cellStyle name="Normal 3 2 3 2 2 2 2 2 2 2 2" xfId="5329" xr:uid="{00000000-0005-0000-0000-00007F730000}"/>
    <cellStyle name="Normal 3 2 3 2 2 2 2 2 2 3" xfId="22737" xr:uid="{00000000-0005-0000-0000-000080730000}"/>
    <cellStyle name="Normal 3 2 3 2 2 2 2 2 3" xfId="7368" xr:uid="{00000000-0005-0000-0000-000081730000}"/>
    <cellStyle name="Normal 3 2 3 2 2 2 2 2 3 2" xfId="5328" xr:uid="{00000000-0005-0000-0000-000082730000}"/>
    <cellStyle name="Normal 3 2 3 2 2 2 2 2 4" xfId="7362" xr:uid="{00000000-0005-0000-0000-000083730000}"/>
    <cellStyle name="Normal 3 2 3 2 2 2 2 3" xfId="6338" xr:uid="{00000000-0005-0000-0000-000084730000}"/>
    <cellStyle name="Normal 3 2 3 2 2 2 2 3 2" xfId="7357" xr:uid="{00000000-0005-0000-0000-000085730000}"/>
    <cellStyle name="Normal 3 2 3 2 2 2 2 3 2 2" xfId="5326" xr:uid="{00000000-0005-0000-0000-000086730000}"/>
    <cellStyle name="Normal 3 2 3 2 2 2 2 3 3" xfId="7353" xr:uid="{00000000-0005-0000-0000-000087730000}"/>
    <cellStyle name="Normal 3 2 3 2 2 2 2 4" xfId="6336" xr:uid="{00000000-0005-0000-0000-000088730000}"/>
    <cellStyle name="Normal 3 2 3 2 2 2 2 4 2" xfId="7349" xr:uid="{00000000-0005-0000-0000-000089730000}"/>
    <cellStyle name="Normal 3 2 3 2 2 2 2 5" xfId="33950" xr:uid="{00000000-0005-0000-0000-00008A730000}"/>
    <cellStyle name="Normal 3 2 3 2 2 2 3" xfId="33384" xr:uid="{00000000-0005-0000-0000-00008B730000}"/>
    <cellStyle name="Normal 3 2 3 2 2 2 3 2" xfId="9867" xr:uid="{00000000-0005-0000-0000-00008C730000}"/>
    <cellStyle name="Normal 3 2 3 2 2 2 3 2 2" xfId="7344" xr:uid="{00000000-0005-0000-0000-00008D730000}"/>
    <cellStyle name="Normal 3 2 3 2 2 2 3 2 2 2" xfId="5324" xr:uid="{00000000-0005-0000-0000-00008E730000}"/>
    <cellStyle name="Normal 3 2 3 2 2 2 3 2 3" xfId="29860" xr:uid="{00000000-0005-0000-0000-00008F730000}"/>
    <cellStyle name="Normal 3 2 3 2 2 2 3 3" xfId="9856" xr:uid="{00000000-0005-0000-0000-000090730000}"/>
    <cellStyle name="Normal 3 2 3 2 2 2 3 3 2" xfId="7340" xr:uid="{00000000-0005-0000-0000-000091730000}"/>
    <cellStyle name="Normal 3 2 3 2 2 2 3 4" xfId="31402" xr:uid="{00000000-0005-0000-0000-000092730000}"/>
    <cellStyle name="Normal 3 2 3 2 2 2 4" xfId="9848" xr:uid="{00000000-0005-0000-0000-000093730000}"/>
    <cellStyle name="Normal 3 2 3 2 2 2 4 2" xfId="9842" xr:uid="{00000000-0005-0000-0000-000094730000}"/>
    <cellStyle name="Normal 3 2 3 2 2 2 4 2 2" xfId="30369" xr:uid="{00000000-0005-0000-0000-000095730000}"/>
    <cellStyle name="Normal 3 2 3 2 2 2 4 3" xfId="9833" xr:uid="{00000000-0005-0000-0000-000096730000}"/>
    <cellStyle name="Normal 3 2 3 2 2 2 5" xfId="9829" xr:uid="{00000000-0005-0000-0000-000097730000}"/>
    <cellStyle name="Normal 3 2 3 2 2 2 5 2" xfId="23004" xr:uid="{00000000-0005-0000-0000-000098730000}"/>
    <cellStyle name="Normal 3 2 3 2 2 2 6" xfId="9825" xr:uid="{00000000-0005-0000-0000-000099730000}"/>
    <cellStyle name="Normal 3 2 3 2 2 3" xfId="31583" xr:uid="{00000000-0005-0000-0000-00009A730000}"/>
    <cellStyle name="Normal 3 2 3 2 2 3 2" xfId="21625" xr:uid="{00000000-0005-0000-0000-00009B730000}"/>
    <cellStyle name="Normal 3 2 3 2 2 3 2 2" xfId="7336" xr:uid="{00000000-0005-0000-0000-00009C730000}"/>
    <cellStyle name="Normal 3 2 3 2 2 3 2 2 2" xfId="5322" xr:uid="{00000000-0005-0000-0000-00009D730000}"/>
    <cellStyle name="Normal 3 2 3 2 2 3 2 2 2 2" xfId="5321" xr:uid="{00000000-0005-0000-0000-00009E730000}"/>
    <cellStyle name="Normal 3 2 3 2 2 3 2 2 3" xfId="5320" xr:uid="{00000000-0005-0000-0000-00009F730000}"/>
    <cellStyle name="Normal 3 2 3 2 2 3 2 3" xfId="25700" xr:uid="{00000000-0005-0000-0000-0000A0730000}"/>
    <cellStyle name="Normal 3 2 3 2 2 3 2 3 2" xfId="24263" xr:uid="{00000000-0005-0000-0000-0000A1730000}"/>
    <cellStyle name="Normal 3 2 3 2 2 3 2 4" xfId="5319" xr:uid="{00000000-0005-0000-0000-0000A2730000}"/>
    <cellStyle name="Normal 3 2 3 2 2 3 3" xfId="5318" xr:uid="{00000000-0005-0000-0000-0000A3730000}"/>
    <cellStyle name="Normal 3 2 3 2 2 3 3 2" xfId="5317" xr:uid="{00000000-0005-0000-0000-0000A4730000}"/>
    <cellStyle name="Normal 3 2 3 2 2 3 3 2 2" xfId="5316" xr:uid="{00000000-0005-0000-0000-0000A5730000}"/>
    <cellStyle name="Normal 3 2 3 2 2 3 3 3" xfId="5315" xr:uid="{00000000-0005-0000-0000-0000A6730000}"/>
    <cellStyle name="Normal 3 2 3 2 2 3 4" xfId="16976" xr:uid="{00000000-0005-0000-0000-0000A7730000}"/>
    <cellStyle name="Normal 3 2 3 2 2 3 4 2" xfId="16974" xr:uid="{00000000-0005-0000-0000-0000A8730000}"/>
    <cellStyle name="Normal 3 2 3 2 2 3 5" xfId="16945" xr:uid="{00000000-0005-0000-0000-0000A9730000}"/>
    <cellStyle name="Normal 3 2 3 2 2 4" xfId="5314" xr:uid="{00000000-0005-0000-0000-0000AA730000}"/>
    <cellStyle name="Normal 3 2 3 2 2 4 2" xfId="5313" xr:uid="{00000000-0005-0000-0000-0000AB730000}"/>
    <cellStyle name="Normal 3 2 3 2 2 4 2 2" xfId="5312" xr:uid="{00000000-0005-0000-0000-0000AC730000}"/>
    <cellStyle name="Normal 3 2 3 2 2 4 2 2 2" xfId="5311" xr:uid="{00000000-0005-0000-0000-0000AD730000}"/>
    <cellStyle name="Normal 3 2 3 2 2 4 2 3" xfId="22030" xr:uid="{00000000-0005-0000-0000-0000AE730000}"/>
    <cellStyle name="Normal 3 2 3 2 2 4 3" xfId="5310" xr:uid="{00000000-0005-0000-0000-0000AF730000}"/>
    <cellStyle name="Normal 3 2 3 2 2 4 3 2" xfId="5308" xr:uid="{00000000-0005-0000-0000-0000B0730000}"/>
    <cellStyle name="Normal 3 2 3 2 2 4 4" xfId="16928" xr:uid="{00000000-0005-0000-0000-0000B1730000}"/>
    <cellStyle name="Normal 3 2 3 2 2 5" xfId="5306" xr:uid="{00000000-0005-0000-0000-0000B2730000}"/>
    <cellStyle name="Normal 3 2 3 2 2 5 2" xfId="7008" xr:uid="{00000000-0005-0000-0000-0000B3730000}"/>
    <cellStyle name="Normal 3 2 3 2 2 5 2 2" xfId="33644" xr:uid="{00000000-0005-0000-0000-0000B4730000}"/>
    <cellStyle name="Normal 3 2 3 2 2 5 3" xfId="7006" xr:uid="{00000000-0005-0000-0000-0000B5730000}"/>
    <cellStyle name="Normal 3 2 3 2 2 6" xfId="5305" xr:uid="{00000000-0005-0000-0000-0000B6730000}"/>
    <cellStyle name="Normal 3 2 3 2 2 6 2" xfId="11615" xr:uid="{00000000-0005-0000-0000-0000B7730000}"/>
    <cellStyle name="Normal 3 2 3 2 2 7" xfId="11505" xr:uid="{00000000-0005-0000-0000-0000B8730000}"/>
    <cellStyle name="Normal 3 2 3 2 3" xfId="29295" xr:uid="{00000000-0005-0000-0000-0000B9730000}"/>
    <cellStyle name="Normal 3 2 3 2 3 2" xfId="5304" xr:uid="{00000000-0005-0000-0000-0000BA730000}"/>
    <cellStyle name="Normal 3 2 3 2 3 2 2" xfId="5303" xr:uid="{00000000-0005-0000-0000-0000BB730000}"/>
    <cellStyle name="Normal 3 2 3 2 3 2 2 2" xfId="15150" xr:uid="{00000000-0005-0000-0000-0000BC730000}"/>
    <cellStyle name="Normal 3 2 3 2 3 2 2 2 2" xfId="5302" xr:uid="{00000000-0005-0000-0000-0000BD730000}"/>
    <cellStyle name="Normal 3 2 3 2 3 2 2 2 2 2" xfId="5301" xr:uid="{00000000-0005-0000-0000-0000BE730000}"/>
    <cellStyle name="Normal 3 2 3 2 3 2 2 2 3" xfId="5300" xr:uid="{00000000-0005-0000-0000-0000BF730000}"/>
    <cellStyle name="Normal 3 2 3 2 3 2 2 3" xfId="6329" xr:uid="{00000000-0005-0000-0000-0000C0730000}"/>
    <cellStyle name="Normal 3 2 3 2 3 2 2 3 2" xfId="24541" xr:uid="{00000000-0005-0000-0000-0000C1730000}"/>
    <cellStyle name="Normal 3 2 3 2 3 2 2 4" xfId="5299" xr:uid="{00000000-0005-0000-0000-0000C2730000}"/>
    <cellStyle name="Normal 3 2 3 2 3 2 3" xfId="5297" xr:uid="{00000000-0005-0000-0000-0000C3730000}"/>
    <cellStyle name="Normal 3 2 3 2 3 2 3 2" xfId="5296" xr:uid="{00000000-0005-0000-0000-0000C4730000}"/>
    <cellStyle name="Normal 3 2 3 2 3 2 3 2 2" xfId="32805" xr:uid="{00000000-0005-0000-0000-0000C5730000}"/>
    <cellStyle name="Normal 3 2 3 2 3 2 3 3" xfId="5295" xr:uid="{00000000-0005-0000-0000-0000C6730000}"/>
    <cellStyle name="Normal 3 2 3 2 3 2 4" xfId="5293" xr:uid="{00000000-0005-0000-0000-0000C7730000}"/>
    <cellStyle name="Normal 3 2 3 2 3 2 4 2" xfId="5292" xr:uid="{00000000-0005-0000-0000-0000C8730000}"/>
    <cellStyle name="Normal 3 2 3 2 3 2 5" xfId="5291" xr:uid="{00000000-0005-0000-0000-0000C9730000}"/>
    <cellStyle name="Normal 3 2 3 2 3 3" xfId="5290" xr:uid="{00000000-0005-0000-0000-0000CA730000}"/>
    <cellStyle name="Normal 3 2 3 2 3 3 2" xfId="7538" xr:uid="{00000000-0005-0000-0000-0000CB730000}"/>
    <cellStyle name="Normal 3 2 3 2 3 3 2 2" xfId="5289" xr:uid="{00000000-0005-0000-0000-0000CC730000}"/>
    <cellStyle name="Normal 3 2 3 2 3 3 2 2 2" xfId="5288" xr:uid="{00000000-0005-0000-0000-0000CD730000}"/>
    <cellStyle name="Normal 3 2 3 2 3 3 2 3" xfId="5287" xr:uid="{00000000-0005-0000-0000-0000CE730000}"/>
    <cellStyle name="Normal 3 2 3 2 3 3 3" xfId="5285" xr:uid="{00000000-0005-0000-0000-0000CF730000}"/>
    <cellStyle name="Normal 3 2 3 2 3 3 3 2" xfId="5284" xr:uid="{00000000-0005-0000-0000-0000D0730000}"/>
    <cellStyle name="Normal 3 2 3 2 3 3 4" xfId="16872" xr:uid="{00000000-0005-0000-0000-0000D1730000}"/>
    <cellStyle name="Normal 3 2 3 2 3 4" xfId="5283" xr:uid="{00000000-0005-0000-0000-0000D2730000}"/>
    <cellStyle name="Normal 3 2 3 2 3 4 2" xfId="5282" xr:uid="{00000000-0005-0000-0000-0000D3730000}"/>
    <cellStyle name="Normal 3 2 3 2 3 4 2 2" xfId="5281" xr:uid="{00000000-0005-0000-0000-0000D4730000}"/>
    <cellStyle name="Normal 3 2 3 2 3 4 3" xfId="5280" xr:uid="{00000000-0005-0000-0000-0000D5730000}"/>
    <cellStyle name="Normal 3 2 3 2 3 5" xfId="5278" xr:uid="{00000000-0005-0000-0000-0000D6730000}"/>
    <cellStyle name="Normal 3 2 3 2 3 5 2" xfId="6998" xr:uid="{00000000-0005-0000-0000-0000D7730000}"/>
    <cellStyle name="Normal 3 2 3 2 3 6" xfId="5277" xr:uid="{00000000-0005-0000-0000-0000D8730000}"/>
    <cellStyle name="Normal 3 2 3 2 4" xfId="27957" xr:uid="{00000000-0005-0000-0000-0000D9730000}"/>
    <cellStyle name="Normal 3 2 3 2 4 2" xfId="5276" xr:uid="{00000000-0005-0000-0000-0000DA730000}"/>
    <cellStyle name="Normal 3 2 3 2 4 2 2" xfId="5275" xr:uid="{00000000-0005-0000-0000-0000DB730000}"/>
    <cellStyle name="Normal 3 2 3 2 4 2 2 2" xfId="5274" xr:uid="{00000000-0005-0000-0000-0000DC730000}"/>
    <cellStyle name="Normal 3 2 3 2 4 2 2 2 2" xfId="21203" xr:uid="{00000000-0005-0000-0000-0000DD730000}"/>
    <cellStyle name="Normal 3 2 3 2 4 2 2 3" xfId="5273" xr:uid="{00000000-0005-0000-0000-0000DE730000}"/>
    <cellStyle name="Normal 3 2 3 2 4 2 3" xfId="5271" xr:uid="{00000000-0005-0000-0000-0000DF730000}"/>
    <cellStyle name="Normal 3 2 3 2 4 2 3 2" xfId="5270" xr:uid="{00000000-0005-0000-0000-0000E0730000}"/>
    <cellStyle name="Normal 3 2 3 2 4 2 4" xfId="8064" xr:uid="{00000000-0005-0000-0000-0000E1730000}"/>
    <cellStyle name="Normal 3 2 3 2 4 3" xfId="5269" xr:uid="{00000000-0005-0000-0000-0000E2730000}"/>
    <cellStyle name="Normal 3 2 3 2 4 3 2" xfId="5268" xr:uid="{00000000-0005-0000-0000-0000E3730000}"/>
    <cellStyle name="Normal 3 2 3 2 4 3 2 2" xfId="28477" xr:uid="{00000000-0005-0000-0000-0000E4730000}"/>
    <cellStyle name="Normal 3 2 3 2 4 3 3" xfId="5267" xr:uid="{00000000-0005-0000-0000-0000E5730000}"/>
    <cellStyle name="Normal 3 2 3 2 4 4" xfId="5266" xr:uid="{00000000-0005-0000-0000-0000E6730000}"/>
    <cellStyle name="Normal 3 2 3 2 4 4 2" xfId="5265" xr:uid="{00000000-0005-0000-0000-0000E7730000}"/>
    <cellStyle name="Normal 3 2 3 2 4 5" xfId="5264" xr:uid="{00000000-0005-0000-0000-0000E8730000}"/>
    <cellStyle name="Normal 3 2 3 2 5" xfId="23788" xr:uid="{00000000-0005-0000-0000-0000E9730000}"/>
    <cellStyle name="Normal 3 2 3 2 5 2" xfId="12489" xr:uid="{00000000-0005-0000-0000-0000EA730000}"/>
    <cellStyle name="Normal 3 2 3 2 5 2 2" xfId="7492" xr:uid="{00000000-0005-0000-0000-0000EB730000}"/>
    <cellStyle name="Normal 3 2 3 2 5 2 2 2" xfId="5263" xr:uid="{00000000-0005-0000-0000-0000EC730000}"/>
    <cellStyle name="Normal 3 2 3 2 5 2 3" xfId="6110" xr:uid="{00000000-0005-0000-0000-0000ED730000}"/>
    <cellStyle name="Normal 3 2 3 2 5 3" xfId="6108" xr:uid="{00000000-0005-0000-0000-0000EE730000}"/>
    <cellStyle name="Normal 3 2 3 2 5 3 2" xfId="6106" xr:uid="{00000000-0005-0000-0000-0000EF730000}"/>
    <cellStyle name="Normal 3 2 3 2 5 4" xfId="22480" xr:uid="{00000000-0005-0000-0000-0000F0730000}"/>
    <cellStyle name="Normal 3 2 3 2 6" xfId="8155" xr:uid="{00000000-0005-0000-0000-0000F1730000}"/>
    <cellStyle name="Normal 3 2 3 2 6 2" xfId="15963" xr:uid="{00000000-0005-0000-0000-0000F2730000}"/>
    <cellStyle name="Normal 3 2 3 2 6 2 2" xfId="15959" xr:uid="{00000000-0005-0000-0000-0000F3730000}"/>
    <cellStyle name="Normal 3 2 3 2 6 3" xfId="15956" xr:uid="{00000000-0005-0000-0000-0000F4730000}"/>
    <cellStyle name="Normal 3 2 3 2 7" xfId="6103" xr:uid="{00000000-0005-0000-0000-0000F5730000}"/>
    <cellStyle name="Normal 3 2 3 2 7 2" xfId="15940" xr:uid="{00000000-0005-0000-0000-0000F6730000}"/>
    <cellStyle name="Normal 3 2 3 2 8" xfId="6099" xr:uid="{00000000-0005-0000-0000-0000F7730000}"/>
    <cellStyle name="Normal 3 2 3 3" xfId="5262" xr:uid="{00000000-0005-0000-0000-0000F8730000}"/>
    <cellStyle name="Normal 3 2 3 3 2" xfId="5261" xr:uid="{00000000-0005-0000-0000-0000F9730000}"/>
    <cellStyle name="Normal 3 2 3 3 2 2" xfId="9661" xr:uid="{00000000-0005-0000-0000-0000FA730000}"/>
    <cellStyle name="Normal 3 2 3 3 2 2 2" xfId="21048" xr:uid="{00000000-0005-0000-0000-0000FB730000}"/>
    <cellStyle name="Normal 3 2 3 3 2 2 2 2" xfId="5260" xr:uid="{00000000-0005-0000-0000-0000FC730000}"/>
    <cellStyle name="Normal 3 2 3 3 2 2 2 2 2" xfId="5259" xr:uid="{00000000-0005-0000-0000-0000FD730000}"/>
    <cellStyle name="Normal 3 2 3 3 2 2 2 2 2 2" xfId="5258" xr:uid="{00000000-0005-0000-0000-0000FE730000}"/>
    <cellStyle name="Normal 3 2 3 3 2 2 2 2 3" xfId="5257" xr:uid="{00000000-0005-0000-0000-0000FF730000}"/>
    <cellStyle name="Normal 3 2 3 3 2 2 2 3" xfId="6313" xr:uid="{00000000-0005-0000-0000-000000740000}"/>
    <cellStyle name="Normal 3 2 3 3 2 2 2 3 2" xfId="21617" xr:uid="{00000000-0005-0000-0000-000001740000}"/>
    <cellStyle name="Normal 3 2 3 3 2 2 2 4" xfId="5256" xr:uid="{00000000-0005-0000-0000-000002740000}"/>
    <cellStyle name="Normal 3 2 3 3 2 2 3" xfId="5255" xr:uid="{00000000-0005-0000-0000-000003740000}"/>
    <cellStyle name="Normal 3 2 3 3 2 2 3 2" xfId="5254" xr:uid="{00000000-0005-0000-0000-000004740000}"/>
    <cellStyle name="Normal 3 2 3 3 2 2 3 2 2" xfId="5253" xr:uid="{00000000-0005-0000-0000-000005740000}"/>
    <cellStyle name="Normal 3 2 3 3 2 2 3 3" xfId="5252" xr:uid="{00000000-0005-0000-0000-000006740000}"/>
    <cellStyle name="Normal 3 2 3 3 2 2 4" xfId="24277" xr:uid="{00000000-0005-0000-0000-000007740000}"/>
    <cellStyle name="Normal 3 2 3 3 2 2 4 2" xfId="5251" xr:uid="{00000000-0005-0000-0000-000008740000}"/>
    <cellStyle name="Normal 3 2 3 3 2 2 5" xfId="24275" xr:uid="{00000000-0005-0000-0000-000009740000}"/>
    <cellStyle name="Normal 3 2 3 3 2 3" xfId="5250" xr:uid="{00000000-0005-0000-0000-00000A740000}"/>
    <cellStyle name="Normal 3 2 3 3 2 3 2" xfId="5249" xr:uid="{00000000-0005-0000-0000-00000B740000}"/>
    <cellStyle name="Normal 3 2 3 3 2 3 2 2" xfId="5248" xr:uid="{00000000-0005-0000-0000-00000C740000}"/>
    <cellStyle name="Normal 3 2 3 3 2 3 2 2 2" xfId="12686" xr:uid="{00000000-0005-0000-0000-00000D740000}"/>
    <cellStyle name="Normal 3 2 3 3 2 3 2 3" xfId="5247" xr:uid="{00000000-0005-0000-0000-00000E740000}"/>
    <cellStyle name="Normal 3 2 3 3 2 3 3" xfId="5246" xr:uid="{00000000-0005-0000-0000-00000F740000}"/>
    <cellStyle name="Normal 3 2 3 3 2 3 3 2" xfId="5245" xr:uid="{00000000-0005-0000-0000-000010740000}"/>
    <cellStyle name="Normal 3 2 3 3 2 3 4" xfId="24271" xr:uid="{00000000-0005-0000-0000-000011740000}"/>
    <cellStyle name="Normal 3 2 3 3 2 4" xfId="5244" xr:uid="{00000000-0005-0000-0000-000012740000}"/>
    <cellStyle name="Normal 3 2 3 3 2 4 2" xfId="5243" xr:uid="{00000000-0005-0000-0000-000013740000}"/>
    <cellStyle name="Normal 3 2 3 3 2 4 2 2" xfId="5242" xr:uid="{00000000-0005-0000-0000-000014740000}"/>
    <cellStyle name="Normal 3 2 3 3 2 4 3" xfId="33750" xr:uid="{00000000-0005-0000-0000-000015740000}"/>
    <cellStyle name="Normal 3 2 3 3 2 5" xfId="5241" xr:uid="{00000000-0005-0000-0000-000016740000}"/>
    <cellStyle name="Normal 3 2 3 3 2 5 2" xfId="6986" xr:uid="{00000000-0005-0000-0000-000017740000}"/>
    <cellStyle name="Normal 3 2 3 3 2 6" xfId="15967" xr:uid="{00000000-0005-0000-0000-000018740000}"/>
    <cellStyle name="Normal 3 2 3 3 3" xfId="5240" xr:uid="{00000000-0005-0000-0000-000019740000}"/>
    <cellStyle name="Normal 3 2 3 3 3 2" xfId="5239" xr:uid="{00000000-0005-0000-0000-00001A740000}"/>
    <cellStyle name="Normal 3 2 3 3 3 2 2" xfId="5238" xr:uid="{00000000-0005-0000-0000-00001B740000}"/>
    <cellStyle name="Normal 3 2 3 3 3 2 2 2" xfId="5237" xr:uid="{00000000-0005-0000-0000-00001C740000}"/>
    <cellStyle name="Normal 3 2 3 3 3 2 2 2 2" xfId="5236" xr:uid="{00000000-0005-0000-0000-00001D740000}"/>
    <cellStyle name="Normal 3 2 3 3 3 2 2 3" xfId="5235" xr:uid="{00000000-0005-0000-0000-00001E740000}"/>
    <cellStyle name="Normal 3 2 3 3 3 2 3" xfId="5233" xr:uid="{00000000-0005-0000-0000-00001F740000}"/>
    <cellStyle name="Normal 3 2 3 3 3 2 3 2" xfId="5232" xr:uid="{00000000-0005-0000-0000-000020740000}"/>
    <cellStyle name="Normal 3 2 3 3 3 2 4" xfId="24266" xr:uid="{00000000-0005-0000-0000-000021740000}"/>
    <cellStyle name="Normal 3 2 3 3 3 3" xfId="5231" xr:uid="{00000000-0005-0000-0000-000022740000}"/>
    <cellStyle name="Normal 3 2 3 3 3 3 2" xfId="5230" xr:uid="{00000000-0005-0000-0000-000023740000}"/>
    <cellStyle name="Normal 3 2 3 3 3 3 2 2" xfId="5229" xr:uid="{00000000-0005-0000-0000-000024740000}"/>
    <cellStyle name="Normal 3 2 3 3 3 3 3" xfId="5228" xr:uid="{00000000-0005-0000-0000-000025740000}"/>
    <cellStyle name="Normal 3 2 3 3 3 4" xfId="5227" xr:uid="{00000000-0005-0000-0000-000026740000}"/>
    <cellStyle name="Normal 3 2 3 3 3 4 2" xfId="5226" xr:uid="{00000000-0005-0000-0000-000027740000}"/>
    <cellStyle name="Normal 3 2 3 3 3 5" xfId="5225" xr:uid="{00000000-0005-0000-0000-000028740000}"/>
    <cellStyle name="Normal 3 2 3 3 4" xfId="5224" xr:uid="{00000000-0005-0000-0000-000029740000}"/>
    <cellStyle name="Normal 3 2 3 3 4 2" xfId="5223" xr:uid="{00000000-0005-0000-0000-00002A740000}"/>
    <cellStyle name="Normal 3 2 3 3 4 2 2" xfId="5222" xr:uid="{00000000-0005-0000-0000-00002B740000}"/>
    <cellStyle name="Normal 3 2 3 3 4 2 2 2" xfId="5221" xr:uid="{00000000-0005-0000-0000-00002C740000}"/>
    <cellStyle name="Normal 3 2 3 3 4 2 3" xfId="5220" xr:uid="{00000000-0005-0000-0000-00002D740000}"/>
    <cellStyle name="Normal 3 2 3 3 4 3" xfId="5219" xr:uid="{00000000-0005-0000-0000-00002E740000}"/>
    <cellStyle name="Normal 3 2 3 3 4 3 2" xfId="5218" xr:uid="{00000000-0005-0000-0000-00002F740000}"/>
    <cellStyle name="Normal 3 2 3 3 4 4" xfId="5217" xr:uid="{00000000-0005-0000-0000-000030740000}"/>
    <cellStyle name="Normal 3 2 3 3 5" xfId="27462" xr:uid="{00000000-0005-0000-0000-000031740000}"/>
    <cellStyle name="Normal 3 2 3 3 5 2" xfId="17601" xr:uid="{00000000-0005-0000-0000-000032740000}"/>
    <cellStyle name="Normal 3 2 3 3 5 2 2" xfId="12658" xr:uid="{00000000-0005-0000-0000-000033740000}"/>
    <cellStyle name="Normal 3 2 3 3 5 3" xfId="17594" xr:uid="{00000000-0005-0000-0000-000034740000}"/>
    <cellStyle name="Normal 3 2 3 3 6" xfId="17586" xr:uid="{00000000-0005-0000-0000-000035740000}"/>
    <cellStyle name="Normal 3 2 3 3 6 2" xfId="17582" xr:uid="{00000000-0005-0000-0000-000036740000}"/>
    <cellStyle name="Normal 3 2 3 3 7" xfId="27663" xr:uid="{00000000-0005-0000-0000-000037740000}"/>
    <cellStyle name="Normal 3 2 3 4" xfId="5216" xr:uid="{00000000-0005-0000-0000-000038740000}"/>
    <cellStyle name="Normal 3 2 3 4 2" xfId="5215" xr:uid="{00000000-0005-0000-0000-000039740000}"/>
    <cellStyle name="Normal 3 2 3 4 2 2" xfId="5214" xr:uid="{00000000-0005-0000-0000-00003A740000}"/>
    <cellStyle name="Normal 3 2 3 4 2 2 2" xfId="5213" xr:uid="{00000000-0005-0000-0000-00003B740000}"/>
    <cellStyle name="Normal 3 2 3 4 2 2 2 2" xfId="5212" xr:uid="{00000000-0005-0000-0000-00003C740000}"/>
    <cellStyle name="Normal 3 2 3 4 2 2 2 2 2" xfId="5211" xr:uid="{00000000-0005-0000-0000-00003D740000}"/>
    <cellStyle name="Normal 3 2 3 4 2 2 2 3" xfId="19682" xr:uid="{00000000-0005-0000-0000-00003E740000}"/>
    <cellStyle name="Normal 3 2 3 4 2 2 3" xfId="26525" xr:uid="{00000000-0005-0000-0000-00003F740000}"/>
    <cellStyle name="Normal 3 2 3 4 2 2 3 2" xfId="5210" xr:uid="{00000000-0005-0000-0000-000040740000}"/>
    <cellStyle name="Normal 3 2 3 4 2 2 4" xfId="24251" xr:uid="{00000000-0005-0000-0000-000041740000}"/>
    <cellStyle name="Normal 3 2 3 4 2 3" xfId="27683" xr:uid="{00000000-0005-0000-0000-000042740000}"/>
    <cellStyle name="Normal 3 2 3 4 2 3 2" xfId="11476" xr:uid="{00000000-0005-0000-0000-000043740000}"/>
    <cellStyle name="Normal 3 2 3 4 2 3 2 2" xfId="5209" xr:uid="{00000000-0005-0000-0000-000044740000}"/>
    <cellStyle name="Normal 3 2 3 4 2 3 3" xfId="11469" xr:uid="{00000000-0005-0000-0000-000045740000}"/>
    <cellStyle name="Normal 3 2 3 4 2 4" xfId="5208" xr:uid="{00000000-0005-0000-0000-000046740000}"/>
    <cellStyle name="Normal 3 2 3 4 2 4 2" xfId="11434" xr:uid="{00000000-0005-0000-0000-000047740000}"/>
    <cellStyle name="Normal 3 2 3 4 2 5" xfId="5207" xr:uid="{00000000-0005-0000-0000-000048740000}"/>
    <cellStyle name="Normal 3 2 3 4 3" xfId="31908" xr:uid="{00000000-0005-0000-0000-000049740000}"/>
    <cellStyle name="Normal 3 2 3 4 3 2" xfId="5206" xr:uid="{00000000-0005-0000-0000-00004A740000}"/>
    <cellStyle name="Normal 3 2 3 4 3 2 2" xfId="5204" xr:uid="{00000000-0005-0000-0000-00004B740000}"/>
    <cellStyle name="Normal 3 2 3 4 3 2 2 2" xfId="5202" xr:uid="{00000000-0005-0000-0000-00004C740000}"/>
    <cellStyle name="Normal 3 2 3 4 3 2 3" xfId="5200" xr:uid="{00000000-0005-0000-0000-00004D740000}"/>
    <cellStyle name="Normal 3 2 3 4 3 3" xfId="5198" xr:uid="{00000000-0005-0000-0000-00004E740000}"/>
    <cellStyle name="Normal 3 2 3 4 3 3 2" xfId="11392" xr:uid="{00000000-0005-0000-0000-00004F740000}"/>
    <cellStyle name="Normal 3 2 3 4 3 4" xfId="5196" xr:uid="{00000000-0005-0000-0000-000050740000}"/>
    <cellStyle name="Normal 3 2 3 4 4" xfId="5194" xr:uid="{00000000-0005-0000-0000-000051740000}"/>
    <cellStyle name="Normal 3 2 3 4 4 2" xfId="5193" xr:uid="{00000000-0005-0000-0000-000052740000}"/>
    <cellStyle name="Normal 3 2 3 4 4 2 2" xfId="5190" xr:uid="{00000000-0005-0000-0000-000053740000}"/>
    <cellStyle name="Normal 3 2 3 4 4 3" xfId="5187" xr:uid="{00000000-0005-0000-0000-000054740000}"/>
    <cellStyle name="Normal 3 2 3 4 5" xfId="17554" xr:uid="{00000000-0005-0000-0000-000055740000}"/>
    <cellStyle name="Normal 3 2 3 4 5 2" xfId="17550" xr:uid="{00000000-0005-0000-0000-000056740000}"/>
    <cellStyle name="Normal 3 2 3 4 6" xfId="17539" xr:uid="{00000000-0005-0000-0000-000057740000}"/>
    <cellStyle name="Normal 3 2 3 5" xfId="5184" xr:uid="{00000000-0005-0000-0000-000058740000}"/>
    <cellStyle name="Normal 3 2 3 5 2" xfId="5183" xr:uid="{00000000-0005-0000-0000-000059740000}"/>
    <cellStyle name="Normal 3 2 3 5 2 2" xfId="5182" xr:uid="{00000000-0005-0000-0000-00005A740000}"/>
    <cellStyle name="Normal 3 2 3 5 2 2 2" xfId="5181" xr:uid="{00000000-0005-0000-0000-00005B740000}"/>
    <cellStyle name="Normal 3 2 3 5 2 2 2 2" xfId="5180" xr:uid="{00000000-0005-0000-0000-00005C740000}"/>
    <cellStyle name="Normal 3 2 3 5 2 2 3" xfId="5179" xr:uid="{00000000-0005-0000-0000-00005D740000}"/>
    <cellStyle name="Normal 3 2 3 5 2 3" xfId="5178" xr:uid="{00000000-0005-0000-0000-00005E740000}"/>
    <cellStyle name="Normal 3 2 3 5 2 3 2" xfId="11248" xr:uid="{00000000-0005-0000-0000-00005F740000}"/>
    <cellStyle name="Normal 3 2 3 5 2 4" xfId="5177" xr:uid="{00000000-0005-0000-0000-000060740000}"/>
    <cellStyle name="Normal 3 2 3 5 3" xfId="5176" xr:uid="{00000000-0005-0000-0000-000061740000}"/>
    <cellStyle name="Normal 3 2 3 5 3 2" xfId="5175" xr:uid="{00000000-0005-0000-0000-000062740000}"/>
    <cellStyle name="Normal 3 2 3 5 3 2 2" xfId="5173" xr:uid="{00000000-0005-0000-0000-000063740000}"/>
    <cellStyle name="Normal 3 2 3 5 3 3" xfId="5171" xr:uid="{00000000-0005-0000-0000-000064740000}"/>
    <cellStyle name="Normal 3 2 3 5 4" xfId="7161" xr:uid="{00000000-0005-0000-0000-000065740000}"/>
    <cellStyle name="Normal 3 2 3 5 4 2" xfId="5169" xr:uid="{00000000-0005-0000-0000-000066740000}"/>
    <cellStyle name="Normal 3 2 3 5 5" xfId="17521" xr:uid="{00000000-0005-0000-0000-000067740000}"/>
    <cellStyle name="Normal 3 2 3 6" xfId="5166" xr:uid="{00000000-0005-0000-0000-000068740000}"/>
    <cellStyle name="Normal 3 2 3 6 2" xfId="25901" xr:uid="{00000000-0005-0000-0000-000069740000}"/>
    <cellStyle name="Normal 3 2 3 6 2 2" xfId="5165" xr:uid="{00000000-0005-0000-0000-00006A740000}"/>
    <cellStyle name="Normal 3 2 3 6 2 2 2" xfId="5164" xr:uid="{00000000-0005-0000-0000-00006B740000}"/>
    <cellStyle name="Normal 3 2 3 6 2 3" xfId="5163" xr:uid="{00000000-0005-0000-0000-00006C740000}"/>
    <cellStyle name="Normal 3 2 3 6 3" xfId="31648" xr:uid="{00000000-0005-0000-0000-00006D740000}"/>
    <cellStyle name="Normal 3 2 3 6 3 2" xfId="5162" xr:uid="{00000000-0005-0000-0000-00006E740000}"/>
    <cellStyle name="Normal 3 2 3 6 4" xfId="5160" xr:uid="{00000000-0005-0000-0000-00006F740000}"/>
    <cellStyle name="Normal 3 2 3 7" xfId="5159" xr:uid="{00000000-0005-0000-0000-000070740000}"/>
    <cellStyle name="Normal 3 2 3 7 2" xfId="8075" xr:uid="{00000000-0005-0000-0000-000071740000}"/>
    <cellStyle name="Normal 3 2 3 7 2 2" xfId="5158" xr:uid="{00000000-0005-0000-0000-000072740000}"/>
    <cellStyle name="Normal 3 2 3 7 3" xfId="5157" xr:uid="{00000000-0005-0000-0000-000073740000}"/>
    <cellStyle name="Normal 3 2 3 8" xfId="5156" xr:uid="{00000000-0005-0000-0000-000074740000}"/>
    <cellStyle name="Normal 3 2 3 8 2" xfId="5155" xr:uid="{00000000-0005-0000-0000-000075740000}"/>
    <cellStyle name="Normal 3 2 3 9" xfId="5154" xr:uid="{00000000-0005-0000-0000-000076740000}"/>
    <cellStyle name="Normal 3 2 4" xfId="32842" xr:uid="{00000000-0005-0000-0000-000077740000}"/>
    <cellStyle name="Normal 3 2 4 2" xfId="33172" xr:uid="{00000000-0005-0000-0000-000078740000}"/>
    <cellStyle name="Normal 3 2 4 2 2" xfId="30412" xr:uid="{00000000-0005-0000-0000-000079740000}"/>
    <cellStyle name="Normal 3 2 4 2 2 2" xfId="30397" xr:uid="{00000000-0005-0000-0000-00007A740000}"/>
    <cellStyle name="Normal 3 2 4 2 2 2 2" xfId="5153" xr:uid="{00000000-0005-0000-0000-00007B740000}"/>
    <cellStyle name="Normal 3 2 4 2 2 2 2 2" xfId="5152" xr:uid="{00000000-0005-0000-0000-00007C740000}"/>
    <cellStyle name="Normal 3 2 4 2 2 2 2 2 2" xfId="5151" xr:uid="{00000000-0005-0000-0000-00007D740000}"/>
    <cellStyle name="Normal 3 2 4 2 2 2 2 2 2 2" xfId="28431" xr:uid="{00000000-0005-0000-0000-00007E740000}"/>
    <cellStyle name="Normal 3 2 4 2 2 2 2 2 3" xfId="5150" xr:uid="{00000000-0005-0000-0000-00007F740000}"/>
    <cellStyle name="Normal 3 2 4 2 2 2 2 3" xfId="13290" xr:uid="{00000000-0005-0000-0000-000080740000}"/>
    <cellStyle name="Normal 3 2 4 2 2 2 2 3 2" xfId="16801" xr:uid="{00000000-0005-0000-0000-000081740000}"/>
    <cellStyle name="Normal 3 2 4 2 2 2 2 4" xfId="5149" xr:uid="{00000000-0005-0000-0000-000082740000}"/>
    <cellStyle name="Normal 3 2 4 2 2 2 3" xfId="5148" xr:uid="{00000000-0005-0000-0000-000083740000}"/>
    <cellStyle name="Normal 3 2 4 2 2 2 3 2" xfId="5147" xr:uid="{00000000-0005-0000-0000-000084740000}"/>
    <cellStyle name="Normal 3 2 4 2 2 2 3 2 2" xfId="5146" xr:uid="{00000000-0005-0000-0000-000085740000}"/>
    <cellStyle name="Normal 3 2 4 2 2 2 3 3" xfId="5144" xr:uid="{00000000-0005-0000-0000-000086740000}"/>
    <cellStyle name="Normal 3 2 4 2 2 2 4" xfId="5143" xr:uid="{00000000-0005-0000-0000-000087740000}"/>
    <cellStyle name="Normal 3 2 4 2 2 2 4 2" xfId="5142" xr:uid="{00000000-0005-0000-0000-000088740000}"/>
    <cellStyle name="Normal 3 2 4 2 2 2 5" xfId="5141" xr:uid="{00000000-0005-0000-0000-000089740000}"/>
    <cellStyle name="Normal 3 2 4 2 2 3" xfId="30378" xr:uid="{00000000-0005-0000-0000-00008A740000}"/>
    <cellStyle name="Normal 3 2 4 2 2 3 2" xfId="5140" xr:uid="{00000000-0005-0000-0000-00008B740000}"/>
    <cellStyle name="Normal 3 2 4 2 2 3 2 2" xfId="5139" xr:uid="{00000000-0005-0000-0000-00008C740000}"/>
    <cellStyle name="Normal 3 2 4 2 2 3 2 2 2" xfId="5138" xr:uid="{00000000-0005-0000-0000-00008D740000}"/>
    <cellStyle name="Normal 3 2 4 2 2 3 2 3" xfId="5137" xr:uid="{00000000-0005-0000-0000-00008E740000}"/>
    <cellStyle name="Normal 3 2 4 2 2 3 3" xfId="32454" xr:uid="{00000000-0005-0000-0000-00008F740000}"/>
    <cellStyle name="Normal 3 2 4 2 2 3 3 2" xfId="5136" xr:uid="{00000000-0005-0000-0000-000090740000}"/>
    <cellStyle name="Normal 3 2 4 2 2 3 4" xfId="14820" xr:uid="{00000000-0005-0000-0000-000091740000}"/>
    <cellStyle name="Normal 3 2 4 2 2 4" xfId="30376" xr:uid="{00000000-0005-0000-0000-000092740000}"/>
    <cellStyle name="Normal 3 2 4 2 2 4 2" xfId="5135" xr:uid="{00000000-0005-0000-0000-000093740000}"/>
    <cellStyle name="Normal 3 2 4 2 2 4 2 2" xfId="5134" xr:uid="{00000000-0005-0000-0000-000094740000}"/>
    <cellStyle name="Normal 3 2 4 2 2 4 3" xfId="32698" xr:uid="{00000000-0005-0000-0000-000095740000}"/>
    <cellStyle name="Normal 3 2 4 2 2 5" xfId="30501" xr:uid="{00000000-0005-0000-0000-000096740000}"/>
    <cellStyle name="Normal 3 2 4 2 2 5 2" xfId="33880" xr:uid="{00000000-0005-0000-0000-000097740000}"/>
    <cellStyle name="Normal 3 2 4 2 2 6" xfId="30909" xr:uid="{00000000-0005-0000-0000-000098740000}"/>
    <cellStyle name="Normal 3 2 4 2 3" xfId="30374" xr:uid="{00000000-0005-0000-0000-000099740000}"/>
    <cellStyle name="Normal 3 2 4 2 3 2" xfId="30361" xr:uid="{00000000-0005-0000-0000-00009A740000}"/>
    <cellStyle name="Normal 3 2 4 2 3 2 2" xfId="19629" xr:uid="{00000000-0005-0000-0000-00009B740000}"/>
    <cellStyle name="Normal 3 2 4 2 3 2 2 2" xfId="5133" xr:uid="{00000000-0005-0000-0000-00009C740000}"/>
    <cellStyle name="Normal 3 2 4 2 3 2 2 2 2" xfId="5131" xr:uid="{00000000-0005-0000-0000-00009D740000}"/>
    <cellStyle name="Normal 3 2 4 2 3 2 2 3" xfId="5130" xr:uid="{00000000-0005-0000-0000-00009E740000}"/>
    <cellStyle name="Normal 3 2 4 2 3 2 3" xfId="5129" xr:uid="{00000000-0005-0000-0000-00009F740000}"/>
    <cellStyle name="Normal 3 2 4 2 3 2 3 2" xfId="5128" xr:uid="{00000000-0005-0000-0000-0000A0740000}"/>
    <cellStyle name="Normal 3 2 4 2 3 2 4" xfId="5127" xr:uid="{00000000-0005-0000-0000-0000A1740000}"/>
    <cellStyle name="Normal 3 2 4 2 3 3" xfId="30333" xr:uid="{00000000-0005-0000-0000-0000A2740000}"/>
    <cellStyle name="Normal 3 2 4 2 3 3 2" xfId="5126" xr:uid="{00000000-0005-0000-0000-0000A3740000}"/>
    <cellStyle name="Normal 3 2 4 2 3 3 2 2" xfId="5125" xr:uid="{00000000-0005-0000-0000-0000A4740000}"/>
    <cellStyle name="Normal 3 2 4 2 3 3 3" xfId="32981" xr:uid="{00000000-0005-0000-0000-0000A5740000}"/>
    <cellStyle name="Normal 3 2 4 2 3 4" xfId="30331" xr:uid="{00000000-0005-0000-0000-0000A6740000}"/>
    <cellStyle name="Normal 3 2 4 2 3 4 2" xfId="5124" xr:uid="{00000000-0005-0000-0000-0000A7740000}"/>
    <cellStyle name="Normal 3 2 4 2 3 5" xfId="32576" xr:uid="{00000000-0005-0000-0000-0000A8740000}"/>
    <cellStyle name="Normal 3 2 4 2 4" xfId="31309" xr:uid="{00000000-0005-0000-0000-0000A9740000}"/>
    <cellStyle name="Normal 3 2 4 2 4 2" xfId="28305" xr:uid="{00000000-0005-0000-0000-0000AA740000}"/>
    <cellStyle name="Normal 3 2 4 2 4 2 2" xfId="5123" xr:uid="{00000000-0005-0000-0000-0000AB740000}"/>
    <cellStyle name="Normal 3 2 4 2 4 2 2 2" xfId="5121" xr:uid="{00000000-0005-0000-0000-0000AC740000}"/>
    <cellStyle name="Normal 3 2 4 2 4 2 3" xfId="5120" xr:uid="{00000000-0005-0000-0000-0000AD740000}"/>
    <cellStyle name="Normal 3 2 4 2 4 3" xfId="11770" xr:uid="{00000000-0005-0000-0000-0000AE740000}"/>
    <cellStyle name="Normal 3 2 4 2 4 3 2" xfId="11765" xr:uid="{00000000-0005-0000-0000-0000AF740000}"/>
    <cellStyle name="Normal 3 2 4 2 4 4" xfId="11761" xr:uid="{00000000-0005-0000-0000-0000B0740000}"/>
    <cellStyle name="Normal 3 2 4 2 5" xfId="25136" xr:uid="{00000000-0005-0000-0000-0000B1740000}"/>
    <cellStyle name="Normal 3 2 4 2 5 2" xfId="6092" xr:uid="{00000000-0005-0000-0000-0000B2740000}"/>
    <cellStyle name="Normal 3 2 4 2 5 2 2" xfId="6089" xr:uid="{00000000-0005-0000-0000-0000B3740000}"/>
    <cellStyle name="Normal 3 2 4 2 5 3" xfId="13492" xr:uid="{00000000-0005-0000-0000-0000B4740000}"/>
    <cellStyle name="Normal 3 2 4 2 6" xfId="19790" xr:uid="{00000000-0005-0000-0000-0000B5740000}"/>
    <cellStyle name="Normal 3 2 4 2 6 2" xfId="15787" xr:uid="{00000000-0005-0000-0000-0000B6740000}"/>
    <cellStyle name="Normal 3 2 4 2 7" xfId="19783" xr:uid="{00000000-0005-0000-0000-0000B7740000}"/>
    <cellStyle name="Normal 3 2 4 3" xfId="27455" xr:uid="{00000000-0005-0000-0000-0000B8740000}"/>
    <cellStyle name="Normal 3 2 4 3 2" xfId="32721" xr:uid="{00000000-0005-0000-0000-0000B9740000}"/>
    <cellStyle name="Normal 3 2 4 3 2 2" xfId="29580" xr:uid="{00000000-0005-0000-0000-0000BA740000}"/>
    <cellStyle name="Normal 3 2 4 3 2 2 2" xfId="5118" xr:uid="{00000000-0005-0000-0000-0000BB740000}"/>
    <cellStyle name="Normal 3 2 4 3 2 2 2 2" xfId="5117" xr:uid="{00000000-0005-0000-0000-0000BC740000}"/>
    <cellStyle name="Normal 3 2 4 3 2 2 2 2 2" xfId="29132" xr:uid="{00000000-0005-0000-0000-0000BD740000}"/>
    <cellStyle name="Normal 3 2 4 3 2 2 2 3" xfId="5116" xr:uid="{00000000-0005-0000-0000-0000BE740000}"/>
    <cellStyle name="Normal 3 2 4 3 2 2 3" xfId="5115" xr:uid="{00000000-0005-0000-0000-0000BF740000}"/>
    <cellStyle name="Normal 3 2 4 3 2 2 3 2" xfId="5114" xr:uid="{00000000-0005-0000-0000-0000C0740000}"/>
    <cellStyle name="Normal 3 2 4 3 2 2 4" xfId="24213" xr:uid="{00000000-0005-0000-0000-0000C1740000}"/>
    <cellStyle name="Normal 3 2 4 3 2 3" xfId="28878" xr:uid="{00000000-0005-0000-0000-0000C2740000}"/>
    <cellStyle name="Normal 3 2 4 3 2 3 2" xfId="5113" xr:uid="{00000000-0005-0000-0000-0000C3740000}"/>
    <cellStyle name="Normal 3 2 4 3 2 3 2 2" xfId="5112" xr:uid="{00000000-0005-0000-0000-0000C4740000}"/>
    <cellStyle name="Normal 3 2 4 3 2 3 3" xfId="33925" xr:uid="{00000000-0005-0000-0000-0000C5740000}"/>
    <cellStyle name="Normal 3 2 4 3 2 4" xfId="28876" xr:uid="{00000000-0005-0000-0000-0000C6740000}"/>
    <cellStyle name="Normal 3 2 4 3 2 4 2" xfId="5111" xr:uid="{00000000-0005-0000-0000-0000C7740000}"/>
    <cellStyle name="Normal 3 2 4 3 2 5" xfId="30296" xr:uid="{00000000-0005-0000-0000-0000C8740000}"/>
    <cellStyle name="Normal 3 2 4 3 3" xfId="34371" xr:uid="{00000000-0005-0000-0000-0000C9740000}"/>
    <cellStyle name="Normal 3 2 4 3 3 2" xfId="32077" xr:uid="{00000000-0005-0000-0000-0000CA740000}"/>
    <cellStyle name="Normal 3 2 4 3 3 2 2" xfId="5110" xr:uid="{00000000-0005-0000-0000-0000CB740000}"/>
    <cellStyle name="Normal 3 2 4 3 3 2 2 2" xfId="5109" xr:uid="{00000000-0005-0000-0000-0000CC740000}"/>
    <cellStyle name="Normal 3 2 4 3 3 2 3" xfId="5108" xr:uid="{00000000-0005-0000-0000-0000CD740000}"/>
    <cellStyle name="Normal 3 2 4 3 3 3" xfId="26519" xr:uid="{00000000-0005-0000-0000-0000CE740000}"/>
    <cellStyle name="Normal 3 2 4 3 3 3 2" xfId="5107" xr:uid="{00000000-0005-0000-0000-0000CF740000}"/>
    <cellStyle name="Normal 3 2 4 3 3 4" xfId="30293" xr:uid="{00000000-0005-0000-0000-0000D0740000}"/>
    <cellStyle name="Normal 3 2 4 3 4" xfId="28816" xr:uid="{00000000-0005-0000-0000-0000D1740000}"/>
    <cellStyle name="Normal 3 2 4 3 4 2" xfId="30312" xr:uid="{00000000-0005-0000-0000-0000D2740000}"/>
    <cellStyle name="Normal 3 2 4 3 4 2 2" xfId="5106" xr:uid="{00000000-0005-0000-0000-0000D3740000}"/>
    <cellStyle name="Normal 3 2 4 3 4 3" xfId="11749" xr:uid="{00000000-0005-0000-0000-0000D4740000}"/>
    <cellStyle name="Normal 3 2 4 3 5" xfId="17488" xr:uid="{00000000-0005-0000-0000-0000D5740000}"/>
    <cellStyle name="Normal 3 2 4 3 5 2" xfId="27112" xr:uid="{00000000-0005-0000-0000-0000D6740000}"/>
    <cellStyle name="Normal 3 2 4 3 6" xfId="17482" xr:uid="{00000000-0005-0000-0000-0000D7740000}"/>
    <cellStyle name="Normal 3 2 4 4" xfId="26387" xr:uid="{00000000-0005-0000-0000-0000D8740000}"/>
    <cellStyle name="Normal 3 2 4 4 2" xfId="30291" xr:uid="{00000000-0005-0000-0000-0000D9740000}"/>
    <cellStyle name="Normal 3 2 4 4 2 2" xfId="30453" xr:uid="{00000000-0005-0000-0000-0000DA740000}"/>
    <cellStyle name="Normal 3 2 4 4 2 2 2" xfId="5104" xr:uid="{00000000-0005-0000-0000-0000DB740000}"/>
    <cellStyle name="Normal 3 2 4 4 2 2 2 2" xfId="5103" xr:uid="{00000000-0005-0000-0000-0000DC740000}"/>
    <cellStyle name="Normal 3 2 4 4 2 2 3" xfId="15314" xr:uid="{00000000-0005-0000-0000-0000DD740000}"/>
    <cellStyle name="Normal 3 2 4 4 2 3" xfId="28862" xr:uid="{00000000-0005-0000-0000-0000DE740000}"/>
    <cellStyle name="Normal 3 2 4 4 2 3 2" xfId="10859" xr:uid="{00000000-0005-0000-0000-0000DF740000}"/>
    <cellStyle name="Normal 3 2 4 4 2 4" xfId="30281" xr:uid="{00000000-0005-0000-0000-0000E0740000}"/>
    <cellStyle name="Normal 3 2 4 4 3" xfId="32075" xr:uid="{00000000-0005-0000-0000-0000E1740000}"/>
    <cellStyle name="Normal 3 2 4 4 3 2" xfId="30278" xr:uid="{00000000-0005-0000-0000-0000E2740000}"/>
    <cellStyle name="Normal 3 2 4 4 3 2 2" xfId="5102" xr:uid="{00000000-0005-0000-0000-0000E3740000}"/>
    <cellStyle name="Normal 3 2 4 4 3 3" xfId="30275" xr:uid="{00000000-0005-0000-0000-0000E4740000}"/>
    <cellStyle name="Normal 3 2 4 4 4" xfId="30272" xr:uid="{00000000-0005-0000-0000-0000E5740000}"/>
    <cellStyle name="Normal 3 2 4 4 4 2" xfId="30268" xr:uid="{00000000-0005-0000-0000-0000E6740000}"/>
    <cellStyle name="Normal 3 2 4 4 5" xfId="17468" xr:uid="{00000000-0005-0000-0000-0000E7740000}"/>
    <cellStyle name="Normal 3 2 4 5" xfId="34358" xr:uid="{00000000-0005-0000-0000-0000E8740000}"/>
    <cellStyle name="Normal 3 2 4 5 2" xfId="30263" xr:uid="{00000000-0005-0000-0000-0000E9740000}"/>
    <cellStyle name="Normal 3 2 4 5 2 2" xfId="30261" xr:uid="{00000000-0005-0000-0000-0000EA740000}"/>
    <cellStyle name="Normal 3 2 4 5 2 2 2" xfId="15569" xr:uid="{00000000-0005-0000-0000-0000EB740000}"/>
    <cellStyle name="Normal 3 2 4 5 2 3" xfId="30257" xr:uid="{00000000-0005-0000-0000-0000EC740000}"/>
    <cellStyle name="Normal 3 2 4 5 3" xfId="30251" xr:uid="{00000000-0005-0000-0000-0000ED740000}"/>
    <cellStyle name="Normal 3 2 4 5 3 2" xfId="30246" xr:uid="{00000000-0005-0000-0000-0000EE740000}"/>
    <cellStyle name="Normal 3 2 4 5 4" xfId="33155" xr:uid="{00000000-0005-0000-0000-0000EF740000}"/>
    <cellStyle name="Normal 3 2 4 6" xfId="32482" xr:uid="{00000000-0005-0000-0000-0000F0740000}"/>
    <cellStyle name="Normal 3 2 4 6 2" xfId="30242" xr:uid="{00000000-0005-0000-0000-0000F1740000}"/>
    <cellStyle name="Normal 3 2 4 6 2 2" xfId="17643" xr:uid="{00000000-0005-0000-0000-0000F2740000}"/>
    <cellStyle name="Normal 3 2 4 6 3" xfId="29146" xr:uid="{00000000-0005-0000-0000-0000F3740000}"/>
    <cellStyle name="Normal 3 2 4 7" xfId="30234" xr:uid="{00000000-0005-0000-0000-0000F4740000}"/>
    <cellStyle name="Normal 3 2 4 7 2" xfId="30227" xr:uid="{00000000-0005-0000-0000-0000F5740000}"/>
    <cellStyle name="Normal 3 2 4 8" xfId="30224" xr:uid="{00000000-0005-0000-0000-0000F6740000}"/>
    <cellStyle name="Normal 3 2 5" xfId="31815" xr:uid="{00000000-0005-0000-0000-0000F7740000}"/>
    <cellStyle name="Normal 3 2 5 2" xfId="33912" xr:uid="{00000000-0005-0000-0000-0000F8740000}"/>
    <cellStyle name="Normal 3 2 5 2 2" xfId="30218" xr:uid="{00000000-0005-0000-0000-0000F9740000}"/>
    <cellStyle name="Normal 3 2 5 2 2 2" xfId="32327" xr:uid="{00000000-0005-0000-0000-0000FA740000}"/>
    <cellStyle name="Normal 3 2 5 2 2 2 2" xfId="5100" xr:uid="{00000000-0005-0000-0000-0000FB740000}"/>
    <cellStyle name="Normal 3 2 5 2 2 2 2 2" xfId="5099" xr:uid="{00000000-0005-0000-0000-0000FC740000}"/>
    <cellStyle name="Normal 3 2 5 2 2 2 2 2 2" xfId="5098" xr:uid="{00000000-0005-0000-0000-0000FD740000}"/>
    <cellStyle name="Normal 3 2 5 2 2 2 2 3" xfId="5097" xr:uid="{00000000-0005-0000-0000-0000FE740000}"/>
    <cellStyle name="Normal 3 2 5 2 2 2 3" xfId="5096" xr:uid="{00000000-0005-0000-0000-0000FF740000}"/>
    <cellStyle name="Normal 3 2 5 2 2 2 3 2" xfId="5095" xr:uid="{00000000-0005-0000-0000-000000750000}"/>
    <cellStyle name="Normal 3 2 5 2 2 2 4" xfId="5094" xr:uid="{00000000-0005-0000-0000-000001750000}"/>
    <cellStyle name="Normal 3 2 5 2 2 3" xfId="28040" xr:uid="{00000000-0005-0000-0000-000002750000}"/>
    <cellStyle name="Normal 3 2 5 2 2 3 2" xfId="32859" xr:uid="{00000000-0005-0000-0000-000003750000}"/>
    <cellStyle name="Normal 3 2 5 2 2 3 2 2" xfId="5093" xr:uid="{00000000-0005-0000-0000-000004750000}"/>
    <cellStyle name="Normal 3 2 5 2 2 3 3" xfId="17757" xr:uid="{00000000-0005-0000-0000-000005750000}"/>
    <cellStyle name="Normal 3 2 5 2 2 4" xfId="11569" xr:uid="{00000000-0005-0000-0000-000006750000}"/>
    <cellStyle name="Normal 3 2 5 2 2 4 2" xfId="5092" xr:uid="{00000000-0005-0000-0000-000007750000}"/>
    <cellStyle name="Normal 3 2 5 2 2 5" xfId="30165" xr:uid="{00000000-0005-0000-0000-000008750000}"/>
    <cellStyle name="Normal 3 2 5 2 3" xfId="28525" xr:uid="{00000000-0005-0000-0000-000009750000}"/>
    <cellStyle name="Normal 3 2 5 2 3 2" xfId="11561" xr:uid="{00000000-0005-0000-0000-00000A750000}"/>
    <cellStyle name="Normal 3 2 5 2 3 2 2" xfId="5091" xr:uid="{00000000-0005-0000-0000-00000B750000}"/>
    <cellStyle name="Normal 3 2 5 2 3 2 2 2" xfId="5090" xr:uid="{00000000-0005-0000-0000-00000C750000}"/>
    <cellStyle name="Normal 3 2 5 2 3 2 3" xfId="22657" xr:uid="{00000000-0005-0000-0000-00000D750000}"/>
    <cellStyle name="Normal 3 2 5 2 3 3" xfId="11558" xr:uid="{00000000-0005-0000-0000-00000E750000}"/>
    <cellStyle name="Normal 3 2 5 2 3 3 2" xfId="5089" xr:uid="{00000000-0005-0000-0000-00000F750000}"/>
    <cellStyle name="Normal 3 2 5 2 3 4" xfId="30149" xr:uid="{00000000-0005-0000-0000-000010750000}"/>
    <cellStyle name="Normal 3 2 5 2 4" xfId="28516" xr:uid="{00000000-0005-0000-0000-000011750000}"/>
    <cellStyle name="Normal 3 2 5 2 4 2" xfId="11551" xr:uid="{00000000-0005-0000-0000-000012750000}"/>
    <cellStyle name="Normal 3 2 5 2 4 2 2" xfId="5088" xr:uid="{00000000-0005-0000-0000-000013750000}"/>
    <cellStyle name="Normal 3 2 5 2 4 3" xfId="11730" xr:uid="{00000000-0005-0000-0000-000014750000}"/>
    <cellStyle name="Normal 3 2 5 2 5" xfId="15520" xr:uid="{00000000-0005-0000-0000-000015750000}"/>
    <cellStyle name="Normal 3 2 5 2 5 2" xfId="6082" xr:uid="{00000000-0005-0000-0000-000016750000}"/>
    <cellStyle name="Normal 3 2 5 2 6" xfId="27188" xr:uid="{00000000-0005-0000-0000-000017750000}"/>
    <cellStyle name="Normal 3 2 5 2 6 2" xfId="32420" xr:uid="{00000000-0005-0000-0000-000018750000}"/>
    <cellStyle name="Normal 3 2 5 2 7" xfId="5086" xr:uid="{00000000-0005-0000-0000-000019750000}"/>
    <cellStyle name="Normal 3 2 5 3" xfId="34328" xr:uid="{00000000-0005-0000-0000-00001A750000}"/>
    <cellStyle name="Normal 3 2 5 3 2" xfId="30144" xr:uid="{00000000-0005-0000-0000-00001B750000}"/>
    <cellStyle name="Normal 3 2 5 3 2 2" xfId="11537" xr:uid="{00000000-0005-0000-0000-00001C750000}"/>
    <cellStyle name="Normal 3 2 5 3 2 2 2" xfId="5084" xr:uid="{00000000-0005-0000-0000-00001D750000}"/>
    <cellStyle name="Normal 3 2 5 3 2 2 2 2" xfId="5083" xr:uid="{00000000-0005-0000-0000-00001E750000}"/>
    <cellStyle name="Normal 3 2 5 3 2 2 3" xfId="5082" xr:uid="{00000000-0005-0000-0000-00001F750000}"/>
    <cellStyle name="Normal 3 2 5 3 2 3" xfId="11534" xr:uid="{00000000-0005-0000-0000-000020750000}"/>
    <cellStyle name="Normal 3 2 5 3 2 3 2" xfId="5081" xr:uid="{00000000-0005-0000-0000-000021750000}"/>
    <cellStyle name="Normal 3 2 5 3 2 4" xfId="30127" xr:uid="{00000000-0005-0000-0000-000022750000}"/>
    <cellStyle name="Normal 3 2 5 3 3" xfId="28509" xr:uid="{00000000-0005-0000-0000-000023750000}"/>
    <cellStyle name="Normal 3 2 5 3 3 2" xfId="11529" xr:uid="{00000000-0005-0000-0000-000024750000}"/>
    <cellStyle name="Normal 3 2 5 3 3 2 2" xfId="5080" xr:uid="{00000000-0005-0000-0000-000025750000}"/>
    <cellStyle name="Normal 3 2 5 3 3 3" xfId="30112" xr:uid="{00000000-0005-0000-0000-000026750000}"/>
    <cellStyle name="Normal 3 2 5 3 4" xfId="27104" xr:uid="{00000000-0005-0000-0000-000027750000}"/>
    <cellStyle name="Normal 3 2 5 3 4 2" xfId="33660" xr:uid="{00000000-0005-0000-0000-000028750000}"/>
    <cellStyle name="Normal 3 2 5 3 5" xfId="19770" xr:uid="{00000000-0005-0000-0000-000029750000}"/>
    <cellStyle name="Normal 3 2 5 4" xfId="25256" xr:uid="{00000000-0005-0000-0000-00002A750000}"/>
    <cellStyle name="Normal 3 2 5 4 2" xfId="30609" xr:uid="{00000000-0005-0000-0000-00002B750000}"/>
    <cellStyle name="Normal 3 2 5 4 2 2" xfId="11518" xr:uid="{00000000-0005-0000-0000-00002C750000}"/>
    <cellStyle name="Normal 3 2 5 4 2 2 2" xfId="5079" xr:uid="{00000000-0005-0000-0000-00002D750000}"/>
    <cellStyle name="Normal 3 2 5 4 2 3" xfId="30104" xr:uid="{00000000-0005-0000-0000-00002E750000}"/>
    <cellStyle name="Normal 3 2 5 4 3" xfId="27102" xr:uid="{00000000-0005-0000-0000-00002F750000}"/>
    <cellStyle name="Normal 3 2 5 4 3 2" xfId="31136" xr:uid="{00000000-0005-0000-0000-000030750000}"/>
    <cellStyle name="Normal 3 2 5 4 4" xfId="25540" xr:uid="{00000000-0005-0000-0000-000031750000}"/>
    <cellStyle name="Normal 3 2 5 5" xfId="30102" xr:uid="{00000000-0005-0000-0000-000032750000}"/>
    <cellStyle name="Normal 3 2 5 5 2" xfId="30595" xr:uid="{00000000-0005-0000-0000-000033750000}"/>
    <cellStyle name="Normal 3 2 5 5 2 2" xfId="8683" xr:uid="{00000000-0005-0000-0000-000034750000}"/>
    <cellStyle name="Normal 3 2 5 5 3" xfId="30774" xr:uid="{00000000-0005-0000-0000-000035750000}"/>
    <cellStyle name="Normal 3 2 5 6" xfId="30092" xr:uid="{00000000-0005-0000-0000-000036750000}"/>
    <cellStyle name="Normal 3 2 5 6 2" xfId="30588" xr:uid="{00000000-0005-0000-0000-000037750000}"/>
    <cellStyle name="Normal 3 2 5 7" xfId="30086" xr:uid="{00000000-0005-0000-0000-000038750000}"/>
    <cellStyle name="Normal 3 2 5 7 2" xfId="5078" xr:uid="{00000000-0005-0000-0000-000039750000}"/>
    <cellStyle name="Normal 3 2 5 8" xfId="31104" xr:uid="{00000000-0005-0000-0000-00003A750000}"/>
    <cellStyle name="Normal 3 2 6" xfId="21722" xr:uid="{00000000-0005-0000-0000-00003B750000}"/>
    <cellStyle name="Normal 3 2 6 2" xfId="27130" xr:uid="{00000000-0005-0000-0000-00003C750000}"/>
    <cellStyle name="Normal 3 2 6 2 2" xfId="30080" xr:uid="{00000000-0005-0000-0000-00003D750000}"/>
    <cellStyle name="Normal 3 2 6 2 2 2" xfId="11455" xr:uid="{00000000-0005-0000-0000-00003E750000}"/>
    <cellStyle name="Normal 3 2 6 2 2 2 2" xfId="5077" xr:uid="{00000000-0005-0000-0000-00003F750000}"/>
    <cellStyle name="Normal 3 2 6 2 2 2 2 2" xfId="5076" xr:uid="{00000000-0005-0000-0000-000040750000}"/>
    <cellStyle name="Normal 3 2 6 2 2 2 3" xfId="5075" xr:uid="{00000000-0005-0000-0000-000041750000}"/>
    <cellStyle name="Normal 3 2 6 2 2 3" xfId="11452" xr:uid="{00000000-0005-0000-0000-000042750000}"/>
    <cellStyle name="Normal 3 2 6 2 2 3 2" xfId="5074" xr:uid="{00000000-0005-0000-0000-000043750000}"/>
    <cellStyle name="Normal 3 2 6 2 2 4" xfId="22398" xr:uid="{00000000-0005-0000-0000-000044750000}"/>
    <cellStyle name="Normal 3 2 6 2 3" xfId="30055" xr:uid="{00000000-0005-0000-0000-000045750000}"/>
    <cellStyle name="Normal 3 2 6 2 3 2" xfId="11443" xr:uid="{00000000-0005-0000-0000-000046750000}"/>
    <cellStyle name="Normal 3 2 6 2 3 2 2" xfId="5073" xr:uid="{00000000-0005-0000-0000-000047750000}"/>
    <cellStyle name="Normal 3 2 6 2 3 3" xfId="30050" xr:uid="{00000000-0005-0000-0000-000048750000}"/>
    <cellStyle name="Normal 3 2 6 2 4" xfId="27082" xr:uid="{00000000-0005-0000-0000-000049750000}"/>
    <cellStyle name="Normal 3 2 6 2 4 2" xfId="32785" xr:uid="{00000000-0005-0000-0000-00004A750000}"/>
    <cellStyle name="Normal 3 2 6 2 5" xfId="19762" xr:uid="{00000000-0005-0000-0000-00004B750000}"/>
    <cellStyle name="Normal 3 2 6 2 5 2" xfId="5072" xr:uid="{00000000-0005-0000-0000-00004C750000}"/>
    <cellStyle name="Normal 3 2 6 2 6" xfId="5071" xr:uid="{00000000-0005-0000-0000-00004D750000}"/>
    <cellStyle name="Normal 3 2 6 2 6 2" xfId="26342" xr:uid="{00000000-0005-0000-0000-00004E750000}"/>
    <cellStyle name="Normal 3 2 6 2 7" xfId="5070" xr:uid="{00000000-0005-0000-0000-00004F750000}"/>
    <cellStyle name="Normal 3 2 6 3" xfId="34380" xr:uid="{00000000-0005-0000-0000-000050750000}"/>
    <cellStyle name="Normal 3 2 6 3 2" xfId="27016" xr:uid="{00000000-0005-0000-0000-000051750000}"/>
    <cellStyle name="Normal 3 2 6 3 2 2" xfId="11428" xr:uid="{00000000-0005-0000-0000-000052750000}"/>
    <cellStyle name="Normal 3 2 6 3 2 2 2" xfId="5068" xr:uid="{00000000-0005-0000-0000-000053750000}"/>
    <cellStyle name="Normal 3 2 6 3 2 3" xfId="30027" xr:uid="{00000000-0005-0000-0000-000054750000}"/>
    <cellStyle name="Normal 3 2 6 3 3" xfId="27080" xr:uid="{00000000-0005-0000-0000-000055750000}"/>
    <cellStyle name="Normal 3 2 6 3 3 2" xfId="33486" xr:uid="{00000000-0005-0000-0000-000056750000}"/>
    <cellStyle name="Normal 3 2 6 3 4" xfId="33987" xr:uid="{00000000-0005-0000-0000-000057750000}"/>
    <cellStyle name="Normal 3 2 6 4" xfId="30011" xr:uid="{00000000-0005-0000-0000-000058750000}"/>
    <cellStyle name="Normal 3 2 6 4 2" xfId="30585" xr:uid="{00000000-0005-0000-0000-000059750000}"/>
    <cellStyle name="Normal 3 2 6 4 2 2" xfId="30008" xr:uid="{00000000-0005-0000-0000-00005A750000}"/>
    <cellStyle name="Normal 3 2 6 4 3" xfId="34277" xr:uid="{00000000-0005-0000-0000-00005B750000}"/>
    <cellStyle name="Normal 3 2 6 5" xfId="30000" xr:uid="{00000000-0005-0000-0000-00005C750000}"/>
    <cellStyle name="Normal 3 2 6 5 2" xfId="19391" xr:uid="{00000000-0005-0000-0000-00005D750000}"/>
    <cellStyle name="Normal 3 2 6 6" xfId="29987" xr:uid="{00000000-0005-0000-0000-00005E750000}"/>
    <cellStyle name="Normal 3 2 6 6 2" xfId="5066" xr:uid="{00000000-0005-0000-0000-00005F750000}"/>
    <cellStyle name="Normal 3 2 6 7" xfId="5065" xr:uid="{00000000-0005-0000-0000-000060750000}"/>
    <cellStyle name="Normal 3 2 6 7 2" xfId="5064" xr:uid="{00000000-0005-0000-0000-000061750000}"/>
    <cellStyle name="Normal 3 2 6 8" xfId="5063" xr:uid="{00000000-0005-0000-0000-000062750000}"/>
    <cellStyle name="Normal 3 2 7" xfId="20111" xr:uid="{00000000-0005-0000-0000-000063750000}"/>
    <cellStyle name="Normal 3 2 7 2" xfId="34396" xr:uid="{00000000-0005-0000-0000-000064750000}"/>
    <cellStyle name="Normal 3 2 7 2 2" xfId="29978" xr:uid="{00000000-0005-0000-0000-000065750000}"/>
    <cellStyle name="Normal 3 2 7 2 2 2" xfId="11378" xr:uid="{00000000-0005-0000-0000-000066750000}"/>
    <cellStyle name="Normal 3 2 7 2 2 2 2" xfId="5062" xr:uid="{00000000-0005-0000-0000-000067750000}"/>
    <cellStyle name="Normal 3 2 7 2 2 3" xfId="33650" xr:uid="{00000000-0005-0000-0000-000068750000}"/>
    <cellStyle name="Normal 3 2 7 2 3" xfId="27070" xr:uid="{00000000-0005-0000-0000-000069750000}"/>
    <cellStyle name="Normal 3 2 7 2 3 2" xfId="29975" xr:uid="{00000000-0005-0000-0000-00006A750000}"/>
    <cellStyle name="Normal 3 2 7 2 4" xfId="30714" xr:uid="{00000000-0005-0000-0000-00006B750000}"/>
    <cellStyle name="Normal 3 2 7 2 4 2" xfId="5061" xr:uid="{00000000-0005-0000-0000-00006C750000}"/>
    <cellStyle name="Normal 3 2 7 2 5" xfId="5060" xr:uid="{00000000-0005-0000-0000-00006D750000}"/>
    <cellStyle name="Normal 3 2 7 2 5 2" xfId="5059" xr:uid="{00000000-0005-0000-0000-00006E750000}"/>
    <cellStyle name="Normal 3 2 7 2 6" xfId="5057" xr:uid="{00000000-0005-0000-0000-00006F750000}"/>
    <cellStyle name="Normal 3 2 7 2 6 2" xfId="26318" xr:uid="{00000000-0005-0000-0000-000070750000}"/>
    <cellStyle name="Normal 3 2 7 2 7" xfId="5056" xr:uid="{00000000-0005-0000-0000-000071750000}"/>
    <cellStyle name="Normal 3 2 7 3" xfId="32530" xr:uid="{00000000-0005-0000-0000-000072750000}"/>
    <cellStyle name="Normal 3 2 7 3 2" xfId="29963" xr:uid="{00000000-0005-0000-0000-000073750000}"/>
    <cellStyle name="Normal 3 2 7 3 2 2" xfId="29959" xr:uid="{00000000-0005-0000-0000-000074750000}"/>
    <cellStyle name="Normal 3 2 7 3 3" xfId="29957" xr:uid="{00000000-0005-0000-0000-000075750000}"/>
    <cellStyle name="Normal 3 2 7 4" xfId="23630" xr:uid="{00000000-0005-0000-0000-000076750000}"/>
    <cellStyle name="Normal 3 2 7 4 2" xfId="30563" xr:uid="{00000000-0005-0000-0000-000077750000}"/>
    <cellStyle name="Normal 3 2 7 5" xfId="23624" xr:uid="{00000000-0005-0000-0000-000078750000}"/>
    <cellStyle name="Normal 3 2 7 5 2" xfId="5054" xr:uid="{00000000-0005-0000-0000-000079750000}"/>
    <cellStyle name="Normal 3 2 7 6" xfId="5053" xr:uid="{00000000-0005-0000-0000-00007A750000}"/>
    <cellStyle name="Normal 3 2 7 6 2" xfId="5052" xr:uid="{00000000-0005-0000-0000-00007B750000}"/>
    <cellStyle name="Normal 3 2 7 7" xfId="5051" xr:uid="{00000000-0005-0000-0000-00007C750000}"/>
    <cellStyle name="Normal 3 2 7 7 2" xfId="5050" xr:uid="{00000000-0005-0000-0000-00007D750000}"/>
    <cellStyle name="Normal 3 2 7 8" xfId="5049" xr:uid="{00000000-0005-0000-0000-00007E750000}"/>
    <cellStyle name="Normal 3 2 8" xfId="28888" xr:uid="{00000000-0005-0000-0000-00007F750000}"/>
    <cellStyle name="Normal 3 2 8 2" xfId="29945" xr:uid="{00000000-0005-0000-0000-000080750000}"/>
    <cellStyle name="Normal 3 2 8 2 2" xfId="29943" xr:uid="{00000000-0005-0000-0000-000081750000}"/>
    <cellStyle name="Normal 3 2 8 2 2 2" xfId="29469" xr:uid="{00000000-0005-0000-0000-000082750000}"/>
    <cellStyle name="Normal 3 2 8 2 3" xfId="29931" xr:uid="{00000000-0005-0000-0000-000083750000}"/>
    <cellStyle name="Normal 3 2 8 2 3 2" xfId="34014" xr:uid="{00000000-0005-0000-0000-000084750000}"/>
    <cellStyle name="Normal 3 2 8 2 4" xfId="5048" xr:uid="{00000000-0005-0000-0000-000085750000}"/>
    <cellStyle name="Normal 3 2 8 2 4 2" xfId="21929" xr:uid="{00000000-0005-0000-0000-000086750000}"/>
    <cellStyle name="Normal 3 2 8 2 5" xfId="5047" xr:uid="{00000000-0005-0000-0000-000087750000}"/>
    <cellStyle name="Normal 3 2 8 2 5 2" xfId="16680" xr:uid="{00000000-0005-0000-0000-000088750000}"/>
    <cellStyle name="Normal 3 2 8 2 6" xfId="5046" xr:uid="{00000000-0005-0000-0000-000089750000}"/>
    <cellStyle name="Normal 3 2 8 2 6 2" xfId="5045" xr:uid="{00000000-0005-0000-0000-00008A750000}"/>
    <cellStyle name="Normal 3 2 8 2 7" xfId="15836" xr:uid="{00000000-0005-0000-0000-00008B750000}"/>
    <cellStyle name="Normal 3 2 8 3" xfId="29928" xr:uid="{00000000-0005-0000-0000-00008C750000}"/>
    <cellStyle name="Normal 3 2 8 3 2" xfId="23021" xr:uid="{00000000-0005-0000-0000-00008D750000}"/>
    <cellStyle name="Normal 3 2 8 4" xfId="23272" xr:uid="{00000000-0005-0000-0000-00008E750000}"/>
    <cellStyle name="Normal 3 2 8 4 2" xfId="5044" xr:uid="{00000000-0005-0000-0000-00008F750000}"/>
    <cellStyle name="Normal 3 2 8 5" xfId="5043" xr:uid="{00000000-0005-0000-0000-000090750000}"/>
    <cellStyle name="Normal 3 2 8 5 2" xfId="5042" xr:uid="{00000000-0005-0000-0000-000091750000}"/>
    <cellStyle name="Normal 3 2 8 6" xfId="5041" xr:uid="{00000000-0005-0000-0000-000092750000}"/>
    <cellStyle name="Normal 3 2 8 6 2" xfId="5040" xr:uid="{00000000-0005-0000-0000-000093750000}"/>
    <cellStyle name="Normal 3 2 8 7" xfId="5039" xr:uid="{00000000-0005-0000-0000-000094750000}"/>
    <cellStyle name="Normal 3 2 8 7 2" xfId="5038" xr:uid="{00000000-0005-0000-0000-000095750000}"/>
    <cellStyle name="Normal 3 2 8 8" xfId="5037" xr:uid="{00000000-0005-0000-0000-000096750000}"/>
    <cellStyle name="Normal 3 2 9" xfId="25651" xr:uid="{00000000-0005-0000-0000-000097750000}"/>
    <cellStyle name="Normal 3 2 9 2" xfId="25645" xr:uid="{00000000-0005-0000-0000-000098750000}"/>
    <cellStyle name="Normal 3 2 9 2 2" xfId="19955" xr:uid="{00000000-0005-0000-0000-000099750000}"/>
    <cellStyle name="Normal 3 2 9 2 2 2" xfId="20486" xr:uid="{00000000-0005-0000-0000-00009A750000}"/>
    <cellStyle name="Normal 3 2 9 2 3" xfId="22176" xr:uid="{00000000-0005-0000-0000-00009B750000}"/>
    <cellStyle name="Normal 3 2 9 2 3 2" xfId="21419" xr:uid="{00000000-0005-0000-0000-00009C750000}"/>
    <cellStyle name="Normal 3 2 9 2 4" xfId="22130" xr:uid="{00000000-0005-0000-0000-00009D750000}"/>
    <cellStyle name="Normal 3 2 9 2 4 2" xfId="16618" xr:uid="{00000000-0005-0000-0000-00009E750000}"/>
    <cellStyle name="Normal 3 2 9 2 5" xfId="5036" xr:uid="{00000000-0005-0000-0000-00009F750000}"/>
    <cellStyle name="Normal 3 2 9 2 5 2" xfId="5035" xr:uid="{00000000-0005-0000-0000-0000A0750000}"/>
    <cellStyle name="Normal 3 2 9 2 6" xfId="5034" xr:uid="{00000000-0005-0000-0000-0000A1750000}"/>
    <cellStyle name="Normal 3 2 9 2 6 2" xfId="5033" xr:uid="{00000000-0005-0000-0000-0000A2750000}"/>
    <cellStyle name="Normal 3 2 9 2 7" xfId="15818" xr:uid="{00000000-0005-0000-0000-0000A3750000}"/>
    <cellStyle name="Normal 3 2 9 3" xfId="16286" xr:uid="{00000000-0005-0000-0000-0000A4750000}"/>
    <cellStyle name="Normal 3 2 9 3 2" xfId="22338" xr:uid="{00000000-0005-0000-0000-0000A5750000}"/>
    <cellStyle name="Normal 3 2 9 4" xfId="5032" xr:uid="{00000000-0005-0000-0000-0000A6750000}"/>
    <cellStyle name="Normal 3 2 9 4 2" xfId="13431" xr:uid="{00000000-0005-0000-0000-0000A7750000}"/>
    <cellStyle name="Normal 3 2 9 5" xfId="5031" xr:uid="{00000000-0005-0000-0000-0000A8750000}"/>
    <cellStyle name="Normal 3 2 9 5 2" xfId="5030" xr:uid="{00000000-0005-0000-0000-0000A9750000}"/>
    <cellStyle name="Normal 3 2 9 6" xfId="5028" xr:uid="{00000000-0005-0000-0000-0000AA750000}"/>
    <cellStyle name="Normal 3 2 9 6 2" xfId="5027" xr:uid="{00000000-0005-0000-0000-0000AB750000}"/>
    <cellStyle name="Normal 3 2 9 7" xfId="5025" xr:uid="{00000000-0005-0000-0000-0000AC750000}"/>
    <cellStyle name="Normal 3 2 9 7 2" xfId="5024" xr:uid="{00000000-0005-0000-0000-0000AD750000}"/>
    <cellStyle name="Normal 3 2 9 8" xfId="5022" xr:uid="{00000000-0005-0000-0000-0000AE750000}"/>
    <cellStyle name="Normal 3 20" xfId="6206" xr:uid="{00000000-0005-0000-0000-0000AF750000}"/>
    <cellStyle name="Normal 3 20 2" xfId="31917" xr:uid="{00000000-0005-0000-0000-0000B0750000}"/>
    <cellStyle name="Normal 3 21" xfId="6203" xr:uid="{00000000-0005-0000-0000-0000B1750000}"/>
    <cellStyle name="Normal 3 21 2" xfId="31716" xr:uid="{00000000-0005-0000-0000-0000B2750000}"/>
    <cellStyle name="Normal 3 22" xfId="12035" xr:uid="{00000000-0005-0000-0000-0000B3750000}"/>
    <cellStyle name="Normal 3 23" xfId="5555" xr:uid="{00000000-0005-0000-0000-0000B4750000}"/>
    <cellStyle name="Normal 3 3" xfId="74" xr:uid="{00000000-0005-0000-0000-0000B5750000}"/>
    <cellStyle name="Normal 3 3 10" xfId="5021" xr:uid="{00000000-0005-0000-0000-0000B6750000}"/>
    <cellStyle name="Normal 3 3 11" xfId="34436" xr:uid="{00000000-0005-0000-0000-0000B7750000}"/>
    <cellStyle name="Normal 3 3 2" xfId="5020" xr:uid="{00000000-0005-0000-0000-0000B8750000}"/>
    <cellStyle name="Normal 3 3 2 2" xfId="5018" xr:uid="{00000000-0005-0000-0000-0000B9750000}"/>
    <cellStyle name="Normal 3 3 2 2 2" xfId="5017" xr:uid="{00000000-0005-0000-0000-0000BA750000}"/>
    <cellStyle name="Normal 3 3 2 2 2 2" xfId="29956" xr:uid="{00000000-0005-0000-0000-0000BB750000}"/>
    <cellStyle name="Normal 3 3 2 2 2 2 2" xfId="5016" xr:uid="{00000000-0005-0000-0000-0000BC750000}"/>
    <cellStyle name="Normal 3 3 2 2 2 2 2 2" xfId="5015" xr:uid="{00000000-0005-0000-0000-0000BD750000}"/>
    <cellStyle name="Normal 3 3 2 2 2 2 2 2 2" xfId="18363" xr:uid="{00000000-0005-0000-0000-0000BE750000}"/>
    <cellStyle name="Normal 3 3 2 2 2 2 2 2 2 2" xfId="5014" xr:uid="{00000000-0005-0000-0000-0000BF750000}"/>
    <cellStyle name="Normal 3 3 2 2 2 2 2 2 2 2 2" xfId="5013" xr:uid="{00000000-0005-0000-0000-0000C0750000}"/>
    <cellStyle name="Normal 3 3 2 2 2 2 2 2 2 3" xfId="5012" xr:uid="{00000000-0005-0000-0000-0000C1750000}"/>
    <cellStyle name="Normal 3 3 2 2 2 2 2 2 3" xfId="18355" xr:uid="{00000000-0005-0000-0000-0000C2750000}"/>
    <cellStyle name="Normal 3 3 2 2 2 2 2 2 3 2" xfId="20775" xr:uid="{00000000-0005-0000-0000-0000C3750000}"/>
    <cellStyle name="Normal 3 3 2 2 2 2 2 2 4" xfId="5011" xr:uid="{00000000-0005-0000-0000-0000C4750000}"/>
    <cellStyle name="Normal 3 3 2 2 2 2 2 3" xfId="27042" xr:uid="{00000000-0005-0000-0000-0000C5750000}"/>
    <cellStyle name="Normal 3 3 2 2 2 2 2 3 2" xfId="28624" xr:uid="{00000000-0005-0000-0000-0000C6750000}"/>
    <cellStyle name="Normal 3 3 2 2 2 2 2 3 2 2" xfId="5010" xr:uid="{00000000-0005-0000-0000-0000C7750000}"/>
    <cellStyle name="Normal 3 3 2 2 2 2 2 3 3" xfId="5009" xr:uid="{00000000-0005-0000-0000-0000C8750000}"/>
    <cellStyle name="Normal 3 3 2 2 2 2 2 4" xfId="15038" xr:uid="{00000000-0005-0000-0000-0000C9750000}"/>
    <cellStyle name="Normal 3 3 2 2 2 2 2 4 2" xfId="5008" xr:uid="{00000000-0005-0000-0000-0000CA750000}"/>
    <cellStyle name="Normal 3 3 2 2 2 2 2 5" xfId="15036" xr:uid="{00000000-0005-0000-0000-0000CB750000}"/>
    <cellStyle name="Normal 3 3 2 2 2 2 3" xfId="5007" xr:uid="{00000000-0005-0000-0000-0000CC750000}"/>
    <cellStyle name="Normal 3 3 2 2 2 2 3 2" xfId="5006" xr:uid="{00000000-0005-0000-0000-0000CD750000}"/>
    <cellStyle name="Normal 3 3 2 2 2 2 3 2 2" xfId="18311" xr:uid="{00000000-0005-0000-0000-0000CE750000}"/>
    <cellStyle name="Normal 3 3 2 2 2 2 3 2 2 2" xfId="5005" xr:uid="{00000000-0005-0000-0000-0000CF750000}"/>
    <cellStyle name="Normal 3 3 2 2 2 2 3 2 3" xfId="5004" xr:uid="{00000000-0005-0000-0000-0000D0750000}"/>
    <cellStyle name="Normal 3 3 2 2 2 2 3 3" xfId="27038" xr:uid="{00000000-0005-0000-0000-0000D1750000}"/>
    <cellStyle name="Normal 3 3 2 2 2 2 3 3 2" xfId="5003" xr:uid="{00000000-0005-0000-0000-0000D2750000}"/>
    <cellStyle name="Normal 3 3 2 2 2 2 3 4" xfId="24427" xr:uid="{00000000-0005-0000-0000-0000D3750000}"/>
    <cellStyle name="Normal 3 3 2 2 2 2 4" xfId="5002" xr:uid="{00000000-0005-0000-0000-0000D4750000}"/>
    <cellStyle name="Normal 3 3 2 2 2 2 4 2" xfId="5001" xr:uid="{00000000-0005-0000-0000-0000D5750000}"/>
    <cellStyle name="Normal 3 3 2 2 2 2 4 2 2" xfId="5000" xr:uid="{00000000-0005-0000-0000-0000D6750000}"/>
    <cellStyle name="Normal 3 3 2 2 2 2 4 3" xfId="4999" xr:uid="{00000000-0005-0000-0000-0000D7750000}"/>
    <cellStyle name="Normal 3 3 2 2 2 2 5" xfId="4998" xr:uid="{00000000-0005-0000-0000-0000D8750000}"/>
    <cellStyle name="Normal 3 3 2 2 2 2 5 2" xfId="29130" xr:uid="{00000000-0005-0000-0000-0000D9750000}"/>
    <cellStyle name="Normal 3 3 2 2 2 2 6" xfId="4997" xr:uid="{00000000-0005-0000-0000-0000DA750000}"/>
    <cellStyle name="Normal 3 3 2 2 2 3" xfId="4996" xr:uid="{00000000-0005-0000-0000-0000DB750000}"/>
    <cellStyle name="Normal 3 3 2 2 2 3 2" xfId="4995" xr:uid="{00000000-0005-0000-0000-0000DC750000}"/>
    <cellStyle name="Normal 3 3 2 2 2 3 2 2" xfId="4994" xr:uid="{00000000-0005-0000-0000-0000DD750000}"/>
    <cellStyle name="Normal 3 3 2 2 2 3 2 2 2" xfId="18190" xr:uid="{00000000-0005-0000-0000-0000DE750000}"/>
    <cellStyle name="Normal 3 3 2 2 2 3 2 2 2 2" xfId="31674" xr:uid="{00000000-0005-0000-0000-0000DF750000}"/>
    <cellStyle name="Normal 3 3 2 2 2 3 2 2 3" xfId="15580" xr:uid="{00000000-0005-0000-0000-0000E0750000}"/>
    <cellStyle name="Normal 3 3 2 2 2 3 2 3" xfId="27027" xr:uid="{00000000-0005-0000-0000-0000E1750000}"/>
    <cellStyle name="Normal 3 3 2 2 2 3 2 3 2" xfId="4993" xr:uid="{00000000-0005-0000-0000-0000E2750000}"/>
    <cellStyle name="Normal 3 3 2 2 2 3 2 4" xfId="15020" xr:uid="{00000000-0005-0000-0000-0000E3750000}"/>
    <cellStyle name="Normal 3 3 2 2 2 3 3" xfId="4992" xr:uid="{00000000-0005-0000-0000-0000E4750000}"/>
    <cellStyle name="Normal 3 3 2 2 2 3 3 2" xfId="4991" xr:uid="{00000000-0005-0000-0000-0000E5750000}"/>
    <cellStyle name="Normal 3 3 2 2 2 3 3 2 2" xfId="15190" xr:uid="{00000000-0005-0000-0000-0000E6750000}"/>
    <cellStyle name="Normal 3 3 2 2 2 3 3 3" xfId="4990" xr:uid="{00000000-0005-0000-0000-0000E7750000}"/>
    <cellStyle name="Normal 3 3 2 2 2 3 4" xfId="4989" xr:uid="{00000000-0005-0000-0000-0000E8750000}"/>
    <cellStyle name="Normal 3 3 2 2 2 3 4 2" xfId="4988" xr:uid="{00000000-0005-0000-0000-0000E9750000}"/>
    <cellStyle name="Normal 3 3 2 2 2 3 5" xfId="24905" xr:uid="{00000000-0005-0000-0000-0000EA750000}"/>
    <cellStyle name="Normal 3 3 2 2 2 4" xfId="4987" xr:uid="{00000000-0005-0000-0000-0000EB750000}"/>
    <cellStyle name="Normal 3 3 2 2 2 4 2" xfId="4986" xr:uid="{00000000-0005-0000-0000-0000EC750000}"/>
    <cellStyle name="Normal 3 3 2 2 2 4 2 2" xfId="4985" xr:uid="{00000000-0005-0000-0000-0000ED750000}"/>
    <cellStyle name="Normal 3 3 2 2 2 4 2 2 2" xfId="4984" xr:uid="{00000000-0005-0000-0000-0000EE750000}"/>
    <cellStyle name="Normal 3 3 2 2 2 4 2 3" xfId="4983" xr:uid="{00000000-0005-0000-0000-0000EF750000}"/>
    <cellStyle name="Normal 3 3 2 2 2 4 3" xfId="4982" xr:uid="{00000000-0005-0000-0000-0000F0750000}"/>
    <cellStyle name="Normal 3 3 2 2 2 4 3 2" xfId="4980" xr:uid="{00000000-0005-0000-0000-0000F1750000}"/>
    <cellStyle name="Normal 3 3 2 2 2 4 4" xfId="4978" xr:uid="{00000000-0005-0000-0000-0000F2750000}"/>
    <cellStyle name="Normal 3 3 2 2 2 5" xfId="4976" xr:uid="{00000000-0005-0000-0000-0000F3750000}"/>
    <cellStyle name="Normal 3 3 2 2 2 5 2" xfId="6899" xr:uid="{00000000-0005-0000-0000-0000F4750000}"/>
    <cellStyle name="Normal 3 3 2 2 2 5 2 2" xfId="4975" xr:uid="{00000000-0005-0000-0000-0000F5750000}"/>
    <cellStyle name="Normal 3 3 2 2 2 5 3" xfId="11739" xr:uid="{00000000-0005-0000-0000-0000F6750000}"/>
    <cellStyle name="Normal 3 3 2 2 2 6" xfId="4974" xr:uid="{00000000-0005-0000-0000-0000F7750000}"/>
    <cellStyle name="Normal 3 3 2 2 2 6 2" xfId="10066" xr:uid="{00000000-0005-0000-0000-0000F8750000}"/>
    <cellStyle name="Normal 3 3 2 2 2 7" xfId="4973" xr:uid="{00000000-0005-0000-0000-0000F9750000}"/>
    <cellStyle name="Normal 3 3 2 2 3" xfId="23463" xr:uid="{00000000-0005-0000-0000-0000FA750000}"/>
    <cellStyle name="Normal 3 3 2 2 3 2" xfId="4972" xr:uid="{00000000-0005-0000-0000-0000FB750000}"/>
    <cellStyle name="Normal 3 3 2 2 3 2 2" xfId="4971" xr:uid="{00000000-0005-0000-0000-0000FC750000}"/>
    <cellStyle name="Normal 3 3 2 2 3 2 2 2" xfId="14643" xr:uid="{00000000-0005-0000-0000-0000FD750000}"/>
    <cellStyle name="Normal 3 3 2 2 3 2 2 2 2" xfId="28500" xr:uid="{00000000-0005-0000-0000-0000FE750000}"/>
    <cellStyle name="Normal 3 3 2 2 3 2 2 2 2 2" xfId="4970" xr:uid="{00000000-0005-0000-0000-0000FF750000}"/>
    <cellStyle name="Normal 3 3 2 2 3 2 2 2 3" xfId="28495" xr:uid="{00000000-0005-0000-0000-000000760000}"/>
    <cellStyle name="Normal 3 3 2 2 3 2 2 3" xfId="26992" xr:uid="{00000000-0005-0000-0000-000001760000}"/>
    <cellStyle name="Normal 3 3 2 2 3 2 2 3 2" xfId="28486" xr:uid="{00000000-0005-0000-0000-000002760000}"/>
    <cellStyle name="Normal 3 3 2 2 3 2 2 4" xfId="14993" xr:uid="{00000000-0005-0000-0000-000003760000}"/>
    <cellStyle name="Normal 3 3 2 2 3 2 3" xfId="4969" xr:uid="{00000000-0005-0000-0000-000004760000}"/>
    <cellStyle name="Normal 3 3 2 2 3 2 3 2" xfId="4968" xr:uid="{00000000-0005-0000-0000-000005760000}"/>
    <cellStyle name="Normal 3 3 2 2 3 2 3 2 2" xfId="28475" xr:uid="{00000000-0005-0000-0000-000006760000}"/>
    <cellStyle name="Normal 3 3 2 2 3 2 3 3" xfId="4967" xr:uid="{00000000-0005-0000-0000-000007760000}"/>
    <cellStyle name="Normal 3 3 2 2 3 2 4" xfId="4966" xr:uid="{00000000-0005-0000-0000-000008760000}"/>
    <cellStyle name="Normal 3 3 2 2 3 2 4 2" xfId="4965" xr:uid="{00000000-0005-0000-0000-000009760000}"/>
    <cellStyle name="Normal 3 3 2 2 3 2 5" xfId="4964" xr:uid="{00000000-0005-0000-0000-00000A760000}"/>
    <cellStyle name="Normal 3 3 2 2 3 3" xfId="26709" xr:uid="{00000000-0005-0000-0000-00000B760000}"/>
    <cellStyle name="Normal 3 3 2 2 3 3 2" xfId="4962" xr:uid="{00000000-0005-0000-0000-00000C760000}"/>
    <cellStyle name="Normal 3 3 2 2 3 3 2 2" xfId="4961" xr:uid="{00000000-0005-0000-0000-00000D760000}"/>
    <cellStyle name="Normal 3 3 2 2 3 3 2 2 2" xfId="28469" xr:uid="{00000000-0005-0000-0000-00000E760000}"/>
    <cellStyle name="Normal 3 3 2 2 3 3 2 3" xfId="4960" xr:uid="{00000000-0005-0000-0000-00000F760000}"/>
    <cellStyle name="Normal 3 3 2 2 3 3 3" xfId="4959" xr:uid="{00000000-0005-0000-0000-000010760000}"/>
    <cellStyle name="Normal 3 3 2 2 3 3 3 2" xfId="4958" xr:uid="{00000000-0005-0000-0000-000011760000}"/>
    <cellStyle name="Normal 3 3 2 2 3 3 4" xfId="4957" xr:uid="{00000000-0005-0000-0000-000012760000}"/>
    <cellStyle name="Normal 3 3 2 2 3 4" xfId="19965" xr:uid="{00000000-0005-0000-0000-000013760000}"/>
    <cellStyle name="Normal 3 3 2 2 3 4 2" xfId="4956" xr:uid="{00000000-0005-0000-0000-000014760000}"/>
    <cellStyle name="Normal 3 3 2 2 3 4 2 2" xfId="4955" xr:uid="{00000000-0005-0000-0000-000015760000}"/>
    <cellStyle name="Normal 3 3 2 2 3 4 3" xfId="4954" xr:uid="{00000000-0005-0000-0000-000016760000}"/>
    <cellStyle name="Normal 3 3 2 2 3 5" xfId="28638" xr:uid="{00000000-0005-0000-0000-000017760000}"/>
    <cellStyle name="Normal 3 3 2 2 3 5 2" xfId="6887" xr:uid="{00000000-0005-0000-0000-000018760000}"/>
    <cellStyle name="Normal 3 3 2 2 3 6" xfId="4952" xr:uid="{00000000-0005-0000-0000-000019760000}"/>
    <cellStyle name="Normal 3 3 2 2 4" xfId="23675" xr:uid="{00000000-0005-0000-0000-00001A760000}"/>
    <cellStyle name="Normal 3 3 2 2 4 2" xfId="4951" xr:uid="{00000000-0005-0000-0000-00001B760000}"/>
    <cellStyle name="Normal 3 3 2 2 4 2 2" xfId="4950" xr:uid="{00000000-0005-0000-0000-00001C760000}"/>
    <cellStyle name="Normal 3 3 2 2 4 2 2 2" xfId="4949" xr:uid="{00000000-0005-0000-0000-00001D760000}"/>
    <cellStyle name="Normal 3 3 2 2 4 2 2 2 2" xfId="32884" xr:uid="{00000000-0005-0000-0000-00001E760000}"/>
    <cellStyle name="Normal 3 3 2 2 4 2 2 3" xfId="4947" xr:uid="{00000000-0005-0000-0000-00001F760000}"/>
    <cellStyle name="Normal 3 3 2 2 4 2 3" xfId="4946" xr:uid="{00000000-0005-0000-0000-000020760000}"/>
    <cellStyle name="Normal 3 3 2 2 4 2 3 2" xfId="4945" xr:uid="{00000000-0005-0000-0000-000021760000}"/>
    <cellStyle name="Normal 3 3 2 2 4 2 4" xfId="4944" xr:uid="{00000000-0005-0000-0000-000022760000}"/>
    <cellStyle name="Normal 3 3 2 2 4 3" xfId="19949" xr:uid="{00000000-0005-0000-0000-000023760000}"/>
    <cellStyle name="Normal 3 3 2 2 4 3 2" xfId="4943" xr:uid="{00000000-0005-0000-0000-000024760000}"/>
    <cellStyle name="Normal 3 3 2 2 4 3 2 2" xfId="4942" xr:uid="{00000000-0005-0000-0000-000025760000}"/>
    <cellStyle name="Normal 3 3 2 2 4 3 3" xfId="4941" xr:uid="{00000000-0005-0000-0000-000026760000}"/>
    <cellStyle name="Normal 3 3 2 2 4 4" xfId="19947" xr:uid="{00000000-0005-0000-0000-000027760000}"/>
    <cellStyle name="Normal 3 3 2 2 4 4 2" xfId="4940" xr:uid="{00000000-0005-0000-0000-000028760000}"/>
    <cellStyle name="Normal 3 3 2 2 4 5" xfId="4939" xr:uid="{00000000-0005-0000-0000-000029760000}"/>
    <cellStyle name="Normal 3 3 2 2 5" xfId="6004" xr:uid="{00000000-0005-0000-0000-00002A760000}"/>
    <cellStyle name="Normal 3 3 2 2 5 2" xfId="6002" xr:uid="{00000000-0005-0000-0000-00002B760000}"/>
    <cellStyle name="Normal 3 3 2 2 5 2 2" xfId="7363" xr:uid="{00000000-0005-0000-0000-00002C760000}"/>
    <cellStyle name="Normal 3 3 2 2 5 2 2 2" xfId="4938" xr:uid="{00000000-0005-0000-0000-00002D760000}"/>
    <cellStyle name="Normal 3 3 2 2 5 2 3" xfId="6000" xr:uid="{00000000-0005-0000-0000-00002E760000}"/>
    <cellStyle name="Normal 3 3 2 2 5 3" xfId="5997" xr:uid="{00000000-0005-0000-0000-00002F760000}"/>
    <cellStyle name="Normal 3 3 2 2 5 3 2" xfId="5995" xr:uid="{00000000-0005-0000-0000-000030760000}"/>
    <cellStyle name="Normal 3 3 2 2 5 4" xfId="34209" xr:uid="{00000000-0005-0000-0000-000031760000}"/>
    <cellStyle name="Normal 3 3 2 2 6" xfId="11363" xr:uid="{00000000-0005-0000-0000-000032760000}"/>
    <cellStyle name="Normal 3 3 2 2 6 2" xfId="14376" xr:uid="{00000000-0005-0000-0000-000033760000}"/>
    <cellStyle name="Normal 3 3 2 2 6 2 2" xfId="29232" xr:uid="{00000000-0005-0000-0000-000034760000}"/>
    <cellStyle name="Normal 3 3 2 2 6 3" xfId="14372" xr:uid="{00000000-0005-0000-0000-000035760000}"/>
    <cellStyle name="Normal 3 3 2 2 7" xfId="12510" xr:uid="{00000000-0005-0000-0000-000036760000}"/>
    <cellStyle name="Normal 3 3 2 2 7 2" xfId="14352" xr:uid="{00000000-0005-0000-0000-000037760000}"/>
    <cellStyle name="Normal 3 3 2 2 8" xfId="11356" xr:uid="{00000000-0005-0000-0000-000038760000}"/>
    <cellStyle name="Normal 3 3 2 3" xfId="4937" xr:uid="{00000000-0005-0000-0000-000039760000}"/>
    <cellStyle name="Normal 3 3 2 3 2" xfId="4936" xr:uid="{00000000-0005-0000-0000-00003A760000}"/>
    <cellStyle name="Normal 3 3 2 3 2 2" xfId="9632" xr:uid="{00000000-0005-0000-0000-00003B760000}"/>
    <cellStyle name="Normal 3 3 2 3 2 2 2" xfId="21748" xr:uid="{00000000-0005-0000-0000-00003C760000}"/>
    <cellStyle name="Normal 3 3 2 3 2 2 2 2" xfId="21745" xr:uid="{00000000-0005-0000-0000-00003D760000}"/>
    <cellStyle name="Normal 3 3 2 3 2 2 2 2 2" xfId="4935" xr:uid="{00000000-0005-0000-0000-00003E760000}"/>
    <cellStyle name="Normal 3 3 2 3 2 2 2 2 2 2" xfId="4934" xr:uid="{00000000-0005-0000-0000-00003F760000}"/>
    <cellStyle name="Normal 3 3 2 3 2 2 2 2 3" xfId="4933" xr:uid="{00000000-0005-0000-0000-000040760000}"/>
    <cellStyle name="Normal 3 3 2 3 2 2 2 3" xfId="28447" xr:uid="{00000000-0005-0000-0000-000041760000}"/>
    <cellStyle name="Normal 3 3 2 3 2 2 2 3 2" xfId="4932" xr:uid="{00000000-0005-0000-0000-000042760000}"/>
    <cellStyle name="Normal 3 3 2 3 2 2 2 4" xfId="30646" xr:uid="{00000000-0005-0000-0000-000043760000}"/>
    <cellStyle name="Normal 3 3 2 3 2 2 3" xfId="21741" xr:uid="{00000000-0005-0000-0000-000044760000}"/>
    <cellStyle name="Normal 3 3 2 3 2 2 3 2" xfId="30373" xr:uid="{00000000-0005-0000-0000-000045760000}"/>
    <cellStyle name="Normal 3 3 2 3 2 2 3 2 2" xfId="30360" xr:uid="{00000000-0005-0000-0000-000046760000}"/>
    <cellStyle name="Normal 3 3 2 3 2 2 3 3" xfId="31308" xr:uid="{00000000-0005-0000-0000-000047760000}"/>
    <cellStyle name="Normal 3 3 2 3 2 2 4" xfId="24708" xr:uid="{00000000-0005-0000-0000-000048760000}"/>
    <cellStyle name="Normal 3 3 2 3 2 2 4 2" xfId="34370" xr:uid="{00000000-0005-0000-0000-000049760000}"/>
    <cellStyle name="Normal 3 3 2 3 2 2 5" xfId="24700" xr:uid="{00000000-0005-0000-0000-00004A760000}"/>
    <cellStyle name="Normal 3 3 2 3 2 3" xfId="4931" xr:uid="{00000000-0005-0000-0000-00004B760000}"/>
    <cellStyle name="Normal 3 3 2 3 2 3 2" xfId="21730" xr:uid="{00000000-0005-0000-0000-00004C760000}"/>
    <cellStyle name="Normal 3 3 2 3 2 3 2 2" xfId="4930" xr:uid="{00000000-0005-0000-0000-00004D760000}"/>
    <cellStyle name="Normal 3 3 2 3 2 3 2 2 2" xfId="11605" xr:uid="{00000000-0005-0000-0000-00004E760000}"/>
    <cellStyle name="Normal 3 3 2 3 2 3 2 3" xfId="4929" xr:uid="{00000000-0005-0000-0000-00004F760000}"/>
    <cellStyle name="Normal 3 3 2 3 2 3 3" xfId="4928" xr:uid="{00000000-0005-0000-0000-000050760000}"/>
    <cellStyle name="Normal 3 3 2 3 2 3 3 2" xfId="28524" xr:uid="{00000000-0005-0000-0000-000051760000}"/>
    <cellStyle name="Normal 3 3 2 3 2 3 4" xfId="24691" xr:uid="{00000000-0005-0000-0000-000052760000}"/>
    <cellStyle name="Normal 3 3 2 3 2 4" xfId="4927" xr:uid="{00000000-0005-0000-0000-000053760000}"/>
    <cellStyle name="Normal 3 3 2 3 2 4 2" xfId="4926" xr:uid="{00000000-0005-0000-0000-000054760000}"/>
    <cellStyle name="Normal 3 3 2 3 2 4 2 2" xfId="4925" xr:uid="{00000000-0005-0000-0000-000055760000}"/>
    <cellStyle name="Normal 3 3 2 3 2 4 3" xfId="4924" xr:uid="{00000000-0005-0000-0000-000056760000}"/>
    <cellStyle name="Normal 3 3 2 3 2 5" xfId="10290" xr:uid="{00000000-0005-0000-0000-000057760000}"/>
    <cellStyle name="Normal 3 3 2 3 2 5 2" xfId="10287" xr:uid="{00000000-0005-0000-0000-000058760000}"/>
    <cellStyle name="Normal 3 3 2 3 2 6" xfId="10284" xr:uid="{00000000-0005-0000-0000-000059760000}"/>
    <cellStyle name="Normal 3 3 2 3 3" xfId="4922" xr:uid="{00000000-0005-0000-0000-00005A760000}"/>
    <cellStyle name="Normal 3 3 2 3 3 2" xfId="4921" xr:uid="{00000000-0005-0000-0000-00005B760000}"/>
    <cellStyle name="Normal 3 3 2 3 3 2 2" xfId="21633" xr:uid="{00000000-0005-0000-0000-00005C760000}"/>
    <cellStyle name="Normal 3 3 2 3 3 2 2 2" xfId="11627" xr:uid="{00000000-0005-0000-0000-00005D760000}"/>
    <cellStyle name="Normal 3 3 2 3 3 2 2 2 2" xfId="4920" xr:uid="{00000000-0005-0000-0000-00005E760000}"/>
    <cellStyle name="Normal 3 3 2 3 3 2 2 3" xfId="4919" xr:uid="{00000000-0005-0000-0000-00005F760000}"/>
    <cellStyle name="Normal 3 3 2 3 3 2 3" xfId="4918" xr:uid="{00000000-0005-0000-0000-000060760000}"/>
    <cellStyle name="Normal 3 3 2 3 3 2 3 2" xfId="29844" xr:uid="{00000000-0005-0000-0000-000061760000}"/>
    <cellStyle name="Normal 3 3 2 3 3 2 4" xfId="24659" xr:uid="{00000000-0005-0000-0000-000062760000}"/>
    <cellStyle name="Normal 3 3 2 3 3 3" xfId="19945" xr:uid="{00000000-0005-0000-0000-000063760000}"/>
    <cellStyle name="Normal 3 3 2 3 3 3 2" xfId="4917" xr:uid="{00000000-0005-0000-0000-000064760000}"/>
    <cellStyle name="Normal 3 3 2 3 3 3 2 2" xfId="4916" xr:uid="{00000000-0005-0000-0000-000065760000}"/>
    <cellStyle name="Normal 3 3 2 3 3 3 3" xfId="4915" xr:uid="{00000000-0005-0000-0000-000066760000}"/>
    <cellStyle name="Normal 3 3 2 3 3 4" xfId="19943" xr:uid="{00000000-0005-0000-0000-000067760000}"/>
    <cellStyle name="Normal 3 3 2 3 3 4 2" xfId="4914" xr:uid="{00000000-0005-0000-0000-000068760000}"/>
    <cellStyle name="Normal 3 3 2 3 3 5" xfId="26644" xr:uid="{00000000-0005-0000-0000-000069760000}"/>
    <cellStyle name="Normal 3 3 2 3 4" xfId="4913" xr:uid="{00000000-0005-0000-0000-00006A760000}"/>
    <cellStyle name="Normal 3 3 2 3 4 2" xfId="4912" xr:uid="{00000000-0005-0000-0000-00006B760000}"/>
    <cellStyle name="Normal 3 3 2 3 4 2 2" xfId="4911" xr:uid="{00000000-0005-0000-0000-00006C760000}"/>
    <cellStyle name="Normal 3 3 2 3 4 2 2 2" xfId="4910" xr:uid="{00000000-0005-0000-0000-00006D760000}"/>
    <cellStyle name="Normal 3 3 2 3 4 2 3" xfId="4909" xr:uid="{00000000-0005-0000-0000-00006E760000}"/>
    <cellStyle name="Normal 3 3 2 3 4 3" xfId="19940" xr:uid="{00000000-0005-0000-0000-00006F760000}"/>
    <cellStyle name="Normal 3 3 2 3 4 3 2" xfId="4908" xr:uid="{00000000-0005-0000-0000-000070760000}"/>
    <cellStyle name="Normal 3 3 2 3 4 4" xfId="4907" xr:uid="{00000000-0005-0000-0000-000071760000}"/>
    <cellStyle name="Normal 3 3 2 3 5" xfId="17280" xr:uid="{00000000-0005-0000-0000-000072760000}"/>
    <cellStyle name="Normal 3 3 2 3 5 2" xfId="17277" xr:uid="{00000000-0005-0000-0000-000073760000}"/>
    <cellStyle name="Normal 3 3 2 3 5 2 2" xfId="5991" xr:uid="{00000000-0005-0000-0000-000074760000}"/>
    <cellStyle name="Normal 3 3 2 3 5 3" xfId="17269" xr:uid="{00000000-0005-0000-0000-000075760000}"/>
    <cellStyle name="Normal 3 3 2 3 6" xfId="17263" xr:uid="{00000000-0005-0000-0000-000076760000}"/>
    <cellStyle name="Normal 3 3 2 3 6 2" xfId="17258" xr:uid="{00000000-0005-0000-0000-000077760000}"/>
    <cellStyle name="Normal 3 3 2 3 7" xfId="16715" xr:uid="{00000000-0005-0000-0000-000078760000}"/>
    <cellStyle name="Normal 3 3 2 4" xfId="4906" xr:uid="{00000000-0005-0000-0000-000079760000}"/>
    <cellStyle name="Normal 3 3 2 4 2" xfId="4905" xr:uid="{00000000-0005-0000-0000-00007A760000}"/>
    <cellStyle name="Normal 3 3 2 4 2 2" xfId="33100" xr:uid="{00000000-0005-0000-0000-00007B760000}"/>
    <cellStyle name="Normal 3 3 2 4 2 2 2" xfId="16571" xr:uid="{00000000-0005-0000-0000-00007C760000}"/>
    <cellStyle name="Normal 3 3 2 4 2 2 2 2" xfId="22272" xr:uid="{00000000-0005-0000-0000-00007D760000}"/>
    <cellStyle name="Normal 3 3 2 4 2 2 2 2 2" xfId="4904" xr:uid="{00000000-0005-0000-0000-00007E760000}"/>
    <cellStyle name="Normal 3 3 2 4 2 2 2 3" xfId="22568" xr:uid="{00000000-0005-0000-0000-00007F760000}"/>
    <cellStyle name="Normal 3 3 2 4 2 2 3" xfId="27243" xr:uid="{00000000-0005-0000-0000-000080760000}"/>
    <cellStyle name="Normal 3 3 2 4 2 2 3 2" xfId="24283" xr:uid="{00000000-0005-0000-0000-000081760000}"/>
    <cellStyle name="Normal 3 3 2 4 2 2 4" xfId="24620" xr:uid="{00000000-0005-0000-0000-000082760000}"/>
    <cellStyle name="Normal 3 3 2 4 2 3" xfId="19568" xr:uid="{00000000-0005-0000-0000-000083760000}"/>
    <cellStyle name="Normal 3 3 2 4 2 3 2" xfId="4903" xr:uid="{00000000-0005-0000-0000-000084760000}"/>
    <cellStyle name="Normal 3 3 2 4 2 3 2 2" xfId="4902" xr:uid="{00000000-0005-0000-0000-000085760000}"/>
    <cellStyle name="Normal 3 3 2 4 2 3 3" xfId="4901" xr:uid="{00000000-0005-0000-0000-000086760000}"/>
    <cellStyle name="Normal 3 3 2 4 2 4" xfId="4900" xr:uid="{00000000-0005-0000-0000-000087760000}"/>
    <cellStyle name="Normal 3 3 2 4 2 4 2" xfId="4899" xr:uid="{00000000-0005-0000-0000-000088760000}"/>
    <cellStyle name="Normal 3 3 2 4 2 5" xfId="10279" xr:uid="{00000000-0005-0000-0000-000089760000}"/>
    <cellStyle name="Normal 3 3 2 4 3" xfId="4898" xr:uid="{00000000-0005-0000-0000-00008A760000}"/>
    <cellStyle name="Normal 3 3 2 4 3 2" xfId="4897" xr:uid="{00000000-0005-0000-0000-00008B760000}"/>
    <cellStyle name="Normal 3 3 2 4 3 2 2" xfId="4896" xr:uid="{00000000-0005-0000-0000-00008C760000}"/>
    <cellStyle name="Normal 3 3 2 4 3 2 2 2" xfId="20162" xr:uid="{00000000-0005-0000-0000-00008D760000}"/>
    <cellStyle name="Normal 3 3 2 4 3 2 3" xfId="4895" xr:uid="{00000000-0005-0000-0000-00008E760000}"/>
    <cellStyle name="Normal 3 3 2 4 3 3" xfId="19938" xr:uid="{00000000-0005-0000-0000-00008F760000}"/>
    <cellStyle name="Normal 3 3 2 4 3 3 2" xfId="4894" xr:uid="{00000000-0005-0000-0000-000090760000}"/>
    <cellStyle name="Normal 3 3 2 4 3 4" xfId="4893" xr:uid="{00000000-0005-0000-0000-000091760000}"/>
    <cellStyle name="Normal 3 3 2 4 4" xfId="4892" xr:uid="{00000000-0005-0000-0000-000092760000}"/>
    <cellStyle name="Normal 3 3 2 4 4 2" xfId="4891" xr:uid="{00000000-0005-0000-0000-000093760000}"/>
    <cellStyle name="Normal 3 3 2 4 4 2 2" xfId="4889" xr:uid="{00000000-0005-0000-0000-000094760000}"/>
    <cellStyle name="Normal 3 3 2 4 4 3" xfId="4887" xr:uid="{00000000-0005-0000-0000-000095760000}"/>
    <cellStyle name="Normal 3 3 2 4 5" xfId="22595" xr:uid="{00000000-0005-0000-0000-000096760000}"/>
    <cellStyle name="Normal 3 3 2 4 5 2" xfId="17239" xr:uid="{00000000-0005-0000-0000-000097760000}"/>
    <cellStyle name="Normal 3 3 2 4 6" xfId="17232" xr:uid="{00000000-0005-0000-0000-000098760000}"/>
    <cellStyle name="Normal 3 3 2 5" xfId="4885" xr:uid="{00000000-0005-0000-0000-000099760000}"/>
    <cellStyle name="Normal 3 3 2 5 2" xfId="4884" xr:uid="{00000000-0005-0000-0000-00009A760000}"/>
    <cellStyle name="Normal 3 3 2 5 2 2" xfId="4883" xr:uid="{00000000-0005-0000-0000-00009B760000}"/>
    <cellStyle name="Normal 3 3 2 5 2 2 2" xfId="4882" xr:uid="{00000000-0005-0000-0000-00009C760000}"/>
    <cellStyle name="Normal 3 3 2 5 2 2 2 2" xfId="4881" xr:uid="{00000000-0005-0000-0000-00009D760000}"/>
    <cellStyle name="Normal 3 3 2 5 2 2 3" xfId="4880" xr:uid="{00000000-0005-0000-0000-00009E760000}"/>
    <cellStyle name="Normal 3 3 2 5 2 3" xfId="4879" xr:uid="{00000000-0005-0000-0000-00009F760000}"/>
    <cellStyle name="Normal 3 3 2 5 2 3 2" xfId="4878" xr:uid="{00000000-0005-0000-0000-0000A0760000}"/>
    <cellStyle name="Normal 3 3 2 5 2 4" xfId="32072" xr:uid="{00000000-0005-0000-0000-0000A1760000}"/>
    <cellStyle name="Normal 3 3 2 5 3" xfId="4877" xr:uid="{00000000-0005-0000-0000-0000A2760000}"/>
    <cellStyle name="Normal 3 3 2 5 3 2" xfId="4876" xr:uid="{00000000-0005-0000-0000-0000A3760000}"/>
    <cellStyle name="Normal 3 3 2 5 3 2 2" xfId="24680" xr:uid="{00000000-0005-0000-0000-0000A4760000}"/>
    <cellStyle name="Normal 3 3 2 5 3 3" xfId="4875" xr:uid="{00000000-0005-0000-0000-0000A5760000}"/>
    <cellStyle name="Normal 3 3 2 5 4" xfId="4874" xr:uid="{00000000-0005-0000-0000-0000A6760000}"/>
    <cellStyle name="Normal 3 3 2 5 4 2" xfId="4873" xr:uid="{00000000-0005-0000-0000-0000A7760000}"/>
    <cellStyle name="Normal 3 3 2 5 5" xfId="32704" xr:uid="{00000000-0005-0000-0000-0000A8760000}"/>
    <cellStyle name="Normal 3 3 2 6" xfId="4871" xr:uid="{00000000-0005-0000-0000-0000A9760000}"/>
    <cellStyle name="Normal 3 3 2 6 2" xfId="4870" xr:uid="{00000000-0005-0000-0000-0000AA760000}"/>
    <cellStyle name="Normal 3 3 2 6 2 2" xfId="4869" xr:uid="{00000000-0005-0000-0000-0000AB760000}"/>
    <cellStyle name="Normal 3 3 2 6 2 2 2" xfId="4868" xr:uid="{00000000-0005-0000-0000-0000AC760000}"/>
    <cellStyle name="Normal 3 3 2 6 2 3" xfId="4867" xr:uid="{00000000-0005-0000-0000-0000AD760000}"/>
    <cellStyle name="Normal 3 3 2 6 3" xfId="4866" xr:uid="{00000000-0005-0000-0000-0000AE760000}"/>
    <cellStyle name="Normal 3 3 2 6 3 2" xfId="4865" xr:uid="{00000000-0005-0000-0000-0000AF760000}"/>
    <cellStyle name="Normal 3 3 2 6 4" xfId="4864" xr:uid="{00000000-0005-0000-0000-0000B0760000}"/>
    <cellStyle name="Normal 3 3 2 7" xfId="9394" xr:uid="{00000000-0005-0000-0000-0000B1760000}"/>
    <cellStyle name="Normal 3 3 2 7 2" xfId="8015" xr:uid="{00000000-0005-0000-0000-0000B2760000}"/>
    <cellStyle name="Normal 3 3 2 7 2 2" xfId="4863" xr:uid="{00000000-0005-0000-0000-0000B3760000}"/>
    <cellStyle name="Normal 3 3 2 7 3" xfId="4862" xr:uid="{00000000-0005-0000-0000-0000B4760000}"/>
    <cellStyle name="Normal 3 3 2 8" xfId="4861" xr:uid="{00000000-0005-0000-0000-0000B5760000}"/>
    <cellStyle name="Normal 3 3 2 8 2" xfId="4860" xr:uid="{00000000-0005-0000-0000-0000B6760000}"/>
    <cellStyle name="Normal 3 3 2 9" xfId="15228" xr:uid="{00000000-0005-0000-0000-0000B7760000}"/>
    <cellStyle name="Normal 3 3 3" xfId="4859" xr:uid="{00000000-0005-0000-0000-0000B8760000}"/>
    <cellStyle name="Normal 3 3 3 2" xfId="4858" xr:uid="{00000000-0005-0000-0000-0000B9760000}"/>
    <cellStyle name="Normal 3 3 3 2 2" xfId="4857" xr:uid="{00000000-0005-0000-0000-0000BA760000}"/>
    <cellStyle name="Normal 3 3 3 2 2 2" xfId="4856" xr:uid="{00000000-0005-0000-0000-0000BB760000}"/>
    <cellStyle name="Normal 3 3 3 2 2 2 2" xfId="4855" xr:uid="{00000000-0005-0000-0000-0000BC760000}"/>
    <cellStyle name="Normal 3 3 3 2 2 2 2 2" xfId="4854" xr:uid="{00000000-0005-0000-0000-0000BD760000}"/>
    <cellStyle name="Normal 3 3 3 2 2 2 2 2 2" xfId="4853" xr:uid="{00000000-0005-0000-0000-0000BE760000}"/>
    <cellStyle name="Normal 3 3 3 2 2 2 2 2 2 2" xfId="21256" xr:uid="{00000000-0005-0000-0000-0000BF760000}"/>
    <cellStyle name="Normal 3 3 3 2 2 2 2 2 3" xfId="22300" xr:uid="{00000000-0005-0000-0000-0000C0760000}"/>
    <cellStyle name="Normal 3 3 3 2 2 2 2 3" xfId="30208" xr:uid="{00000000-0005-0000-0000-0000C1760000}"/>
    <cellStyle name="Normal 3 3 3 2 2 2 2 3 2" xfId="25596" xr:uid="{00000000-0005-0000-0000-0000C2760000}"/>
    <cellStyle name="Normal 3 3 3 2 2 2 2 4" xfId="20304" xr:uid="{00000000-0005-0000-0000-0000C3760000}"/>
    <cellStyle name="Normal 3 3 3 2 2 2 3" xfId="4852" xr:uid="{00000000-0005-0000-0000-0000C4760000}"/>
    <cellStyle name="Normal 3 3 3 2 2 2 3 2" xfId="4851" xr:uid="{00000000-0005-0000-0000-0000C5760000}"/>
    <cellStyle name="Normal 3 3 3 2 2 2 3 2 2" xfId="4850" xr:uid="{00000000-0005-0000-0000-0000C6760000}"/>
    <cellStyle name="Normal 3 3 3 2 2 2 3 3" xfId="4849" xr:uid="{00000000-0005-0000-0000-0000C7760000}"/>
    <cellStyle name="Normal 3 3 3 2 2 2 4" xfId="4848" xr:uid="{00000000-0005-0000-0000-0000C8760000}"/>
    <cellStyle name="Normal 3 3 3 2 2 2 4 2" xfId="4847" xr:uid="{00000000-0005-0000-0000-0000C9760000}"/>
    <cellStyle name="Normal 3 3 3 2 2 2 5" xfId="4846" xr:uid="{00000000-0005-0000-0000-0000CA760000}"/>
    <cellStyle name="Normal 3 3 3 2 2 3" xfId="4845" xr:uid="{00000000-0005-0000-0000-0000CB760000}"/>
    <cellStyle name="Normal 3 3 3 2 2 3 2" xfId="4844" xr:uid="{00000000-0005-0000-0000-0000CC760000}"/>
    <cellStyle name="Normal 3 3 3 2 2 3 2 2" xfId="4843" xr:uid="{00000000-0005-0000-0000-0000CD760000}"/>
    <cellStyle name="Normal 3 3 3 2 2 3 2 2 2" xfId="4842" xr:uid="{00000000-0005-0000-0000-0000CE760000}"/>
    <cellStyle name="Normal 3 3 3 2 2 3 2 3" xfId="4841" xr:uid="{00000000-0005-0000-0000-0000CF760000}"/>
    <cellStyle name="Normal 3 3 3 2 2 3 3" xfId="4840" xr:uid="{00000000-0005-0000-0000-0000D0760000}"/>
    <cellStyle name="Normal 3 3 3 2 2 3 3 2" xfId="4839" xr:uid="{00000000-0005-0000-0000-0000D1760000}"/>
    <cellStyle name="Normal 3 3 3 2 2 3 4" xfId="4838" xr:uid="{00000000-0005-0000-0000-0000D2760000}"/>
    <cellStyle name="Normal 3 3 3 2 2 4" xfId="19220" xr:uid="{00000000-0005-0000-0000-0000D3760000}"/>
    <cellStyle name="Normal 3 3 3 2 2 4 2" xfId="24143" xr:uid="{00000000-0005-0000-0000-0000D4760000}"/>
    <cellStyle name="Normal 3 3 3 2 2 4 2 2" xfId="22611" xr:uid="{00000000-0005-0000-0000-0000D5760000}"/>
    <cellStyle name="Normal 3 3 3 2 2 4 3" xfId="24135" xr:uid="{00000000-0005-0000-0000-0000D6760000}"/>
    <cellStyle name="Normal 3 3 3 2 2 5" xfId="22578" xr:uid="{00000000-0005-0000-0000-0000D7760000}"/>
    <cellStyle name="Normal 3 3 3 2 2 5 2" xfId="6847" xr:uid="{00000000-0005-0000-0000-0000D8760000}"/>
    <cellStyle name="Normal 3 3 3 2 2 6" xfId="22553" xr:uid="{00000000-0005-0000-0000-0000D9760000}"/>
    <cellStyle name="Normal 3 3 3 2 3" xfId="4837" xr:uid="{00000000-0005-0000-0000-0000DA760000}"/>
    <cellStyle name="Normal 3 3 3 2 3 2" xfId="4836" xr:uid="{00000000-0005-0000-0000-0000DB760000}"/>
    <cellStyle name="Normal 3 3 3 2 3 2 2" xfId="4835" xr:uid="{00000000-0005-0000-0000-0000DC760000}"/>
    <cellStyle name="Normal 3 3 3 2 3 2 2 2" xfId="4834" xr:uid="{00000000-0005-0000-0000-0000DD760000}"/>
    <cellStyle name="Normal 3 3 3 2 3 2 2 2 2" xfId="4833" xr:uid="{00000000-0005-0000-0000-0000DE760000}"/>
    <cellStyle name="Normal 3 3 3 2 3 2 2 3" xfId="4832" xr:uid="{00000000-0005-0000-0000-0000DF760000}"/>
    <cellStyle name="Normal 3 3 3 2 3 2 3" xfId="4831" xr:uid="{00000000-0005-0000-0000-0000E0760000}"/>
    <cellStyle name="Normal 3 3 3 2 3 2 3 2" xfId="4830" xr:uid="{00000000-0005-0000-0000-0000E1760000}"/>
    <cellStyle name="Normal 3 3 3 2 3 2 4" xfId="4829" xr:uid="{00000000-0005-0000-0000-0000E2760000}"/>
    <cellStyle name="Normal 3 3 3 2 3 3" xfId="19826" xr:uid="{00000000-0005-0000-0000-0000E3760000}"/>
    <cellStyle name="Normal 3 3 3 2 3 3 2" xfId="4828" xr:uid="{00000000-0005-0000-0000-0000E4760000}"/>
    <cellStyle name="Normal 3 3 3 2 3 3 2 2" xfId="4826" xr:uid="{00000000-0005-0000-0000-0000E5760000}"/>
    <cellStyle name="Normal 3 3 3 2 3 3 3" xfId="4825" xr:uid="{00000000-0005-0000-0000-0000E6760000}"/>
    <cellStyle name="Normal 3 3 3 2 3 4" xfId="19823" xr:uid="{00000000-0005-0000-0000-0000E7760000}"/>
    <cellStyle name="Normal 3 3 3 2 3 4 2" xfId="24116" xr:uid="{00000000-0005-0000-0000-0000E8760000}"/>
    <cellStyle name="Normal 3 3 3 2 3 5" xfId="22415" xr:uid="{00000000-0005-0000-0000-0000E9760000}"/>
    <cellStyle name="Normal 3 3 3 2 4" xfId="4824" xr:uid="{00000000-0005-0000-0000-0000EA760000}"/>
    <cellStyle name="Normal 3 3 3 2 4 2" xfId="4823" xr:uid="{00000000-0005-0000-0000-0000EB760000}"/>
    <cellStyle name="Normal 3 3 3 2 4 2 2" xfId="4822" xr:uid="{00000000-0005-0000-0000-0000EC760000}"/>
    <cellStyle name="Normal 3 3 3 2 4 2 2 2" xfId="4820" xr:uid="{00000000-0005-0000-0000-0000ED760000}"/>
    <cellStyle name="Normal 3 3 3 2 4 2 3" xfId="4818" xr:uid="{00000000-0005-0000-0000-0000EE760000}"/>
    <cellStyle name="Normal 3 3 3 2 4 3" xfId="19810" xr:uid="{00000000-0005-0000-0000-0000EF760000}"/>
    <cellStyle name="Normal 3 3 3 2 4 3 2" xfId="4816" xr:uid="{00000000-0005-0000-0000-0000F0760000}"/>
    <cellStyle name="Normal 3 3 3 2 4 4" xfId="28159" xr:uid="{00000000-0005-0000-0000-0000F1760000}"/>
    <cellStyle name="Normal 3 3 3 2 5" xfId="5984" xr:uid="{00000000-0005-0000-0000-0000F2760000}"/>
    <cellStyle name="Normal 3 3 3 2 5 2" xfId="5982" xr:uid="{00000000-0005-0000-0000-0000F3760000}"/>
    <cellStyle name="Normal 3 3 3 2 5 2 2" xfId="5980" xr:uid="{00000000-0005-0000-0000-0000F4760000}"/>
    <cellStyle name="Normal 3 3 3 2 5 3" xfId="5977" xr:uid="{00000000-0005-0000-0000-0000F5760000}"/>
    <cellStyle name="Normal 3 3 3 2 6" xfId="11335" xr:uid="{00000000-0005-0000-0000-0000F6760000}"/>
    <cellStyle name="Normal 3 3 3 2 6 2" xfId="13968" xr:uid="{00000000-0005-0000-0000-0000F7760000}"/>
    <cellStyle name="Normal 3 3 3 2 7" xfId="11329" xr:uid="{00000000-0005-0000-0000-0000F8760000}"/>
    <cellStyle name="Normal 3 3 3 3" xfId="4815" xr:uid="{00000000-0005-0000-0000-0000F9760000}"/>
    <cellStyle name="Normal 3 3 3 3 2" xfId="4814" xr:uid="{00000000-0005-0000-0000-0000FA760000}"/>
    <cellStyle name="Normal 3 3 3 3 2 2" xfId="4813" xr:uid="{00000000-0005-0000-0000-0000FB760000}"/>
    <cellStyle name="Normal 3 3 3 3 2 2 2" xfId="29195" xr:uid="{00000000-0005-0000-0000-0000FC760000}"/>
    <cellStyle name="Normal 3 3 3 3 2 2 2 2" xfId="4812" xr:uid="{00000000-0005-0000-0000-0000FD760000}"/>
    <cellStyle name="Normal 3 3 3 3 2 2 2 2 2" xfId="4811" xr:uid="{00000000-0005-0000-0000-0000FE760000}"/>
    <cellStyle name="Normal 3 3 3 3 2 2 2 3" xfId="4810" xr:uid="{00000000-0005-0000-0000-0000FF760000}"/>
    <cellStyle name="Normal 3 3 3 3 2 2 3" xfId="4808" xr:uid="{00000000-0005-0000-0000-000000770000}"/>
    <cellStyle name="Normal 3 3 3 3 2 2 3 2" xfId="34331" xr:uid="{00000000-0005-0000-0000-000001770000}"/>
    <cellStyle name="Normal 3 3 3 3 2 2 4" xfId="24507" xr:uid="{00000000-0005-0000-0000-000002770000}"/>
    <cellStyle name="Normal 3 3 3 3 2 3" xfId="4807" xr:uid="{00000000-0005-0000-0000-000003770000}"/>
    <cellStyle name="Normal 3 3 3 3 2 3 2" xfId="4806" xr:uid="{00000000-0005-0000-0000-000004770000}"/>
    <cellStyle name="Normal 3 3 3 3 2 3 2 2" xfId="4805" xr:uid="{00000000-0005-0000-0000-000005770000}"/>
    <cellStyle name="Normal 3 3 3 3 2 3 3" xfId="4804" xr:uid="{00000000-0005-0000-0000-000006770000}"/>
    <cellStyle name="Normal 3 3 3 3 2 4" xfId="20388" xr:uid="{00000000-0005-0000-0000-000007770000}"/>
    <cellStyle name="Normal 3 3 3 3 2 4 2" xfId="24100" xr:uid="{00000000-0005-0000-0000-000008770000}"/>
    <cellStyle name="Normal 3 3 3 3 2 5" xfId="10262" xr:uid="{00000000-0005-0000-0000-000009770000}"/>
    <cellStyle name="Normal 3 3 3 3 3" xfId="4803" xr:uid="{00000000-0005-0000-0000-00000A770000}"/>
    <cellStyle name="Normal 3 3 3 3 3 2" xfId="4802" xr:uid="{00000000-0005-0000-0000-00000B770000}"/>
    <cellStyle name="Normal 3 3 3 3 3 2 2" xfId="4801" xr:uid="{00000000-0005-0000-0000-00000C770000}"/>
    <cellStyle name="Normal 3 3 3 3 3 2 2 2" xfId="4800" xr:uid="{00000000-0005-0000-0000-00000D770000}"/>
    <cellStyle name="Normal 3 3 3 3 3 2 3" xfId="4799" xr:uid="{00000000-0005-0000-0000-00000E770000}"/>
    <cellStyle name="Normal 3 3 3 3 3 3" xfId="19806" xr:uid="{00000000-0005-0000-0000-00000F770000}"/>
    <cellStyle name="Normal 3 3 3 3 3 3 2" xfId="4798" xr:uid="{00000000-0005-0000-0000-000010770000}"/>
    <cellStyle name="Normal 3 3 3 3 3 4" xfId="20252" xr:uid="{00000000-0005-0000-0000-000011770000}"/>
    <cellStyle name="Normal 3 3 3 3 4" xfId="24850" xr:uid="{00000000-0005-0000-0000-000012770000}"/>
    <cellStyle name="Normal 3 3 3 3 4 2" xfId="13835" xr:uid="{00000000-0005-0000-0000-000013770000}"/>
    <cellStyle name="Normal 3 3 3 3 4 2 2" xfId="29910" xr:uid="{00000000-0005-0000-0000-000014770000}"/>
    <cellStyle name="Normal 3 3 3 3 4 3" xfId="4797" xr:uid="{00000000-0005-0000-0000-000015770000}"/>
    <cellStyle name="Normal 3 3 3 3 5" xfId="29199" xr:uid="{00000000-0005-0000-0000-000016770000}"/>
    <cellStyle name="Normal 3 3 3 3 5 2" xfId="17203" xr:uid="{00000000-0005-0000-0000-000017770000}"/>
    <cellStyle name="Normal 3 3 3 3 6" xfId="33528" xr:uid="{00000000-0005-0000-0000-000018770000}"/>
    <cellStyle name="Normal 3 3 3 4" xfId="4796" xr:uid="{00000000-0005-0000-0000-000019770000}"/>
    <cellStyle name="Normal 3 3 3 4 2" xfId="4795" xr:uid="{00000000-0005-0000-0000-00001A770000}"/>
    <cellStyle name="Normal 3 3 3 4 2 2" xfId="4794" xr:uid="{00000000-0005-0000-0000-00001B770000}"/>
    <cellStyle name="Normal 3 3 3 4 2 2 2" xfId="28699" xr:uid="{00000000-0005-0000-0000-00001C770000}"/>
    <cellStyle name="Normal 3 3 3 4 2 2 2 2" xfId="4793" xr:uid="{00000000-0005-0000-0000-00001D770000}"/>
    <cellStyle name="Normal 3 3 3 4 2 2 3" xfId="4792" xr:uid="{00000000-0005-0000-0000-00001E770000}"/>
    <cellStyle name="Normal 3 3 3 4 2 3" xfId="4791" xr:uid="{00000000-0005-0000-0000-00001F770000}"/>
    <cellStyle name="Normal 3 3 3 4 2 3 2" xfId="25040" xr:uid="{00000000-0005-0000-0000-000020770000}"/>
    <cellStyle name="Normal 3 3 3 4 2 4" xfId="24323" xr:uid="{00000000-0005-0000-0000-000021770000}"/>
    <cellStyle name="Normal 3 3 3 4 3" xfId="4790" xr:uid="{00000000-0005-0000-0000-000022770000}"/>
    <cellStyle name="Normal 3 3 3 4 3 2" xfId="4789" xr:uid="{00000000-0005-0000-0000-000023770000}"/>
    <cellStyle name="Normal 3 3 3 4 3 2 2" xfId="4787" xr:uid="{00000000-0005-0000-0000-000024770000}"/>
    <cellStyle name="Normal 3 3 3 4 3 3" xfId="4785" xr:uid="{00000000-0005-0000-0000-000025770000}"/>
    <cellStyle name="Normal 3 3 3 4 4" xfId="32668" xr:uid="{00000000-0005-0000-0000-000026770000}"/>
    <cellStyle name="Normal 3 3 3 4 4 2" xfId="4783" xr:uid="{00000000-0005-0000-0000-000027770000}"/>
    <cellStyle name="Normal 3 3 3 4 5" xfId="33759" xr:uid="{00000000-0005-0000-0000-000028770000}"/>
    <cellStyle name="Normal 3 3 3 5" xfId="4780" xr:uid="{00000000-0005-0000-0000-000029770000}"/>
    <cellStyle name="Normal 3 3 3 5 2" xfId="4779" xr:uid="{00000000-0005-0000-0000-00002A770000}"/>
    <cellStyle name="Normal 3 3 3 5 2 2" xfId="4778" xr:uid="{00000000-0005-0000-0000-00002B770000}"/>
    <cellStyle name="Normal 3 3 3 5 2 2 2" xfId="4777" xr:uid="{00000000-0005-0000-0000-00002C770000}"/>
    <cellStyle name="Normal 3 3 3 5 2 3" xfId="4776" xr:uid="{00000000-0005-0000-0000-00002D770000}"/>
    <cellStyle name="Normal 3 3 3 5 3" xfId="4775" xr:uid="{00000000-0005-0000-0000-00002E770000}"/>
    <cellStyle name="Normal 3 3 3 5 3 2" xfId="4773" xr:uid="{00000000-0005-0000-0000-00002F770000}"/>
    <cellStyle name="Normal 3 3 3 5 4" xfId="4771" xr:uid="{00000000-0005-0000-0000-000030770000}"/>
    <cellStyle name="Normal 3 3 3 6" xfId="4770" xr:uid="{00000000-0005-0000-0000-000031770000}"/>
    <cellStyle name="Normal 3 3 3 6 2" xfId="31379" xr:uid="{00000000-0005-0000-0000-000032770000}"/>
    <cellStyle name="Normal 3 3 3 6 2 2" xfId="4769" xr:uid="{00000000-0005-0000-0000-000033770000}"/>
    <cellStyle name="Normal 3 3 3 6 3" xfId="4768" xr:uid="{00000000-0005-0000-0000-000034770000}"/>
    <cellStyle name="Normal 3 3 3 7" xfId="4767" xr:uid="{00000000-0005-0000-0000-000035770000}"/>
    <cellStyle name="Normal 3 3 3 7 2" xfId="4766" xr:uid="{00000000-0005-0000-0000-000036770000}"/>
    <cellStyle name="Normal 3 3 3 8" xfId="4765" xr:uid="{00000000-0005-0000-0000-000037770000}"/>
    <cellStyle name="Normal 3 3 4" xfId="29901" xr:uid="{00000000-0005-0000-0000-000038770000}"/>
    <cellStyle name="Normal 3 3 4 2" xfId="32423" xr:uid="{00000000-0005-0000-0000-000039770000}"/>
    <cellStyle name="Normal 3 3 4 2 2" xfId="29897" xr:uid="{00000000-0005-0000-0000-00003A770000}"/>
    <cellStyle name="Normal 3 3 4 2 2 2" xfId="26773" xr:uid="{00000000-0005-0000-0000-00003B770000}"/>
    <cellStyle name="Normal 3 3 4 2 2 2 2" xfId="9511" xr:uid="{00000000-0005-0000-0000-00003C770000}"/>
    <cellStyle name="Normal 3 3 4 2 2 2 2 2" xfId="4764" xr:uid="{00000000-0005-0000-0000-00003D770000}"/>
    <cellStyle name="Normal 3 3 4 2 2 2 2 2 2" xfId="4763" xr:uid="{00000000-0005-0000-0000-00003E770000}"/>
    <cellStyle name="Normal 3 3 4 2 2 2 2 3" xfId="4762" xr:uid="{00000000-0005-0000-0000-00003F770000}"/>
    <cellStyle name="Normal 3 3 4 2 2 2 3" xfId="4761" xr:uid="{00000000-0005-0000-0000-000040770000}"/>
    <cellStyle name="Normal 3 3 4 2 2 2 3 2" xfId="4760" xr:uid="{00000000-0005-0000-0000-000041770000}"/>
    <cellStyle name="Normal 3 3 4 2 2 2 4" xfId="4759" xr:uid="{00000000-0005-0000-0000-000042770000}"/>
    <cellStyle name="Normal 3 3 4 2 2 3" xfId="29878" xr:uid="{00000000-0005-0000-0000-000043770000}"/>
    <cellStyle name="Normal 3 3 4 2 2 3 2" xfId="4758" xr:uid="{00000000-0005-0000-0000-000044770000}"/>
    <cellStyle name="Normal 3 3 4 2 2 3 2 2" xfId="4757" xr:uid="{00000000-0005-0000-0000-000045770000}"/>
    <cellStyle name="Normal 3 3 4 2 2 3 3" xfId="15167" xr:uid="{00000000-0005-0000-0000-000046770000}"/>
    <cellStyle name="Normal 3 3 4 2 2 4" xfId="29245" xr:uid="{00000000-0005-0000-0000-000047770000}"/>
    <cellStyle name="Normal 3 3 4 2 2 4 2" xfId="4756" xr:uid="{00000000-0005-0000-0000-000048770000}"/>
    <cellStyle name="Normal 3 3 4 2 2 5" xfId="29849" xr:uid="{00000000-0005-0000-0000-000049770000}"/>
    <cellStyle name="Normal 3 3 4 2 3" xfId="29843" xr:uid="{00000000-0005-0000-0000-00004A770000}"/>
    <cellStyle name="Normal 3 3 4 2 3 2" xfId="29841" xr:uid="{00000000-0005-0000-0000-00004B770000}"/>
    <cellStyle name="Normal 3 3 4 2 3 2 2" xfId="4755" xr:uid="{00000000-0005-0000-0000-00004C770000}"/>
    <cellStyle name="Normal 3 3 4 2 3 2 2 2" xfId="4754" xr:uid="{00000000-0005-0000-0000-00004D770000}"/>
    <cellStyle name="Normal 3 3 4 2 3 2 3" xfId="4753" xr:uid="{00000000-0005-0000-0000-00004E770000}"/>
    <cellStyle name="Normal 3 3 4 2 3 3" xfId="19765" xr:uid="{00000000-0005-0000-0000-00004F770000}"/>
    <cellStyle name="Normal 3 3 4 2 3 3 2" xfId="4752" xr:uid="{00000000-0005-0000-0000-000050770000}"/>
    <cellStyle name="Normal 3 3 4 2 3 4" xfId="29829" xr:uid="{00000000-0005-0000-0000-000051770000}"/>
    <cellStyle name="Normal 3 3 4 2 4" xfId="31281" xr:uid="{00000000-0005-0000-0000-000052770000}"/>
    <cellStyle name="Normal 3 3 4 2 4 2" xfId="26758" xr:uid="{00000000-0005-0000-0000-000053770000}"/>
    <cellStyle name="Normal 3 3 4 2 4 2 2" xfId="4751" xr:uid="{00000000-0005-0000-0000-000054770000}"/>
    <cellStyle name="Normal 3 3 4 2 4 3" xfId="20261" xr:uid="{00000000-0005-0000-0000-000055770000}"/>
    <cellStyle name="Normal 3 3 4 2 5" xfId="19753" xr:uid="{00000000-0005-0000-0000-000056770000}"/>
    <cellStyle name="Normal 3 3 4 2 5 2" xfId="27636" xr:uid="{00000000-0005-0000-0000-000057770000}"/>
    <cellStyle name="Normal 3 3 4 2 6" xfId="19746" xr:uid="{00000000-0005-0000-0000-000058770000}"/>
    <cellStyle name="Normal 3 3 4 3" xfId="32136" xr:uid="{00000000-0005-0000-0000-000059770000}"/>
    <cellStyle name="Normal 3 3 4 3 2" xfId="29799" xr:uid="{00000000-0005-0000-0000-00005A770000}"/>
    <cellStyle name="Normal 3 3 4 3 2 2" xfId="26682" xr:uid="{00000000-0005-0000-0000-00005B770000}"/>
    <cellStyle name="Normal 3 3 4 3 2 2 2" xfId="4749" xr:uid="{00000000-0005-0000-0000-00005C770000}"/>
    <cellStyle name="Normal 3 3 4 3 2 2 2 2" xfId="4748" xr:uid="{00000000-0005-0000-0000-00005D770000}"/>
    <cellStyle name="Normal 3 3 4 3 2 2 3" xfId="4747" xr:uid="{00000000-0005-0000-0000-00005E770000}"/>
    <cellStyle name="Normal 3 3 4 3 2 3" xfId="22515" xr:uid="{00000000-0005-0000-0000-00005F770000}"/>
    <cellStyle name="Normal 3 3 4 3 2 3 2" xfId="4746" xr:uid="{00000000-0005-0000-0000-000060770000}"/>
    <cellStyle name="Normal 3 3 4 3 2 4" xfId="29791" xr:uid="{00000000-0005-0000-0000-000061770000}"/>
    <cellStyle name="Normal 3 3 4 3 3" xfId="17216" xr:uid="{00000000-0005-0000-0000-000062770000}"/>
    <cellStyle name="Normal 3 3 4 3 3 2" xfId="26673" xr:uid="{00000000-0005-0000-0000-000063770000}"/>
    <cellStyle name="Normal 3 3 4 3 3 2 2" xfId="4745" xr:uid="{00000000-0005-0000-0000-000064770000}"/>
    <cellStyle name="Normal 3 3 4 3 3 3" xfId="29785" xr:uid="{00000000-0005-0000-0000-000065770000}"/>
    <cellStyle name="Normal 3 3 4 3 4" xfId="29782" xr:uid="{00000000-0005-0000-0000-000066770000}"/>
    <cellStyle name="Normal 3 3 4 3 4 2" xfId="31980" xr:uid="{00000000-0005-0000-0000-000067770000}"/>
    <cellStyle name="Normal 3 3 4 3 5" xfId="19736" xr:uid="{00000000-0005-0000-0000-000068770000}"/>
    <cellStyle name="Normal 3 3 4 4" xfId="20594" xr:uid="{00000000-0005-0000-0000-000069770000}"/>
    <cellStyle name="Normal 3 3 4 4 2" xfId="29778" xr:uid="{00000000-0005-0000-0000-00006A770000}"/>
    <cellStyle name="Normal 3 3 4 4 2 2" xfId="25841" xr:uid="{00000000-0005-0000-0000-00006B770000}"/>
    <cellStyle name="Normal 3 3 4 4 2 2 2" xfId="4744" xr:uid="{00000000-0005-0000-0000-00006C770000}"/>
    <cellStyle name="Normal 3 3 4 4 2 3" xfId="29776" xr:uid="{00000000-0005-0000-0000-00006D770000}"/>
    <cellStyle name="Normal 3 3 4 4 3" xfId="29774" xr:uid="{00000000-0005-0000-0000-00006E770000}"/>
    <cellStyle name="Normal 3 3 4 4 3 2" xfId="29768" xr:uid="{00000000-0005-0000-0000-00006F770000}"/>
    <cellStyle name="Normal 3 3 4 4 4" xfId="29765" xr:uid="{00000000-0005-0000-0000-000070770000}"/>
    <cellStyle name="Normal 3 3 4 5" xfId="30072" xr:uid="{00000000-0005-0000-0000-000071770000}"/>
    <cellStyle name="Normal 3 3 4 5 2" xfId="29760" xr:uid="{00000000-0005-0000-0000-000072770000}"/>
    <cellStyle name="Normal 3 3 4 5 2 2" xfId="29754" xr:uid="{00000000-0005-0000-0000-000073770000}"/>
    <cellStyle name="Normal 3 3 4 5 3" xfId="29751" xr:uid="{00000000-0005-0000-0000-000074770000}"/>
    <cellStyle name="Normal 3 3 4 6" xfId="30063" xr:uid="{00000000-0005-0000-0000-000075770000}"/>
    <cellStyle name="Normal 3 3 4 6 2" xfId="29745" xr:uid="{00000000-0005-0000-0000-000076770000}"/>
    <cellStyle name="Normal 3 3 4 7" xfId="29742" xr:uid="{00000000-0005-0000-0000-000077770000}"/>
    <cellStyle name="Normal 3 3 5" xfId="28925" xr:uid="{00000000-0005-0000-0000-000078770000}"/>
    <cellStyle name="Normal 3 3 5 2" xfId="33827" xr:uid="{00000000-0005-0000-0000-000079770000}"/>
    <cellStyle name="Normal 3 3 5 2 2" xfId="29737" xr:uid="{00000000-0005-0000-0000-00007A770000}"/>
    <cellStyle name="Normal 3 3 5 2 2 2" xfId="29722" xr:uid="{00000000-0005-0000-0000-00007B770000}"/>
    <cellStyle name="Normal 3 3 5 2 2 2 2" xfId="25763" xr:uid="{00000000-0005-0000-0000-00007C770000}"/>
    <cellStyle name="Normal 3 3 5 2 2 2 2 2" xfId="4743" xr:uid="{00000000-0005-0000-0000-00007D770000}"/>
    <cellStyle name="Normal 3 3 5 2 2 2 3" xfId="4742" xr:uid="{00000000-0005-0000-0000-00007E770000}"/>
    <cellStyle name="Normal 3 3 5 2 2 3" xfId="11295" xr:uid="{00000000-0005-0000-0000-00007F770000}"/>
    <cellStyle name="Normal 3 3 5 2 2 3 2" xfId="4741" xr:uid="{00000000-0005-0000-0000-000080770000}"/>
    <cellStyle name="Normal 3 3 5 2 2 4" xfId="5580" xr:uid="{00000000-0005-0000-0000-000081770000}"/>
    <cellStyle name="Normal 3 3 5 2 3" xfId="29704" xr:uid="{00000000-0005-0000-0000-000082770000}"/>
    <cellStyle name="Normal 3 3 5 2 3 2" xfId="11290" xr:uid="{00000000-0005-0000-0000-000083770000}"/>
    <cellStyle name="Normal 3 3 5 2 3 2 2" xfId="4740" xr:uid="{00000000-0005-0000-0000-000084770000}"/>
    <cellStyle name="Normal 3 3 5 2 3 3" xfId="20335" xr:uid="{00000000-0005-0000-0000-000085770000}"/>
    <cellStyle name="Normal 3 3 5 2 4" xfId="27022" xr:uid="{00000000-0005-0000-0000-000086770000}"/>
    <cellStyle name="Normal 3 3 5 2 4 2" xfId="20325" xr:uid="{00000000-0005-0000-0000-000087770000}"/>
    <cellStyle name="Normal 3 3 5 2 5" xfId="19728" xr:uid="{00000000-0005-0000-0000-000088770000}"/>
    <cellStyle name="Normal 3 3 5 3" xfId="20590" xr:uid="{00000000-0005-0000-0000-000089770000}"/>
    <cellStyle name="Normal 3 3 5 3 2" xfId="29678" xr:uid="{00000000-0005-0000-0000-00008A770000}"/>
    <cellStyle name="Normal 3 3 5 3 2 2" xfId="11276" xr:uid="{00000000-0005-0000-0000-00008B770000}"/>
    <cellStyle name="Normal 3 3 5 3 2 2 2" xfId="4739" xr:uid="{00000000-0005-0000-0000-00008C770000}"/>
    <cellStyle name="Normal 3 3 5 3 2 3" xfId="29672" xr:uid="{00000000-0005-0000-0000-00008D770000}"/>
    <cellStyle name="Normal 3 3 5 3 3" xfId="27012" xr:uid="{00000000-0005-0000-0000-00008E770000}"/>
    <cellStyle name="Normal 3 3 5 3 3 2" xfId="28803" xr:uid="{00000000-0005-0000-0000-00008F770000}"/>
    <cellStyle name="Normal 3 3 5 3 4" xfId="29504" xr:uid="{00000000-0005-0000-0000-000090770000}"/>
    <cellStyle name="Normal 3 3 5 4" xfId="30052" xr:uid="{00000000-0005-0000-0000-000091770000}"/>
    <cellStyle name="Normal 3 3 5 4 2" xfId="28435" xr:uid="{00000000-0005-0000-0000-000092770000}"/>
    <cellStyle name="Normal 3 3 5 4 2 2" xfId="29655" xr:uid="{00000000-0005-0000-0000-000093770000}"/>
    <cellStyle name="Normal 3 3 5 4 3" xfId="30550" xr:uid="{00000000-0005-0000-0000-000094770000}"/>
    <cellStyle name="Normal 3 3 5 5" xfId="30047" xr:uid="{00000000-0005-0000-0000-000095770000}"/>
    <cellStyle name="Normal 3 3 5 5 2" xfId="30537" xr:uid="{00000000-0005-0000-0000-000096770000}"/>
    <cellStyle name="Normal 3 3 5 6" xfId="29651" xr:uid="{00000000-0005-0000-0000-000097770000}"/>
    <cellStyle name="Normal 3 3 6" xfId="21365" xr:uid="{00000000-0005-0000-0000-000098770000}"/>
    <cellStyle name="Normal 3 3 6 2" xfId="32517" xr:uid="{00000000-0005-0000-0000-000099770000}"/>
    <cellStyle name="Normal 3 3 6 2 2" xfId="29643" xr:uid="{00000000-0005-0000-0000-00009A770000}"/>
    <cellStyle name="Normal 3 3 6 2 2 2" xfId="11230" xr:uid="{00000000-0005-0000-0000-00009B770000}"/>
    <cellStyle name="Normal 3 3 6 2 2 2 2" xfId="4738" xr:uid="{00000000-0005-0000-0000-00009C770000}"/>
    <cellStyle name="Normal 3 3 6 2 2 3" xfId="29638" xr:uid="{00000000-0005-0000-0000-00009D770000}"/>
    <cellStyle name="Normal 3 3 6 2 3" xfId="29633" xr:uid="{00000000-0005-0000-0000-00009E770000}"/>
    <cellStyle name="Normal 3 3 6 2 3 2" xfId="29629" xr:uid="{00000000-0005-0000-0000-00009F770000}"/>
    <cellStyle name="Normal 3 3 6 2 4" xfId="29881" xr:uid="{00000000-0005-0000-0000-0000A0770000}"/>
    <cellStyle name="Normal 3 3 6 3" xfId="33334" xr:uid="{00000000-0005-0000-0000-0000A1770000}"/>
    <cellStyle name="Normal 3 3 6 3 2" xfId="29621" xr:uid="{00000000-0005-0000-0000-0000A2770000}"/>
    <cellStyle name="Normal 3 3 6 3 2 2" xfId="24889" xr:uid="{00000000-0005-0000-0000-0000A3770000}"/>
    <cellStyle name="Normal 3 3 6 3 3" xfId="29616" xr:uid="{00000000-0005-0000-0000-0000A4770000}"/>
    <cellStyle name="Normal 3 3 6 4" xfId="32782" xr:uid="{00000000-0005-0000-0000-0000A5770000}"/>
    <cellStyle name="Normal 3 3 6 4 2" xfId="30532" xr:uid="{00000000-0005-0000-0000-0000A6770000}"/>
    <cellStyle name="Normal 3 3 6 5" xfId="32172" xr:uid="{00000000-0005-0000-0000-0000A7770000}"/>
    <cellStyle name="Normal 3 3 7" xfId="13424" xr:uid="{00000000-0005-0000-0000-0000A8770000}"/>
    <cellStyle name="Normal 3 3 7 2" xfId="29607" xr:uid="{00000000-0005-0000-0000-0000A9770000}"/>
    <cellStyle name="Normal 3 3 7 2 2" xfId="25738" xr:uid="{00000000-0005-0000-0000-0000AA770000}"/>
    <cellStyle name="Normal 3 3 7 2 2 2" xfId="24353" xr:uid="{00000000-0005-0000-0000-0000AB770000}"/>
    <cellStyle name="Normal 3 3 7 2 3" xfId="29600" xr:uid="{00000000-0005-0000-0000-0000AC770000}"/>
    <cellStyle name="Normal 3 3 7 3" xfId="13039" xr:uid="{00000000-0005-0000-0000-0000AD770000}"/>
    <cellStyle name="Normal 3 3 7 3 2" xfId="29598" xr:uid="{00000000-0005-0000-0000-0000AE770000}"/>
    <cellStyle name="Normal 3 3 7 4" xfId="32758" xr:uid="{00000000-0005-0000-0000-0000AF770000}"/>
    <cellStyle name="Normal 3 3 8" xfId="28856" xr:uid="{00000000-0005-0000-0000-0000B0770000}"/>
    <cellStyle name="Normal 3 3 8 2" xfId="29590" xr:uid="{00000000-0005-0000-0000-0000B1770000}"/>
    <cellStyle name="Normal 3 3 8 2 2" xfId="29588" xr:uid="{00000000-0005-0000-0000-0000B2770000}"/>
    <cellStyle name="Normal 3 3 8 3" xfId="23260" xr:uid="{00000000-0005-0000-0000-0000B3770000}"/>
    <cellStyle name="Normal 3 3 9" xfId="25626" xr:uid="{00000000-0005-0000-0000-0000B4770000}"/>
    <cellStyle name="Normal 3 3 9 2" xfId="29583" xr:uid="{00000000-0005-0000-0000-0000B5770000}"/>
    <cellStyle name="Normal 3 4" xfId="137" xr:uid="{00000000-0005-0000-0000-0000B6770000}"/>
    <cellStyle name="Normal 3 4 10" xfId="34491" xr:uid="{00000000-0005-0000-0000-0000B7770000}"/>
    <cellStyle name="Normal 3 4 2" xfId="32946" xr:uid="{00000000-0005-0000-0000-0000B8770000}"/>
    <cellStyle name="Normal 3 4 2 2" xfId="8424" xr:uid="{00000000-0005-0000-0000-0000B9770000}"/>
    <cellStyle name="Normal 3 4 2 2 2" xfId="4737" xr:uid="{00000000-0005-0000-0000-0000BA770000}"/>
    <cellStyle name="Normal 3 4 2 2 2 2" xfId="4736" xr:uid="{00000000-0005-0000-0000-0000BB770000}"/>
    <cellStyle name="Normal 3 4 2 2 2 2 2" xfId="4735" xr:uid="{00000000-0005-0000-0000-0000BC770000}"/>
    <cellStyle name="Normal 3 4 2 2 2 2 2 2" xfId="4734" xr:uid="{00000000-0005-0000-0000-0000BD770000}"/>
    <cellStyle name="Normal 3 4 2 2 2 2 2 2 2" xfId="4732" xr:uid="{00000000-0005-0000-0000-0000BE770000}"/>
    <cellStyle name="Normal 3 4 2 2 2 2 2 2 2 2" xfId="4731" xr:uid="{00000000-0005-0000-0000-0000BF770000}"/>
    <cellStyle name="Normal 3 4 2 2 2 2 2 2 3" xfId="4730" xr:uid="{00000000-0005-0000-0000-0000C0770000}"/>
    <cellStyle name="Normal 3 4 2 2 2 2 2 3" xfId="26013" xr:uid="{00000000-0005-0000-0000-0000C1770000}"/>
    <cellStyle name="Normal 3 4 2 2 2 2 2 3 2" xfId="4729" xr:uid="{00000000-0005-0000-0000-0000C2770000}"/>
    <cellStyle name="Normal 3 4 2 2 2 2 2 4" xfId="18288" xr:uid="{00000000-0005-0000-0000-0000C3770000}"/>
    <cellStyle name="Normal 3 4 2 2 2 2 3" xfId="4728" xr:uid="{00000000-0005-0000-0000-0000C4770000}"/>
    <cellStyle name="Normal 3 4 2 2 2 2 3 2" xfId="32550" xr:uid="{00000000-0005-0000-0000-0000C5770000}"/>
    <cellStyle name="Normal 3 4 2 2 2 2 3 2 2" xfId="31292" xr:uid="{00000000-0005-0000-0000-0000C6770000}"/>
    <cellStyle name="Normal 3 4 2 2 2 2 3 3" xfId="31579" xr:uid="{00000000-0005-0000-0000-0000C7770000}"/>
    <cellStyle name="Normal 3 4 2 2 2 2 4" xfId="4727" xr:uid="{00000000-0005-0000-0000-0000C8770000}"/>
    <cellStyle name="Normal 3 4 2 2 2 2 4 2" xfId="31272" xr:uid="{00000000-0005-0000-0000-0000C9770000}"/>
    <cellStyle name="Normal 3 4 2 2 2 2 5" xfId="4726" xr:uid="{00000000-0005-0000-0000-0000CA770000}"/>
    <cellStyle name="Normal 3 4 2 2 2 3" xfId="4725" xr:uid="{00000000-0005-0000-0000-0000CB770000}"/>
    <cellStyle name="Normal 3 4 2 2 2 3 2" xfId="12896" xr:uid="{00000000-0005-0000-0000-0000CC770000}"/>
    <cellStyle name="Normal 3 4 2 2 2 3 2 2" xfId="10292" xr:uid="{00000000-0005-0000-0000-0000CD770000}"/>
    <cellStyle name="Normal 3 4 2 2 2 3 2 2 2" xfId="4724" xr:uid="{00000000-0005-0000-0000-0000CE770000}"/>
    <cellStyle name="Normal 3 4 2 2 2 3 2 3" xfId="4723" xr:uid="{00000000-0005-0000-0000-0000CF770000}"/>
    <cellStyle name="Normal 3 4 2 2 2 3 3" xfId="6469" xr:uid="{00000000-0005-0000-0000-0000D0770000}"/>
    <cellStyle name="Normal 3 4 2 2 2 3 3 2" xfId="29026" xr:uid="{00000000-0005-0000-0000-0000D1770000}"/>
    <cellStyle name="Normal 3 4 2 2 2 3 4" xfId="6365" xr:uid="{00000000-0005-0000-0000-0000D2770000}"/>
    <cellStyle name="Normal 3 4 2 2 2 4" xfId="4722" xr:uid="{00000000-0005-0000-0000-0000D3770000}"/>
    <cellStyle name="Normal 3 4 2 2 2 4 2" xfId="5528" xr:uid="{00000000-0005-0000-0000-0000D4770000}"/>
    <cellStyle name="Normal 3 4 2 2 2 4 2 2" xfId="31073" xr:uid="{00000000-0005-0000-0000-0000D5770000}"/>
    <cellStyle name="Normal 3 4 2 2 2 4 3" xfId="5525" xr:uid="{00000000-0005-0000-0000-0000D6770000}"/>
    <cellStyle name="Normal 3 4 2 2 2 5" xfId="4721" xr:uid="{00000000-0005-0000-0000-0000D7770000}"/>
    <cellStyle name="Normal 3 4 2 2 2 5 2" xfId="6797" xr:uid="{00000000-0005-0000-0000-0000D8770000}"/>
    <cellStyle name="Normal 3 4 2 2 2 6" xfId="4720" xr:uid="{00000000-0005-0000-0000-0000D9770000}"/>
    <cellStyle name="Normal 3 4 2 2 3" xfId="4719" xr:uid="{00000000-0005-0000-0000-0000DA770000}"/>
    <cellStyle name="Normal 3 4 2 2 3 2" xfId="4718" xr:uid="{00000000-0005-0000-0000-0000DB770000}"/>
    <cellStyle name="Normal 3 4 2 2 3 2 2" xfId="4717" xr:uid="{00000000-0005-0000-0000-0000DC770000}"/>
    <cellStyle name="Normal 3 4 2 2 3 2 2 2" xfId="4716" xr:uid="{00000000-0005-0000-0000-0000DD770000}"/>
    <cellStyle name="Normal 3 4 2 2 3 2 2 2 2" xfId="4715" xr:uid="{00000000-0005-0000-0000-0000DE770000}"/>
    <cellStyle name="Normal 3 4 2 2 3 2 2 3" xfId="4714" xr:uid="{00000000-0005-0000-0000-0000DF770000}"/>
    <cellStyle name="Normal 3 4 2 2 3 2 3" xfId="4713" xr:uid="{00000000-0005-0000-0000-0000E0770000}"/>
    <cellStyle name="Normal 3 4 2 2 3 2 3 2" xfId="33012" xr:uid="{00000000-0005-0000-0000-0000E1770000}"/>
    <cellStyle name="Normal 3 4 2 2 3 2 4" xfId="4712" xr:uid="{00000000-0005-0000-0000-0000E2770000}"/>
    <cellStyle name="Normal 3 4 2 2 3 3" xfId="22636" xr:uid="{00000000-0005-0000-0000-0000E3770000}"/>
    <cellStyle name="Normal 3 4 2 2 3 3 2" xfId="4711" xr:uid="{00000000-0005-0000-0000-0000E4770000}"/>
    <cellStyle name="Normal 3 4 2 2 3 3 2 2" xfId="7949" xr:uid="{00000000-0005-0000-0000-0000E5770000}"/>
    <cellStyle name="Normal 3 4 2 2 3 3 3" xfId="32555" xr:uid="{00000000-0005-0000-0000-0000E6770000}"/>
    <cellStyle name="Normal 3 4 2 2 3 4" xfId="19632" xr:uid="{00000000-0005-0000-0000-0000E7770000}"/>
    <cellStyle name="Normal 3 4 2 2 3 4 2" xfId="4710" xr:uid="{00000000-0005-0000-0000-0000E8770000}"/>
    <cellStyle name="Normal 3 4 2 2 3 5" xfId="4709" xr:uid="{00000000-0005-0000-0000-0000E9770000}"/>
    <cellStyle name="Normal 3 4 2 2 4" xfId="4708" xr:uid="{00000000-0005-0000-0000-0000EA770000}"/>
    <cellStyle name="Normal 3 4 2 2 4 2" xfId="4707" xr:uid="{00000000-0005-0000-0000-0000EB770000}"/>
    <cellStyle name="Normal 3 4 2 2 4 2 2" xfId="4706" xr:uid="{00000000-0005-0000-0000-0000EC770000}"/>
    <cellStyle name="Normal 3 4 2 2 4 2 2 2" xfId="4705" xr:uid="{00000000-0005-0000-0000-0000ED770000}"/>
    <cellStyle name="Normal 3 4 2 2 4 2 3" xfId="4704" xr:uid="{00000000-0005-0000-0000-0000EE770000}"/>
    <cellStyle name="Normal 3 4 2 2 4 3" xfId="19626" xr:uid="{00000000-0005-0000-0000-0000EF770000}"/>
    <cellStyle name="Normal 3 4 2 2 4 3 2" xfId="4703" xr:uid="{00000000-0005-0000-0000-0000F0770000}"/>
    <cellStyle name="Normal 3 4 2 2 4 4" xfId="4702" xr:uid="{00000000-0005-0000-0000-0000F1770000}"/>
    <cellStyle name="Normal 3 4 2 2 5" xfId="5951" xr:uid="{00000000-0005-0000-0000-0000F2770000}"/>
    <cellStyle name="Normal 3 4 2 2 5 2" xfId="12821" xr:uid="{00000000-0005-0000-0000-0000F3770000}"/>
    <cellStyle name="Normal 3 4 2 2 5 2 2" xfId="18847" xr:uid="{00000000-0005-0000-0000-0000F4770000}"/>
    <cellStyle name="Normal 3 4 2 2 5 3" xfId="12817" xr:uid="{00000000-0005-0000-0000-0000F5770000}"/>
    <cellStyle name="Normal 3 4 2 2 6" xfId="11161" xr:uid="{00000000-0005-0000-0000-0000F6770000}"/>
    <cellStyle name="Normal 3 4 2 2 6 2" xfId="12762" xr:uid="{00000000-0005-0000-0000-0000F7770000}"/>
    <cellStyle name="Normal 3 4 2 2 7" xfId="11155" xr:uid="{00000000-0005-0000-0000-0000F8770000}"/>
    <cellStyle name="Normal 3 4 2 3" xfId="8420" xr:uid="{00000000-0005-0000-0000-0000F9770000}"/>
    <cellStyle name="Normal 3 4 2 3 2" xfId="4701" xr:uid="{00000000-0005-0000-0000-0000FA770000}"/>
    <cellStyle name="Normal 3 4 2 3 2 2" xfId="4700" xr:uid="{00000000-0005-0000-0000-0000FB770000}"/>
    <cellStyle name="Normal 3 4 2 3 2 2 2" xfId="19566" xr:uid="{00000000-0005-0000-0000-0000FC770000}"/>
    <cellStyle name="Normal 3 4 2 3 2 2 2 2" xfId="19560" xr:uid="{00000000-0005-0000-0000-0000FD770000}"/>
    <cellStyle name="Normal 3 4 2 3 2 2 2 2 2" xfId="15913" xr:uid="{00000000-0005-0000-0000-0000FE770000}"/>
    <cellStyle name="Normal 3 4 2 3 2 2 2 3" xfId="4699" xr:uid="{00000000-0005-0000-0000-0000FF770000}"/>
    <cellStyle name="Normal 3 4 2 3 2 2 3" xfId="19160" xr:uid="{00000000-0005-0000-0000-000000780000}"/>
    <cellStyle name="Normal 3 4 2 3 2 2 3 2" xfId="12475" xr:uid="{00000000-0005-0000-0000-000001780000}"/>
    <cellStyle name="Normal 3 4 2 3 2 2 4" xfId="20826" xr:uid="{00000000-0005-0000-0000-000002780000}"/>
    <cellStyle name="Normal 3 4 2 3 2 3" xfId="4698" xr:uid="{00000000-0005-0000-0000-000003780000}"/>
    <cellStyle name="Normal 3 4 2 3 2 3 2" xfId="19552" xr:uid="{00000000-0005-0000-0000-000004780000}"/>
    <cellStyle name="Normal 3 4 2 3 2 3 2 2" xfId="4697" xr:uid="{00000000-0005-0000-0000-000005780000}"/>
    <cellStyle name="Normal 3 4 2 3 2 3 3" xfId="33507" xr:uid="{00000000-0005-0000-0000-000006780000}"/>
    <cellStyle name="Normal 3 4 2 3 2 4" xfId="4695" xr:uid="{00000000-0005-0000-0000-000007780000}"/>
    <cellStyle name="Normal 3 4 2 3 2 4 2" xfId="4694" xr:uid="{00000000-0005-0000-0000-000008780000}"/>
    <cellStyle name="Normal 3 4 2 3 2 5" xfId="9529" xr:uid="{00000000-0005-0000-0000-000009780000}"/>
    <cellStyle name="Normal 3 4 2 3 3" xfId="4693" xr:uid="{00000000-0005-0000-0000-00000A780000}"/>
    <cellStyle name="Normal 3 4 2 3 3 2" xfId="4692" xr:uid="{00000000-0005-0000-0000-00000B780000}"/>
    <cellStyle name="Normal 3 4 2 3 3 2 2" xfId="24718" xr:uid="{00000000-0005-0000-0000-00000C780000}"/>
    <cellStyle name="Normal 3 4 2 3 3 2 2 2" xfId="4691" xr:uid="{00000000-0005-0000-0000-00000D780000}"/>
    <cellStyle name="Normal 3 4 2 3 3 2 3" xfId="34264" xr:uid="{00000000-0005-0000-0000-00000E780000}"/>
    <cellStyle name="Normal 3 4 2 3 3 3" xfId="19624" xr:uid="{00000000-0005-0000-0000-00000F780000}"/>
    <cellStyle name="Normal 3 4 2 3 3 3 2" xfId="4690" xr:uid="{00000000-0005-0000-0000-000010780000}"/>
    <cellStyle name="Normal 3 4 2 3 3 4" xfId="4689" xr:uid="{00000000-0005-0000-0000-000011780000}"/>
    <cellStyle name="Normal 3 4 2 3 4" xfId="4688" xr:uid="{00000000-0005-0000-0000-000012780000}"/>
    <cellStyle name="Normal 3 4 2 3 4 2" xfId="4687" xr:uid="{00000000-0005-0000-0000-000013780000}"/>
    <cellStyle name="Normal 3 4 2 3 4 2 2" xfId="4686" xr:uid="{00000000-0005-0000-0000-000014780000}"/>
    <cellStyle name="Normal 3 4 2 3 4 3" xfId="4685" xr:uid="{00000000-0005-0000-0000-000015780000}"/>
    <cellStyle name="Normal 3 4 2 3 5" xfId="17055" xr:uid="{00000000-0005-0000-0000-000016780000}"/>
    <cellStyle name="Normal 3 4 2 3 5 2" xfId="17049" xr:uid="{00000000-0005-0000-0000-000017780000}"/>
    <cellStyle name="Normal 3 4 2 3 6" xfId="17041" xr:uid="{00000000-0005-0000-0000-000018780000}"/>
    <cellStyle name="Normal 3 4 2 4" xfId="8416" xr:uid="{00000000-0005-0000-0000-000019780000}"/>
    <cellStyle name="Normal 3 4 2 4 2" xfId="4684" xr:uid="{00000000-0005-0000-0000-00001A780000}"/>
    <cellStyle name="Normal 3 4 2 4 2 2" xfId="4683" xr:uid="{00000000-0005-0000-0000-00001B780000}"/>
    <cellStyle name="Normal 3 4 2 4 2 2 2" xfId="19268" xr:uid="{00000000-0005-0000-0000-00001C780000}"/>
    <cellStyle name="Normal 3 4 2 4 2 2 2 2" xfId="4682" xr:uid="{00000000-0005-0000-0000-00001D780000}"/>
    <cellStyle name="Normal 3 4 2 4 2 2 3" xfId="4681" xr:uid="{00000000-0005-0000-0000-00001E780000}"/>
    <cellStyle name="Normal 3 4 2 4 2 3" xfId="4680" xr:uid="{00000000-0005-0000-0000-00001F780000}"/>
    <cellStyle name="Normal 3 4 2 4 2 3 2" xfId="4679" xr:uid="{00000000-0005-0000-0000-000020780000}"/>
    <cellStyle name="Normal 3 4 2 4 2 4" xfId="4678" xr:uid="{00000000-0005-0000-0000-000021780000}"/>
    <cellStyle name="Normal 3 4 2 4 3" xfId="4677" xr:uid="{00000000-0005-0000-0000-000022780000}"/>
    <cellStyle name="Normal 3 4 2 4 3 2" xfId="4676" xr:uid="{00000000-0005-0000-0000-000023780000}"/>
    <cellStyle name="Normal 3 4 2 4 3 2 2" xfId="4675" xr:uid="{00000000-0005-0000-0000-000024780000}"/>
    <cellStyle name="Normal 3 4 2 4 3 3" xfId="4674" xr:uid="{00000000-0005-0000-0000-000025780000}"/>
    <cellStyle name="Normal 3 4 2 4 4" xfId="4673" xr:uid="{00000000-0005-0000-0000-000026780000}"/>
    <cellStyle name="Normal 3 4 2 4 4 2" xfId="11980" xr:uid="{00000000-0005-0000-0000-000027780000}"/>
    <cellStyle name="Normal 3 4 2 4 5" xfId="17032" xr:uid="{00000000-0005-0000-0000-000028780000}"/>
    <cellStyle name="Normal 3 4 2 5" xfId="26509" xr:uid="{00000000-0005-0000-0000-000029780000}"/>
    <cellStyle name="Normal 3 4 2 5 2" xfId="17020" xr:uid="{00000000-0005-0000-0000-00002A780000}"/>
    <cellStyle name="Normal 3 4 2 5 2 2" xfId="4672" xr:uid="{00000000-0005-0000-0000-00002B780000}"/>
    <cellStyle name="Normal 3 4 2 5 2 2 2" xfId="4671" xr:uid="{00000000-0005-0000-0000-00002C780000}"/>
    <cellStyle name="Normal 3 4 2 5 2 3" xfId="4670" xr:uid="{00000000-0005-0000-0000-00002D780000}"/>
    <cellStyle name="Normal 3 4 2 5 3" xfId="4669" xr:uid="{00000000-0005-0000-0000-00002E780000}"/>
    <cellStyle name="Normal 3 4 2 5 3 2" xfId="4668" xr:uid="{00000000-0005-0000-0000-00002F780000}"/>
    <cellStyle name="Normal 3 4 2 5 4" xfId="4667" xr:uid="{00000000-0005-0000-0000-000030780000}"/>
    <cellStyle name="Normal 3 4 2 6" xfId="4666" xr:uid="{00000000-0005-0000-0000-000031780000}"/>
    <cellStyle name="Normal 3 4 2 6 2" xfId="4665" xr:uid="{00000000-0005-0000-0000-000032780000}"/>
    <cellStyle name="Normal 3 4 2 6 2 2" xfId="4664" xr:uid="{00000000-0005-0000-0000-000033780000}"/>
    <cellStyle name="Normal 3 4 2 6 3" xfId="28932" xr:uid="{00000000-0005-0000-0000-000034780000}"/>
    <cellStyle name="Normal 3 4 2 7" xfId="4663" xr:uid="{00000000-0005-0000-0000-000035780000}"/>
    <cellStyle name="Normal 3 4 2 7 2" xfId="4662" xr:uid="{00000000-0005-0000-0000-000036780000}"/>
    <cellStyle name="Normal 3 4 2 8" xfId="4661" xr:uid="{00000000-0005-0000-0000-000037780000}"/>
    <cellStyle name="Normal 3 4 3" xfId="13918" xr:uid="{00000000-0005-0000-0000-000038780000}"/>
    <cellStyle name="Normal 3 4 3 2" xfId="13915" xr:uid="{00000000-0005-0000-0000-000039780000}"/>
    <cellStyle name="Normal 3 4 3 2 2" xfId="4660" xr:uid="{00000000-0005-0000-0000-00003A780000}"/>
    <cellStyle name="Normal 3 4 3 2 2 2" xfId="4659" xr:uid="{00000000-0005-0000-0000-00003B780000}"/>
    <cellStyle name="Normal 3 4 3 2 2 2 2" xfId="33149" xr:uid="{00000000-0005-0000-0000-00003C780000}"/>
    <cellStyle name="Normal 3 4 3 2 2 2 2 2" xfId="6505" xr:uid="{00000000-0005-0000-0000-00003D780000}"/>
    <cellStyle name="Normal 3 4 3 2 2 2 2 2 2" xfId="26468" xr:uid="{00000000-0005-0000-0000-00003E780000}"/>
    <cellStyle name="Normal 3 4 3 2 2 2 2 3" xfId="6503" xr:uid="{00000000-0005-0000-0000-00003F780000}"/>
    <cellStyle name="Normal 3 4 3 2 2 2 3" xfId="15105" xr:uid="{00000000-0005-0000-0000-000040780000}"/>
    <cellStyle name="Normal 3 4 3 2 2 2 3 2" xfId="6501" xr:uid="{00000000-0005-0000-0000-000041780000}"/>
    <cellStyle name="Normal 3 4 3 2 2 2 4" xfId="33595" xr:uid="{00000000-0005-0000-0000-000042780000}"/>
    <cellStyle name="Normal 3 4 3 2 2 3" xfId="4658" xr:uid="{00000000-0005-0000-0000-000043780000}"/>
    <cellStyle name="Normal 3 4 3 2 2 3 2" xfId="6428" xr:uid="{00000000-0005-0000-0000-000044780000}"/>
    <cellStyle name="Normal 3 4 3 2 2 3 2 2" xfId="6426" xr:uid="{00000000-0005-0000-0000-000045780000}"/>
    <cellStyle name="Normal 3 4 3 2 2 3 3" xfId="15099" xr:uid="{00000000-0005-0000-0000-000046780000}"/>
    <cellStyle name="Normal 3 4 3 2 2 4" xfId="4657" xr:uid="{00000000-0005-0000-0000-000047780000}"/>
    <cellStyle name="Normal 3 4 3 2 2 4 2" xfId="6380" xr:uid="{00000000-0005-0000-0000-000048780000}"/>
    <cellStyle name="Normal 3 4 3 2 2 5" xfId="4655" xr:uid="{00000000-0005-0000-0000-000049780000}"/>
    <cellStyle name="Normal 3 4 3 2 3" xfId="4654" xr:uid="{00000000-0005-0000-0000-00004A780000}"/>
    <cellStyle name="Normal 3 4 3 2 3 2" xfId="25839" xr:uid="{00000000-0005-0000-0000-00004B780000}"/>
    <cellStyle name="Normal 3 4 3 2 3 2 2" xfId="32820" xr:uid="{00000000-0005-0000-0000-00004C780000}"/>
    <cellStyle name="Normal 3 4 3 2 3 2 2 2" xfId="23329" xr:uid="{00000000-0005-0000-0000-00004D780000}"/>
    <cellStyle name="Normal 3 4 3 2 3 2 3" xfId="23324" xr:uid="{00000000-0005-0000-0000-00004E780000}"/>
    <cellStyle name="Normal 3 4 3 2 3 3" xfId="19596" xr:uid="{00000000-0005-0000-0000-00004F780000}"/>
    <cellStyle name="Normal 3 4 3 2 3 3 2" xfId="31508" xr:uid="{00000000-0005-0000-0000-000050780000}"/>
    <cellStyle name="Normal 3 4 3 2 3 4" xfId="4653" xr:uid="{00000000-0005-0000-0000-000051780000}"/>
    <cellStyle name="Normal 3 4 3 2 4" xfId="4652" xr:uid="{00000000-0005-0000-0000-000052780000}"/>
    <cellStyle name="Normal 3 4 3 2 4 2" xfId="4651" xr:uid="{00000000-0005-0000-0000-000053780000}"/>
    <cellStyle name="Normal 3 4 3 2 4 2 2" xfId="24706" xr:uid="{00000000-0005-0000-0000-000054780000}"/>
    <cellStyle name="Normal 3 4 3 2 4 3" xfId="4650" xr:uid="{00000000-0005-0000-0000-000055780000}"/>
    <cellStyle name="Normal 3 4 3 2 5" xfId="5946" xr:uid="{00000000-0005-0000-0000-000056780000}"/>
    <cellStyle name="Normal 3 4 3 2 5 2" xfId="10407" xr:uid="{00000000-0005-0000-0000-000057780000}"/>
    <cellStyle name="Normal 3 4 3 2 6" xfId="11142" xr:uid="{00000000-0005-0000-0000-000058780000}"/>
    <cellStyle name="Normal 3 4 3 3" xfId="8403" xr:uid="{00000000-0005-0000-0000-000059780000}"/>
    <cellStyle name="Normal 3 4 3 3 2" xfId="4649" xr:uid="{00000000-0005-0000-0000-00005A780000}"/>
    <cellStyle name="Normal 3 4 3 3 2 2" xfId="4648" xr:uid="{00000000-0005-0000-0000-00005B780000}"/>
    <cellStyle name="Normal 3 4 3 3 2 2 2" xfId="32680" xr:uid="{00000000-0005-0000-0000-00005C780000}"/>
    <cellStyle name="Normal 3 4 3 3 2 2 2 2" xfId="29243" xr:uid="{00000000-0005-0000-0000-00005D780000}"/>
    <cellStyle name="Normal 3 4 3 3 2 2 3" xfId="4647" xr:uid="{00000000-0005-0000-0000-00005E780000}"/>
    <cellStyle name="Normal 3 4 3 3 2 3" xfId="4646" xr:uid="{00000000-0005-0000-0000-00005F780000}"/>
    <cellStyle name="Normal 3 4 3 3 2 3 2" xfId="4645" xr:uid="{00000000-0005-0000-0000-000060780000}"/>
    <cellStyle name="Normal 3 4 3 3 2 4" xfId="4644" xr:uid="{00000000-0005-0000-0000-000061780000}"/>
    <cellStyle name="Normal 3 4 3 3 3" xfId="4643" xr:uid="{00000000-0005-0000-0000-000062780000}"/>
    <cellStyle name="Normal 3 4 3 3 3 2" xfId="4642" xr:uid="{00000000-0005-0000-0000-000063780000}"/>
    <cellStyle name="Normal 3 4 3 3 3 2 2" xfId="4641" xr:uid="{00000000-0005-0000-0000-000064780000}"/>
    <cellStyle name="Normal 3 4 3 3 3 3" xfId="4640" xr:uid="{00000000-0005-0000-0000-000065780000}"/>
    <cellStyle name="Normal 3 4 3 3 4" xfId="32875" xr:uid="{00000000-0005-0000-0000-000066780000}"/>
    <cellStyle name="Normal 3 4 3 3 4 2" xfId="4639" xr:uid="{00000000-0005-0000-0000-000067780000}"/>
    <cellStyle name="Normal 3 4 3 3 5" xfId="29150" xr:uid="{00000000-0005-0000-0000-000068780000}"/>
    <cellStyle name="Normal 3 4 3 4" xfId="8400" xr:uid="{00000000-0005-0000-0000-000069780000}"/>
    <cellStyle name="Normal 3 4 3 4 2" xfId="4638" xr:uid="{00000000-0005-0000-0000-00006A780000}"/>
    <cellStyle name="Normal 3 4 3 4 2 2" xfId="4637" xr:uid="{00000000-0005-0000-0000-00006B780000}"/>
    <cellStyle name="Normal 3 4 3 4 2 2 2" xfId="4636" xr:uid="{00000000-0005-0000-0000-00006C780000}"/>
    <cellStyle name="Normal 3 4 3 4 2 3" xfId="4635" xr:uid="{00000000-0005-0000-0000-00006D780000}"/>
    <cellStyle name="Normal 3 4 3 4 3" xfId="4634" xr:uid="{00000000-0005-0000-0000-00006E780000}"/>
    <cellStyle name="Normal 3 4 3 4 3 2" xfId="4633" xr:uid="{00000000-0005-0000-0000-00006F780000}"/>
    <cellStyle name="Normal 3 4 3 4 4" xfId="4631" xr:uid="{00000000-0005-0000-0000-000070780000}"/>
    <cellStyle name="Normal 3 4 3 5" xfId="4630" xr:uid="{00000000-0005-0000-0000-000071780000}"/>
    <cellStyle name="Normal 3 4 3 5 2" xfId="22866" xr:uid="{00000000-0005-0000-0000-000072780000}"/>
    <cellStyle name="Normal 3 4 3 5 2 2" xfId="31225" xr:uid="{00000000-0005-0000-0000-000073780000}"/>
    <cellStyle name="Normal 3 4 3 5 3" xfId="26623" xr:uid="{00000000-0005-0000-0000-000074780000}"/>
    <cellStyle name="Normal 3 4 3 6" xfId="4629" xr:uid="{00000000-0005-0000-0000-000075780000}"/>
    <cellStyle name="Normal 3 4 3 6 2" xfId="22854" xr:uid="{00000000-0005-0000-0000-000076780000}"/>
    <cellStyle name="Normal 3 4 3 7" xfId="4628" xr:uid="{00000000-0005-0000-0000-000077780000}"/>
    <cellStyle name="Normal 3 4 4" xfId="13912" xr:uid="{00000000-0005-0000-0000-000078780000}"/>
    <cellStyle name="Normal 3 4 4 2" xfId="25211" xr:uid="{00000000-0005-0000-0000-000079780000}"/>
    <cellStyle name="Normal 3 4 4 2 2" xfId="29557" xr:uid="{00000000-0005-0000-0000-00007A780000}"/>
    <cellStyle name="Normal 3 4 4 2 2 2" xfId="29547" xr:uid="{00000000-0005-0000-0000-00007B780000}"/>
    <cellStyle name="Normal 3 4 4 2 2 2 2" xfId="4627" xr:uid="{00000000-0005-0000-0000-00007C780000}"/>
    <cellStyle name="Normal 3 4 4 2 2 2 2 2" xfId="4626" xr:uid="{00000000-0005-0000-0000-00007D780000}"/>
    <cellStyle name="Normal 3 4 4 2 2 2 3" xfId="4625" xr:uid="{00000000-0005-0000-0000-00007E780000}"/>
    <cellStyle name="Normal 3 4 4 2 2 3" xfId="29535" xr:uid="{00000000-0005-0000-0000-00007F780000}"/>
    <cellStyle name="Normal 3 4 4 2 2 3 2" xfId="4624" xr:uid="{00000000-0005-0000-0000-000080780000}"/>
    <cellStyle name="Normal 3 4 4 2 2 4" xfId="29570" xr:uid="{00000000-0005-0000-0000-000081780000}"/>
    <cellStyle name="Normal 3 4 4 2 3" xfId="31480" xr:uid="{00000000-0005-0000-0000-000082780000}"/>
    <cellStyle name="Normal 3 4 4 2 3 2" xfId="18473" xr:uid="{00000000-0005-0000-0000-000083780000}"/>
    <cellStyle name="Normal 3 4 4 2 3 2 2" xfId="4623" xr:uid="{00000000-0005-0000-0000-000084780000}"/>
    <cellStyle name="Normal 3 4 4 2 3 3" xfId="24533" xr:uid="{00000000-0005-0000-0000-000085780000}"/>
    <cellStyle name="Normal 3 4 4 2 4" xfId="31473" xr:uid="{00000000-0005-0000-0000-000086780000}"/>
    <cellStyle name="Normal 3 4 4 2 4 2" xfId="18467" xr:uid="{00000000-0005-0000-0000-000087780000}"/>
    <cellStyle name="Normal 3 4 4 2 5" xfId="19708" xr:uid="{00000000-0005-0000-0000-000088780000}"/>
    <cellStyle name="Normal 3 4 4 3" xfId="8395" xr:uid="{00000000-0005-0000-0000-000089780000}"/>
    <cellStyle name="Normal 3 4 4 3 2" xfId="30988" xr:uid="{00000000-0005-0000-0000-00008A780000}"/>
    <cellStyle name="Normal 3 4 4 3 2 2" xfId="28014" xr:uid="{00000000-0005-0000-0000-00008B780000}"/>
    <cellStyle name="Normal 3 4 4 3 2 2 2" xfId="4622" xr:uid="{00000000-0005-0000-0000-00008C780000}"/>
    <cellStyle name="Normal 3 4 4 3 2 3" xfId="28005" xr:uid="{00000000-0005-0000-0000-00008D780000}"/>
    <cellStyle name="Normal 3 4 4 3 3" xfId="31461" xr:uid="{00000000-0005-0000-0000-00008E780000}"/>
    <cellStyle name="Normal 3 4 4 3 3 2" xfId="18457" xr:uid="{00000000-0005-0000-0000-00008F780000}"/>
    <cellStyle name="Normal 3 4 4 3 4" xfId="28415" xr:uid="{00000000-0005-0000-0000-000090780000}"/>
    <cellStyle name="Normal 3 4 4 4" xfId="30040" xr:uid="{00000000-0005-0000-0000-000091780000}"/>
    <cellStyle name="Normal 3 4 4 4 2" xfId="30955" xr:uid="{00000000-0005-0000-0000-000092780000}"/>
    <cellStyle name="Normal 3 4 4 4 2 2" xfId="27974" xr:uid="{00000000-0005-0000-0000-000093780000}"/>
    <cellStyle name="Normal 3 4 4 4 3" xfId="29502" xr:uid="{00000000-0005-0000-0000-000094780000}"/>
    <cellStyle name="Normal 3 4 4 5" xfId="30024" xr:uid="{00000000-0005-0000-0000-000095780000}"/>
    <cellStyle name="Normal 3 4 4 5 2" xfId="22798" xr:uid="{00000000-0005-0000-0000-000096780000}"/>
    <cellStyle name="Normal 3 4 4 6" xfId="29474" xr:uid="{00000000-0005-0000-0000-000097780000}"/>
    <cellStyle name="Normal 3 4 5" xfId="27873" xr:uid="{00000000-0005-0000-0000-000098780000}"/>
    <cellStyle name="Normal 3 4 5 2" xfId="8392" xr:uid="{00000000-0005-0000-0000-000099780000}"/>
    <cellStyle name="Normal 3 4 5 2 2" xfId="29161" xr:uid="{00000000-0005-0000-0000-00009A780000}"/>
    <cellStyle name="Normal 3 4 5 2 2 2" xfId="11281" xr:uid="{00000000-0005-0000-0000-00009B780000}"/>
    <cellStyle name="Normal 3 4 5 2 2 2 2" xfId="32079" xr:uid="{00000000-0005-0000-0000-00009C780000}"/>
    <cellStyle name="Normal 3 4 5 2 2 3" xfId="11271" xr:uid="{00000000-0005-0000-0000-00009D780000}"/>
    <cellStyle name="Normal 3 4 5 2 3" xfId="26961" xr:uid="{00000000-0005-0000-0000-00009E780000}"/>
    <cellStyle name="Normal 3 4 5 2 3 2" xfId="13234" xr:uid="{00000000-0005-0000-0000-00009F780000}"/>
    <cellStyle name="Normal 3 4 5 2 4" xfId="26045" xr:uid="{00000000-0005-0000-0000-0000A0780000}"/>
    <cellStyle name="Normal 3 4 5 3" xfId="29447" xr:uid="{00000000-0005-0000-0000-0000A1780000}"/>
    <cellStyle name="Normal 3 4 5 3 2" xfId="29578" xr:uid="{00000000-0005-0000-0000-0000A2780000}"/>
    <cellStyle name="Normal 3 4 5 3 2 2" xfId="27876" xr:uid="{00000000-0005-0000-0000-0000A3780000}"/>
    <cellStyle name="Normal 3 4 5 3 3" xfId="29427" xr:uid="{00000000-0005-0000-0000-0000A4780000}"/>
    <cellStyle name="Normal 3 4 5 4" xfId="28025" xr:uid="{00000000-0005-0000-0000-0000A5780000}"/>
    <cellStyle name="Normal 3 4 5 4 2" xfId="30172" xr:uid="{00000000-0005-0000-0000-0000A6780000}"/>
    <cellStyle name="Normal 3 4 5 5" xfId="29418" xr:uid="{00000000-0005-0000-0000-0000A7780000}"/>
    <cellStyle name="Normal 3 4 6" xfId="26547" xr:uid="{00000000-0005-0000-0000-0000A8780000}"/>
    <cellStyle name="Normal 3 4 6 2" xfId="29406" xr:uid="{00000000-0005-0000-0000-0000A9780000}"/>
    <cellStyle name="Normal 3 4 6 2 2" xfId="30875" xr:uid="{00000000-0005-0000-0000-0000AA780000}"/>
    <cellStyle name="Normal 3 4 6 2 2 2" xfId="10753" xr:uid="{00000000-0005-0000-0000-0000AB780000}"/>
    <cellStyle name="Normal 3 4 6 2 3" xfId="27162" xr:uid="{00000000-0005-0000-0000-0000AC780000}"/>
    <cellStyle name="Normal 3 4 6 3" xfId="23246" xr:uid="{00000000-0005-0000-0000-0000AD780000}"/>
    <cellStyle name="Normal 3 4 6 3 2" xfId="30189" xr:uid="{00000000-0005-0000-0000-0000AE780000}"/>
    <cellStyle name="Normal 3 4 6 4" xfId="23238" xr:uid="{00000000-0005-0000-0000-0000AF780000}"/>
    <cellStyle name="Normal 3 4 7" xfId="13421" xr:uid="{00000000-0005-0000-0000-0000B0780000}"/>
    <cellStyle name="Normal 3 4 7 2" xfId="23740" xr:uid="{00000000-0005-0000-0000-0000B1780000}"/>
    <cellStyle name="Normal 3 4 7 2 2" xfId="29388" xr:uid="{00000000-0005-0000-0000-0000B2780000}"/>
    <cellStyle name="Normal 3 4 7 3" xfId="23230" xr:uid="{00000000-0005-0000-0000-0000B3780000}"/>
    <cellStyle name="Normal 3 4 8" xfId="33186" xr:uid="{00000000-0005-0000-0000-0000B4780000}"/>
    <cellStyle name="Normal 3 4 8 2" xfId="30344" xr:uid="{00000000-0005-0000-0000-0000B5780000}"/>
    <cellStyle name="Normal 3 4 9" xfId="29381" xr:uid="{00000000-0005-0000-0000-0000B6780000}"/>
    <cellStyle name="Normal 3 5" xfId="198" xr:uid="{00000000-0005-0000-0000-0000B7780000}"/>
    <cellStyle name="Normal 3 5 2" xfId="25125" xr:uid="{00000000-0005-0000-0000-0000B8780000}"/>
    <cellStyle name="Normal 3 5 2 2" xfId="25577" xr:uid="{00000000-0005-0000-0000-0000B9780000}"/>
    <cellStyle name="Normal 3 5 2 2 2" xfId="4620" xr:uid="{00000000-0005-0000-0000-0000BA780000}"/>
    <cellStyle name="Normal 3 5 2 2 2 2" xfId="4619" xr:uid="{00000000-0005-0000-0000-0000BB780000}"/>
    <cellStyle name="Normal 3 5 2 2 2 2 2" xfId="9947" xr:uid="{00000000-0005-0000-0000-0000BC780000}"/>
    <cellStyle name="Normal 3 5 2 2 2 2 2 2" xfId="4618" xr:uid="{00000000-0005-0000-0000-0000BD780000}"/>
    <cellStyle name="Normal 3 5 2 2 2 2 2 2 2" xfId="4617" xr:uid="{00000000-0005-0000-0000-0000BE780000}"/>
    <cellStyle name="Normal 3 5 2 2 2 2 2 3" xfId="4616" xr:uid="{00000000-0005-0000-0000-0000BF780000}"/>
    <cellStyle name="Normal 3 5 2 2 2 2 3" xfId="4615" xr:uid="{00000000-0005-0000-0000-0000C0780000}"/>
    <cellStyle name="Normal 3 5 2 2 2 2 3 2" xfId="4614" xr:uid="{00000000-0005-0000-0000-0000C1780000}"/>
    <cellStyle name="Normal 3 5 2 2 2 2 4" xfId="4613" xr:uid="{00000000-0005-0000-0000-0000C2780000}"/>
    <cellStyle name="Normal 3 5 2 2 2 3" xfId="4612" xr:uid="{00000000-0005-0000-0000-0000C3780000}"/>
    <cellStyle name="Normal 3 5 2 2 2 3 2" xfId="4611" xr:uid="{00000000-0005-0000-0000-0000C4780000}"/>
    <cellStyle name="Normal 3 5 2 2 2 3 2 2" xfId="4610" xr:uid="{00000000-0005-0000-0000-0000C5780000}"/>
    <cellStyle name="Normal 3 5 2 2 2 3 3" xfId="12442" xr:uid="{00000000-0005-0000-0000-0000C6780000}"/>
    <cellStyle name="Normal 3 5 2 2 2 4" xfId="4609" xr:uid="{00000000-0005-0000-0000-0000C7780000}"/>
    <cellStyle name="Normal 3 5 2 2 2 4 2" xfId="4608" xr:uid="{00000000-0005-0000-0000-0000C8780000}"/>
    <cellStyle name="Normal 3 5 2 2 2 5" xfId="4607" xr:uid="{00000000-0005-0000-0000-0000C9780000}"/>
    <cellStyle name="Normal 3 5 2 2 3" xfId="26707" xr:uid="{00000000-0005-0000-0000-0000CA780000}"/>
    <cellStyle name="Normal 3 5 2 2 3 2" xfId="4606" xr:uid="{00000000-0005-0000-0000-0000CB780000}"/>
    <cellStyle name="Normal 3 5 2 2 3 2 2" xfId="4604" xr:uid="{00000000-0005-0000-0000-0000CC780000}"/>
    <cellStyle name="Normal 3 5 2 2 3 2 2 2" xfId="4602" xr:uid="{00000000-0005-0000-0000-0000CD780000}"/>
    <cellStyle name="Normal 3 5 2 2 3 2 3" xfId="4599" xr:uid="{00000000-0005-0000-0000-0000CE780000}"/>
    <cellStyle name="Normal 3 5 2 2 3 3" xfId="33996" xr:uid="{00000000-0005-0000-0000-0000CF780000}"/>
    <cellStyle name="Normal 3 5 2 2 3 3 2" xfId="4597" xr:uid="{00000000-0005-0000-0000-0000D0780000}"/>
    <cellStyle name="Normal 3 5 2 2 3 4" xfId="4595" xr:uid="{00000000-0005-0000-0000-0000D1780000}"/>
    <cellStyle name="Normal 3 5 2 2 4" xfId="4593" xr:uid="{00000000-0005-0000-0000-0000D2780000}"/>
    <cellStyle name="Normal 3 5 2 2 4 2" xfId="4592" xr:uid="{00000000-0005-0000-0000-0000D3780000}"/>
    <cellStyle name="Normal 3 5 2 2 4 2 2" xfId="4590" xr:uid="{00000000-0005-0000-0000-0000D4780000}"/>
    <cellStyle name="Normal 3 5 2 2 4 3" xfId="4588" xr:uid="{00000000-0005-0000-0000-0000D5780000}"/>
    <cellStyle name="Normal 3 5 2 2 5" xfId="6790" xr:uid="{00000000-0005-0000-0000-0000D6780000}"/>
    <cellStyle name="Normal 3 5 2 2 5 2" xfId="5885" xr:uid="{00000000-0005-0000-0000-0000D7780000}"/>
    <cellStyle name="Normal 3 5 2 2 6" xfId="11032" xr:uid="{00000000-0005-0000-0000-0000D8780000}"/>
    <cellStyle name="Normal 3 5 2 3" xfId="25146" xr:uid="{00000000-0005-0000-0000-0000D9780000}"/>
    <cellStyle name="Normal 3 5 2 3 2" xfId="4586" xr:uid="{00000000-0005-0000-0000-0000DA780000}"/>
    <cellStyle name="Normal 3 5 2 3 2 2" xfId="16194" xr:uid="{00000000-0005-0000-0000-0000DB780000}"/>
    <cellStyle name="Normal 3 5 2 3 2 2 2" xfId="4585" xr:uid="{00000000-0005-0000-0000-0000DC780000}"/>
    <cellStyle name="Normal 3 5 2 3 2 2 2 2" xfId="4584" xr:uid="{00000000-0005-0000-0000-0000DD780000}"/>
    <cellStyle name="Normal 3 5 2 3 2 2 3" xfId="4583" xr:uid="{00000000-0005-0000-0000-0000DE780000}"/>
    <cellStyle name="Normal 3 5 2 3 2 3" xfId="4582" xr:uid="{00000000-0005-0000-0000-0000DF780000}"/>
    <cellStyle name="Normal 3 5 2 3 2 3 2" xfId="4581" xr:uid="{00000000-0005-0000-0000-0000E0780000}"/>
    <cellStyle name="Normal 3 5 2 3 2 4" xfId="4580" xr:uid="{00000000-0005-0000-0000-0000E1780000}"/>
    <cellStyle name="Normal 3 5 2 3 3" xfId="4579" xr:uid="{00000000-0005-0000-0000-0000E2780000}"/>
    <cellStyle name="Normal 3 5 2 3 3 2" xfId="4578" xr:uid="{00000000-0005-0000-0000-0000E3780000}"/>
    <cellStyle name="Normal 3 5 2 3 3 2 2" xfId="4576" xr:uid="{00000000-0005-0000-0000-0000E4780000}"/>
    <cellStyle name="Normal 3 5 2 3 3 3" xfId="4574" xr:uid="{00000000-0005-0000-0000-0000E5780000}"/>
    <cellStyle name="Normal 3 5 2 3 4" xfId="4572" xr:uid="{00000000-0005-0000-0000-0000E6780000}"/>
    <cellStyle name="Normal 3 5 2 3 4 2" xfId="4571" xr:uid="{00000000-0005-0000-0000-0000E7780000}"/>
    <cellStyle name="Normal 3 5 2 3 5" xfId="12118" xr:uid="{00000000-0005-0000-0000-0000E8780000}"/>
    <cellStyle name="Normal 3 5 2 4" xfId="33082" xr:uid="{00000000-0005-0000-0000-0000E9780000}"/>
    <cellStyle name="Normal 3 5 2 4 2" xfId="4569" xr:uid="{00000000-0005-0000-0000-0000EA780000}"/>
    <cellStyle name="Normal 3 5 2 4 2 2" xfId="4568" xr:uid="{00000000-0005-0000-0000-0000EB780000}"/>
    <cellStyle name="Normal 3 5 2 4 2 2 2" xfId="15917" xr:uid="{00000000-0005-0000-0000-0000EC780000}"/>
    <cellStyle name="Normal 3 5 2 4 2 3" xfId="4567" xr:uid="{00000000-0005-0000-0000-0000ED780000}"/>
    <cellStyle name="Normal 3 5 2 4 3" xfId="4566" xr:uid="{00000000-0005-0000-0000-0000EE780000}"/>
    <cellStyle name="Normal 3 5 2 4 3 2" xfId="4565" xr:uid="{00000000-0005-0000-0000-0000EF780000}"/>
    <cellStyle name="Normal 3 5 2 4 4" xfId="4563" xr:uid="{00000000-0005-0000-0000-0000F0780000}"/>
    <cellStyle name="Normal 3 5 2 5" xfId="4562" xr:uid="{00000000-0005-0000-0000-0000F1780000}"/>
    <cellStyle name="Normal 3 5 2 5 2" xfId="22170" xr:uid="{00000000-0005-0000-0000-0000F2780000}"/>
    <cellStyle name="Normal 3 5 2 5 2 2" xfId="4561" xr:uid="{00000000-0005-0000-0000-0000F3780000}"/>
    <cellStyle name="Normal 3 5 2 5 3" xfId="9312" xr:uid="{00000000-0005-0000-0000-0000F4780000}"/>
    <cellStyle name="Normal 3 5 2 6" xfId="4560" xr:uid="{00000000-0005-0000-0000-0000F5780000}"/>
    <cellStyle name="Normal 3 5 2 6 2" xfId="4559" xr:uid="{00000000-0005-0000-0000-0000F6780000}"/>
    <cellStyle name="Normal 3 5 2 7" xfId="4558" xr:uid="{00000000-0005-0000-0000-0000F7780000}"/>
    <cellStyle name="Normal 3 5 3" xfId="14153" xr:uid="{00000000-0005-0000-0000-0000F8780000}"/>
    <cellStyle name="Normal 3 5 3 2" xfId="8383" xr:uid="{00000000-0005-0000-0000-0000F9780000}"/>
    <cellStyle name="Normal 3 5 3 2 2" xfId="4557" xr:uid="{00000000-0005-0000-0000-0000FA780000}"/>
    <cellStyle name="Normal 3 5 3 2 2 2" xfId="4556" xr:uid="{00000000-0005-0000-0000-0000FB780000}"/>
    <cellStyle name="Normal 3 5 3 2 2 2 2" xfId="17231" xr:uid="{00000000-0005-0000-0000-0000FC780000}"/>
    <cellStyle name="Normal 3 5 3 2 2 2 2 2" xfId="4555" xr:uid="{00000000-0005-0000-0000-0000FD780000}"/>
    <cellStyle name="Normal 3 5 3 2 2 2 3" xfId="16708" xr:uid="{00000000-0005-0000-0000-0000FE780000}"/>
    <cellStyle name="Normal 3 5 3 2 2 3" xfId="4553" xr:uid="{00000000-0005-0000-0000-0000FF780000}"/>
    <cellStyle name="Normal 3 5 3 2 2 3 2" xfId="22063" xr:uid="{00000000-0005-0000-0000-000000790000}"/>
    <cellStyle name="Normal 3 5 3 2 2 4" xfId="4552" xr:uid="{00000000-0005-0000-0000-000001790000}"/>
    <cellStyle name="Normal 3 5 3 2 3" xfId="4551" xr:uid="{00000000-0005-0000-0000-000002790000}"/>
    <cellStyle name="Normal 3 5 3 2 3 2" xfId="4550" xr:uid="{00000000-0005-0000-0000-000003790000}"/>
    <cellStyle name="Normal 3 5 3 2 3 2 2" xfId="22058" xr:uid="{00000000-0005-0000-0000-000004790000}"/>
    <cellStyle name="Normal 3 5 3 2 3 3" xfId="4548" xr:uid="{00000000-0005-0000-0000-000005790000}"/>
    <cellStyle name="Normal 3 5 3 2 4" xfId="4546" xr:uid="{00000000-0005-0000-0000-000006790000}"/>
    <cellStyle name="Normal 3 5 3 2 4 2" xfId="4545" xr:uid="{00000000-0005-0000-0000-000007790000}"/>
    <cellStyle name="Normal 3 5 3 2 5" xfId="6779" xr:uid="{00000000-0005-0000-0000-000008790000}"/>
    <cellStyle name="Normal 3 5 3 3" xfId="33064" xr:uid="{00000000-0005-0000-0000-000009790000}"/>
    <cellStyle name="Normal 3 5 3 3 2" xfId="4543" xr:uid="{00000000-0005-0000-0000-00000A790000}"/>
    <cellStyle name="Normal 3 5 3 3 2 2" xfId="4542" xr:uid="{00000000-0005-0000-0000-00000B790000}"/>
    <cellStyle name="Normal 3 5 3 3 2 2 2" xfId="22048" xr:uid="{00000000-0005-0000-0000-00000C790000}"/>
    <cellStyle name="Normal 3 5 3 3 2 3" xfId="4541" xr:uid="{00000000-0005-0000-0000-00000D790000}"/>
    <cellStyle name="Normal 3 5 3 3 3" xfId="4540" xr:uid="{00000000-0005-0000-0000-00000E790000}"/>
    <cellStyle name="Normal 3 5 3 3 3 2" xfId="4539" xr:uid="{00000000-0005-0000-0000-00000F790000}"/>
    <cellStyle name="Normal 3 5 3 3 4" xfId="4537" xr:uid="{00000000-0005-0000-0000-000010790000}"/>
    <cellStyle name="Normal 3 5 3 4" xfId="4536" xr:uid="{00000000-0005-0000-0000-000011790000}"/>
    <cellStyle name="Normal 3 5 3 4 2" xfId="4535" xr:uid="{00000000-0005-0000-0000-000012790000}"/>
    <cellStyle name="Normal 3 5 3 4 2 2" xfId="4534" xr:uid="{00000000-0005-0000-0000-000013790000}"/>
    <cellStyle name="Normal 3 5 3 4 3" xfId="4533" xr:uid="{00000000-0005-0000-0000-000014790000}"/>
    <cellStyle name="Normal 3 5 3 5" xfId="4532" xr:uid="{00000000-0005-0000-0000-000015790000}"/>
    <cellStyle name="Normal 3 5 3 5 2" xfId="29610" xr:uid="{00000000-0005-0000-0000-000016790000}"/>
    <cellStyle name="Normal 3 5 3 6" xfId="4531" xr:uid="{00000000-0005-0000-0000-000017790000}"/>
    <cellStyle name="Normal 3 5 4" xfId="18925" xr:uid="{00000000-0005-0000-0000-000018790000}"/>
    <cellStyle name="Normal 3 5 4 2" xfId="30704" xr:uid="{00000000-0005-0000-0000-000019790000}"/>
    <cellStyle name="Normal 3 5 4 2 2" xfId="24537" xr:uid="{00000000-0005-0000-0000-00001A790000}"/>
    <cellStyle name="Normal 3 5 4 2 2 2" xfId="29371" xr:uid="{00000000-0005-0000-0000-00001B790000}"/>
    <cellStyle name="Normal 3 5 4 2 2 2 2" xfId="21995" xr:uid="{00000000-0005-0000-0000-00001C790000}"/>
    <cellStyle name="Normal 3 5 4 2 2 3" xfId="29362" xr:uid="{00000000-0005-0000-0000-00001D790000}"/>
    <cellStyle name="Normal 3 5 4 2 3" xfId="31263" xr:uid="{00000000-0005-0000-0000-00001E790000}"/>
    <cellStyle name="Normal 3 5 4 2 3 2" xfId="19424" xr:uid="{00000000-0005-0000-0000-00001F790000}"/>
    <cellStyle name="Normal 3 5 4 2 4" xfId="29352" xr:uid="{00000000-0005-0000-0000-000020790000}"/>
    <cellStyle name="Normal 3 5 4 3" xfId="31604" xr:uid="{00000000-0005-0000-0000-000021790000}"/>
    <cellStyle name="Normal 3 5 4 3 2" xfId="24524" xr:uid="{00000000-0005-0000-0000-000022790000}"/>
    <cellStyle name="Normal 3 5 4 3 2 2" xfId="30892" xr:uid="{00000000-0005-0000-0000-000023790000}"/>
    <cellStyle name="Normal 3 5 4 3 3" xfId="29341" xr:uid="{00000000-0005-0000-0000-000024790000}"/>
    <cellStyle name="Normal 3 5 4 4" xfId="30006" xr:uid="{00000000-0005-0000-0000-000025790000}"/>
    <cellStyle name="Normal 3 5 4 4 2" xfId="29327" xr:uid="{00000000-0005-0000-0000-000026790000}"/>
    <cellStyle name="Normal 3 5 4 5" xfId="29313" xr:uid="{00000000-0005-0000-0000-000027790000}"/>
    <cellStyle name="Normal 3 5 5" xfId="18915" xr:uid="{00000000-0005-0000-0000-000028790000}"/>
    <cellStyle name="Normal 3 5 5 2" xfId="30215" xr:uid="{00000000-0005-0000-0000-000029790000}"/>
    <cellStyle name="Normal 3 5 5 2 2" xfId="24517" xr:uid="{00000000-0005-0000-0000-00002A790000}"/>
    <cellStyle name="Normal 3 5 5 2 2 2" xfId="10048" xr:uid="{00000000-0005-0000-0000-00002B790000}"/>
    <cellStyle name="Normal 3 5 5 2 3" xfId="29287" xr:uid="{00000000-0005-0000-0000-00002C790000}"/>
    <cellStyle name="Normal 3 5 5 3" xfId="30204" xr:uid="{00000000-0005-0000-0000-00002D790000}"/>
    <cellStyle name="Normal 3 5 5 3 2" xfId="29277" xr:uid="{00000000-0005-0000-0000-00002E790000}"/>
    <cellStyle name="Normal 3 5 5 4" xfId="30408" xr:uid="{00000000-0005-0000-0000-00002F790000}"/>
    <cellStyle name="Normal 3 5 6" xfId="17981" xr:uid="{00000000-0005-0000-0000-000030790000}"/>
    <cellStyle name="Normal 3 5 6 2" xfId="20557" xr:uid="{00000000-0005-0000-0000-000031790000}"/>
    <cellStyle name="Normal 3 5 6 2 2" xfId="29257" xr:uid="{00000000-0005-0000-0000-000032790000}"/>
    <cellStyle name="Normal 3 5 6 3" xfId="23214" xr:uid="{00000000-0005-0000-0000-000033790000}"/>
    <cellStyle name="Normal 3 5 7" xfId="28961" xr:uid="{00000000-0005-0000-0000-000034790000}"/>
    <cellStyle name="Normal 3 5 7 2" xfId="30636" xr:uid="{00000000-0005-0000-0000-000035790000}"/>
    <cellStyle name="Normal 3 5 8" xfId="27604" xr:uid="{00000000-0005-0000-0000-000036790000}"/>
    <cellStyle name="Normal 3 5 9" xfId="34533" xr:uid="{00000000-0005-0000-0000-000037790000}"/>
    <cellStyle name="Normal 3 6" xfId="7567" xr:uid="{00000000-0005-0000-0000-000038790000}"/>
    <cellStyle name="Normal 3 6 2" xfId="5442" xr:uid="{00000000-0005-0000-0000-000039790000}"/>
    <cellStyle name="Normal 3 6 2 2" xfId="8376" xr:uid="{00000000-0005-0000-0000-00003A790000}"/>
    <cellStyle name="Normal 3 6 2 2 2" xfId="4530" xr:uid="{00000000-0005-0000-0000-00003B790000}"/>
    <cellStyle name="Normal 3 6 2 2 2 2" xfId="4529" xr:uid="{00000000-0005-0000-0000-00003C790000}"/>
    <cellStyle name="Normal 3 6 2 2 2 2 2" xfId="4527" xr:uid="{00000000-0005-0000-0000-00003D790000}"/>
    <cellStyle name="Normal 3 6 2 2 2 2 2 2" xfId="22318" xr:uid="{00000000-0005-0000-0000-00003E790000}"/>
    <cellStyle name="Normal 3 6 2 2 2 2 3" xfId="4525" xr:uid="{00000000-0005-0000-0000-00003F790000}"/>
    <cellStyle name="Normal 3 6 2 2 2 3" xfId="15430" xr:uid="{00000000-0005-0000-0000-000040790000}"/>
    <cellStyle name="Normal 3 6 2 2 2 3 2" xfId="15427" xr:uid="{00000000-0005-0000-0000-000041790000}"/>
    <cellStyle name="Normal 3 6 2 2 2 4" xfId="15422" xr:uid="{00000000-0005-0000-0000-000042790000}"/>
    <cellStyle name="Normal 3 6 2 2 3" xfId="4524" xr:uid="{00000000-0005-0000-0000-000043790000}"/>
    <cellStyle name="Normal 3 6 2 2 3 2" xfId="4523" xr:uid="{00000000-0005-0000-0000-000044790000}"/>
    <cellStyle name="Normal 3 6 2 2 3 2 2" xfId="4520" xr:uid="{00000000-0005-0000-0000-000045790000}"/>
    <cellStyle name="Normal 3 6 2 2 3 3" xfId="20817" xr:uid="{00000000-0005-0000-0000-000046790000}"/>
    <cellStyle name="Normal 3 6 2 2 4" xfId="4518" xr:uid="{00000000-0005-0000-0000-000047790000}"/>
    <cellStyle name="Normal 3 6 2 2 4 2" xfId="4517" xr:uid="{00000000-0005-0000-0000-000048790000}"/>
    <cellStyle name="Normal 3 6 2 2 5" xfId="6763" xr:uid="{00000000-0005-0000-0000-000049790000}"/>
    <cellStyle name="Normal 3 6 2 3" xfId="33000" xr:uid="{00000000-0005-0000-0000-00004A790000}"/>
    <cellStyle name="Normal 3 6 2 3 2" xfId="17995" xr:uid="{00000000-0005-0000-0000-00004B790000}"/>
    <cellStyle name="Normal 3 6 2 3 2 2" xfId="4515" xr:uid="{00000000-0005-0000-0000-00004C790000}"/>
    <cellStyle name="Normal 3 6 2 3 2 2 2" xfId="4512" xr:uid="{00000000-0005-0000-0000-00004D790000}"/>
    <cellStyle name="Normal 3 6 2 3 2 3" xfId="15326" xr:uid="{00000000-0005-0000-0000-00004E790000}"/>
    <cellStyle name="Normal 3 6 2 3 3" xfId="27200" xr:uid="{00000000-0005-0000-0000-00004F790000}"/>
    <cellStyle name="Normal 3 6 2 3 3 2" xfId="16489" xr:uid="{00000000-0005-0000-0000-000050790000}"/>
    <cellStyle name="Normal 3 6 2 3 4" xfId="30969" xr:uid="{00000000-0005-0000-0000-000051790000}"/>
    <cellStyle name="Normal 3 6 2 4" xfId="4511" xr:uid="{00000000-0005-0000-0000-000052790000}"/>
    <cellStyle name="Normal 3 6 2 4 2" xfId="33606" xr:uid="{00000000-0005-0000-0000-000053790000}"/>
    <cellStyle name="Normal 3 6 2 4 2 2" xfId="4510" xr:uid="{00000000-0005-0000-0000-000054790000}"/>
    <cellStyle name="Normal 3 6 2 4 3" xfId="30298" xr:uid="{00000000-0005-0000-0000-000055790000}"/>
    <cellStyle name="Normal 3 6 2 5" xfId="4509" xr:uid="{00000000-0005-0000-0000-000056790000}"/>
    <cellStyle name="Normal 3 6 2 5 2" xfId="25143" xr:uid="{00000000-0005-0000-0000-000057790000}"/>
    <cellStyle name="Normal 3 6 2 6" xfId="4508" xr:uid="{00000000-0005-0000-0000-000058790000}"/>
    <cellStyle name="Normal 3 6 2 6 2" xfId="25133" xr:uid="{00000000-0005-0000-0000-000059790000}"/>
    <cellStyle name="Normal 3 6 2 7" xfId="13631" xr:uid="{00000000-0005-0000-0000-00005A790000}"/>
    <cellStyle name="Normal 3 6 3" xfId="4507" xr:uid="{00000000-0005-0000-0000-00005B790000}"/>
    <cellStyle name="Normal 3 6 3 2" xfId="8373" xr:uid="{00000000-0005-0000-0000-00005C790000}"/>
    <cellStyle name="Normal 3 6 3 2 2" xfId="4506" xr:uid="{00000000-0005-0000-0000-00005D790000}"/>
    <cellStyle name="Normal 3 6 3 2 2 2" xfId="4505" xr:uid="{00000000-0005-0000-0000-00005E790000}"/>
    <cellStyle name="Normal 3 6 3 2 2 2 2" xfId="25855" xr:uid="{00000000-0005-0000-0000-00005F790000}"/>
    <cellStyle name="Normal 3 6 3 2 2 3" xfId="33426" xr:uid="{00000000-0005-0000-0000-000060790000}"/>
    <cellStyle name="Normal 3 6 3 2 3" xfId="4503" xr:uid="{00000000-0005-0000-0000-000061790000}"/>
    <cellStyle name="Normal 3 6 3 2 3 2" xfId="4502" xr:uid="{00000000-0005-0000-0000-000062790000}"/>
    <cellStyle name="Normal 3 6 3 2 4" xfId="4500" xr:uid="{00000000-0005-0000-0000-000063790000}"/>
    <cellStyle name="Normal 3 6 3 3" xfId="4499" xr:uid="{00000000-0005-0000-0000-000064790000}"/>
    <cellStyle name="Normal 3 6 3 3 2" xfId="17946" xr:uid="{00000000-0005-0000-0000-000065790000}"/>
    <cellStyle name="Normal 3 6 3 3 2 2" xfId="4498" xr:uid="{00000000-0005-0000-0000-000066790000}"/>
    <cellStyle name="Normal 3 6 3 3 3" xfId="33787" xr:uid="{00000000-0005-0000-0000-000067790000}"/>
    <cellStyle name="Normal 3 6 3 4" xfId="4497" xr:uid="{00000000-0005-0000-0000-000068790000}"/>
    <cellStyle name="Normal 3 6 3 4 2" xfId="25122" xr:uid="{00000000-0005-0000-0000-000069790000}"/>
    <cellStyle name="Normal 3 6 3 5" xfId="32971" xr:uid="{00000000-0005-0000-0000-00006A790000}"/>
    <cellStyle name="Normal 3 6 4" xfId="18910" xr:uid="{00000000-0005-0000-0000-00006B790000}"/>
    <cellStyle name="Normal 3 6 4 2" xfId="26274" xr:uid="{00000000-0005-0000-0000-00006C790000}"/>
    <cellStyle name="Normal 3 6 4 2 2" xfId="24491" xr:uid="{00000000-0005-0000-0000-00006D790000}"/>
    <cellStyle name="Normal 3 6 4 2 2 2" xfId="18957" xr:uid="{00000000-0005-0000-0000-00006E790000}"/>
    <cellStyle name="Normal 3 6 4 2 3" xfId="32620" xr:uid="{00000000-0005-0000-0000-00006F790000}"/>
    <cellStyle name="Normal 3 6 4 3" xfId="32642" xr:uid="{00000000-0005-0000-0000-000070790000}"/>
    <cellStyle name="Normal 3 6 4 3 2" xfId="24847" xr:uid="{00000000-0005-0000-0000-000071790000}"/>
    <cellStyle name="Normal 3 6 4 4" xfId="32157" xr:uid="{00000000-0005-0000-0000-000072790000}"/>
    <cellStyle name="Normal 3 6 5" xfId="17977" xr:uid="{00000000-0005-0000-0000-000073790000}"/>
    <cellStyle name="Normal 3 6 5 2" xfId="30747" xr:uid="{00000000-0005-0000-0000-000074790000}"/>
    <cellStyle name="Normal 3 6 5 2 2" xfId="15368" xr:uid="{00000000-0005-0000-0000-000075790000}"/>
    <cellStyle name="Normal 3 6 5 3" xfId="32606" xr:uid="{00000000-0005-0000-0000-000076790000}"/>
    <cellStyle name="Normal 3 6 6" xfId="28941" xr:uid="{00000000-0005-0000-0000-000077790000}"/>
    <cellStyle name="Normal 3 6 6 2" xfId="17841" xr:uid="{00000000-0005-0000-0000-000078790000}"/>
    <cellStyle name="Normal 3 6 7" xfId="11103" xr:uid="{00000000-0005-0000-0000-000079790000}"/>
    <cellStyle name="Normal 3 6 7 2" xfId="4496" xr:uid="{00000000-0005-0000-0000-00007A790000}"/>
    <cellStyle name="Normal 3 6 8" xfId="11090" xr:uid="{00000000-0005-0000-0000-00007B790000}"/>
    <cellStyle name="Normal 3 7" xfId="6135" xr:uid="{00000000-0005-0000-0000-00007C790000}"/>
    <cellStyle name="Normal 3 7 2" xfId="4495" xr:uid="{00000000-0005-0000-0000-00007D790000}"/>
    <cellStyle name="Normal 3 7 2 2" xfId="8370" xr:uid="{00000000-0005-0000-0000-00007E790000}"/>
    <cellStyle name="Normal 3 7 2 2 2" xfId="4493" xr:uid="{00000000-0005-0000-0000-00007F790000}"/>
    <cellStyle name="Normal 3 7 2 2 2 2" xfId="15691" xr:uid="{00000000-0005-0000-0000-000080790000}"/>
    <cellStyle name="Normal 3 7 2 2 2 2 2" xfId="4491" xr:uid="{00000000-0005-0000-0000-000081790000}"/>
    <cellStyle name="Normal 3 7 2 2 2 3" xfId="6880" xr:uid="{00000000-0005-0000-0000-000082790000}"/>
    <cellStyle name="Normal 3 7 2 2 3" xfId="4490" xr:uid="{00000000-0005-0000-0000-000083790000}"/>
    <cellStyle name="Normal 3 7 2 2 3 2" xfId="6868" xr:uid="{00000000-0005-0000-0000-000084790000}"/>
    <cellStyle name="Normal 3 7 2 2 4" xfId="4489" xr:uid="{00000000-0005-0000-0000-000085790000}"/>
    <cellStyle name="Normal 3 7 2 3" xfId="4488" xr:uid="{00000000-0005-0000-0000-000086790000}"/>
    <cellStyle name="Normal 3 7 2 3 2" xfId="17902" xr:uid="{00000000-0005-0000-0000-000087790000}"/>
    <cellStyle name="Normal 3 7 2 3 2 2" xfId="6838" xr:uid="{00000000-0005-0000-0000-000088790000}"/>
    <cellStyle name="Normal 3 7 2 3 3" xfId="30284" xr:uid="{00000000-0005-0000-0000-000089790000}"/>
    <cellStyle name="Normal 3 7 2 4" xfId="4486" xr:uid="{00000000-0005-0000-0000-00008A790000}"/>
    <cellStyle name="Normal 3 7 2 4 2" xfId="32402" xr:uid="{00000000-0005-0000-0000-00008B790000}"/>
    <cellStyle name="Normal 3 7 2 5" xfId="34050" xr:uid="{00000000-0005-0000-0000-00008C790000}"/>
    <cellStyle name="Normal 3 7 2 5 2" xfId="34010" xr:uid="{00000000-0005-0000-0000-00008D790000}"/>
    <cellStyle name="Normal 3 7 2 6" xfId="4485" xr:uid="{00000000-0005-0000-0000-00008E790000}"/>
    <cellStyle name="Normal 3 7 2 6 2" xfId="4484" xr:uid="{00000000-0005-0000-0000-00008F790000}"/>
    <cellStyle name="Normal 3 7 2 7" xfId="33511" xr:uid="{00000000-0005-0000-0000-000090790000}"/>
    <cellStyle name="Normal 3 7 3" xfId="4483" xr:uid="{00000000-0005-0000-0000-000091790000}"/>
    <cellStyle name="Normal 3 7 3 2" xfId="4481" xr:uid="{00000000-0005-0000-0000-000092790000}"/>
    <cellStyle name="Normal 3 7 3 2 2" xfId="4479" xr:uid="{00000000-0005-0000-0000-000093790000}"/>
    <cellStyle name="Normal 3 7 3 2 2 2" xfId="21931" xr:uid="{00000000-0005-0000-0000-000094790000}"/>
    <cellStyle name="Normal 3 7 3 2 3" xfId="4478" xr:uid="{00000000-0005-0000-0000-000095790000}"/>
    <cellStyle name="Normal 3 7 3 3" xfId="4477" xr:uid="{00000000-0005-0000-0000-000096790000}"/>
    <cellStyle name="Normal 3 7 3 3 2" xfId="17892" xr:uid="{00000000-0005-0000-0000-000097790000}"/>
    <cellStyle name="Normal 3 7 3 4" xfId="4476" xr:uid="{00000000-0005-0000-0000-000098790000}"/>
    <cellStyle name="Normal 3 7 4" xfId="17974" xr:uid="{00000000-0005-0000-0000-000099790000}"/>
    <cellStyle name="Normal 3 7 4 2" xfId="30735" xr:uid="{00000000-0005-0000-0000-00009A790000}"/>
    <cellStyle name="Normal 3 7 4 2 2" xfId="32513" xr:uid="{00000000-0005-0000-0000-00009B790000}"/>
    <cellStyle name="Normal 3 7 4 3" xfId="31127" xr:uid="{00000000-0005-0000-0000-00009C790000}"/>
    <cellStyle name="Normal 3 7 5" xfId="29867" xr:uid="{00000000-0005-0000-0000-00009D790000}"/>
    <cellStyle name="Normal 3 7 5 2" xfId="30722" xr:uid="{00000000-0005-0000-0000-00009E790000}"/>
    <cellStyle name="Normal 3 7 6" xfId="29241" xr:uid="{00000000-0005-0000-0000-00009F790000}"/>
    <cellStyle name="Normal 3 7 6 2" xfId="4474" xr:uid="{00000000-0005-0000-0000-0000A0790000}"/>
    <cellStyle name="Normal 3 7 7" xfId="11082" xr:uid="{00000000-0005-0000-0000-0000A1790000}"/>
    <cellStyle name="Normal 3 7 7 2" xfId="4473" xr:uid="{00000000-0005-0000-0000-0000A2790000}"/>
    <cellStyle name="Normal 3 7 8" xfId="11075" xr:uid="{00000000-0005-0000-0000-0000A3790000}"/>
    <cellStyle name="Normal 3 8" xfId="4472" xr:uid="{00000000-0005-0000-0000-0000A4790000}"/>
    <cellStyle name="Normal 3 8 2" xfId="4471" xr:uid="{00000000-0005-0000-0000-0000A5790000}"/>
    <cellStyle name="Normal 3 8 2 2" xfId="6876" xr:uid="{00000000-0005-0000-0000-0000A6790000}"/>
    <cellStyle name="Normal 3 8 2 2 2" xfId="4469" xr:uid="{00000000-0005-0000-0000-0000A7790000}"/>
    <cellStyle name="Normal 3 8 2 2 2 2" xfId="28471" xr:uid="{00000000-0005-0000-0000-0000A8790000}"/>
    <cellStyle name="Normal 3 8 2 2 3" xfId="4468" xr:uid="{00000000-0005-0000-0000-0000A9790000}"/>
    <cellStyle name="Normal 3 8 2 3" xfId="6263" xr:uid="{00000000-0005-0000-0000-0000AA790000}"/>
    <cellStyle name="Normal 3 8 2 3 2" xfId="31368" xr:uid="{00000000-0005-0000-0000-0000AB790000}"/>
    <cellStyle name="Normal 3 8 2 4" xfId="6260" xr:uid="{00000000-0005-0000-0000-0000AC790000}"/>
    <cellStyle name="Normal 3 8 2 4 2" xfId="31341" xr:uid="{00000000-0005-0000-0000-0000AD790000}"/>
    <cellStyle name="Normal 3 8 2 5" xfId="7211" xr:uid="{00000000-0005-0000-0000-0000AE790000}"/>
    <cellStyle name="Normal 3 8 2 5 2" xfId="12562" xr:uid="{00000000-0005-0000-0000-0000AF790000}"/>
    <cellStyle name="Normal 3 8 2 6" xfId="16018" xr:uid="{00000000-0005-0000-0000-0000B0790000}"/>
    <cellStyle name="Normal 3 8 2 6 2" xfId="16014" xr:uid="{00000000-0005-0000-0000-0000B1790000}"/>
    <cellStyle name="Normal 3 8 2 7" xfId="16000" xr:uid="{00000000-0005-0000-0000-0000B2790000}"/>
    <cellStyle name="Normal 3 8 3" xfId="4467" xr:uid="{00000000-0005-0000-0000-0000B3790000}"/>
    <cellStyle name="Normal 3 8 3 2" xfId="6254" xr:uid="{00000000-0005-0000-0000-0000B4790000}"/>
    <cellStyle name="Normal 3 8 3 2 2" xfId="4465" xr:uid="{00000000-0005-0000-0000-0000B5790000}"/>
    <cellStyle name="Normal 3 8 3 3" xfId="20137" xr:uid="{00000000-0005-0000-0000-0000B6790000}"/>
    <cellStyle name="Normal 3 8 4" xfId="22863" xr:uid="{00000000-0005-0000-0000-0000B7790000}"/>
    <cellStyle name="Normal 3 8 4 2" xfId="25184" xr:uid="{00000000-0005-0000-0000-0000B8790000}"/>
    <cellStyle name="Normal 3 8 5" xfId="21718" xr:uid="{00000000-0005-0000-0000-0000B9790000}"/>
    <cellStyle name="Normal 3 8 5 2" xfId="4464" xr:uid="{00000000-0005-0000-0000-0000BA790000}"/>
    <cellStyle name="Normal 3 8 6" xfId="4463" xr:uid="{00000000-0005-0000-0000-0000BB790000}"/>
    <cellStyle name="Normal 3 8 6 2" xfId="4462" xr:uid="{00000000-0005-0000-0000-0000BC790000}"/>
    <cellStyle name="Normal 3 8 7" xfId="11067" xr:uid="{00000000-0005-0000-0000-0000BD790000}"/>
    <cellStyle name="Normal 3 8 7 2" xfId="29990" xr:uid="{00000000-0005-0000-0000-0000BE790000}"/>
    <cellStyle name="Normal 3 8 8" xfId="4461" xr:uid="{00000000-0005-0000-0000-0000BF790000}"/>
    <cellStyle name="Normal 3 9" xfId="6407" xr:uid="{00000000-0005-0000-0000-0000C0790000}"/>
    <cellStyle name="Normal 3 9 2" xfId="25176" xr:uid="{00000000-0005-0000-0000-0000C1790000}"/>
    <cellStyle name="Normal 3 9 2 2" xfId="6243" xr:uid="{00000000-0005-0000-0000-0000C2790000}"/>
    <cellStyle name="Normal 3 9 2 2 2" xfId="30940" xr:uid="{00000000-0005-0000-0000-0000C3790000}"/>
    <cellStyle name="Normal 3 9 2 3" xfId="6240" xr:uid="{00000000-0005-0000-0000-0000C4790000}"/>
    <cellStyle name="Normal 3 9 2 3 2" xfId="30668" xr:uid="{00000000-0005-0000-0000-0000C5790000}"/>
    <cellStyle name="Normal 3 9 2 4" xfId="4460" xr:uid="{00000000-0005-0000-0000-0000C6790000}"/>
    <cellStyle name="Normal 3 9 2 4 2" xfId="4459" xr:uid="{00000000-0005-0000-0000-0000C7790000}"/>
    <cellStyle name="Normal 3 9 2 5" xfId="12482" xr:uid="{00000000-0005-0000-0000-0000C8790000}"/>
    <cellStyle name="Normal 3 9 2 5 2" xfId="12480" xr:uid="{00000000-0005-0000-0000-0000C9790000}"/>
    <cellStyle name="Normal 3 9 2 6" xfId="15951" xr:uid="{00000000-0005-0000-0000-0000CA790000}"/>
    <cellStyle name="Normal 3 9 2 6 2" xfId="4458" xr:uid="{00000000-0005-0000-0000-0000CB790000}"/>
    <cellStyle name="Normal 3 9 2 7" xfId="4457" xr:uid="{00000000-0005-0000-0000-0000CC790000}"/>
    <cellStyle name="Normal 3 9 3" xfId="22103" xr:uid="{00000000-0005-0000-0000-0000CD790000}"/>
    <cellStyle name="Normal 3 9 3 2" xfId="6236" xr:uid="{00000000-0005-0000-0000-0000CE790000}"/>
    <cellStyle name="Normal 3 9 4" xfId="26973" xr:uid="{00000000-0005-0000-0000-0000CF790000}"/>
    <cellStyle name="Normal 3 9 4 2" xfId="4456" xr:uid="{00000000-0005-0000-0000-0000D0790000}"/>
    <cellStyle name="Normal 3 9 5" xfId="4455" xr:uid="{00000000-0005-0000-0000-0000D1790000}"/>
    <cellStyle name="Normal 3 9 5 2" xfId="4454" xr:uid="{00000000-0005-0000-0000-0000D2790000}"/>
    <cellStyle name="Normal 3 9 6" xfId="16205" xr:uid="{00000000-0005-0000-0000-0000D3790000}"/>
    <cellStyle name="Normal 3 9 6 2" xfId="16203" xr:uid="{00000000-0005-0000-0000-0000D4790000}"/>
    <cellStyle name="Normal 3 9 7" xfId="16120" xr:uid="{00000000-0005-0000-0000-0000D5790000}"/>
    <cellStyle name="Normal 3 9 7 2" xfId="16117" xr:uid="{00000000-0005-0000-0000-0000D6790000}"/>
    <cellStyle name="Normal 3 9 8" xfId="16078" xr:uid="{00000000-0005-0000-0000-0000D7790000}"/>
    <cellStyle name="Normal 30" xfId="34646" xr:uid="{00000000-0005-0000-0000-0000D8790000}"/>
    <cellStyle name="Normal 30 2" xfId="37023" xr:uid="{00000000-0005-0000-0000-0000D9790000}"/>
    <cellStyle name="Normal 30 3" xfId="37916" xr:uid="{00000000-0005-0000-0000-0000DA790000}"/>
    <cellStyle name="Normal 31" xfId="364" xr:uid="{00000000-0005-0000-0000-0000DB790000}"/>
    <cellStyle name="Normal 31 2" xfId="35870" xr:uid="{00000000-0005-0000-0000-0000DC790000}"/>
    <cellStyle name="Normal 31 3" xfId="37936" xr:uid="{00000000-0005-0000-0000-0000DD790000}"/>
    <cellStyle name="Normal 32" xfId="34667" xr:uid="{00000000-0005-0000-0000-0000DE790000}"/>
    <cellStyle name="Normal 32 2" xfId="35890" xr:uid="{00000000-0005-0000-0000-0000DF790000}"/>
    <cellStyle name="Normal 32 3" xfId="37957" xr:uid="{00000000-0005-0000-0000-0000E0790000}"/>
    <cellStyle name="Normal 33" xfId="35593" xr:uid="{00000000-0005-0000-0000-0000E1790000}"/>
    <cellStyle name="Normal 33 2" xfId="35910" xr:uid="{00000000-0005-0000-0000-0000E2790000}"/>
    <cellStyle name="Normal 33 3" xfId="37977" xr:uid="{00000000-0005-0000-0000-0000E3790000}"/>
    <cellStyle name="Normal 34" xfId="35607" xr:uid="{00000000-0005-0000-0000-0000E4790000}"/>
    <cellStyle name="Normal 34 2" xfId="35930" xr:uid="{00000000-0005-0000-0000-0000E5790000}"/>
    <cellStyle name="Normal 34 3" xfId="37997" xr:uid="{00000000-0005-0000-0000-0000E6790000}"/>
    <cellStyle name="Normal 35" xfId="35623" xr:uid="{00000000-0005-0000-0000-0000E7790000}"/>
    <cellStyle name="Normal 35 2" xfId="35950" xr:uid="{00000000-0005-0000-0000-0000E8790000}"/>
    <cellStyle name="Normal 35 3" xfId="38017" xr:uid="{00000000-0005-0000-0000-0000E9790000}"/>
    <cellStyle name="Normal 36" xfId="35970" xr:uid="{00000000-0005-0000-0000-0000EA790000}"/>
    <cellStyle name="Normal 36 2" xfId="37139" xr:uid="{00000000-0005-0000-0000-0000EB790000}"/>
    <cellStyle name="Normal 36 3" xfId="38037" xr:uid="{00000000-0005-0000-0000-0000EC790000}"/>
    <cellStyle name="Normal 37" xfId="35990" xr:uid="{00000000-0005-0000-0000-0000ED790000}"/>
    <cellStyle name="Normal 37 2" xfId="37159" xr:uid="{00000000-0005-0000-0000-0000EE790000}"/>
    <cellStyle name="Normal 37 3" xfId="38057" xr:uid="{00000000-0005-0000-0000-0000EF790000}"/>
    <cellStyle name="Normal 38" xfId="36010" xr:uid="{00000000-0005-0000-0000-0000F0790000}"/>
    <cellStyle name="Normal 38 2" xfId="37179" xr:uid="{00000000-0005-0000-0000-0000F1790000}"/>
    <cellStyle name="Normal 38 3" xfId="38077" xr:uid="{00000000-0005-0000-0000-0000F2790000}"/>
    <cellStyle name="Normal 39" xfId="36030" xr:uid="{00000000-0005-0000-0000-0000F3790000}"/>
    <cellStyle name="Normal 39 2" xfId="37199" xr:uid="{00000000-0005-0000-0000-0000F4790000}"/>
    <cellStyle name="Normal 39 3" xfId="38097" xr:uid="{00000000-0005-0000-0000-0000F5790000}"/>
    <cellStyle name="Normal 4" xfId="59" xr:uid="{00000000-0005-0000-0000-0000F6790000}"/>
    <cellStyle name="Normal 4 10" xfId="29237" xr:uid="{00000000-0005-0000-0000-0000F7790000}"/>
    <cellStyle name="Normal 4 10 2" xfId="4453" xr:uid="{00000000-0005-0000-0000-0000F8790000}"/>
    <cellStyle name="Normal 4 10 2 2" xfId="4452" xr:uid="{00000000-0005-0000-0000-0000F9790000}"/>
    <cellStyle name="Normal 4 10 2 2 2" xfId="4451" xr:uid="{00000000-0005-0000-0000-0000FA790000}"/>
    <cellStyle name="Normal 4 10 2 3" xfId="4449" xr:uid="{00000000-0005-0000-0000-0000FB790000}"/>
    <cellStyle name="Normal 4 10 2 3 2" xfId="15147" xr:uid="{00000000-0005-0000-0000-0000FC790000}"/>
    <cellStyle name="Normal 4 10 2 4" xfId="4448" xr:uid="{00000000-0005-0000-0000-0000FD790000}"/>
    <cellStyle name="Normal 4 10 2 4 2" xfId="15096" xr:uid="{00000000-0005-0000-0000-0000FE790000}"/>
    <cellStyle name="Normal 4 10 2 5" xfId="4447" xr:uid="{00000000-0005-0000-0000-0000FF790000}"/>
    <cellStyle name="Normal 4 10 2 5 2" xfId="32111" xr:uid="{00000000-0005-0000-0000-0000007A0000}"/>
    <cellStyle name="Normal 4 10 2 6" xfId="4446" xr:uid="{00000000-0005-0000-0000-0000017A0000}"/>
    <cellStyle name="Normal 4 10 2 6 2" xfId="15070" xr:uid="{00000000-0005-0000-0000-0000027A0000}"/>
    <cellStyle name="Normal 4 10 2 7" xfId="4445" xr:uid="{00000000-0005-0000-0000-0000037A0000}"/>
    <cellStyle name="Normal 4 10 3" xfId="4444" xr:uid="{00000000-0005-0000-0000-0000047A0000}"/>
    <cellStyle name="Normal 4 10 3 2" xfId="4443" xr:uid="{00000000-0005-0000-0000-0000057A0000}"/>
    <cellStyle name="Normal 4 10 4" xfId="4442" xr:uid="{00000000-0005-0000-0000-0000067A0000}"/>
    <cellStyle name="Normal 4 10 4 2" xfId="4441" xr:uid="{00000000-0005-0000-0000-0000077A0000}"/>
    <cellStyle name="Normal 4 10 5" xfId="4440" xr:uid="{00000000-0005-0000-0000-0000087A0000}"/>
    <cellStyle name="Normal 4 10 5 2" xfId="4439" xr:uid="{00000000-0005-0000-0000-0000097A0000}"/>
    <cellStyle name="Normal 4 10 6" xfId="4438" xr:uid="{00000000-0005-0000-0000-00000A7A0000}"/>
    <cellStyle name="Normal 4 10 6 2" xfId="21230" xr:uid="{00000000-0005-0000-0000-00000B7A0000}"/>
    <cellStyle name="Normal 4 10 7" xfId="4437" xr:uid="{00000000-0005-0000-0000-00000C7A0000}"/>
    <cellStyle name="Normal 4 10 7 2" xfId="33844" xr:uid="{00000000-0005-0000-0000-00000D7A0000}"/>
    <cellStyle name="Normal 4 10 8" xfId="4436" xr:uid="{00000000-0005-0000-0000-00000E7A0000}"/>
    <cellStyle name="Normal 4 11" xfId="4434" xr:uid="{00000000-0005-0000-0000-00000F7A0000}"/>
    <cellStyle name="Normal 4 11 2" xfId="4433" xr:uid="{00000000-0005-0000-0000-0000107A0000}"/>
    <cellStyle name="Normal 4 11 2 2" xfId="4432" xr:uid="{00000000-0005-0000-0000-0000117A0000}"/>
    <cellStyle name="Normal 4 11 2 2 2" xfId="4431" xr:uid="{00000000-0005-0000-0000-0000127A0000}"/>
    <cellStyle name="Normal 4 11 2 3" xfId="4430" xr:uid="{00000000-0005-0000-0000-0000137A0000}"/>
    <cellStyle name="Normal 4 11 2 3 2" xfId="14929" xr:uid="{00000000-0005-0000-0000-0000147A0000}"/>
    <cellStyle name="Normal 4 11 2 4" xfId="4429" xr:uid="{00000000-0005-0000-0000-0000157A0000}"/>
    <cellStyle name="Normal 4 11 2 4 2" xfId="14909" xr:uid="{00000000-0005-0000-0000-0000167A0000}"/>
    <cellStyle name="Normal 4 11 2 5" xfId="4428" xr:uid="{00000000-0005-0000-0000-0000177A0000}"/>
    <cellStyle name="Normal 4 11 2 5 2" xfId="14902" xr:uid="{00000000-0005-0000-0000-0000187A0000}"/>
    <cellStyle name="Normal 4 11 2 6" xfId="4427" xr:uid="{00000000-0005-0000-0000-0000197A0000}"/>
    <cellStyle name="Normal 4 11 2 6 2" xfId="4426" xr:uid="{00000000-0005-0000-0000-00001A7A0000}"/>
    <cellStyle name="Normal 4 11 2 7" xfId="27010" xr:uid="{00000000-0005-0000-0000-00001B7A0000}"/>
    <cellStyle name="Normal 4 11 3" xfId="4425" xr:uid="{00000000-0005-0000-0000-00001C7A0000}"/>
    <cellStyle name="Normal 4 11 3 2" xfId="4424" xr:uid="{00000000-0005-0000-0000-00001D7A0000}"/>
    <cellStyle name="Normal 4 11 4" xfId="4423" xr:uid="{00000000-0005-0000-0000-00001E7A0000}"/>
    <cellStyle name="Normal 4 11 4 2" xfId="4422" xr:uid="{00000000-0005-0000-0000-00001F7A0000}"/>
    <cellStyle name="Normal 4 11 5" xfId="4421" xr:uid="{00000000-0005-0000-0000-0000207A0000}"/>
    <cellStyle name="Normal 4 11 5 2" xfId="4420" xr:uid="{00000000-0005-0000-0000-0000217A0000}"/>
    <cellStyle name="Normal 4 11 6" xfId="4419" xr:uid="{00000000-0005-0000-0000-0000227A0000}"/>
    <cellStyle name="Normal 4 11 6 2" xfId="24384" xr:uid="{00000000-0005-0000-0000-0000237A0000}"/>
    <cellStyle name="Normal 4 11 7" xfId="4418" xr:uid="{00000000-0005-0000-0000-0000247A0000}"/>
    <cellStyle name="Normal 4 11 7 2" xfId="4417" xr:uid="{00000000-0005-0000-0000-0000257A0000}"/>
    <cellStyle name="Normal 4 11 8" xfId="4416" xr:uid="{00000000-0005-0000-0000-0000267A0000}"/>
    <cellStyle name="Normal 4 12" xfId="4414" xr:uid="{00000000-0005-0000-0000-0000277A0000}"/>
    <cellStyle name="Normal 4 12 2" xfId="4413" xr:uid="{00000000-0005-0000-0000-0000287A0000}"/>
    <cellStyle name="Normal 4 12 2 2" xfId="4412" xr:uid="{00000000-0005-0000-0000-0000297A0000}"/>
    <cellStyle name="Normal 4 12 2 2 2" xfId="4411" xr:uid="{00000000-0005-0000-0000-00002A7A0000}"/>
    <cellStyle name="Normal 4 12 2 3" xfId="4410" xr:uid="{00000000-0005-0000-0000-00002B7A0000}"/>
    <cellStyle name="Normal 4 12 2 3 2" xfId="14807" xr:uid="{00000000-0005-0000-0000-00002C7A0000}"/>
    <cellStyle name="Normal 4 12 2 4" xfId="18419" xr:uid="{00000000-0005-0000-0000-00002D7A0000}"/>
    <cellStyle name="Normal 4 12 2 4 2" xfId="14793" xr:uid="{00000000-0005-0000-0000-00002E7A0000}"/>
    <cellStyle name="Normal 4 12 2 5" xfId="17769" xr:uid="{00000000-0005-0000-0000-00002F7A0000}"/>
    <cellStyle name="Normal 4 12 2 5 2" xfId="4409" xr:uid="{00000000-0005-0000-0000-0000307A0000}"/>
    <cellStyle name="Normal 4 12 2 6" xfId="4408" xr:uid="{00000000-0005-0000-0000-0000317A0000}"/>
    <cellStyle name="Normal 4 12 2 6 2" xfId="4407" xr:uid="{00000000-0005-0000-0000-0000327A0000}"/>
    <cellStyle name="Normal 4 12 2 7" xfId="4406" xr:uid="{00000000-0005-0000-0000-0000337A0000}"/>
    <cellStyle name="Normal 4 12 3" xfId="4405" xr:uid="{00000000-0005-0000-0000-0000347A0000}"/>
    <cellStyle name="Normal 4 12 3 2" xfId="4404" xr:uid="{00000000-0005-0000-0000-0000357A0000}"/>
    <cellStyle name="Normal 4 12 4" xfId="4403" xr:uid="{00000000-0005-0000-0000-0000367A0000}"/>
    <cellStyle name="Normal 4 12 4 2" xfId="4402" xr:uid="{00000000-0005-0000-0000-0000377A0000}"/>
    <cellStyle name="Normal 4 12 5" xfId="4401" xr:uid="{00000000-0005-0000-0000-0000387A0000}"/>
    <cellStyle name="Normal 4 12 5 2" xfId="4400" xr:uid="{00000000-0005-0000-0000-0000397A0000}"/>
    <cellStyle name="Normal 4 12 6" xfId="4399" xr:uid="{00000000-0005-0000-0000-00003A7A0000}"/>
    <cellStyle name="Normal 4 12 6 2" xfId="4398" xr:uid="{00000000-0005-0000-0000-00003B7A0000}"/>
    <cellStyle name="Normal 4 12 7" xfId="34095" xr:uid="{00000000-0005-0000-0000-00003C7A0000}"/>
    <cellStyle name="Normal 4 12 7 2" xfId="4397" xr:uid="{00000000-0005-0000-0000-00003D7A0000}"/>
    <cellStyle name="Normal 4 12 8" xfId="4396" xr:uid="{00000000-0005-0000-0000-00003E7A0000}"/>
    <cellStyle name="Normal 4 13" xfId="23969" xr:uid="{00000000-0005-0000-0000-00003F7A0000}"/>
    <cellStyle name="Normal 4 13 2" xfId="31118" xr:uid="{00000000-0005-0000-0000-0000407A0000}"/>
    <cellStyle name="Normal 4 13 2 2" xfId="4395" xr:uid="{00000000-0005-0000-0000-0000417A0000}"/>
    <cellStyle name="Normal 4 13 2 2 2" xfId="4394" xr:uid="{00000000-0005-0000-0000-0000427A0000}"/>
    <cellStyle name="Normal 4 13 2 3" xfId="31541" xr:uid="{00000000-0005-0000-0000-0000437A0000}"/>
    <cellStyle name="Normal 4 13 2 3 2" xfId="14709" xr:uid="{00000000-0005-0000-0000-0000447A0000}"/>
    <cellStyle name="Normal 4 13 2 4" xfId="17765" xr:uid="{00000000-0005-0000-0000-0000457A0000}"/>
    <cellStyle name="Normal 4 13 2 4 2" xfId="4393" xr:uid="{00000000-0005-0000-0000-0000467A0000}"/>
    <cellStyle name="Normal 4 13 2 5" xfId="4392" xr:uid="{00000000-0005-0000-0000-0000477A0000}"/>
    <cellStyle name="Normal 4 13 2 5 2" xfId="4391" xr:uid="{00000000-0005-0000-0000-0000487A0000}"/>
    <cellStyle name="Normal 4 13 2 6" xfId="4390" xr:uid="{00000000-0005-0000-0000-0000497A0000}"/>
    <cellStyle name="Normal 4 13 2 6 2" xfId="4389" xr:uid="{00000000-0005-0000-0000-00004A7A0000}"/>
    <cellStyle name="Normal 4 13 2 7" xfId="4388" xr:uid="{00000000-0005-0000-0000-00004B7A0000}"/>
    <cellStyle name="Normal 4 13 3" xfId="27434" xr:uid="{00000000-0005-0000-0000-00004C7A0000}"/>
    <cellStyle name="Normal 4 13 3 2" xfId="4387" xr:uid="{00000000-0005-0000-0000-00004D7A0000}"/>
    <cellStyle name="Normal 4 13 4" xfId="4386" xr:uid="{00000000-0005-0000-0000-00004E7A0000}"/>
    <cellStyle name="Normal 4 13 4 2" xfId="4385" xr:uid="{00000000-0005-0000-0000-00004F7A0000}"/>
    <cellStyle name="Normal 4 13 5" xfId="4384" xr:uid="{00000000-0005-0000-0000-0000507A0000}"/>
    <cellStyle name="Normal 4 13 5 2" xfId="4383" xr:uid="{00000000-0005-0000-0000-0000517A0000}"/>
    <cellStyle name="Normal 4 13 6" xfId="8341" xr:uid="{00000000-0005-0000-0000-0000527A0000}"/>
    <cellStyle name="Normal 4 13 6 2" xfId="4382" xr:uid="{00000000-0005-0000-0000-0000537A0000}"/>
    <cellStyle name="Normal 4 13 7" xfId="29993" xr:uid="{00000000-0005-0000-0000-0000547A0000}"/>
    <cellStyle name="Normal 4 13 7 2" xfId="4380" xr:uid="{00000000-0005-0000-0000-0000557A0000}"/>
    <cellStyle name="Normal 4 13 8" xfId="4378" xr:uid="{00000000-0005-0000-0000-0000567A0000}"/>
    <cellStyle name="Normal 4 14" xfId="4376" xr:uid="{00000000-0005-0000-0000-0000577A0000}"/>
    <cellStyle name="Normal 4 14 2" xfId="27432" xr:uid="{00000000-0005-0000-0000-0000587A0000}"/>
    <cellStyle name="Normal 4 14 2 2" xfId="4375" xr:uid="{00000000-0005-0000-0000-0000597A0000}"/>
    <cellStyle name="Normal 4 14 3" xfId="4374" xr:uid="{00000000-0005-0000-0000-00005A7A0000}"/>
    <cellStyle name="Normal 4 14 3 2" xfId="4373" xr:uid="{00000000-0005-0000-0000-00005B7A0000}"/>
    <cellStyle name="Normal 4 14 4" xfId="18247" xr:uid="{00000000-0005-0000-0000-00005C7A0000}"/>
    <cellStyle name="Normal 4 14 4 2" xfId="4372" xr:uid="{00000000-0005-0000-0000-00005D7A0000}"/>
    <cellStyle name="Normal 4 14 5" xfId="4371" xr:uid="{00000000-0005-0000-0000-00005E7A0000}"/>
    <cellStyle name="Normal 4 14 5 2" xfId="4370" xr:uid="{00000000-0005-0000-0000-00005F7A0000}"/>
    <cellStyle name="Normal 4 14 6" xfId="12102" xr:uid="{00000000-0005-0000-0000-0000607A0000}"/>
    <cellStyle name="Normal 4 14 6 2" xfId="4369" xr:uid="{00000000-0005-0000-0000-0000617A0000}"/>
    <cellStyle name="Normal 4 14 7" xfId="4368" xr:uid="{00000000-0005-0000-0000-0000627A0000}"/>
    <cellStyle name="Normal 4 15" xfId="24923" xr:uid="{00000000-0005-0000-0000-0000637A0000}"/>
    <cellStyle name="Normal 4 15 2" xfId="13545" xr:uid="{00000000-0005-0000-0000-0000647A0000}"/>
    <cellStyle name="Normal 4 15 2 2" xfId="21673" xr:uid="{00000000-0005-0000-0000-0000657A0000}"/>
    <cellStyle name="Normal 4 15 3" xfId="4367" xr:uid="{00000000-0005-0000-0000-0000667A0000}"/>
    <cellStyle name="Normal 4 15 3 2" xfId="4366" xr:uid="{00000000-0005-0000-0000-0000677A0000}"/>
    <cellStyle name="Normal 4 15 4" xfId="4364" xr:uid="{00000000-0005-0000-0000-0000687A0000}"/>
    <cellStyle name="Normal 4 15 4 2" xfId="4363" xr:uid="{00000000-0005-0000-0000-0000697A0000}"/>
    <cellStyle name="Normal 4 15 5" xfId="4362" xr:uid="{00000000-0005-0000-0000-00006A7A0000}"/>
    <cellStyle name="Normal 4 15 5 2" xfId="14538" xr:uid="{00000000-0005-0000-0000-00006B7A0000}"/>
    <cellStyle name="Normal 4 15 6" xfId="31298" xr:uid="{00000000-0005-0000-0000-00006C7A0000}"/>
    <cellStyle name="Normal 4 15 6 2" xfId="24462" xr:uid="{00000000-0005-0000-0000-00006D7A0000}"/>
    <cellStyle name="Normal 4 15 7" xfId="30003" xr:uid="{00000000-0005-0000-0000-00006E7A0000}"/>
    <cellStyle name="Normal 4 16" xfId="4361" xr:uid="{00000000-0005-0000-0000-00006F7A0000}"/>
    <cellStyle name="Normal 4 16 2" xfId="4359" xr:uid="{00000000-0005-0000-0000-0000707A0000}"/>
    <cellStyle name="Normal 4 16 2 2" xfId="4357" xr:uid="{00000000-0005-0000-0000-0000717A0000}"/>
    <cellStyle name="Normal 4 16 3" xfId="4355" xr:uid="{00000000-0005-0000-0000-0000727A0000}"/>
    <cellStyle name="Normal 4 16 3 2" xfId="4354" xr:uid="{00000000-0005-0000-0000-0000737A0000}"/>
    <cellStyle name="Normal 4 16 4" xfId="4353" xr:uid="{00000000-0005-0000-0000-0000747A0000}"/>
    <cellStyle name="Normal 4 16 4 2" xfId="4352" xr:uid="{00000000-0005-0000-0000-0000757A0000}"/>
    <cellStyle name="Normal 4 16 5" xfId="4351" xr:uid="{00000000-0005-0000-0000-0000767A0000}"/>
    <cellStyle name="Normal 4 16 5 2" xfId="4350" xr:uid="{00000000-0005-0000-0000-0000777A0000}"/>
    <cellStyle name="Normal 4 16 6" xfId="30200" xr:uid="{00000000-0005-0000-0000-0000787A0000}"/>
    <cellStyle name="Normal 4 16 6 2" xfId="25551" xr:uid="{00000000-0005-0000-0000-0000797A0000}"/>
    <cellStyle name="Normal 4 16 7" xfId="30405" xr:uid="{00000000-0005-0000-0000-00007A7A0000}"/>
    <cellStyle name="Normal 4 17" xfId="31286" xr:uid="{00000000-0005-0000-0000-00007B7A0000}"/>
    <cellStyle name="Normal 4 17 2" xfId="4349" xr:uid="{00000000-0005-0000-0000-00007C7A0000}"/>
    <cellStyle name="Normal 4 18" xfId="22651" xr:uid="{00000000-0005-0000-0000-00007D7A0000}"/>
    <cellStyle name="Normal 4 18 2" xfId="4348" xr:uid="{00000000-0005-0000-0000-00007E7A0000}"/>
    <cellStyle name="Normal 4 19" xfId="19650" xr:uid="{00000000-0005-0000-0000-00007F7A0000}"/>
    <cellStyle name="Normal 4 19 2" xfId="4347" xr:uid="{00000000-0005-0000-0000-0000807A0000}"/>
    <cellStyle name="Normal 4 2" xfId="58" xr:uid="{00000000-0005-0000-0000-0000817A0000}"/>
    <cellStyle name="Normal 4 2 10" xfId="4345" xr:uid="{00000000-0005-0000-0000-0000827A0000}"/>
    <cellStyle name="Normal 4 2 10 2" xfId="4344" xr:uid="{00000000-0005-0000-0000-0000837A0000}"/>
    <cellStyle name="Normal 4 2 10 2 2" xfId="25206" xr:uid="{00000000-0005-0000-0000-0000847A0000}"/>
    <cellStyle name="Normal 4 2 10 2 2 2" xfId="4343" xr:uid="{00000000-0005-0000-0000-0000857A0000}"/>
    <cellStyle name="Normal 4 2 10 2 3" xfId="21435" xr:uid="{00000000-0005-0000-0000-0000867A0000}"/>
    <cellStyle name="Normal 4 2 10 2 3 2" xfId="4342" xr:uid="{00000000-0005-0000-0000-0000877A0000}"/>
    <cellStyle name="Normal 4 2 10 2 4" xfId="4341" xr:uid="{00000000-0005-0000-0000-0000887A0000}"/>
    <cellStyle name="Normal 4 2 10 2 4 2" xfId="4340" xr:uid="{00000000-0005-0000-0000-0000897A0000}"/>
    <cellStyle name="Normal 4 2 10 2 5" xfId="4339" xr:uid="{00000000-0005-0000-0000-00008A7A0000}"/>
    <cellStyle name="Normal 4 2 10 2 5 2" xfId="25258" xr:uid="{00000000-0005-0000-0000-00008B7A0000}"/>
    <cellStyle name="Normal 4 2 10 2 6" xfId="4338" xr:uid="{00000000-0005-0000-0000-00008C7A0000}"/>
    <cellStyle name="Normal 4 2 10 2 6 2" xfId="10192" xr:uid="{00000000-0005-0000-0000-00008D7A0000}"/>
    <cellStyle name="Normal 4 2 10 2 7" xfId="4337" xr:uid="{00000000-0005-0000-0000-00008E7A0000}"/>
    <cellStyle name="Normal 4 2 10 3" xfId="4335" xr:uid="{00000000-0005-0000-0000-00008F7A0000}"/>
    <cellStyle name="Normal 4 2 10 3 2" xfId="15524" xr:uid="{00000000-0005-0000-0000-0000907A0000}"/>
    <cellStyle name="Normal 4 2 10 4" xfId="4334" xr:uid="{00000000-0005-0000-0000-0000917A0000}"/>
    <cellStyle name="Normal 4 2 10 4 2" xfId="13737" xr:uid="{00000000-0005-0000-0000-0000927A0000}"/>
    <cellStyle name="Normal 4 2 10 5" xfId="4333" xr:uid="{00000000-0005-0000-0000-0000937A0000}"/>
    <cellStyle name="Normal 4 2 10 5 2" xfId="28247" xr:uid="{00000000-0005-0000-0000-0000947A0000}"/>
    <cellStyle name="Normal 4 2 10 6" xfId="4332" xr:uid="{00000000-0005-0000-0000-0000957A0000}"/>
    <cellStyle name="Normal 4 2 10 6 2" xfId="4331" xr:uid="{00000000-0005-0000-0000-0000967A0000}"/>
    <cellStyle name="Normal 4 2 10 7" xfId="4330" xr:uid="{00000000-0005-0000-0000-0000977A0000}"/>
    <cellStyle name="Normal 4 2 10 7 2" xfId="4328" xr:uid="{00000000-0005-0000-0000-0000987A0000}"/>
    <cellStyle name="Normal 4 2 10 8" xfId="29733" xr:uid="{00000000-0005-0000-0000-0000997A0000}"/>
    <cellStyle name="Normal 4 2 11" xfId="4327" xr:uid="{00000000-0005-0000-0000-00009A7A0000}"/>
    <cellStyle name="Normal 4 2 11 2" xfId="4326" xr:uid="{00000000-0005-0000-0000-00009B7A0000}"/>
    <cellStyle name="Normal 4 2 11 2 2" xfId="4325" xr:uid="{00000000-0005-0000-0000-00009C7A0000}"/>
    <cellStyle name="Normal 4 2 11 3" xfId="4324" xr:uid="{00000000-0005-0000-0000-00009D7A0000}"/>
    <cellStyle name="Normal 4 2 11 3 2" xfId="15509" xr:uid="{00000000-0005-0000-0000-00009E7A0000}"/>
    <cellStyle name="Normal 4 2 11 4" xfId="4323" xr:uid="{00000000-0005-0000-0000-00009F7A0000}"/>
    <cellStyle name="Normal 4 2 11 4 2" xfId="13723" xr:uid="{00000000-0005-0000-0000-0000A07A0000}"/>
    <cellStyle name="Normal 4 2 11 5" xfId="4322" xr:uid="{00000000-0005-0000-0000-0000A17A0000}"/>
    <cellStyle name="Normal 4 2 11 5 2" xfId="4321" xr:uid="{00000000-0005-0000-0000-0000A27A0000}"/>
    <cellStyle name="Normal 4 2 11 6" xfId="4320" xr:uid="{00000000-0005-0000-0000-0000A37A0000}"/>
    <cellStyle name="Normal 4 2 11 6 2" xfId="4319" xr:uid="{00000000-0005-0000-0000-0000A47A0000}"/>
    <cellStyle name="Normal 4 2 11 7" xfId="4318" xr:uid="{00000000-0005-0000-0000-0000A57A0000}"/>
    <cellStyle name="Normal 4 2 12" xfId="4317" xr:uid="{00000000-0005-0000-0000-0000A67A0000}"/>
    <cellStyle name="Normal 4 2 12 2" xfId="4316" xr:uid="{00000000-0005-0000-0000-0000A77A0000}"/>
    <cellStyle name="Normal 4 2 12 2 2" xfId="4315" xr:uid="{00000000-0005-0000-0000-0000A87A0000}"/>
    <cellStyle name="Normal 4 2 12 3" xfId="4314" xr:uid="{00000000-0005-0000-0000-0000A97A0000}"/>
    <cellStyle name="Normal 4 2 12 3 2" xfId="4313" xr:uid="{00000000-0005-0000-0000-0000AA7A0000}"/>
    <cellStyle name="Normal 4 2 12 4" xfId="4312" xr:uid="{00000000-0005-0000-0000-0000AB7A0000}"/>
    <cellStyle name="Normal 4 2 12 4 2" xfId="4311" xr:uid="{00000000-0005-0000-0000-0000AC7A0000}"/>
    <cellStyle name="Normal 4 2 12 5" xfId="4310" xr:uid="{00000000-0005-0000-0000-0000AD7A0000}"/>
    <cellStyle name="Normal 4 2 12 5 2" xfId="4309" xr:uid="{00000000-0005-0000-0000-0000AE7A0000}"/>
    <cellStyle name="Normal 4 2 12 6" xfId="4308" xr:uid="{00000000-0005-0000-0000-0000AF7A0000}"/>
    <cellStyle name="Normal 4 2 12 6 2" xfId="4307" xr:uid="{00000000-0005-0000-0000-0000B07A0000}"/>
    <cellStyle name="Normal 4 2 12 7" xfId="4306" xr:uid="{00000000-0005-0000-0000-0000B17A0000}"/>
    <cellStyle name="Normal 4 2 13" xfId="4305" xr:uid="{00000000-0005-0000-0000-0000B27A0000}"/>
    <cellStyle name="Normal 4 2 13 2" xfId="4304" xr:uid="{00000000-0005-0000-0000-0000B37A0000}"/>
    <cellStyle name="Normal 4 2 14" xfId="4303" xr:uid="{00000000-0005-0000-0000-0000B47A0000}"/>
    <cellStyle name="Normal 4 2 14 2" xfId="33580" xr:uid="{00000000-0005-0000-0000-0000B57A0000}"/>
    <cellStyle name="Normal 4 2 15" xfId="4302" xr:uid="{00000000-0005-0000-0000-0000B67A0000}"/>
    <cellStyle name="Normal 4 2 15 2" xfId="20769" xr:uid="{00000000-0005-0000-0000-0000B77A0000}"/>
    <cellStyle name="Normal 4 2 16" xfId="4301" xr:uid="{00000000-0005-0000-0000-0000B87A0000}"/>
    <cellStyle name="Normal 4 2 16 2" xfId="20461" xr:uid="{00000000-0005-0000-0000-0000B97A0000}"/>
    <cellStyle name="Normal 4 2 17" xfId="10268" xr:uid="{00000000-0005-0000-0000-0000BA7A0000}"/>
    <cellStyle name="Normal 4 2 17 2" xfId="10261" xr:uid="{00000000-0005-0000-0000-0000BB7A0000}"/>
    <cellStyle name="Normal 4 2 18" xfId="10259" xr:uid="{00000000-0005-0000-0000-0000BC7A0000}"/>
    <cellStyle name="Normal 4 2 19" xfId="34422" xr:uid="{00000000-0005-0000-0000-0000BD7A0000}"/>
    <cellStyle name="Normal 4 2 2" xfId="4300" xr:uid="{00000000-0005-0000-0000-0000BE7A0000}"/>
    <cellStyle name="Normal 4 2 2 2" xfId="4297" xr:uid="{00000000-0005-0000-0000-0000BF7A0000}"/>
    <cellStyle name="Normal 4 2 2 2 2" xfId="22676" xr:uid="{00000000-0005-0000-0000-0000C07A0000}"/>
    <cellStyle name="Normal 4 2 2 2 2 2" xfId="22588" xr:uid="{00000000-0005-0000-0000-0000C17A0000}"/>
    <cellStyle name="Normal 4 2 2 2 3" xfId="16587" xr:uid="{00000000-0005-0000-0000-0000C27A0000}"/>
    <cellStyle name="Normal 4 2 2 2 3 2" xfId="22559" xr:uid="{00000000-0005-0000-0000-0000C37A0000}"/>
    <cellStyle name="Normal 4 2 2 2 4" xfId="22556" xr:uid="{00000000-0005-0000-0000-0000C47A0000}"/>
    <cellStyle name="Normal 4 2 2 2 4 2" xfId="4296" xr:uid="{00000000-0005-0000-0000-0000C57A0000}"/>
    <cellStyle name="Normal 4 2 2 2 5" xfId="7857" xr:uid="{00000000-0005-0000-0000-0000C67A0000}"/>
    <cellStyle name="Normal 4 2 2 2 5 2" xfId="4295" xr:uid="{00000000-0005-0000-0000-0000C77A0000}"/>
    <cellStyle name="Normal 4 2 2 2 6" xfId="25747" xr:uid="{00000000-0005-0000-0000-0000C87A0000}"/>
    <cellStyle name="Normal 4 2 2 2 6 2" xfId="4294" xr:uid="{00000000-0005-0000-0000-0000C97A0000}"/>
    <cellStyle name="Normal 4 2 2 2 7" xfId="4293" xr:uid="{00000000-0005-0000-0000-0000CA7A0000}"/>
    <cellStyle name="Normal 4 2 2 3" xfId="4292" xr:uid="{00000000-0005-0000-0000-0000CB7A0000}"/>
    <cellStyle name="Normal 4 2 2 3 2" xfId="22485" xr:uid="{00000000-0005-0000-0000-0000CC7A0000}"/>
    <cellStyle name="Normal 4 2 2 4" xfId="4291" xr:uid="{00000000-0005-0000-0000-0000CD7A0000}"/>
    <cellStyle name="Normal 4 2 2 4 2" xfId="22464" xr:uid="{00000000-0005-0000-0000-0000CE7A0000}"/>
    <cellStyle name="Normal 4 2 2 5" xfId="4290" xr:uid="{00000000-0005-0000-0000-0000CF7A0000}"/>
    <cellStyle name="Normal 4 2 2 5 2" xfId="4288" xr:uid="{00000000-0005-0000-0000-0000D07A0000}"/>
    <cellStyle name="Normal 4 2 2 6" xfId="4287" xr:uid="{00000000-0005-0000-0000-0000D17A0000}"/>
    <cellStyle name="Normal 4 2 2 6 2" xfId="4286" xr:uid="{00000000-0005-0000-0000-0000D27A0000}"/>
    <cellStyle name="Normal 4 2 2 7" xfId="4285" xr:uid="{00000000-0005-0000-0000-0000D37A0000}"/>
    <cellStyle name="Normal 4 2 2 7 2" xfId="19041" xr:uid="{00000000-0005-0000-0000-0000D47A0000}"/>
    <cellStyle name="Normal 4 2 2 8" xfId="4284" xr:uid="{00000000-0005-0000-0000-0000D57A0000}"/>
    <cellStyle name="Normal 4 2 20" xfId="4346" xr:uid="{00000000-0005-0000-0000-0000D67A0000}"/>
    <cellStyle name="Normal 4 2 3" xfId="4283" xr:uid="{00000000-0005-0000-0000-0000D77A0000}"/>
    <cellStyle name="Normal 4 2 3 2" xfId="4282" xr:uid="{00000000-0005-0000-0000-0000D87A0000}"/>
    <cellStyle name="Normal 4 2 3 2 2" xfId="22377" xr:uid="{00000000-0005-0000-0000-0000D97A0000}"/>
    <cellStyle name="Normal 4 2 3 2 2 2" xfId="22370" xr:uid="{00000000-0005-0000-0000-0000DA7A0000}"/>
    <cellStyle name="Normal 4 2 3 2 3" xfId="22365" xr:uid="{00000000-0005-0000-0000-0000DB7A0000}"/>
    <cellStyle name="Normal 4 2 3 2 3 2" xfId="4281" xr:uid="{00000000-0005-0000-0000-0000DC7A0000}"/>
    <cellStyle name="Normal 4 2 3 2 4" xfId="4280" xr:uid="{00000000-0005-0000-0000-0000DD7A0000}"/>
    <cellStyle name="Normal 4 2 3 2 4 2" xfId="4279" xr:uid="{00000000-0005-0000-0000-0000DE7A0000}"/>
    <cellStyle name="Normal 4 2 3 2 5" xfId="22946" xr:uid="{00000000-0005-0000-0000-0000DF7A0000}"/>
    <cellStyle name="Normal 4 2 3 2 5 2" xfId="4278" xr:uid="{00000000-0005-0000-0000-0000E07A0000}"/>
    <cellStyle name="Normal 4 2 3 2 6" xfId="4277" xr:uid="{00000000-0005-0000-0000-0000E17A0000}"/>
    <cellStyle name="Normal 4 2 3 2 6 2" xfId="4276" xr:uid="{00000000-0005-0000-0000-0000E27A0000}"/>
    <cellStyle name="Normal 4 2 3 2 7" xfId="4275" xr:uid="{00000000-0005-0000-0000-0000E37A0000}"/>
    <cellStyle name="Normal 4 2 3 3" xfId="4274" xr:uid="{00000000-0005-0000-0000-0000E47A0000}"/>
    <cellStyle name="Normal 4 2 3 3 2" xfId="22325" xr:uid="{00000000-0005-0000-0000-0000E57A0000}"/>
    <cellStyle name="Normal 4 2 3 4" xfId="4273" xr:uid="{00000000-0005-0000-0000-0000E67A0000}"/>
    <cellStyle name="Normal 4 2 3 4 2" xfId="4272" xr:uid="{00000000-0005-0000-0000-0000E77A0000}"/>
    <cellStyle name="Normal 4 2 3 5" xfId="4271" xr:uid="{00000000-0005-0000-0000-0000E87A0000}"/>
    <cellStyle name="Normal 4 2 3 5 2" xfId="4270" xr:uid="{00000000-0005-0000-0000-0000E97A0000}"/>
    <cellStyle name="Normal 4 2 3 6" xfId="4269" xr:uid="{00000000-0005-0000-0000-0000EA7A0000}"/>
    <cellStyle name="Normal 4 2 3 6 2" xfId="32266" xr:uid="{00000000-0005-0000-0000-0000EB7A0000}"/>
    <cellStyle name="Normal 4 2 3 7" xfId="4268" xr:uid="{00000000-0005-0000-0000-0000EC7A0000}"/>
    <cellStyle name="Normal 4 2 3 7 2" xfId="4267" xr:uid="{00000000-0005-0000-0000-0000ED7A0000}"/>
    <cellStyle name="Normal 4 2 3 8" xfId="4266" xr:uid="{00000000-0005-0000-0000-0000EE7A0000}"/>
    <cellStyle name="Normal 4 2 4" xfId="31566" xr:uid="{00000000-0005-0000-0000-0000EF7A0000}"/>
    <cellStyle name="Normal 4 2 4 2" xfId="32183" xr:uid="{00000000-0005-0000-0000-0000F07A0000}"/>
    <cellStyle name="Normal 4 2 4 2 2" xfId="22098" xr:uid="{00000000-0005-0000-0000-0000F17A0000}"/>
    <cellStyle name="Normal 4 2 4 2 2 2" xfId="33453" xr:uid="{00000000-0005-0000-0000-0000F27A0000}"/>
    <cellStyle name="Normal 4 2 4 2 3" xfId="24282" xr:uid="{00000000-0005-0000-0000-0000F37A0000}"/>
    <cellStyle name="Normal 4 2 4 2 3 2" xfId="33464" xr:uid="{00000000-0005-0000-0000-0000F47A0000}"/>
    <cellStyle name="Normal 4 2 4 2 4" xfId="22585" xr:uid="{00000000-0005-0000-0000-0000F57A0000}"/>
    <cellStyle name="Normal 4 2 4 2 4 2" xfId="28796" xr:uid="{00000000-0005-0000-0000-0000F67A0000}"/>
    <cellStyle name="Normal 4 2 4 2 5" xfId="28615" xr:uid="{00000000-0005-0000-0000-0000F77A0000}"/>
    <cellStyle name="Normal 4 2 4 2 5 2" xfId="28292" xr:uid="{00000000-0005-0000-0000-0000F87A0000}"/>
    <cellStyle name="Normal 4 2 4 2 6" xfId="28602" xr:uid="{00000000-0005-0000-0000-0000F97A0000}"/>
    <cellStyle name="Normal 4 2 4 2 6 2" xfId="31411" xr:uid="{00000000-0005-0000-0000-0000FA7A0000}"/>
    <cellStyle name="Normal 4 2 4 2 7" xfId="4265" xr:uid="{00000000-0005-0000-0000-0000FB7A0000}"/>
    <cellStyle name="Normal 4 2 4 3" xfId="32847" xr:uid="{00000000-0005-0000-0000-0000FC7A0000}"/>
    <cellStyle name="Normal 4 2 4 3 2" xfId="30487" xr:uid="{00000000-0005-0000-0000-0000FD7A0000}"/>
    <cellStyle name="Normal 4 2 4 4" xfId="33006" xr:uid="{00000000-0005-0000-0000-0000FE7A0000}"/>
    <cellStyle name="Normal 4 2 4 4 2" xfId="19786" xr:uid="{00000000-0005-0000-0000-0000FF7A0000}"/>
    <cellStyle name="Normal 4 2 4 5" xfId="28749" xr:uid="{00000000-0005-0000-0000-0000007B0000}"/>
    <cellStyle name="Normal 4 2 4 5 2" xfId="28746" xr:uid="{00000000-0005-0000-0000-0000017B0000}"/>
    <cellStyle name="Normal 4 2 4 6" xfId="28732" xr:uid="{00000000-0005-0000-0000-0000027B0000}"/>
    <cellStyle name="Normal 4 2 4 6 2" xfId="28723" xr:uid="{00000000-0005-0000-0000-0000037B0000}"/>
    <cellStyle name="Normal 4 2 4 7" xfId="13682" xr:uid="{00000000-0005-0000-0000-0000047B0000}"/>
    <cellStyle name="Normal 4 2 4 7 2" xfId="4264" xr:uid="{00000000-0005-0000-0000-0000057B0000}"/>
    <cellStyle name="Normal 4 2 4 8" xfId="4263" xr:uid="{00000000-0005-0000-0000-0000067B0000}"/>
    <cellStyle name="Normal 4 2 5" xfId="26296" xr:uid="{00000000-0005-0000-0000-0000077B0000}"/>
    <cellStyle name="Normal 4 2 5 2" xfId="32845" xr:uid="{00000000-0005-0000-0000-0000087B0000}"/>
    <cellStyle name="Normal 4 2 5 2 2" xfId="22080" xr:uid="{00000000-0005-0000-0000-0000097B0000}"/>
    <cellStyle name="Normal 4 2 5 2 2 2" xfId="10907" xr:uid="{00000000-0005-0000-0000-00000A7B0000}"/>
    <cellStyle name="Normal 4 2 5 2 3" xfId="26849" xr:uid="{00000000-0005-0000-0000-00000B7B0000}"/>
    <cellStyle name="Normal 4 2 5 2 3 2" xfId="10899" xr:uid="{00000000-0005-0000-0000-00000C7B0000}"/>
    <cellStyle name="Normal 4 2 5 2 4" xfId="26837" xr:uid="{00000000-0005-0000-0000-00000D7B0000}"/>
    <cellStyle name="Normal 4 2 5 2 4 2" xfId="26484" xr:uid="{00000000-0005-0000-0000-00000E7B0000}"/>
    <cellStyle name="Normal 4 2 5 2 5" xfId="26474" xr:uid="{00000000-0005-0000-0000-00000F7B0000}"/>
    <cellStyle name="Normal 4 2 5 2 5 2" xfId="4262" xr:uid="{00000000-0005-0000-0000-0000107B0000}"/>
    <cellStyle name="Normal 4 2 5 2 6" xfId="4260" xr:uid="{00000000-0005-0000-0000-0000117B0000}"/>
    <cellStyle name="Normal 4 2 5 2 6 2" xfId="26062" xr:uid="{00000000-0005-0000-0000-0000127B0000}"/>
    <cellStyle name="Normal 4 2 5 2 7" xfId="4259" xr:uid="{00000000-0005-0000-0000-0000137B0000}"/>
    <cellStyle name="Normal 4 2 5 3" xfId="32838" xr:uid="{00000000-0005-0000-0000-0000147B0000}"/>
    <cellStyle name="Normal 4 2 5 3 2" xfId="28695" xr:uid="{00000000-0005-0000-0000-0000157B0000}"/>
    <cellStyle name="Normal 4 2 5 4" xfId="28692" xr:uid="{00000000-0005-0000-0000-0000167B0000}"/>
    <cellStyle name="Normal 4 2 5 4 2" xfId="28689" xr:uid="{00000000-0005-0000-0000-0000177B0000}"/>
    <cellStyle name="Normal 4 2 5 5" xfId="28685" xr:uid="{00000000-0005-0000-0000-0000187B0000}"/>
    <cellStyle name="Normal 4 2 5 5 2" xfId="28683" xr:uid="{00000000-0005-0000-0000-0000197B0000}"/>
    <cellStyle name="Normal 4 2 5 6" xfId="28681" xr:uid="{00000000-0005-0000-0000-00001A7B0000}"/>
    <cellStyle name="Normal 4 2 5 6 2" xfId="4258" xr:uid="{00000000-0005-0000-0000-00001B7B0000}"/>
    <cellStyle name="Normal 4 2 5 7" xfId="4257" xr:uid="{00000000-0005-0000-0000-00001C7B0000}"/>
    <cellStyle name="Normal 4 2 5 7 2" xfId="4256" xr:uid="{00000000-0005-0000-0000-00001D7B0000}"/>
    <cellStyle name="Normal 4 2 5 8" xfId="4255" xr:uid="{00000000-0005-0000-0000-00001E7B0000}"/>
    <cellStyle name="Normal 4 2 6" xfId="20869" xr:uid="{00000000-0005-0000-0000-00001F7B0000}"/>
    <cellStyle name="Normal 4 2 6 2" xfId="32826" xr:uid="{00000000-0005-0000-0000-0000207B0000}"/>
    <cellStyle name="Normal 4 2 6 2 2" xfId="24968" xr:uid="{00000000-0005-0000-0000-0000217B0000}"/>
    <cellStyle name="Normal 4 2 6 2 2 2" xfId="10850" xr:uid="{00000000-0005-0000-0000-0000227B0000}"/>
    <cellStyle name="Normal 4 2 6 2 3" xfId="25002" xr:uid="{00000000-0005-0000-0000-0000237B0000}"/>
    <cellStyle name="Normal 4 2 6 2 3 2" xfId="26460" xr:uid="{00000000-0005-0000-0000-0000247B0000}"/>
    <cellStyle name="Normal 4 2 6 2 4" xfId="24985" xr:uid="{00000000-0005-0000-0000-0000257B0000}"/>
    <cellStyle name="Normal 4 2 6 2 4 2" xfId="4254" xr:uid="{00000000-0005-0000-0000-0000267B0000}"/>
    <cellStyle name="Normal 4 2 6 2 5" xfId="19092" xr:uid="{00000000-0005-0000-0000-0000277B0000}"/>
    <cellStyle name="Normal 4 2 6 2 5 2" xfId="4252" xr:uid="{00000000-0005-0000-0000-0000287B0000}"/>
    <cellStyle name="Normal 4 2 6 2 6" xfId="4250" xr:uid="{00000000-0005-0000-0000-0000297B0000}"/>
    <cellStyle name="Normal 4 2 6 2 6 2" xfId="26036" xr:uid="{00000000-0005-0000-0000-00002A7B0000}"/>
    <cellStyle name="Normal 4 2 6 2 7" xfId="4249" xr:uid="{00000000-0005-0000-0000-00002B7B0000}"/>
    <cellStyle name="Normal 4 2 6 3" xfId="28678" xr:uid="{00000000-0005-0000-0000-00002C7B0000}"/>
    <cellStyle name="Normal 4 2 6 3 2" xfId="24958" xr:uid="{00000000-0005-0000-0000-00002D7B0000}"/>
    <cellStyle name="Normal 4 2 6 4" xfId="28675" xr:uid="{00000000-0005-0000-0000-00002E7B0000}"/>
    <cellStyle name="Normal 4 2 6 4 2" xfId="24922" xr:uid="{00000000-0005-0000-0000-00002F7B0000}"/>
    <cellStyle name="Normal 4 2 6 5" xfId="32123" xr:uid="{00000000-0005-0000-0000-0000307B0000}"/>
    <cellStyle name="Normal 4 2 6 5 2" xfId="4248" xr:uid="{00000000-0005-0000-0000-0000317B0000}"/>
    <cellStyle name="Normal 4 2 6 6" xfId="4247" xr:uid="{00000000-0005-0000-0000-0000327B0000}"/>
    <cellStyle name="Normal 4 2 6 6 2" xfId="8480" xr:uid="{00000000-0005-0000-0000-0000337B0000}"/>
    <cellStyle name="Normal 4 2 6 7" xfId="4246" xr:uid="{00000000-0005-0000-0000-0000347B0000}"/>
    <cellStyle name="Normal 4 2 6 7 2" xfId="8476" xr:uid="{00000000-0005-0000-0000-0000357B0000}"/>
    <cellStyle name="Normal 4 2 6 8" xfId="4245" xr:uid="{00000000-0005-0000-0000-0000367B0000}"/>
    <cellStyle name="Normal 4 2 7" xfId="13416" xr:uid="{00000000-0005-0000-0000-0000377B0000}"/>
    <cellStyle name="Normal 4 2 7 2" xfId="28673" xr:uid="{00000000-0005-0000-0000-0000387B0000}"/>
    <cellStyle name="Normal 4 2 7 2 2" xfId="22105" xr:uid="{00000000-0005-0000-0000-0000397B0000}"/>
    <cellStyle name="Normal 4 2 7 2 2 2" xfId="19796" xr:uid="{00000000-0005-0000-0000-00003A7B0000}"/>
    <cellStyle name="Normal 4 2 7 2 3" xfId="24289" xr:uid="{00000000-0005-0000-0000-00003B7B0000}"/>
    <cellStyle name="Normal 4 2 7 2 3 2" xfId="4244" xr:uid="{00000000-0005-0000-0000-00003C7B0000}"/>
    <cellStyle name="Normal 4 2 7 2 4" xfId="4242" xr:uid="{00000000-0005-0000-0000-00003D7B0000}"/>
    <cellStyle name="Normal 4 2 7 2 4 2" xfId="4241" xr:uid="{00000000-0005-0000-0000-00003E7B0000}"/>
    <cellStyle name="Normal 4 2 7 2 5" xfId="4240" xr:uid="{00000000-0005-0000-0000-00003F7B0000}"/>
    <cellStyle name="Normal 4 2 7 2 5 2" xfId="4239" xr:uid="{00000000-0005-0000-0000-0000407B0000}"/>
    <cellStyle name="Normal 4 2 7 2 6" xfId="4238" xr:uid="{00000000-0005-0000-0000-0000417B0000}"/>
    <cellStyle name="Normal 4 2 7 2 6 2" xfId="4237" xr:uid="{00000000-0005-0000-0000-0000427B0000}"/>
    <cellStyle name="Normal 4 2 7 2 7" xfId="4236" xr:uid="{00000000-0005-0000-0000-0000437B0000}"/>
    <cellStyle name="Normal 4 2 7 3" xfId="28668" xr:uid="{00000000-0005-0000-0000-0000447B0000}"/>
    <cellStyle name="Normal 4 2 7 3 2" xfId="22094" xr:uid="{00000000-0005-0000-0000-0000457B0000}"/>
    <cellStyle name="Normal 4 2 7 4" xfId="23545" xr:uid="{00000000-0005-0000-0000-0000467B0000}"/>
    <cellStyle name="Normal 4 2 7 4 2" xfId="28028" xr:uid="{00000000-0005-0000-0000-0000477B0000}"/>
    <cellStyle name="Normal 4 2 7 5" xfId="25437" xr:uid="{00000000-0005-0000-0000-0000487B0000}"/>
    <cellStyle name="Normal 4 2 7 5 2" xfId="4235" xr:uid="{00000000-0005-0000-0000-0000497B0000}"/>
    <cellStyle name="Normal 4 2 7 6" xfId="4233" xr:uid="{00000000-0005-0000-0000-00004A7B0000}"/>
    <cellStyle name="Normal 4 2 7 6 2" xfId="8465" xr:uid="{00000000-0005-0000-0000-00004B7B0000}"/>
    <cellStyle name="Normal 4 2 7 7" xfId="4232" xr:uid="{00000000-0005-0000-0000-00004C7B0000}"/>
    <cellStyle name="Normal 4 2 7 7 2" xfId="4231" xr:uid="{00000000-0005-0000-0000-00004D7B0000}"/>
    <cellStyle name="Normal 4 2 7 8" xfId="4230" xr:uid="{00000000-0005-0000-0000-00004E7B0000}"/>
    <cellStyle name="Normal 4 2 8" xfId="28657" xr:uid="{00000000-0005-0000-0000-00004F7B0000}"/>
    <cellStyle name="Normal 4 2 8 2" xfId="28655" xr:uid="{00000000-0005-0000-0000-0000507B0000}"/>
    <cellStyle name="Normal 4 2 8 2 2" xfId="22089" xr:uid="{00000000-0005-0000-0000-0000517B0000}"/>
    <cellStyle name="Normal 4 2 8 2 2 2" xfId="31769" xr:uid="{00000000-0005-0000-0000-0000527B0000}"/>
    <cellStyle name="Normal 4 2 8 2 3" xfId="4229" xr:uid="{00000000-0005-0000-0000-0000537B0000}"/>
    <cellStyle name="Normal 4 2 8 2 3 2" xfId="19734" xr:uid="{00000000-0005-0000-0000-0000547B0000}"/>
    <cellStyle name="Normal 4 2 8 2 4" xfId="4228" xr:uid="{00000000-0005-0000-0000-0000557B0000}"/>
    <cellStyle name="Normal 4 2 8 2 4 2" xfId="19706" xr:uid="{00000000-0005-0000-0000-0000567B0000}"/>
    <cellStyle name="Normal 4 2 8 2 5" xfId="4227" xr:uid="{00000000-0005-0000-0000-0000577B0000}"/>
    <cellStyle name="Normal 4 2 8 2 5 2" xfId="19699" xr:uid="{00000000-0005-0000-0000-0000587B0000}"/>
    <cellStyle name="Normal 4 2 8 2 6" xfId="4226" xr:uid="{00000000-0005-0000-0000-0000597B0000}"/>
    <cellStyle name="Normal 4 2 8 2 6 2" xfId="4225" xr:uid="{00000000-0005-0000-0000-00005A7B0000}"/>
    <cellStyle name="Normal 4 2 8 2 7" xfId="24876" xr:uid="{00000000-0005-0000-0000-00005B7B0000}"/>
    <cellStyle name="Normal 4 2 8 3" xfId="19020" xr:uid="{00000000-0005-0000-0000-00005C7B0000}"/>
    <cellStyle name="Normal 4 2 8 3 2" xfId="4224" xr:uid="{00000000-0005-0000-0000-00005D7B0000}"/>
    <cellStyle name="Normal 4 2 8 4" xfId="6421" xr:uid="{00000000-0005-0000-0000-00005E7B0000}"/>
    <cellStyle name="Normal 4 2 8 4 2" xfId="4223" xr:uid="{00000000-0005-0000-0000-00005F7B0000}"/>
    <cellStyle name="Normal 4 2 8 5" xfId="4222" xr:uid="{00000000-0005-0000-0000-0000607B0000}"/>
    <cellStyle name="Normal 4 2 8 5 2" xfId="4221" xr:uid="{00000000-0005-0000-0000-0000617B0000}"/>
    <cellStyle name="Normal 4 2 8 6" xfId="4220" xr:uid="{00000000-0005-0000-0000-0000627B0000}"/>
    <cellStyle name="Normal 4 2 8 6 2" xfId="4219" xr:uid="{00000000-0005-0000-0000-0000637B0000}"/>
    <cellStyle name="Normal 4 2 8 7" xfId="4218" xr:uid="{00000000-0005-0000-0000-0000647B0000}"/>
    <cellStyle name="Normal 4 2 8 7 2" xfId="4217" xr:uid="{00000000-0005-0000-0000-0000657B0000}"/>
    <cellStyle name="Normal 4 2 8 8" xfId="4216" xr:uid="{00000000-0005-0000-0000-0000667B0000}"/>
    <cellStyle name="Normal 4 2 9" xfId="28648" xr:uid="{00000000-0005-0000-0000-0000677B0000}"/>
    <cellStyle name="Normal 4 2 9 2" xfId="28646" xr:uid="{00000000-0005-0000-0000-0000687B0000}"/>
    <cellStyle name="Normal 4 2 9 2 2" xfId="19372" xr:uid="{00000000-0005-0000-0000-0000697B0000}"/>
    <cellStyle name="Normal 4 2 9 2 2 2" xfId="19303" xr:uid="{00000000-0005-0000-0000-00006A7B0000}"/>
    <cellStyle name="Normal 4 2 9 2 3" xfId="21120" xr:uid="{00000000-0005-0000-0000-00006B7B0000}"/>
    <cellStyle name="Normal 4 2 9 2 3 2" xfId="19123" xr:uid="{00000000-0005-0000-0000-00006C7B0000}"/>
    <cellStyle name="Normal 4 2 9 2 4" xfId="4215" xr:uid="{00000000-0005-0000-0000-00006D7B0000}"/>
    <cellStyle name="Normal 4 2 9 2 4 2" xfId="19313" xr:uid="{00000000-0005-0000-0000-00006E7B0000}"/>
    <cellStyle name="Normal 4 2 9 2 5" xfId="4214" xr:uid="{00000000-0005-0000-0000-00006F7B0000}"/>
    <cellStyle name="Normal 4 2 9 2 5 2" xfId="4213" xr:uid="{00000000-0005-0000-0000-0000707B0000}"/>
    <cellStyle name="Normal 4 2 9 2 6" xfId="4212" xr:uid="{00000000-0005-0000-0000-0000717B0000}"/>
    <cellStyle name="Normal 4 2 9 2 6 2" xfId="4211" xr:uid="{00000000-0005-0000-0000-0000727B0000}"/>
    <cellStyle name="Normal 4 2 9 2 7" xfId="15698" xr:uid="{00000000-0005-0000-0000-0000737B0000}"/>
    <cellStyle name="Normal 4 2 9 3" xfId="27440" xr:uid="{00000000-0005-0000-0000-0000747B0000}"/>
    <cellStyle name="Normal 4 2 9 3 2" xfId="20194" xr:uid="{00000000-0005-0000-0000-0000757B0000}"/>
    <cellStyle name="Normal 4 2 9 4" xfId="4210" xr:uid="{00000000-0005-0000-0000-0000767B0000}"/>
    <cellStyle name="Normal 4 2 9 4 2" xfId="4209" xr:uid="{00000000-0005-0000-0000-0000777B0000}"/>
    <cellStyle name="Normal 4 2 9 5" xfId="4208" xr:uid="{00000000-0005-0000-0000-0000787B0000}"/>
    <cellStyle name="Normal 4 2 9 5 2" xfId="4207" xr:uid="{00000000-0005-0000-0000-0000797B0000}"/>
    <cellStyle name="Normal 4 2 9 6" xfId="4205" xr:uid="{00000000-0005-0000-0000-00007A7B0000}"/>
    <cellStyle name="Normal 4 2 9 6 2" xfId="4204" xr:uid="{00000000-0005-0000-0000-00007B7B0000}"/>
    <cellStyle name="Normal 4 2 9 7" xfId="4202" xr:uid="{00000000-0005-0000-0000-00007C7B0000}"/>
    <cellStyle name="Normal 4 2 9 7 2" xfId="4201" xr:uid="{00000000-0005-0000-0000-00007D7B0000}"/>
    <cellStyle name="Normal 4 2 9 8" xfId="4199" xr:uid="{00000000-0005-0000-0000-00007E7B0000}"/>
    <cellStyle name="Normal 4 20" xfId="24921" xr:uid="{00000000-0005-0000-0000-00007F7B0000}"/>
    <cellStyle name="Normal 4 20 2" xfId="13544" xr:uid="{00000000-0005-0000-0000-0000807B0000}"/>
    <cellStyle name="Normal 4 21" xfId="4360" xr:uid="{00000000-0005-0000-0000-0000817B0000}"/>
    <cellStyle name="Normal 4 21 2" xfId="4358" xr:uid="{00000000-0005-0000-0000-0000827B0000}"/>
    <cellStyle name="Normal 4 22" xfId="31285" xr:uid="{00000000-0005-0000-0000-0000837B0000}"/>
    <cellStyle name="Normal 4 23" xfId="22650" xr:uid="{00000000-0005-0000-0000-0000847B0000}"/>
    <cellStyle name="Normal 4 24" xfId="19649" xr:uid="{00000000-0005-0000-0000-0000857B0000}"/>
    <cellStyle name="Normal 4 25" xfId="34423" xr:uid="{00000000-0005-0000-0000-0000867B0000}"/>
    <cellStyle name="Normal 4 3" xfId="96" xr:uid="{00000000-0005-0000-0000-0000877B0000}"/>
    <cellStyle name="Normal 4 3 2" xfId="4198" xr:uid="{00000000-0005-0000-0000-0000887B0000}"/>
    <cellStyle name="Normal 4 3 2 2" xfId="4197" xr:uid="{00000000-0005-0000-0000-0000897B0000}"/>
    <cellStyle name="Normal 4 3 2 2 2" xfId="20283" xr:uid="{00000000-0005-0000-0000-00008A7B0000}"/>
    <cellStyle name="Normal 4 3 2 3" xfId="4196" xr:uid="{00000000-0005-0000-0000-00008B7B0000}"/>
    <cellStyle name="Normal 4 3 2 3 2" xfId="20266" xr:uid="{00000000-0005-0000-0000-00008C7B0000}"/>
    <cellStyle name="Normal 4 3 2 4" xfId="4195" xr:uid="{00000000-0005-0000-0000-00008D7B0000}"/>
    <cellStyle name="Normal 4 3 2 4 2" xfId="30757" xr:uid="{00000000-0005-0000-0000-00008E7B0000}"/>
    <cellStyle name="Normal 4 3 2 5" xfId="4194" xr:uid="{00000000-0005-0000-0000-00008F7B0000}"/>
    <cellStyle name="Normal 4 3 2 5 2" xfId="4193" xr:uid="{00000000-0005-0000-0000-0000907B0000}"/>
    <cellStyle name="Normal 4 3 2 6" xfId="4192" xr:uid="{00000000-0005-0000-0000-0000917B0000}"/>
    <cellStyle name="Normal 4 3 2 6 2" xfId="4191" xr:uid="{00000000-0005-0000-0000-0000927B0000}"/>
    <cellStyle name="Normal 4 3 2 7" xfId="4190" xr:uid="{00000000-0005-0000-0000-0000937B0000}"/>
    <cellStyle name="Normal 4 3 3" xfId="4189" xr:uid="{00000000-0005-0000-0000-0000947B0000}"/>
    <cellStyle name="Normal 4 3 3 2" xfId="4188" xr:uid="{00000000-0005-0000-0000-0000957B0000}"/>
    <cellStyle name="Normal 4 3 4" xfId="27355" xr:uid="{00000000-0005-0000-0000-0000967B0000}"/>
    <cellStyle name="Normal 4 3 4 2" xfId="32438" xr:uid="{00000000-0005-0000-0000-0000977B0000}"/>
    <cellStyle name="Normal 4 3 5" xfId="33175" xr:uid="{00000000-0005-0000-0000-0000987B0000}"/>
    <cellStyle name="Normal 4 3 5 2" xfId="34315" xr:uid="{00000000-0005-0000-0000-0000997B0000}"/>
    <cellStyle name="Normal 4 3 6" xfId="20687" xr:uid="{00000000-0005-0000-0000-00009A7B0000}"/>
    <cellStyle name="Normal 4 3 6 2" xfId="21089" xr:uid="{00000000-0005-0000-0000-00009B7B0000}"/>
    <cellStyle name="Normal 4 3 7" xfId="13408" xr:uid="{00000000-0005-0000-0000-00009C7B0000}"/>
    <cellStyle name="Normal 4 3 7 2" xfId="21036" xr:uid="{00000000-0005-0000-0000-00009D7B0000}"/>
    <cellStyle name="Normal 4 3 8" xfId="25980" xr:uid="{00000000-0005-0000-0000-00009E7B0000}"/>
    <cellStyle name="Normal 4 3 9" xfId="34450" xr:uid="{00000000-0005-0000-0000-00009F7B0000}"/>
    <cellStyle name="Normal 4 4" xfId="157" xr:uid="{00000000-0005-0000-0000-0000A07B0000}"/>
    <cellStyle name="Normal 4 4 2" xfId="4187" xr:uid="{00000000-0005-0000-0000-0000A17B0000}"/>
    <cellStyle name="Normal 4 4 2 2" xfId="8357" xr:uid="{00000000-0005-0000-0000-0000A27B0000}"/>
    <cellStyle name="Normal 4 4 2 2 2" xfId="18185" xr:uid="{00000000-0005-0000-0000-0000A37B0000}"/>
    <cellStyle name="Normal 4 4 2 3" xfId="8352" xr:uid="{00000000-0005-0000-0000-0000A47B0000}"/>
    <cellStyle name="Normal 4 4 2 3 2" xfId="18162" xr:uid="{00000000-0005-0000-0000-0000A57B0000}"/>
    <cellStyle name="Normal 4 4 2 4" xfId="8349" xr:uid="{00000000-0005-0000-0000-0000A67B0000}"/>
    <cellStyle name="Normal 4 4 2 4 2" xfId="31258" xr:uid="{00000000-0005-0000-0000-0000A77B0000}"/>
    <cellStyle name="Normal 4 4 2 5" xfId="4186" xr:uid="{00000000-0005-0000-0000-0000A87B0000}"/>
    <cellStyle name="Normal 4 4 2 5 2" xfId="4185" xr:uid="{00000000-0005-0000-0000-0000A97B0000}"/>
    <cellStyle name="Normal 4 4 2 6" xfId="4184" xr:uid="{00000000-0005-0000-0000-0000AA7B0000}"/>
    <cellStyle name="Normal 4 4 2 6 2" xfId="4183" xr:uid="{00000000-0005-0000-0000-0000AB7B0000}"/>
    <cellStyle name="Normal 4 4 2 7" xfId="4182" xr:uid="{00000000-0005-0000-0000-0000AC7B0000}"/>
    <cellStyle name="Normal 4 4 3" xfId="20178" xr:uid="{00000000-0005-0000-0000-0000AD7B0000}"/>
    <cellStyle name="Normal 4 4 3 2" xfId="12114" xr:uid="{00000000-0005-0000-0000-0000AE7B0000}"/>
    <cellStyle name="Normal 4 4 4" xfId="23912" xr:uid="{00000000-0005-0000-0000-0000AF7B0000}"/>
    <cellStyle name="Normal 4 4 4 2" xfId="12106" xr:uid="{00000000-0005-0000-0000-0000B07B0000}"/>
    <cellStyle name="Normal 4 4 5" xfId="31990" xr:uid="{00000000-0005-0000-0000-0000B17B0000}"/>
    <cellStyle name="Normal 4 4 5 2" xfId="29440" xr:uid="{00000000-0005-0000-0000-0000B27B0000}"/>
    <cellStyle name="Normal 4 4 6" xfId="28467" xr:uid="{00000000-0005-0000-0000-0000B37B0000}"/>
    <cellStyle name="Normal 4 4 6 2" xfId="21984" xr:uid="{00000000-0005-0000-0000-0000B47B0000}"/>
    <cellStyle name="Normal 4 4 7" xfId="28464" xr:uid="{00000000-0005-0000-0000-0000B57B0000}"/>
    <cellStyle name="Normal 4 4 7 2" xfId="21953" xr:uid="{00000000-0005-0000-0000-0000B67B0000}"/>
    <cellStyle name="Normal 4 4 8" xfId="28458" xr:uid="{00000000-0005-0000-0000-0000B77B0000}"/>
    <cellStyle name="Normal 4 4 9" xfId="34505" xr:uid="{00000000-0005-0000-0000-0000B87B0000}"/>
    <cellStyle name="Normal 4 5" xfId="218" xr:uid="{00000000-0005-0000-0000-0000B97B0000}"/>
    <cellStyle name="Normal 4 5 2" xfId="26369" xr:uid="{00000000-0005-0000-0000-0000BA7B0000}"/>
    <cellStyle name="Normal 4 5 2 2" xfId="8340" xr:uid="{00000000-0005-0000-0000-0000BB7B0000}"/>
    <cellStyle name="Normal 4 5 2 2 2" xfId="4381" xr:uid="{00000000-0005-0000-0000-0000BC7B0000}"/>
    <cellStyle name="Normal 4 5 2 3" xfId="29992" xr:uid="{00000000-0005-0000-0000-0000BD7B0000}"/>
    <cellStyle name="Normal 4 5 2 3 2" xfId="4379" xr:uid="{00000000-0005-0000-0000-0000BE7B0000}"/>
    <cellStyle name="Normal 4 5 2 4" xfId="4377" xr:uid="{00000000-0005-0000-0000-0000BF7B0000}"/>
    <cellStyle name="Normal 4 5 2 4 2" xfId="30691" xr:uid="{00000000-0005-0000-0000-0000C07B0000}"/>
    <cellStyle name="Normal 4 5 2 5" xfId="4181" xr:uid="{00000000-0005-0000-0000-0000C17B0000}"/>
    <cellStyle name="Normal 4 5 2 5 2" xfId="30683" xr:uid="{00000000-0005-0000-0000-0000C27B0000}"/>
    <cellStyle name="Normal 4 5 2 6" xfId="4180" xr:uid="{00000000-0005-0000-0000-0000C37B0000}"/>
    <cellStyle name="Normal 4 5 2 6 2" xfId="4179" xr:uid="{00000000-0005-0000-0000-0000C47B0000}"/>
    <cellStyle name="Normal 4 5 2 7" xfId="4178" xr:uid="{00000000-0005-0000-0000-0000C57B0000}"/>
    <cellStyle name="Normal 4 5 3" xfId="28831" xr:uid="{00000000-0005-0000-0000-0000C67B0000}"/>
    <cellStyle name="Normal 4 5 3 2" xfId="12101" xr:uid="{00000000-0005-0000-0000-0000C77B0000}"/>
    <cellStyle name="Normal 4 5 4" xfId="18901" xr:uid="{00000000-0005-0000-0000-0000C87B0000}"/>
    <cellStyle name="Normal 4 5 4 2" xfId="31297" xr:uid="{00000000-0005-0000-0000-0000C97B0000}"/>
    <cellStyle name="Normal 4 5 5" xfId="17962" xr:uid="{00000000-0005-0000-0000-0000CA7B0000}"/>
    <cellStyle name="Normal 4 5 5 2" xfId="30199" xr:uid="{00000000-0005-0000-0000-0000CB7B0000}"/>
    <cellStyle name="Normal 4 5 6" xfId="29431" xr:uid="{00000000-0005-0000-0000-0000CC7B0000}"/>
    <cellStyle name="Normal 4 5 6 2" xfId="21773" xr:uid="{00000000-0005-0000-0000-0000CD7B0000}"/>
    <cellStyle name="Normal 4 5 7" xfId="28454" xr:uid="{00000000-0005-0000-0000-0000CE7B0000}"/>
    <cellStyle name="Normal 4 5 7 2" xfId="20960" xr:uid="{00000000-0005-0000-0000-0000CF7B0000}"/>
    <cellStyle name="Normal 4 5 8" xfId="29568" xr:uid="{00000000-0005-0000-0000-0000D07B0000}"/>
    <cellStyle name="Normal 4 5 9" xfId="34547" xr:uid="{00000000-0005-0000-0000-0000D17B0000}"/>
    <cellStyle name="Normal 4 6" xfId="5438" xr:uid="{00000000-0005-0000-0000-0000D27B0000}"/>
    <cellStyle name="Normal 4 6 2" xfId="4177" xr:uid="{00000000-0005-0000-0000-0000D37B0000}"/>
    <cellStyle name="Normal 4 6 2 2" xfId="8333" xr:uid="{00000000-0005-0000-0000-0000D47B0000}"/>
    <cellStyle name="Normal 4 6 2 2 2" xfId="4176" xr:uid="{00000000-0005-0000-0000-0000D57B0000}"/>
    <cellStyle name="Normal 4 6 2 3" xfId="28792" xr:uid="{00000000-0005-0000-0000-0000D67B0000}"/>
    <cellStyle name="Normal 4 6 2 3 2" xfId="17853" xr:uid="{00000000-0005-0000-0000-0000D77B0000}"/>
    <cellStyle name="Normal 4 6 2 4" xfId="4175" xr:uid="{00000000-0005-0000-0000-0000D87B0000}"/>
    <cellStyle name="Normal 4 6 2 4 2" xfId="22395" xr:uid="{00000000-0005-0000-0000-0000D97B0000}"/>
    <cellStyle name="Normal 4 6 2 5" xfId="4174" xr:uid="{00000000-0005-0000-0000-0000DA7B0000}"/>
    <cellStyle name="Normal 4 6 2 5 2" xfId="22383" xr:uid="{00000000-0005-0000-0000-0000DB7B0000}"/>
    <cellStyle name="Normal 4 6 2 6" xfId="4173" xr:uid="{00000000-0005-0000-0000-0000DC7B0000}"/>
    <cellStyle name="Normal 4 6 2 6 2" xfId="12421" xr:uid="{00000000-0005-0000-0000-0000DD7B0000}"/>
    <cellStyle name="Normal 4 6 2 7" xfId="33708" xr:uid="{00000000-0005-0000-0000-0000DE7B0000}"/>
    <cellStyle name="Normal 4 6 3" xfId="31584" xr:uid="{00000000-0005-0000-0000-0000DF7B0000}"/>
    <cellStyle name="Normal 4 6 3 2" xfId="21629" xr:uid="{00000000-0005-0000-0000-0000E07B0000}"/>
    <cellStyle name="Normal 4 6 4" xfId="17958" xr:uid="{00000000-0005-0000-0000-0000E17B0000}"/>
    <cellStyle name="Normal 4 6 4 2" xfId="31005" xr:uid="{00000000-0005-0000-0000-0000E27B0000}"/>
    <cellStyle name="Normal 4 6 5" xfId="31875" xr:uid="{00000000-0005-0000-0000-0000E37B0000}"/>
    <cellStyle name="Normal 4 6 5 2" xfId="32602" xr:uid="{00000000-0005-0000-0000-0000E47B0000}"/>
    <cellStyle name="Normal 4 6 6" xfId="33354" xr:uid="{00000000-0005-0000-0000-0000E57B0000}"/>
    <cellStyle name="Normal 4 6 6 2" xfId="20947" xr:uid="{00000000-0005-0000-0000-0000E67B0000}"/>
    <cellStyle name="Normal 4 6 7" xfId="11059" xr:uid="{00000000-0005-0000-0000-0000E77B0000}"/>
    <cellStyle name="Normal 4 6 7 2" xfId="4172" xr:uid="{00000000-0005-0000-0000-0000E87B0000}"/>
    <cellStyle name="Normal 4 6 8" xfId="11051" xr:uid="{00000000-0005-0000-0000-0000E97B0000}"/>
    <cellStyle name="Normal 4 7" xfId="4170" xr:uid="{00000000-0005-0000-0000-0000EA7B0000}"/>
    <cellStyle name="Normal 4 7 2" xfId="4169" xr:uid="{00000000-0005-0000-0000-0000EB7B0000}"/>
    <cellStyle name="Normal 4 7 2 2" xfId="24703" xr:uid="{00000000-0005-0000-0000-0000EC7B0000}"/>
    <cellStyle name="Normal 4 7 2 2 2" xfId="4167" xr:uid="{00000000-0005-0000-0000-0000ED7B0000}"/>
    <cellStyle name="Normal 4 7 2 3" xfId="4166" xr:uid="{00000000-0005-0000-0000-0000EE7B0000}"/>
    <cellStyle name="Normal 4 7 2 3 2" xfId="17828" xr:uid="{00000000-0005-0000-0000-0000EF7B0000}"/>
    <cellStyle name="Normal 4 7 2 4" xfId="4165" xr:uid="{00000000-0005-0000-0000-0000F07B0000}"/>
    <cellStyle name="Normal 4 7 2 4 2" xfId="22265" xr:uid="{00000000-0005-0000-0000-0000F17B0000}"/>
    <cellStyle name="Normal 4 7 2 5" xfId="4164" xr:uid="{00000000-0005-0000-0000-0000F27B0000}"/>
    <cellStyle name="Normal 4 7 2 5 2" xfId="4163" xr:uid="{00000000-0005-0000-0000-0000F37B0000}"/>
    <cellStyle name="Normal 4 7 2 6" xfId="4162" xr:uid="{00000000-0005-0000-0000-0000F47B0000}"/>
    <cellStyle name="Normal 4 7 2 6 2" xfId="12403" xr:uid="{00000000-0005-0000-0000-0000F57B0000}"/>
    <cellStyle name="Normal 4 7 2 7" xfId="4161" xr:uid="{00000000-0005-0000-0000-0000F67B0000}"/>
    <cellStyle name="Normal 4 7 3" xfId="30834" xr:uid="{00000000-0005-0000-0000-0000F77B0000}"/>
    <cellStyle name="Normal 4 7 3 2" xfId="4160" xr:uid="{00000000-0005-0000-0000-0000F87B0000}"/>
    <cellStyle name="Normal 4 7 4" xfId="28445" xr:uid="{00000000-0005-0000-0000-0000F97B0000}"/>
    <cellStyle name="Normal 4 7 4 2" xfId="30711" xr:uid="{00000000-0005-0000-0000-0000FA7B0000}"/>
    <cellStyle name="Normal 4 7 5" xfId="30934" xr:uid="{00000000-0005-0000-0000-0000FB7B0000}"/>
    <cellStyle name="Normal 4 7 5 2" xfId="4159" xr:uid="{00000000-0005-0000-0000-0000FC7B0000}"/>
    <cellStyle name="Normal 4 7 6" xfId="4158" xr:uid="{00000000-0005-0000-0000-0000FD7B0000}"/>
    <cellStyle name="Normal 4 7 6 2" xfId="4156" xr:uid="{00000000-0005-0000-0000-0000FE7B0000}"/>
    <cellStyle name="Normal 4 7 7" xfId="16955" xr:uid="{00000000-0005-0000-0000-0000FF7B0000}"/>
    <cellStyle name="Normal 4 7 7 2" xfId="4154" xr:uid="{00000000-0005-0000-0000-0000007C0000}"/>
    <cellStyle name="Normal 4 7 8" xfId="21691" xr:uid="{00000000-0005-0000-0000-0000017C0000}"/>
    <cellStyle name="Normal 4 8" xfId="4153" xr:uid="{00000000-0005-0000-0000-0000027C0000}"/>
    <cellStyle name="Normal 4 8 2" xfId="4152" xr:uid="{00000000-0005-0000-0000-0000037C0000}"/>
    <cellStyle name="Normal 4 8 2 2" xfId="6217" xr:uid="{00000000-0005-0000-0000-0000047C0000}"/>
    <cellStyle name="Normal 4 8 2 2 2" xfId="4150" xr:uid="{00000000-0005-0000-0000-0000057C0000}"/>
    <cellStyle name="Normal 4 8 2 3" xfId="20935" xr:uid="{00000000-0005-0000-0000-0000067C0000}"/>
    <cellStyle name="Normal 4 8 2 3 2" xfId="30582" xr:uid="{00000000-0005-0000-0000-0000077C0000}"/>
    <cellStyle name="Normal 4 8 2 4" xfId="4149" xr:uid="{00000000-0005-0000-0000-0000087C0000}"/>
    <cellStyle name="Normal 4 8 2 4 2" xfId="4148" xr:uid="{00000000-0005-0000-0000-0000097C0000}"/>
    <cellStyle name="Normal 4 8 2 5" xfId="31826" xr:uid="{00000000-0005-0000-0000-00000A7C0000}"/>
    <cellStyle name="Normal 4 8 2 5 2" xfId="12378" xr:uid="{00000000-0005-0000-0000-00000B7C0000}"/>
    <cellStyle name="Normal 4 8 2 6" xfId="15821" xr:uid="{00000000-0005-0000-0000-00000C7C0000}"/>
    <cellStyle name="Normal 4 8 2 6 2" xfId="4147" xr:uid="{00000000-0005-0000-0000-00000D7C0000}"/>
    <cellStyle name="Normal 4 8 2 7" xfId="4146" xr:uid="{00000000-0005-0000-0000-00000E7C0000}"/>
    <cellStyle name="Normal 4 8 3" xfId="4145" xr:uid="{00000000-0005-0000-0000-00000F7C0000}"/>
    <cellStyle name="Normal 4 8 3 2" xfId="6214" xr:uid="{00000000-0005-0000-0000-0000107C0000}"/>
    <cellStyle name="Normal 4 8 4" xfId="22846" xr:uid="{00000000-0005-0000-0000-0000117C0000}"/>
    <cellStyle name="Normal 4 8 4 2" xfId="4144" xr:uid="{00000000-0005-0000-0000-0000127C0000}"/>
    <cellStyle name="Normal 4 8 5" xfId="4143" xr:uid="{00000000-0005-0000-0000-0000137C0000}"/>
    <cellStyle name="Normal 4 8 5 2" xfId="4142" xr:uid="{00000000-0005-0000-0000-0000147C0000}"/>
    <cellStyle name="Normal 4 8 6" xfId="4141" xr:uid="{00000000-0005-0000-0000-0000157C0000}"/>
    <cellStyle name="Normal 4 8 6 2" xfId="4139" xr:uid="{00000000-0005-0000-0000-0000167C0000}"/>
    <cellStyle name="Normal 4 8 7" xfId="20631" xr:uid="{00000000-0005-0000-0000-0000177C0000}"/>
    <cellStyle name="Normal 4 8 7 2" xfId="32125" xr:uid="{00000000-0005-0000-0000-0000187C0000}"/>
    <cellStyle name="Normal 4 8 8" xfId="4138" xr:uid="{00000000-0005-0000-0000-0000197C0000}"/>
    <cellStyle name="Normal 4 9" xfId="33421" xr:uid="{00000000-0005-0000-0000-00001A7C0000}"/>
    <cellStyle name="Normal 4 9 2" xfId="4137" xr:uid="{00000000-0005-0000-0000-00001B7C0000}"/>
    <cellStyle name="Normal 4 9 2 2" xfId="26625" xr:uid="{00000000-0005-0000-0000-00001C7C0000}"/>
    <cellStyle name="Normal 4 9 2 2 2" xfId="19909" xr:uid="{00000000-0005-0000-0000-00001D7C0000}"/>
    <cellStyle name="Normal 4 9 2 3" xfId="4136" xr:uid="{00000000-0005-0000-0000-00001E7C0000}"/>
    <cellStyle name="Normal 4 9 2 3 2" xfId="19893" xr:uid="{00000000-0005-0000-0000-00001F7C0000}"/>
    <cellStyle name="Normal 4 9 2 4" xfId="4135" xr:uid="{00000000-0005-0000-0000-0000207C0000}"/>
    <cellStyle name="Normal 4 9 2 4 2" xfId="23608" xr:uid="{00000000-0005-0000-0000-0000217C0000}"/>
    <cellStyle name="Normal 4 9 2 5" xfId="12353" xr:uid="{00000000-0005-0000-0000-0000227C0000}"/>
    <cellStyle name="Normal 4 9 2 5 2" xfId="4134" xr:uid="{00000000-0005-0000-0000-0000237C0000}"/>
    <cellStyle name="Normal 4 9 2 6" xfId="4133" xr:uid="{00000000-0005-0000-0000-0000247C0000}"/>
    <cellStyle name="Normal 4 9 2 6 2" xfId="4132" xr:uid="{00000000-0005-0000-0000-0000257C0000}"/>
    <cellStyle name="Normal 4 9 2 7" xfId="4131" xr:uid="{00000000-0005-0000-0000-0000267C0000}"/>
    <cellStyle name="Normal 4 9 3" xfId="18768" xr:uid="{00000000-0005-0000-0000-0000277C0000}"/>
    <cellStyle name="Normal 4 9 3 2" xfId="4130" xr:uid="{00000000-0005-0000-0000-0000287C0000}"/>
    <cellStyle name="Normal 4 9 4" xfId="4129" xr:uid="{00000000-0005-0000-0000-0000297C0000}"/>
    <cellStyle name="Normal 4 9 4 2" xfId="4128" xr:uid="{00000000-0005-0000-0000-00002A7C0000}"/>
    <cellStyle name="Normal 4 9 5" xfId="4127" xr:uid="{00000000-0005-0000-0000-00002B7C0000}"/>
    <cellStyle name="Normal 4 9 5 2" xfId="4126" xr:uid="{00000000-0005-0000-0000-00002C7C0000}"/>
    <cellStyle name="Normal 4 9 6" xfId="15881" xr:uid="{00000000-0005-0000-0000-00002D7C0000}"/>
    <cellStyle name="Normal 4 9 6 2" xfId="29573" xr:uid="{00000000-0005-0000-0000-00002E7C0000}"/>
    <cellStyle name="Normal 4 9 7" xfId="15865" xr:uid="{00000000-0005-0000-0000-00002F7C0000}"/>
    <cellStyle name="Normal 4 9 7 2" xfId="31100" xr:uid="{00000000-0005-0000-0000-0000307C0000}"/>
    <cellStyle name="Normal 4 9 8" xfId="15856" xr:uid="{00000000-0005-0000-0000-0000317C0000}"/>
    <cellStyle name="Normal 40" xfId="36050" xr:uid="{00000000-0005-0000-0000-0000327C0000}"/>
    <cellStyle name="Normal 40 2" xfId="37219" xr:uid="{00000000-0005-0000-0000-0000337C0000}"/>
    <cellStyle name="Normal 40 3" xfId="38117" xr:uid="{00000000-0005-0000-0000-0000347C0000}"/>
    <cellStyle name="Normal 41" xfId="36070" xr:uid="{00000000-0005-0000-0000-0000357C0000}"/>
    <cellStyle name="Normal 41 2" xfId="37239" xr:uid="{00000000-0005-0000-0000-0000367C0000}"/>
    <cellStyle name="Normal 41 3" xfId="38137" xr:uid="{00000000-0005-0000-0000-0000377C0000}"/>
    <cellStyle name="Normal 42" xfId="36090" xr:uid="{00000000-0005-0000-0000-0000387C0000}"/>
    <cellStyle name="Normal 42 2" xfId="37259" xr:uid="{00000000-0005-0000-0000-0000397C0000}"/>
    <cellStyle name="Normal 42 3" xfId="38157" xr:uid="{00000000-0005-0000-0000-00003A7C0000}"/>
    <cellStyle name="Normal 43" xfId="36110" xr:uid="{00000000-0005-0000-0000-00003B7C0000}"/>
    <cellStyle name="Normal 43 2" xfId="37279" xr:uid="{00000000-0005-0000-0000-00003C7C0000}"/>
    <cellStyle name="Normal 43 3" xfId="38177" xr:uid="{00000000-0005-0000-0000-00003D7C0000}"/>
    <cellStyle name="Normal 44" xfId="36130" xr:uid="{00000000-0005-0000-0000-00003E7C0000}"/>
    <cellStyle name="Normal 44 2" xfId="37299" xr:uid="{00000000-0005-0000-0000-00003F7C0000}"/>
    <cellStyle name="Normal 44 3" xfId="38197" xr:uid="{00000000-0005-0000-0000-0000407C0000}"/>
    <cellStyle name="Normal 45" xfId="36150" xr:uid="{00000000-0005-0000-0000-0000417C0000}"/>
    <cellStyle name="Normal 45 2" xfId="37319" xr:uid="{00000000-0005-0000-0000-0000427C0000}"/>
    <cellStyle name="Normal 45 3" xfId="38217" xr:uid="{00000000-0005-0000-0000-0000437C0000}"/>
    <cellStyle name="Normal 46" xfId="36170" xr:uid="{00000000-0005-0000-0000-0000447C0000}"/>
    <cellStyle name="Normal 46 2" xfId="37339" xr:uid="{00000000-0005-0000-0000-0000457C0000}"/>
    <cellStyle name="Normal 46 3" xfId="38237" xr:uid="{00000000-0005-0000-0000-0000467C0000}"/>
    <cellStyle name="Normal 47" xfId="36190" xr:uid="{00000000-0005-0000-0000-0000477C0000}"/>
    <cellStyle name="Normal 47 2" xfId="37359" xr:uid="{00000000-0005-0000-0000-0000487C0000}"/>
    <cellStyle name="Normal 47 3" xfId="38257" xr:uid="{00000000-0005-0000-0000-0000497C0000}"/>
    <cellStyle name="Normal 48" xfId="36210" xr:uid="{00000000-0005-0000-0000-00004A7C0000}"/>
    <cellStyle name="Normal 48 2" xfId="38277" xr:uid="{00000000-0005-0000-0000-00004B7C0000}"/>
    <cellStyle name="Normal 49" xfId="35635" xr:uid="{00000000-0005-0000-0000-00004C7C0000}"/>
    <cellStyle name="Normal 5" xfId="66" xr:uid="{00000000-0005-0000-0000-00004D7C0000}"/>
    <cellStyle name="Normal 5 10" xfId="4125" xr:uid="{00000000-0005-0000-0000-00004E7C0000}"/>
    <cellStyle name="Normal 5 10 2" xfId="4124" xr:uid="{00000000-0005-0000-0000-00004F7C0000}"/>
    <cellStyle name="Normal 5 10 2 2" xfId="4123" xr:uid="{00000000-0005-0000-0000-0000507C0000}"/>
    <cellStyle name="Normal 5 10 2 2 2" xfId="4122" xr:uid="{00000000-0005-0000-0000-0000517C0000}"/>
    <cellStyle name="Normal 5 10 2 3" xfId="4121" xr:uid="{00000000-0005-0000-0000-0000527C0000}"/>
    <cellStyle name="Normal 5 10 2 3 2" xfId="4120" xr:uid="{00000000-0005-0000-0000-0000537C0000}"/>
    <cellStyle name="Normal 5 10 2 4" xfId="4119" xr:uid="{00000000-0005-0000-0000-0000547C0000}"/>
    <cellStyle name="Normal 5 10 2 4 2" xfId="4118" xr:uid="{00000000-0005-0000-0000-0000557C0000}"/>
    <cellStyle name="Normal 5 10 2 5" xfId="4117" xr:uid="{00000000-0005-0000-0000-0000567C0000}"/>
    <cellStyle name="Normal 5 10 2 5 2" xfId="4116" xr:uid="{00000000-0005-0000-0000-0000577C0000}"/>
    <cellStyle name="Normal 5 10 2 6" xfId="4115" xr:uid="{00000000-0005-0000-0000-0000587C0000}"/>
    <cellStyle name="Normal 5 10 2 6 2" xfId="4114" xr:uid="{00000000-0005-0000-0000-0000597C0000}"/>
    <cellStyle name="Normal 5 10 2 7" xfId="4113" xr:uid="{00000000-0005-0000-0000-00005A7C0000}"/>
    <cellStyle name="Normal 5 10 3" xfId="4112" xr:uid="{00000000-0005-0000-0000-00005B7C0000}"/>
    <cellStyle name="Normal 5 10 3 2" xfId="4111" xr:uid="{00000000-0005-0000-0000-00005C7C0000}"/>
    <cellStyle name="Normal 5 10 4" xfId="4110" xr:uid="{00000000-0005-0000-0000-00005D7C0000}"/>
    <cellStyle name="Normal 5 10 4 2" xfId="21868" xr:uid="{00000000-0005-0000-0000-00005E7C0000}"/>
    <cellStyle name="Normal 5 10 5" xfId="4109" xr:uid="{00000000-0005-0000-0000-00005F7C0000}"/>
    <cellStyle name="Normal 5 10 5 2" xfId="4108" xr:uid="{00000000-0005-0000-0000-0000607C0000}"/>
    <cellStyle name="Normal 5 10 6" xfId="4107" xr:uid="{00000000-0005-0000-0000-0000617C0000}"/>
    <cellStyle name="Normal 5 10 6 2" xfId="6174" xr:uid="{00000000-0005-0000-0000-0000627C0000}"/>
    <cellStyle name="Normal 5 10 7" xfId="4106" xr:uid="{00000000-0005-0000-0000-0000637C0000}"/>
    <cellStyle name="Normal 5 10 7 2" xfId="27513" xr:uid="{00000000-0005-0000-0000-0000647C0000}"/>
    <cellStyle name="Normal 5 10 8" xfId="4105" xr:uid="{00000000-0005-0000-0000-0000657C0000}"/>
    <cellStyle name="Normal 5 11" xfId="7436" xr:uid="{00000000-0005-0000-0000-0000667C0000}"/>
    <cellStyle name="Normal 5 11 2" xfId="4104" xr:uid="{00000000-0005-0000-0000-0000677C0000}"/>
    <cellStyle name="Normal 5 11 2 2" xfId="4103" xr:uid="{00000000-0005-0000-0000-0000687C0000}"/>
    <cellStyle name="Normal 5 11 2 2 2" xfId="4102" xr:uid="{00000000-0005-0000-0000-0000697C0000}"/>
    <cellStyle name="Normal 5 11 2 3" xfId="4101" xr:uid="{00000000-0005-0000-0000-00006A7C0000}"/>
    <cellStyle name="Normal 5 11 2 3 2" xfId="4100" xr:uid="{00000000-0005-0000-0000-00006B7C0000}"/>
    <cellStyle name="Normal 5 11 2 4" xfId="4099" xr:uid="{00000000-0005-0000-0000-00006C7C0000}"/>
    <cellStyle name="Normal 5 11 2 4 2" xfId="10252" xr:uid="{00000000-0005-0000-0000-00006D7C0000}"/>
    <cellStyle name="Normal 5 11 2 5" xfId="4098" xr:uid="{00000000-0005-0000-0000-00006E7C0000}"/>
    <cellStyle name="Normal 5 11 2 5 2" xfId="32085" xr:uid="{00000000-0005-0000-0000-00006F7C0000}"/>
    <cellStyle name="Normal 5 11 2 6" xfId="4097" xr:uid="{00000000-0005-0000-0000-0000707C0000}"/>
    <cellStyle name="Normal 5 11 2 6 2" xfId="4096" xr:uid="{00000000-0005-0000-0000-0000717C0000}"/>
    <cellStyle name="Normal 5 11 2 7" xfId="4095" xr:uid="{00000000-0005-0000-0000-0000727C0000}"/>
    <cellStyle name="Normal 5 11 3" xfId="4093" xr:uid="{00000000-0005-0000-0000-0000737C0000}"/>
    <cellStyle name="Normal 5 11 3 2" xfId="4092" xr:uid="{00000000-0005-0000-0000-0000747C0000}"/>
    <cellStyle name="Normal 5 11 4" xfId="4091" xr:uid="{00000000-0005-0000-0000-0000757C0000}"/>
    <cellStyle name="Normal 5 11 4 2" xfId="4090" xr:uid="{00000000-0005-0000-0000-0000767C0000}"/>
    <cellStyle name="Normal 5 11 5" xfId="34205" xr:uid="{00000000-0005-0000-0000-0000777C0000}"/>
    <cellStyle name="Normal 5 11 5 2" xfId="4089" xr:uid="{00000000-0005-0000-0000-0000787C0000}"/>
    <cellStyle name="Normal 5 11 6" xfId="4088" xr:uid="{00000000-0005-0000-0000-0000797C0000}"/>
    <cellStyle name="Normal 5 11 6 2" xfId="6129" xr:uid="{00000000-0005-0000-0000-00007A7C0000}"/>
    <cellStyle name="Normal 5 11 7" xfId="4087" xr:uid="{00000000-0005-0000-0000-00007B7C0000}"/>
    <cellStyle name="Normal 5 11 7 2" xfId="9076" xr:uid="{00000000-0005-0000-0000-00007C7C0000}"/>
    <cellStyle name="Normal 5 11 8" xfId="4086" xr:uid="{00000000-0005-0000-0000-00007D7C0000}"/>
    <cellStyle name="Normal 5 12" xfId="4085" xr:uid="{00000000-0005-0000-0000-00007E7C0000}"/>
    <cellStyle name="Normal 5 12 2" xfId="4084" xr:uid="{00000000-0005-0000-0000-00007F7C0000}"/>
    <cellStyle name="Normal 5 12 2 2" xfId="4083" xr:uid="{00000000-0005-0000-0000-0000807C0000}"/>
    <cellStyle name="Normal 5 12 2 2 2" xfId="4082" xr:uid="{00000000-0005-0000-0000-0000817C0000}"/>
    <cellStyle name="Normal 5 12 2 3" xfId="4081" xr:uid="{00000000-0005-0000-0000-0000827C0000}"/>
    <cellStyle name="Normal 5 12 2 3 2" xfId="17115" xr:uid="{00000000-0005-0000-0000-0000837C0000}"/>
    <cellStyle name="Normal 5 12 2 4" xfId="4080" xr:uid="{00000000-0005-0000-0000-0000847C0000}"/>
    <cellStyle name="Normal 5 12 2 4 2" xfId="17038" xr:uid="{00000000-0005-0000-0000-0000857C0000}"/>
    <cellStyle name="Normal 5 12 2 5" xfId="4079" xr:uid="{00000000-0005-0000-0000-0000867C0000}"/>
    <cellStyle name="Normal 5 12 2 5 2" xfId="20358" xr:uid="{00000000-0005-0000-0000-0000877C0000}"/>
    <cellStyle name="Normal 5 12 2 6" xfId="4078" xr:uid="{00000000-0005-0000-0000-0000887C0000}"/>
    <cellStyle name="Normal 5 12 2 6 2" xfId="16989" xr:uid="{00000000-0005-0000-0000-0000897C0000}"/>
    <cellStyle name="Normal 5 12 2 7" xfId="4077" xr:uid="{00000000-0005-0000-0000-00008A7C0000}"/>
    <cellStyle name="Normal 5 12 3" xfId="4076" xr:uid="{00000000-0005-0000-0000-00008B7C0000}"/>
    <cellStyle name="Normal 5 12 3 2" xfId="4075" xr:uid="{00000000-0005-0000-0000-00008C7C0000}"/>
    <cellStyle name="Normal 5 12 4" xfId="4074" xr:uid="{00000000-0005-0000-0000-00008D7C0000}"/>
    <cellStyle name="Normal 5 12 4 2" xfId="4072" xr:uid="{00000000-0005-0000-0000-00008E7C0000}"/>
    <cellStyle name="Normal 5 12 5" xfId="4071" xr:uid="{00000000-0005-0000-0000-00008F7C0000}"/>
    <cellStyle name="Normal 5 12 5 2" xfId="4070" xr:uid="{00000000-0005-0000-0000-0000907C0000}"/>
    <cellStyle name="Normal 5 12 6" xfId="4069" xr:uid="{00000000-0005-0000-0000-0000917C0000}"/>
    <cellStyle name="Normal 5 12 6 2" xfId="6102" xr:uid="{00000000-0005-0000-0000-0000927C0000}"/>
    <cellStyle name="Normal 5 12 7" xfId="4068" xr:uid="{00000000-0005-0000-0000-0000937C0000}"/>
    <cellStyle name="Normal 5 12 7 2" xfId="27662" xr:uid="{00000000-0005-0000-0000-0000947C0000}"/>
    <cellStyle name="Normal 5 12 8" xfId="4067" xr:uid="{00000000-0005-0000-0000-0000957C0000}"/>
    <cellStyle name="Normal 5 13" xfId="4066" xr:uid="{00000000-0005-0000-0000-0000967C0000}"/>
    <cellStyle name="Normal 5 13 2" xfId="4065" xr:uid="{00000000-0005-0000-0000-0000977C0000}"/>
    <cellStyle name="Normal 5 13 2 2" xfId="4064" xr:uid="{00000000-0005-0000-0000-0000987C0000}"/>
    <cellStyle name="Normal 5 13 2 2 2" xfId="4063" xr:uid="{00000000-0005-0000-0000-0000997C0000}"/>
    <cellStyle name="Normal 5 13 2 3" xfId="4062" xr:uid="{00000000-0005-0000-0000-00009A7C0000}"/>
    <cellStyle name="Normal 5 13 2 3 2" xfId="16352" xr:uid="{00000000-0005-0000-0000-00009B7C0000}"/>
    <cellStyle name="Normal 5 13 2 4" xfId="4061" xr:uid="{00000000-0005-0000-0000-00009C7C0000}"/>
    <cellStyle name="Normal 5 13 2 4 2" xfId="16320" xr:uid="{00000000-0005-0000-0000-00009D7C0000}"/>
    <cellStyle name="Normal 5 13 2 5" xfId="26267" xr:uid="{00000000-0005-0000-0000-00009E7C0000}"/>
    <cellStyle name="Normal 5 13 2 5 2" xfId="16298" xr:uid="{00000000-0005-0000-0000-00009F7C0000}"/>
    <cellStyle name="Normal 5 13 2 6" xfId="30743" xr:uid="{00000000-0005-0000-0000-0000A07C0000}"/>
    <cellStyle name="Normal 5 13 2 6 2" xfId="16283" xr:uid="{00000000-0005-0000-0000-0000A17C0000}"/>
    <cellStyle name="Normal 5 13 2 7" xfId="4060" xr:uid="{00000000-0005-0000-0000-0000A27C0000}"/>
    <cellStyle name="Normal 5 13 3" xfId="4059" xr:uid="{00000000-0005-0000-0000-0000A37C0000}"/>
    <cellStyle name="Normal 5 13 3 2" xfId="14888" xr:uid="{00000000-0005-0000-0000-0000A47C0000}"/>
    <cellStyle name="Normal 5 13 4" xfId="4058" xr:uid="{00000000-0005-0000-0000-0000A57C0000}"/>
    <cellStyle name="Normal 5 13 4 2" xfId="4057" xr:uid="{00000000-0005-0000-0000-0000A67C0000}"/>
    <cellStyle name="Normal 5 13 5" xfId="33966" xr:uid="{00000000-0005-0000-0000-0000A77C0000}"/>
    <cellStyle name="Normal 5 13 5 2" xfId="4056" xr:uid="{00000000-0005-0000-0000-0000A87C0000}"/>
    <cellStyle name="Normal 5 13 6" xfId="4055" xr:uid="{00000000-0005-0000-0000-0000A97C0000}"/>
    <cellStyle name="Normal 5 13 6 2" xfId="19782" xr:uid="{00000000-0005-0000-0000-0000AA7C0000}"/>
    <cellStyle name="Normal 5 13 7" xfId="4054" xr:uid="{00000000-0005-0000-0000-0000AB7C0000}"/>
    <cellStyle name="Normal 5 13 7 2" xfId="23534" xr:uid="{00000000-0005-0000-0000-0000AC7C0000}"/>
    <cellStyle name="Normal 5 13 8" xfId="4053" xr:uid="{00000000-0005-0000-0000-0000AD7C0000}"/>
    <cellStyle name="Normal 5 14" xfId="4052" xr:uid="{00000000-0005-0000-0000-0000AE7C0000}"/>
    <cellStyle name="Normal 5 14 2" xfId="4051" xr:uid="{00000000-0005-0000-0000-0000AF7C0000}"/>
    <cellStyle name="Normal 5 14 2 2" xfId="4050" xr:uid="{00000000-0005-0000-0000-0000B07C0000}"/>
    <cellStyle name="Normal 5 14 3" xfId="4049" xr:uid="{00000000-0005-0000-0000-0000B17C0000}"/>
    <cellStyle name="Normal 5 14 3 2" xfId="4048" xr:uid="{00000000-0005-0000-0000-0000B27C0000}"/>
    <cellStyle name="Normal 5 14 4" xfId="29397" xr:uid="{00000000-0005-0000-0000-0000B37C0000}"/>
    <cellStyle name="Normal 5 14 4 2" xfId="4047" xr:uid="{00000000-0005-0000-0000-0000B47C0000}"/>
    <cellStyle name="Normal 5 14 5" xfId="4046" xr:uid="{00000000-0005-0000-0000-0000B57C0000}"/>
    <cellStyle name="Normal 5 14 5 2" xfId="4045" xr:uid="{00000000-0005-0000-0000-0000B67C0000}"/>
    <cellStyle name="Normal 5 14 6" xfId="4044" xr:uid="{00000000-0005-0000-0000-0000B77C0000}"/>
    <cellStyle name="Normal 5 14 6 2" xfId="5085" xr:uid="{00000000-0005-0000-0000-0000B87C0000}"/>
    <cellStyle name="Normal 5 14 7" xfId="4043" xr:uid="{00000000-0005-0000-0000-0000B97C0000}"/>
    <cellStyle name="Normal 5 15" xfId="4042" xr:uid="{00000000-0005-0000-0000-0000BA7C0000}"/>
    <cellStyle name="Normal 5 15 2" xfId="11595" xr:uid="{00000000-0005-0000-0000-0000BB7C0000}"/>
    <cellStyle name="Normal 5 15 2 2" xfId="4040" xr:uid="{00000000-0005-0000-0000-0000BC7C0000}"/>
    <cellStyle name="Normal 5 15 3" xfId="4039" xr:uid="{00000000-0005-0000-0000-0000BD7C0000}"/>
    <cellStyle name="Normal 5 15 3 2" xfId="4038" xr:uid="{00000000-0005-0000-0000-0000BE7C0000}"/>
    <cellStyle name="Normal 5 15 4" xfId="4037" xr:uid="{00000000-0005-0000-0000-0000BF7C0000}"/>
    <cellStyle name="Normal 5 15 4 2" xfId="4036" xr:uid="{00000000-0005-0000-0000-0000C07C0000}"/>
    <cellStyle name="Normal 5 15 5" xfId="4035" xr:uid="{00000000-0005-0000-0000-0000C17C0000}"/>
    <cellStyle name="Normal 5 15 5 2" xfId="4034" xr:uid="{00000000-0005-0000-0000-0000C27C0000}"/>
    <cellStyle name="Normal 5 15 6" xfId="4033" xr:uid="{00000000-0005-0000-0000-0000C37C0000}"/>
    <cellStyle name="Normal 5 15 6 2" xfId="5069" xr:uid="{00000000-0005-0000-0000-0000C47C0000}"/>
    <cellStyle name="Normal 5 15 7" xfId="4032" xr:uid="{00000000-0005-0000-0000-0000C57C0000}"/>
    <cellStyle name="Normal 5 16" xfId="31739" xr:uid="{00000000-0005-0000-0000-0000C67C0000}"/>
    <cellStyle name="Normal 5 16 2" xfId="4031" xr:uid="{00000000-0005-0000-0000-0000C77C0000}"/>
    <cellStyle name="Normal 5 16 2 2" xfId="4029" xr:uid="{00000000-0005-0000-0000-0000C87C0000}"/>
    <cellStyle name="Normal 5 16 3" xfId="4028" xr:uid="{00000000-0005-0000-0000-0000C97C0000}"/>
    <cellStyle name="Normal 5 16 3 2" xfId="4027" xr:uid="{00000000-0005-0000-0000-0000CA7C0000}"/>
    <cellStyle name="Normal 5 16 4" xfId="4026" xr:uid="{00000000-0005-0000-0000-0000CB7C0000}"/>
    <cellStyle name="Normal 5 16 4 2" xfId="4025" xr:uid="{00000000-0005-0000-0000-0000CC7C0000}"/>
    <cellStyle name="Normal 5 16 5" xfId="4024" xr:uid="{00000000-0005-0000-0000-0000CD7C0000}"/>
    <cellStyle name="Normal 5 16 5 2" xfId="4023" xr:uid="{00000000-0005-0000-0000-0000CE7C0000}"/>
    <cellStyle name="Normal 5 16 6" xfId="4022" xr:uid="{00000000-0005-0000-0000-0000CF7C0000}"/>
    <cellStyle name="Normal 5 16 6 2" xfId="5055" xr:uid="{00000000-0005-0000-0000-0000D07C0000}"/>
    <cellStyle name="Normal 5 16 7" xfId="4021" xr:uid="{00000000-0005-0000-0000-0000D17C0000}"/>
    <cellStyle name="Normal 5 17" xfId="4020" xr:uid="{00000000-0005-0000-0000-0000D27C0000}"/>
    <cellStyle name="Normal 5 17 2" xfId="4018" xr:uid="{00000000-0005-0000-0000-0000D37C0000}"/>
    <cellStyle name="Normal 5 18" xfId="4017" xr:uid="{00000000-0005-0000-0000-0000D47C0000}"/>
    <cellStyle name="Normal 5 18 2" xfId="4016" xr:uid="{00000000-0005-0000-0000-0000D57C0000}"/>
    <cellStyle name="Normal 5 19" xfId="4015" xr:uid="{00000000-0005-0000-0000-0000D67C0000}"/>
    <cellStyle name="Normal 5 19 2" xfId="4014" xr:uid="{00000000-0005-0000-0000-0000D77C0000}"/>
    <cellStyle name="Normal 5 2" xfId="48" xr:uid="{00000000-0005-0000-0000-0000D87C0000}"/>
    <cellStyle name="Normal 5 2 10" xfId="4012" xr:uid="{00000000-0005-0000-0000-0000D97C0000}"/>
    <cellStyle name="Normal 5 2 10 2" xfId="4011" xr:uid="{00000000-0005-0000-0000-0000DA7C0000}"/>
    <cellStyle name="Normal 5 2 10 2 2" xfId="32553" xr:uid="{00000000-0005-0000-0000-0000DB7C0000}"/>
    <cellStyle name="Normal 5 2 10 2 2 2" xfId="24992" xr:uid="{00000000-0005-0000-0000-0000DC7C0000}"/>
    <cellStyle name="Normal 5 2 10 2 3" xfId="32427" xr:uid="{00000000-0005-0000-0000-0000DD7C0000}"/>
    <cellStyle name="Normal 5 2 10 2 3 2" xfId="4010" xr:uid="{00000000-0005-0000-0000-0000DE7C0000}"/>
    <cellStyle name="Normal 5 2 10 2 4" xfId="30948" xr:uid="{00000000-0005-0000-0000-0000DF7C0000}"/>
    <cellStyle name="Normal 5 2 10 2 4 2" xfId="4009" xr:uid="{00000000-0005-0000-0000-0000E07C0000}"/>
    <cellStyle name="Normal 5 2 10 2 5" xfId="4008" xr:uid="{00000000-0005-0000-0000-0000E17C0000}"/>
    <cellStyle name="Normal 5 2 10 2 5 2" xfId="4006" xr:uid="{00000000-0005-0000-0000-0000E27C0000}"/>
    <cellStyle name="Normal 5 2 10 2 6" xfId="4004" xr:uid="{00000000-0005-0000-0000-0000E37C0000}"/>
    <cellStyle name="Normal 5 2 10 2 6 2" xfId="4002" xr:uid="{00000000-0005-0000-0000-0000E47C0000}"/>
    <cellStyle name="Normal 5 2 10 2 7" xfId="4000" xr:uid="{00000000-0005-0000-0000-0000E57C0000}"/>
    <cellStyle name="Normal 5 2 10 3" xfId="3998" xr:uid="{00000000-0005-0000-0000-0000E67C0000}"/>
    <cellStyle name="Normal 5 2 10 3 2" xfId="32411" xr:uid="{00000000-0005-0000-0000-0000E77C0000}"/>
    <cellStyle name="Normal 5 2 10 4" xfId="3997" xr:uid="{00000000-0005-0000-0000-0000E87C0000}"/>
    <cellStyle name="Normal 5 2 10 4 2" xfId="11851" xr:uid="{00000000-0005-0000-0000-0000E97C0000}"/>
    <cellStyle name="Normal 5 2 10 5" xfId="3996" xr:uid="{00000000-0005-0000-0000-0000EA7C0000}"/>
    <cellStyle name="Normal 5 2 10 5 2" xfId="34058" xr:uid="{00000000-0005-0000-0000-0000EB7C0000}"/>
    <cellStyle name="Normal 5 2 10 6" xfId="22727" xr:uid="{00000000-0005-0000-0000-0000EC7C0000}"/>
    <cellStyle name="Normal 5 2 10 6 2" xfId="3995" xr:uid="{00000000-0005-0000-0000-0000ED7C0000}"/>
    <cellStyle name="Normal 5 2 10 7" xfId="3994" xr:uid="{00000000-0005-0000-0000-0000EE7C0000}"/>
    <cellStyle name="Normal 5 2 10 7 2" xfId="3993" xr:uid="{00000000-0005-0000-0000-0000EF7C0000}"/>
    <cellStyle name="Normal 5 2 10 8" xfId="3992" xr:uid="{00000000-0005-0000-0000-0000F07C0000}"/>
    <cellStyle name="Normal 5 2 11" xfId="4821" xr:uid="{00000000-0005-0000-0000-0000F17C0000}"/>
    <cellStyle name="Normal 5 2 11 2" xfId="4819" xr:uid="{00000000-0005-0000-0000-0000F27C0000}"/>
    <cellStyle name="Normal 5 2 11 2 2" xfId="32541" xr:uid="{00000000-0005-0000-0000-0000F37C0000}"/>
    <cellStyle name="Normal 5 2 11 3" xfId="3991" xr:uid="{00000000-0005-0000-0000-0000F47C0000}"/>
    <cellStyle name="Normal 5 2 11 3 2" xfId="31209" xr:uid="{00000000-0005-0000-0000-0000F57C0000}"/>
    <cellStyle name="Normal 5 2 11 4" xfId="3990" xr:uid="{00000000-0005-0000-0000-0000F67C0000}"/>
    <cellStyle name="Normal 5 2 11 4 2" xfId="11837" xr:uid="{00000000-0005-0000-0000-0000F77C0000}"/>
    <cellStyle name="Normal 5 2 11 5" xfId="3989" xr:uid="{00000000-0005-0000-0000-0000F87C0000}"/>
    <cellStyle name="Normal 5 2 11 5 2" xfId="3988" xr:uid="{00000000-0005-0000-0000-0000F97C0000}"/>
    <cellStyle name="Normal 5 2 11 6" xfId="3987" xr:uid="{00000000-0005-0000-0000-0000FA7C0000}"/>
    <cellStyle name="Normal 5 2 11 6 2" xfId="3986" xr:uid="{00000000-0005-0000-0000-0000FB7C0000}"/>
    <cellStyle name="Normal 5 2 11 7" xfId="25969" xr:uid="{00000000-0005-0000-0000-0000FC7C0000}"/>
    <cellStyle name="Normal 5 2 12" xfId="4817" xr:uid="{00000000-0005-0000-0000-0000FD7C0000}"/>
    <cellStyle name="Normal 5 2 12 2" xfId="3985" xr:uid="{00000000-0005-0000-0000-0000FE7C0000}"/>
    <cellStyle name="Normal 5 2 12 2 2" xfId="19049" xr:uid="{00000000-0005-0000-0000-0000FF7C0000}"/>
    <cellStyle name="Normal 5 2 12 3" xfId="3984" xr:uid="{00000000-0005-0000-0000-0000007D0000}"/>
    <cellStyle name="Normal 5 2 12 3 2" xfId="34272" xr:uid="{00000000-0005-0000-0000-0000017D0000}"/>
    <cellStyle name="Normal 5 2 12 4" xfId="3983" xr:uid="{00000000-0005-0000-0000-0000027D0000}"/>
    <cellStyle name="Normal 5 2 12 4 2" xfId="3982" xr:uid="{00000000-0005-0000-0000-0000037D0000}"/>
    <cellStyle name="Normal 5 2 12 5" xfId="3981" xr:uid="{00000000-0005-0000-0000-0000047D0000}"/>
    <cellStyle name="Normal 5 2 12 5 2" xfId="3980" xr:uid="{00000000-0005-0000-0000-0000057D0000}"/>
    <cellStyle name="Normal 5 2 12 6" xfId="3979" xr:uid="{00000000-0005-0000-0000-0000067D0000}"/>
    <cellStyle name="Normal 5 2 12 6 2" xfId="3978" xr:uid="{00000000-0005-0000-0000-0000077D0000}"/>
    <cellStyle name="Normal 5 2 12 7" xfId="25944" xr:uid="{00000000-0005-0000-0000-0000087D0000}"/>
    <cellStyle name="Normal 5 2 13" xfId="3977" xr:uid="{00000000-0005-0000-0000-0000097D0000}"/>
    <cellStyle name="Normal 5 2 13 2" xfId="3976" xr:uid="{00000000-0005-0000-0000-00000A7D0000}"/>
    <cellStyle name="Normal 5 2 14" xfId="3975" xr:uid="{00000000-0005-0000-0000-00000B7D0000}"/>
    <cellStyle name="Normal 5 2 14 2" xfId="3974" xr:uid="{00000000-0005-0000-0000-00000C7D0000}"/>
    <cellStyle name="Normal 5 2 15" xfId="3973" xr:uid="{00000000-0005-0000-0000-00000D7D0000}"/>
    <cellStyle name="Normal 5 2 15 2" xfId="10874" xr:uid="{00000000-0005-0000-0000-00000E7D0000}"/>
    <cellStyle name="Normal 5 2 16" xfId="16448" xr:uid="{00000000-0005-0000-0000-00000F7D0000}"/>
    <cellStyle name="Normal 5 2 16 2" xfId="3972" xr:uid="{00000000-0005-0000-0000-0000107D0000}"/>
    <cellStyle name="Normal 5 2 17" xfId="14783" xr:uid="{00000000-0005-0000-0000-0000117D0000}"/>
    <cellStyle name="Normal 5 2 17 2" xfId="3971" xr:uid="{00000000-0005-0000-0000-0000127D0000}"/>
    <cellStyle name="Normal 5 2 18" xfId="3970" xr:uid="{00000000-0005-0000-0000-0000137D0000}"/>
    <cellStyle name="Normal 5 2 19" xfId="34414" xr:uid="{00000000-0005-0000-0000-0000147D0000}"/>
    <cellStyle name="Normal 5 2 2" xfId="3969" xr:uid="{00000000-0005-0000-0000-0000157D0000}"/>
    <cellStyle name="Normal 5 2 2 2" xfId="3968" xr:uid="{00000000-0005-0000-0000-0000167D0000}"/>
    <cellStyle name="Normal 5 2 2 2 2" xfId="6328" xr:uid="{00000000-0005-0000-0000-0000177D0000}"/>
    <cellStyle name="Normal 5 2 2 2 2 2" xfId="24540" xr:uid="{00000000-0005-0000-0000-0000187D0000}"/>
    <cellStyle name="Normal 5 2 2 2 2 2 2" xfId="3967" xr:uid="{00000000-0005-0000-0000-0000197D0000}"/>
    <cellStyle name="Normal 5 2 2 2 2 2 2 2" xfId="3966" xr:uid="{00000000-0005-0000-0000-00001A7D0000}"/>
    <cellStyle name="Normal 5 2 2 2 2 2 2 2 2" xfId="3965" xr:uid="{00000000-0005-0000-0000-00001B7D0000}"/>
    <cellStyle name="Normal 5 2 2 2 2 2 2 2 2 2" xfId="19152" xr:uid="{00000000-0005-0000-0000-00001C7D0000}"/>
    <cellStyle name="Normal 5 2 2 2 2 2 2 2 2 2 2" xfId="3964" xr:uid="{00000000-0005-0000-0000-00001D7D0000}"/>
    <cellStyle name="Normal 5 2 2 2 2 2 2 2 2 3" xfId="6655" xr:uid="{00000000-0005-0000-0000-00001E7D0000}"/>
    <cellStyle name="Normal 5 2 2 2 2 2 2 2 3" xfId="3963" xr:uid="{00000000-0005-0000-0000-00001F7D0000}"/>
    <cellStyle name="Normal 5 2 2 2 2 2 2 2 3 2" xfId="32793" xr:uid="{00000000-0005-0000-0000-0000207D0000}"/>
    <cellStyle name="Normal 5 2 2 2 2 2 2 2 4" xfId="3962" xr:uid="{00000000-0005-0000-0000-0000217D0000}"/>
    <cellStyle name="Normal 5 2 2 2 2 2 2 3" xfId="28304" xr:uid="{00000000-0005-0000-0000-0000227D0000}"/>
    <cellStyle name="Normal 5 2 2 2 2 2 2 3 2" xfId="5122" xr:uid="{00000000-0005-0000-0000-0000237D0000}"/>
    <cellStyle name="Normal 5 2 2 2 2 2 2 3 2 2" xfId="31021" xr:uid="{00000000-0005-0000-0000-0000247D0000}"/>
    <cellStyle name="Normal 5 2 2 2 2 2 2 3 3" xfId="5119" xr:uid="{00000000-0005-0000-0000-0000257D0000}"/>
    <cellStyle name="Normal 5 2 2 2 2 2 2 4" xfId="11769" xr:uid="{00000000-0005-0000-0000-0000267D0000}"/>
    <cellStyle name="Normal 5 2 2 2 2 2 2 4 2" xfId="11764" xr:uid="{00000000-0005-0000-0000-0000277D0000}"/>
    <cellStyle name="Normal 5 2 2 2 2 2 2 5" xfId="11760" xr:uid="{00000000-0005-0000-0000-0000287D0000}"/>
    <cellStyle name="Normal 5 2 2 2 2 2 3" xfId="3961" xr:uid="{00000000-0005-0000-0000-0000297D0000}"/>
    <cellStyle name="Normal 5 2 2 2 2 2 3 2" xfId="27672" xr:uid="{00000000-0005-0000-0000-00002A7D0000}"/>
    <cellStyle name="Normal 5 2 2 2 2 2 3 2 2" xfId="3960" xr:uid="{00000000-0005-0000-0000-00002B7D0000}"/>
    <cellStyle name="Normal 5 2 2 2 2 2 3 2 2 2" xfId="6481" xr:uid="{00000000-0005-0000-0000-00002C7D0000}"/>
    <cellStyle name="Normal 5 2 2 2 2 2 3 2 3" xfId="3959" xr:uid="{00000000-0005-0000-0000-00002D7D0000}"/>
    <cellStyle name="Normal 5 2 2 2 2 2 3 3" xfId="6091" xr:uid="{00000000-0005-0000-0000-00002E7D0000}"/>
    <cellStyle name="Normal 5 2 2 2 2 2 3 3 2" xfId="6088" xr:uid="{00000000-0005-0000-0000-00002F7D0000}"/>
    <cellStyle name="Normal 5 2 2 2 2 2 3 4" xfId="13491" xr:uid="{00000000-0005-0000-0000-0000307D0000}"/>
    <cellStyle name="Normal 5 2 2 2 2 2 4" xfId="26542" xr:uid="{00000000-0005-0000-0000-0000317D0000}"/>
    <cellStyle name="Normal 5 2 2 2 2 2 4 2" xfId="3958" xr:uid="{00000000-0005-0000-0000-0000327D0000}"/>
    <cellStyle name="Normal 5 2 2 2 2 2 4 2 2" xfId="3957" xr:uid="{00000000-0005-0000-0000-0000337D0000}"/>
    <cellStyle name="Normal 5 2 2 2 2 2 4 3" xfId="15786" xr:uid="{00000000-0005-0000-0000-0000347D0000}"/>
    <cellStyle name="Normal 5 2 2 2 2 2 5" xfId="26536" xr:uid="{00000000-0005-0000-0000-0000357D0000}"/>
    <cellStyle name="Normal 5 2 2 2 2 2 5 2" xfId="3956" xr:uid="{00000000-0005-0000-0000-0000367D0000}"/>
    <cellStyle name="Normal 5 2 2 2 2 2 6" xfId="25383" xr:uid="{00000000-0005-0000-0000-0000377D0000}"/>
    <cellStyle name="Normal 5 2 2 2 2 3" xfId="24529" xr:uid="{00000000-0005-0000-0000-0000387D0000}"/>
    <cellStyle name="Normal 5 2 2 2 2 3 2" xfId="3955" xr:uid="{00000000-0005-0000-0000-0000397D0000}"/>
    <cellStyle name="Normal 5 2 2 2 2 3 2 2" xfId="3954" xr:uid="{00000000-0005-0000-0000-00003A7D0000}"/>
    <cellStyle name="Normal 5 2 2 2 2 3 2 2 2" xfId="3953" xr:uid="{00000000-0005-0000-0000-00003B7D0000}"/>
    <cellStyle name="Normal 5 2 2 2 2 3 2 2 2 2" xfId="22990" xr:uid="{00000000-0005-0000-0000-00003C7D0000}"/>
    <cellStyle name="Normal 5 2 2 2 2 3 2 2 3" xfId="3952" xr:uid="{00000000-0005-0000-0000-00003D7D0000}"/>
    <cellStyle name="Normal 5 2 2 2 2 3 2 3" xfId="30311" xr:uid="{00000000-0005-0000-0000-00003E7D0000}"/>
    <cellStyle name="Normal 5 2 2 2 2 3 2 3 2" xfId="5105" xr:uid="{00000000-0005-0000-0000-00003F7D0000}"/>
    <cellStyle name="Normal 5 2 2 2 2 3 2 4" xfId="11748" xr:uid="{00000000-0005-0000-0000-0000407D0000}"/>
    <cellStyle name="Normal 5 2 2 2 2 3 3" xfId="3951" xr:uid="{00000000-0005-0000-0000-0000417D0000}"/>
    <cellStyle name="Normal 5 2 2 2 2 3 3 2" xfId="3950" xr:uid="{00000000-0005-0000-0000-0000427D0000}"/>
    <cellStyle name="Normal 5 2 2 2 2 3 3 2 2" xfId="27573" xr:uid="{00000000-0005-0000-0000-0000437D0000}"/>
    <cellStyle name="Normal 5 2 2 2 2 3 3 3" xfId="27111" xr:uid="{00000000-0005-0000-0000-0000447D0000}"/>
    <cellStyle name="Normal 5 2 2 2 2 3 4" xfId="26534" xr:uid="{00000000-0005-0000-0000-0000457D0000}"/>
    <cellStyle name="Normal 5 2 2 2 2 3 4 2" xfId="3949" xr:uid="{00000000-0005-0000-0000-0000467D0000}"/>
    <cellStyle name="Normal 5 2 2 2 2 3 5" xfId="29886" xr:uid="{00000000-0005-0000-0000-0000477D0000}"/>
    <cellStyle name="Normal 5 2 2 2 2 4" xfId="27132" xr:uid="{00000000-0005-0000-0000-0000487D0000}"/>
    <cellStyle name="Normal 5 2 2 2 2 4 2" xfId="3948" xr:uid="{00000000-0005-0000-0000-0000497D0000}"/>
    <cellStyle name="Normal 5 2 2 2 2 4 2 2" xfId="3946" xr:uid="{00000000-0005-0000-0000-00004A7D0000}"/>
    <cellStyle name="Normal 5 2 2 2 2 4 2 2 2" xfId="3943" xr:uid="{00000000-0005-0000-0000-00004B7D0000}"/>
    <cellStyle name="Normal 5 2 2 2 2 4 2 3" xfId="30267" xr:uid="{00000000-0005-0000-0000-00004C7D0000}"/>
    <cellStyle name="Normal 5 2 2 2 2 4 3" xfId="3940" xr:uid="{00000000-0005-0000-0000-00004D7D0000}"/>
    <cellStyle name="Normal 5 2 2 2 2 4 3 2" xfId="3937" xr:uid="{00000000-0005-0000-0000-00004E7D0000}"/>
    <cellStyle name="Normal 5 2 2 2 2 4 4" xfId="3934" xr:uid="{00000000-0005-0000-0000-00004F7D0000}"/>
    <cellStyle name="Normal 5 2 2 2 2 5" xfId="3932" xr:uid="{00000000-0005-0000-0000-0000507D0000}"/>
    <cellStyle name="Normal 5 2 2 2 2 5 2" xfId="6497" xr:uid="{00000000-0005-0000-0000-0000517D0000}"/>
    <cellStyle name="Normal 5 2 2 2 2 5 2 2" xfId="3931" xr:uid="{00000000-0005-0000-0000-0000527D0000}"/>
    <cellStyle name="Normal 5 2 2 2 2 5 3" xfId="3928" xr:uid="{00000000-0005-0000-0000-0000537D0000}"/>
    <cellStyle name="Normal 5 2 2 2 2 6" xfId="25676" xr:uid="{00000000-0005-0000-0000-0000547D0000}"/>
    <cellStyle name="Normal 5 2 2 2 2 6 2" xfId="3926" xr:uid="{00000000-0005-0000-0000-0000557D0000}"/>
    <cellStyle name="Normal 5 2 2 2 2 7" xfId="3924" xr:uid="{00000000-0005-0000-0000-0000567D0000}"/>
    <cellStyle name="Normal 5 2 2 2 3" xfId="5298" xr:uid="{00000000-0005-0000-0000-0000577D0000}"/>
    <cellStyle name="Normal 5 2 2 2 3 2" xfId="24521" xr:uid="{00000000-0005-0000-0000-0000587D0000}"/>
    <cellStyle name="Normal 5 2 2 2 3 2 2" xfId="3923" xr:uid="{00000000-0005-0000-0000-0000597D0000}"/>
    <cellStyle name="Normal 5 2 2 2 3 2 2 2" xfId="11555" xr:uid="{00000000-0005-0000-0000-00005A7D0000}"/>
    <cellStyle name="Normal 5 2 2 2 3 2 2 2 2" xfId="3922" xr:uid="{00000000-0005-0000-0000-00005B7D0000}"/>
    <cellStyle name="Normal 5 2 2 2 3 2 2 2 2 2" xfId="3921" xr:uid="{00000000-0005-0000-0000-00005C7D0000}"/>
    <cellStyle name="Normal 5 2 2 2 3 2 2 2 3" xfId="31418" xr:uid="{00000000-0005-0000-0000-00005D7D0000}"/>
    <cellStyle name="Normal 5 2 2 2 3 2 2 3" xfId="11550" xr:uid="{00000000-0005-0000-0000-00005E7D0000}"/>
    <cellStyle name="Normal 5 2 2 2 3 2 2 3 2" xfId="5087" xr:uid="{00000000-0005-0000-0000-00005F7D0000}"/>
    <cellStyle name="Normal 5 2 2 2 3 2 2 4" xfId="11729" xr:uid="{00000000-0005-0000-0000-0000607D0000}"/>
    <cellStyle name="Normal 5 2 2 2 3 2 3" xfId="3920" xr:uid="{00000000-0005-0000-0000-0000617D0000}"/>
    <cellStyle name="Normal 5 2 2 2 3 2 3 2" xfId="11547" xr:uid="{00000000-0005-0000-0000-0000627D0000}"/>
    <cellStyle name="Normal 5 2 2 2 3 2 3 2 2" xfId="3919" xr:uid="{00000000-0005-0000-0000-0000637D0000}"/>
    <cellStyle name="Normal 5 2 2 2 3 2 3 3" xfId="6081" xr:uid="{00000000-0005-0000-0000-0000647D0000}"/>
    <cellStyle name="Normal 5 2 2 2 3 2 4" xfId="26528" xr:uid="{00000000-0005-0000-0000-0000657D0000}"/>
    <cellStyle name="Normal 5 2 2 2 3 2 4 2" xfId="3918" xr:uid="{00000000-0005-0000-0000-0000667D0000}"/>
    <cellStyle name="Normal 5 2 2 2 3 2 5" xfId="3917" xr:uid="{00000000-0005-0000-0000-0000677D0000}"/>
    <cellStyle name="Normal 5 2 2 2 3 3" xfId="24514" xr:uid="{00000000-0005-0000-0000-0000687D0000}"/>
    <cellStyle name="Normal 5 2 2 2 3 3 2" xfId="3916" xr:uid="{00000000-0005-0000-0000-0000697D0000}"/>
    <cellStyle name="Normal 5 2 2 2 3 3 2 2" xfId="11527" xr:uid="{00000000-0005-0000-0000-00006A7D0000}"/>
    <cellStyle name="Normal 5 2 2 2 3 3 2 2 2" xfId="3915" xr:uid="{00000000-0005-0000-0000-00006B7D0000}"/>
    <cellStyle name="Normal 5 2 2 2 3 3 2 3" xfId="33659" xr:uid="{00000000-0005-0000-0000-00006C7D0000}"/>
    <cellStyle name="Normal 5 2 2 2 3 3 3" xfId="3914" xr:uid="{00000000-0005-0000-0000-00006D7D0000}"/>
    <cellStyle name="Normal 5 2 2 2 3 3 3 2" xfId="3913" xr:uid="{00000000-0005-0000-0000-00006E7D0000}"/>
    <cellStyle name="Normal 5 2 2 2 3 3 4" xfId="3912" xr:uid="{00000000-0005-0000-0000-00006F7D0000}"/>
    <cellStyle name="Normal 5 2 2 2 3 4" xfId="3911" xr:uid="{00000000-0005-0000-0000-0000707D0000}"/>
    <cellStyle name="Normal 5 2 2 2 3 4 2" xfId="3910" xr:uid="{00000000-0005-0000-0000-0000717D0000}"/>
    <cellStyle name="Normal 5 2 2 2 3 4 2 2" xfId="3908" xr:uid="{00000000-0005-0000-0000-0000727D0000}"/>
    <cellStyle name="Normal 5 2 2 2 3 4 3" xfId="3905" xr:uid="{00000000-0005-0000-0000-0000737D0000}"/>
    <cellStyle name="Normal 5 2 2 2 3 5" xfId="3903" xr:uid="{00000000-0005-0000-0000-0000747D0000}"/>
    <cellStyle name="Normal 5 2 2 2 3 5 2" xfId="3902" xr:uid="{00000000-0005-0000-0000-0000757D0000}"/>
    <cellStyle name="Normal 5 2 2 2 3 6" xfId="3900" xr:uid="{00000000-0005-0000-0000-0000767D0000}"/>
    <cellStyle name="Normal 5 2 2 2 4" xfId="3899" xr:uid="{00000000-0005-0000-0000-0000777D0000}"/>
    <cellStyle name="Normal 5 2 2 2 4 2" xfId="24509" xr:uid="{00000000-0005-0000-0000-0000787D0000}"/>
    <cellStyle name="Normal 5 2 2 2 4 2 2" xfId="27590" xr:uid="{00000000-0005-0000-0000-0000797D0000}"/>
    <cellStyle name="Normal 5 2 2 2 4 2 2 2" xfId="11437" xr:uid="{00000000-0005-0000-0000-00007A7D0000}"/>
    <cellStyle name="Normal 5 2 2 2 4 2 2 2 2" xfId="16776" xr:uid="{00000000-0005-0000-0000-00007B7D0000}"/>
    <cellStyle name="Normal 5 2 2 2 4 2 2 3" xfId="32784" xr:uid="{00000000-0005-0000-0000-00007C7D0000}"/>
    <cellStyle name="Normal 5 2 2 2 4 2 3" xfId="34355" xr:uid="{00000000-0005-0000-0000-00007D7D0000}"/>
    <cellStyle name="Normal 5 2 2 2 4 2 3 2" xfId="3897" xr:uid="{00000000-0005-0000-0000-00007E7D0000}"/>
    <cellStyle name="Normal 5 2 2 2 4 2 4" xfId="33087" xr:uid="{00000000-0005-0000-0000-00007F7D0000}"/>
    <cellStyle name="Normal 5 2 2 2 4 3" xfId="3895" xr:uid="{00000000-0005-0000-0000-0000807D0000}"/>
    <cellStyle name="Normal 5 2 2 2 4 3 2" xfId="27583" xr:uid="{00000000-0005-0000-0000-0000817D0000}"/>
    <cellStyle name="Normal 5 2 2 2 4 3 2 2" xfId="3894" xr:uid="{00000000-0005-0000-0000-0000827D0000}"/>
    <cellStyle name="Normal 5 2 2 2 4 3 3" xfId="3893" xr:uid="{00000000-0005-0000-0000-0000837D0000}"/>
    <cellStyle name="Normal 5 2 2 2 4 4" xfId="3891" xr:uid="{00000000-0005-0000-0000-0000847D0000}"/>
    <cellStyle name="Normal 5 2 2 2 4 4 2" xfId="17660" xr:uid="{00000000-0005-0000-0000-0000857D0000}"/>
    <cellStyle name="Normal 5 2 2 2 4 5" xfId="3890" xr:uid="{00000000-0005-0000-0000-0000867D0000}"/>
    <cellStyle name="Normal 5 2 2 2 5" xfId="25580" xr:uid="{00000000-0005-0000-0000-0000877D0000}"/>
    <cellStyle name="Normal 5 2 2 2 5 2" xfId="3889" xr:uid="{00000000-0005-0000-0000-0000887D0000}"/>
    <cellStyle name="Normal 5 2 2 2 5 2 2" xfId="33601" xr:uid="{00000000-0005-0000-0000-0000897D0000}"/>
    <cellStyle name="Normal 5 2 2 2 5 2 2 2" xfId="3888" xr:uid="{00000000-0005-0000-0000-00008A7D0000}"/>
    <cellStyle name="Normal 5 2 2 2 5 2 3" xfId="3887" xr:uid="{00000000-0005-0000-0000-00008B7D0000}"/>
    <cellStyle name="Normal 5 2 2 2 5 3" xfId="3885" xr:uid="{00000000-0005-0000-0000-00008C7D0000}"/>
    <cellStyle name="Normal 5 2 2 2 5 3 2" xfId="3884" xr:uid="{00000000-0005-0000-0000-00008D7D0000}"/>
    <cellStyle name="Normal 5 2 2 2 5 4" xfId="3883" xr:uid="{00000000-0005-0000-0000-00008E7D0000}"/>
    <cellStyle name="Normal 5 2 2 2 6" xfId="10246" xr:uid="{00000000-0005-0000-0000-00008F7D0000}"/>
    <cellStyle name="Normal 5 2 2 2 6 2" xfId="3882" xr:uid="{00000000-0005-0000-0000-0000907D0000}"/>
    <cellStyle name="Normal 5 2 2 2 6 2 2" xfId="32398" xr:uid="{00000000-0005-0000-0000-0000917D0000}"/>
    <cellStyle name="Normal 5 2 2 2 6 3" xfId="25782" xr:uid="{00000000-0005-0000-0000-0000927D0000}"/>
    <cellStyle name="Normal 5 2 2 2 7" xfId="10227" xr:uid="{00000000-0005-0000-0000-0000937D0000}"/>
    <cellStyle name="Normal 5 2 2 2 7 2" xfId="3881" xr:uid="{00000000-0005-0000-0000-0000947D0000}"/>
    <cellStyle name="Normal 5 2 2 2 8" xfId="20694" xr:uid="{00000000-0005-0000-0000-0000957D0000}"/>
    <cellStyle name="Normal 5 2 2 3" xfId="3880" xr:uid="{00000000-0005-0000-0000-0000967D0000}"/>
    <cellStyle name="Normal 5 2 2 3 2" xfId="5294" xr:uid="{00000000-0005-0000-0000-0000977D0000}"/>
    <cellStyle name="Normal 5 2 2 3 2 2" xfId="24498" xr:uid="{00000000-0005-0000-0000-0000987D0000}"/>
    <cellStyle name="Normal 5 2 2 3 2 2 2" xfId="3879" xr:uid="{00000000-0005-0000-0000-0000997D0000}"/>
    <cellStyle name="Normal 5 2 2 3 2 2 2 2" xfId="3878" xr:uid="{00000000-0005-0000-0000-00009A7D0000}"/>
    <cellStyle name="Normal 5 2 2 3 2 2 2 2 2" xfId="3877" xr:uid="{00000000-0005-0000-0000-00009B7D0000}"/>
    <cellStyle name="Normal 5 2 2 3 2 2 2 2 2 2" xfId="3875" xr:uid="{00000000-0005-0000-0000-00009C7D0000}"/>
    <cellStyle name="Normal 5 2 2 3 2 2 2 2 3" xfId="3874" xr:uid="{00000000-0005-0000-0000-00009D7D0000}"/>
    <cellStyle name="Normal 5 2 2 3 2 2 2 3" xfId="26757" xr:uid="{00000000-0005-0000-0000-00009E7D0000}"/>
    <cellStyle name="Normal 5 2 2 3 2 2 2 3 2" xfId="4750" xr:uid="{00000000-0005-0000-0000-00009F7D0000}"/>
    <cellStyle name="Normal 5 2 2 3 2 2 2 4" xfId="20260" xr:uid="{00000000-0005-0000-0000-0000A07D0000}"/>
    <cellStyle name="Normal 5 2 2 3 2 2 3" xfId="3873" xr:uid="{00000000-0005-0000-0000-0000A17D0000}"/>
    <cellStyle name="Normal 5 2 2 3 2 2 3 2" xfId="3872" xr:uid="{00000000-0005-0000-0000-0000A27D0000}"/>
    <cellStyle name="Normal 5 2 2 3 2 2 3 2 2" xfId="3871" xr:uid="{00000000-0005-0000-0000-0000A37D0000}"/>
    <cellStyle name="Normal 5 2 2 3 2 2 3 3" xfId="27635" xr:uid="{00000000-0005-0000-0000-0000A47D0000}"/>
    <cellStyle name="Normal 5 2 2 3 2 2 4" xfId="19921" xr:uid="{00000000-0005-0000-0000-0000A57D0000}"/>
    <cellStyle name="Normal 5 2 2 3 2 2 4 2" xfId="3870" xr:uid="{00000000-0005-0000-0000-0000A67D0000}"/>
    <cellStyle name="Normal 5 2 2 3 2 2 5" xfId="3869" xr:uid="{00000000-0005-0000-0000-0000A77D0000}"/>
    <cellStyle name="Normal 5 2 2 3 2 3" xfId="17990" xr:uid="{00000000-0005-0000-0000-0000A87D0000}"/>
    <cellStyle name="Normal 5 2 2 3 2 3 2" xfId="3868" xr:uid="{00000000-0005-0000-0000-0000A97D0000}"/>
    <cellStyle name="Normal 5 2 2 3 2 3 2 2" xfId="3867" xr:uid="{00000000-0005-0000-0000-0000AA7D0000}"/>
    <cellStyle name="Normal 5 2 2 3 2 3 2 2 2" xfId="30395" xr:uid="{00000000-0005-0000-0000-0000AB7D0000}"/>
    <cellStyle name="Normal 5 2 2 3 2 3 2 3" xfId="31979" xr:uid="{00000000-0005-0000-0000-0000AC7D0000}"/>
    <cellStyle name="Normal 5 2 2 3 2 3 3" xfId="3866" xr:uid="{00000000-0005-0000-0000-0000AD7D0000}"/>
    <cellStyle name="Normal 5 2 2 3 2 3 3 2" xfId="3865" xr:uid="{00000000-0005-0000-0000-0000AE7D0000}"/>
    <cellStyle name="Normal 5 2 2 3 2 3 4" xfId="3864" xr:uid="{00000000-0005-0000-0000-0000AF7D0000}"/>
    <cellStyle name="Normal 5 2 2 3 2 4" xfId="3863" xr:uid="{00000000-0005-0000-0000-0000B07D0000}"/>
    <cellStyle name="Normal 5 2 2 3 2 4 2" xfId="3862" xr:uid="{00000000-0005-0000-0000-0000B17D0000}"/>
    <cellStyle name="Normal 5 2 2 3 2 4 2 2" xfId="3860" xr:uid="{00000000-0005-0000-0000-0000B27D0000}"/>
    <cellStyle name="Normal 5 2 2 3 2 4 3" xfId="3857" xr:uid="{00000000-0005-0000-0000-0000B37D0000}"/>
    <cellStyle name="Normal 5 2 2 3 2 5" xfId="3855" xr:uid="{00000000-0005-0000-0000-0000B47D0000}"/>
    <cellStyle name="Normal 5 2 2 3 2 5 2" xfId="3854" xr:uid="{00000000-0005-0000-0000-0000B57D0000}"/>
    <cellStyle name="Normal 5 2 2 3 2 6" xfId="5861" xr:uid="{00000000-0005-0000-0000-0000B67D0000}"/>
    <cellStyle name="Normal 5 2 2 3 3" xfId="3852" xr:uid="{00000000-0005-0000-0000-0000B77D0000}"/>
    <cellStyle name="Normal 5 2 2 3 3 2" xfId="24481" xr:uid="{00000000-0005-0000-0000-0000B87D0000}"/>
    <cellStyle name="Normal 5 2 2 3 3 2 2" xfId="3851" xr:uid="{00000000-0005-0000-0000-0000B97D0000}"/>
    <cellStyle name="Normal 5 2 2 3 3 2 2 2" xfId="11287" xr:uid="{00000000-0005-0000-0000-0000BA7D0000}"/>
    <cellStyle name="Normal 5 2 2 3 3 2 2 2 2" xfId="3850" xr:uid="{00000000-0005-0000-0000-0000BB7D0000}"/>
    <cellStyle name="Normal 5 2 2 3 3 2 2 3" xfId="20324" xr:uid="{00000000-0005-0000-0000-0000BC7D0000}"/>
    <cellStyle name="Normal 5 2 2 3 3 2 3" xfId="3849" xr:uid="{00000000-0005-0000-0000-0000BD7D0000}"/>
    <cellStyle name="Normal 5 2 2 3 3 2 3 2" xfId="3848" xr:uid="{00000000-0005-0000-0000-0000BE7D0000}"/>
    <cellStyle name="Normal 5 2 2 3 3 2 4" xfId="3847" xr:uid="{00000000-0005-0000-0000-0000BF7D0000}"/>
    <cellStyle name="Normal 5 2 2 3 3 3" xfId="21391" xr:uid="{00000000-0005-0000-0000-0000C07D0000}"/>
    <cellStyle name="Normal 5 2 2 3 3 3 2" xfId="3846" xr:uid="{00000000-0005-0000-0000-0000C17D0000}"/>
    <cellStyle name="Normal 5 2 2 3 3 3 2 2" xfId="3845" xr:uid="{00000000-0005-0000-0000-0000C27D0000}"/>
    <cellStyle name="Normal 5 2 2 3 3 3 3" xfId="3844" xr:uid="{00000000-0005-0000-0000-0000C37D0000}"/>
    <cellStyle name="Normal 5 2 2 3 3 4" xfId="3843" xr:uid="{00000000-0005-0000-0000-0000C47D0000}"/>
    <cellStyle name="Normal 5 2 2 3 3 4 2" xfId="3842" xr:uid="{00000000-0005-0000-0000-0000C57D0000}"/>
    <cellStyle name="Normal 5 2 2 3 3 5" xfId="3840" xr:uid="{00000000-0005-0000-0000-0000C67D0000}"/>
    <cellStyle name="Normal 5 2 2 3 4" xfId="28949" xr:uid="{00000000-0005-0000-0000-0000C77D0000}"/>
    <cellStyle name="Normal 5 2 2 3 4 2" xfId="6159" xr:uid="{00000000-0005-0000-0000-0000C87D0000}"/>
    <cellStyle name="Normal 5 2 2 3 4 2 2" xfId="27517" xr:uid="{00000000-0005-0000-0000-0000C97D0000}"/>
    <cellStyle name="Normal 5 2 2 3 4 2 2 2" xfId="3839" xr:uid="{00000000-0005-0000-0000-0000CA7D0000}"/>
    <cellStyle name="Normal 5 2 2 3 4 2 3" xfId="3838" xr:uid="{00000000-0005-0000-0000-0000CB7D0000}"/>
    <cellStyle name="Normal 5 2 2 3 4 3" xfId="6156" xr:uid="{00000000-0005-0000-0000-0000CC7D0000}"/>
    <cellStyle name="Normal 5 2 2 3 4 3 2" xfId="3836" xr:uid="{00000000-0005-0000-0000-0000CD7D0000}"/>
    <cellStyle name="Normal 5 2 2 3 4 4" xfId="3835" xr:uid="{00000000-0005-0000-0000-0000CE7D0000}"/>
    <cellStyle name="Normal 5 2 2 3 5" xfId="30918" xr:uid="{00000000-0005-0000-0000-0000CF7D0000}"/>
    <cellStyle name="Normal 5 2 2 3 5 2" xfId="6153" xr:uid="{00000000-0005-0000-0000-0000D07D0000}"/>
    <cellStyle name="Normal 5 2 2 3 5 2 2" xfId="3834" xr:uid="{00000000-0005-0000-0000-0000D17D0000}"/>
    <cellStyle name="Normal 5 2 2 3 5 3" xfId="3833" xr:uid="{00000000-0005-0000-0000-0000D27D0000}"/>
    <cellStyle name="Normal 5 2 2 3 6" xfId="10208" xr:uid="{00000000-0005-0000-0000-0000D37D0000}"/>
    <cellStyle name="Normal 5 2 2 3 6 2" xfId="3832" xr:uid="{00000000-0005-0000-0000-0000D47D0000}"/>
    <cellStyle name="Normal 5 2 2 3 7" xfId="10204" xr:uid="{00000000-0005-0000-0000-0000D57D0000}"/>
    <cellStyle name="Normal 5 2 2 4" xfId="3831" xr:uid="{00000000-0005-0000-0000-0000D67D0000}"/>
    <cellStyle name="Normal 5 2 2 4 2" xfId="18889" xr:uid="{00000000-0005-0000-0000-0000D77D0000}"/>
    <cellStyle name="Normal 5 2 2 4 2 2" xfId="31407" xr:uid="{00000000-0005-0000-0000-0000D87D0000}"/>
    <cellStyle name="Normal 5 2 2 4 2 2 2" xfId="3830" xr:uid="{00000000-0005-0000-0000-0000D97D0000}"/>
    <cellStyle name="Normal 5 2 2 4 2 2 2 2" xfId="3829" xr:uid="{00000000-0005-0000-0000-0000DA7D0000}"/>
    <cellStyle name="Normal 5 2 2 4 2 2 2 2 2" xfId="3828" xr:uid="{00000000-0005-0000-0000-0000DB7D0000}"/>
    <cellStyle name="Normal 5 2 2 4 2 2 2 3" xfId="18466" xr:uid="{00000000-0005-0000-0000-0000DC7D0000}"/>
    <cellStyle name="Normal 5 2 2 4 2 2 3" xfId="3827" xr:uid="{00000000-0005-0000-0000-0000DD7D0000}"/>
    <cellStyle name="Normal 5 2 2 4 2 2 3 2" xfId="3826" xr:uid="{00000000-0005-0000-0000-0000DE7D0000}"/>
    <cellStyle name="Normal 5 2 2 4 2 2 4" xfId="3825" xr:uid="{00000000-0005-0000-0000-0000DF7D0000}"/>
    <cellStyle name="Normal 5 2 2 4 2 3" xfId="3824" xr:uid="{00000000-0005-0000-0000-0000E07D0000}"/>
    <cellStyle name="Normal 5 2 2 4 2 3 2" xfId="3823" xr:uid="{00000000-0005-0000-0000-0000E17D0000}"/>
    <cellStyle name="Normal 5 2 2 4 2 3 2 2" xfId="3822" xr:uid="{00000000-0005-0000-0000-0000E27D0000}"/>
    <cellStyle name="Normal 5 2 2 4 2 3 3" xfId="3821" xr:uid="{00000000-0005-0000-0000-0000E37D0000}"/>
    <cellStyle name="Normal 5 2 2 4 2 4" xfId="3820" xr:uid="{00000000-0005-0000-0000-0000E47D0000}"/>
    <cellStyle name="Normal 5 2 2 4 2 4 2" xfId="16534" xr:uid="{00000000-0005-0000-0000-0000E57D0000}"/>
    <cellStyle name="Normal 5 2 2 4 2 5" xfId="3819" xr:uid="{00000000-0005-0000-0000-0000E67D0000}"/>
    <cellStyle name="Normal 5 2 2 4 3" xfId="27227" xr:uid="{00000000-0005-0000-0000-0000E77D0000}"/>
    <cellStyle name="Normal 5 2 2 4 3 2" xfId="3818" xr:uid="{00000000-0005-0000-0000-0000E87D0000}"/>
    <cellStyle name="Normal 5 2 2 4 3 2 2" xfId="3817" xr:uid="{00000000-0005-0000-0000-0000E97D0000}"/>
    <cellStyle name="Normal 5 2 2 4 3 2 2 2" xfId="11178" xr:uid="{00000000-0005-0000-0000-0000EA7D0000}"/>
    <cellStyle name="Normal 5 2 2 4 3 2 3" xfId="3816" xr:uid="{00000000-0005-0000-0000-0000EB7D0000}"/>
    <cellStyle name="Normal 5 2 2 4 3 3" xfId="3815" xr:uid="{00000000-0005-0000-0000-0000EC7D0000}"/>
    <cellStyle name="Normal 5 2 2 4 3 3 2" xfId="3814" xr:uid="{00000000-0005-0000-0000-0000ED7D0000}"/>
    <cellStyle name="Normal 5 2 2 4 3 4" xfId="3813" xr:uid="{00000000-0005-0000-0000-0000EE7D0000}"/>
    <cellStyle name="Normal 5 2 2 4 4" xfId="29559" xr:uid="{00000000-0005-0000-0000-0000EF7D0000}"/>
    <cellStyle name="Normal 5 2 2 4 4 2" xfId="30793" xr:uid="{00000000-0005-0000-0000-0000F07D0000}"/>
    <cellStyle name="Normal 5 2 2 4 4 2 2" xfId="3812" xr:uid="{00000000-0005-0000-0000-0000F17D0000}"/>
    <cellStyle name="Normal 5 2 2 4 4 3" xfId="3811" xr:uid="{00000000-0005-0000-0000-0000F27D0000}"/>
    <cellStyle name="Normal 5 2 2 4 5" xfId="30897" xr:uid="{00000000-0005-0000-0000-0000F37D0000}"/>
    <cellStyle name="Normal 5 2 2 4 5 2" xfId="3810" xr:uid="{00000000-0005-0000-0000-0000F47D0000}"/>
    <cellStyle name="Normal 5 2 2 4 6" xfId="21970" xr:uid="{00000000-0005-0000-0000-0000F57D0000}"/>
    <cellStyle name="Normal 5 2 2 5" xfId="3809" xr:uid="{00000000-0005-0000-0000-0000F67D0000}"/>
    <cellStyle name="Normal 5 2 2 5 2" xfId="29664" xr:uid="{00000000-0005-0000-0000-0000F77D0000}"/>
    <cellStyle name="Normal 5 2 2 5 2 2" xfId="3808" xr:uid="{00000000-0005-0000-0000-0000F87D0000}"/>
    <cellStyle name="Normal 5 2 2 5 2 2 2" xfId="3807" xr:uid="{00000000-0005-0000-0000-0000F97D0000}"/>
    <cellStyle name="Normal 5 2 2 5 2 2 2 2" xfId="3805" xr:uid="{00000000-0005-0000-0000-0000FA7D0000}"/>
    <cellStyle name="Normal 5 2 2 5 2 2 3" xfId="15345" xr:uid="{00000000-0005-0000-0000-0000FB7D0000}"/>
    <cellStyle name="Normal 5 2 2 5 2 3" xfId="17994" xr:uid="{00000000-0005-0000-0000-0000FC7D0000}"/>
    <cellStyle name="Normal 5 2 2 5 2 3 2" xfId="4514" xr:uid="{00000000-0005-0000-0000-0000FD7D0000}"/>
    <cellStyle name="Normal 5 2 2 5 2 4" xfId="27199" xr:uid="{00000000-0005-0000-0000-0000FE7D0000}"/>
    <cellStyle name="Normal 5 2 2 5 3" xfId="3803" xr:uid="{00000000-0005-0000-0000-0000FF7D0000}"/>
    <cellStyle name="Normal 5 2 2 5 3 2" xfId="3802" xr:uid="{00000000-0005-0000-0000-0000007E0000}"/>
    <cellStyle name="Normal 5 2 2 5 3 2 2" xfId="3801" xr:uid="{00000000-0005-0000-0000-0000017E0000}"/>
    <cellStyle name="Normal 5 2 2 5 3 3" xfId="33605" xr:uid="{00000000-0005-0000-0000-0000027E0000}"/>
    <cellStyle name="Normal 5 2 2 5 4" xfId="31813" xr:uid="{00000000-0005-0000-0000-0000037E0000}"/>
    <cellStyle name="Normal 5 2 2 5 4 2" xfId="3799" xr:uid="{00000000-0005-0000-0000-0000047E0000}"/>
    <cellStyle name="Normal 5 2 2 5 5" xfId="3798" xr:uid="{00000000-0005-0000-0000-0000057E0000}"/>
    <cellStyle name="Normal 5 2 2 6" xfId="3797" xr:uid="{00000000-0005-0000-0000-0000067E0000}"/>
    <cellStyle name="Normal 5 2 2 6 2" xfId="3796" xr:uid="{00000000-0005-0000-0000-0000077E0000}"/>
    <cellStyle name="Normal 5 2 2 6 2 2" xfId="3795" xr:uid="{00000000-0005-0000-0000-0000087E0000}"/>
    <cellStyle name="Normal 5 2 2 6 2 2 2" xfId="3794" xr:uid="{00000000-0005-0000-0000-0000097E0000}"/>
    <cellStyle name="Normal 5 2 2 6 2 3" xfId="17945" xr:uid="{00000000-0005-0000-0000-00000A7E0000}"/>
    <cellStyle name="Normal 5 2 2 6 3" xfId="3792" xr:uid="{00000000-0005-0000-0000-00000B7E0000}"/>
    <cellStyle name="Normal 5 2 2 6 3 2" xfId="3791" xr:uid="{00000000-0005-0000-0000-00000C7E0000}"/>
    <cellStyle name="Normal 5 2 2 6 4" xfId="20272" xr:uid="{00000000-0005-0000-0000-00000D7E0000}"/>
    <cellStyle name="Normal 5 2 2 7" xfId="3790" xr:uid="{00000000-0005-0000-0000-00000E7E0000}"/>
    <cellStyle name="Normal 5 2 2 7 2" xfId="3789" xr:uid="{00000000-0005-0000-0000-00000F7E0000}"/>
    <cellStyle name="Normal 5 2 2 7 2 2" xfId="3788" xr:uid="{00000000-0005-0000-0000-0000107E0000}"/>
    <cellStyle name="Normal 5 2 2 7 3" xfId="3787" xr:uid="{00000000-0005-0000-0000-0000117E0000}"/>
    <cellStyle name="Normal 5 2 2 8" xfId="3786" xr:uid="{00000000-0005-0000-0000-0000127E0000}"/>
    <cellStyle name="Normal 5 2 2 8 2" xfId="3785" xr:uid="{00000000-0005-0000-0000-0000137E0000}"/>
    <cellStyle name="Normal 5 2 2 9" xfId="3784" xr:uid="{00000000-0005-0000-0000-0000147E0000}"/>
    <cellStyle name="Normal 5 2 20" xfId="4013" xr:uid="{00000000-0005-0000-0000-0000157E0000}"/>
    <cellStyle name="Normal 5 2 3" xfId="3783" xr:uid="{00000000-0005-0000-0000-0000167E0000}"/>
    <cellStyle name="Normal 5 2 3 2" xfId="3782" xr:uid="{00000000-0005-0000-0000-0000177E0000}"/>
    <cellStyle name="Normal 5 2 3 2 2" xfId="5286" xr:uid="{00000000-0005-0000-0000-0000187E0000}"/>
    <cellStyle name="Normal 5 2 3 2 2 2" xfId="23965" xr:uid="{00000000-0005-0000-0000-0000197E0000}"/>
    <cellStyle name="Normal 5 2 3 2 2 2 2" xfId="3781" xr:uid="{00000000-0005-0000-0000-00001A7E0000}"/>
    <cellStyle name="Normal 5 2 3 2 2 2 2 2" xfId="3780" xr:uid="{00000000-0005-0000-0000-00001B7E0000}"/>
    <cellStyle name="Normal 5 2 3 2 2 2 2 2 2" xfId="15218" xr:uid="{00000000-0005-0000-0000-00001C7E0000}"/>
    <cellStyle name="Normal 5 2 3 2 2 2 2 2 2 2" xfId="3779" xr:uid="{00000000-0005-0000-0000-00001D7E0000}"/>
    <cellStyle name="Normal 5 2 3 2 2 2 2 2 3" xfId="3778" xr:uid="{00000000-0005-0000-0000-00001E7E0000}"/>
    <cellStyle name="Normal 5 2 3 2 2 2 2 3" xfId="28795" xr:uid="{00000000-0005-0000-0000-00001F7E0000}"/>
    <cellStyle name="Normal 5 2 3 2 2 2 2 3 2" xfId="3777" xr:uid="{00000000-0005-0000-0000-0000207E0000}"/>
    <cellStyle name="Normal 5 2 3 2 2 2 2 4" xfId="9176" xr:uid="{00000000-0005-0000-0000-0000217E0000}"/>
    <cellStyle name="Normal 5 2 3 2 2 2 3" xfId="10844" xr:uid="{00000000-0005-0000-0000-0000227E0000}"/>
    <cellStyle name="Normal 5 2 3 2 2 2 3 2" xfId="3776" xr:uid="{00000000-0005-0000-0000-0000237E0000}"/>
    <cellStyle name="Normal 5 2 3 2 2 2 3 2 2" xfId="3775" xr:uid="{00000000-0005-0000-0000-0000247E0000}"/>
    <cellStyle name="Normal 5 2 3 2 2 2 3 3" xfId="28291" xr:uid="{00000000-0005-0000-0000-0000257E0000}"/>
    <cellStyle name="Normal 5 2 3 2 2 2 4" xfId="26459" xr:uid="{00000000-0005-0000-0000-0000267E0000}"/>
    <cellStyle name="Normal 5 2 3 2 2 2 4 2" xfId="23691" xr:uid="{00000000-0005-0000-0000-0000277E0000}"/>
    <cellStyle name="Normal 5 2 3 2 2 2 5" xfId="3774" xr:uid="{00000000-0005-0000-0000-0000287E0000}"/>
    <cellStyle name="Normal 5 2 3 2 2 3" xfId="24459" xr:uid="{00000000-0005-0000-0000-0000297E0000}"/>
    <cellStyle name="Normal 5 2 3 2 2 3 2" xfId="3773" xr:uid="{00000000-0005-0000-0000-00002A7E0000}"/>
    <cellStyle name="Normal 5 2 3 2 2 3 2 2" xfId="33022" xr:uid="{00000000-0005-0000-0000-00002B7E0000}"/>
    <cellStyle name="Normal 5 2 3 2 2 3 2 2 2" xfId="3772" xr:uid="{00000000-0005-0000-0000-00002C7E0000}"/>
    <cellStyle name="Normal 5 2 3 2 2 3 2 3" xfId="6516" xr:uid="{00000000-0005-0000-0000-00002D7E0000}"/>
    <cellStyle name="Normal 5 2 3 2 2 3 3" xfId="3770" xr:uid="{00000000-0005-0000-0000-00002E7E0000}"/>
    <cellStyle name="Normal 5 2 3 2 2 3 3 2" xfId="3768" xr:uid="{00000000-0005-0000-0000-00002F7E0000}"/>
    <cellStyle name="Normal 5 2 3 2 2 3 4" xfId="4253" xr:uid="{00000000-0005-0000-0000-0000307E0000}"/>
    <cellStyle name="Normal 5 2 3 2 2 4" xfId="3767" xr:uid="{00000000-0005-0000-0000-0000317E0000}"/>
    <cellStyle name="Normal 5 2 3 2 2 4 2" xfId="3766" xr:uid="{00000000-0005-0000-0000-0000327E0000}"/>
    <cellStyle name="Normal 5 2 3 2 2 4 2 2" xfId="3764" xr:uid="{00000000-0005-0000-0000-0000337E0000}"/>
    <cellStyle name="Normal 5 2 3 2 2 4 3" xfId="3762" xr:uid="{00000000-0005-0000-0000-0000347E0000}"/>
    <cellStyle name="Normal 5 2 3 2 2 5" xfId="27835" xr:uid="{00000000-0005-0000-0000-0000357E0000}"/>
    <cellStyle name="Normal 5 2 3 2 2 5 2" xfId="21653" xr:uid="{00000000-0005-0000-0000-0000367E0000}"/>
    <cellStyle name="Normal 5 2 3 2 2 6" xfId="3760" xr:uid="{00000000-0005-0000-0000-0000377E0000}"/>
    <cellStyle name="Normal 5 2 3 2 3" xfId="3759" xr:uid="{00000000-0005-0000-0000-0000387E0000}"/>
    <cellStyle name="Normal 5 2 3 2 3 2" xfId="24455" xr:uid="{00000000-0005-0000-0000-0000397E0000}"/>
    <cellStyle name="Normal 5 2 3 2 3 2 2" xfId="3758" xr:uid="{00000000-0005-0000-0000-00003A7E0000}"/>
    <cellStyle name="Normal 5 2 3 2 3 2 2 2" xfId="24873" xr:uid="{00000000-0005-0000-0000-00003B7E0000}"/>
    <cellStyle name="Normal 5 2 3 2 3 2 2 2 2" xfId="3757" xr:uid="{00000000-0005-0000-0000-00003C7E0000}"/>
    <cellStyle name="Normal 5 2 3 2 3 2 2 3" xfId="26483" xr:uid="{00000000-0005-0000-0000-00003D7E0000}"/>
    <cellStyle name="Normal 5 2 3 2 3 2 3" xfId="3756" xr:uid="{00000000-0005-0000-0000-00003E7E0000}"/>
    <cellStyle name="Normal 5 2 3 2 3 2 3 2" xfId="3755" xr:uid="{00000000-0005-0000-0000-00003F7E0000}"/>
    <cellStyle name="Normal 5 2 3 2 3 2 4" xfId="3753" xr:uid="{00000000-0005-0000-0000-0000407E0000}"/>
    <cellStyle name="Normal 5 2 3 2 3 3" xfId="3752" xr:uid="{00000000-0005-0000-0000-0000417E0000}"/>
    <cellStyle name="Normal 5 2 3 2 3 3 2" xfId="3751" xr:uid="{00000000-0005-0000-0000-0000427E0000}"/>
    <cellStyle name="Normal 5 2 3 2 3 3 2 2" xfId="3750" xr:uid="{00000000-0005-0000-0000-0000437E0000}"/>
    <cellStyle name="Normal 5 2 3 2 3 3 3" xfId="3749" xr:uid="{00000000-0005-0000-0000-0000447E0000}"/>
    <cellStyle name="Normal 5 2 3 2 3 4" xfId="3748" xr:uid="{00000000-0005-0000-0000-0000457E0000}"/>
    <cellStyle name="Normal 5 2 3 2 3 4 2" xfId="3747" xr:uid="{00000000-0005-0000-0000-0000467E0000}"/>
    <cellStyle name="Normal 5 2 3 2 3 5" xfId="3745" xr:uid="{00000000-0005-0000-0000-0000477E0000}"/>
    <cellStyle name="Normal 5 2 3 2 4" xfId="3744" xr:uid="{00000000-0005-0000-0000-0000487E0000}"/>
    <cellStyle name="Normal 5 2 3 2 4 2" xfId="3743" xr:uid="{00000000-0005-0000-0000-0000497E0000}"/>
    <cellStyle name="Normal 5 2 3 2 4 2 2" xfId="27424" xr:uid="{00000000-0005-0000-0000-00004A7E0000}"/>
    <cellStyle name="Normal 5 2 3 2 4 2 2 2" xfId="3769" xr:uid="{00000000-0005-0000-0000-00004B7E0000}"/>
    <cellStyle name="Normal 5 2 3 2 4 2 3" xfId="3742" xr:uid="{00000000-0005-0000-0000-00004C7E0000}"/>
    <cellStyle name="Normal 5 2 3 2 4 3" xfId="3740" xr:uid="{00000000-0005-0000-0000-00004D7E0000}"/>
    <cellStyle name="Normal 5 2 3 2 4 3 2" xfId="3739" xr:uid="{00000000-0005-0000-0000-00004E7E0000}"/>
    <cellStyle name="Normal 5 2 3 2 4 4" xfId="34172" xr:uid="{00000000-0005-0000-0000-00004F7E0000}"/>
    <cellStyle name="Normal 5 2 3 2 5" xfId="3738" xr:uid="{00000000-0005-0000-0000-0000507E0000}"/>
    <cellStyle name="Normal 5 2 3 2 5 2" xfId="3737" xr:uid="{00000000-0005-0000-0000-0000517E0000}"/>
    <cellStyle name="Normal 5 2 3 2 5 2 2" xfId="3736" xr:uid="{00000000-0005-0000-0000-0000527E0000}"/>
    <cellStyle name="Normal 5 2 3 2 5 3" xfId="3735" xr:uid="{00000000-0005-0000-0000-0000537E0000}"/>
    <cellStyle name="Normal 5 2 3 2 6" xfId="10178" xr:uid="{00000000-0005-0000-0000-0000547E0000}"/>
    <cellStyle name="Normal 5 2 3 2 6 2" xfId="3734" xr:uid="{00000000-0005-0000-0000-0000557E0000}"/>
    <cellStyle name="Normal 5 2 3 2 7" xfId="10170" xr:uid="{00000000-0005-0000-0000-0000567E0000}"/>
    <cellStyle name="Normal 5 2 3 3" xfId="3733" xr:uid="{00000000-0005-0000-0000-0000577E0000}"/>
    <cellStyle name="Normal 5 2 3 3 2" xfId="3732" xr:uid="{00000000-0005-0000-0000-0000587E0000}"/>
    <cellStyle name="Normal 5 2 3 3 2 2" xfId="24449" xr:uid="{00000000-0005-0000-0000-0000597E0000}"/>
    <cellStyle name="Normal 5 2 3 3 2 2 2" xfId="3731" xr:uid="{00000000-0005-0000-0000-00005A7E0000}"/>
    <cellStyle name="Normal 5 2 3 3 2 2 2 2" xfId="3730" xr:uid="{00000000-0005-0000-0000-00005B7E0000}"/>
    <cellStyle name="Normal 5 2 3 3 2 2 2 2 2" xfId="3729" xr:uid="{00000000-0005-0000-0000-00005C7E0000}"/>
    <cellStyle name="Normal 5 2 3 3 2 2 2 3" xfId="28610" xr:uid="{00000000-0005-0000-0000-00005D7E0000}"/>
    <cellStyle name="Normal 5 2 3 3 2 2 3" xfId="3728" xr:uid="{00000000-0005-0000-0000-00005E7E0000}"/>
    <cellStyle name="Normal 5 2 3 3 2 2 3 2" xfId="3727" xr:uid="{00000000-0005-0000-0000-00005F7E0000}"/>
    <cellStyle name="Normal 5 2 3 3 2 2 4" xfId="4243" xr:uid="{00000000-0005-0000-0000-0000607E0000}"/>
    <cellStyle name="Normal 5 2 3 3 2 3" xfId="3726" xr:uid="{00000000-0005-0000-0000-0000617E0000}"/>
    <cellStyle name="Normal 5 2 3 3 2 3 2" xfId="3725" xr:uid="{00000000-0005-0000-0000-0000627E0000}"/>
    <cellStyle name="Normal 5 2 3 3 2 3 2 2" xfId="12819" xr:uid="{00000000-0005-0000-0000-0000637E0000}"/>
    <cellStyle name="Normal 5 2 3 3 2 3 3" xfId="3724" xr:uid="{00000000-0005-0000-0000-0000647E0000}"/>
    <cellStyle name="Normal 5 2 3 3 2 4" xfId="3723" xr:uid="{00000000-0005-0000-0000-0000657E0000}"/>
    <cellStyle name="Normal 5 2 3 3 2 4 2" xfId="3721" xr:uid="{00000000-0005-0000-0000-0000667E0000}"/>
    <cellStyle name="Normal 5 2 3 3 2 5" xfId="3718" xr:uid="{00000000-0005-0000-0000-0000677E0000}"/>
    <cellStyle name="Normal 5 2 3 3 3" xfId="3716" xr:uid="{00000000-0005-0000-0000-0000687E0000}"/>
    <cellStyle name="Normal 5 2 3 3 3 2" xfId="3715" xr:uid="{00000000-0005-0000-0000-0000697E0000}"/>
    <cellStyle name="Normal 5 2 3 3 3 2 2" xfId="3714" xr:uid="{00000000-0005-0000-0000-00006A7E0000}"/>
    <cellStyle name="Normal 5 2 3 3 3 2 2 2" xfId="3713" xr:uid="{00000000-0005-0000-0000-00006B7E0000}"/>
    <cellStyle name="Normal 5 2 3 3 3 2 3" xfId="3712" xr:uid="{00000000-0005-0000-0000-00006C7E0000}"/>
    <cellStyle name="Normal 5 2 3 3 3 3" xfId="5551" xr:uid="{00000000-0005-0000-0000-00006D7E0000}"/>
    <cellStyle name="Normal 5 2 3 3 3 3 2" xfId="5549" xr:uid="{00000000-0005-0000-0000-00006E7E0000}"/>
    <cellStyle name="Normal 5 2 3 3 3 4" xfId="26156" xr:uid="{00000000-0005-0000-0000-00006F7E0000}"/>
    <cellStyle name="Normal 5 2 3 3 4" xfId="22332" xr:uid="{00000000-0005-0000-0000-0000707E0000}"/>
    <cellStyle name="Normal 5 2 3 3 4 2" xfId="33814" xr:uid="{00000000-0005-0000-0000-0000717E0000}"/>
    <cellStyle name="Normal 5 2 3 3 4 2 2" xfId="3711" xr:uid="{00000000-0005-0000-0000-0000727E0000}"/>
    <cellStyle name="Normal 5 2 3 3 4 3" xfId="3710" xr:uid="{00000000-0005-0000-0000-0000737E0000}"/>
    <cellStyle name="Normal 5 2 3 3 5" xfId="27839" xr:uid="{00000000-0005-0000-0000-0000747E0000}"/>
    <cellStyle name="Normal 5 2 3 3 5 2" xfId="3709" xr:uid="{00000000-0005-0000-0000-0000757E0000}"/>
    <cellStyle name="Normal 5 2 3 3 6" xfId="10157" xr:uid="{00000000-0005-0000-0000-0000767E0000}"/>
    <cellStyle name="Normal 5 2 3 4" xfId="3708" xr:uid="{00000000-0005-0000-0000-0000777E0000}"/>
    <cellStyle name="Normal 5 2 3 4 2" xfId="16867" xr:uid="{00000000-0005-0000-0000-0000787E0000}"/>
    <cellStyle name="Normal 5 2 3 4 2 2" xfId="16863" xr:uid="{00000000-0005-0000-0000-0000797E0000}"/>
    <cellStyle name="Normal 5 2 3 4 2 2 2" xfId="3707" xr:uid="{00000000-0005-0000-0000-00007A7E0000}"/>
    <cellStyle name="Normal 5 2 3 4 2 2 2 2" xfId="3706" xr:uid="{00000000-0005-0000-0000-00007B7E0000}"/>
    <cellStyle name="Normal 5 2 3 4 2 2 3" xfId="31761" xr:uid="{00000000-0005-0000-0000-00007C7E0000}"/>
    <cellStyle name="Normal 5 2 3 4 2 3" xfId="3705" xr:uid="{00000000-0005-0000-0000-00007D7E0000}"/>
    <cellStyle name="Normal 5 2 3 4 2 3 2" xfId="31012" xr:uid="{00000000-0005-0000-0000-00007E7E0000}"/>
    <cellStyle name="Normal 5 2 3 4 2 4" xfId="3703" xr:uid="{00000000-0005-0000-0000-00007F7E0000}"/>
    <cellStyle name="Normal 5 2 3 4 3" xfId="16861" xr:uid="{00000000-0005-0000-0000-0000807E0000}"/>
    <cellStyle name="Normal 5 2 3 4 3 2" xfId="3701" xr:uid="{00000000-0005-0000-0000-0000817E0000}"/>
    <cellStyle name="Normal 5 2 3 4 3 2 2" xfId="3699" xr:uid="{00000000-0005-0000-0000-0000827E0000}"/>
    <cellStyle name="Normal 5 2 3 4 3 3" xfId="3697" xr:uid="{00000000-0005-0000-0000-0000837E0000}"/>
    <cellStyle name="Normal 5 2 3 4 4" xfId="27774" xr:uid="{00000000-0005-0000-0000-0000847E0000}"/>
    <cellStyle name="Normal 5 2 3 4 4 2" xfId="3695" xr:uid="{00000000-0005-0000-0000-0000857E0000}"/>
    <cellStyle name="Normal 5 2 3 4 5" xfId="3693" xr:uid="{00000000-0005-0000-0000-0000867E0000}"/>
    <cellStyle name="Normal 5 2 3 5" xfId="3692" xr:uid="{00000000-0005-0000-0000-0000877E0000}"/>
    <cellStyle name="Normal 5 2 3 5 2" xfId="33941" xr:uid="{00000000-0005-0000-0000-0000887E0000}"/>
    <cellStyle name="Normal 5 2 3 5 2 2" xfId="3691" xr:uid="{00000000-0005-0000-0000-0000897E0000}"/>
    <cellStyle name="Normal 5 2 3 5 2 2 2" xfId="3690" xr:uid="{00000000-0005-0000-0000-00008A7E0000}"/>
    <cellStyle name="Normal 5 2 3 5 2 3" xfId="17901" xr:uid="{00000000-0005-0000-0000-00008B7E0000}"/>
    <cellStyle name="Normal 5 2 3 5 3" xfId="3689" xr:uid="{00000000-0005-0000-0000-00008C7E0000}"/>
    <cellStyle name="Normal 5 2 3 5 3 2" xfId="3688" xr:uid="{00000000-0005-0000-0000-00008D7E0000}"/>
    <cellStyle name="Normal 5 2 3 5 4" xfId="3686" xr:uid="{00000000-0005-0000-0000-00008E7E0000}"/>
    <cellStyle name="Normal 5 2 3 6" xfId="3685" xr:uid="{00000000-0005-0000-0000-00008F7E0000}"/>
    <cellStyle name="Normal 5 2 3 6 2" xfId="3684" xr:uid="{00000000-0005-0000-0000-0000907E0000}"/>
    <cellStyle name="Normal 5 2 3 6 2 2" xfId="3683" xr:uid="{00000000-0005-0000-0000-0000917E0000}"/>
    <cellStyle name="Normal 5 2 3 6 3" xfId="3682" xr:uid="{00000000-0005-0000-0000-0000927E0000}"/>
    <cellStyle name="Normal 5 2 3 7" xfId="3681" xr:uid="{00000000-0005-0000-0000-0000937E0000}"/>
    <cellStyle name="Normal 5 2 3 7 2" xfId="3680" xr:uid="{00000000-0005-0000-0000-0000947E0000}"/>
    <cellStyle name="Normal 5 2 3 8" xfId="3679" xr:uid="{00000000-0005-0000-0000-0000957E0000}"/>
    <cellStyle name="Normal 5 2 4" xfId="26284" xr:uid="{00000000-0005-0000-0000-0000967E0000}"/>
    <cellStyle name="Normal 5 2 4 2" xfId="32279" xr:uid="{00000000-0005-0000-0000-0000977E0000}"/>
    <cellStyle name="Normal 5 2 4 2 2" xfId="22008" xr:uid="{00000000-0005-0000-0000-0000987E0000}"/>
    <cellStyle name="Normal 5 2 4 2 2 2" xfId="24441" xr:uid="{00000000-0005-0000-0000-0000997E0000}"/>
    <cellStyle name="Normal 5 2 4 2 2 2 2" xfId="3678" xr:uid="{00000000-0005-0000-0000-00009A7E0000}"/>
    <cellStyle name="Normal 5 2 4 2 2 2 2 2" xfId="3677" xr:uid="{00000000-0005-0000-0000-00009B7E0000}"/>
    <cellStyle name="Normal 5 2 4 2 2 2 2 2 2" xfId="7734" xr:uid="{00000000-0005-0000-0000-00009C7E0000}"/>
    <cellStyle name="Normal 5 2 4 2 2 2 2 3" xfId="32834" xr:uid="{00000000-0005-0000-0000-00009D7E0000}"/>
    <cellStyle name="Normal 5 2 4 2 2 2 3" xfId="3676" xr:uid="{00000000-0005-0000-0000-00009E7E0000}"/>
    <cellStyle name="Normal 5 2 4 2 2 2 3 2" xfId="3675" xr:uid="{00000000-0005-0000-0000-00009F7E0000}"/>
    <cellStyle name="Normal 5 2 4 2 2 2 4" xfId="18193" xr:uid="{00000000-0005-0000-0000-0000A07E0000}"/>
    <cellStyle name="Normal 5 2 4 2 2 3" xfId="26371" xr:uid="{00000000-0005-0000-0000-0000A17E0000}"/>
    <cellStyle name="Normal 5 2 4 2 2 3 2" xfId="3674" xr:uid="{00000000-0005-0000-0000-0000A27E0000}"/>
    <cellStyle name="Normal 5 2 4 2 2 3 2 2" xfId="3673" xr:uid="{00000000-0005-0000-0000-0000A37E0000}"/>
    <cellStyle name="Normal 5 2 4 2 2 3 3" xfId="14212" xr:uid="{00000000-0005-0000-0000-0000A47E0000}"/>
    <cellStyle name="Normal 5 2 4 2 2 4" xfId="25846" xr:uid="{00000000-0005-0000-0000-0000A57E0000}"/>
    <cellStyle name="Normal 5 2 4 2 2 4 2" xfId="3672" xr:uid="{00000000-0005-0000-0000-0000A67E0000}"/>
    <cellStyle name="Normal 5 2 4 2 2 5" xfId="3670" xr:uid="{00000000-0005-0000-0000-0000A77E0000}"/>
    <cellStyle name="Normal 5 2 4 2 3" xfId="31521" xr:uid="{00000000-0005-0000-0000-0000A87E0000}"/>
    <cellStyle name="Normal 5 2 4 2 3 2" xfId="28235" xr:uid="{00000000-0005-0000-0000-0000A97E0000}"/>
    <cellStyle name="Normal 5 2 4 2 3 2 2" xfId="8210" xr:uid="{00000000-0005-0000-0000-0000AA7E0000}"/>
    <cellStyle name="Normal 5 2 4 2 3 2 2 2" xfId="25381" xr:uid="{00000000-0005-0000-0000-0000AB7E0000}"/>
    <cellStyle name="Normal 5 2 4 2 3 2 3" xfId="8193" xr:uid="{00000000-0005-0000-0000-0000AC7E0000}"/>
    <cellStyle name="Normal 5 2 4 2 3 3" xfId="34132" xr:uid="{00000000-0005-0000-0000-0000AD7E0000}"/>
    <cellStyle name="Normal 5 2 4 2 3 3 2" xfId="8084" xr:uid="{00000000-0005-0000-0000-0000AE7E0000}"/>
    <cellStyle name="Normal 5 2 4 2 3 4" xfId="3669" xr:uid="{00000000-0005-0000-0000-0000AF7E0000}"/>
    <cellStyle name="Normal 5 2 4 2 4" xfId="28233" xr:uid="{00000000-0005-0000-0000-0000B07E0000}"/>
    <cellStyle name="Normal 5 2 4 2 4 2" xfId="32833" xr:uid="{00000000-0005-0000-0000-0000B17E0000}"/>
    <cellStyle name="Normal 5 2 4 2 4 2 2" xfId="16992" xr:uid="{00000000-0005-0000-0000-0000B27E0000}"/>
    <cellStyle name="Normal 5 2 4 2 4 3" xfId="7230" xr:uid="{00000000-0005-0000-0000-0000B37E0000}"/>
    <cellStyle name="Normal 5 2 4 2 5" xfId="26596" xr:uid="{00000000-0005-0000-0000-0000B47E0000}"/>
    <cellStyle name="Normal 5 2 4 2 5 2" xfId="3668" xr:uid="{00000000-0005-0000-0000-0000B57E0000}"/>
    <cellStyle name="Normal 5 2 4 2 6" xfId="10125" xr:uid="{00000000-0005-0000-0000-0000B67E0000}"/>
    <cellStyle name="Normal 5 2 4 2 6 2" xfId="3667" xr:uid="{00000000-0005-0000-0000-0000B77E0000}"/>
    <cellStyle name="Normal 5 2 4 2 7" xfId="10120" xr:uid="{00000000-0005-0000-0000-0000B87E0000}"/>
    <cellStyle name="Normal 5 2 4 3" xfId="32528" xr:uid="{00000000-0005-0000-0000-0000B97E0000}"/>
    <cellStyle name="Normal 5 2 4 3 2" xfId="28228" xr:uid="{00000000-0005-0000-0000-0000BA7E0000}"/>
    <cellStyle name="Normal 5 2 4 3 2 2" xfId="33234" xr:uid="{00000000-0005-0000-0000-0000BB7E0000}"/>
    <cellStyle name="Normal 5 2 4 3 2 2 2" xfId="3666" xr:uid="{00000000-0005-0000-0000-0000BC7E0000}"/>
    <cellStyle name="Normal 5 2 4 3 2 2 2 2" xfId="3665" xr:uid="{00000000-0005-0000-0000-0000BD7E0000}"/>
    <cellStyle name="Normal 5 2 4 3 2 2 3" xfId="3664" xr:uid="{00000000-0005-0000-0000-0000BE7E0000}"/>
    <cellStyle name="Normal 5 2 4 3 2 3" xfId="34126" xr:uid="{00000000-0005-0000-0000-0000BF7E0000}"/>
    <cellStyle name="Normal 5 2 4 3 2 3 2" xfId="3663" xr:uid="{00000000-0005-0000-0000-0000C07E0000}"/>
    <cellStyle name="Normal 5 2 4 3 2 4" xfId="3662" xr:uid="{00000000-0005-0000-0000-0000C17E0000}"/>
    <cellStyle name="Normal 5 2 4 3 3" xfId="28226" xr:uid="{00000000-0005-0000-0000-0000C27E0000}"/>
    <cellStyle name="Normal 5 2 4 3 3 2" xfId="28223" xr:uid="{00000000-0005-0000-0000-0000C37E0000}"/>
    <cellStyle name="Normal 5 2 4 3 3 2 2" xfId="32807" xr:uid="{00000000-0005-0000-0000-0000C47E0000}"/>
    <cellStyle name="Normal 5 2 4 3 3 3" xfId="3660" xr:uid="{00000000-0005-0000-0000-0000C57E0000}"/>
    <cellStyle name="Normal 5 2 4 3 4" xfId="28220" xr:uid="{00000000-0005-0000-0000-0000C67E0000}"/>
    <cellStyle name="Normal 5 2 4 3 4 2" xfId="3659" xr:uid="{00000000-0005-0000-0000-0000C77E0000}"/>
    <cellStyle name="Normal 5 2 4 3 5" xfId="27064" xr:uid="{00000000-0005-0000-0000-0000C87E0000}"/>
    <cellStyle name="Normal 5 2 4 4" xfId="28215" xr:uid="{00000000-0005-0000-0000-0000C97E0000}"/>
    <cellStyle name="Normal 5 2 4 4 2" xfId="16855" xr:uid="{00000000-0005-0000-0000-0000CA7E0000}"/>
    <cellStyle name="Normal 5 2 4 4 2 2" xfId="19927" xr:uid="{00000000-0005-0000-0000-0000CB7E0000}"/>
    <cellStyle name="Normal 5 2 4 4 2 2 2" xfId="3658" xr:uid="{00000000-0005-0000-0000-0000CC7E0000}"/>
    <cellStyle name="Normal 5 2 4 4 2 3" xfId="19924" xr:uid="{00000000-0005-0000-0000-0000CD7E0000}"/>
    <cellStyle name="Normal 5 2 4 4 3" xfId="27320" xr:uid="{00000000-0005-0000-0000-0000CE7E0000}"/>
    <cellStyle name="Normal 5 2 4 4 3 2" xfId="19919" xr:uid="{00000000-0005-0000-0000-0000CF7E0000}"/>
    <cellStyle name="Normal 5 2 4 4 4" xfId="3657" xr:uid="{00000000-0005-0000-0000-0000D07E0000}"/>
    <cellStyle name="Normal 5 2 4 5" xfId="28212" xr:uid="{00000000-0005-0000-0000-0000D17E0000}"/>
    <cellStyle name="Normal 5 2 4 5 2" xfId="27316" xr:uid="{00000000-0005-0000-0000-0000D27E0000}"/>
    <cellStyle name="Normal 5 2 4 5 2 2" xfId="30382" xr:uid="{00000000-0005-0000-0000-0000D37E0000}"/>
    <cellStyle name="Normal 5 2 4 5 3" xfId="3656" xr:uid="{00000000-0005-0000-0000-0000D47E0000}"/>
    <cellStyle name="Normal 5 2 4 6" xfId="28207" xr:uid="{00000000-0005-0000-0000-0000D57E0000}"/>
    <cellStyle name="Normal 5 2 4 6 2" xfId="3655" xr:uid="{00000000-0005-0000-0000-0000D67E0000}"/>
    <cellStyle name="Normal 5 2 4 7" xfId="3654" xr:uid="{00000000-0005-0000-0000-0000D77E0000}"/>
    <cellStyle name="Normal 5 2 4 7 2" xfId="3653" xr:uid="{00000000-0005-0000-0000-0000D87E0000}"/>
    <cellStyle name="Normal 5 2 4 8" xfId="3652" xr:uid="{00000000-0005-0000-0000-0000D97E0000}"/>
    <cellStyle name="Normal 5 2 5" xfId="26281" xr:uid="{00000000-0005-0000-0000-0000DA7E0000}"/>
    <cellStyle name="Normal 5 2 5 2" xfId="32276" xr:uid="{00000000-0005-0000-0000-0000DB7E0000}"/>
    <cellStyle name="Normal 5 2 5 2 2" xfId="27426" xr:uid="{00000000-0005-0000-0000-0000DC7E0000}"/>
    <cellStyle name="Normal 5 2 5 2 2 2" xfId="8279" xr:uid="{00000000-0005-0000-0000-0000DD7E0000}"/>
    <cellStyle name="Normal 5 2 5 2 2 2 2" xfId="8277" xr:uid="{00000000-0005-0000-0000-0000DE7E0000}"/>
    <cellStyle name="Normal 5 2 5 2 2 2 2 2" xfId="23798" xr:uid="{00000000-0005-0000-0000-0000DF7E0000}"/>
    <cellStyle name="Normal 5 2 5 2 2 2 3" xfId="8269" xr:uid="{00000000-0005-0000-0000-0000E07E0000}"/>
    <cellStyle name="Normal 5 2 5 2 2 3" xfId="8261" xr:uid="{00000000-0005-0000-0000-0000E17E0000}"/>
    <cellStyle name="Normal 5 2 5 2 2 3 2" xfId="8259" xr:uid="{00000000-0005-0000-0000-0000E27E0000}"/>
    <cellStyle name="Normal 5 2 5 2 2 4" xfId="13188" xr:uid="{00000000-0005-0000-0000-0000E37E0000}"/>
    <cellStyle name="Normal 5 2 5 2 3" xfId="26563" xr:uid="{00000000-0005-0000-0000-0000E47E0000}"/>
    <cellStyle name="Normal 5 2 5 2 3 2" xfId="8222" xr:uid="{00000000-0005-0000-0000-0000E57E0000}"/>
    <cellStyle name="Normal 5 2 5 2 3 2 2" xfId="8220" xr:uid="{00000000-0005-0000-0000-0000E67E0000}"/>
    <cellStyle name="Normal 5 2 5 2 3 3" xfId="8214" xr:uid="{00000000-0005-0000-0000-0000E77E0000}"/>
    <cellStyle name="Normal 5 2 5 2 4" xfId="25803" xr:uid="{00000000-0005-0000-0000-0000E87E0000}"/>
    <cellStyle name="Normal 5 2 5 2 4 2" xfId="8197" xr:uid="{00000000-0005-0000-0000-0000E97E0000}"/>
    <cellStyle name="Normal 5 2 5 2 5" xfId="3651" xr:uid="{00000000-0005-0000-0000-0000EA7E0000}"/>
    <cellStyle name="Normal 5 2 5 2 5 2" xfId="8183" xr:uid="{00000000-0005-0000-0000-0000EB7E0000}"/>
    <cellStyle name="Normal 5 2 5 2 6" xfId="10102" xr:uid="{00000000-0005-0000-0000-0000EC7E0000}"/>
    <cellStyle name="Normal 5 2 5 2 6 2" xfId="8170" xr:uid="{00000000-0005-0000-0000-0000ED7E0000}"/>
    <cellStyle name="Normal 5 2 5 2 7" xfId="10098" xr:uid="{00000000-0005-0000-0000-0000EE7E0000}"/>
    <cellStyle name="Normal 5 2 5 3" xfId="28193" xr:uid="{00000000-0005-0000-0000-0000EF7E0000}"/>
    <cellStyle name="Normal 5 2 5 3 2" xfId="28191" xr:uid="{00000000-0005-0000-0000-0000F07E0000}"/>
    <cellStyle name="Normal 5 2 5 3 2 2" xfId="8114" xr:uid="{00000000-0005-0000-0000-0000F17E0000}"/>
    <cellStyle name="Normal 5 2 5 3 2 2 2" xfId="8112" xr:uid="{00000000-0005-0000-0000-0000F27E0000}"/>
    <cellStyle name="Normal 5 2 5 3 2 3" xfId="8105" xr:uid="{00000000-0005-0000-0000-0000F37E0000}"/>
    <cellStyle name="Normal 5 2 5 3 3" xfId="25797" xr:uid="{00000000-0005-0000-0000-0000F47E0000}"/>
    <cellStyle name="Normal 5 2 5 3 3 2" xfId="31914" xr:uid="{00000000-0005-0000-0000-0000F57E0000}"/>
    <cellStyle name="Normal 5 2 5 3 4" xfId="3650" xr:uid="{00000000-0005-0000-0000-0000F67E0000}"/>
    <cellStyle name="Normal 5 2 5 4" xfId="27304" xr:uid="{00000000-0005-0000-0000-0000F77E0000}"/>
    <cellStyle name="Normal 5 2 5 4 2" xfId="27301" xr:uid="{00000000-0005-0000-0000-0000F87E0000}"/>
    <cellStyle name="Normal 5 2 5 4 2 2" xfId="11815" xr:uid="{00000000-0005-0000-0000-0000F97E0000}"/>
    <cellStyle name="Normal 5 2 5 4 3" xfId="3649" xr:uid="{00000000-0005-0000-0000-0000FA7E0000}"/>
    <cellStyle name="Normal 5 2 5 5" xfId="27298" xr:uid="{00000000-0005-0000-0000-0000FB7E0000}"/>
    <cellStyle name="Normal 5 2 5 5 2" xfId="3648" xr:uid="{00000000-0005-0000-0000-0000FC7E0000}"/>
    <cellStyle name="Normal 5 2 5 6" xfId="3647" xr:uid="{00000000-0005-0000-0000-0000FD7E0000}"/>
    <cellStyle name="Normal 5 2 5 6 2" xfId="3646" xr:uid="{00000000-0005-0000-0000-0000FE7E0000}"/>
    <cellStyle name="Normal 5 2 5 7" xfId="3645" xr:uid="{00000000-0005-0000-0000-0000FF7E0000}"/>
    <cellStyle name="Normal 5 2 5 7 2" xfId="3644" xr:uid="{00000000-0005-0000-0000-0000007F0000}"/>
    <cellStyle name="Normal 5 2 5 8" xfId="3643" xr:uid="{00000000-0005-0000-0000-0000017F0000}"/>
    <cellStyle name="Normal 5 2 6" xfId="20470" xr:uid="{00000000-0005-0000-0000-0000027F0000}"/>
    <cellStyle name="Normal 5 2 6 2" xfId="32736" xr:uid="{00000000-0005-0000-0000-0000037F0000}"/>
    <cellStyle name="Normal 5 2 6 2 2" xfId="32687" xr:uid="{00000000-0005-0000-0000-0000047F0000}"/>
    <cellStyle name="Normal 5 2 6 2 2 2" xfId="7674" xr:uid="{00000000-0005-0000-0000-0000057F0000}"/>
    <cellStyle name="Normal 5 2 6 2 2 2 2" xfId="19888" xr:uid="{00000000-0005-0000-0000-0000067F0000}"/>
    <cellStyle name="Normal 5 2 6 2 2 3" xfId="7671" xr:uid="{00000000-0005-0000-0000-0000077F0000}"/>
    <cellStyle name="Normal 5 2 6 2 3" xfId="29728" xr:uid="{00000000-0005-0000-0000-0000087F0000}"/>
    <cellStyle name="Normal 5 2 6 2 3 2" xfId="7663" xr:uid="{00000000-0005-0000-0000-0000097F0000}"/>
    <cellStyle name="Normal 5 2 6 2 4" xfId="18002" xr:uid="{00000000-0005-0000-0000-00000A7F0000}"/>
    <cellStyle name="Normal 5 2 6 2 4 2" xfId="7656" xr:uid="{00000000-0005-0000-0000-00000B7F0000}"/>
    <cellStyle name="Normal 5 2 6 2 5" xfId="18000" xr:uid="{00000000-0005-0000-0000-00000C7F0000}"/>
    <cellStyle name="Normal 5 2 6 2 5 2" xfId="7652" xr:uid="{00000000-0005-0000-0000-00000D7F0000}"/>
    <cellStyle name="Normal 5 2 6 2 6" xfId="33495" xr:uid="{00000000-0005-0000-0000-00000E7F0000}"/>
    <cellStyle name="Normal 5 2 6 2 6 2" xfId="3642" xr:uid="{00000000-0005-0000-0000-00000F7F0000}"/>
    <cellStyle name="Normal 5 2 6 2 7" xfId="3641" xr:uid="{00000000-0005-0000-0000-0000107F0000}"/>
    <cellStyle name="Normal 5 2 6 3" xfId="32114" xr:uid="{00000000-0005-0000-0000-0000117F0000}"/>
    <cellStyle name="Normal 5 2 6 3 2" xfId="32777" xr:uid="{00000000-0005-0000-0000-0000127F0000}"/>
    <cellStyle name="Normal 5 2 6 3 2 2" xfId="21907" xr:uid="{00000000-0005-0000-0000-0000137F0000}"/>
    <cellStyle name="Normal 5 2 6 3 3" xfId="3640" xr:uid="{00000000-0005-0000-0000-0000147F0000}"/>
    <cellStyle name="Normal 5 2 6 4" xfId="27287" xr:uid="{00000000-0005-0000-0000-0000157F0000}"/>
    <cellStyle name="Normal 5 2 6 4 2" xfId="3639" xr:uid="{00000000-0005-0000-0000-0000167F0000}"/>
    <cellStyle name="Normal 5 2 6 5" xfId="3638" xr:uid="{00000000-0005-0000-0000-0000177F0000}"/>
    <cellStyle name="Normal 5 2 6 5 2" xfId="22069" xr:uid="{00000000-0005-0000-0000-0000187F0000}"/>
    <cellStyle name="Normal 5 2 6 6" xfId="3637" xr:uid="{00000000-0005-0000-0000-0000197F0000}"/>
    <cellStyle name="Normal 5 2 6 6 2" xfId="8205" xr:uid="{00000000-0005-0000-0000-00001A7F0000}"/>
    <cellStyle name="Normal 5 2 6 7" xfId="3636" xr:uid="{00000000-0005-0000-0000-00001B7F0000}"/>
    <cellStyle name="Normal 5 2 6 7 2" xfId="3635" xr:uid="{00000000-0005-0000-0000-00001C7F0000}"/>
    <cellStyle name="Normal 5 2 6 8" xfId="3634" xr:uid="{00000000-0005-0000-0000-00001D7F0000}"/>
    <cellStyle name="Normal 5 2 7" xfId="13400" xr:uid="{00000000-0005-0000-0000-00001E7F0000}"/>
    <cellStyle name="Normal 5 2 7 2" xfId="32727" xr:uid="{00000000-0005-0000-0000-00001F7F0000}"/>
    <cellStyle name="Normal 5 2 7 2 2" xfId="22011" xr:uid="{00000000-0005-0000-0000-0000207F0000}"/>
    <cellStyle name="Normal 5 2 7 2 2 2" xfId="10005" xr:uid="{00000000-0005-0000-0000-0000217F0000}"/>
    <cellStyle name="Normal 5 2 7 2 3" xfId="3633" xr:uid="{00000000-0005-0000-0000-0000227F0000}"/>
    <cellStyle name="Normal 5 2 7 2 3 2" xfId="9988" xr:uid="{00000000-0005-0000-0000-0000237F0000}"/>
    <cellStyle name="Normal 5 2 7 2 4" xfId="3632" xr:uid="{00000000-0005-0000-0000-0000247F0000}"/>
    <cellStyle name="Normal 5 2 7 2 4 2" xfId="9980" xr:uid="{00000000-0005-0000-0000-0000257F0000}"/>
    <cellStyle name="Normal 5 2 7 2 5" xfId="3631" xr:uid="{00000000-0005-0000-0000-0000267F0000}"/>
    <cellStyle name="Normal 5 2 7 2 5 2" xfId="3630" xr:uid="{00000000-0005-0000-0000-0000277F0000}"/>
    <cellStyle name="Normal 5 2 7 2 6" xfId="3629" xr:uid="{00000000-0005-0000-0000-0000287F0000}"/>
    <cellStyle name="Normal 5 2 7 2 6 2" xfId="3628" xr:uid="{00000000-0005-0000-0000-0000297F0000}"/>
    <cellStyle name="Normal 5 2 7 2 7" xfId="3627" xr:uid="{00000000-0005-0000-0000-00002A7F0000}"/>
    <cellStyle name="Normal 5 2 7 3" xfId="33630" xr:uid="{00000000-0005-0000-0000-00002B7F0000}"/>
    <cellStyle name="Normal 5 2 7 3 2" xfId="3626" xr:uid="{00000000-0005-0000-0000-00002C7F0000}"/>
    <cellStyle name="Normal 5 2 7 4" xfId="33982" xr:uid="{00000000-0005-0000-0000-00002D7F0000}"/>
    <cellStyle name="Normal 5 2 7 4 2" xfId="3625" xr:uid="{00000000-0005-0000-0000-00002E7F0000}"/>
    <cellStyle name="Normal 5 2 7 5" xfId="3623" xr:uid="{00000000-0005-0000-0000-00002F7F0000}"/>
    <cellStyle name="Normal 5 2 7 5 2" xfId="22061" xr:uid="{00000000-0005-0000-0000-0000307F0000}"/>
    <cellStyle name="Normal 5 2 7 6" xfId="3621" xr:uid="{00000000-0005-0000-0000-0000317F0000}"/>
    <cellStyle name="Normal 5 2 7 6 2" xfId="3619" xr:uid="{00000000-0005-0000-0000-0000327F0000}"/>
    <cellStyle name="Normal 5 2 7 7" xfId="3617" xr:uid="{00000000-0005-0000-0000-0000337F0000}"/>
    <cellStyle name="Normal 5 2 7 7 2" xfId="3615" xr:uid="{00000000-0005-0000-0000-0000347F0000}"/>
    <cellStyle name="Normal 5 2 7 8" xfId="3613" xr:uid="{00000000-0005-0000-0000-0000357F0000}"/>
    <cellStyle name="Normal 5 2 8" xfId="33313" xr:uid="{00000000-0005-0000-0000-0000367F0000}"/>
    <cellStyle name="Normal 5 2 8 2" xfId="33128" xr:uid="{00000000-0005-0000-0000-0000377F0000}"/>
    <cellStyle name="Normal 5 2 8 2 2" xfId="3611" xr:uid="{00000000-0005-0000-0000-0000387F0000}"/>
    <cellStyle name="Normal 5 2 8 2 2 2" xfId="9737" xr:uid="{00000000-0005-0000-0000-0000397F0000}"/>
    <cellStyle name="Normal 5 2 8 2 3" xfId="3610" xr:uid="{00000000-0005-0000-0000-00003A7F0000}"/>
    <cellStyle name="Normal 5 2 8 2 3 2" xfId="9727" xr:uid="{00000000-0005-0000-0000-00003B7F0000}"/>
    <cellStyle name="Normal 5 2 8 2 4" xfId="3609" xr:uid="{00000000-0005-0000-0000-00003C7F0000}"/>
    <cellStyle name="Normal 5 2 8 2 4 2" xfId="3608" xr:uid="{00000000-0005-0000-0000-00003D7F0000}"/>
    <cellStyle name="Normal 5 2 8 2 5" xfId="3607" xr:uid="{00000000-0005-0000-0000-00003E7F0000}"/>
    <cellStyle name="Normal 5 2 8 2 5 2" xfId="3606" xr:uid="{00000000-0005-0000-0000-00003F7F0000}"/>
    <cellStyle name="Normal 5 2 8 2 6" xfId="8052" xr:uid="{00000000-0005-0000-0000-0000407F0000}"/>
    <cellStyle name="Normal 5 2 8 2 6 2" xfId="25377" xr:uid="{00000000-0005-0000-0000-0000417F0000}"/>
    <cellStyle name="Normal 5 2 8 2 7" xfId="15651" xr:uid="{00000000-0005-0000-0000-0000427F0000}"/>
    <cellStyle name="Normal 5 2 8 3" xfId="3605" xr:uid="{00000000-0005-0000-0000-0000437F0000}"/>
    <cellStyle name="Normal 5 2 8 3 2" xfId="3604" xr:uid="{00000000-0005-0000-0000-0000447F0000}"/>
    <cellStyle name="Normal 5 2 8 4" xfId="3603" xr:uid="{00000000-0005-0000-0000-0000457F0000}"/>
    <cellStyle name="Normal 5 2 8 4 2" xfId="3601" xr:uid="{00000000-0005-0000-0000-0000467F0000}"/>
    <cellStyle name="Normal 5 2 8 5" xfId="3599" xr:uid="{00000000-0005-0000-0000-0000477F0000}"/>
    <cellStyle name="Normal 5 2 8 5 2" xfId="3597" xr:uid="{00000000-0005-0000-0000-0000487F0000}"/>
    <cellStyle name="Normal 5 2 8 6" xfId="3595" xr:uid="{00000000-0005-0000-0000-0000497F0000}"/>
    <cellStyle name="Normal 5 2 8 6 2" xfId="3593" xr:uid="{00000000-0005-0000-0000-00004A7F0000}"/>
    <cellStyle name="Normal 5 2 8 7" xfId="3591" xr:uid="{00000000-0005-0000-0000-00004B7F0000}"/>
    <cellStyle name="Normal 5 2 8 7 2" xfId="3589" xr:uid="{00000000-0005-0000-0000-00004C7F0000}"/>
    <cellStyle name="Normal 5 2 8 8" xfId="3588" xr:uid="{00000000-0005-0000-0000-00004D7F0000}"/>
    <cellStyle name="Normal 5 2 9" xfId="33126" xr:uid="{00000000-0005-0000-0000-00004E7F0000}"/>
    <cellStyle name="Normal 5 2 9 2" xfId="3587" xr:uid="{00000000-0005-0000-0000-00004F7F0000}"/>
    <cellStyle name="Normal 5 2 9 2 2" xfId="22551" xr:uid="{00000000-0005-0000-0000-0000507F0000}"/>
    <cellStyle name="Normal 5 2 9 2 2 2" xfId="9610" xr:uid="{00000000-0005-0000-0000-0000517F0000}"/>
    <cellStyle name="Normal 5 2 9 2 3" xfId="3586" xr:uid="{00000000-0005-0000-0000-0000527F0000}"/>
    <cellStyle name="Normal 5 2 9 2 3 2" xfId="15978" xr:uid="{00000000-0005-0000-0000-0000537F0000}"/>
    <cellStyle name="Normal 5 2 9 2 4" xfId="3585" xr:uid="{00000000-0005-0000-0000-0000547F0000}"/>
    <cellStyle name="Normal 5 2 9 2 4 2" xfId="15950" xr:uid="{00000000-0005-0000-0000-0000557F0000}"/>
    <cellStyle name="Normal 5 2 9 2 5" xfId="3584" xr:uid="{00000000-0005-0000-0000-0000567F0000}"/>
    <cellStyle name="Normal 5 2 9 2 5 2" xfId="33961" xr:uid="{00000000-0005-0000-0000-0000577F0000}"/>
    <cellStyle name="Normal 5 2 9 2 6" xfId="3583" xr:uid="{00000000-0005-0000-0000-0000587F0000}"/>
    <cellStyle name="Normal 5 2 9 2 6 2" xfId="3582" xr:uid="{00000000-0005-0000-0000-0000597F0000}"/>
    <cellStyle name="Normal 5 2 9 2 7" xfId="3581" xr:uid="{00000000-0005-0000-0000-00005A7F0000}"/>
    <cellStyle name="Normal 5 2 9 3" xfId="3580" xr:uid="{00000000-0005-0000-0000-00005B7F0000}"/>
    <cellStyle name="Normal 5 2 9 3 2" xfId="3579" xr:uid="{00000000-0005-0000-0000-00005C7F0000}"/>
    <cellStyle name="Normal 5 2 9 4" xfId="3578" xr:uid="{00000000-0005-0000-0000-00005D7F0000}"/>
    <cellStyle name="Normal 5 2 9 4 2" xfId="3576" xr:uid="{00000000-0005-0000-0000-00005E7F0000}"/>
    <cellStyle name="Normal 5 2 9 5" xfId="3574" xr:uid="{00000000-0005-0000-0000-00005F7F0000}"/>
    <cellStyle name="Normal 5 2 9 5 2" xfId="3572" xr:uid="{00000000-0005-0000-0000-0000607F0000}"/>
    <cellStyle name="Normal 5 2 9 6" xfId="30061" xr:uid="{00000000-0005-0000-0000-0000617F0000}"/>
    <cellStyle name="Normal 5 2 9 6 2" xfId="3570" xr:uid="{00000000-0005-0000-0000-0000627F0000}"/>
    <cellStyle name="Normal 5 2 9 7" xfId="3569" xr:uid="{00000000-0005-0000-0000-0000637F0000}"/>
    <cellStyle name="Normal 5 2 9 7 2" xfId="3568" xr:uid="{00000000-0005-0000-0000-0000647F0000}"/>
    <cellStyle name="Normal 5 2 9 8" xfId="3567" xr:uid="{00000000-0005-0000-0000-0000657F0000}"/>
    <cellStyle name="Normal 5 20" xfId="4041" xr:uid="{00000000-0005-0000-0000-0000667F0000}"/>
    <cellStyle name="Normal 5 20 2" xfId="11594" xr:uid="{00000000-0005-0000-0000-0000677F0000}"/>
    <cellStyle name="Normal 5 21" xfId="31738" xr:uid="{00000000-0005-0000-0000-0000687F0000}"/>
    <cellStyle name="Normal 5 21 2" xfId="4030" xr:uid="{00000000-0005-0000-0000-0000697F0000}"/>
    <cellStyle name="Normal 5 22" xfId="4019" xr:uid="{00000000-0005-0000-0000-00006A7F0000}"/>
    <cellStyle name="Normal 5 23" xfId="34428" xr:uid="{00000000-0005-0000-0000-00006B7F0000}"/>
    <cellStyle name="Normal 5 3" xfId="238" xr:uid="{00000000-0005-0000-0000-00006C7F0000}"/>
    <cellStyle name="Normal 5 3 10" xfId="34561" xr:uid="{00000000-0005-0000-0000-00006D7F0000}"/>
    <cellStyle name="Normal 5 3 2" xfId="3566" xr:uid="{00000000-0005-0000-0000-00006E7F0000}"/>
    <cellStyle name="Normal 5 3 2 2" xfId="3565" xr:uid="{00000000-0005-0000-0000-00006F7F0000}"/>
    <cellStyle name="Normal 5 3 2 2 2" xfId="5272" xr:uid="{00000000-0005-0000-0000-0000707F0000}"/>
    <cellStyle name="Normal 5 3 2 2 2 2" xfId="24067" xr:uid="{00000000-0005-0000-0000-0000717F0000}"/>
    <cellStyle name="Normal 5 3 2 2 2 2 2" xfId="3564" xr:uid="{00000000-0005-0000-0000-0000727F0000}"/>
    <cellStyle name="Normal 5 3 2 2 2 2 2 2" xfId="29936" xr:uid="{00000000-0005-0000-0000-0000737F0000}"/>
    <cellStyle name="Normal 5 3 2 2 2 2 2 2 2" xfId="26311" xr:uid="{00000000-0005-0000-0000-0000747F0000}"/>
    <cellStyle name="Normal 5 3 2 2 2 2 2 2 2 2" xfId="3563" xr:uid="{00000000-0005-0000-0000-0000757F0000}"/>
    <cellStyle name="Normal 5 3 2 2 2 2 2 2 3" xfId="20158" xr:uid="{00000000-0005-0000-0000-0000767F0000}"/>
    <cellStyle name="Normal 5 3 2 2 2 2 2 3" xfId="20145" xr:uid="{00000000-0005-0000-0000-0000777F0000}"/>
    <cellStyle name="Normal 5 3 2 2 2 2 2 3 2" xfId="20143" xr:uid="{00000000-0005-0000-0000-0000787F0000}"/>
    <cellStyle name="Normal 5 3 2 2 2 2 2 4" xfId="20124" xr:uid="{00000000-0005-0000-0000-0000797F0000}"/>
    <cellStyle name="Normal 5 3 2 2 2 2 3" xfId="14219" xr:uid="{00000000-0005-0000-0000-00007A7F0000}"/>
    <cellStyle name="Normal 5 3 2 2 2 2 3 2" xfId="9721" xr:uid="{00000000-0005-0000-0000-00007B7F0000}"/>
    <cellStyle name="Normal 5 3 2 2 2 2 3 2 2" xfId="9718" xr:uid="{00000000-0005-0000-0000-00007C7F0000}"/>
    <cellStyle name="Normal 5 3 2 2 2 2 3 3" xfId="9709" xr:uid="{00000000-0005-0000-0000-00007D7F0000}"/>
    <cellStyle name="Normal 5 3 2 2 2 2 4" xfId="9703" xr:uid="{00000000-0005-0000-0000-00007E7F0000}"/>
    <cellStyle name="Normal 5 3 2 2 2 2 4 2" xfId="9701" xr:uid="{00000000-0005-0000-0000-00007F7F0000}"/>
    <cellStyle name="Normal 5 3 2 2 2 2 5" xfId="9695" xr:uid="{00000000-0005-0000-0000-0000807F0000}"/>
    <cellStyle name="Normal 5 3 2 2 2 3" xfId="31501" xr:uid="{00000000-0005-0000-0000-0000817F0000}"/>
    <cellStyle name="Normal 5 3 2 2 2 3 2" xfId="3562" xr:uid="{00000000-0005-0000-0000-0000827F0000}"/>
    <cellStyle name="Normal 5 3 2 2 2 3 2 2" xfId="3561" xr:uid="{00000000-0005-0000-0000-0000837F0000}"/>
    <cellStyle name="Normal 5 3 2 2 2 3 2 2 2" xfId="3560" xr:uid="{00000000-0005-0000-0000-0000847F0000}"/>
    <cellStyle name="Normal 5 3 2 2 2 3 2 3" xfId="21991" xr:uid="{00000000-0005-0000-0000-0000857F0000}"/>
    <cellStyle name="Normal 5 3 2 2 2 3 3" xfId="12311" xr:uid="{00000000-0005-0000-0000-0000867F0000}"/>
    <cellStyle name="Normal 5 3 2 2 2 3 3 2" xfId="9690" xr:uid="{00000000-0005-0000-0000-0000877F0000}"/>
    <cellStyle name="Normal 5 3 2 2 2 3 4" xfId="9684" xr:uid="{00000000-0005-0000-0000-0000887F0000}"/>
    <cellStyle name="Normal 5 3 2 2 2 4" xfId="3559" xr:uid="{00000000-0005-0000-0000-0000897F0000}"/>
    <cellStyle name="Normal 5 3 2 2 2 4 2" xfId="3558" xr:uid="{00000000-0005-0000-0000-00008A7F0000}"/>
    <cellStyle name="Normal 5 3 2 2 2 4 2 2" xfId="23703" xr:uid="{00000000-0005-0000-0000-00008B7F0000}"/>
    <cellStyle name="Normal 5 3 2 2 2 4 3" xfId="9679" xr:uid="{00000000-0005-0000-0000-00008C7F0000}"/>
    <cellStyle name="Normal 5 3 2 2 2 5" xfId="3556" xr:uid="{00000000-0005-0000-0000-00008D7F0000}"/>
    <cellStyle name="Normal 5 3 2 2 2 5 2" xfId="3555" xr:uid="{00000000-0005-0000-0000-00008E7F0000}"/>
    <cellStyle name="Normal 5 3 2 2 2 6" xfId="3554" xr:uid="{00000000-0005-0000-0000-00008F7F0000}"/>
    <cellStyle name="Normal 5 3 2 2 3" xfId="3553" xr:uid="{00000000-0005-0000-0000-0000907F0000}"/>
    <cellStyle name="Normal 5 3 2 2 3 2" xfId="24422" xr:uid="{00000000-0005-0000-0000-0000917F0000}"/>
    <cellStyle name="Normal 5 3 2 2 3 2 2" xfId="3552" xr:uid="{00000000-0005-0000-0000-0000927F0000}"/>
    <cellStyle name="Normal 5 3 2 2 3 2 2 2" xfId="10200" xr:uid="{00000000-0005-0000-0000-0000937F0000}"/>
    <cellStyle name="Normal 5 3 2 2 3 2 2 2 2" xfId="3551" xr:uid="{00000000-0005-0000-0000-0000947F0000}"/>
    <cellStyle name="Normal 5 3 2 2 3 2 2 3" xfId="25302" xr:uid="{00000000-0005-0000-0000-0000957F0000}"/>
    <cellStyle name="Normal 5 3 2 2 3 2 3" xfId="27779" xr:uid="{00000000-0005-0000-0000-0000967F0000}"/>
    <cellStyle name="Normal 5 3 2 2 3 2 3 2" xfId="27765" xr:uid="{00000000-0005-0000-0000-0000977F0000}"/>
    <cellStyle name="Normal 5 3 2 2 3 2 4" xfId="28348" xr:uid="{00000000-0005-0000-0000-0000987F0000}"/>
    <cellStyle name="Normal 5 3 2 2 3 3" xfId="30435" xr:uid="{00000000-0005-0000-0000-0000997F0000}"/>
    <cellStyle name="Normal 5 3 2 2 3 3 2" xfId="4336" xr:uid="{00000000-0005-0000-0000-00009A7F0000}"/>
    <cellStyle name="Normal 5 3 2 2 3 3 2 2" xfId="3550" xr:uid="{00000000-0005-0000-0000-00009B7F0000}"/>
    <cellStyle name="Normal 5 3 2 2 3 3 3" xfId="27731" xr:uid="{00000000-0005-0000-0000-00009C7F0000}"/>
    <cellStyle name="Normal 5 3 2 2 3 4" xfId="3549" xr:uid="{00000000-0005-0000-0000-00009D7F0000}"/>
    <cellStyle name="Normal 5 3 2 2 3 4 2" xfId="3548" xr:uid="{00000000-0005-0000-0000-00009E7F0000}"/>
    <cellStyle name="Normal 5 3 2 2 3 5" xfId="3547" xr:uid="{00000000-0005-0000-0000-00009F7F0000}"/>
    <cellStyle name="Normal 5 3 2 2 4" xfId="9051" xr:uid="{00000000-0005-0000-0000-0000A07F0000}"/>
    <cellStyle name="Normal 5 3 2 2 4 2" xfId="9046" xr:uid="{00000000-0005-0000-0000-0000A17F0000}"/>
    <cellStyle name="Normal 5 3 2 2 4 2 2" xfId="20927" xr:uid="{00000000-0005-0000-0000-0000A27F0000}"/>
    <cellStyle name="Normal 5 3 2 2 4 2 2 2" xfId="3546" xr:uid="{00000000-0005-0000-0000-0000A37F0000}"/>
    <cellStyle name="Normal 5 3 2 2 4 2 3" xfId="19961" xr:uid="{00000000-0005-0000-0000-0000A47F0000}"/>
    <cellStyle name="Normal 5 3 2 2 4 3" xfId="10336" xr:uid="{00000000-0005-0000-0000-0000A57F0000}"/>
    <cellStyle name="Normal 5 3 2 2 4 3 2" xfId="32780" xr:uid="{00000000-0005-0000-0000-0000A67F0000}"/>
    <cellStyle name="Normal 5 3 2 2 4 4" xfId="3545" xr:uid="{00000000-0005-0000-0000-0000A77F0000}"/>
    <cellStyle name="Normal 5 3 2 2 5" xfId="31113" xr:uid="{00000000-0005-0000-0000-0000A87F0000}"/>
    <cellStyle name="Normal 5 3 2 2 5 2" xfId="32487" xr:uid="{00000000-0005-0000-0000-0000A97F0000}"/>
    <cellStyle name="Normal 5 3 2 2 5 2 2" xfId="30762" xr:uid="{00000000-0005-0000-0000-0000AA7F0000}"/>
    <cellStyle name="Normal 5 3 2 2 5 3" xfId="3544" xr:uid="{00000000-0005-0000-0000-0000AB7F0000}"/>
    <cellStyle name="Normal 5 3 2 2 6" xfId="5367" xr:uid="{00000000-0005-0000-0000-0000AC7F0000}"/>
    <cellStyle name="Normal 5 3 2 2 6 2" xfId="3543" xr:uid="{00000000-0005-0000-0000-0000AD7F0000}"/>
    <cellStyle name="Normal 5 3 2 2 7" xfId="10063" xr:uid="{00000000-0005-0000-0000-0000AE7F0000}"/>
    <cellStyle name="Normal 5 3 2 3" xfId="3542" xr:uid="{00000000-0005-0000-0000-0000AF7F0000}"/>
    <cellStyle name="Normal 5 3 2 3 2" xfId="3541" xr:uid="{00000000-0005-0000-0000-0000B07F0000}"/>
    <cellStyle name="Normal 5 3 2 3 2 2" xfId="24417" xr:uid="{00000000-0005-0000-0000-0000B17F0000}"/>
    <cellStyle name="Normal 5 3 2 3 2 2 2" xfId="3540" xr:uid="{00000000-0005-0000-0000-0000B27F0000}"/>
    <cellStyle name="Normal 5 3 2 3 2 2 2 2" xfId="3539" xr:uid="{00000000-0005-0000-0000-0000B37F0000}"/>
    <cellStyle name="Normal 5 3 2 3 2 2 2 2 2" xfId="3538" xr:uid="{00000000-0005-0000-0000-0000B47F0000}"/>
    <cellStyle name="Normal 5 3 2 3 2 2 2 3" xfId="22498" xr:uid="{00000000-0005-0000-0000-0000B57F0000}"/>
    <cellStyle name="Normal 5 3 2 3 2 2 3" xfId="9410" xr:uid="{00000000-0005-0000-0000-0000B67F0000}"/>
    <cellStyle name="Normal 5 3 2 3 2 2 3 2" xfId="9408" xr:uid="{00000000-0005-0000-0000-0000B77F0000}"/>
    <cellStyle name="Normal 5 3 2 3 2 2 4" xfId="11166" xr:uid="{00000000-0005-0000-0000-0000B87F0000}"/>
    <cellStyle name="Normal 5 3 2 3 2 3" xfId="3537" xr:uid="{00000000-0005-0000-0000-0000B97F0000}"/>
    <cellStyle name="Normal 5 3 2 3 2 3 2" xfId="3536" xr:uid="{00000000-0005-0000-0000-0000BA7F0000}"/>
    <cellStyle name="Normal 5 3 2 3 2 3 2 2" xfId="3535" xr:uid="{00000000-0005-0000-0000-0000BB7F0000}"/>
    <cellStyle name="Normal 5 3 2 3 2 3 3" xfId="9403" xr:uid="{00000000-0005-0000-0000-0000BC7F0000}"/>
    <cellStyle name="Normal 5 3 2 3 2 4" xfId="3534" xr:uid="{00000000-0005-0000-0000-0000BD7F0000}"/>
    <cellStyle name="Normal 5 3 2 3 2 4 2" xfId="3533" xr:uid="{00000000-0005-0000-0000-0000BE7F0000}"/>
    <cellStyle name="Normal 5 3 2 3 2 5" xfId="6358" xr:uid="{00000000-0005-0000-0000-0000BF7F0000}"/>
    <cellStyle name="Normal 5 3 2 3 3" xfId="3532" xr:uid="{00000000-0005-0000-0000-0000C07F0000}"/>
    <cellStyle name="Normal 5 3 2 3 3 2" xfId="3531" xr:uid="{00000000-0005-0000-0000-0000C17F0000}"/>
    <cellStyle name="Normal 5 3 2 3 3 2 2" xfId="3530" xr:uid="{00000000-0005-0000-0000-0000C27F0000}"/>
    <cellStyle name="Normal 5 3 2 3 3 2 2 2" xfId="32053" xr:uid="{00000000-0005-0000-0000-0000C37F0000}"/>
    <cellStyle name="Normal 5 3 2 3 3 2 3" xfId="28064" xr:uid="{00000000-0005-0000-0000-0000C47F0000}"/>
    <cellStyle name="Normal 5 3 2 3 3 3" xfId="3529" xr:uid="{00000000-0005-0000-0000-0000C57F0000}"/>
    <cellStyle name="Normal 5 3 2 3 3 3 2" xfId="3528" xr:uid="{00000000-0005-0000-0000-0000C67F0000}"/>
    <cellStyle name="Normal 5 3 2 3 3 4" xfId="3527" xr:uid="{00000000-0005-0000-0000-0000C77F0000}"/>
    <cellStyle name="Normal 5 3 2 3 4" xfId="9037" xr:uid="{00000000-0005-0000-0000-0000C87F0000}"/>
    <cellStyle name="Normal 5 3 2 3 4 2" xfId="6118" xr:uid="{00000000-0005-0000-0000-0000C97F0000}"/>
    <cellStyle name="Normal 5 3 2 3 4 2 2" xfId="28550" xr:uid="{00000000-0005-0000-0000-0000CA7F0000}"/>
    <cellStyle name="Normal 5 3 2 3 4 3" xfId="3526" xr:uid="{00000000-0005-0000-0000-0000CB7F0000}"/>
    <cellStyle name="Normal 5 3 2 3 5" xfId="5364" xr:uid="{00000000-0005-0000-0000-0000CC7F0000}"/>
    <cellStyle name="Normal 5 3 2 3 5 2" xfId="3525" xr:uid="{00000000-0005-0000-0000-0000CD7F0000}"/>
    <cellStyle name="Normal 5 3 2 3 6" xfId="25770" xr:uid="{00000000-0005-0000-0000-0000CE7F0000}"/>
    <cellStyle name="Normal 5 3 2 4" xfId="3524" xr:uid="{00000000-0005-0000-0000-0000CF7F0000}"/>
    <cellStyle name="Normal 5 3 2 4 2" xfId="18782" xr:uid="{00000000-0005-0000-0000-0000D07F0000}"/>
    <cellStyle name="Normal 5 3 2 4 2 2" xfId="3523" xr:uid="{00000000-0005-0000-0000-0000D17F0000}"/>
    <cellStyle name="Normal 5 3 2 4 2 2 2" xfId="3522" xr:uid="{00000000-0005-0000-0000-0000D27F0000}"/>
    <cellStyle name="Normal 5 3 2 4 2 2 2 2" xfId="3521" xr:uid="{00000000-0005-0000-0000-0000D37F0000}"/>
    <cellStyle name="Normal 5 3 2 4 2 2 3" xfId="14566" xr:uid="{00000000-0005-0000-0000-0000D47F0000}"/>
    <cellStyle name="Normal 5 3 2 4 2 3" xfId="3519" xr:uid="{00000000-0005-0000-0000-0000D57F0000}"/>
    <cellStyle name="Normal 5 3 2 4 2 3 2" xfId="3518" xr:uid="{00000000-0005-0000-0000-0000D67F0000}"/>
    <cellStyle name="Normal 5 3 2 4 2 4" xfId="3517" xr:uid="{00000000-0005-0000-0000-0000D77F0000}"/>
    <cellStyle name="Normal 5 3 2 4 3" xfId="3516" xr:uid="{00000000-0005-0000-0000-0000D87F0000}"/>
    <cellStyle name="Normal 5 3 2 4 3 2" xfId="3515" xr:uid="{00000000-0005-0000-0000-0000D97F0000}"/>
    <cellStyle name="Normal 5 3 2 4 3 2 2" xfId="3514" xr:uid="{00000000-0005-0000-0000-0000DA7F0000}"/>
    <cellStyle name="Normal 5 3 2 4 3 3" xfId="3513" xr:uid="{00000000-0005-0000-0000-0000DB7F0000}"/>
    <cellStyle name="Normal 5 3 2 4 4" xfId="5361" xr:uid="{00000000-0005-0000-0000-0000DC7F0000}"/>
    <cellStyle name="Normal 5 3 2 4 4 2" xfId="3512" xr:uid="{00000000-0005-0000-0000-0000DD7F0000}"/>
    <cellStyle name="Normal 5 3 2 4 5" xfId="34054" xr:uid="{00000000-0005-0000-0000-0000DE7F0000}"/>
    <cellStyle name="Normal 5 3 2 5" xfId="3511" xr:uid="{00000000-0005-0000-0000-0000DF7F0000}"/>
    <cellStyle name="Normal 5 3 2 5 2" xfId="3510" xr:uid="{00000000-0005-0000-0000-0000E07F0000}"/>
    <cellStyle name="Normal 5 3 2 5 2 2" xfId="3509" xr:uid="{00000000-0005-0000-0000-0000E17F0000}"/>
    <cellStyle name="Normal 5 3 2 5 2 2 2" xfId="3508" xr:uid="{00000000-0005-0000-0000-0000E27F0000}"/>
    <cellStyle name="Normal 5 3 2 5 2 3" xfId="17852" xr:uid="{00000000-0005-0000-0000-0000E37F0000}"/>
    <cellStyle name="Normal 5 3 2 5 3" xfId="3507" xr:uid="{00000000-0005-0000-0000-0000E47F0000}"/>
    <cellStyle name="Normal 5 3 2 5 3 2" xfId="3506" xr:uid="{00000000-0005-0000-0000-0000E57F0000}"/>
    <cellStyle name="Normal 5 3 2 5 4" xfId="3505" xr:uid="{00000000-0005-0000-0000-0000E67F0000}"/>
    <cellStyle name="Normal 5 3 2 6" xfId="3504" xr:uid="{00000000-0005-0000-0000-0000E77F0000}"/>
    <cellStyle name="Normal 5 3 2 6 2" xfId="3503" xr:uid="{00000000-0005-0000-0000-0000E87F0000}"/>
    <cellStyle name="Normal 5 3 2 6 2 2" xfId="3502" xr:uid="{00000000-0005-0000-0000-0000E97F0000}"/>
    <cellStyle name="Normal 5 3 2 6 3" xfId="3501" xr:uid="{00000000-0005-0000-0000-0000EA7F0000}"/>
    <cellStyle name="Normal 5 3 2 7" xfId="3500" xr:uid="{00000000-0005-0000-0000-0000EB7F0000}"/>
    <cellStyle name="Normal 5 3 2 7 2" xfId="3499" xr:uid="{00000000-0005-0000-0000-0000EC7F0000}"/>
    <cellStyle name="Normal 5 3 2 8" xfId="3498" xr:uid="{00000000-0005-0000-0000-0000ED7F0000}"/>
    <cellStyle name="Normal 5 3 3" xfId="3497" xr:uid="{00000000-0005-0000-0000-0000EE7F0000}"/>
    <cellStyle name="Normal 5 3 3 2" xfId="16828" xr:uid="{00000000-0005-0000-0000-0000EF7F0000}"/>
    <cellStyle name="Normal 5 3 3 2 2" xfId="3496" xr:uid="{00000000-0005-0000-0000-0000F07F0000}"/>
    <cellStyle name="Normal 5 3 3 2 2 2" xfId="25784" xr:uid="{00000000-0005-0000-0000-0000F17F0000}"/>
    <cellStyle name="Normal 5 3 3 2 2 2 2" xfId="3495" xr:uid="{00000000-0005-0000-0000-0000F27F0000}"/>
    <cellStyle name="Normal 5 3 3 2 2 2 2 2" xfId="5477" xr:uid="{00000000-0005-0000-0000-0000F37F0000}"/>
    <cellStyle name="Normal 5 3 3 2 2 2 2 2 2" xfId="3494" xr:uid="{00000000-0005-0000-0000-0000F47F0000}"/>
    <cellStyle name="Normal 5 3 3 2 2 2 2 3" xfId="28126" xr:uid="{00000000-0005-0000-0000-0000F57F0000}"/>
    <cellStyle name="Normal 5 3 3 2 2 2 3" xfId="7665" xr:uid="{00000000-0005-0000-0000-0000F67F0000}"/>
    <cellStyle name="Normal 5 3 3 2 2 2 3 2" xfId="22710" xr:uid="{00000000-0005-0000-0000-0000F77F0000}"/>
    <cellStyle name="Normal 5 3 3 2 2 2 4" xfId="7662" xr:uid="{00000000-0005-0000-0000-0000F87F0000}"/>
    <cellStyle name="Normal 5 3 3 2 2 3" xfId="3493" xr:uid="{00000000-0005-0000-0000-0000F97F0000}"/>
    <cellStyle name="Normal 5 3 3 2 2 3 2" xfId="3492" xr:uid="{00000000-0005-0000-0000-0000FA7F0000}"/>
    <cellStyle name="Normal 5 3 3 2 2 3 2 2" xfId="3491" xr:uid="{00000000-0005-0000-0000-0000FB7F0000}"/>
    <cellStyle name="Normal 5 3 3 2 2 3 3" xfId="7659" xr:uid="{00000000-0005-0000-0000-0000FC7F0000}"/>
    <cellStyle name="Normal 5 3 3 2 2 4" xfId="3490" xr:uid="{00000000-0005-0000-0000-0000FD7F0000}"/>
    <cellStyle name="Normal 5 3 3 2 2 4 2" xfId="3489" xr:uid="{00000000-0005-0000-0000-0000FE7F0000}"/>
    <cellStyle name="Normal 5 3 3 2 2 5" xfId="34361" xr:uid="{00000000-0005-0000-0000-0000FF7F0000}"/>
    <cellStyle name="Normal 5 3 3 2 3" xfId="3488" xr:uid="{00000000-0005-0000-0000-000000800000}"/>
    <cellStyle name="Normal 5 3 3 2 3 2" xfId="3487" xr:uid="{00000000-0005-0000-0000-000001800000}"/>
    <cellStyle name="Normal 5 3 3 2 3 2 2" xfId="3486" xr:uid="{00000000-0005-0000-0000-000002800000}"/>
    <cellStyle name="Normal 5 3 3 2 3 2 2 2" xfId="3485" xr:uid="{00000000-0005-0000-0000-000003800000}"/>
    <cellStyle name="Normal 5 3 3 2 3 2 3" xfId="33791" xr:uid="{00000000-0005-0000-0000-000004800000}"/>
    <cellStyle name="Normal 5 3 3 2 3 3" xfId="3484" xr:uid="{00000000-0005-0000-0000-000005800000}"/>
    <cellStyle name="Normal 5 3 3 2 3 3 2" xfId="3483" xr:uid="{00000000-0005-0000-0000-000006800000}"/>
    <cellStyle name="Normal 5 3 3 2 3 4" xfId="3482" xr:uid="{00000000-0005-0000-0000-000007800000}"/>
    <cellStyle name="Normal 5 3 3 2 4" xfId="9008" xr:uid="{00000000-0005-0000-0000-000008800000}"/>
    <cellStyle name="Normal 5 3 3 2 4 2" xfId="6949" xr:uid="{00000000-0005-0000-0000-000009800000}"/>
    <cellStyle name="Normal 5 3 3 2 4 2 2" xfId="26689" xr:uid="{00000000-0005-0000-0000-00000A800000}"/>
    <cellStyle name="Normal 5 3 3 2 4 3" xfId="3481" xr:uid="{00000000-0005-0000-0000-00000B800000}"/>
    <cellStyle name="Normal 5 3 3 2 5" xfId="5349" xr:uid="{00000000-0005-0000-0000-00000C800000}"/>
    <cellStyle name="Normal 5 3 3 2 5 2" xfId="3480" xr:uid="{00000000-0005-0000-0000-00000D800000}"/>
    <cellStyle name="Normal 5 3 3 2 6" xfId="10036" xr:uid="{00000000-0005-0000-0000-00000E800000}"/>
    <cellStyle name="Normal 5 3 3 3" xfId="3479" xr:uid="{00000000-0005-0000-0000-00000F800000}"/>
    <cellStyle name="Normal 5 3 3 3 2" xfId="3478" xr:uid="{00000000-0005-0000-0000-000010800000}"/>
    <cellStyle name="Normal 5 3 3 3 2 2" xfId="3477" xr:uid="{00000000-0005-0000-0000-000011800000}"/>
    <cellStyle name="Normal 5 3 3 3 2 2 2" xfId="3476" xr:uid="{00000000-0005-0000-0000-000012800000}"/>
    <cellStyle name="Normal 5 3 3 3 2 2 2 2" xfId="12766" xr:uid="{00000000-0005-0000-0000-000013800000}"/>
    <cellStyle name="Normal 5 3 3 3 2 2 3" xfId="7463" xr:uid="{00000000-0005-0000-0000-000014800000}"/>
    <cellStyle name="Normal 5 3 3 3 2 3" xfId="3475" xr:uid="{00000000-0005-0000-0000-000015800000}"/>
    <cellStyle name="Normal 5 3 3 3 2 3 2" xfId="3474" xr:uid="{00000000-0005-0000-0000-000016800000}"/>
    <cellStyle name="Normal 5 3 3 3 2 4" xfId="3473" xr:uid="{00000000-0005-0000-0000-000017800000}"/>
    <cellStyle name="Normal 5 3 3 3 3" xfId="3471" xr:uid="{00000000-0005-0000-0000-000018800000}"/>
    <cellStyle name="Normal 5 3 3 3 3 2" xfId="3470" xr:uid="{00000000-0005-0000-0000-000019800000}"/>
    <cellStyle name="Normal 5 3 3 3 3 2 2" xfId="3469" xr:uid="{00000000-0005-0000-0000-00001A800000}"/>
    <cellStyle name="Normal 5 3 3 3 3 3" xfId="3468" xr:uid="{00000000-0005-0000-0000-00001B800000}"/>
    <cellStyle name="Normal 5 3 3 3 4" xfId="5346" xr:uid="{00000000-0005-0000-0000-00001C800000}"/>
    <cellStyle name="Normal 5 3 3 3 4 2" xfId="22368" xr:uid="{00000000-0005-0000-0000-00001D800000}"/>
    <cellStyle name="Normal 5 3 3 3 5" xfId="3467" xr:uid="{00000000-0005-0000-0000-00001E800000}"/>
    <cellStyle name="Normal 5 3 3 4" xfId="3466" xr:uid="{00000000-0005-0000-0000-00001F800000}"/>
    <cellStyle name="Normal 5 3 3 4 2" xfId="34123" xr:uid="{00000000-0005-0000-0000-000020800000}"/>
    <cellStyle name="Normal 5 3 3 4 2 2" xfId="3465" xr:uid="{00000000-0005-0000-0000-000021800000}"/>
    <cellStyle name="Normal 5 3 3 4 2 2 2" xfId="3464" xr:uid="{00000000-0005-0000-0000-000022800000}"/>
    <cellStyle name="Normal 5 3 3 4 2 3" xfId="3463" xr:uid="{00000000-0005-0000-0000-000023800000}"/>
    <cellStyle name="Normal 5 3 3 4 3" xfId="3462" xr:uid="{00000000-0005-0000-0000-000024800000}"/>
    <cellStyle name="Normal 5 3 3 4 3 2" xfId="3461" xr:uid="{00000000-0005-0000-0000-000025800000}"/>
    <cellStyle name="Normal 5 3 3 4 4" xfId="3459" xr:uid="{00000000-0005-0000-0000-000026800000}"/>
    <cellStyle name="Normal 5 3 3 5" xfId="3458" xr:uid="{00000000-0005-0000-0000-000027800000}"/>
    <cellStyle name="Normal 5 3 3 5 2" xfId="3457" xr:uid="{00000000-0005-0000-0000-000028800000}"/>
    <cellStyle name="Normal 5 3 3 5 2 2" xfId="3456" xr:uid="{00000000-0005-0000-0000-000029800000}"/>
    <cellStyle name="Normal 5 3 3 5 3" xfId="3455" xr:uid="{00000000-0005-0000-0000-00002A800000}"/>
    <cellStyle name="Normal 5 3 3 6" xfId="3454" xr:uid="{00000000-0005-0000-0000-00002B800000}"/>
    <cellStyle name="Normal 5 3 3 6 2" xfId="3453" xr:uid="{00000000-0005-0000-0000-00002C800000}"/>
    <cellStyle name="Normal 5 3 3 7" xfId="3452" xr:uid="{00000000-0005-0000-0000-00002D800000}"/>
    <cellStyle name="Normal 5 3 4" xfId="32270" xr:uid="{00000000-0005-0000-0000-00002E800000}"/>
    <cellStyle name="Normal 5 3 4 2" xfId="32263" xr:uid="{00000000-0005-0000-0000-00002F800000}"/>
    <cellStyle name="Normal 5 3 4 2 2" xfId="28185" xr:uid="{00000000-0005-0000-0000-000030800000}"/>
    <cellStyle name="Normal 5 3 4 2 2 2" xfId="28183" xr:uid="{00000000-0005-0000-0000-000031800000}"/>
    <cellStyle name="Normal 5 3 4 2 2 2 2" xfId="3451" xr:uid="{00000000-0005-0000-0000-000032800000}"/>
    <cellStyle name="Normal 5 3 4 2 2 2 2 2" xfId="3898" xr:uid="{00000000-0005-0000-0000-000033800000}"/>
    <cellStyle name="Normal 5 3 4 2 2 2 3" xfId="27893" xr:uid="{00000000-0005-0000-0000-000034800000}"/>
    <cellStyle name="Normal 5 3 4 2 2 3" xfId="33874" xr:uid="{00000000-0005-0000-0000-000035800000}"/>
    <cellStyle name="Normal 5 3 4 2 2 3 2" xfId="3450" xr:uid="{00000000-0005-0000-0000-000036800000}"/>
    <cellStyle name="Normal 5 3 4 2 2 4" xfId="3449" xr:uid="{00000000-0005-0000-0000-000037800000}"/>
    <cellStyle name="Normal 5 3 4 2 3" xfId="28180" xr:uid="{00000000-0005-0000-0000-000038800000}"/>
    <cellStyle name="Normal 5 3 4 2 3 2" xfId="28175" xr:uid="{00000000-0005-0000-0000-000039800000}"/>
    <cellStyle name="Normal 5 3 4 2 3 2 2" xfId="21663" xr:uid="{00000000-0005-0000-0000-00003A800000}"/>
    <cellStyle name="Normal 5 3 4 2 3 3" xfId="3448" xr:uid="{00000000-0005-0000-0000-00003B800000}"/>
    <cellStyle name="Normal 5 3 4 2 4" xfId="5341" xr:uid="{00000000-0005-0000-0000-00003C800000}"/>
    <cellStyle name="Normal 5 3 4 2 4 2" xfId="3447" xr:uid="{00000000-0005-0000-0000-00003D800000}"/>
    <cellStyle name="Normal 5 3 4 2 5" xfId="3446" xr:uid="{00000000-0005-0000-0000-00003E800000}"/>
    <cellStyle name="Normal 5 3 4 3" xfId="28172" xr:uid="{00000000-0005-0000-0000-00003F800000}"/>
    <cellStyle name="Normal 5 3 4 3 2" xfId="28169" xr:uid="{00000000-0005-0000-0000-000040800000}"/>
    <cellStyle name="Normal 5 3 4 3 2 2" xfId="28167" xr:uid="{00000000-0005-0000-0000-000041800000}"/>
    <cellStyle name="Normal 5 3 4 3 2 2 2" xfId="3445" xr:uid="{00000000-0005-0000-0000-000042800000}"/>
    <cellStyle name="Normal 5 3 4 3 2 3" xfId="3444" xr:uid="{00000000-0005-0000-0000-000043800000}"/>
    <cellStyle name="Normal 5 3 4 3 3" xfId="28164" xr:uid="{00000000-0005-0000-0000-000044800000}"/>
    <cellStyle name="Normal 5 3 4 3 3 2" xfId="3443" xr:uid="{00000000-0005-0000-0000-000045800000}"/>
    <cellStyle name="Normal 5 3 4 3 4" xfId="3442" xr:uid="{00000000-0005-0000-0000-000046800000}"/>
    <cellStyle name="Normal 5 3 4 4" xfId="28162" xr:uid="{00000000-0005-0000-0000-000047800000}"/>
    <cellStyle name="Normal 5 3 4 4 2" xfId="34168" xr:uid="{00000000-0005-0000-0000-000048800000}"/>
    <cellStyle name="Normal 5 3 4 4 2 2" xfId="32289" xr:uid="{00000000-0005-0000-0000-000049800000}"/>
    <cellStyle name="Normal 5 3 4 4 3" xfId="3441" xr:uid="{00000000-0005-0000-0000-00004A800000}"/>
    <cellStyle name="Normal 5 3 4 5" xfId="28155" xr:uid="{00000000-0005-0000-0000-00004B800000}"/>
    <cellStyle name="Normal 5 3 4 5 2" xfId="3440" xr:uid="{00000000-0005-0000-0000-00004C800000}"/>
    <cellStyle name="Normal 5 3 4 6" xfId="3439" xr:uid="{00000000-0005-0000-0000-00004D800000}"/>
    <cellStyle name="Normal 5 3 5" xfId="33701" xr:uid="{00000000-0005-0000-0000-00004E800000}"/>
    <cellStyle name="Normal 5 3 5 2" xfId="28151" xr:uid="{00000000-0005-0000-0000-00004F800000}"/>
    <cellStyle name="Normal 5 3 5 2 2" xfId="22686" xr:uid="{00000000-0005-0000-0000-000050800000}"/>
    <cellStyle name="Normal 5 3 5 2 2 2" xfId="6589" xr:uid="{00000000-0005-0000-0000-000051800000}"/>
    <cellStyle name="Normal 5 3 5 2 2 2 2" xfId="6587" xr:uid="{00000000-0005-0000-0000-000052800000}"/>
    <cellStyle name="Normal 5 3 5 2 2 3" xfId="6575" xr:uid="{00000000-0005-0000-0000-000053800000}"/>
    <cellStyle name="Normal 5 3 5 2 3" xfId="22682" xr:uid="{00000000-0005-0000-0000-000054800000}"/>
    <cellStyle name="Normal 5 3 5 2 3 2" xfId="30118" xr:uid="{00000000-0005-0000-0000-000055800000}"/>
    <cellStyle name="Normal 5 3 5 2 4" xfId="3438" xr:uid="{00000000-0005-0000-0000-000056800000}"/>
    <cellStyle name="Normal 5 3 5 3" xfId="28148" xr:uid="{00000000-0005-0000-0000-000057800000}"/>
    <cellStyle name="Normal 5 3 5 3 2" xfId="28136" xr:uid="{00000000-0005-0000-0000-000058800000}"/>
    <cellStyle name="Normal 5 3 5 3 2 2" xfId="6452" xr:uid="{00000000-0005-0000-0000-000059800000}"/>
    <cellStyle name="Normal 5 3 5 3 3" xfId="3437" xr:uid="{00000000-0005-0000-0000-00005A800000}"/>
    <cellStyle name="Normal 5 3 5 4" xfId="28134" xr:uid="{00000000-0005-0000-0000-00005B800000}"/>
    <cellStyle name="Normal 5 3 5 4 2" xfId="34034" xr:uid="{00000000-0005-0000-0000-00005C800000}"/>
    <cellStyle name="Normal 5 3 5 5" xfId="3436" xr:uid="{00000000-0005-0000-0000-00005D800000}"/>
    <cellStyle name="Normal 5 3 6" xfId="22662" xr:uid="{00000000-0005-0000-0000-00005E800000}"/>
    <cellStyle name="Normal 5 3 6 2" xfId="21016" xr:uid="{00000000-0005-0000-0000-00005F800000}"/>
    <cellStyle name="Normal 5 3 6 2 2" xfId="22669" xr:uid="{00000000-0005-0000-0000-000060800000}"/>
    <cellStyle name="Normal 5 3 6 2 2 2" xfId="21138" xr:uid="{00000000-0005-0000-0000-000061800000}"/>
    <cellStyle name="Normal 5 3 6 2 3" xfId="3435" xr:uid="{00000000-0005-0000-0000-000062800000}"/>
    <cellStyle name="Normal 5 3 6 3" xfId="19113" xr:uid="{00000000-0005-0000-0000-000063800000}"/>
    <cellStyle name="Normal 5 3 6 3 2" xfId="3434" xr:uid="{00000000-0005-0000-0000-000064800000}"/>
    <cellStyle name="Normal 5 3 6 4" xfId="19107" xr:uid="{00000000-0005-0000-0000-000065800000}"/>
    <cellStyle name="Normal 5 3 7" xfId="33326" xr:uid="{00000000-0005-0000-0000-000066800000}"/>
    <cellStyle name="Normal 5 3 7 2" xfId="21005" xr:uid="{00000000-0005-0000-0000-000067800000}"/>
    <cellStyle name="Normal 5 3 7 2 2" xfId="3433" xr:uid="{00000000-0005-0000-0000-000068800000}"/>
    <cellStyle name="Normal 5 3 7 3" xfId="20908" xr:uid="{00000000-0005-0000-0000-000069800000}"/>
    <cellStyle name="Normal 5 3 8" xfId="33093" xr:uid="{00000000-0005-0000-0000-00006A800000}"/>
    <cellStyle name="Normal 5 3 8 2" xfId="20903" xr:uid="{00000000-0005-0000-0000-00006B800000}"/>
    <cellStyle name="Normal 5 3 9" xfId="3432" xr:uid="{00000000-0005-0000-0000-00006C800000}"/>
    <cellStyle name="Normal 5 4" xfId="3431" xr:uid="{00000000-0005-0000-0000-00006D800000}"/>
    <cellStyle name="Normal 5 4 2" xfId="3430" xr:uid="{00000000-0005-0000-0000-00006E800000}"/>
    <cellStyle name="Normal 5 4 2 2" xfId="8324" xr:uid="{00000000-0005-0000-0000-00006F800000}"/>
    <cellStyle name="Normal 5 4 2 2 2" xfId="3429" xr:uid="{00000000-0005-0000-0000-000070800000}"/>
    <cellStyle name="Normal 5 4 2 2 2 2" xfId="24399" xr:uid="{00000000-0005-0000-0000-000071800000}"/>
    <cellStyle name="Normal 5 4 2 2 2 2 2" xfId="3428" xr:uid="{00000000-0005-0000-0000-000072800000}"/>
    <cellStyle name="Normal 5 4 2 2 2 2 2 2" xfId="3427" xr:uid="{00000000-0005-0000-0000-000073800000}"/>
    <cellStyle name="Normal 5 4 2 2 2 2 2 2 2" xfId="3426" xr:uid="{00000000-0005-0000-0000-000074800000}"/>
    <cellStyle name="Normal 5 4 2 2 2 2 2 3" xfId="23782" xr:uid="{00000000-0005-0000-0000-000075800000}"/>
    <cellStyle name="Normal 5 4 2 2 2 2 3" xfId="3425" xr:uid="{00000000-0005-0000-0000-000076800000}"/>
    <cellStyle name="Normal 5 4 2 2 2 2 3 2" xfId="3424" xr:uid="{00000000-0005-0000-0000-000077800000}"/>
    <cellStyle name="Normal 5 4 2 2 2 2 4" xfId="4234" xr:uid="{00000000-0005-0000-0000-000078800000}"/>
    <cellStyle name="Normal 5 4 2 2 2 3" xfId="3423" xr:uid="{00000000-0005-0000-0000-000079800000}"/>
    <cellStyle name="Normal 5 4 2 2 2 3 2" xfId="3422" xr:uid="{00000000-0005-0000-0000-00007A800000}"/>
    <cellStyle name="Normal 5 4 2 2 2 3 2 2" xfId="3421" xr:uid="{00000000-0005-0000-0000-00007B800000}"/>
    <cellStyle name="Normal 5 4 2 2 2 3 3" xfId="8470" xr:uid="{00000000-0005-0000-0000-00007C800000}"/>
    <cellStyle name="Normal 5 4 2 2 2 4" xfId="11586" xr:uid="{00000000-0005-0000-0000-00007D800000}"/>
    <cellStyle name="Normal 5 4 2 2 2 4 2" xfId="32919" xr:uid="{00000000-0005-0000-0000-00007E800000}"/>
    <cellStyle name="Normal 5 4 2 2 2 5" xfId="11583" xr:uid="{00000000-0005-0000-0000-00007F800000}"/>
    <cellStyle name="Normal 5 4 2 2 3" xfId="3420" xr:uid="{00000000-0005-0000-0000-000080800000}"/>
    <cellStyle name="Normal 5 4 2 2 3 2" xfId="3418" xr:uid="{00000000-0005-0000-0000-000081800000}"/>
    <cellStyle name="Normal 5 4 2 2 3 2 2" xfId="3416" xr:uid="{00000000-0005-0000-0000-000082800000}"/>
    <cellStyle name="Normal 5 4 2 2 3 2 2 2" xfId="30474" xr:uid="{00000000-0005-0000-0000-000083800000}"/>
    <cellStyle name="Normal 5 4 2 2 3 2 3" xfId="3414" xr:uid="{00000000-0005-0000-0000-000084800000}"/>
    <cellStyle name="Normal 5 4 2 2 3 3" xfId="3412" xr:uid="{00000000-0005-0000-0000-000085800000}"/>
    <cellStyle name="Normal 5 4 2 2 3 3 2" xfId="3410" xr:uid="{00000000-0005-0000-0000-000086800000}"/>
    <cellStyle name="Normal 5 4 2 2 3 4" xfId="18772" xr:uid="{00000000-0005-0000-0000-000087800000}"/>
    <cellStyle name="Normal 5 4 2 2 4" xfId="5192" xr:uid="{00000000-0005-0000-0000-000088800000}"/>
    <cellStyle name="Normal 5 4 2 2 4 2" xfId="5189" xr:uid="{00000000-0005-0000-0000-000089800000}"/>
    <cellStyle name="Normal 5 4 2 2 4 2 2" xfId="19203" xr:uid="{00000000-0005-0000-0000-00008A800000}"/>
    <cellStyle name="Normal 5 4 2 2 4 3" xfId="3408" xr:uid="{00000000-0005-0000-0000-00008B800000}"/>
    <cellStyle name="Normal 5 4 2 2 5" xfId="5186" xr:uid="{00000000-0005-0000-0000-00008C800000}"/>
    <cellStyle name="Normal 5 4 2 2 5 2" xfId="3406" xr:uid="{00000000-0005-0000-0000-00008D800000}"/>
    <cellStyle name="Normal 5 4 2 2 6" xfId="9973" xr:uid="{00000000-0005-0000-0000-00008E800000}"/>
    <cellStyle name="Normal 5 4 2 3" xfId="8322" xr:uid="{00000000-0005-0000-0000-00008F800000}"/>
    <cellStyle name="Normal 5 4 2 3 2" xfId="3404" xr:uid="{00000000-0005-0000-0000-000090800000}"/>
    <cellStyle name="Normal 5 4 2 3 2 2" xfId="27627" xr:uid="{00000000-0005-0000-0000-000091800000}"/>
    <cellStyle name="Normal 5 4 2 3 2 2 2" xfId="3402" xr:uid="{00000000-0005-0000-0000-000092800000}"/>
    <cellStyle name="Normal 5 4 2 3 2 2 2 2" xfId="3401" xr:uid="{00000000-0005-0000-0000-000093800000}"/>
    <cellStyle name="Normal 5 4 2 3 2 2 3" xfId="27654" xr:uid="{00000000-0005-0000-0000-000094800000}"/>
    <cellStyle name="Normal 5 4 2 3 2 3" xfId="27624" xr:uid="{00000000-0005-0000-0000-000095800000}"/>
    <cellStyle name="Normal 5 4 2 3 2 3 2" xfId="3400" xr:uid="{00000000-0005-0000-0000-000096800000}"/>
    <cellStyle name="Normal 5 4 2 3 2 4" xfId="11546" xr:uid="{00000000-0005-0000-0000-000097800000}"/>
    <cellStyle name="Normal 5 4 2 3 3" xfId="3399" xr:uid="{00000000-0005-0000-0000-000098800000}"/>
    <cellStyle name="Normal 5 4 2 3 3 2" xfId="27616" xr:uid="{00000000-0005-0000-0000-000099800000}"/>
    <cellStyle name="Normal 5 4 2 3 3 2 2" xfId="3396" xr:uid="{00000000-0005-0000-0000-00009A800000}"/>
    <cellStyle name="Normal 5 4 2 3 3 3" xfId="3394" xr:uid="{00000000-0005-0000-0000-00009B800000}"/>
    <cellStyle name="Normal 5 4 2 3 4" xfId="17549" xr:uid="{00000000-0005-0000-0000-00009C800000}"/>
    <cellStyle name="Normal 5 4 2 3 4 2" xfId="3392" xr:uid="{00000000-0005-0000-0000-00009D800000}"/>
    <cellStyle name="Normal 5 4 2 3 5" xfId="3390" xr:uid="{00000000-0005-0000-0000-00009E800000}"/>
    <cellStyle name="Normal 5 4 2 4" xfId="3388" xr:uid="{00000000-0005-0000-0000-00009F800000}"/>
    <cellStyle name="Normal 5 4 2 4 2" xfId="3387" xr:uid="{00000000-0005-0000-0000-0000A0800000}"/>
    <cellStyle name="Normal 5 4 2 4 2 2" xfId="27607" xr:uid="{00000000-0005-0000-0000-0000A1800000}"/>
    <cellStyle name="Normal 5 4 2 4 2 2 2" xfId="3385" xr:uid="{00000000-0005-0000-0000-0000A2800000}"/>
    <cellStyle name="Normal 5 4 2 4 2 3" xfId="3384" xr:uid="{00000000-0005-0000-0000-0000A3800000}"/>
    <cellStyle name="Normal 5 4 2 4 3" xfId="3383" xr:uid="{00000000-0005-0000-0000-0000A4800000}"/>
    <cellStyle name="Normal 5 4 2 4 3 2" xfId="3381" xr:uid="{00000000-0005-0000-0000-0000A5800000}"/>
    <cellStyle name="Normal 5 4 2 4 4" xfId="3379" xr:uid="{00000000-0005-0000-0000-0000A6800000}"/>
    <cellStyle name="Normal 5 4 2 5" xfId="3377" xr:uid="{00000000-0005-0000-0000-0000A7800000}"/>
    <cellStyle name="Normal 5 4 2 5 2" xfId="3376" xr:uid="{00000000-0005-0000-0000-0000A8800000}"/>
    <cellStyle name="Normal 5 4 2 5 2 2" xfId="3375" xr:uid="{00000000-0005-0000-0000-0000A9800000}"/>
    <cellStyle name="Normal 5 4 2 5 3" xfId="3373" xr:uid="{00000000-0005-0000-0000-0000AA800000}"/>
    <cellStyle name="Normal 5 4 2 6" xfId="3371" xr:uid="{00000000-0005-0000-0000-0000AB800000}"/>
    <cellStyle name="Normal 5 4 2 6 2" xfId="3370" xr:uid="{00000000-0005-0000-0000-0000AC800000}"/>
    <cellStyle name="Normal 5 4 2 7" xfId="3369" xr:uid="{00000000-0005-0000-0000-0000AD800000}"/>
    <cellStyle name="Normal 5 4 3" xfId="3368" xr:uid="{00000000-0005-0000-0000-0000AE800000}"/>
    <cellStyle name="Normal 5 4 3 2" xfId="12051" xr:uid="{00000000-0005-0000-0000-0000AF800000}"/>
    <cellStyle name="Normal 5 4 3 2 2" xfId="3367" xr:uid="{00000000-0005-0000-0000-0000B0800000}"/>
    <cellStyle name="Normal 5 4 3 2 2 2" xfId="3366" xr:uid="{00000000-0005-0000-0000-0000B1800000}"/>
    <cellStyle name="Normal 5 4 3 2 2 2 2" xfId="3365" xr:uid="{00000000-0005-0000-0000-0000B2800000}"/>
    <cellStyle name="Normal 5 4 3 2 2 2 2 2" xfId="3364" xr:uid="{00000000-0005-0000-0000-0000B3800000}"/>
    <cellStyle name="Normal 5 4 3 2 2 2 3" xfId="3363" xr:uid="{00000000-0005-0000-0000-0000B4800000}"/>
    <cellStyle name="Normal 5 4 3 2 2 3" xfId="3362" xr:uid="{00000000-0005-0000-0000-0000B5800000}"/>
    <cellStyle name="Normal 5 4 3 2 2 3 2" xfId="16813" xr:uid="{00000000-0005-0000-0000-0000B6800000}"/>
    <cellStyle name="Normal 5 4 3 2 2 4" xfId="11472" xr:uid="{00000000-0005-0000-0000-0000B7800000}"/>
    <cellStyle name="Normal 5 4 3 2 3" xfId="3361" xr:uid="{00000000-0005-0000-0000-0000B8800000}"/>
    <cellStyle name="Normal 5 4 3 2 3 2" xfId="3359" xr:uid="{00000000-0005-0000-0000-0000B9800000}"/>
    <cellStyle name="Normal 5 4 3 2 3 2 2" xfId="3357" xr:uid="{00000000-0005-0000-0000-0000BA800000}"/>
    <cellStyle name="Normal 5 4 3 2 3 3" xfId="3355" xr:uid="{00000000-0005-0000-0000-0000BB800000}"/>
    <cellStyle name="Normal 5 4 3 2 4" xfId="5168" xr:uid="{00000000-0005-0000-0000-0000BC800000}"/>
    <cellStyle name="Normal 5 4 3 2 4 2" xfId="3353" xr:uid="{00000000-0005-0000-0000-0000BD800000}"/>
    <cellStyle name="Normal 5 4 3 2 5" xfId="3351" xr:uid="{00000000-0005-0000-0000-0000BE800000}"/>
    <cellStyle name="Normal 5 4 3 3" xfId="3349" xr:uid="{00000000-0005-0000-0000-0000BF800000}"/>
    <cellStyle name="Normal 5 4 3 3 2" xfId="3348" xr:uid="{00000000-0005-0000-0000-0000C0800000}"/>
    <cellStyle name="Normal 5 4 3 3 2 2" xfId="27596" xr:uid="{00000000-0005-0000-0000-0000C1800000}"/>
    <cellStyle name="Normal 5 4 3 3 2 2 2" xfId="3346" xr:uid="{00000000-0005-0000-0000-0000C2800000}"/>
    <cellStyle name="Normal 5 4 3 3 2 3" xfId="3345" xr:uid="{00000000-0005-0000-0000-0000C3800000}"/>
    <cellStyle name="Normal 5 4 3 3 3" xfId="3344" xr:uid="{00000000-0005-0000-0000-0000C4800000}"/>
    <cellStyle name="Normal 5 4 3 3 3 2" xfId="3342" xr:uid="{00000000-0005-0000-0000-0000C5800000}"/>
    <cellStyle name="Normal 5 4 3 3 4" xfId="3340" xr:uid="{00000000-0005-0000-0000-0000C6800000}"/>
    <cellStyle name="Normal 5 4 3 4" xfId="3338" xr:uid="{00000000-0005-0000-0000-0000C7800000}"/>
    <cellStyle name="Normal 5 4 3 4 2" xfId="6044" xr:uid="{00000000-0005-0000-0000-0000C8800000}"/>
    <cellStyle name="Normal 5 4 3 4 2 2" xfId="3337" xr:uid="{00000000-0005-0000-0000-0000C9800000}"/>
    <cellStyle name="Normal 5 4 3 4 3" xfId="3336" xr:uid="{00000000-0005-0000-0000-0000CA800000}"/>
    <cellStyle name="Normal 5 4 3 5" xfId="3334" xr:uid="{00000000-0005-0000-0000-0000CB800000}"/>
    <cellStyle name="Normal 5 4 3 5 2" xfId="34061" xr:uid="{00000000-0005-0000-0000-0000CC800000}"/>
    <cellStyle name="Normal 5 4 3 6" xfId="3333" xr:uid="{00000000-0005-0000-0000-0000CD800000}"/>
    <cellStyle name="Normal 5 4 4" xfId="34069" xr:uid="{00000000-0005-0000-0000-0000CE800000}"/>
    <cellStyle name="Normal 5 4 4 2" xfId="31278" xr:uid="{00000000-0005-0000-0000-0000CF800000}"/>
    <cellStyle name="Normal 5 4 4 2 2" xfId="29827" xr:uid="{00000000-0005-0000-0000-0000D0800000}"/>
    <cellStyle name="Normal 5 4 4 2 2 2" xfId="28118" xr:uid="{00000000-0005-0000-0000-0000D1800000}"/>
    <cellStyle name="Normal 5 4 4 2 2 2 2" xfId="3332" xr:uid="{00000000-0005-0000-0000-0000D2800000}"/>
    <cellStyle name="Normal 5 4 4 2 2 3" xfId="3331" xr:uid="{00000000-0005-0000-0000-0000D3800000}"/>
    <cellStyle name="Normal 5 4 4 2 3" xfId="29823" xr:uid="{00000000-0005-0000-0000-0000D4800000}"/>
    <cellStyle name="Normal 5 4 4 2 3 2" xfId="3330" xr:uid="{00000000-0005-0000-0000-0000D5800000}"/>
    <cellStyle name="Normal 5 4 4 2 4" xfId="3328" xr:uid="{00000000-0005-0000-0000-0000D6800000}"/>
    <cellStyle name="Normal 5 4 4 3" xfId="29816" xr:uid="{00000000-0005-0000-0000-0000D7800000}"/>
    <cellStyle name="Normal 5 4 4 3 2" xfId="29812" xr:uid="{00000000-0005-0000-0000-0000D8800000}"/>
    <cellStyle name="Normal 5 4 4 3 2 2" xfId="3326" xr:uid="{00000000-0005-0000-0000-0000D9800000}"/>
    <cellStyle name="Normal 5 4 4 3 3" xfId="3325" xr:uid="{00000000-0005-0000-0000-0000DA800000}"/>
    <cellStyle name="Normal 5 4 4 4" xfId="29802" xr:uid="{00000000-0005-0000-0000-0000DB800000}"/>
    <cellStyle name="Normal 5 4 4 4 2" xfId="3323" xr:uid="{00000000-0005-0000-0000-0000DC800000}"/>
    <cellStyle name="Normal 5 4 4 5" xfId="3322" xr:uid="{00000000-0005-0000-0000-0000DD800000}"/>
    <cellStyle name="Normal 5 4 5" xfId="28116" xr:uid="{00000000-0005-0000-0000-0000DE800000}"/>
    <cellStyle name="Normal 5 4 5 2" xfId="29780" xr:uid="{00000000-0005-0000-0000-0000DF800000}"/>
    <cellStyle name="Normal 5 4 5 2 2" xfId="25337" xr:uid="{00000000-0005-0000-0000-0000E0800000}"/>
    <cellStyle name="Normal 5 4 5 2 2 2" xfId="11093" xr:uid="{00000000-0005-0000-0000-0000E1800000}"/>
    <cellStyle name="Normal 5 4 5 2 3" xfId="3321" xr:uid="{00000000-0005-0000-0000-0000E2800000}"/>
    <cellStyle name="Normal 5 4 5 3" xfId="34100" xr:uid="{00000000-0005-0000-0000-0000E3800000}"/>
    <cellStyle name="Normal 5 4 5 3 2" xfId="3319" xr:uid="{00000000-0005-0000-0000-0000E4800000}"/>
    <cellStyle name="Normal 5 4 5 4" xfId="3318" xr:uid="{00000000-0005-0000-0000-0000E5800000}"/>
    <cellStyle name="Normal 5 4 6" xfId="28112" xr:uid="{00000000-0005-0000-0000-0000E6800000}"/>
    <cellStyle name="Normal 5 4 6 2" xfId="5535" xr:uid="{00000000-0005-0000-0000-0000E7800000}"/>
    <cellStyle name="Normal 5 4 6 2 2" xfId="3317" xr:uid="{00000000-0005-0000-0000-0000E8800000}"/>
    <cellStyle name="Normal 5 4 6 3" xfId="23165" xr:uid="{00000000-0005-0000-0000-0000E9800000}"/>
    <cellStyle name="Normal 5 4 7" xfId="21813" xr:uid="{00000000-0005-0000-0000-0000EA800000}"/>
    <cellStyle name="Normal 5 4 7 2" xfId="20890" xr:uid="{00000000-0005-0000-0000-0000EB800000}"/>
    <cellStyle name="Normal 5 4 8" xfId="3316" xr:uid="{00000000-0005-0000-0000-0000EC800000}"/>
    <cellStyle name="Normal 5 5" xfId="6622" xr:uid="{00000000-0005-0000-0000-0000ED800000}"/>
    <cellStyle name="Normal 5 5 2" xfId="3315" xr:uid="{00000000-0005-0000-0000-0000EE800000}"/>
    <cellStyle name="Normal 5 5 2 2" xfId="16208" xr:uid="{00000000-0005-0000-0000-0000EF800000}"/>
    <cellStyle name="Normal 5 5 2 2 2" xfId="3314" xr:uid="{00000000-0005-0000-0000-0000F0800000}"/>
    <cellStyle name="Normal 5 5 2 2 2 2" xfId="3313" xr:uid="{00000000-0005-0000-0000-0000F1800000}"/>
    <cellStyle name="Normal 5 5 2 2 2 2 2" xfId="3312" xr:uid="{00000000-0005-0000-0000-0000F2800000}"/>
    <cellStyle name="Normal 5 5 2 2 2 2 2 2" xfId="33367" xr:uid="{00000000-0005-0000-0000-0000F3800000}"/>
    <cellStyle name="Normal 5 5 2 2 2 2 3" xfId="3311" xr:uid="{00000000-0005-0000-0000-0000F4800000}"/>
    <cellStyle name="Normal 5 5 2 2 2 3" xfId="3310" xr:uid="{00000000-0005-0000-0000-0000F5800000}"/>
    <cellStyle name="Normal 5 5 2 2 2 3 2" xfId="3309" xr:uid="{00000000-0005-0000-0000-0000F6800000}"/>
    <cellStyle name="Normal 5 5 2 2 2 4" xfId="11301" xr:uid="{00000000-0005-0000-0000-0000F7800000}"/>
    <cellStyle name="Normal 5 5 2 2 3" xfId="3945" xr:uid="{00000000-0005-0000-0000-0000F8800000}"/>
    <cellStyle name="Normal 5 5 2 2 3 2" xfId="3942" xr:uid="{00000000-0005-0000-0000-0000F9800000}"/>
    <cellStyle name="Normal 5 5 2 2 3 2 2" xfId="3308" xr:uid="{00000000-0005-0000-0000-0000FA800000}"/>
    <cellStyle name="Normal 5 5 2 2 3 3" xfId="4299" xr:uid="{00000000-0005-0000-0000-0000FB800000}"/>
    <cellStyle name="Normal 5 5 2 2 4" xfId="30266" xr:uid="{00000000-0005-0000-0000-0000FC800000}"/>
    <cellStyle name="Normal 5 5 2 2 4 2" xfId="3306" xr:uid="{00000000-0005-0000-0000-0000FD800000}"/>
    <cellStyle name="Normal 5 5 2 2 5" xfId="11744" xr:uid="{00000000-0005-0000-0000-0000FE800000}"/>
    <cellStyle name="Normal 5 5 2 3" xfId="3304" xr:uid="{00000000-0005-0000-0000-0000FF800000}"/>
    <cellStyle name="Normal 5 5 2 3 2" xfId="3303" xr:uid="{00000000-0005-0000-0000-000000810000}"/>
    <cellStyle name="Normal 5 5 2 3 2 2" xfId="32068" xr:uid="{00000000-0005-0000-0000-000001810000}"/>
    <cellStyle name="Normal 5 5 2 3 2 2 2" xfId="3301" xr:uid="{00000000-0005-0000-0000-000002810000}"/>
    <cellStyle name="Normal 5 5 2 3 2 3" xfId="3300" xr:uid="{00000000-0005-0000-0000-000003810000}"/>
    <cellStyle name="Normal 5 5 2 3 3" xfId="3936" xr:uid="{00000000-0005-0000-0000-000004810000}"/>
    <cellStyle name="Normal 5 5 2 3 3 2" xfId="3299" xr:uid="{00000000-0005-0000-0000-000005810000}"/>
    <cellStyle name="Normal 5 5 2 3 4" xfId="3297" xr:uid="{00000000-0005-0000-0000-000006810000}"/>
    <cellStyle name="Normal 5 5 2 4" xfId="3295" xr:uid="{00000000-0005-0000-0000-000007810000}"/>
    <cellStyle name="Normal 5 5 2 4 2" xfId="30559" xr:uid="{00000000-0005-0000-0000-000008810000}"/>
    <cellStyle name="Normal 5 5 2 4 2 2" xfId="3294" xr:uid="{00000000-0005-0000-0000-000009810000}"/>
    <cellStyle name="Normal 5 5 2 4 3" xfId="3293" xr:uid="{00000000-0005-0000-0000-00000A810000}"/>
    <cellStyle name="Normal 5 5 2 5" xfId="3291" xr:uid="{00000000-0005-0000-0000-00000B810000}"/>
    <cellStyle name="Normal 5 5 2 5 2" xfId="3290" xr:uid="{00000000-0005-0000-0000-00000C810000}"/>
    <cellStyle name="Normal 5 5 2 6" xfId="3289" xr:uid="{00000000-0005-0000-0000-00000D810000}"/>
    <cellStyle name="Normal 5 5 2 6 2" xfId="3288" xr:uid="{00000000-0005-0000-0000-00000E810000}"/>
    <cellStyle name="Normal 5 5 2 7" xfId="3287" xr:uid="{00000000-0005-0000-0000-00000F810000}"/>
    <cellStyle name="Normal 5 5 3" xfId="3286" xr:uid="{00000000-0005-0000-0000-000010810000}"/>
    <cellStyle name="Normal 5 5 3 2" xfId="3285" xr:uid="{00000000-0005-0000-0000-000011810000}"/>
    <cellStyle name="Normal 5 5 3 2 2" xfId="3284" xr:uid="{00000000-0005-0000-0000-000012810000}"/>
    <cellStyle name="Normal 5 5 3 2 2 2" xfId="3283" xr:uid="{00000000-0005-0000-0000-000013810000}"/>
    <cellStyle name="Normal 5 5 3 2 2 2 2" xfId="3282" xr:uid="{00000000-0005-0000-0000-000014810000}"/>
    <cellStyle name="Normal 5 5 3 2 2 3" xfId="34408" xr:uid="{00000000-0005-0000-0000-000015810000}"/>
    <cellStyle name="Normal 5 5 3 2 3" xfId="3930" xr:uid="{00000000-0005-0000-0000-000016810000}"/>
    <cellStyle name="Normal 5 5 3 2 3 2" xfId="3281" xr:uid="{00000000-0005-0000-0000-000017810000}"/>
    <cellStyle name="Normal 5 5 3 2 4" xfId="3279" xr:uid="{00000000-0005-0000-0000-000018810000}"/>
    <cellStyle name="Normal 5 5 3 3" xfId="3277" xr:uid="{00000000-0005-0000-0000-000019810000}"/>
    <cellStyle name="Normal 5 5 3 3 2" xfId="3276" xr:uid="{00000000-0005-0000-0000-00001A810000}"/>
    <cellStyle name="Normal 5 5 3 3 2 2" xfId="3275" xr:uid="{00000000-0005-0000-0000-00001B810000}"/>
    <cellStyle name="Normal 5 5 3 3 3" xfId="3274" xr:uid="{00000000-0005-0000-0000-00001C810000}"/>
    <cellStyle name="Normal 5 5 3 4" xfId="3272" xr:uid="{00000000-0005-0000-0000-00001D810000}"/>
    <cellStyle name="Normal 5 5 3 4 2" xfId="3271" xr:uid="{00000000-0005-0000-0000-00001E810000}"/>
    <cellStyle name="Normal 5 5 3 5" xfId="3270" xr:uid="{00000000-0005-0000-0000-00001F810000}"/>
    <cellStyle name="Normal 5 5 4" xfId="17953" xr:uid="{00000000-0005-0000-0000-000020810000}"/>
    <cellStyle name="Normal 5 5 4 2" xfId="29687" xr:uid="{00000000-0005-0000-0000-000021810000}"/>
    <cellStyle name="Normal 5 5 4 2 2" xfId="24782" xr:uid="{00000000-0005-0000-0000-000022810000}"/>
    <cellStyle name="Normal 5 5 4 2 2 2" xfId="3269" xr:uid="{00000000-0005-0000-0000-000023810000}"/>
    <cellStyle name="Normal 5 5 4 2 3" xfId="3268" xr:uid="{00000000-0005-0000-0000-000024810000}"/>
    <cellStyle name="Normal 5 5 4 3" xfId="29593" xr:uid="{00000000-0005-0000-0000-000025810000}"/>
    <cellStyle name="Normal 5 5 4 3 2" xfId="3266" xr:uid="{00000000-0005-0000-0000-000026810000}"/>
    <cellStyle name="Normal 5 5 4 4" xfId="3265" xr:uid="{00000000-0005-0000-0000-000027810000}"/>
    <cellStyle name="Normal 5 5 5" xfId="28110" xr:uid="{00000000-0005-0000-0000-000028810000}"/>
    <cellStyle name="Normal 5 5 5 2" xfId="32537" xr:uid="{00000000-0005-0000-0000-000029810000}"/>
    <cellStyle name="Normal 5 5 5 2 2" xfId="3264" xr:uid="{00000000-0005-0000-0000-00002A810000}"/>
    <cellStyle name="Normal 5 5 5 3" xfId="20914" xr:uid="{00000000-0005-0000-0000-00002B810000}"/>
    <cellStyle name="Normal 5 5 6" xfId="28107" xr:uid="{00000000-0005-0000-0000-00002C810000}"/>
    <cellStyle name="Normal 5 5 6 2" xfId="20882" xr:uid="{00000000-0005-0000-0000-00002D810000}"/>
    <cellStyle name="Normal 5 5 7" xfId="3263" xr:uid="{00000000-0005-0000-0000-00002E810000}"/>
    <cellStyle name="Normal 5 5 7 2" xfId="28710" xr:uid="{00000000-0005-0000-0000-00002F810000}"/>
    <cellStyle name="Normal 5 5 8" xfId="3261" xr:uid="{00000000-0005-0000-0000-000030810000}"/>
    <cellStyle name="Normal 5 6" xfId="3259" xr:uid="{00000000-0005-0000-0000-000031810000}"/>
    <cellStyle name="Normal 5 6 2" xfId="3258" xr:uid="{00000000-0005-0000-0000-000032810000}"/>
    <cellStyle name="Normal 5 6 2 2" xfId="28612" xr:uid="{00000000-0005-0000-0000-000033810000}"/>
    <cellStyle name="Normal 5 6 2 2 2" xfId="3257" xr:uid="{00000000-0005-0000-0000-000034810000}"/>
    <cellStyle name="Normal 5 6 2 2 2 2" xfId="3256" xr:uid="{00000000-0005-0000-0000-000035810000}"/>
    <cellStyle name="Normal 5 6 2 2 2 2 2" xfId="3255" xr:uid="{00000000-0005-0000-0000-000036810000}"/>
    <cellStyle name="Normal 5 6 2 2 2 3" xfId="11369" xr:uid="{00000000-0005-0000-0000-000037810000}"/>
    <cellStyle name="Normal 5 6 2 2 3" xfId="3907" xr:uid="{00000000-0005-0000-0000-000038810000}"/>
    <cellStyle name="Normal 5 6 2 2 3 2" xfId="3254" xr:uid="{00000000-0005-0000-0000-000039810000}"/>
    <cellStyle name="Normal 5 6 2 2 4" xfId="3252" xr:uid="{00000000-0005-0000-0000-00003A810000}"/>
    <cellStyle name="Normal 5 6 2 3" xfId="3250" xr:uid="{00000000-0005-0000-0000-00003B810000}"/>
    <cellStyle name="Normal 5 6 2 3 2" xfId="17817" xr:uid="{00000000-0005-0000-0000-00003C810000}"/>
    <cellStyle name="Normal 5 6 2 3 2 2" xfId="3249" xr:uid="{00000000-0005-0000-0000-00003D810000}"/>
    <cellStyle name="Normal 5 6 2 3 3" xfId="17813" xr:uid="{00000000-0005-0000-0000-00003E810000}"/>
    <cellStyle name="Normal 5 6 2 4" xfId="3248" xr:uid="{00000000-0005-0000-0000-00003F810000}"/>
    <cellStyle name="Normal 5 6 2 4 2" xfId="20203" xr:uid="{00000000-0005-0000-0000-000040810000}"/>
    <cellStyle name="Normal 5 6 2 5" xfId="3247" xr:uid="{00000000-0005-0000-0000-000041810000}"/>
    <cellStyle name="Normal 5 6 2 5 2" xfId="3246" xr:uid="{00000000-0005-0000-0000-000042810000}"/>
    <cellStyle name="Normal 5 6 2 6" xfId="3245" xr:uid="{00000000-0005-0000-0000-000043810000}"/>
    <cellStyle name="Normal 5 6 2 6 2" xfId="12390" xr:uid="{00000000-0005-0000-0000-000044810000}"/>
    <cellStyle name="Normal 5 6 2 7" xfId="3244" xr:uid="{00000000-0005-0000-0000-000045810000}"/>
    <cellStyle name="Normal 5 6 3" xfId="28288" xr:uid="{00000000-0005-0000-0000-000046810000}"/>
    <cellStyle name="Normal 5 6 3 2" xfId="3243" xr:uid="{00000000-0005-0000-0000-000047810000}"/>
    <cellStyle name="Normal 5 6 3 2 2" xfId="3242" xr:uid="{00000000-0005-0000-0000-000048810000}"/>
    <cellStyle name="Normal 5 6 3 2 2 2" xfId="3241" xr:uid="{00000000-0005-0000-0000-000049810000}"/>
    <cellStyle name="Normal 5 6 3 2 3" xfId="3240" xr:uid="{00000000-0005-0000-0000-00004A810000}"/>
    <cellStyle name="Normal 5 6 3 3" xfId="3238" xr:uid="{00000000-0005-0000-0000-00004B810000}"/>
    <cellStyle name="Normal 5 6 3 3 2" xfId="19377" xr:uid="{00000000-0005-0000-0000-00004C810000}"/>
    <cellStyle name="Normal 5 6 3 4" xfId="3237" xr:uid="{00000000-0005-0000-0000-00004D810000}"/>
    <cellStyle name="Normal 5 6 4" xfId="28098" xr:uid="{00000000-0005-0000-0000-00004E810000}"/>
    <cellStyle name="Normal 5 6 4 2" xfId="21260" xr:uid="{00000000-0005-0000-0000-00004F810000}"/>
    <cellStyle name="Normal 5 6 4 2 2" xfId="3236" xr:uid="{00000000-0005-0000-0000-000050810000}"/>
    <cellStyle name="Normal 5 6 4 3" xfId="3235" xr:uid="{00000000-0005-0000-0000-000051810000}"/>
    <cellStyle name="Normal 5 6 5" xfId="30903" xr:uid="{00000000-0005-0000-0000-000052810000}"/>
    <cellStyle name="Normal 5 6 5 2" xfId="13623" xr:uid="{00000000-0005-0000-0000-000053810000}"/>
    <cellStyle name="Normal 5 6 6" xfId="3234" xr:uid="{00000000-0005-0000-0000-000054810000}"/>
    <cellStyle name="Normal 5 6 6 2" xfId="25608" xr:uid="{00000000-0005-0000-0000-000055810000}"/>
    <cellStyle name="Normal 5 6 7" xfId="11037" xr:uid="{00000000-0005-0000-0000-000056810000}"/>
    <cellStyle name="Normal 5 6 7 2" xfId="4809" xr:uid="{00000000-0005-0000-0000-000057810000}"/>
    <cellStyle name="Normal 5 6 8" xfId="3232" xr:uid="{00000000-0005-0000-0000-000058810000}"/>
    <cellStyle name="Normal 5 7" xfId="3231" xr:uid="{00000000-0005-0000-0000-000059810000}"/>
    <cellStyle name="Normal 5 7 2" xfId="3230" xr:uid="{00000000-0005-0000-0000-00005A810000}"/>
    <cellStyle name="Normal 5 7 2 2" xfId="3228" xr:uid="{00000000-0005-0000-0000-00005B810000}"/>
    <cellStyle name="Normal 5 7 2 2 2" xfId="3227" xr:uid="{00000000-0005-0000-0000-00005C810000}"/>
    <cellStyle name="Normal 5 7 2 2 2 2" xfId="3226" xr:uid="{00000000-0005-0000-0000-00005D810000}"/>
    <cellStyle name="Normal 5 7 2 2 3" xfId="3225" xr:uid="{00000000-0005-0000-0000-00005E810000}"/>
    <cellStyle name="Normal 5 7 2 3" xfId="3223" xr:uid="{00000000-0005-0000-0000-00005F810000}"/>
    <cellStyle name="Normal 5 7 2 3 2" xfId="17809" xr:uid="{00000000-0005-0000-0000-000060810000}"/>
    <cellStyle name="Normal 5 7 2 4" xfId="3222" xr:uid="{00000000-0005-0000-0000-000061810000}"/>
    <cellStyle name="Normal 5 7 2 4 2" xfId="3221" xr:uid="{00000000-0005-0000-0000-000062810000}"/>
    <cellStyle name="Normal 5 7 2 5" xfId="3220" xr:uid="{00000000-0005-0000-0000-000063810000}"/>
    <cellStyle name="Normal 5 7 2 5 2" xfId="3219" xr:uid="{00000000-0005-0000-0000-000064810000}"/>
    <cellStyle name="Normal 5 7 2 6" xfId="3218" xr:uid="{00000000-0005-0000-0000-000065810000}"/>
    <cellStyle name="Normal 5 7 2 6 2" xfId="3217" xr:uid="{00000000-0005-0000-0000-000066810000}"/>
    <cellStyle name="Normal 5 7 2 7" xfId="3216" xr:uid="{00000000-0005-0000-0000-000067810000}"/>
    <cellStyle name="Normal 5 7 3" xfId="3215" xr:uid="{00000000-0005-0000-0000-000068810000}"/>
    <cellStyle name="Normal 5 7 3 2" xfId="3214" xr:uid="{00000000-0005-0000-0000-000069810000}"/>
    <cellStyle name="Normal 5 7 3 2 2" xfId="3213" xr:uid="{00000000-0005-0000-0000-00006A810000}"/>
    <cellStyle name="Normal 5 7 3 3" xfId="17777" xr:uid="{00000000-0005-0000-0000-00006B810000}"/>
    <cellStyle name="Normal 5 7 4" xfId="28094" xr:uid="{00000000-0005-0000-0000-00006C810000}"/>
    <cellStyle name="Normal 5 7 4 2" xfId="3212" xr:uid="{00000000-0005-0000-0000-00006D810000}"/>
    <cellStyle name="Normal 5 7 5" xfId="3211" xr:uid="{00000000-0005-0000-0000-00006E810000}"/>
    <cellStyle name="Normal 5 7 5 2" xfId="3210" xr:uid="{00000000-0005-0000-0000-00006F810000}"/>
    <cellStyle name="Normal 5 7 6" xfId="3209" xr:uid="{00000000-0005-0000-0000-000070810000}"/>
    <cellStyle name="Normal 5 7 6 2" xfId="3207" xr:uid="{00000000-0005-0000-0000-000071810000}"/>
    <cellStyle name="Normal 5 7 7" xfId="20627" xr:uid="{00000000-0005-0000-0000-000072810000}"/>
    <cellStyle name="Normal 5 7 7 2" xfId="3206" xr:uid="{00000000-0005-0000-0000-000073810000}"/>
    <cellStyle name="Normal 5 7 8" xfId="21507" xr:uid="{00000000-0005-0000-0000-000074810000}"/>
    <cellStyle name="Normal 5 8" xfId="22932" xr:uid="{00000000-0005-0000-0000-000075810000}"/>
    <cellStyle name="Normal 5 8 2" xfId="22928" xr:uid="{00000000-0005-0000-0000-000076810000}"/>
    <cellStyle name="Normal 5 8 2 2" xfId="33833" xr:uid="{00000000-0005-0000-0000-000077810000}"/>
    <cellStyle name="Normal 5 8 2 2 2" xfId="3205" xr:uid="{00000000-0005-0000-0000-000078810000}"/>
    <cellStyle name="Normal 5 8 2 3" xfId="3204" xr:uid="{00000000-0005-0000-0000-000079810000}"/>
    <cellStyle name="Normal 5 8 2 3 2" xfId="3202" xr:uid="{00000000-0005-0000-0000-00007A810000}"/>
    <cellStyle name="Normal 5 8 2 4" xfId="3200" xr:uid="{00000000-0005-0000-0000-00007B810000}"/>
    <cellStyle name="Normal 5 8 2 4 2" xfId="3198" xr:uid="{00000000-0005-0000-0000-00007C810000}"/>
    <cellStyle name="Normal 5 8 2 5" xfId="12757" xr:uid="{00000000-0005-0000-0000-00007D810000}"/>
    <cellStyle name="Normal 5 8 2 5 2" xfId="21216" xr:uid="{00000000-0005-0000-0000-00007E810000}"/>
    <cellStyle name="Normal 5 8 2 6" xfId="3197" xr:uid="{00000000-0005-0000-0000-00007F810000}"/>
    <cellStyle name="Normal 5 8 2 6 2" xfId="3196" xr:uid="{00000000-0005-0000-0000-000080810000}"/>
    <cellStyle name="Normal 5 8 2 7" xfId="24728" xr:uid="{00000000-0005-0000-0000-000081810000}"/>
    <cellStyle name="Normal 5 8 3" xfId="29700" xr:uid="{00000000-0005-0000-0000-000082810000}"/>
    <cellStyle name="Normal 5 8 3 2" xfId="3195" xr:uid="{00000000-0005-0000-0000-000083810000}"/>
    <cellStyle name="Normal 5 8 4" xfId="29691" xr:uid="{00000000-0005-0000-0000-000084810000}"/>
    <cellStyle name="Normal 5 8 4 2" xfId="3194" xr:uid="{00000000-0005-0000-0000-000085810000}"/>
    <cellStyle name="Normal 5 8 5" xfId="33593" xr:uid="{00000000-0005-0000-0000-000086810000}"/>
    <cellStyle name="Normal 5 8 5 2" xfId="3193" xr:uid="{00000000-0005-0000-0000-000087810000}"/>
    <cellStyle name="Normal 5 8 6" xfId="3192" xr:uid="{00000000-0005-0000-0000-000088810000}"/>
    <cellStyle name="Normal 5 8 6 2" xfId="3191" xr:uid="{00000000-0005-0000-0000-000089810000}"/>
    <cellStyle name="Normal 5 8 7" xfId="3190" xr:uid="{00000000-0005-0000-0000-00008A810000}"/>
    <cellStyle name="Normal 5 8 7 2" xfId="34384" xr:uid="{00000000-0005-0000-0000-00008B810000}"/>
    <cellStyle name="Normal 5 8 8" xfId="3189" xr:uid="{00000000-0005-0000-0000-00008C810000}"/>
    <cellStyle name="Normal 5 9" xfId="22919" xr:uid="{00000000-0005-0000-0000-00008D810000}"/>
    <cellStyle name="Normal 5 9 2" xfId="22915" xr:uid="{00000000-0005-0000-0000-00008E810000}"/>
    <cellStyle name="Normal 5 9 2 2" xfId="3188" xr:uid="{00000000-0005-0000-0000-00008F810000}"/>
    <cellStyle name="Normal 5 9 2 2 2" xfId="28789" xr:uid="{00000000-0005-0000-0000-000090810000}"/>
    <cellStyle name="Normal 5 9 2 3" xfId="3186" xr:uid="{00000000-0005-0000-0000-000091810000}"/>
    <cellStyle name="Normal 5 9 2 3 2" xfId="23413" xr:uid="{00000000-0005-0000-0000-000092810000}"/>
    <cellStyle name="Normal 5 9 2 4" xfId="3184" xr:uid="{00000000-0005-0000-0000-000093810000}"/>
    <cellStyle name="Normal 5 9 2 4 2" xfId="3183" xr:uid="{00000000-0005-0000-0000-000094810000}"/>
    <cellStyle name="Normal 5 9 2 5" xfId="3182" xr:uid="{00000000-0005-0000-0000-000095810000}"/>
    <cellStyle name="Normal 5 9 2 5 2" xfId="3181" xr:uid="{00000000-0005-0000-0000-000096810000}"/>
    <cellStyle name="Normal 5 9 2 6" xfId="24317" xr:uid="{00000000-0005-0000-0000-000097810000}"/>
    <cellStyle name="Normal 5 9 2 6 2" xfId="3180" xr:uid="{00000000-0005-0000-0000-000098810000}"/>
    <cellStyle name="Normal 5 9 2 7" xfId="32881" xr:uid="{00000000-0005-0000-0000-000099810000}"/>
    <cellStyle name="Normal 5 9 3" xfId="29682" xr:uid="{00000000-0005-0000-0000-00009A810000}"/>
    <cellStyle name="Normal 5 9 3 2" xfId="3179" xr:uid="{00000000-0005-0000-0000-00009B810000}"/>
    <cellStyle name="Normal 5 9 4" xfId="33970" xr:uid="{00000000-0005-0000-0000-00009C810000}"/>
    <cellStyle name="Normal 5 9 4 2" xfId="3178" xr:uid="{00000000-0005-0000-0000-00009D810000}"/>
    <cellStyle name="Normal 5 9 5" xfId="3177" xr:uid="{00000000-0005-0000-0000-00009E810000}"/>
    <cellStyle name="Normal 5 9 5 2" xfId="3176" xr:uid="{00000000-0005-0000-0000-00009F810000}"/>
    <cellStyle name="Normal 5 9 6" xfId="15749" xr:uid="{00000000-0005-0000-0000-0000A0810000}"/>
    <cellStyle name="Normal 5 9 6 2" xfId="31055" xr:uid="{00000000-0005-0000-0000-0000A1810000}"/>
    <cellStyle name="Normal 5 9 7" xfId="15738" xr:uid="{00000000-0005-0000-0000-0000A2810000}"/>
    <cellStyle name="Normal 5 9 7 2" xfId="15735" xr:uid="{00000000-0005-0000-0000-0000A3810000}"/>
    <cellStyle name="Normal 5 9 8" xfId="15723" xr:uid="{00000000-0005-0000-0000-0000A4810000}"/>
    <cellStyle name="Normal 50" xfId="36230" xr:uid="{00000000-0005-0000-0000-0000A5810000}"/>
    <cellStyle name="Normal 53" xfId="38298" xr:uid="{9FA7A927-315F-4FC0-9213-B41B21A690CA}"/>
    <cellStyle name="Normal 6" xfId="258" xr:uid="{00000000-0005-0000-0000-0000A6810000}"/>
    <cellStyle name="Normal 6 2" xfId="3175" xr:uid="{00000000-0005-0000-0000-0000A7810000}"/>
    <cellStyle name="Normal 6 3" xfId="34575" xr:uid="{00000000-0005-0000-0000-0000A8810000}"/>
    <cellStyle name="Normal 6 4" xfId="35203" xr:uid="{00000000-0005-0000-0000-0000A9810000}"/>
    <cellStyle name="Normal 6 5" xfId="35432" xr:uid="{00000000-0005-0000-0000-0000AA810000}"/>
    <cellStyle name="Normal 6 6" xfId="36304" xr:uid="{00000000-0005-0000-0000-0000AB810000}"/>
    <cellStyle name="Normal 6 7" xfId="36590" xr:uid="{00000000-0005-0000-0000-0000AC810000}"/>
    <cellStyle name="Normal 6 8" xfId="37475" xr:uid="{00000000-0005-0000-0000-0000AD810000}"/>
    <cellStyle name="Normal 7" xfId="278" xr:uid="{00000000-0005-0000-0000-0000AE810000}"/>
    <cellStyle name="Normal 7 10" xfId="16878" xr:uid="{00000000-0005-0000-0000-0000AF810000}"/>
    <cellStyle name="Normal 7 11" xfId="34589" xr:uid="{00000000-0005-0000-0000-0000B0810000}"/>
    <cellStyle name="Normal 7 2" xfId="3173" xr:uid="{00000000-0005-0000-0000-0000B1810000}"/>
    <cellStyle name="Normal 7 2 2" xfId="3171" xr:uid="{00000000-0005-0000-0000-0000B2810000}"/>
    <cellStyle name="Normal 7 2 2 2" xfId="3169" xr:uid="{00000000-0005-0000-0000-0000B3810000}"/>
    <cellStyle name="Normal 7 2 2 2 2" xfId="19655" xr:uid="{00000000-0005-0000-0000-0000B4810000}"/>
    <cellStyle name="Normal 7 2 2 2 2 2" xfId="15243" xr:uid="{00000000-0005-0000-0000-0000B5810000}"/>
    <cellStyle name="Normal 7 2 2 2 2 2 2" xfId="15241" xr:uid="{00000000-0005-0000-0000-0000B6810000}"/>
    <cellStyle name="Normal 7 2 2 2 2 2 2 2" xfId="3167" xr:uid="{00000000-0005-0000-0000-0000B7810000}"/>
    <cellStyle name="Normal 7 2 2 2 2 2 2 2 2" xfId="33005" xr:uid="{00000000-0005-0000-0000-0000B8810000}"/>
    <cellStyle name="Normal 7 2 2 2 2 2 2 2 2 2" xfId="16158" xr:uid="{00000000-0005-0000-0000-0000B9810000}"/>
    <cellStyle name="Normal 7 2 2 2 2 2 2 2 3" xfId="28748" xr:uid="{00000000-0005-0000-0000-0000BA810000}"/>
    <cellStyle name="Normal 7 2 2 2 2 2 2 3" xfId="3166" xr:uid="{00000000-0005-0000-0000-0000BB810000}"/>
    <cellStyle name="Normal 7 2 2 2 2 2 2 3 2" xfId="28691" xr:uid="{00000000-0005-0000-0000-0000BC810000}"/>
    <cellStyle name="Normal 7 2 2 2 2 2 2 4" xfId="26720" xr:uid="{00000000-0005-0000-0000-0000BD810000}"/>
    <cellStyle name="Normal 7 2 2 2 2 2 3" xfId="3165" xr:uid="{00000000-0005-0000-0000-0000BE810000}"/>
    <cellStyle name="Normal 7 2 2 2 2 2 3 2" xfId="3164" xr:uid="{00000000-0005-0000-0000-0000BF810000}"/>
    <cellStyle name="Normal 7 2 2 2 2 2 3 2 2" xfId="28592" xr:uid="{00000000-0005-0000-0000-0000C0810000}"/>
    <cellStyle name="Normal 7 2 2 2 2 2 3 3" xfId="3163" xr:uid="{00000000-0005-0000-0000-0000C1810000}"/>
    <cellStyle name="Normal 7 2 2 2 2 2 4" xfId="27889" xr:uid="{00000000-0005-0000-0000-0000C2810000}"/>
    <cellStyle name="Normal 7 2 2 2 2 2 4 2" xfId="3162" xr:uid="{00000000-0005-0000-0000-0000C3810000}"/>
    <cellStyle name="Normal 7 2 2 2 2 2 5" xfId="31316" xr:uid="{00000000-0005-0000-0000-0000C4810000}"/>
    <cellStyle name="Normal 7 2 2 2 2 3" xfId="24147" xr:uid="{00000000-0005-0000-0000-0000C5810000}"/>
    <cellStyle name="Normal 7 2 2 2 2 3 2" xfId="3161" xr:uid="{00000000-0005-0000-0000-0000C6810000}"/>
    <cellStyle name="Normal 7 2 2 2 2 3 2 2" xfId="3160" xr:uid="{00000000-0005-0000-0000-0000C7810000}"/>
    <cellStyle name="Normal 7 2 2 2 2 3 2 2 2" xfId="28214" xr:uid="{00000000-0005-0000-0000-0000C8810000}"/>
    <cellStyle name="Normal 7 2 2 2 2 3 2 3" xfId="3159" xr:uid="{00000000-0005-0000-0000-0000C9810000}"/>
    <cellStyle name="Normal 7 2 2 2 2 3 3" xfId="8772" xr:uid="{00000000-0005-0000-0000-0000CA810000}"/>
    <cellStyle name="Normal 7 2 2 2 2 3 3 2" xfId="3158" xr:uid="{00000000-0005-0000-0000-0000CB810000}"/>
    <cellStyle name="Normal 7 2 2 2 2 3 4" xfId="8866" xr:uid="{00000000-0005-0000-0000-0000CC810000}"/>
    <cellStyle name="Normal 7 2 2 2 2 4" xfId="13125" xr:uid="{00000000-0005-0000-0000-0000CD810000}"/>
    <cellStyle name="Normal 7 2 2 2 2 4 2" xfId="13121" xr:uid="{00000000-0005-0000-0000-0000CE810000}"/>
    <cellStyle name="Normal 7 2 2 2 2 4 2 2" xfId="29060" xr:uid="{00000000-0005-0000-0000-0000CF810000}"/>
    <cellStyle name="Normal 7 2 2 2 2 4 3" xfId="8766" xr:uid="{00000000-0005-0000-0000-0000D0810000}"/>
    <cellStyle name="Normal 7 2 2 2 2 5" xfId="13116" xr:uid="{00000000-0005-0000-0000-0000D1810000}"/>
    <cellStyle name="Normal 7 2 2 2 2 5 2" xfId="13114" xr:uid="{00000000-0005-0000-0000-0000D2810000}"/>
    <cellStyle name="Normal 7 2 2 2 2 6" xfId="13110" xr:uid="{00000000-0005-0000-0000-0000D3810000}"/>
    <cellStyle name="Normal 7 2 2 2 3" xfId="3157" xr:uid="{00000000-0005-0000-0000-0000D4810000}"/>
    <cellStyle name="Normal 7 2 2 2 3 2" xfId="15237" xr:uid="{00000000-0005-0000-0000-0000D5810000}"/>
    <cellStyle name="Normal 7 2 2 2 3 2 2" xfId="3156" xr:uid="{00000000-0005-0000-0000-0000D6810000}"/>
    <cellStyle name="Normal 7 2 2 2 3 2 2 2" xfId="7053" xr:uid="{00000000-0005-0000-0000-0000D7810000}"/>
    <cellStyle name="Normal 7 2 2 2 3 2 2 2 2" xfId="30837" xr:uid="{00000000-0005-0000-0000-0000D8810000}"/>
    <cellStyle name="Normal 7 2 2 2 3 2 2 3" xfId="13790" xr:uid="{00000000-0005-0000-0000-0000D9810000}"/>
    <cellStyle name="Normal 7 2 2 2 3 2 3" xfId="3155" xr:uid="{00000000-0005-0000-0000-0000DA810000}"/>
    <cellStyle name="Normal 7 2 2 2 3 2 3 2" xfId="7050" xr:uid="{00000000-0005-0000-0000-0000DB810000}"/>
    <cellStyle name="Normal 7 2 2 2 3 2 4" xfId="33470" xr:uid="{00000000-0005-0000-0000-0000DC810000}"/>
    <cellStyle name="Normal 7 2 2 2 3 3" xfId="3154" xr:uid="{00000000-0005-0000-0000-0000DD810000}"/>
    <cellStyle name="Normal 7 2 2 2 3 3 2" xfId="3153" xr:uid="{00000000-0005-0000-0000-0000DE810000}"/>
    <cellStyle name="Normal 7 2 2 2 3 3 2 2" xfId="7033" xr:uid="{00000000-0005-0000-0000-0000DF810000}"/>
    <cellStyle name="Normal 7 2 2 2 3 3 3" xfId="8757" xr:uid="{00000000-0005-0000-0000-0000E0810000}"/>
    <cellStyle name="Normal 7 2 2 2 3 4" xfId="23292" xr:uid="{00000000-0005-0000-0000-0000E1810000}"/>
    <cellStyle name="Normal 7 2 2 2 3 4 2" xfId="18334" xr:uid="{00000000-0005-0000-0000-0000E2810000}"/>
    <cellStyle name="Normal 7 2 2 2 3 5" xfId="18329" xr:uid="{00000000-0005-0000-0000-0000E3810000}"/>
    <cellStyle name="Normal 7 2 2 2 4" xfId="3152" xr:uid="{00000000-0005-0000-0000-0000E4810000}"/>
    <cellStyle name="Normal 7 2 2 2 4 2" xfId="3151" xr:uid="{00000000-0005-0000-0000-0000E5810000}"/>
    <cellStyle name="Normal 7 2 2 2 4 2 2" xfId="3150" xr:uid="{00000000-0005-0000-0000-0000E6810000}"/>
    <cellStyle name="Normal 7 2 2 2 4 2 2 2" xfId="6978" xr:uid="{00000000-0005-0000-0000-0000E7810000}"/>
    <cellStyle name="Normal 7 2 2 2 4 2 3" xfId="3149" xr:uid="{00000000-0005-0000-0000-0000E8810000}"/>
    <cellStyle name="Normal 7 2 2 2 4 3" xfId="3148" xr:uid="{00000000-0005-0000-0000-0000E9810000}"/>
    <cellStyle name="Normal 7 2 2 2 4 3 2" xfId="3147" xr:uid="{00000000-0005-0000-0000-0000EA810000}"/>
    <cellStyle name="Normal 7 2 2 2 4 4" xfId="18321" xr:uid="{00000000-0005-0000-0000-0000EB810000}"/>
    <cellStyle name="Normal 7 2 2 2 5" xfId="3146" xr:uid="{00000000-0005-0000-0000-0000EC810000}"/>
    <cellStyle name="Normal 7 2 2 2 5 2" xfId="3145" xr:uid="{00000000-0005-0000-0000-0000ED810000}"/>
    <cellStyle name="Normal 7 2 2 2 5 2 2" xfId="3144" xr:uid="{00000000-0005-0000-0000-0000EE810000}"/>
    <cellStyle name="Normal 7 2 2 2 5 3" xfId="3143" xr:uid="{00000000-0005-0000-0000-0000EF810000}"/>
    <cellStyle name="Normal 7 2 2 2 6" xfId="29864" xr:uid="{00000000-0005-0000-0000-0000F0810000}"/>
    <cellStyle name="Normal 7 2 2 2 6 2" xfId="3142" xr:uid="{00000000-0005-0000-0000-0000F1810000}"/>
    <cellStyle name="Normal 7 2 2 2 7" xfId="29235" xr:uid="{00000000-0005-0000-0000-0000F2810000}"/>
    <cellStyle name="Normal 7 2 2 3" xfId="10957" xr:uid="{00000000-0005-0000-0000-0000F3810000}"/>
    <cellStyle name="Normal 7 2 2 3 2" xfId="8486" xr:uid="{00000000-0005-0000-0000-0000F4810000}"/>
    <cellStyle name="Normal 7 2 2 3 2 2" xfId="20542" xr:uid="{00000000-0005-0000-0000-0000F5810000}"/>
    <cellStyle name="Normal 7 2 2 3 2 2 2" xfId="12305" xr:uid="{00000000-0005-0000-0000-0000F6810000}"/>
    <cellStyle name="Normal 7 2 2 3 2 2 2 2" xfId="3141" xr:uid="{00000000-0005-0000-0000-0000F7810000}"/>
    <cellStyle name="Normal 7 2 2 3 2 2 2 2 2" xfId="3140" xr:uid="{00000000-0005-0000-0000-0000F8810000}"/>
    <cellStyle name="Normal 7 2 2 3 2 2 2 3" xfId="3139" xr:uid="{00000000-0005-0000-0000-0000F9810000}"/>
    <cellStyle name="Normal 7 2 2 3 2 2 3" xfId="3138" xr:uid="{00000000-0005-0000-0000-0000FA810000}"/>
    <cellStyle name="Normal 7 2 2 3 2 2 3 2" xfId="3137" xr:uid="{00000000-0005-0000-0000-0000FB810000}"/>
    <cellStyle name="Normal 7 2 2 3 2 2 4" xfId="22356" xr:uid="{00000000-0005-0000-0000-0000FC810000}"/>
    <cellStyle name="Normal 7 2 2 3 2 3" xfId="3136" xr:uid="{00000000-0005-0000-0000-0000FD810000}"/>
    <cellStyle name="Normal 7 2 2 3 2 3 2" xfId="3135" xr:uid="{00000000-0005-0000-0000-0000FE810000}"/>
    <cellStyle name="Normal 7 2 2 3 2 3 2 2" xfId="3134" xr:uid="{00000000-0005-0000-0000-0000FF810000}"/>
    <cellStyle name="Normal 7 2 2 3 2 3 3" xfId="8740" xr:uid="{00000000-0005-0000-0000-000000820000}"/>
    <cellStyle name="Normal 7 2 2 3 2 4" xfId="12890" xr:uid="{00000000-0005-0000-0000-000001820000}"/>
    <cellStyle name="Normal 7 2 2 3 2 4 2" xfId="12888" xr:uid="{00000000-0005-0000-0000-000002820000}"/>
    <cellStyle name="Normal 7 2 2 3 2 5" xfId="12884" xr:uid="{00000000-0005-0000-0000-000003820000}"/>
    <cellStyle name="Normal 7 2 2 3 3" xfId="3133" xr:uid="{00000000-0005-0000-0000-000004820000}"/>
    <cellStyle name="Normal 7 2 2 3 3 2" xfId="3132" xr:uid="{00000000-0005-0000-0000-000005820000}"/>
    <cellStyle name="Normal 7 2 2 3 3 2 2" xfId="3131" xr:uid="{00000000-0005-0000-0000-000006820000}"/>
    <cellStyle name="Normal 7 2 2 3 3 2 2 2" xfId="6870" xr:uid="{00000000-0005-0000-0000-000007820000}"/>
    <cellStyle name="Normal 7 2 2 3 3 2 3" xfId="3130" xr:uid="{00000000-0005-0000-0000-000008820000}"/>
    <cellStyle name="Normal 7 2 2 3 3 3" xfId="3129" xr:uid="{00000000-0005-0000-0000-000009820000}"/>
    <cellStyle name="Normal 7 2 2 3 3 3 2" xfId="3128" xr:uid="{00000000-0005-0000-0000-00000A820000}"/>
    <cellStyle name="Normal 7 2 2 3 3 4" xfId="29756" xr:uid="{00000000-0005-0000-0000-00000B820000}"/>
    <cellStyle name="Normal 7 2 2 3 4" xfId="17098" xr:uid="{00000000-0005-0000-0000-00000C820000}"/>
    <cellStyle name="Normal 7 2 2 3 4 2" xfId="3127" xr:uid="{00000000-0005-0000-0000-00000D820000}"/>
    <cellStyle name="Normal 7 2 2 3 4 2 2" xfId="3126" xr:uid="{00000000-0005-0000-0000-00000E820000}"/>
    <cellStyle name="Normal 7 2 2 3 4 3" xfId="3125" xr:uid="{00000000-0005-0000-0000-00000F820000}"/>
    <cellStyle name="Normal 7 2 2 3 5" xfId="3124" xr:uid="{00000000-0005-0000-0000-000010820000}"/>
    <cellStyle name="Normal 7 2 2 3 5 2" xfId="3123" xr:uid="{00000000-0005-0000-0000-000011820000}"/>
    <cellStyle name="Normal 7 2 2 3 6" xfId="29223" xr:uid="{00000000-0005-0000-0000-000012820000}"/>
    <cellStyle name="Normal 7 2 2 4" xfId="11634" xr:uid="{00000000-0005-0000-0000-000013820000}"/>
    <cellStyle name="Normal 7 2 2 4 2" xfId="3122" xr:uid="{00000000-0005-0000-0000-000014820000}"/>
    <cellStyle name="Normal 7 2 2 4 2 2" xfId="3121" xr:uid="{00000000-0005-0000-0000-000015820000}"/>
    <cellStyle name="Normal 7 2 2 4 2 2 2" xfId="3120" xr:uid="{00000000-0005-0000-0000-000016820000}"/>
    <cellStyle name="Normal 7 2 2 4 2 2 2 2" xfId="3119" xr:uid="{00000000-0005-0000-0000-000017820000}"/>
    <cellStyle name="Normal 7 2 2 4 2 2 3" xfId="3118" xr:uid="{00000000-0005-0000-0000-000018820000}"/>
    <cellStyle name="Normal 7 2 2 4 2 3" xfId="3117" xr:uid="{00000000-0005-0000-0000-000019820000}"/>
    <cellStyle name="Normal 7 2 2 4 2 3 2" xfId="3116" xr:uid="{00000000-0005-0000-0000-00001A820000}"/>
    <cellStyle name="Normal 7 2 2 4 2 4" xfId="29846" xr:uid="{00000000-0005-0000-0000-00001B820000}"/>
    <cellStyle name="Normal 7 2 2 4 3" xfId="3115" xr:uid="{00000000-0005-0000-0000-00001C820000}"/>
    <cellStyle name="Normal 7 2 2 4 3 2" xfId="3114" xr:uid="{00000000-0005-0000-0000-00001D820000}"/>
    <cellStyle name="Normal 7 2 2 4 3 2 2" xfId="3113" xr:uid="{00000000-0005-0000-0000-00001E820000}"/>
    <cellStyle name="Normal 7 2 2 4 3 3" xfId="3112" xr:uid="{00000000-0005-0000-0000-00001F820000}"/>
    <cellStyle name="Normal 7 2 2 4 4" xfId="3111" xr:uid="{00000000-0005-0000-0000-000020820000}"/>
    <cellStyle name="Normal 7 2 2 4 4 2" xfId="3110" xr:uid="{00000000-0005-0000-0000-000021820000}"/>
    <cellStyle name="Normal 7 2 2 4 5" xfId="3109" xr:uid="{00000000-0005-0000-0000-000022820000}"/>
    <cellStyle name="Normal 7 2 2 5" xfId="3108" xr:uid="{00000000-0005-0000-0000-000023820000}"/>
    <cellStyle name="Normal 7 2 2 5 2" xfId="3107" xr:uid="{00000000-0005-0000-0000-000024820000}"/>
    <cellStyle name="Normal 7 2 2 5 2 2" xfId="3106" xr:uid="{00000000-0005-0000-0000-000025820000}"/>
    <cellStyle name="Normal 7 2 2 5 2 2 2" xfId="3105" xr:uid="{00000000-0005-0000-0000-000026820000}"/>
    <cellStyle name="Normal 7 2 2 5 2 3" xfId="10449" xr:uid="{00000000-0005-0000-0000-000027820000}"/>
    <cellStyle name="Normal 7 2 2 5 3" xfId="3104" xr:uid="{00000000-0005-0000-0000-000028820000}"/>
    <cellStyle name="Normal 7 2 2 5 3 2" xfId="3103" xr:uid="{00000000-0005-0000-0000-000029820000}"/>
    <cellStyle name="Normal 7 2 2 5 4" xfId="3102" xr:uid="{00000000-0005-0000-0000-00002A820000}"/>
    <cellStyle name="Normal 7 2 2 6" xfId="29315" xr:uid="{00000000-0005-0000-0000-00002B820000}"/>
    <cellStyle name="Normal 7 2 2 6 2" xfId="3101" xr:uid="{00000000-0005-0000-0000-00002C820000}"/>
    <cellStyle name="Normal 7 2 2 6 2 2" xfId="3100" xr:uid="{00000000-0005-0000-0000-00002D820000}"/>
    <cellStyle name="Normal 7 2 2 6 3" xfId="3099" xr:uid="{00000000-0005-0000-0000-00002E820000}"/>
    <cellStyle name="Normal 7 2 2 7" xfId="30543" xr:uid="{00000000-0005-0000-0000-00002F820000}"/>
    <cellStyle name="Normal 7 2 2 7 2" xfId="3098" xr:uid="{00000000-0005-0000-0000-000030820000}"/>
    <cellStyle name="Normal 7 2 2 8" xfId="16041" xr:uid="{00000000-0005-0000-0000-000031820000}"/>
    <cellStyle name="Normal 7 2 3" xfId="3097" xr:uid="{00000000-0005-0000-0000-000032820000}"/>
    <cellStyle name="Normal 7 2 3 2" xfId="14628" xr:uid="{00000000-0005-0000-0000-000033820000}"/>
    <cellStyle name="Normal 7 2 3 2 2" xfId="3095" xr:uid="{00000000-0005-0000-0000-000034820000}"/>
    <cellStyle name="Normal 7 2 3 2 2 2" xfId="14958" xr:uid="{00000000-0005-0000-0000-000035820000}"/>
    <cellStyle name="Normal 7 2 3 2 2 2 2" xfId="3094" xr:uid="{00000000-0005-0000-0000-000036820000}"/>
    <cellStyle name="Normal 7 2 3 2 2 2 2 2" xfId="3093" xr:uid="{00000000-0005-0000-0000-000037820000}"/>
    <cellStyle name="Normal 7 2 3 2 2 2 2 2 2" xfId="3092" xr:uid="{00000000-0005-0000-0000-000038820000}"/>
    <cellStyle name="Normal 7 2 3 2 2 2 2 3" xfId="3091" xr:uid="{00000000-0005-0000-0000-000039820000}"/>
    <cellStyle name="Normal 7 2 3 2 2 2 3" xfId="3090" xr:uid="{00000000-0005-0000-0000-00003A820000}"/>
    <cellStyle name="Normal 7 2 3 2 2 2 3 2" xfId="3089" xr:uid="{00000000-0005-0000-0000-00003B820000}"/>
    <cellStyle name="Normal 7 2 3 2 2 2 4" xfId="23113" xr:uid="{00000000-0005-0000-0000-00003C820000}"/>
    <cellStyle name="Normal 7 2 3 2 2 3" xfId="3088" xr:uid="{00000000-0005-0000-0000-00003D820000}"/>
    <cellStyle name="Normal 7 2 3 2 2 3 2" xfId="3087" xr:uid="{00000000-0005-0000-0000-00003E820000}"/>
    <cellStyle name="Normal 7 2 3 2 2 3 2 2" xfId="3086" xr:uid="{00000000-0005-0000-0000-00003F820000}"/>
    <cellStyle name="Normal 7 2 3 2 2 3 3" xfId="8720" xr:uid="{00000000-0005-0000-0000-000040820000}"/>
    <cellStyle name="Normal 7 2 3 2 2 4" xfId="7166" xr:uid="{00000000-0005-0000-0000-000041820000}"/>
    <cellStyle name="Normal 7 2 3 2 2 4 2" xfId="12438" xr:uid="{00000000-0005-0000-0000-000042820000}"/>
    <cellStyle name="Normal 7 2 3 2 2 5" xfId="17440" xr:uid="{00000000-0005-0000-0000-000043820000}"/>
    <cellStyle name="Normal 7 2 3 2 3" xfId="3085" xr:uid="{00000000-0005-0000-0000-000044820000}"/>
    <cellStyle name="Normal 7 2 3 2 3 2" xfId="3084" xr:uid="{00000000-0005-0000-0000-000045820000}"/>
    <cellStyle name="Normal 7 2 3 2 3 2 2" xfId="3083" xr:uid="{00000000-0005-0000-0000-000046820000}"/>
    <cellStyle name="Normal 7 2 3 2 3 2 2 2" xfId="33510" xr:uid="{00000000-0005-0000-0000-000047820000}"/>
    <cellStyle name="Normal 7 2 3 2 3 2 3" xfId="3082" xr:uid="{00000000-0005-0000-0000-000048820000}"/>
    <cellStyle name="Normal 7 2 3 2 3 3" xfId="3081" xr:uid="{00000000-0005-0000-0000-000049820000}"/>
    <cellStyle name="Normal 7 2 3 2 3 3 2" xfId="3080" xr:uid="{00000000-0005-0000-0000-00004A820000}"/>
    <cellStyle name="Normal 7 2 3 2 3 4" xfId="27486" xr:uid="{00000000-0005-0000-0000-00004B820000}"/>
    <cellStyle name="Normal 7 2 3 2 4" xfId="3079" xr:uid="{00000000-0005-0000-0000-00004C820000}"/>
    <cellStyle name="Normal 7 2 3 2 4 2" xfId="28198" xr:uid="{00000000-0005-0000-0000-00004D820000}"/>
    <cellStyle name="Normal 7 2 3 2 4 2 2" xfId="3078" xr:uid="{00000000-0005-0000-0000-00004E820000}"/>
    <cellStyle name="Normal 7 2 3 2 4 3" xfId="23818" xr:uid="{00000000-0005-0000-0000-00004F820000}"/>
    <cellStyle name="Normal 7 2 3 2 5" xfId="3077" xr:uid="{00000000-0005-0000-0000-000050820000}"/>
    <cellStyle name="Normal 7 2 3 2 5 2" xfId="23802" xr:uid="{00000000-0005-0000-0000-000051820000}"/>
    <cellStyle name="Normal 7 2 3 2 6" xfId="33936" xr:uid="{00000000-0005-0000-0000-000052820000}"/>
    <cellStyle name="Normal 7 2 3 3" xfId="33959" xr:uid="{00000000-0005-0000-0000-000053820000}"/>
    <cellStyle name="Normal 7 2 3 3 2" xfId="19229" xr:uid="{00000000-0005-0000-0000-000054820000}"/>
    <cellStyle name="Normal 7 2 3 3 2 2" xfId="3076" xr:uid="{00000000-0005-0000-0000-000055820000}"/>
    <cellStyle name="Normal 7 2 3 3 2 2 2" xfId="3075" xr:uid="{00000000-0005-0000-0000-000056820000}"/>
    <cellStyle name="Normal 7 2 3 3 2 2 2 2" xfId="3074" xr:uid="{00000000-0005-0000-0000-000057820000}"/>
    <cellStyle name="Normal 7 2 3 3 2 2 3" xfId="3073" xr:uid="{00000000-0005-0000-0000-000058820000}"/>
    <cellStyle name="Normal 7 2 3 3 2 3" xfId="3072" xr:uid="{00000000-0005-0000-0000-000059820000}"/>
    <cellStyle name="Normal 7 2 3 3 2 3 2" xfId="3071" xr:uid="{00000000-0005-0000-0000-00005A820000}"/>
    <cellStyle name="Normal 7 2 3 3 2 4" xfId="17432" xr:uid="{00000000-0005-0000-0000-00005B820000}"/>
    <cellStyle name="Normal 7 2 3 3 3" xfId="8960" xr:uid="{00000000-0005-0000-0000-00005C820000}"/>
    <cellStyle name="Normal 7 2 3 3 3 2" xfId="3070" xr:uid="{00000000-0005-0000-0000-00005D820000}"/>
    <cellStyle name="Normal 7 2 3 3 3 2 2" xfId="3069" xr:uid="{00000000-0005-0000-0000-00005E820000}"/>
    <cellStyle name="Normal 7 2 3 3 3 3" xfId="3068" xr:uid="{00000000-0005-0000-0000-00005F820000}"/>
    <cellStyle name="Normal 7 2 3 3 4" xfId="28427" xr:uid="{00000000-0005-0000-0000-000060820000}"/>
    <cellStyle name="Normal 7 2 3 3 4 2" xfId="23765" xr:uid="{00000000-0005-0000-0000-000061820000}"/>
    <cellStyle name="Normal 7 2 3 3 5" xfId="25362" xr:uid="{00000000-0005-0000-0000-000062820000}"/>
    <cellStyle name="Normal 7 2 3 4" xfId="4696" xr:uid="{00000000-0005-0000-0000-000063820000}"/>
    <cellStyle name="Normal 7 2 3 4 2" xfId="8946" xr:uid="{00000000-0005-0000-0000-000064820000}"/>
    <cellStyle name="Normal 7 2 3 4 2 2" xfId="3067" xr:uid="{00000000-0005-0000-0000-000065820000}"/>
    <cellStyle name="Normal 7 2 3 4 2 2 2" xfId="3066" xr:uid="{00000000-0005-0000-0000-000066820000}"/>
    <cellStyle name="Normal 7 2 3 4 2 3" xfId="3065" xr:uid="{00000000-0005-0000-0000-000067820000}"/>
    <cellStyle name="Normal 7 2 3 4 3" xfId="8939" xr:uid="{00000000-0005-0000-0000-000068820000}"/>
    <cellStyle name="Normal 7 2 3 4 3 2" xfId="3064" xr:uid="{00000000-0005-0000-0000-000069820000}"/>
    <cellStyle name="Normal 7 2 3 4 4" xfId="25888" xr:uid="{00000000-0005-0000-0000-00006A820000}"/>
    <cellStyle name="Normal 7 2 3 5" xfId="3063" xr:uid="{00000000-0005-0000-0000-00006B820000}"/>
    <cellStyle name="Normal 7 2 3 5 2" xfId="16274" xr:uid="{00000000-0005-0000-0000-00006C820000}"/>
    <cellStyle name="Normal 7 2 3 5 2 2" xfId="3062" xr:uid="{00000000-0005-0000-0000-00006D820000}"/>
    <cellStyle name="Normal 7 2 3 5 3" xfId="8927" xr:uid="{00000000-0005-0000-0000-00006E820000}"/>
    <cellStyle name="Normal 7 2 3 6" xfId="15390" xr:uid="{00000000-0005-0000-0000-00006F820000}"/>
    <cellStyle name="Normal 7 2 3 6 2" xfId="8923" xr:uid="{00000000-0005-0000-0000-000070820000}"/>
    <cellStyle name="Normal 7 2 3 7" xfId="3061" xr:uid="{00000000-0005-0000-0000-000071820000}"/>
    <cellStyle name="Normal 7 2 4" xfId="31132" xr:uid="{00000000-0005-0000-0000-000072820000}"/>
    <cellStyle name="Normal 7 2 4 2" xfId="23767" xr:uid="{00000000-0005-0000-0000-000073820000}"/>
    <cellStyle name="Normal 7 2 4 2 2" xfId="27884" xr:uid="{00000000-0005-0000-0000-000074820000}"/>
    <cellStyle name="Normal 7 2 4 2 2 2" xfId="15876" xr:uid="{00000000-0005-0000-0000-000075820000}"/>
    <cellStyle name="Normal 7 2 4 2 2 2 2" xfId="3060" xr:uid="{00000000-0005-0000-0000-000076820000}"/>
    <cellStyle name="Normal 7 2 4 2 2 2 2 2" xfId="15392" xr:uid="{00000000-0005-0000-0000-000077820000}"/>
    <cellStyle name="Normal 7 2 4 2 2 2 3" xfId="3059" xr:uid="{00000000-0005-0000-0000-000078820000}"/>
    <cellStyle name="Normal 7 2 4 2 2 3" xfId="3058" xr:uid="{00000000-0005-0000-0000-000079820000}"/>
    <cellStyle name="Normal 7 2 4 2 2 3 2" xfId="3057" xr:uid="{00000000-0005-0000-0000-00007A820000}"/>
    <cellStyle name="Normal 7 2 4 2 2 4" xfId="5871" xr:uid="{00000000-0005-0000-0000-00007B820000}"/>
    <cellStyle name="Normal 7 2 4 2 3" xfId="27882" xr:uid="{00000000-0005-0000-0000-00007C820000}"/>
    <cellStyle name="Normal 7 2 4 2 3 2" xfId="24978" xr:uid="{00000000-0005-0000-0000-00007D820000}"/>
    <cellStyle name="Normal 7 2 4 2 3 2 2" xfId="3056" xr:uid="{00000000-0005-0000-0000-00007E820000}"/>
    <cellStyle name="Normal 7 2 4 2 3 3" xfId="30964" xr:uid="{00000000-0005-0000-0000-00007F820000}"/>
    <cellStyle name="Normal 7 2 4 2 4" xfId="3055" xr:uid="{00000000-0005-0000-0000-000080820000}"/>
    <cellStyle name="Normal 7 2 4 2 4 2" xfId="21879" xr:uid="{00000000-0005-0000-0000-000081820000}"/>
    <cellStyle name="Normal 7 2 4 2 5" xfId="3054" xr:uid="{00000000-0005-0000-0000-000082820000}"/>
    <cellStyle name="Normal 7 2 4 3" xfId="5761" xr:uid="{00000000-0005-0000-0000-000083820000}"/>
    <cellStyle name="Normal 7 2 4 3 2" xfId="15763" xr:uid="{00000000-0005-0000-0000-000084820000}"/>
    <cellStyle name="Normal 7 2 4 3 2 2" xfId="3053" xr:uid="{00000000-0005-0000-0000-000085820000}"/>
    <cellStyle name="Normal 7 2 4 3 2 2 2" xfId="3052" xr:uid="{00000000-0005-0000-0000-000086820000}"/>
    <cellStyle name="Normal 7 2 4 3 2 3" xfId="3051" xr:uid="{00000000-0005-0000-0000-000087820000}"/>
    <cellStyle name="Normal 7 2 4 3 3" xfId="26269" xr:uid="{00000000-0005-0000-0000-000088820000}"/>
    <cellStyle name="Normal 7 2 4 3 3 2" xfId="21871" xr:uid="{00000000-0005-0000-0000-000089820000}"/>
    <cellStyle name="Normal 7 2 4 3 4" xfId="25314" xr:uid="{00000000-0005-0000-0000-00008A820000}"/>
    <cellStyle name="Normal 7 2 4 4" xfId="12346" xr:uid="{00000000-0005-0000-0000-00008B820000}"/>
    <cellStyle name="Normal 7 2 4 4 2" xfId="8901" xr:uid="{00000000-0005-0000-0000-00008C820000}"/>
    <cellStyle name="Normal 7 2 4 4 2 2" xfId="3050" xr:uid="{00000000-0005-0000-0000-00008D820000}"/>
    <cellStyle name="Normal 7 2 4 4 3" xfId="8899" xr:uid="{00000000-0005-0000-0000-00008E820000}"/>
    <cellStyle name="Normal 7 2 4 5" xfId="3049" xr:uid="{00000000-0005-0000-0000-00008F820000}"/>
    <cellStyle name="Normal 7 2 4 5 2" xfId="8892" xr:uid="{00000000-0005-0000-0000-000090820000}"/>
    <cellStyle name="Normal 7 2 4 6" xfId="3048" xr:uid="{00000000-0005-0000-0000-000091820000}"/>
    <cellStyle name="Normal 7 2 5" xfId="27868" xr:uid="{00000000-0005-0000-0000-000092820000}"/>
    <cellStyle name="Normal 7 2 5 2" xfId="27864" xr:uid="{00000000-0005-0000-0000-000093820000}"/>
    <cellStyle name="Normal 7 2 5 2 2" xfId="23496" xr:uid="{00000000-0005-0000-0000-000094820000}"/>
    <cellStyle name="Normal 7 2 5 2 2 2" xfId="3047" xr:uid="{00000000-0005-0000-0000-000095820000}"/>
    <cellStyle name="Normal 7 2 5 2 2 2 2" xfId="27001" xr:uid="{00000000-0005-0000-0000-000096820000}"/>
    <cellStyle name="Normal 7 2 5 2 2 3" xfId="3046" xr:uid="{00000000-0005-0000-0000-000097820000}"/>
    <cellStyle name="Normal 7 2 5 2 3" xfId="3045" xr:uid="{00000000-0005-0000-0000-000098820000}"/>
    <cellStyle name="Normal 7 2 5 2 3 2" xfId="21846" xr:uid="{00000000-0005-0000-0000-000099820000}"/>
    <cellStyle name="Normal 7 2 5 2 4" xfId="3044" xr:uid="{00000000-0005-0000-0000-00009A820000}"/>
    <cellStyle name="Normal 7 2 5 3" xfId="5757" xr:uid="{00000000-0005-0000-0000-00009B820000}"/>
    <cellStyle name="Normal 7 2 5 3 2" xfId="8878" xr:uid="{00000000-0005-0000-0000-00009C820000}"/>
    <cellStyle name="Normal 7 2 5 3 2 2" xfId="3043" xr:uid="{00000000-0005-0000-0000-00009D820000}"/>
    <cellStyle name="Normal 7 2 5 3 3" xfId="8876" xr:uid="{00000000-0005-0000-0000-00009E820000}"/>
    <cellStyle name="Normal 7 2 5 4" xfId="3042" xr:uid="{00000000-0005-0000-0000-00009F820000}"/>
    <cellStyle name="Normal 7 2 5 4 2" xfId="8873" xr:uid="{00000000-0005-0000-0000-0000A0820000}"/>
    <cellStyle name="Normal 7 2 5 5" xfId="3041" xr:uid="{00000000-0005-0000-0000-0000A1820000}"/>
    <cellStyle name="Normal 7 2 6" xfId="20222" xr:uid="{00000000-0005-0000-0000-0000A2820000}"/>
    <cellStyle name="Normal 7 2 6 2" xfId="27859" xr:uid="{00000000-0005-0000-0000-0000A3820000}"/>
    <cellStyle name="Normal 7 2 6 2 2" xfId="3040" xr:uid="{00000000-0005-0000-0000-0000A4820000}"/>
    <cellStyle name="Normal 7 2 6 2 2 2" xfId="3039" xr:uid="{00000000-0005-0000-0000-0000A5820000}"/>
    <cellStyle name="Normal 7 2 6 2 3" xfId="3038" xr:uid="{00000000-0005-0000-0000-0000A6820000}"/>
    <cellStyle name="Normal 7 2 6 3" xfId="3037" xr:uid="{00000000-0005-0000-0000-0000A7820000}"/>
    <cellStyle name="Normal 7 2 6 3 2" xfId="8862" xr:uid="{00000000-0005-0000-0000-0000A8820000}"/>
    <cellStyle name="Normal 7 2 6 4" xfId="3036" xr:uid="{00000000-0005-0000-0000-0000A9820000}"/>
    <cellStyle name="Normal 7 2 7" xfId="16724" xr:uid="{00000000-0005-0000-0000-0000AA820000}"/>
    <cellStyle name="Normal 7 2 7 2" xfId="3035" xr:uid="{00000000-0005-0000-0000-0000AB820000}"/>
    <cellStyle name="Normal 7 2 7 2 2" xfId="7789" xr:uid="{00000000-0005-0000-0000-0000AC820000}"/>
    <cellStyle name="Normal 7 2 7 3" xfId="3034" xr:uid="{00000000-0005-0000-0000-0000AD820000}"/>
    <cellStyle name="Normal 7 2 8" xfId="27999" xr:uid="{00000000-0005-0000-0000-0000AE820000}"/>
    <cellStyle name="Normal 7 2 8 2" xfId="3033" xr:uid="{00000000-0005-0000-0000-0000AF820000}"/>
    <cellStyle name="Normal 7 2 9" xfId="3032" xr:uid="{00000000-0005-0000-0000-0000B0820000}"/>
    <cellStyle name="Normal 7 3" xfId="3031" xr:uid="{00000000-0005-0000-0000-0000B1820000}"/>
    <cellStyle name="Normal 7 3 2" xfId="3029" xr:uid="{00000000-0005-0000-0000-0000B2820000}"/>
    <cellStyle name="Normal 7 3 2 2" xfId="20188" xr:uid="{00000000-0005-0000-0000-0000B3820000}"/>
    <cellStyle name="Normal 7 3 2 2 2" xfId="3027" xr:uid="{00000000-0005-0000-0000-0000B4820000}"/>
    <cellStyle name="Normal 7 3 2 2 2 2" xfId="25717" xr:uid="{00000000-0005-0000-0000-0000B5820000}"/>
    <cellStyle name="Normal 7 3 2 2 2 2 2" xfId="3026" xr:uid="{00000000-0005-0000-0000-0000B6820000}"/>
    <cellStyle name="Normal 7 3 2 2 2 2 2 2" xfId="12430" xr:uid="{00000000-0005-0000-0000-0000B7820000}"/>
    <cellStyle name="Normal 7 3 2 2 2 2 2 2 2" xfId="12427" xr:uid="{00000000-0005-0000-0000-0000B8820000}"/>
    <cellStyle name="Normal 7 3 2 2 2 2 2 3" xfId="12316" xr:uid="{00000000-0005-0000-0000-0000B9820000}"/>
    <cellStyle name="Normal 7 3 2 2 2 2 3" xfId="3025" xr:uid="{00000000-0005-0000-0000-0000BA820000}"/>
    <cellStyle name="Normal 7 3 2 2 2 2 3 2" xfId="12097" xr:uid="{00000000-0005-0000-0000-0000BB820000}"/>
    <cellStyle name="Normal 7 3 2 2 2 2 4" xfId="25613" xr:uid="{00000000-0005-0000-0000-0000BC820000}"/>
    <cellStyle name="Normal 7 3 2 2 2 3" xfId="3024" xr:uid="{00000000-0005-0000-0000-0000BD820000}"/>
    <cellStyle name="Normal 7 3 2 2 2 3 2" xfId="3023" xr:uid="{00000000-0005-0000-0000-0000BE820000}"/>
    <cellStyle name="Normal 7 3 2 2 2 3 2 2" xfId="31921" xr:uid="{00000000-0005-0000-0000-0000BF820000}"/>
    <cellStyle name="Normal 7 3 2 2 2 3 3" xfId="8589" xr:uid="{00000000-0005-0000-0000-0000C0820000}"/>
    <cellStyle name="Normal 7 3 2 2 2 4" xfId="10965" xr:uid="{00000000-0005-0000-0000-0000C1820000}"/>
    <cellStyle name="Normal 7 3 2 2 2 4 2" xfId="10963" xr:uid="{00000000-0005-0000-0000-0000C2820000}"/>
    <cellStyle name="Normal 7 3 2 2 2 5" xfId="10950" xr:uid="{00000000-0005-0000-0000-0000C3820000}"/>
    <cellStyle name="Normal 7 3 2 2 3" xfId="4206" xr:uid="{00000000-0005-0000-0000-0000C4820000}"/>
    <cellStyle name="Normal 7 3 2 2 3 2" xfId="3022" xr:uid="{00000000-0005-0000-0000-0000C5820000}"/>
    <cellStyle name="Normal 7 3 2 2 3 2 2" xfId="3021" xr:uid="{00000000-0005-0000-0000-0000C6820000}"/>
    <cellStyle name="Normal 7 3 2 2 3 2 2 2" xfId="12169" xr:uid="{00000000-0005-0000-0000-0000C7820000}"/>
    <cellStyle name="Normal 7 3 2 2 3 2 3" xfId="3020" xr:uid="{00000000-0005-0000-0000-0000C8820000}"/>
    <cellStyle name="Normal 7 3 2 2 3 3" xfId="3019" xr:uid="{00000000-0005-0000-0000-0000C9820000}"/>
    <cellStyle name="Normal 7 3 2 2 3 3 2" xfId="3018" xr:uid="{00000000-0005-0000-0000-0000CA820000}"/>
    <cellStyle name="Normal 7 3 2 2 3 4" xfId="24239" xr:uid="{00000000-0005-0000-0000-0000CB820000}"/>
    <cellStyle name="Normal 7 3 2 2 4" xfId="11979" xr:uid="{00000000-0005-0000-0000-0000CC820000}"/>
    <cellStyle name="Normal 7 3 2 2 4 2" xfId="3017" xr:uid="{00000000-0005-0000-0000-0000CD820000}"/>
    <cellStyle name="Normal 7 3 2 2 4 2 2" xfId="3016" xr:uid="{00000000-0005-0000-0000-0000CE820000}"/>
    <cellStyle name="Normal 7 3 2 2 4 3" xfId="3015" xr:uid="{00000000-0005-0000-0000-0000CF820000}"/>
    <cellStyle name="Normal 7 3 2 2 5" xfId="10272" xr:uid="{00000000-0005-0000-0000-0000D0820000}"/>
    <cellStyle name="Normal 7 3 2 2 5 2" xfId="3014" xr:uid="{00000000-0005-0000-0000-0000D1820000}"/>
    <cellStyle name="Normal 7 3 2 2 6" xfId="29187" xr:uid="{00000000-0005-0000-0000-0000D2820000}"/>
    <cellStyle name="Normal 7 3 2 3" xfId="32134" xr:uid="{00000000-0005-0000-0000-0000D3820000}"/>
    <cellStyle name="Normal 7 3 2 3 2" xfId="3013" xr:uid="{00000000-0005-0000-0000-0000D4820000}"/>
    <cellStyle name="Normal 7 3 2 3 2 2" xfId="3012" xr:uid="{00000000-0005-0000-0000-0000D5820000}"/>
    <cellStyle name="Normal 7 3 2 3 2 2 2" xfId="32707" xr:uid="{00000000-0005-0000-0000-0000D6820000}"/>
    <cellStyle name="Normal 7 3 2 3 2 2 2 2" xfId="3011" xr:uid="{00000000-0005-0000-0000-0000D7820000}"/>
    <cellStyle name="Normal 7 3 2 3 2 2 3" xfId="32007" xr:uid="{00000000-0005-0000-0000-0000D8820000}"/>
    <cellStyle name="Normal 7 3 2 3 2 3" xfId="3010" xr:uid="{00000000-0005-0000-0000-0000D9820000}"/>
    <cellStyle name="Normal 7 3 2 3 2 3 2" xfId="3009" xr:uid="{00000000-0005-0000-0000-0000DA820000}"/>
    <cellStyle name="Normal 7 3 2 3 2 4" xfId="10585" xr:uid="{00000000-0005-0000-0000-0000DB820000}"/>
    <cellStyle name="Normal 7 3 2 3 3" xfId="4203" xr:uid="{00000000-0005-0000-0000-0000DC820000}"/>
    <cellStyle name="Normal 7 3 2 3 3 2" xfId="3008" xr:uid="{00000000-0005-0000-0000-0000DD820000}"/>
    <cellStyle name="Normal 7 3 2 3 3 2 2" xfId="3007" xr:uid="{00000000-0005-0000-0000-0000DE820000}"/>
    <cellStyle name="Normal 7 3 2 3 3 3" xfId="3006" xr:uid="{00000000-0005-0000-0000-0000DF820000}"/>
    <cellStyle name="Normal 7 3 2 3 4" xfId="15628" xr:uid="{00000000-0005-0000-0000-0000E0820000}"/>
    <cellStyle name="Normal 7 3 2 3 4 2" xfId="18870" xr:uid="{00000000-0005-0000-0000-0000E1820000}"/>
    <cellStyle name="Normal 7 3 2 3 5" xfId="3005" xr:uid="{00000000-0005-0000-0000-0000E2820000}"/>
    <cellStyle name="Normal 7 3 2 4" xfId="3004" xr:uid="{00000000-0005-0000-0000-0000E3820000}"/>
    <cellStyle name="Normal 7 3 2 4 2" xfId="3003" xr:uid="{00000000-0005-0000-0000-0000E4820000}"/>
    <cellStyle name="Normal 7 3 2 4 2 2" xfId="3002" xr:uid="{00000000-0005-0000-0000-0000E5820000}"/>
    <cellStyle name="Normal 7 3 2 4 2 2 2" xfId="3001" xr:uid="{00000000-0005-0000-0000-0000E6820000}"/>
    <cellStyle name="Normal 7 3 2 4 2 3" xfId="3000" xr:uid="{00000000-0005-0000-0000-0000E7820000}"/>
    <cellStyle name="Normal 7 3 2 4 3" xfId="4200" xr:uid="{00000000-0005-0000-0000-0000E8820000}"/>
    <cellStyle name="Normal 7 3 2 4 3 2" xfId="2999" xr:uid="{00000000-0005-0000-0000-0000E9820000}"/>
    <cellStyle name="Normal 7 3 2 4 4" xfId="2998" xr:uid="{00000000-0005-0000-0000-0000EA820000}"/>
    <cellStyle name="Normal 7 3 2 5" xfId="2997" xr:uid="{00000000-0005-0000-0000-0000EB820000}"/>
    <cellStyle name="Normal 7 3 2 5 2" xfId="2996" xr:uid="{00000000-0005-0000-0000-0000EC820000}"/>
    <cellStyle name="Normal 7 3 2 5 2 2" xfId="13713" xr:uid="{00000000-0005-0000-0000-0000ED820000}"/>
    <cellStyle name="Normal 7 3 2 5 3" xfId="2995" xr:uid="{00000000-0005-0000-0000-0000EE820000}"/>
    <cellStyle name="Normal 7 3 2 6" xfId="30552" xr:uid="{00000000-0005-0000-0000-0000EF820000}"/>
    <cellStyle name="Normal 7 3 2 6 2" xfId="2994" xr:uid="{00000000-0005-0000-0000-0000F0820000}"/>
    <cellStyle name="Normal 7 3 2 7" xfId="7064" xr:uid="{00000000-0005-0000-0000-0000F1820000}"/>
    <cellStyle name="Normal 7 3 3" xfId="2993" xr:uid="{00000000-0005-0000-0000-0000F2820000}"/>
    <cellStyle name="Normal 7 3 3 2" xfId="2990" xr:uid="{00000000-0005-0000-0000-0000F3820000}"/>
    <cellStyle name="Normal 7 3 3 2 2" xfId="2989" xr:uid="{00000000-0005-0000-0000-0000F4820000}"/>
    <cellStyle name="Normal 7 3 3 2 2 2" xfId="2988" xr:uid="{00000000-0005-0000-0000-0000F5820000}"/>
    <cellStyle name="Normal 7 3 3 2 2 2 2" xfId="2987" xr:uid="{00000000-0005-0000-0000-0000F6820000}"/>
    <cellStyle name="Normal 7 3 3 2 2 2 2 2" xfId="11726" xr:uid="{00000000-0005-0000-0000-0000F7820000}"/>
    <cellStyle name="Normal 7 3 3 2 2 2 3" xfId="2986" xr:uid="{00000000-0005-0000-0000-0000F8820000}"/>
    <cellStyle name="Normal 7 3 3 2 2 3" xfId="2985" xr:uid="{00000000-0005-0000-0000-0000F9820000}"/>
    <cellStyle name="Normal 7 3 3 2 2 3 2" xfId="2984" xr:uid="{00000000-0005-0000-0000-0000FA820000}"/>
    <cellStyle name="Normal 7 3 3 2 2 4" xfId="17400" xr:uid="{00000000-0005-0000-0000-0000FB820000}"/>
    <cellStyle name="Normal 7 3 3 2 3" xfId="2983" xr:uid="{00000000-0005-0000-0000-0000FC820000}"/>
    <cellStyle name="Normal 7 3 3 2 3 2" xfId="2982" xr:uid="{00000000-0005-0000-0000-0000FD820000}"/>
    <cellStyle name="Normal 7 3 3 2 3 2 2" xfId="2981" xr:uid="{00000000-0005-0000-0000-0000FE820000}"/>
    <cellStyle name="Normal 7 3 3 2 3 3" xfId="2980" xr:uid="{00000000-0005-0000-0000-0000FF820000}"/>
    <cellStyle name="Normal 7 3 3 2 4" xfId="9523" xr:uid="{00000000-0005-0000-0000-000000830000}"/>
    <cellStyle name="Normal 7 3 3 2 4 2" xfId="21175" xr:uid="{00000000-0005-0000-0000-000001830000}"/>
    <cellStyle name="Normal 7 3 3 2 5" xfId="2979" xr:uid="{00000000-0005-0000-0000-000002830000}"/>
    <cellStyle name="Normal 7 3 3 3" xfId="2978" xr:uid="{00000000-0005-0000-0000-000003830000}"/>
    <cellStyle name="Normal 7 3 3 3 2" xfId="8844" xr:uid="{00000000-0005-0000-0000-000004830000}"/>
    <cellStyle name="Normal 7 3 3 3 2 2" xfId="2977" xr:uid="{00000000-0005-0000-0000-000005830000}"/>
    <cellStyle name="Normal 7 3 3 3 2 2 2" xfId="23711" xr:uid="{00000000-0005-0000-0000-000006830000}"/>
    <cellStyle name="Normal 7 3 3 3 2 3" xfId="3557" xr:uid="{00000000-0005-0000-0000-000007830000}"/>
    <cellStyle name="Normal 7 3 3 3 3" xfId="30907" xr:uid="{00000000-0005-0000-0000-000008830000}"/>
    <cellStyle name="Normal 7 3 3 3 3 2" xfId="6459" xr:uid="{00000000-0005-0000-0000-000009830000}"/>
    <cellStyle name="Normal 7 3 3 3 4" xfId="30977" xr:uid="{00000000-0005-0000-0000-00000A830000}"/>
    <cellStyle name="Normal 7 3 3 4" xfId="2976" xr:uid="{00000000-0005-0000-0000-00000B830000}"/>
    <cellStyle name="Normal 7 3 3 4 2" xfId="14086" xr:uid="{00000000-0005-0000-0000-00000C830000}"/>
    <cellStyle name="Normal 7 3 3 4 2 2" xfId="2975" xr:uid="{00000000-0005-0000-0000-00000D830000}"/>
    <cellStyle name="Normal 7 3 3 4 3" xfId="8829" xr:uid="{00000000-0005-0000-0000-00000E830000}"/>
    <cellStyle name="Normal 7 3 3 5" xfId="2974" xr:uid="{00000000-0005-0000-0000-00000F830000}"/>
    <cellStyle name="Normal 7 3 3 5 2" xfId="8827" xr:uid="{00000000-0005-0000-0000-000010830000}"/>
    <cellStyle name="Normal 7 3 3 6" xfId="2973" xr:uid="{00000000-0005-0000-0000-000011830000}"/>
    <cellStyle name="Normal 7 3 4" xfId="33348" xr:uid="{00000000-0005-0000-0000-000012830000}"/>
    <cellStyle name="Normal 7 3 4 2" xfId="27857" xr:uid="{00000000-0005-0000-0000-000013830000}"/>
    <cellStyle name="Normal 7 3 4 2 2" xfId="32850" xr:uid="{00000000-0005-0000-0000-000014830000}"/>
    <cellStyle name="Normal 7 3 4 2 2 2" xfId="2972" xr:uid="{00000000-0005-0000-0000-000015830000}"/>
    <cellStyle name="Normal 7 3 4 2 2 2 2" xfId="2971" xr:uid="{00000000-0005-0000-0000-000016830000}"/>
    <cellStyle name="Normal 7 3 4 2 2 3" xfId="2970" xr:uid="{00000000-0005-0000-0000-000017830000}"/>
    <cellStyle name="Normal 7 3 4 2 3" xfId="2969" xr:uid="{00000000-0005-0000-0000-000018830000}"/>
    <cellStyle name="Normal 7 3 4 2 3 2" xfId="21806" xr:uid="{00000000-0005-0000-0000-000019830000}"/>
    <cellStyle name="Normal 7 3 4 2 4" xfId="2968" xr:uid="{00000000-0005-0000-0000-00001A830000}"/>
    <cellStyle name="Normal 7 3 4 3" xfId="27852" xr:uid="{00000000-0005-0000-0000-00001B830000}"/>
    <cellStyle name="Normal 7 3 4 3 2" xfId="8812" xr:uid="{00000000-0005-0000-0000-00001C830000}"/>
    <cellStyle name="Normal 7 3 4 3 2 2" xfId="2967" xr:uid="{00000000-0005-0000-0000-00001D830000}"/>
    <cellStyle name="Normal 7 3 4 3 3" xfId="8810" xr:uid="{00000000-0005-0000-0000-00001E830000}"/>
    <cellStyle name="Normal 7 3 4 4" xfId="2966" xr:uid="{00000000-0005-0000-0000-00001F830000}"/>
    <cellStyle name="Normal 7 3 4 4 2" xfId="22329" xr:uid="{00000000-0005-0000-0000-000020830000}"/>
    <cellStyle name="Normal 7 3 4 5" xfId="2965" xr:uid="{00000000-0005-0000-0000-000021830000}"/>
    <cellStyle name="Normal 7 3 5" xfId="27848" xr:uid="{00000000-0005-0000-0000-000022830000}"/>
    <cellStyle name="Normal 7 3 5 2" xfId="27846" xr:uid="{00000000-0005-0000-0000-000023830000}"/>
    <cellStyle name="Normal 7 3 5 2 2" xfId="2964" xr:uid="{00000000-0005-0000-0000-000024830000}"/>
    <cellStyle name="Normal 7 3 5 2 2 2" xfId="2963" xr:uid="{00000000-0005-0000-0000-000025830000}"/>
    <cellStyle name="Normal 7 3 5 2 3" xfId="2962" xr:uid="{00000000-0005-0000-0000-000026830000}"/>
    <cellStyle name="Normal 7 3 5 3" xfId="2961" xr:uid="{00000000-0005-0000-0000-000027830000}"/>
    <cellStyle name="Normal 7 3 5 3 2" xfId="8793" xr:uid="{00000000-0005-0000-0000-000028830000}"/>
    <cellStyle name="Normal 7 3 5 4" xfId="2960" xr:uid="{00000000-0005-0000-0000-000029830000}"/>
    <cellStyle name="Normal 7 3 6" xfId="31366" xr:uid="{00000000-0005-0000-0000-00002A830000}"/>
    <cellStyle name="Normal 7 3 6 2" xfId="21475" xr:uid="{00000000-0005-0000-0000-00002B830000}"/>
    <cellStyle name="Normal 7 3 6 2 2" xfId="2959" xr:uid="{00000000-0005-0000-0000-00002C830000}"/>
    <cellStyle name="Normal 7 3 6 3" xfId="2958" xr:uid="{00000000-0005-0000-0000-00002D830000}"/>
    <cellStyle name="Normal 7 3 7" xfId="16721" xr:uid="{00000000-0005-0000-0000-00002E830000}"/>
    <cellStyle name="Normal 7 3 7 2" xfId="2957" xr:uid="{00000000-0005-0000-0000-00002F830000}"/>
    <cellStyle name="Normal 7 3 8" xfId="2956" xr:uid="{00000000-0005-0000-0000-000030830000}"/>
    <cellStyle name="Normal 7 4" xfId="2955" xr:uid="{00000000-0005-0000-0000-000031830000}"/>
    <cellStyle name="Normal 7 4 2" xfId="2953" xr:uid="{00000000-0005-0000-0000-000032830000}"/>
    <cellStyle name="Normal 7 4 2 2" xfId="31810" xr:uid="{00000000-0005-0000-0000-000033830000}"/>
    <cellStyle name="Normal 7 4 2 2 2" xfId="2951" xr:uid="{00000000-0005-0000-0000-000034830000}"/>
    <cellStyle name="Normal 7 4 2 2 2 2" xfId="2950" xr:uid="{00000000-0005-0000-0000-000035830000}"/>
    <cellStyle name="Normal 7 4 2 2 2 2 2" xfId="18076" xr:uid="{00000000-0005-0000-0000-000036830000}"/>
    <cellStyle name="Normal 7 4 2 2 2 2 2 2" xfId="2949" xr:uid="{00000000-0005-0000-0000-000037830000}"/>
    <cellStyle name="Normal 7 4 2 2 2 2 3" xfId="2948" xr:uid="{00000000-0005-0000-0000-000038830000}"/>
    <cellStyle name="Normal 7 4 2 2 2 3" xfId="2947" xr:uid="{00000000-0005-0000-0000-000039830000}"/>
    <cellStyle name="Normal 7 4 2 2 2 3 2" xfId="33322" xr:uid="{00000000-0005-0000-0000-00003A830000}"/>
    <cellStyle name="Normal 7 4 2 2 2 4" xfId="25402" xr:uid="{00000000-0005-0000-0000-00003B830000}"/>
    <cellStyle name="Normal 7 4 2 2 3" xfId="2946" xr:uid="{00000000-0005-0000-0000-00003C830000}"/>
    <cellStyle name="Normal 7 4 2 2 3 2" xfId="21450" xr:uid="{00000000-0005-0000-0000-00003D830000}"/>
    <cellStyle name="Normal 7 4 2 2 3 2 2" xfId="2944" xr:uid="{00000000-0005-0000-0000-00003E830000}"/>
    <cellStyle name="Normal 7 4 2 2 3 3" xfId="21446" xr:uid="{00000000-0005-0000-0000-00003F830000}"/>
    <cellStyle name="Normal 7 4 2 2 4" xfId="8409" xr:uid="{00000000-0005-0000-0000-000040830000}"/>
    <cellStyle name="Normal 7 4 2 2 4 2" xfId="21428" xr:uid="{00000000-0005-0000-0000-000041830000}"/>
    <cellStyle name="Normal 7 4 2 2 5" xfId="2943" xr:uid="{00000000-0005-0000-0000-000042830000}"/>
    <cellStyle name="Normal 7 4 2 3" xfId="2942" xr:uid="{00000000-0005-0000-0000-000043830000}"/>
    <cellStyle name="Normal 7 4 2 3 2" xfId="2941" xr:uid="{00000000-0005-0000-0000-000044830000}"/>
    <cellStyle name="Normal 7 4 2 3 2 2" xfId="2940" xr:uid="{00000000-0005-0000-0000-000045830000}"/>
    <cellStyle name="Normal 7 4 2 3 2 2 2" xfId="8957" xr:uid="{00000000-0005-0000-0000-000046830000}"/>
    <cellStyle name="Normal 7 4 2 3 2 3" xfId="2939" xr:uid="{00000000-0005-0000-0000-000047830000}"/>
    <cellStyle name="Normal 7 4 2 3 3" xfId="2938" xr:uid="{00000000-0005-0000-0000-000048830000}"/>
    <cellStyle name="Normal 7 4 2 3 3 2" xfId="21378" xr:uid="{00000000-0005-0000-0000-000049830000}"/>
    <cellStyle name="Normal 7 4 2 3 4" xfId="2936" xr:uid="{00000000-0005-0000-0000-00004A830000}"/>
    <cellStyle name="Normal 7 4 2 4" xfId="2935" xr:uid="{00000000-0005-0000-0000-00004B830000}"/>
    <cellStyle name="Normal 7 4 2 4 2" xfId="2934" xr:uid="{00000000-0005-0000-0000-00004C830000}"/>
    <cellStyle name="Normal 7 4 2 4 2 2" xfId="2933" xr:uid="{00000000-0005-0000-0000-00004D830000}"/>
    <cellStyle name="Normal 7 4 2 4 3" xfId="2932" xr:uid="{00000000-0005-0000-0000-00004E830000}"/>
    <cellStyle name="Normal 7 4 2 5" xfId="2931" xr:uid="{00000000-0005-0000-0000-00004F830000}"/>
    <cellStyle name="Normal 7 4 2 5 2" xfId="2930" xr:uid="{00000000-0005-0000-0000-000050830000}"/>
    <cellStyle name="Normal 7 4 2 6" xfId="2929" xr:uid="{00000000-0005-0000-0000-000051830000}"/>
    <cellStyle name="Normal 7 4 3" xfId="2928" xr:uid="{00000000-0005-0000-0000-000052830000}"/>
    <cellStyle name="Normal 7 4 3 2" xfId="2927" xr:uid="{00000000-0005-0000-0000-000053830000}"/>
    <cellStyle name="Normal 7 4 3 2 2" xfId="2926" xr:uid="{00000000-0005-0000-0000-000054830000}"/>
    <cellStyle name="Normal 7 4 3 2 2 2" xfId="2925" xr:uid="{00000000-0005-0000-0000-000055830000}"/>
    <cellStyle name="Normal 7 4 3 2 2 2 2" xfId="2924" xr:uid="{00000000-0005-0000-0000-000056830000}"/>
    <cellStyle name="Normal 7 4 3 2 2 3" xfId="2923" xr:uid="{00000000-0005-0000-0000-000057830000}"/>
    <cellStyle name="Normal 7 4 3 2 3" xfId="2922" xr:uid="{00000000-0005-0000-0000-000058830000}"/>
    <cellStyle name="Normal 7 4 3 2 3 2" xfId="21237" xr:uid="{00000000-0005-0000-0000-000059830000}"/>
    <cellStyle name="Normal 7 4 3 2 4" xfId="2920" xr:uid="{00000000-0005-0000-0000-00005A830000}"/>
    <cellStyle name="Normal 7 4 3 3" xfId="2919" xr:uid="{00000000-0005-0000-0000-00005B830000}"/>
    <cellStyle name="Normal 7 4 3 3 2" xfId="8769" xr:uid="{00000000-0005-0000-0000-00005C830000}"/>
    <cellStyle name="Normal 7 4 3 3 2 2" xfId="2918" xr:uid="{00000000-0005-0000-0000-00005D830000}"/>
    <cellStyle name="Normal 7 4 3 3 3" xfId="8764" xr:uid="{00000000-0005-0000-0000-00005E830000}"/>
    <cellStyle name="Normal 7 4 3 4" xfId="2917" xr:uid="{00000000-0005-0000-0000-00005F830000}"/>
    <cellStyle name="Normal 7 4 3 4 2" xfId="8754" xr:uid="{00000000-0005-0000-0000-000060830000}"/>
    <cellStyle name="Normal 7 4 3 5" xfId="2916" xr:uid="{00000000-0005-0000-0000-000061830000}"/>
    <cellStyle name="Normal 7 4 4" xfId="27837" xr:uid="{00000000-0005-0000-0000-000062830000}"/>
    <cellStyle name="Normal 7 4 4 2" xfId="29346" xr:uid="{00000000-0005-0000-0000-000063830000}"/>
    <cellStyle name="Normal 7 4 4 2 2" xfId="2915" xr:uid="{00000000-0005-0000-0000-000064830000}"/>
    <cellStyle name="Normal 7 4 4 2 2 2" xfId="2914" xr:uid="{00000000-0005-0000-0000-000065830000}"/>
    <cellStyle name="Normal 7 4 4 2 3" xfId="2913" xr:uid="{00000000-0005-0000-0000-000066830000}"/>
    <cellStyle name="Normal 7 4 4 3" xfId="2912" xr:uid="{00000000-0005-0000-0000-000067830000}"/>
    <cellStyle name="Normal 7 4 4 3 2" xfId="26487" xr:uid="{00000000-0005-0000-0000-000068830000}"/>
    <cellStyle name="Normal 7 4 4 4" xfId="2911" xr:uid="{00000000-0005-0000-0000-000069830000}"/>
    <cellStyle name="Normal 7 4 5" xfId="27832" xr:uid="{00000000-0005-0000-0000-00006A830000}"/>
    <cellStyle name="Normal 7 4 5 2" xfId="2910" xr:uid="{00000000-0005-0000-0000-00006B830000}"/>
    <cellStyle name="Normal 7 4 5 2 2" xfId="2909" xr:uid="{00000000-0005-0000-0000-00006C830000}"/>
    <cellStyle name="Normal 7 4 5 3" xfId="2908" xr:uid="{00000000-0005-0000-0000-00006D830000}"/>
    <cellStyle name="Normal 7 4 6" xfId="2907" xr:uid="{00000000-0005-0000-0000-00006E830000}"/>
    <cellStyle name="Normal 7 4 6 2" xfId="2906" xr:uid="{00000000-0005-0000-0000-00006F830000}"/>
    <cellStyle name="Normal 7 4 7" xfId="2905" xr:uid="{00000000-0005-0000-0000-000070830000}"/>
    <cellStyle name="Normal 7 5" xfId="2904" xr:uid="{00000000-0005-0000-0000-000071830000}"/>
    <cellStyle name="Normal 7 5 2" xfId="2902" xr:uid="{00000000-0005-0000-0000-000072830000}"/>
    <cellStyle name="Normal 7 5 2 2" xfId="2901" xr:uid="{00000000-0005-0000-0000-000073830000}"/>
    <cellStyle name="Normal 7 5 2 2 2" xfId="2900" xr:uid="{00000000-0005-0000-0000-000074830000}"/>
    <cellStyle name="Normal 7 5 2 2 2 2" xfId="2899" xr:uid="{00000000-0005-0000-0000-000075830000}"/>
    <cellStyle name="Normal 7 5 2 2 2 2 2" xfId="2898" xr:uid="{00000000-0005-0000-0000-000076830000}"/>
    <cellStyle name="Normal 7 5 2 2 2 3" xfId="2897" xr:uid="{00000000-0005-0000-0000-000077830000}"/>
    <cellStyle name="Normal 7 5 2 2 3" xfId="2896" xr:uid="{00000000-0005-0000-0000-000078830000}"/>
    <cellStyle name="Normal 7 5 2 2 3 2" xfId="27164" xr:uid="{00000000-0005-0000-0000-000079830000}"/>
    <cellStyle name="Normal 7 5 2 2 4" xfId="2894" xr:uid="{00000000-0005-0000-0000-00007A830000}"/>
    <cellStyle name="Normal 7 5 2 3" xfId="2893" xr:uid="{00000000-0005-0000-0000-00007B830000}"/>
    <cellStyle name="Normal 7 5 2 3 2" xfId="22041" xr:uid="{00000000-0005-0000-0000-00007C830000}"/>
    <cellStyle name="Normal 7 5 2 3 2 2" xfId="2892" xr:uid="{00000000-0005-0000-0000-00007D830000}"/>
    <cellStyle name="Normal 7 5 2 3 3" xfId="2891" xr:uid="{00000000-0005-0000-0000-00007E830000}"/>
    <cellStyle name="Normal 7 5 2 4" xfId="2890" xr:uid="{00000000-0005-0000-0000-00007F830000}"/>
    <cellStyle name="Normal 7 5 2 4 2" xfId="2889" xr:uid="{00000000-0005-0000-0000-000080830000}"/>
    <cellStyle name="Normal 7 5 2 5" xfId="2888" xr:uid="{00000000-0005-0000-0000-000081830000}"/>
    <cellStyle name="Normal 7 5 3" xfId="2887" xr:uid="{00000000-0005-0000-0000-000082830000}"/>
    <cellStyle name="Normal 7 5 3 2" xfId="2886" xr:uid="{00000000-0005-0000-0000-000083830000}"/>
    <cellStyle name="Normal 7 5 3 2 2" xfId="2885" xr:uid="{00000000-0005-0000-0000-000084830000}"/>
    <cellStyle name="Normal 7 5 3 2 2 2" xfId="2884" xr:uid="{00000000-0005-0000-0000-000085830000}"/>
    <cellStyle name="Normal 7 5 3 2 3" xfId="2883" xr:uid="{00000000-0005-0000-0000-000086830000}"/>
    <cellStyle name="Normal 7 5 3 3" xfId="2882" xr:uid="{00000000-0005-0000-0000-000087830000}"/>
    <cellStyle name="Normal 7 5 3 3 2" xfId="8718" xr:uid="{00000000-0005-0000-0000-000088830000}"/>
    <cellStyle name="Normal 7 5 3 4" xfId="2881" xr:uid="{00000000-0005-0000-0000-000089830000}"/>
    <cellStyle name="Normal 7 5 4" xfId="27820" xr:uid="{00000000-0005-0000-0000-00008A830000}"/>
    <cellStyle name="Normal 7 5 4 2" xfId="2880" xr:uid="{00000000-0005-0000-0000-00008B830000}"/>
    <cellStyle name="Normal 7 5 4 2 2" xfId="2879" xr:uid="{00000000-0005-0000-0000-00008C830000}"/>
    <cellStyle name="Normal 7 5 4 3" xfId="2878" xr:uid="{00000000-0005-0000-0000-00008D830000}"/>
    <cellStyle name="Normal 7 5 5" xfId="2877" xr:uid="{00000000-0005-0000-0000-00008E830000}"/>
    <cellStyle name="Normal 7 5 5 2" xfId="2876" xr:uid="{00000000-0005-0000-0000-00008F830000}"/>
    <cellStyle name="Normal 7 5 6" xfId="2875" xr:uid="{00000000-0005-0000-0000-000090830000}"/>
    <cellStyle name="Normal 7 6" xfId="2873" xr:uid="{00000000-0005-0000-0000-000091830000}"/>
    <cellStyle name="Normal 7 6 2" xfId="2872" xr:uid="{00000000-0005-0000-0000-000092830000}"/>
    <cellStyle name="Normal 7 6 2 2" xfId="10984" xr:uid="{00000000-0005-0000-0000-000093830000}"/>
    <cellStyle name="Normal 7 6 2 2 2" xfId="10982" xr:uid="{00000000-0005-0000-0000-000094830000}"/>
    <cellStyle name="Normal 7 6 2 2 2 2" xfId="10977" xr:uid="{00000000-0005-0000-0000-000095830000}"/>
    <cellStyle name="Normal 7 6 2 2 3" xfId="10971" xr:uid="{00000000-0005-0000-0000-000096830000}"/>
    <cellStyle name="Normal 7 6 2 3" xfId="13327" xr:uid="{00000000-0005-0000-0000-000097830000}"/>
    <cellStyle name="Normal 7 6 2 3 2" xfId="10969" xr:uid="{00000000-0005-0000-0000-000098830000}"/>
    <cellStyle name="Normal 7 6 2 4" xfId="13698" xr:uid="{00000000-0005-0000-0000-000099830000}"/>
    <cellStyle name="Normal 7 6 3" xfId="2871" xr:uid="{00000000-0005-0000-0000-00009A830000}"/>
    <cellStyle name="Normal 7 6 3 2" xfId="10944" xr:uid="{00000000-0005-0000-0000-00009B830000}"/>
    <cellStyle name="Normal 7 6 3 2 2" xfId="10942" xr:uid="{00000000-0005-0000-0000-00009C830000}"/>
    <cellStyle name="Normal 7 6 3 3" xfId="10940" xr:uid="{00000000-0005-0000-0000-00009D830000}"/>
    <cellStyle name="Normal 7 6 4" xfId="2870" xr:uid="{00000000-0005-0000-0000-00009E830000}"/>
    <cellStyle name="Normal 7 6 4 2" xfId="10934" xr:uid="{00000000-0005-0000-0000-00009F830000}"/>
    <cellStyle name="Normal 7 6 5" xfId="2869" xr:uid="{00000000-0005-0000-0000-0000A0830000}"/>
    <cellStyle name="Normal 7 7" xfId="7304" xr:uid="{00000000-0005-0000-0000-0000A1830000}"/>
    <cellStyle name="Normal 7 7 2" xfId="21369" xr:uid="{00000000-0005-0000-0000-0000A2830000}"/>
    <cellStyle name="Normal 7 7 2 2" xfId="7300" xr:uid="{00000000-0005-0000-0000-0000A3830000}"/>
    <cellStyle name="Normal 7 7 2 2 2" xfId="10588" xr:uid="{00000000-0005-0000-0000-0000A4830000}"/>
    <cellStyle name="Normal 7 7 2 3" xfId="7296" xr:uid="{00000000-0005-0000-0000-0000A5830000}"/>
    <cellStyle name="Normal 7 7 3" xfId="9763" xr:uid="{00000000-0005-0000-0000-0000A6830000}"/>
    <cellStyle name="Normal 7 7 3 2" xfId="9757" xr:uid="{00000000-0005-0000-0000-0000A7830000}"/>
    <cellStyle name="Normal 7 7 4" xfId="9748" xr:uid="{00000000-0005-0000-0000-0000A8830000}"/>
    <cellStyle name="Normal 7 8" xfId="23361" xr:uid="{00000000-0005-0000-0000-0000A9830000}"/>
    <cellStyle name="Normal 7 8 2" xfId="14509" xr:uid="{00000000-0005-0000-0000-0000AA830000}"/>
    <cellStyle name="Normal 7 8 2 2" xfId="7289" xr:uid="{00000000-0005-0000-0000-0000AB830000}"/>
    <cellStyle name="Normal 7 8 3" xfId="9736" xr:uid="{00000000-0005-0000-0000-0000AC830000}"/>
    <cellStyle name="Normal 7 9" xfId="7284" xr:uid="{00000000-0005-0000-0000-0000AD830000}"/>
    <cellStyle name="Normal 7 9 2" xfId="7281" xr:uid="{00000000-0005-0000-0000-0000AE830000}"/>
    <cellStyle name="Normal 8" xfId="298" xr:uid="{00000000-0005-0000-0000-0000AF830000}"/>
    <cellStyle name="Normal 8 2" xfId="2868" xr:uid="{00000000-0005-0000-0000-0000B0830000}"/>
    <cellStyle name="Normal 8 3" xfId="34603" xr:uid="{00000000-0005-0000-0000-0000B1830000}"/>
    <cellStyle name="Normal 8 4" xfId="35242" xr:uid="{00000000-0005-0000-0000-0000B2830000}"/>
    <cellStyle name="Normal 8 5" xfId="35471" xr:uid="{00000000-0005-0000-0000-0000B3830000}"/>
    <cellStyle name="Normal 8 6" xfId="36343" xr:uid="{00000000-0005-0000-0000-0000B4830000}"/>
    <cellStyle name="Normal 8 7" xfId="36629" xr:uid="{00000000-0005-0000-0000-0000B5830000}"/>
    <cellStyle name="Normal 8 8" xfId="37501" xr:uid="{00000000-0005-0000-0000-0000B6830000}"/>
    <cellStyle name="Normal 9" xfId="318" xr:uid="{00000000-0005-0000-0000-0000B7830000}"/>
    <cellStyle name="Normal 9 10" xfId="21913" xr:uid="{00000000-0005-0000-0000-0000B8830000}"/>
    <cellStyle name="Normal 9 11" xfId="34617" xr:uid="{00000000-0005-0000-0000-0000B9830000}"/>
    <cellStyle name="Normal 9 2" xfId="2866" xr:uid="{00000000-0005-0000-0000-0000BA830000}"/>
    <cellStyle name="Normal 9 2 2" xfId="2864" xr:uid="{00000000-0005-0000-0000-0000BB830000}"/>
    <cellStyle name="Normal 9 2 2 2" xfId="2862" xr:uid="{00000000-0005-0000-0000-0000BC830000}"/>
    <cellStyle name="Normal 9 2 2 2 2" xfId="2861" xr:uid="{00000000-0005-0000-0000-0000BD830000}"/>
    <cellStyle name="Normal 9 2 2 2 2 2" xfId="10954" xr:uid="{00000000-0005-0000-0000-0000BE830000}"/>
    <cellStyle name="Normal 9 2 2 2 2 2 2" xfId="11827" xr:uid="{00000000-0005-0000-0000-0000BF830000}"/>
    <cellStyle name="Normal 9 2 2 2 2 2 2 2" xfId="7501" xr:uid="{00000000-0005-0000-0000-0000C0830000}"/>
    <cellStyle name="Normal 9 2 2 2 2 2 2 2 2" xfId="7499" xr:uid="{00000000-0005-0000-0000-0000C1830000}"/>
    <cellStyle name="Normal 9 2 2 2 2 2 2 3" xfId="7475" xr:uid="{00000000-0005-0000-0000-0000C2830000}"/>
    <cellStyle name="Normal 9 2 2 2 2 2 3" xfId="7451" xr:uid="{00000000-0005-0000-0000-0000C3830000}"/>
    <cellStyle name="Normal 9 2 2 2 2 2 3 2" xfId="7449" xr:uid="{00000000-0005-0000-0000-0000C4830000}"/>
    <cellStyle name="Normal 9 2 2 2 2 2 4" xfId="7413" xr:uid="{00000000-0005-0000-0000-0000C5830000}"/>
    <cellStyle name="Normal 9 2 2 2 2 3" xfId="10952" xr:uid="{00000000-0005-0000-0000-0000C6830000}"/>
    <cellStyle name="Normal 9 2 2 2 2 3 2" xfId="23643" xr:uid="{00000000-0005-0000-0000-0000C7830000}"/>
    <cellStyle name="Normal 9 2 2 2 2 3 2 2" xfId="7303" xr:uid="{00000000-0005-0000-0000-0000C8830000}"/>
    <cellStyle name="Normal 9 2 2 2 2 3 3" xfId="7271" xr:uid="{00000000-0005-0000-0000-0000C9830000}"/>
    <cellStyle name="Normal 9 2 2 2 2 4" xfId="2860" xr:uid="{00000000-0005-0000-0000-0000CA830000}"/>
    <cellStyle name="Normal 9 2 2 2 2 4 2" xfId="12558" xr:uid="{00000000-0005-0000-0000-0000CB830000}"/>
    <cellStyle name="Normal 9 2 2 2 2 5" xfId="21973" xr:uid="{00000000-0005-0000-0000-0000CC830000}"/>
    <cellStyle name="Normal 9 2 2 2 3" xfId="2859" xr:uid="{00000000-0005-0000-0000-0000CD830000}"/>
    <cellStyle name="Normal 9 2 2 2 3 2" xfId="10946" xr:uid="{00000000-0005-0000-0000-0000CE830000}"/>
    <cellStyle name="Normal 9 2 2 2 3 2 2" xfId="7906" xr:uid="{00000000-0005-0000-0000-0000CF830000}"/>
    <cellStyle name="Normal 9 2 2 2 3 2 2 2" xfId="7903" xr:uid="{00000000-0005-0000-0000-0000D0830000}"/>
    <cellStyle name="Normal 9 2 2 2 3 2 3" xfId="15600" xr:uid="{00000000-0005-0000-0000-0000D1830000}"/>
    <cellStyle name="Normal 9 2 2 2 3 3" xfId="2857" xr:uid="{00000000-0005-0000-0000-0000D2830000}"/>
    <cellStyle name="Normal 9 2 2 2 3 3 2" xfId="7895" xr:uid="{00000000-0005-0000-0000-0000D3830000}"/>
    <cellStyle name="Normal 9 2 2 2 3 4" xfId="2856" xr:uid="{00000000-0005-0000-0000-0000D4830000}"/>
    <cellStyle name="Normal 9 2 2 2 4" xfId="29308" xr:uid="{00000000-0005-0000-0000-0000D5830000}"/>
    <cellStyle name="Normal 9 2 2 2 4 2" xfId="2855" xr:uid="{00000000-0005-0000-0000-0000D6830000}"/>
    <cellStyle name="Normal 9 2 2 2 4 2 2" xfId="2854" xr:uid="{00000000-0005-0000-0000-0000D7830000}"/>
    <cellStyle name="Normal 9 2 2 2 4 3" xfId="2853" xr:uid="{00000000-0005-0000-0000-0000D8830000}"/>
    <cellStyle name="Normal 9 2 2 2 5" xfId="2852" xr:uid="{00000000-0005-0000-0000-0000D9830000}"/>
    <cellStyle name="Normal 9 2 2 2 5 2" xfId="2851" xr:uid="{00000000-0005-0000-0000-0000DA830000}"/>
    <cellStyle name="Normal 9 2 2 2 6" xfId="10353" xr:uid="{00000000-0005-0000-0000-0000DB830000}"/>
    <cellStyle name="Normal 9 2 2 3" xfId="2850" xr:uid="{00000000-0005-0000-0000-0000DC830000}"/>
    <cellStyle name="Normal 9 2 2 3 2" xfId="2849" xr:uid="{00000000-0005-0000-0000-0000DD830000}"/>
    <cellStyle name="Normal 9 2 2 3 2 2" xfId="10937" xr:uid="{00000000-0005-0000-0000-0000DE830000}"/>
    <cellStyle name="Normal 9 2 2 3 2 2 2" xfId="2848" xr:uid="{00000000-0005-0000-0000-0000DF830000}"/>
    <cellStyle name="Normal 9 2 2 3 2 2 2 2" xfId="27077" xr:uid="{00000000-0005-0000-0000-0000E0830000}"/>
    <cellStyle name="Normal 9 2 2 3 2 2 3" xfId="2847" xr:uid="{00000000-0005-0000-0000-0000E1830000}"/>
    <cellStyle name="Normal 9 2 2 3 2 3" xfId="2846" xr:uid="{00000000-0005-0000-0000-0000E2830000}"/>
    <cellStyle name="Normal 9 2 2 3 2 3 2" xfId="2845" xr:uid="{00000000-0005-0000-0000-0000E3830000}"/>
    <cellStyle name="Normal 9 2 2 3 2 4" xfId="2844" xr:uid="{00000000-0005-0000-0000-0000E4830000}"/>
    <cellStyle name="Normal 9 2 2 3 3" xfId="2843" xr:uid="{00000000-0005-0000-0000-0000E5830000}"/>
    <cellStyle name="Normal 9 2 2 3 3 2" xfId="2842" xr:uid="{00000000-0005-0000-0000-0000E6830000}"/>
    <cellStyle name="Normal 9 2 2 3 3 2 2" xfId="16964" xr:uid="{00000000-0005-0000-0000-0000E7830000}"/>
    <cellStyle name="Normal 9 2 2 3 3 3" xfId="32969" xr:uid="{00000000-0005-0000-0000-0000E8830000}"/>
    <cellStyle name="Normal 9 2 2 3 4" xfId="2841" xr:uid="{00000000-0005-0000-0000-0000E9830000}"/>
    <cellStyle name="Normal 9 2 2 3 4 2" xfId="2840" xr:uid="{00000000-0005-0000-0000-0000EA830000}"/>
    <cellStyle name="Normal 9 2 2 3 5" xfId="2839" xr:uid="{00000000-0005-0000-0000-0000EB830000}"/>
    <cellStyle name="Normal 9 2 2 4" xfId="2838" xr:uid="{00000000-0005-0000-0000-0000EC830000}"/>
    <cellStyle name="Normal 9 2 2 4 2" xfId="2837" xr:uid="{00000000-0005-0000-0000-0000ED830000}"/>
    <cellStyle name="Normal 9 2 2 4 2 2" xfId="2836" xr:uid="{00000000-0005-0000-0000-0000EE830000}"/>
    <cellStyle name="Normal 9 2 2 4 2 2 2" xfId="10679" xr:uid="{00000000-0005-0000-0000-0000EF830000}"/>
    <cellStyle name="Normal 9 2 2 4 2 3" xfId="2835" xr:uid="{00000000-0005-0000-0000-0000F0830000}"/>
    <cellStyle name="Normal 9 2 2 4 3" xfId="27092" xr:uid="{00000000-0005-0000-0000-0000F1830000}"/>
    <cellStyle name="Normal 9 2 2 4 3 2" xfId="33437" xr:uid="{00000000-0005-0000-0000-0000F2830000}"/>
    <cellStyle name="Normal 9 2 2 4 4" xfId="25069" xr:uid="{00000000-0005-0000-0000-0000F3830000}"/>
    <cellStyle name="Normal 9 2 2 5" xfId="2834" xr:uid="{00000000-0005-0000-0000-0000F4830000}"/>
    <cellStyle name="Normal 9 2 2 5 2" xfId="2833" xr:uid="{00000000-0005-0000-0000-0000F5830000}"/>
    <cellStyle name="Normal 9 2 2 5 2 2" xfId="2832" xr:uid="{00000000-0005-0000-0000-0000F6830000}"/>
    <cellStyle name="Normal 9 2 2 5 3" xfId="34321" xr:uid="{00000000-0005-0000-0000-0000F7830000}"/>
    <cellStyle name="Normal 9 2 2 6" xfId="14932" xr:uid="{00000000-0005-0000-0000-0000F8830000}"/>
    <cellStyle name="Normal 9 2 2 6 2" xfId="2831" xr:uid="{00000000-0005-0000-0000-0000F9830000}"/>
    <cellStyle name="Normal 9 2 2 7" xfId="2830" xr:uid="{00000000-0005-0000-0000-0000FA830000}"/>
    <cellStyle name="Normal 9 2 3" xfId="12688" xr:uid="{00000000-0005-0000-0000-0000FB830000}"/>
    <cellStyle name="Normal 9 2 3 2" xfId="2829" xr:uid="{00000000-0005-0000-0000-0000FC830000}"/>
    <cellStyle name="Normal 9 2 3 2 2" xfId="27772" xr:uid="{00000000-0005-0000-0000-0000FD830000}"/>
    <cellStyle name="Normal 9 2 3 2 2 2" xfId="10581" xr:uid="{00000000-0005-0000-0000-0000FE830000}"/>
    <cellStyle name="Normal 9 2 3 2 2 2 2" xfId="2828" xr:uid="{00000000-0005-0000-0000-0000FF830000}"/>
    <cellStyle name="Normal 9 2 3 2 2 2 2 2" xfId="2827" xr:uid="{00000000-0005-0000-0000-000000840000}"/>
    <cellStyle name="Normal 9 2 3 2 2 2 3" xfId="28951" xr:uid="{00000000-0005-0000-0000-000001840000}"/>
    <cellStyle name="Normal 9 2 3 2 2 3" xfId="2826" xr:uid="{00000000-0005-0000-0000-000002840000}"/>
    <cellStyle name="Normal 9 2 3 2 2 3 2" xfId="2825" xr:uid="{00000000-0005-0000-0000-000003840000}"/>
    <cellStyle name="Normal 9 2 3 2 2 4" xfId="2824" xr:uid="{00000000-0005-0000-0000-000004840000}"/>
    <cellStyle name="Normal 9 2 3 2 3" xfId="28588" xr:uid="{00000000-0005-0000-0000-000005840000}"/>
    <cellStyle name="Normal 9 2 3 2 3 2" xfId="2823" xr:uid="{00000000-0005-0000-0000-000006840000}"/>
    <cellStyle name="Normal 9 2 3 2 3 2 2" xfId="2822" xr:uid="{00000000-0005-0000-0000-000007840000}"/>
    <cellStyle name="Normal 9 2 3 2 3 3" xfId="2821" xr:uid="{00000000-0005-0000-0000-000008840000}"/>
    <cellStyle name="Normal 9 2 3 2 4" xfId="2820" xr:uid="{00000000-0005-0000-0000-000009840000}"/>
    <cellStyle name="Normal 9 2 3 2 4 2" xfId="2819" xr:uid="{00000000-0005-0000-0000-00000A840000}"/>
    <cellStyle name="Normal 9 2 3 2 5" xfId="2818" xr:uid="{00000000-0005-0000-0000-00000B840000}"/>
    <cellStyle name="Normal 9 2 3 3" xfId="2817" xr:uid="{00000000-0005-0000-0000-00000C840000}"/>
    <cellStyle name="Normal 9 2 3 3 2" xfId="8547" xr:uid="{00000000-0005-0000-0000-00000D840000}"/>
    <cellStyle name="Normal 9 2 3 3 2 2" xfId="2816" xr:uid="{00000000-0005-0000-0000-00000E840000}"/>
    <cellStyle name="Normal 9 2 3 3 2 2 2" xfId="2815" xr:uid="{00000000-0005-0000-0000-00000F840000}"/>
    <cellStyle name="Normal 9 2 3 3 2 3" xfId="2814" xr:uid="{00000000-0005-0000-0000-000010840000}"/>
    <cellStyle name="Normal 9 2 3 3 3" xfId="8544" xr:uid="{00000000-0005-0000-0000-000011840000}"/>
    <cellStyle name="Normal 9 2 3 3 3 2" xfId="2813" xr:uid="{00000000-0005-0000-0000-000012840000}"/>
    <cellStyle name="Normal 9 2 3 3 4" xfId="2812" xr:uid="{00000000-0005-0000-0000-000013840000}"/>
    <cellStyle name="Normal 9 2 3 4" xfId="2811" xr:uid="{00000000-0005-0000-0000-000014840000}"/>
    <cellStyle name="Normal 9 2 3 4 2" xfId="8540" xr:uid="{00000000-0005-0000-0000-000015840000}"/>
    <cellStyle name="Normal 9 2 3 4 2 2" xfId="31636" xr:uid="{00000000-0005-0000-0000-000016840000}"/>
    <cellStyle name="Normal 9 2 3 4 3" xfId="2810" xr:uid="{00000000-0005-0000-0000-000017840000}"/>
    <cellStyle name="Normal 9 2 3 5" xfId="2809" xr:uid="{00000000-0005-0000-0000-000018840000}"/>
    <cellStyle name="Normal 9 2 3 5 2" xfId="2808" xr:uid="{00000000-0005-0000-0000-000019840000}"/>
    <cellStyle name="Normal 9 2 3 6" xfId="5132" xr:uid="{00000000-0005-0000-0000-00001A840000}"/>
    <cellStyle name="Normal 9 2 4" xfId="33056" xr:uid="{00000000-0005-0000-0000-00001B840000}"/>
    <cellStyle name="Normal 9 2 4 2" xfId="31017" xr:uid="{00000000-0005-0000-0000-00001C840000}"/>
    <cellStyle name="Normal 9 2 4 2 2" xfId="28904" xr:uid="{00000000-0005-0000-0000-00001D840000}"/>
    <cellStyle name="Normal 9 2 4 2 2 2" xfId="2807" xr:uid="{00000000-0005-0000-0000-00001E840000}"/>
    <cellStyle name="Normal 9 2 4 2 2 2 2" xfId="2806" xr:uid="{00000000-0005-0000-0000-00001F840000}"/>
    <cellStyle name="Normal 9 2 4 2 2 3" xfId="3876" xr:uid="{00000000-0005-0000-0000-000020840000}"/>
    <cellStyle name="Normal 9 2 4 2 3" xfId="2805" xr:uid="{00000000-0005-0000-0000-000021840000}"/>
    <cellStyle name="Normal 9 2 4 2 3 2" xfId="2804" xr:uid="{00000000-0005-0000-0000-000022840000}"/>
    <cellStyle name="Normal 9 2 4 2 4" xfId="2803" xr:uid="{00000000-0005-0000-0000-000023840000}"/>
    <cellStyle name="Normal 9 2 4 3" xfId="2802" xr:uid="{00000000-0005-0000-0000-000024840000}"/>
    <cellStyle name="Normal 9 2 4 3 2" xfId="8533" xr:uid="{00000000-0005-0000-0000-000025840000}"/>
    <cellStyle name="Normal 9 2 4 3 2 2" xfId="2801" xr:uid="{00000000-0005-0000-0000-000026840000}"/>
    <cellStyle name="Normal 9 2 4 3 3" xfId="17666" xr:uid="{00000000-0005-0000-0000-000027840000}"/>
    <cellStyle name="Normal 9 2 4 4" xfId="2800" xr:uid="{00000000-0005-0000-0000-000028840000}"/>
    <cellStyle name="Normal 9 2 4 4 2" xfId="18257" xr:uid="{00000000-0005-0000-0000-000029840000}"/>
    <cellStyle name="Normal 9 2 4 5" xfId="2799" xr:uid="{00000000-0005-0000-0000-00002A840000}"/>
    <cellStyle name="Normal 9 2 5" xfId="34193" xr:uid="{00000000-0005-0000-0000-00002B840000}"/>
    <cellStyle name="Normal 9 2 5 2" xfId="25985" xr:uid="{00000000-0005-0000-0000-00002C840000}"/>
    <cellStyle name="Normal 9 2 5 2 2" xfId="31098" xr:uid="{00000000-0005-0000-0000-00002D840000}"/>
    <cellStyle name="Normal 9 2 5 2 2 2" xfId="2798" xr:uid="{00000000-0005-0000-0000-00002E840000}"/>
    <cellStyle name="Normal 9 2 5 2 3" xfId="2797" xr:uid="{00000000-0005-0000-0000-00002F840000}"/>
    <cellStyle name="Normal 9 2 5 3" xfId="2796" xr:uid="{00000000-0005-0000-0000-000030840000}"/>
    <cellStyle name="Normal 9 2 5 3 2" xfId="17637" xr:uid="{00000000-0005-0000-0000-000031840000}"/>
    <cellStyle name="Normal 9 2 5 4" xfId="2795" xr:uid="{00000000-0005-0000-0000-000032840000}"/>
    <cellStyle name="Normal 9 2 6" xfId="27547" xr:uid="{00000000-0005-0000-0000-000033840000}"/>
    <cellStyle name="Normal 9 2 6 2" xfId="2794" xr:uid="{00000000-0005-0000-0000-000034840000}"/>
    <cellStyle name="Normal 9 2 6 2 2" xfId="2793" xr:uid="{00000000-0005-0000-0000-000035840000}"/>
    <cellStyle name="Normal 9 2 6 3" xfId="2792" xr:uid="{00000000-0005-0000-0000-000036840000}"/>
    <cellStyle name="Normal 9 2 7" xfId="2791" xr:uid="{00000000-0005-0000-0000-000037840000}"/>
    <cellStyle name="Normal 9 2 7 2" xfId="2790" xr:uid="{00000000-0005-0000-0000-000038840000}"/>
    <cellStyle name="Normal 9 2 8" xfId="2789" xr:uid="{00000000-0005-0000-0000-000039840000}"/>
    <cellStyle name="Normal 9 3" xfId="27458" xr:uid="{00000000-0005-0000-0000-00003A840000}"/>
    <cellStyle name="Normal 9 3 2" xfId="2788" xr:uid="{00000000-0005-0000-0000-00003B840000}"/>
    <cellStyle name="Normal 9 3 2 2" xfId="2787" xr:uid="{00000000-0005-0000-0000-00003C840000}"/>
    <cellStyle name="Normal 9 3 2 2 2" xfId="2786" xr:uid="{00000000-0005-0000-0000-00003D840000}"/>
    <cellStyle name="Normal 9 3 2 2 2 2" xfId="29797" xr:uid="{00000000-0005-0000-0000-00003E840000}"/>
    <cellStyle name="Normal 9 3 2 2 2 2 2" xfId="2785" xr:uid="{00000000-0005-0000-0000-00003F840000}"/>
    <cellStyle name="Normal 9 3 2 2 2 2 2 2" xfId="2784" xr:uid="{00000000-0005-0000-0000-000040840000}"/>
    <cellStyle name="Normal 9 3 2 2 2 2 3" xfId="2783" xr:uid="{00000000-0005-0000-0000-000041840000}"/>
    <cellStyle name="Normal 9 3 2 2 2 3" xfId="2782" xr:uid="{00000000-0005-0000-0000-000042840000}"/>
    <cellStyle name="Normal 9 3 2 2 2 3 2" xfId="2781" xr:uid="{00000000-0005-0000-0000-000043840000}"/>
    <cellStyle name="Normal 9 3 2 2 2 4" xfId="25504" xr:uid="{00000000-0005-0000-0000-000044840000}"/>
    <cellStyle name="Normal 9 3 2 2 3" xfId="21844" xr:uid="{00000000-0005-0000-0000-000045840000}"/>
    <cellStyle name="Normal 9 3 2 2 3 2" xfId="2780" xr:uid="{00000000-0005-0000-0000-000046840000}"/>
    <cellStyle name="Normal 9 3 2 2 3 2 2" xfId="2779" xr:uid="{00000000-0005-0000-0000-000047840000}"/>
    <cellStyle name="Normal 9 3 2 2 3 3" xfId="2778" xr:uid="{00000000-0005-0000-0000-000048840000}"/>
    <cellStyle name="Normal 9 3 2 2 4" xfId="2777" xr:uid="{00000000-0005-0000-0000-000049840000}"/>
    <cellStyle name="Normal 9 3 2 2 4 2" xfId="2776" xr:uid="{00000000-0005-0000-0000-00004A840000}"/>
    <cellStyle name="Normal 9 3 2 2 5" xfId="2775" xr:uid="{00000000-0005-0000-0000-00004B840000}"/>
    <cellStyle name="Normal 9 3 2 3" xfId="2774" xr:uid="{00000000-0005-0000-0000-00004C840000}"/>
    <cellStyle name="Normal 9 3 2 3 2" xfId="2773" xr:uid="{00000000-0005-0000-0000-00004D840000}"/>
    <cellStyle name="Normal 9 3 2 3 2 2" xfId="2772" xr:uid="{00000000-0005-0000-0000-00004E840000}"/>
    <cellStyle name="Normal 9 3 2 3 2 2 2" xfId="2771" xr:uid="{00000000-0005-0000-0000-00004F840000}"/>
    <cellStyle name="Normal 9 3 2 3 2 3" xfId="2770" xr:uid="{00000000-0005-0000-0000-000050840000}"/>
    <cellStyle name="Normal 9 3 2 3 3" xfId="2769" xr:uid="{00000000-0005-0000-0000-000051840000}"/>
    <cellStyle name="Normal 9 3 2 3 3 2" xfId="2768" xr:uid="{00000000-0005-0000-0000-000052840000}"/>
    <cellStyle name="Normal 9 3 2 3 4" xfId="2767" xr:uid="{00000000-0005-0000-0000-000053840000}"/>
    <cellStyle name="Normal 9 3 2 4" xfId="2766" xr:uid="{00000000-0005-0000-0000-000054840000}"/>
    <cellStyle name="Normal 9 3 2 4 2" xfId="2765" xr:uid="{00000000-0005-0000-0000-000055840000}"/>
    <cellStyle name="Normal 9 3 2 4 2 2" xfId="2764" xr:uid="{00000000-0005-0000-0000-000056840000}"/>
    <cellStyle name="Normal 9 3 2 4 3" xfId="2763" xr:uid="{00000000-0005-0000-0000-000057840000}"/>
    <cellStyle name="Normal 9 3 2 5" xfId="2762" xr:uid="{00000000-0005-0000-0000-000058840000}"/>
    <cellStyle name="Normal 9 3 2 5 2" xfId="2761" xr:uid="{00000000-0005-0000-0000-000059840000}"/>
    <cellStyle name="Normal 9 3 2 6" xfId="2760" xr:uid="{00000000-0005-0000-0000-00005A840000}"/>
    <cellStyle name="Normal 9 3 3" xfId="2759" xr:uid="{00000000-0005-0000-0000-00005B840000}"/>
    <cellStyle name="Normal 9 3 3 2" xfId="2758" xr:uid="{00000000-0005-0000-0000-00005C840000}"/>
    <cellStyle name="Normal 9 3 3 2 2" xfId="27689" xr:uid="{00000000-0005-0000-0000-00005D840000}"/>
    <cellStyle name="Normal 9 3 3 2 2 2" xfId="32565" xr:uid="{00000000-0005-0000-0000-00005E840000}"/>
    <cellStyle name="Normal 9 3 3 2 2 2 2" xfId="23955" xr:uid="{00000000-0005-0000-0000-00005F840000}"/>
    <cellStyle name="Normal 9 3 3 2 2 3" xfId="23949" xr:uid="{00000000-0005-0000-0000-000060840000}"/>
    <cellStyle name="Normal 9 3 3 2 3" xfId="6116" xr:uid="{00000000-0005-0000-0000-000061840000}"/>
    <cellStyle name="Normal 9 3 3 2 3 2" xfId="23931" xr:uid="{00000000-0005-0000-0000-000062840000}"/>
    <cellStyle name="Normal 9 3 3 2 4" xfId="21553" xr:uid="{00000000-0005-0000-0000-000063840000}"/>
    <cellStyle name="Normal 9 3 3 3" xfId="2757" xr:uid="{00000000-0005-0000-0000-000064840000}"/>
    <cellStyle name="Normal 9 3 3 3 2" xfId="8509" xr:uid="{00000000-0005-0000-0000-000065840000}"/>
    <cellStyle name="Normal 9 3 3 3 2 2" xfId="31999" xr:uid="{00000000-0005-0000-0000-000066840000}"/>
    <cellStyle name="Normal 9 3 3 3 3" xfId="5493" xr:uid="{00000000-0005-0000-0000-000067840000}"/>
    <cellStyle name="Normal 9 3 3 4" xfId="2756" xr:uid="{00000000-0005-0000-0000-000068840000}"/>
    <cellStyle name="Normal 9 3 3 4 2" xfId="2755" xr:uid="{00000000-0005-0000-0000-000069840000}"/>
    <cellStyle name="Normal 9 3 3 5" xfId="2754" xr:uid="{00000000-0005-0000-0000-00006A840000}"/>
    <cellStyle name="Normal 9 3 4" xfId="33038" xr:uid="{00000000-0005-0000-0000-00006B840000}"/>
    <cellStyle name="Normal 9 3 4 2" xfId="2753" xr:uid="{00000000-0005-0000-0000-00006C840000}"/>
    <cellStyle name="Normal 9 3 4 2 2" xfId="27270" xr:uid="{00000000-0005-0000-0000-00006D840000}"/>
    <cellStyle name="Normal 9 3 4 2 2 2" xfId="2752" xr:uid="{00000000-0005-0000-0000-00006E840000}"/>
    <cellStyle name="Normal 9 3 4 2 3" xfId="26631" xr:uid="{00000000-0005-0000-0000-00006F840000}"/>
    <cellStyle name="Normal 9 3 4 3" xfId="2751" xr:uid="{00000000-0005-0000-0000-000070840000}"/>
    <cellStyle name="Normal 9 3 4 3 2" xfId="17560" xr:uid="{00000000-0005-0000-0000-000071840000}"/>
    <cellStyle name="Normal 9 3 4 4" xfId="2750" xr:uid="{00000000-0005-0000-0000-000072840000}"/>
    <cellStyle name="Normal 9 3 5" xfId="2749" xr:uid="{00000000-0005-0000-0000-000073840000}"/>
    <cellStyle name="Normal 9 3 5 2" xfId="2748" xr:uid="{00000000-0005-0000-0000-000074840000}"/>
    <cellStyle name="Normal 9 3 5 2 2" xfId="31107" xr:uid="{00000000-0005-0000-0000-000075840000}"/>
    <cellStyle name="Normal 9 3 5 3" xfId="2747" xr:uid="{00000000-0005-0000-0000-000076840000}"/>
    <cellStyle name="Normal 9 3 6" xfId="2746" xr:uid="{00000000-0005-0000-0000-000077840000}"/>
    <cellStyle name="Normal 9 3 6 2" xfId="2745" xr:uid="{00000000-0005-0000-0000-000078840000}"/>
    <cellStyle name="Normal 9 3 7" xfId="2744" xr:uid="{00000000-0005-0000-0000-000079840000}"/>
    <cellStyle name="Normal 9 4" xfId="2743" xr:uid="{00000000-0005-0000-0000-00007A840000}"/>
    <cellStyle name="Normal 9 4 2" xfId="14622" xr:uid="{00000000-0005-0000-0000-00007B840000}"/>
    <cellStyle name="Normal 9 4 2 2" xfId="2742" xr:uid="{00000000-0005-0000-0000-00007C840000}"/>
    <cellStyle name="Normal 9 4 2 2 2" xfId="2741" xr:uid="{00000000-0005-0000-0000-00007D840000}"/>
    <cellStyle name="Normal 9 4 2 2 2 2" xfId="2740" xr:uid="{00000000-0005-0000-0000-00007E840000}"/>
    <cellStyle name="Normal 9 4 2 2 2 2 2" xfId="29967" xr:uid="{00000000-0005-0000-0000-00007F840000}"/>
    <cellStyle name="Normal 9 4 2 2 2 3" xfId="2739" xr:uid="{00000000-0005-0000-0000-000080840000}"/>
    <cellStyle name="Normal 9 4 2 2 3" xfId="2738" xr:uid="{00000000-0005-0000-0000-000081840000}"/>
    <cellStyle name="Normal 9 4 2 2 3 2" xfId="28047" xr:uid="{00000000-0005-0000-0000-000082840000}"/>
    <cellStyle name="Normal 9 4 2 2 4" xfId="2737" xr:uid="{00000000-0005-0000-0000-000083840000}"/>
    <cellStyle name="Normal 9 4 2 3" xfId="2736" xr:uid="{00000000-0005-0000-0000-000084840000}"/>
    <cellStyle name="Normal 9 4 2 3 2" xfId="2735" xr:uid="{00000000-0005-0000-0000-000085840000}"/>
    <cellStyle name="Normal 9 4 2 3 2 2" xfId="2734" xr:uid="{00000000-0005-0000-0000-000086840000}"/>
    <cellStyle name="Normal 9 4 2 3 3" xfId="26602" xr:uid="{00000000-0005-0000-0000-000087840000}"/>
    <cellStyle name="Normal 9 4 2 4" xfId="2733" xr:uid="{00000000-0005-0000-0000-000088840000}"/>
    <cellStyle name="Normal 9 4 2 4 2" xfId="20762" xr:uid="{00000000-0005-0000-0000-000089840000}"/>
    <cellStyle name="Normal 9 4 2 5" xfId="2732" xr:uid="{00000000-0005-0000-0000-00008A840000}"/>
    <cellStyle name="Normal 9 4 3" xfId="9435" xr:uid="{00000000-0005-0000-0000-00008B840000}"/>
    <cellStyle name="Normal 9 4 3 2" xfId="2731" xr:uid="{00000000-0005-0000-0000-00008C840000}"/>
    <cellStyle name="Normal 9 4 3 2 2" xfId="2730" xr:uid="{00000000-0005-0000-0000-00008D840000}"/>
    <cellStyle name="Normal 9 4 3 2 2 2" xfId="2729" xr:uid="{00000000-0005-0000-0000-00008E840000}"/>
    <cellStyle name="Normal 9 4 3 2 3" xfId="34198" xr:uid="{00000000-0005-0000-0000-00008F840000}"/>
    <cellStyle name="Normal 9 4 3 3" xfId="2728" xr:uid="{00000000-0005-0000-0000-000090840000}"/>
    <cellStyle name="Normal 9 4 3 3 2" xfId="2727" xr:uid="{00000000-0005-0000-0000-000091840000}"/>
    <cellStyle name="Normal 9 4 3 4" xfId="23684" xr:uid="{00000000-0005-0000-0000-000092840000}"/>
    <cellStyle name="Normal 9 4 4" xfId="9433" xr:uid="{00000000-0005-0000-0000-000093840000}"/>
    <cellStyle name="Normal 9 4 4 2" xfId="2726" xr:uid="{00000000-0005-0000-0000-000094840000}"/>
    <cellStyle name="Normal 9 4 4 2 2" xfId="31896" xr:uid="{00000000-0005-0000-0000-000095840000}"/>
    <cellStyle name="Normal 9 4 4 3" xfId="2725" xr:uid="{00000000-0005-0000-0000-000096840000}"/>
    <cellStyle name="Normal 9 4 5" xfId="2724" xr:uid="{00000000-0005-0000-0000-000097840000}"/>
    <cellStyle name="Normal 9 4 5 2" xfId="2723" xr:uid="{00000000-0005-0000-0000-000098840000}"/>
    <cellStyle name="Normal 9 4 6" xfId="2722" xr:uid="{00000000-0005-0000-0000-000099840000}"/>
    <cellStyle name="Normal 9 5" xfId="2721" xr:uid="{00000000-0005-0000-0000-00009A840000}"/>
    <cellStyle name="Normal 9 5 2" xfId="2720" xr:uid="{00000000-0005-0000-0000-00009B840000}"/>
    <cellStyle name="Normal 9 5 2 2" xfId="27135" xr:uid="{00000000-0005-0000-0000-00009C840000}"/>
    <cellStyle name="Normal 9 5 2 2 2" xfId="2719" xr:uid="{00000000-0005-0000-0000-00009D840000}"/>
    <cellStyle name="Normal 9 5 2 2 2 2" xfId="2718" xr:uid="{00000000-0005-0000-0000-00009E840000}"/>
    <cellStyle name="Normal 9 5 2 2 3" xfId="2717" xr:uid="{00000000-0005-0000-0000-00009F840000}"/>
    <cellStyle name="Normal 9 5 2 3" xfId="34307" xr:uid="{00000000-0005-0000-0000-0000A0840000}"/>
    <cellStyle name="Normal 9 5 2 3 2" xfId="2716" xr:uid="{00000000-0005-0000-0000-0000A1840000}"/>
    <cellStyle name="Normal 9 5 2 4" xfId="2715" xr:uid="{00000000-0005-0000-0000-0000A2840000}"/>
    <cellStyle name="Normal 9 5 3" xfId="9431" xr:uid="{00000000-0005-0000-0000-0000A3840000}"/>
    <cellStyle name="Normal 9 5 3 2" xfId="30043" xr:uid="{00000000-0005-0000-0000-0000A4840000}"/>
    <cellStyle name="Normal 9 5 3 2 2" xfId="2714" xr:uid="{00000000-0005-0000-0000-0000A5840000}"/>
    <cellStyle name="Normal 9 5 3 3" xfId="2713" xr:uid="{00000000-0005-0000-0000-0000A6840000}"/>
    <cellStyle name="Normal 9 5 4" xfId="2712" xr:uid="{00000000-0005-0000-0000-0000A7840000}"/>
    <cellStyle name="Normal 9 5 4 2" xfId="2711" xr:uid="{00000000-0005-0000-0000-0000A8840000}"/>
    <cellStyle name="Normal 9 5 5" xfId="2710" xr:uid="{00000000-0005-0000-0000-0000A9840000}"/>
    <cellStyle name="Normal 9 6" xfId="2709" xr:uid="{00000000-0005-0000-0000-0000AA840000}"/>
    <cellStyle name="Normal 9 6 2" xfId="2708" xr:uid="{00000000-0005-0000-0000-0000AB840000}"/>
    <cellStyle name="Normal 9 6 2 2" xfId="11325" xr:uid="{00000000-0005-0000-0000-0000AC840000}"/>
    <cellStyle name="Normal 9 6 2 2 2" xfId="2707" xr:uid="{00000000-0005-0000-0000-0000AD840000}"/>
    <cellStyle name="Normal 9 6 2 3" xfId="2706" xr:uid="{00000000-0005-0000-0000-0000AE840000}"/>
    <cellStyle name="Normal 9 6 3" xfId="2705" xr:uid="{00000000-0005-0000-0000-0000AF840000}"/>
    <cellStyle name="Normal 9 6 3 2" xfId="2704" xr:uid="{00000000-0005-0000-0000-0000B0840000}"/>
    <cellStyle name="Normal 9 6 4" xfId="2703" xr:uid="{00000000-0005-0000-0000-0000B1840000}"/>
    <cellStyle name="Normal 9 7" xfId="7252" xr:uid="{00000000-0005-0000-0000-0000B2840000}"/>
    <cellStyle name="Normal 9 7 2" xfId="7250" xr:uid="{00000000-0005-0000-0000-0000B3840000}"/>
    <cellStyle name="Normal 9 7 2 2" xfId="7248" xr:uid="{00000000-0005-0000-0000-0000B4840000}"/>
    <cellStyle name="Normal 9 7 3" xfId="9681" xr:uid="{00000000-0005-0000-0000-0000B5840000}"/>
    <cellStyle name="Normal 9 8" xfId="7245" xr:uid="{00000000-0005-0000-0000-0000B6840000}"/>
    <cellStyle name="Normal 9 8 2" xfId="7242" xr:uid="{00000000-0005-0000-0000-0000B7840000}"/>
    <cellStyle name="Normal 9 9" xfId="7240" xr:uid="{00000000-0005-0000-0000-0000B8840000}"/>
    <cellStyle name="Note" xfId="358" builtinId="10" customBuiltin="1"/>
    <cellStyle name="Note 10" xfId="339" xr:uid="{00000000-0005-0000-0000-0000BA840000}"/>
    <cellStyle name="Note 10 2" xfId="2701" xr:uid="{00000000-0005-0000-0000-0000BB840000}"/>
    <cellStyle name="Note 10 2 2" xfId="2700" xr:uid="{00000000-0005-0000-0000-0000BC840000}"/>
    <cellStyle name="Note 10 2 2 2" xfId="2699" xr:uid="{00000000-0005-0000-0000-0000BD840000}"/>
    <cellStyle name="Note 10 2 3" xfId="2698" xr:uid="{00000000-0005-0000-0000-0000BE840000}"/>
    <cellStyle name="Note 10 2 4" xfId="34873" xr:uid="{00000000-0005-0000-0000-0000BF840000}"/>
    <cellStyle name="Note 10 3" xfId="2697" xr:uid="{00000000-0005-0000-0000-0000C0840000}"/>
    <cellStyle name="Note 10 3 2" xfId="2696" xr:uid="{00000000-0005-0000-0000-0000C1840000}"/>
    <cellStyle name="Note 10 3 3" xfId="35074" xr:uid="{00000000-0005-0000-0000-0000C2840000}"/>
    <cellStyle name="Note 10 4" xfId="2695" xr:uid="{00000000-0005-0000-0000-0000C3840000}"/>
    <cellStyle name="Note 10 4 2" xfId="35282" xr:uid="{00000000-0005-0000-0000-0000C4840000}"/>
    <cellStyle name="Note 10 5" xfId="34632" xr:uid="{00000000-0005-0000-0000-0000C5840000}"/>
    <cellStyle name="Note 10 6" xfId="2702" xr:uid="{00000000-0005-0000-0000-0000C6840000}"/>
    <cellStyle name="Note 10 6 2" xfId="36370" xr:uid="{00000000-0005-0000-0000-0000C7840000}"/>
    <cellStyle name="Note 10 7" xfId="36656" xr:uid="{00000000-0005-0000-0000-0000C8840000}"/>
    <cellStyle name="Note 10 8" xfId="37541" xr:uid="{00000000-0005-0000-0000-0000C9840000}"/>
    <cellStyle name="Note 11" xfId="20295" xr:uid="{00000000-0005-0000-0000-0000CA840000}"/>
    <cellStyle name="Note 11 2" xfId="25587" xr:uid="{00000000-0005-0000-0000-0000CB840000}"/>
    <cellStyle name="Note 11 2 2" xfId="2694" xr:uid="{00000000-0005-0000-0000-0000CC840000}"/>
    <cellStyle name="Note 11 2 3" xfId="35093" xr:uid="{00000000-0005-0000-0000-0000CD840000}"/>
    <cellStyle name="Note 11 3" xfId="2693" xr:uid="{00000000-0005-0000-0000-0000CE840000}"/>
    <cellStyle name="Note 11 3 2" xfId="35301" xr:uid="{00000000-0005-0000-0000-0000CF840000}"/>
    <cellStyle name="Note 11 4" xfId="34687" xr:uid="{00000000-0005-0000-0000-0000D0840000}"/>
    <cellStyle name="Note 11 5" xfId="36389" xr:uid="{00000000-0005-0000-0000-0000D1840000}"/>
    <cellStyle name="Note 11 6" xfId="36675" xr:uid="{00000000-0005-0000-0000-0000D2840000}"/>
    <cellStyle name="Note 11 7" xfId="37560" xr:uid="{00000000-0005-0000-0000-0000D3840000}"/>
    <cellStyle name="Note 12" xfId="26088" xr:uid="{00000000-0005-0000-0000-0000D4840000}"/>
    <cellStyle name="Note 12 2" xfId="31449" xr:uid="{00000000-0005-0000-0000-0000D5840000}"/>
    <cellStyle name="Note 12 2 2" xfId="35112" xr:uid="{00000000-0005-0000-0000-0000D6840000}"/>
    <cellStyle name="Note 12 3" xfId="34689" xr:uid="{00000000-0005-0000-0000-0000D7840000}"/>
    <cellStyle name="Note 12 4" xfId="35536" xr:uid="{00000000-0005-0000-0000-0000D8840000}"/>
    <cellStyle name="Note 12 5" xfId="36409" xr:uid="{00000000-0005-0000-0000-0000D9840000}"/>
    <cellStyle name="Note 12 6" xfId="36695" xr:uid="{00000000-0005-0000-0000-0000DA840000}"/>
    <cellStyle name="Note 12 7" xfId="37580" xr:uid="{00000000-0005-0000-0000-0000DB840000}"/>
    <cellStyle name="Note 13" xfId="27496" xr:uid="{00000000-0005-0000-0000-0000DC840000}"/>
    <cellStyle name="Note 13 2" xfId="34702" xr:uid="{00000000-0005-0000-0000-0000DD840000}"/>
    <cellStyle name="Note 13 3" xfId="35315" xr:uid="{00000000-0005-0000-0000-0000DE840000}"/>
    <cellStyle name="Note 13 4" xfId="35555" xr:uid="{00000000-0005-0000-0000-0000DF840000}"/>
    <cellStyle name="Note 13 5" xfId="36428" xr:uid="{00000000-0005-0000-0000-0000E0840000}"/>
    <cellStyle name="Note 13 6" xfId="36714" xr:uid="{00000000-0005-0000-0000-0000E1840000}"/>
    <cellStyle name="Note 13 7" xfId="37599" xr:uid="{00000000-0005-0000-0000-0000E2840000}"/>
    <cellStyle name="Note 14" xfId="25998" xr:uid="{00000000-0005-0000-0000-0000E3840000}"/>
    <cellStyle name="Note 14 2" xfId="35335" xr:uid="{00000000-0005-0000-0000-0000E4840000}"/>
    <cellStyle name="Note 14 3" xfId="36449" xr:uid="{00000000-0005-0000-0000-0000E5840000}"/>
    <cellStyle name="Note 14 4" xfId="36735" xr:uid="{00000000-0005-0000-0000-0000E6840000}"/>
    <cellStyle name="Note 14 5" xfId="37620" xr:uid="{00000000-0005-0000-0000-0000E7840000}"/>
    <cellStyle name="Note 15" xfId="31690" xr:uid="{00000000-0005-0000-0000-0000E8840000}"/>
    <cellStyle name="Note 15 2" xfId="35637" xr:uid="{00000000-0005-0000-0000-0000E9840000}"/>
    <cellStyle name="Note 15 3" xfId="37657" xr:uid="{00000000-0005-0000-0000-0000EA840000}"/>
    <cellStyle name="Note 16" xfId="2692" xr:uid="{00000000-0005-0000-0000-0000EB840000}"/>
    <cellStyle name="Note 16 2" xfId="35639" xr:uid="{00000000-0005-0000-0000-0000EC840000}"/>
    <cellStyle name="Note 16 3" xfId="37660" xr:uid="{00000000-0005-0000-0000-0000ED840000}"/>
    <cellStyle name="Note 17" xfId="2691" xr:uid="{00000000-0005-0000-0000-0000EE840000}"/>
    <cellStyle name="Note 17 2" xfId="35640" xr:uid="{00000000-0005-0000-0000-0000EF840000}"/>
    <cellStyle name="Note 17 3" xfId="37679" xr:uid="{00000000-0005-0000-0000-0000F0840000}"/>
    <cellStyle name="Note 18" xfId="34645" xr:uid="{00000000-0005-0000-0000-0000F1840000}"/>
    <cellStyle name="Note 18 2" xfId="36809" xr:uid="{00000000-0005-0000-0000-0000F2840000}"/>
    <cellStyle name="Note 18 3" xfId="37699" xr:uid="{00000000-0005-0000-0000-0000F3840000}"/>
    <cellStyle name="Note 19" xfId="34665" xr:uid="{00000000-0005-0000-0000-0000F4840000}"/>
    <cellStyle name="Note 19 2" xfId="36828" xr:uid="{00000000-0005-0000-0000-0000F5840000}"/>
    <cellStyle name="Note 19 3" xfId="37718" xr:uid="{00000000-0005-0000-0000-0000F6840000}"/>
    <cellStyle name="Note 2" xfId="73" xr:uid="{00000000-0005-0000-0000-0000F7840000}"/>
    <cellStyle name="Note 2 10" xfId="31953" xr:uid="{00000000-0005-0000-0000-0000F8840000}"/>
    <cellStyle name="Note 2 10 2" xfId="2690" xr:uid="{00000000-0005-0000-0000-0000F9840000}"/>
    <cellStyle name="Note 2 10 2 2" xfId="2689" xr:uid="{00000000-0005-0000-0000-0000FA840000}"/>
    <cellStyle name="Note 2 10 3" xfId="2688" xr:uid="{00000000-0005-0000-0000-0000FB840000}"/>
    <cellStyle name="Note 2 10 4" xfId="37417" xr:uid="{00000000-0005-0000-0000-0000FC840000}"/>
    <cellStyle name="Note 2 11" xfId="2687" xr:uid="{00000000-0005-0000-0000-0000FD840000}"/>
    <cellStyle name="Note 2 11 2" xfId="21896" xr:uid="{00000000-0005-0000-0000-0000FE840000}"/>
    <cellStyle name="Note 2 12" xfId="2686" xr:uid="{00000000-0005-0000-0000-0000FF840000}"/>
    <cellStyle name="Note 2 13" xfId="34435" xr:uid="{00000000-0005-0000-0000-000000850000}"/>
    <cellStyle name="Note 2 14" xfId="3174" xr:uid="{00000000-0005-0000-0000-000001850000}"/>
    <cellStyle name="Note 2 2" xfId="136" xr:uid="{00000000-0005-0000-0000-000002850000}"/>
    <cellStyle name="Note 2 2 10" xfId="12458" xr:uid="{00000000-0005-0000-0000-000003850000}"/>
    <cellStyle name="Note 2 2 10 2" xfId="2685" xr:uid="{00000000-0005-0000-0000-000004850000}"/>
    <cellStyle name="Note 2 2 11" xfId="30287" xr:uid="{00000000-0005-0000-0000-000005850000}"/>
    <cellStyle name="Note 2 2 12" xfId="34490" xr:uid="{00000000-0005-0000-0000-000006850000}"/>
    <cellStyle name="Note 2 2 13" xfId="20814" xr:uid="{00000000-0005-0000-0000-000007850000}"/>
    <cellStyle name="Note 2 2 2" xfId="2684" xr:uid="{00000000-0005-0000-0000-000008850000}"/>
    <cellStyle name="Note 2 2 2 10" xfId="2683" xr:uid="{00000000-0005-0000-0000-000009850000}"/>
    <cellStyle name="Note 2 2 2 2" xfId="5234" xr:uid="{00000000-0005-0000-0000-00000A850000}"/>
    <cellStyle name="Note 2 2 2 2 2" xfId="19773" xr:uid="{00000000-0005-0000-0000-00000B850000}"/>
    <cellStyle name="Note 2 2 2 2 2 2" xfId="15899" xr:uid="{00000000-0005-0000-0000-00000C850000}"/>
    <cellStyle name="Note 2 2 2 2 2 2 2" xfId="2682" xr:uid="{00000000-0005-0000-0000-00000D850000}"/>
    <cellStyle name="Note 2 2 2 2 2 2 2 2" xfId="2681" xr:uid="{00000000-0005-0000-0000-00000E850000}"/>
    <cellStyle name="Note 2 2 2 2 2 2 2 2 2" xfId="2680" xr:uid="{00000000-0005-0000-0000-00000F850000}"/>
    <cellStyle name="Note 2 2 2 2 2 2 2 2 2 2" xfId="32342" xr:uid="{00000000-0005-0000-0000-000010850000}"/>
    <cellStyle name="Note 2 2 2 2 2 2 2 2 2 2 2" xfId="2679" xr:uid="{00000000-0005-0000-0000-000011850000}"/>
    <cellStyle name="Note 2 2 2 2 2 2 2 2 2 2 2 2" xfId="30855" xr:uid="{00000000-0005-0000-0000-000012850000}"/>
    <cellStyle name="Note 2 2 2 2 2 2 2 2 2 2 3" xfId="2678" xr:uid="{00000000-0005-0000-0000-000013850000}"/>
    <cellStyle name="Note 2 2 2 2 2 2 2 2 2 3" xfId="16961" xr:uid="{00000000-0005-0000-0000-000014850000}"/>
    <cellStyle name="Note 2 2 2 2 2 2 2 2 2 3 2" xfId="31493" xr:uid="{00000000-0005-0000-0000-000015850000}"/>
    <cellStyle name="Note 2 2 2 2 2 2 2 2 2 4" xfId="2677" xr:uid="{00000000-0005-0000-0000-000016850000}"/>
    <cellStyle name="Note 2 2 2 2 2 2 2 2 3" xfId="25759" xr:uid="{00000000-0005-0000-0000-000017850000}"/>
    <cellStyle name="Note 2 2 2 2 2 2 2 2 3 2" xfId="24160" xr:uid="{00000000-0005-0000-0000-000018850000}"/>
    <cellStyle name="Note 2 2 2 2 2 2 2 2 3 2 2" xfId="2676" xr:uid="{00000000-0005-0000-0000-000019850000}"/>
    <cellStyle name="Note 2 2 2 2 2 2 2 2 3 3" xfId="2675" xr:uid="{00000000-0005-0000-0000-00001A850000}"/>
    <cellStyle name="Note 2 2 2 2 2 2 2 2 4" xfId="2673" xr:uid="{00000000-0005-0000-0000-00001B850000}"/>
    <cellStyle name="Note 2 2 2 2 2 2 2 2 4 2" xfId="2672" xr:uid="{00000000-0005-0000-0000-00001C850000}"/>
    <cellStyle name="Note 2 2 2 2 2 2 2 2 5" xfId="22914" xr:uid="{00000000-0005-0000-0000-00001D850000}"/>
    <cellStyle name="Note 2 2 2 2 2 2 2 3" xfId="10593" xr:uid="{00000000-0005-0000-0000-00001E850000}"/>
    <cellStyle name="Note 2 2 2 2 2 2 2 3 2" xfId="2670" xr:uid="{00000000-0005-0000-0000-00001F850000}"/>
    <cellStyle name="Note 2 2 2 2 2 2 2 3 2 2" xfId="16941" xr:uid="{00000000-0005-0000-0000-000020850000}"/>
    <cellStyle name="Note 2 2 2 2 2 2 2 3 2 2 2" xfId="27062" xr:uid="{00000000-0005-0000-0000-000021850000}"/>
    <cellStyle name="Note 2 2 2 2 2 2 2 3 2 3" xfId="2669" xr:uid="{00000000-0005-0000-0000-000022850000}"/>
    <cellStyle name="Note 2 2 2 2 2 2 2 3 3" xfId="2668" xr:uid="{00000000-0005-0000-0000-000023850000}"/>
    <cellStyle name="Note 2 2 2 2 2 2 2 3 3 2" xfId="2667" xr:uid="{00000000-0005-0000-0000-000024850000}"/>
    <cellStyle name="Note 2 2 2 2 2 2 2 3 4" xfId="2666" xr:uid="{00000000-0005-0000-0000-000025850000}"/>
    <cellStyle name="Note 2 2 2 2 2 2 2 4" xfId="2665" xr:uid="{00000000-0005-0000-0000-000026850000}"/>
    <cellStyle name="Note 2 2 2 2 2 2 2 4 2" xfId="2664" xr:uid="{00000000-0005-0000-0000-000027850000}"/>
    <cellStyle name="Note 2 2 2 2 2 2 2 4 2 2" xfId="2663" xr:uid="{00000000-0005-0000-0000-000028850000}"/>
    <cellStyle name="Note 2 2 2 2 2 2 2 4 3" xfId="2662" xr:uid="{00000000-0005-0000-0000-000029850000}"/>
    <cellStyle name="Note 2 2 2 2 2 2 2 5" xfId="2661" xr:uid="{00000000-0005-0000-0000-00002A850000}"/>
    <cellStyle name="Note 2 2 2 2 2 2 2 5 2" xfId="2659" xr:uid="{00000000-0005-0000-0000-00002B850000}"/>
    <cellStyle name="Note 2 2 2 2 2 2 2 6" xfId="18348" xr:uid="{00000000-0005-0000-0000-00002C850000}"/>
    <cellStyle name="Note 2 2 2 2 2 2 3" xfId="2657" xr:uid="{00000000-0005-0000-0000-00002D850000}"/>
    <cellStyle name="Note 2 2 2 2 2 2 3 2" xfId="2656" xr:uid="{00000000-0005-0000-0000-00002E850000}"/>
    <cellStyle name="Note 2 2 2 2 2 2 3 2 2" xfId="2655" xr:uid="{00000000-0005-0000-0000-00002F850000}"/>
    <cellStyle name="Note 2 2 2 2 2 2 3 2 2 2" xfId="16919" xr:uid="{00000000-0005-0000-0000-000030850000}"/>
    <cellStyle name="Note 2 2 2 2 2 2 3 2 2 2 2" xfId="2654" xr:uid="{00000000-0005-0000-0000-000031850000}"/>
    <cellStyle name="Note 2 2 2 2 2 2 3 2 2 3" xfId="2653" xr:uid="{00000000-0005-0000-0000-000032850000}"/>
    <cellStyle name="Note 2 2 2 2 2 2 3 2 3" xfId="2652" xr:uid="{00000000-0005-0000-0000-000033850000}"/>
    <cellStyle name="Note 2 2 2 2 2 2 3 2 3 2" xfId="20088" xr:uid="{00000000-0005-0000-0000-000034850000}"/>
    <cellStyle name="Note 2 2 2 2 2 2 3 2 4" xfId="2651" xr:uid="{00000000-0005-0000-0000-000035850000}"/>
    <cellStyle name="Note 2 2 2 2 2 2 3 3" xfId="2650" xr:uid="{00000000-0005-0000-0000-000036850000}"/>
    <cellStyle name="Note 2 2 2 2 2 2 3 3 2" xfId="7313" xr:uid="{00000000-0005-0000-0000-000037850000}"/>
    <cellStyle name="Note 2 2 2 2 2 2 3 3 2 2" xfId="2649" xr:uid="{00000000-0005-0000-0000-000038850000}"/>
    <cellStyle name="Note 2 2 2 2 2 2 3 3 3" xfId="33559" xr:uid="{00000000-0005-0000-0000-000039850000}"/>
    <cellStyle name="Note 2 2 2 2 2 2 3 4" xfId="19502" xr:uid="{00000000-0005-0000-0000-00003A850000}"/>
    <cellStyle name="Note 2 2 2 2 2 2 3 4 2" xfId="7306" xr:uid="{00000000-0005-0000-0000-00003B850000}"/>
    <cellStyle name="Note 2 2 2 2 2 2 3 5" xfId="2648" xr:uid="{00000000-0005-0000-0000-00003C850000}"/>
    <cellStyle name="Note 2 2 2 2 2 2 4" xfId="15993" xr:uid="{00000000-0005-0000-0000-00003D850000}"/>
    <cellStyle name="Note 2 2 2 2 2 2 4 2" xfId="2646" xr:uid="{00000000-0005-0000-0000-00003E850000}"/>
    <cellStyle name="Note 2 2 2 2 2 2 4 2 2" xfId="2645" xr:uid="{00000000-0005-0000-0000-00003F850000}"/>
    <cellStyle name="Note 2 2 2 2 2 2 4 2 2 2" xfId="16950" xr:uid="{00000000-0005-0000-0000-000040850000}"/>
    <cellStyle name="Note 2 2 2 2 2 2 4 2 3" xfId="2644" xr:uid="{00000000-0005-0000-0000-000041850000}"/>
    <cellStyle name="Note 2 2 2 2 2 2 4 3" xfId="27880" xr:uid="{00000000-0005-0000-0000-000042850000}"/>
    <cellStyle name="Note 2 2 2 2 2 2 4 3 2" xfId="7274" xr:uid="{00000000-0005-0000-0000-000043850000}"/>
    <cellStyle name="Note 2 2 2 2 2 2 4 4" xfId="2643" xr:uid="{00000000-0005-0000-0000-000044850000}"/>
    <cellStyle name="Note 2 2 2 2 2 2 5" xfId="25323" xr:uid="{00000000-0005-0000-0000-000045850000}"/>
    <cellStyle name="Note 2 2 2 2 2 2 5 2" xfId="2642" xr:uid="{00000000-0005-0000-0000-000046850000}"/>
    <cellStyle name="Note 2 2 2 2 2 2 5 2 2" xfId="2641" xr:uid="{00000000-0005-0000-0000-000047850000}"/>
    <cellStyle name="Note 2 2 2 2 2 2 5 3" xfId="2640" xr:uid="{00000000-0005-0000-0000-000048850000}"/>
    <cellStyle name="Note 2 2 2 2 2 2 6" xfId="2639" xr:uid="{00000000-0005-0000-0000-000049850000}"/>
    <cellStyle name="Note 2 2 2 2 2 2 6 2" xfId="2638" xr:uid="{00000000-0005-0000-0000-00004A850000}"/>
    <cellStyle name="Note 2 2 2 2 2 2 7" xfId="2637" xr:uid="{00000000-0005-0000-0000-00004B850000}"/>
    <cellStyle name="Note 2 2 2 2 2 3" xfId="2636" xr:uid="{00000000-0005-0000-0000-00004C850000}"/>
    <cellStyle name="Note 2 2 2 2 2 3 2" xfId="2635" xr:uid="{00000000-0005-0000-0000-00004D850000}"/>
    <cellStyle name="Note 2 2 2 2 2 3 2 2" xfId="2634" xr:uid="{00000000-0005-0000-0000-00004E850000}"/>
    <cellStyle name="Note 2 2 2 2 2 3 2 2 2" xfId="2633" xr:uid="{00000000-0005-0000-0000-00004F850000}"/>
    <cellStyle name="Note 2 2 2 2 2 3 2 2 2 2" xfId="26094" xr:uid="{00000000-0005-0000-0000-000050850000}"/>
    <cellStyle name="Note 2 2 2 2 2 3 2 2 2 2 2" xfId="5462" xr:uid="{00000000-0005-0000-0000-000051850000}"/>
    <cellStyle name="Note 2 2 2 2 2 3 2 2 2 3" xfId="2632" xr:uid="{00000000-0005-0000-0000-000052850000}"/>
    <cellStyle name="Note 2 2 2 2 2 3 2 2 3" xfId="2631" xr:uid="{00000000-0005-0000-0000-000053850000}"/>
    <cellStyle name="Note 2 2 2 2 2 3 2 2 3 2" xfId="3704" xr:uid="{00000000-0005-0000-0000-000054850000}"/>
    <cellStyle name="Note 2 2 2 2 2 3 2 2 4" xfId="2630" xr:uid="{00000000-0005-0000-0000-000055850000}"/>
    <cellStyle name="Note 2 2 2 2 2 3 2 3" xfId="4494" xr:uid="{00000000-0005-0000-0000-000056850000}"/>
    <cellStyle name="Note 2 2 2 2 2 3 2 3 2" xfId="8369" xr:uid="{00000000-0005-0000-0000-000057850000}"/>
    <cellStyle name="Note 2 2 2 2 2 3 2 3 2 2" xfId="4492" xr:uid="{00000000-0005-0000-0000-000058850000}"/>
    <cellStyle name="Note 2 2 2 2 2 3 2 3 3" xfId="4487" xr:uid="{00000000-0005-0000-0000-000059850000}"/>
    <cellStyle name="Note 2 2 2 2 2 3 2 4" xfId="4482" xr:uid="{00000000-0005-0000-0000-00005A850000}"/>
    <cellStyle name="Note 2 2 2 2 2 3 2 4 2" xfId="4480" xr:uid="{00000000-0005-0000-0000-00005B850000}"/>
    <cellStyle name="Note 2 2 2 2 2 3 2 5" xfId="17973" xr:uid="{00000000-0005-0000-0000-00005C850000}"/>
    <cellStyle name="Note 2 2 2 2 2 3 3" xfId="2629" xr:uid="{00000000-0005-0000-0000-00005D850000}"/>
    <cellStyle name="Note 2 2 2 2 2 3 3 2" xfId="2628" xr:uid="{00000000-0005-0000-0000-00005E850000}"/>
    <cellStyle name="Note 2 2 2 2 2 3 3 2 2" xfId="8411" xr:uid="{00000000-0005-0000-0000-00005F850000}"/>
    <cellStyle name="Note 2 2 2 2 2 3 3 2 2 2" xfId="2627" xr:uid="{00000000-0005-0000-0000-000060850000}"/>
    <cellStyle name="Note 2 2 2 2 2 3 3 2 3" xfId="2626" xr:uid="{00000000-0005-0000-0000-000061850000}"/>
    <cellStyle name="Note 2 2 2 2 2 3 3 3" xfId="4470" xr:uid="{00000000-0005-0000-0000-000062850000}"/>
    <cellStyle name="Note 2 2 2 2 2 3 3 3 2" xfId="6875" xr:uid="{00000000-0005-0000-0000-000063850000}"/>
    <cellStyle name="Note 2 2 2 2 2 3 3 4" xfId="4466" xr:uid="{00000000-0005-0000-0000-000064850000}"/>
    <cellStyle name="Note 2 2 2 2 2 3 4" xfId="15937" xr:uid="{00000000-0005-0000-0000-000065850000}"/>
    <cellStyle name="Note 2 2 2 2 2 3 4 2" xfId="25178" xr:uid="{00000000-0005-0000-0000-000066850000}"/>
    <cellStyle name="Note 2 2 2 2 2 3 4 2 2" xfId="27677" xr:uid="{00000000-0005-0000-0000-000067850000}"/>
    <cellStyle name="Note 2 2 2 2 2 3 4 3" xfId="25175" xr:uid="{00000000-0005-0000-0000-000068850000}"/>
    <cellStyle name="Note 2 2 2 2 2 3 5" xfId="2625" xr:uid="{00000000-0005-0000-0000-000069850000}"/>
    <cellStyle name="Note 2 2 2 2 2 3 5 2" xfId="25172" xr:uid="{00000000-0005-0000-0000-00006A850000}"/>
    <cellStyle name="Note 2 2 2 2 2 3 6" xfId="2624" xr:uid="{00000000-0005-0000-0000-00006B850000}"/>
    <cellStyle name="Note 2 2 2 2 2 4" xfId="26201" xr:uid="{00000000-0005-0000-0000-00006C850000}"/>
    <cellStyle name="Note 2 2 2 2 2 4 2" xfId="30859" xr:uid="{00000000-0005-0000-0000-00006D850000}"/>
    <cellStyle name="Note 2 2 2 2 2 4 2 2" xfId="2623" xr:uid="{00000000-0005-0000-0000-00006E850000}"/>
    <cellStyle name="Note 2 2 2 2 2 4 2 2 2" xfId="24716" xr:uid="{00000000-0005-0000-0000-00006F850000}"/>
    <cellStyle name="Note 2 2 2 2 2 4 2 2 2 2" xfId="2622" xr:uid="{00000000-0005-0000-0000-000070850000}"/>
    <cellStyle name="Note 2 2 2 2 2 4 2 2 3" xfId="24714" xr:uid="{00000000-0005-0000-0000-000071850000}"/>
    <cellStyle name="Note 2 2 2 2 2 4 2 3" xfId="4168" xr:uid="{00000000-0005-0000-0000-000072850000}"/>
    <cellStyle name="Note 2 2 2 2 2 4 2 3 2" xfId="24702" xr:uid="{00000000-0005-0000-0000-000073850000}"/>
    <cellStyle name="Note 2 2 2 2 2 4 2 4" xfId="30833" xr:uid="{00000000-0005-0000-0000-000074850000}"/>
    <cellStyle name="Note 2 2 2 2 2 4 3" xfId="30116" xr:uid="{00000000-0005-0000-0000-000075850000}"/>
    <cellStyle name="Note 2 2 2 2 2 4 3 2" xfId="2621" xr:uid="{00000000-0005-0000-0000-000076850000}"/>
    <cellStyle name="Note 2 2 2 2 2 4 3 2 2" xfId="24668" xr:uid="{00000000-0005-0000-0000-000077850000}"/>
    <cellStyle name="Note 2 2 2 2 2 4 3 3" xfId="4151" xr:uid="{00000000-0005-0000-0000-000078850000}"/>
    <cellStyle name="Note 2 2 2 2 2 4 4" xfId="31345" xr:uid="{00000000-0005-0000-0000-000079850000}"/>
    <cellStyle name="Note 2 2 2 2 2 4 4 2" xfId="25162" xr:uid="{00000000-0005-0000-0000-00007A850000}"/>
    <cellStyle name="Note 2 2 2 2 2 4 5" xfId="2620" xr:uid="{00000000-0005-0000-0000-00007B850000}"/>
    <cellStyle name="Note 2 2 2 2 2 5" xfId="28369" xr:uid="{00000000-0005-0000-0000-00007C850000}"/>
    <cellStyle name="Note 2 2 2 2 2 5 2" xfId="30841" xr:uid="{00000000-0005-0000-0000-00007D850000}"/>
    <cellStyle name="Note 2 2 2 2 2 5 2 2" xfId="2619" xr:uid="{00000000-0005-0000-0000-00007E850000}"/>
    <cellStyle name="Note 2 2 2 2 2 5 2 2 2" xfId="24628" xr:uid="{00000000-0005-0000-0000-00007F850000}"/>
    <cellStyle name="Note 2 2 2 2 2 5 2 3" xfId="3229" xr:uid="{00000000-0005-0000-0000-000080850000}"/>
    <cellStyle name="Note 2 2 2 2 2 5 3" xfId="31332" xr:uid="{00000000-0005-0000-0000-000081850000}"/>
    <cellStyle name="Note 2 2 2 2 2 5 3 2" xfId="2618" xr:uid="{00000000-0005-0000-0000-000082850000}"/>
    <cellStyle name="Note 2 2 2 2 2 5 4" xfId="2617" xr:uid="{00000000-0005-0000-0000-000083850000}"/>
    <cellStyle name="Note 2 2 2 2 2 6" xfId="29390" xr:uid="{00000000-0005-0000-0000-000084850000}"/>
    <cellStyle name="Note 2 2 2 2 2 6 2" xfId="18654" xr:uid="{00000000-0005-0000-0000-000085850000}"/>
    <cellStyle name="Note 2 2 2 2 2 6 2 2" xfId="2616" xr:uid="{00000000-0005-0000-0000-000086850000}"/>
    <cellStyle name="Note 2 2 2 2 2 6 3" xfId="2615" xr:uid="{00000000-0005-0000-0000-000087850000}"/>
    <cellStyle name="Note 2 2 2 2 2 7" xfId="26218" xr:uid="{00000000-0005-0000-0000-000088850000}"/>
    <cellStyle name="Note 2 2 2 2 2 7 2" xfId="2614" xr:uid="{00000000-0005-0000-0000-000089850000}"/>
    <cellStyle name="Note 2 2 2 2 2 8" xfId="2613" xr:uid="{00000000-0005-0000-0000-00008A850000}"/>
    <cellStyle name="Note 2 2 2 2 3" xfId="21481" xr:uid="{00000000-0005-0000-0000-00008B850000}"/>
    <cellStyle name="Note 2 2 2 2 3 2" xfId="2612" xr:uid="{00000000-0005-0000-0000-00008C850000}"/>
    <cellStyle name="Note 2 2 2 2 3 2 2" xfId="2611" xr:uid="{00000000-0005-0000-0000-00008D850000}"/>
    <cellStyle name="Note 2 2 2 2 3 2 2 2" xfId="2610" xr:uid="{00000000-0005-0000-0000-00008E850000}"/>
    <cellStyle name="Note 2 2 2 2 3 2 2 2 2" xfId="2609" xr:uid="{00000000-0005-0000-0000-00008F850000}"/>
    <cellStyle name="Note 2 2 2 2 3 2 2 2 2 2" xfId="16272" xr:uid="{00000000-0005-0000-0000-000090850000}"/>
    <cellStyle name="Note 2 2 2 2 3 2 2 2 2 2 2" xfId="2608" xr:uid="{00000000-0005-0000-0000-000091850000}"/>
    <cellStyle name="Note 2 2 2 2 3 2 2 2 2 3" xfId="2607" xr:uid="{00000000-0005-0000-0000-000092850000}"/>
    <cellStyle name="Note 2 2 2 2 3 2 2 2 3" xfId="2606" xr:uid="{00000000-0005-0000-0000-000093850000}"/>
    <cellStyle name="Note 2 2 2 2 3 2 2 2 3 2" xfId="2605" xr:uid="{00000000-0005-0000-0000-000094850000}"/>
    <cellStyle name="Note 2 2 2 2 3 2 2 2 4" xfId="2604" xr:uid="{00000000-0005-0000-0000-000095850000}"/>
    <cellStyle name="Note 2 2 2 2 3 2 2 3" xfId="2603" xr:uid="{00000000-0005-0000-0000-000096850000}"/>
    <cellStyle name="Note 2 2 2 2 3 2 2 3 2" xfId="2602" xr:uid="{00000000-0005-0000-0000-000097850000}"/>
    <cellStyle name="Note 2 2 2 2 3 2 2 3 2 2" xfId="2601" xr:uid="{00000000-0005-0000-0000-000098850000}"/>
    <cellStyle name="Note 2 2 2 2 3 2 2 3 3" xfId="2600" xr:uid="{00000000-0005-0000-0000-000099850000}"/>
    <cellStyle name="Note 2 2 2 2 3 2 2 4" xfId="2599" xr:uid="{00000000-0005-0000-0000-00009A850000}"/>
    <cellStyle name="Note 2 2 2 2 3 2 2 4 2" xfId="2598" xr:uid="{00000000-0005-0000-0000-00009B850000}"/>
    <cellStyle name="Note 2 2 2 2 3 2 2 5" xfId="2597" xr:uid="{00000000-0005-0000-0000-00009C850000}"/>
    <cellStyle name="Note 2 2 2 2 3 2 3" xfId="2594" xr:uid="{00000000-0005-0000-0000-00009D850000}"/>
    <cellStyle name="Note 2 2 2 2 3 2 3 2" xfId="2593" xr:uid="{00000000-0005-0000-0000-00009E850000}"/>
    <cellStyle name="Note 2 2 2 2 3 2 3 2 2" xfId="2592" xr:uid="{00000000-0005-0000-0000-00009F850000}"/>
    <cellStyle name="Note 2 2 2 2 3 2 3 2 2 2" xfId="2591" xr:uid="{00000000-0005-0000-0000-0000A0850000}"/>
    <cellStyle name="Note 2 2 2 2 3 2 3 2 3" xfId="2590" xr:uid="{00000000-0005-0000-0000-0000A1850000}"/>
    <cellStyle name="Note 2 2 2 2 3 2 3 3" xfId="2589" xr:uid="{00000000-0005-0000-0000-0000A2850000}"/>
    <cellStyle name="Note 2 2 2 2 3 2 3 3 2" xfId="23201" xr:uid="{00000000-0005-0000-0000-0000A3850000}"/>
    <cellStyle name="Note 2 2 2 2 3 2 3 4" xfId="2588" xr:uid="{00000000-0005-0000-0000-0000A4850000}"/>
    <cellStyle name="Note 2 2 2 2 3 2 4" xfId="15813" xr:uid="{00000000-0005-0000-0000-0000A5850000}"/>
    <cellStyle name="Note 2 2 2 2 3 2 4 2" xfId="2587" xr:uid="{00000000-0005-0000-0000-0000A6850000}"/>
    <cellStyle name="Note 2 2 2 2 3 2 4 2 2" xfId="2586" xr:uid="{00000000-0005-0000-0000-0000A7850000}"/>
    <cellStyle name="Note 2 2 2 2 3 2 4 3" xfId="2585" xr:uid="{00000000-0005-0000-0000-0000A8850000}"/>
    <cellStyle name="Note 2 2 2 2 3 2 5" xfId="2584" xr:uid="{00000000-0005-0000-0000-0000A9850000}"/>
    <cellStyle name="Note 2 2 2 2 3 2 5 2" xfId="8415" xr:uid="{00000000-0005-0000-0000-0000AA850000}"/>
    <cellStyle name="Note 2 2 2 2 3 2 6" xfId="2583" xr:uid="{00000000-0005-0000-0000-0000AB850000}"/>
    <cellStyle name="Note 2 2 2 2 3 3" xfId="2582" xr:uid="{00000000-0005-0000-0000-0000AC850000}"/>
    <cellStyle name="Note 2 2 2 2 3 3 2" xfId="2581" xr:uid="{00000000-0005-0000-0000-0000AD850000}"/>
    <cellStyle name="Note 2 2 2 2 3 3 2 2" xfId="2580" xr:uid="{00000000-0005-0000-0000-0000AE850000}"/>
    <cellStyle name="Note 2 2 2 2 3 3 2 2 2" xfId="2579" xr:uid="{00000000-0005-0000-0000-0000AF850000}"/>
    <cellStyle name="Note 2 2 2 2 3 3 2 2 2 2" xfId="2578" xr:uid="{00000000-0005-0000-0000-0000B0850000}"/>
    <cellStyle name="Note 2 2 2 2 3 3 2 2 3" xfId="2577" xr:uid="{00000000-0005-0000-0000-0000B1850000}"/>
    <cellStyle name="Note 2 2 2 2 3 3 2 3" xfId="2576" xr:uid="{00000000-0005-0000-0000-0000B2850000}"/>
    <cellStyle name="Note 2 2 2 2 3 3 2 3 2" xfId="2575" xr:uid="{00000000-0005-0000-0000-0000B3850000}"/>
    <cellStyle name="Note 2 2 2 2 3 3 2 4" xfId="2574" xr:uid="{00000000-0005-0000-0000-0000B4850000}"/>
    <cellStyle name="Note 2 2 2 2 3 3 3" xfId="2573" xr:uid="{00000000-0005-0000-0000-0000B5850000}"/>
    <cellStyle name="Note 2 2 2 2 3 3 3 2" xfId="2572" xr:uid="{00000000-0005-0000-0000-0000B6850000}"/>
    <cellStyle name="Note 2 2 2 2 3 3 3 2 2" xfId="21398" xr:uid="{00000000-0005-0000-0000-0000B7850000}"/>
    <cellStyle name="Note 2 2 2 2 3 3 3 3" xfId="2571" xr:uid="{00000000-0005-0000-0000-0000B8850000}"/>
    <cellStyle name="Note 2 2 2 2 3 3 4" xfId="2570" xr:uid="{00000000-0005-0000-0000-0000B9850000}"/>
    <cellStyle name="Note 2 2 2 2 3 3 4 2" xfId="25149" xr:uid="{00000000-0005-0000-0000-0000BA850000}"/>
    <cellStyle name="Note 2 2 2 2 3 3 5" xfId="2569" xr:uid="{00000000-0005-0000-0000-0000BB850000}"/>
    <cellStyle name="Note 2 2 2 2 3 4" xfId="21467" xr:uid="{00000000-0005-0000-0000-0000BC850000}"/>
    <cellStyle name="Note 2 2 2 2 3 4 2" xfId="26923" xr:uid="{00000000-0005-0000-0000-0000BD850000}"/>
    <cellStyle name="Note 2 2 2 2 3 4 2 2" xfId="2568" xr:uid="{00000000-0005-0000-0000-0000BE850000}"/>
    <cellStyle name="Note 2 2 2 2 3 4 2 2 2" xfId="24513" xr:uid="{00000000-0005-0000-0000-0000BF850000}"/>
    <cellStyle name="Note 2 2 2 2 3 4 2 3" xfId="2567" xr:uid="{00000000-0005-0000-0000-0000C0850000}"/>
    <cellStyle name="Note 2 2 2 2 3 4 3" xfId="26997" xr:uid="{00000000-0005-0000-0000-0000C1850000}"/>
    <cellStyle name="Note 2 2 2 2 3 4 3 2" xfId="2566" xr:uid="{00000000-0005-0000-0000-0000C2850000}"/>
    <cellStyle name="Note 2 2 2 2 3 4 4" xfId="2565" xr:uid="{00000000-0005-0000-0000-0000C3850000}"/>
    <cellStyle name="Note 2 2 2 2 3 5" xfId="19462" xr:uid="{00000000-0005-0000-0000-0000C4850000}"/>
    <cellStyle name="Note 2 2 2 2 3 5 2" xfId="30815" xr:uid="{00000000-0005-0000-0000-0000C5850000}"/>
    <cellStyle name="Note 2 2 2 2 3 5 2 2" xfId="2564" xr:uid="{00000000-0005-0000-0000-0000C6850000}"/>
    <cellStyle name="Note 2 2 2 2 3 5 3" xfId="2563" xr:uid="{00000000-0005-0000-0000-0000C7850000}"/>
    <cellStyle name="Note 2 2 2 2 3 6" xfId="30346" xr:uid="{00000000-0005-0000-0000-0000C8850000}"/>
    <cellStyle name="Note 2 2 2 2 3 6 2" xfId="2562" xr:uid="{00000000-0005-0000-0000-0000C9850000}"/>
    <cellStyle name="Note 2 2 2 2 3 7" xfId="2561" xr:uid="{00000000-0005-0000-0000-0000CA850000}"/>
    <cellStyle name="Note 2 2 2 2 4" xfId="2560" xr:uid="{00000000-0005-0000-0000-0000CB850000}"/>
    <cellStyle name="Note 2 2 2 2 4 2" xfId="2559" xr:uid="{00000000-0005-0000-0000-0000CC850000}"/>
    <cellStyle name="Note 2 2 2 2 4 2 2" xfId="2558" xr:uid="{00000000-0005-0000-0000-0000CD850000}"/>
    <cellStyle name="Note 2 2 2 2 4 2 2 2" xfId="2557" xr:uid="{00000000-0005-0000-0000-0000CE850000}"/>
    <cellStyle name="Note 2 2 2 2 4 2 2 2 2" xfId="32388" xr:uid="{00000000-0005-0000-0000-0000CF850000}"/>
    <cellStyle name="Note 2 2 2 2 4 2 2 2 2 2" xfId="19058" xr:uid="{00000000-0005-0000-0000-0000D0850000}"/>
    <cellStyle name="Note 2 2 2 2 4 2 2 2 3" xfId="34018" xr:uid="{00000000-0005-0000-0000-0000D1850000}"/>
    <cellStyle name="Note 2 2 2 2 4 2 2 3" xfId="2556" xr:uid="{00000000-0005-0000-0000-0000D2850000}"/>
    <cellStyle name="Note 2 2 2 2 4 2 2 3 2" xfId="10656" xr:uid="{00000000-0005-0000-0000-0000D3850000}"/>
    <cellStyle name="Note 2 2 2 2 4 2 2 4" xfId="2555" xr:uid="{00000000-0005-0000-0000-0000D4850000}"/>
    <cellStyle name="Note 2 2 2 2 4 2 3" xfId="21975" xr:uid="{00000000-0005-0000-0000-0000D5850000}"/>
    <cellStyle name="Note 2 2 2 2 4 2 3 2" xfId="2554" xr:uid="{00000000-0005-0000-0000-0000D6850000}"/>
    <cellStyle name="Note 2 2 2 2 4 2 3 2 2" xfId="34052" xr:uid="{00000000-0005-0000-0000-0000D7850000}"/>
    <cellStyle name="Note 2 2 2 2 4 2 3 3" xfId="2553" xr:uid="{00000000-0005-0000-0000-0000D8850000}"/>
    <cellStyle name="Note 2 2 2 2 4 2 4" xfId="2551" xr:uid="{00000000-0005-0000-0000-0000D9850000}"/>
    <cellStyle name="Note 2 2 2 2 4 2 4 2" xfId="2550" xr:uid="{00000000-0005-0000-0000-0000DA850000}"/>
    <cellStyle name="Note 2 2 2 2 4 2 5" xfId="2549" xr:uid="{00000000-0005-0000-0000-0000DB850000}"/>
    <cellStyle name="Note 2 2 2 2 4 3" xfId="31245" xr:uid="{00000000-0005-0000-0000-0000DC850000}"/>
    <cellStyle name="Note 2 2 2 2 4 3 2" xfId="8022" xr:uid="{00000000-0005-0000-0000-0000DD850000}"/>
    <cellStyle name="Note 2 2 2 2 4 3 2 2" xfId="4435" xr:uid="{00000000-0005-0000-0000-0000DE850000}"/>
    <cellStyle name="Note 2 2 2 2 4 3 2 2 2" xfId="2548" xr:uid="{00000000-0005-0000-0000-0000DF850000}"/>
    <cellStyle name="Note 2 2 2 2 4 3 2 3" xfId="2547" xr:uid="{00000000-0005-0000-0000-0000E0850000}"/>
    <cellStyle name="Note 2 2 2 2 4 3 3" xfId="2546" xr:uid="{00000000-0005-0000-0000-0000E1850000}"/>
    <cellStyle name="Note 2 2 2 2 4 3 3 2" xfId="4415" xr:uid="{00000000-0005-0000-0000-0000E2850000}"/>
    <cellStyle name="Note 2 2 2 2 4 3 4" xfId="2545" xr:uid="{00000000-0005-0000-0000-0000E3850000}"/>
    <cellStyle name="Note 2 2 2 2 4 4" xfId="8019" xr:uid="{00000000-0005-0000-0000-0000E4850000}"/>
    <cellStyle name="Note 2 2 2 2 4 4 2" xfId="22214" xr:uid="{00000000-0005-0000-0000-0000E5850000}"/>
    <cellStyle name="Note 2 2 2 2 4 4 2 2" xfId="2544" xr:uid="{00000000-0005-0000-0000-0000E6850000}"/>
    <cellStyle name="Note 2 2 2 2 4 4 3" xfId="2543" xr:uid="{00000000-0005-0000-0000-0000E7850000}"/>
    <cellStyle name="Note 2 2 2 2 4 5" xfId="28511" xr:uid="{00000000-0005-0000-0000-0000E8850000}"/>
    <cellStyle name="Note 2 2 2 2 4 5 2" xfId="2542" xr:uid="{00000000-0005-0000-0000-0000E9850000}"/>
    <cellStyle name="Note 2 2 2 2 4 6" xfId="2541" xr:uid="{00000000-0005-0000-0000-0000EA850000}"/>
    <cellStyle name="Note 2 2 2 2 5" xfId="2540" xr:uid="{00000000-0005-0000-0000-0000EB850000}"/>
    <cellStyle name="Note 2 2 2 2 5 2" xfId="2539" xr:uid="{00000000-0005-0000-0000-0000EC850000}"/>
    <cellStyle name="Note 2 2 2 2 5 2 2" xfId="24451" xr:uid="{00000000-0005-0000-0000-0000ED850000}"/>
    <cellStyle name="Note 2 2 2 2 5 2 2 2" xfId="2538" xr:uid="{00000000-0005-0000-0000-0000EE850000}"/>
    <cellStyle name="Note 2 2 2 2 5 2 2 2 2" xfId="2537" xr:uid="{00000000-0005-0000-0000-0000EF850000}"/>
    <cellStyle name="Note 2 2 2 2 5 2 2 3" xfId="25032" xr:uid="{00000000-0005-0000-0000-0000F0850000}"/>
    <cellStyle name="Note 2 2 2 2 5 2 3" xfId="21562" xr:uid="{00000000-0005-0000-0000-0000F1850000}"/>
    <cellStyle name="Note 2 2 2 2 5 2 3 2" xfId="2536" xr:uid="{00000000-0005-0000-0000-0000F2850000}"/>
    <cellStyle name="Note 2 2 2 2 5 2 4" xfId="7031" xr:uid="{00000000-0005-0000-0000-0000F3850000}"/>
    <cellStyle name="Note 2 2 2 2 5 3" xfId="8013" xr:uid="{00000000-0005-0000-0000-0000F4850000}"/>
    <cellStyle name="Note 2 2 2 2 5 3 2" xfId="30675" xr:uid="{00000000-0005-0000-0000-0000F5850000}"/>
    <cellStyle name="Note 2 2 2 2 5 3 2 2" xfId="2534" xr:uid="{00000000-0005-0000-0000-0000F6850000}"/>
    <cellStyle name="Note 2 2 2 2 5 3 3" xfId="7019" xr:uid="{00000000-0005-0000-0000-0000F7850000}"/>
    <cellStyle name="Note 2 2 2 2 5 4" xfId="28461" xr:uid="{00000000-0005-0000-0000-0000F8850000}"/>
    <cellStyle name="Note 2 2 2 2 5 4 2" xfId="7012" xr:uid="{00000000-0005-0000-0000-0000F9850000}"/>
    <cellStyle name="Note 2 2 2 2 5 5" xfId="4621" xr:uid="{00000000-0005-0000-0000-0000FA850000}"/>
    <cellStyle name="Note 2 2 2 2 6" xfId="2533" xr:uid="{00000000-0005-0000-0000-0000FB850000}"/>
    <cellStyle name="Note 2 2 2 2 6 2" xfId="2532" xr:uid="{00000000-0005-0000-0000-0000FC850000}"/>
    <cellStyle name="Note 2 2 2 2 6 2 2" xfId="30664" xr:uid="{00000000-0005-0000-0000-0000FD850000}"/>
    <cellStyle name="Note 2 2 2 2 6 2 2 2" xfId="2531" xr:uid="{00000000-0005-0000-0000-0000FE850000}"/>
    <cellStyle name="Note 2 2 2 2 6 2 3" xfId="6963" xr:uid="{00000000-0005-0000-0000-0000FF850000}"/>
    <cellStyle name="Note 2 2 2 2 6 3" xfId="2530" xr:uid="{00000000-0005-0000-0000-000000860000}"/>
    <cellStyle name="Note 2 2 2 2 6 3 2" xfId="31302" xr:uid="{00000000-0005-0000-0000-000001860000}"/>
    <cellStyle name="Note 2 2 2 2 6 4" xfId="2529" xr:uid="{00000000-0005-0000-0000-000002860000}"/>
    <cellStyle name="Note 2 2 2 2 7" xfId="2528" xr:uid="{00000000-0005-0000-0000-000003860000}"/>
    <cellStyle name="Note 2 2 2 2 7 2" xfId="28997" xr:uid="{00000000-0005-0000-0000-000004860000}"/>
    <cellStyle name="Note 2 2 2 2 7 2 2" xfId="6933" xr:uid="{00000000-0005-0000-0000-000005860000}"/>
    <cellStyle name="Note 2 2 2 2 7 3" xfId="2527" xr:uid="{00000000-0005-0000-0000-000006860000}"/>
    <cellStyle name="Note 2 2 2 2 8" xfId="2526" xr:uid="{00000000-0005-0000-0000-000007860000}"/>
    <cellStyle name="Note 2 2 2 2 8 2" xfId="2525" xr:uid="{00000000-0005-0000-0000-000008860000}"/>
    <cellStyle name="Note 2 2 2 2 9" xfId="34287" xr:uid="{00000000-0005-0000-0000-000009860000}"/>
    <cellStyle name="Note 2 2 2 3" xfId="2524" xr:uid="{00000000-0005-0000-0000-00000A860000}"/>
    <cellStyle name="Note 2 2 2 3 2" xfId="19454" xr:uid="{00000000-0005-0000-0000-00000B860000}"/>
    <cellStyle name="Note 2 2 2 3 2 2" xfId="2523" xr:uid="{00000000-0005-0000-0000-00000C860000}"/>
    <cellStyle name="Note 2 2 2 3 2 2 2" xfId="8897" xr:uid="{00000000-0005-0000-0000-00000D860000}"/>
    <cellStyle name="Note 2 2 2 3 2 2 2 2" xfId="2522" xr:uid="{00000000-0005-0000-0000-00000E860000}"/>
    <cellStyle name="Note 2 2 2 3 2 2 2 2 2" xfId="2521" xr:uid="{00000000-0005-0000-0000-00000F860000}"/>
    <cellStyle name="Note 2 2 2 3 2 2 2 2 2 2" xfId="16522" xr:uid="{00000000-0005-0000-0000-000010860000}"/>
    <cellStyle name="Note 2 2 2 3 2 2 2 2 2 2 2" xfId="2520" xr:uid="{00000000-0005-0000-0000-000011860000}"/>
    <cellStyle name="Note 2 2 2 3 2 2 2 2 2 3" xfId="14815" xr:uid="{00000000-0005-0000-0000-000012860000}"/>
    <cellStyle name="Note 2 2 2 3 2 2 2 2 3" xfId="25400" xr:uid="{00000000-0005-0000-0000-000013860000}"/>
    <cellStyle name="Note 2 2 2 3 2 2 2 2 3 2" xfId="14809" xr:uid="{00000000-0005-0000-0000-000014860000}"/>
    <cellStyle name="Note 2 2 2 3 2 2 2 2 4" xfId="2519" xr:uid="{00000000-0005-0000-0000-000015860000}"/>
    <cellStyle name="Note 2 2 2 3 2 2 2 3" xfId="2518" xr:uid="{00000000-0005-0000-0000-000016860000}"/>
    <cellStyle name="Note 2 2 2 3 2 2 2 3 2" xfId="20437" xr:uid="{00000000-0005-0000-0000-000017860000}"/>
    <cellStyle name="Note 2 2 2 3 2 2 2 3 2 2" xfId="14797" xr:uid="{00000000-0005-0000-0000-000018860000}"/>
    <cellStyle name="Note 2 2 2 3 2 2 2 3 3" xfId="18930" xr:uid="{00000000-0005-0000-0000-000019860000}"/>
    <cellStyle name="Note 2 2 2 3 2 2 2 4" xfId="25061" xr:uid="{00000000-0005-0000-0000-00001A860000}"/>
    <cellStyle name="Note 2 2 2 3 2 2 2 4 2" xfId="18922" xr:uid="{00000000-0005-0000-0000-00001B860000}"/>
    <cellStyle name="Note 2 2 2 3 2 2 2 5" xfId="2517" xr:uid="{00000000-0005-0000-0000-00001C860000}"/>
    <cellStyle name="Note 2 2 2 3 2 2 3" xfId="8891" xr:uid="{00000000-0005-0000-0000-00001D860000}"/>
    <cellStyle name="Note 2 2 2 3 2 2 3 2" xfId="2515" xr:uid="{00000000-0005-0000-0000-00001E860000}"/>
    <cellStyle name="Note 2 2 2 3 2 2 3 2 2" xfId="2514" xr:uid="{00000000-0005-0000-0000-00001F860000}"/>
    <cellStyle name="Note 2 2 2 3 2 2 3 2 2 2" xfId="14782" xr:uid="{00000000-0005-0000-0000-000020860000}"/>
    <cellStyle name="Note 2 2 2 3 2 2 3 2 3" xfId="2513" xr:uid="{00000000-0005-0000-0000-000021860000}"/>
    <cellStyle name="Note 2 2 2 3 2 2 3 3" xfId="2512" xr:uid="{00000000-0005-0000-0000-000022860000}"/>
    <cellStyle name="Note 2 2 2 3 2 2 3 3 2" xfId="22889" xr:uid="{00000000-0005-0000-0000-000023860000}"/>
    <cellStyle name="Note 2 2 2 3 2 2 3 4" xfId="2511" xr:uid="{00000000-0005-0000-0000-000024860000}"/>
    <cellStyle name="Note 2 2 2 3 2 2 4" xfId="14008" xr:uid="{00000000-0005-0000-0000-000025860000}"/>
    <cellStyle name="Note 2 2 2 3 2 2 4 2" xfId="2510" xr:uid="{00000000-0005-0000-0000-000026860000}"/>
    <cellStyle name="Note 2 2 2 3 2 2 4 2 2" xfId="2509" xr:uid="{00000000-0005-0000-0000-000027860000}"/>
    <cellStyle name="Note 2 2 2 3 2 2 4 3" xfId="2508" xr:uid="{00000000-0005-0000-0000-000028860000}"/>
    <cellStyle name="Note 2 2 2 3 2 2 5" xfId="2507" xr:uid="{00000000-0005-0000-0000-000029860000}"/>
    <cellStyle name="Note 2 2 2 3 2 2 5 2" xfId="2506" xr:uid="{00000000-0005-0000-0000-00002A860000}"/>
    <cellStyle name="Note 2 2 2 3 2 2 6" xfId="2505" xr:uid="{00000000-0005-0000-0000-00002B860000}"/>
    <cellStyle name="Note 2 2 2 3 2 3" xfId="2504" xr:uid="{00000000-0005-0000-0000-00002C860000}"/>
    <cellStyle name="Note 2 2 2 3 2 3 2" xfId="8888" xr:uid="{00000000-0005-0000-0000-00002D860000}"/>
    <cellStyle name="Note 2 2 2 3 2 3 2 2" xfId="2503" xr:uid="{00000000-0005-0000-0000-00002E860000}"/>
    <cellStyle name="Note 2 2 2 3 2 3 2 2 2" xfId="2502" xr:uid="{00000000-0005-0000-0000-00002F860000}"/>
    <cellStyle name="Note 2 2 2 3 2 3 2 2 2 2" xfId="14712" xr:uid="{00000000-0005-0000-0000-000030860000}"/>
    <cellStyle name="Note 2 2 2 3 2 3 2 2 3" xfId="2501" xr:uid="{00000000-0005-0000-0000-000031860000}"/>
    <cellStyle name="Note 2 2 2 3 2 3 2 3" xfId="2500" xr:uid="{00000000-0005-0000-0000-000032860000}"/>
    <cellStyle name="Note 2 2 2 3 2 3 2 3 2" xfId="24375" xr:uid="{00000000-0005-0000-0000-000033860000}"/>
    <cellStyle name="Note 2 2 2 3 2 3 2 4" xfId="2499" xr:uid="{00000000-0005-0000-0000-000034860000}"/>
    <cellStyle name="Note 2 2 2 3 2 3 3" xfId="2498" xr:uid="{00000000-0005-0000-0000-000035860000}"/>
    <cellStyle name="Note 2 2 2 3 2 3 3 2" xfId="2497" xr:uid="{00000000-0005-0000-0000-000036860000}"/>
    <cellStyle name="Note 2 2 2 3 2 3 3 2 2" xfId="2496" xr:uid="{00000000-0005-0000-0000-000037860000}"/>
    <cellStyle name="Note 2 2 2 3 2 3 3 3" xfId="2495" xr:uid="{00000000-0005-0000-0000-000038860000}"/>
    <cellStyle name="Note 2 2 2 3 2 3 4" xfId="2494" xr:uid="{00000000-0005-0000-0000-000039860000}"/>
    <cellStyle name="Note 2 2 2 3 2 3 4 2" xfId="33250" xr:uid="{00000000-0005-0000-0000-00003A860000}"/>
    <cellStyle name="Note 2 2 2 3 2 3 5" xfId="2493" xr:uid="{00000000-0005-0000-0000-00003B860000}"/>
    <cellStyle name="Note 2 2 2 3 2 4" xfId="26166" xr:uid="{00000000-0005-0000-0000-00003C860000}"/>
    <cellStyle name="Note 2 2 2 3 2 4 2" xfId="31743" xr:uid="{00000000-0005-0000-0000-00003D860000}"/>
    <cellStyle name="Note 2 2 2 3 2 4 2 2" xfId="2492" xr:uid="{00000000-0005-0000-0000-00003E860000}"/>
    <cellStyle name="Note 2 2 2 3 2 4 2 2 2" xfId="24892" xr:uid="{00000000-0005-0000-0000-00003F860000}"/>
    <cellStyle name="Note 2 2 2 3 2 4 2 3" xfId="2491" xr:uid="{00000000-0005-0000-0000-000040860000}"/>
    <cellStyle name="Note 2 2 2 3 2 4 3" xfId="23632" xr:uid="{00000000-0005-0000-0000-000041860000}"/>
    <cellStyle name="Note 2 2 2 3 2 4 3 2" xfId="2490" xr:uid="{00000000-0005-0000-0000-000042860000}"/>
    <cellStyle name="Note 2 2 2 3 2 4 4" xfId="23626" xr:uid="{00000000-0005-0000-0000-000043860000}"/>
    <cellStyle name="Note 2 2 2 3 2 5" xfId="30644" xr:uid="{00000000-0005-0000-0000-000044860000}"/>
    <cellStyle name="Note 2 2 2 3 2 5 2" xfId="30640" xr:uid="{00000000-0005-0000-0000-000045860000}"/>
    <cellStyle name="Note 2 2 2 3 2 5 2 2" xfId="2489" xr:uid="{00000000-0005-0000-0000-000046860000}"/>
    <cellStyle name="Note 2 2 2 3 2 5 3" xfId="29922" xr:uid="{00000000-0005-0000-0000-000047860000}"/>
    <cellStyle name="Note 2 2 2 3 2 6" xfId="19637" xr:uid="{00000000-0005-0000-0000-000048860000}"/>
    <cellStyle name="Note 2 2 2 3 2 6 2" xfId="2488" xr:uid="{00000000-0005-0000-0000-000049860000}"/>
    <cellStyle name="Note 2 2 2 3 2 7" xfId="2487" xr:uid="{00000000-0005-0000-0000-00004A860000}"/>
    <cellStyle name="Note 2 2 2 3 3" xfId="2486" xr:uid="{00000000-0005-0000-0000-00004B860000}"/>
    <cellStyle name="Note 2 2 2 3 3 2" xfId="2485" xr:uid="{00000000-0005-0000-0000-00004C860000}"/>
    <cellStyle name="Note 2 2 2 3 3 2 2" xfId="8871" xr:uid="{00000000-0005-0000-0000-00004D860000}"/>
    <cellStyle name="Note 2 2 2 3 3 2 2 2" xfId="2484" xr:uid="{00000000-0005-0000-0000-00004E860000}"/>
    <cellStyle name="Note 2 2 2 3 3 2 2 2 2" xfId="21024" xr:uid="{00000000-0005-0000-0000-00004F860000}"/>
    <cellStyle name="Note 2 2 2 3 3 2 2 2 2 2" xfId="33296" xr:uid="{00000000-0005-0000-0000-000050860000}"/>
    <cellStyle name="Note 2 2 2 3 3 2 2 2 3" xfId="2483" xr:uid="{00000000-0005-0000-0000-000051860000}"/>
    <cellStyle name="Note 2 2 2 3 3 2 2 3" xfId="2482" xr:uid="{00000000-0005-0000-0000-000052860000}"/>
    <cellStyle name="Note 2 2 2 3 3 2 2 3 2" xfId="18886" xr:uid="{00000000-0005-0000-0000-000053860000}"/>
    <cellStyle name="Note 2 2 2 3 3 2 2 4" xfId="2481" xr:uid="{00000000-0005-0000-0000-000054860000}"/>
    <cellStyle name="Note 2 2 2 3 3 2 3" xfId="2480" xr:uid="{00000000-0005-0000-0000-000055860000}"/>
    <cellStyle name="Note 2 2 2 3 3 2 3 2" xfId="2479" xr:uid="{00000000-0005-0000-0000-000056860000}"/>
    <cellStyle name="Note 2 2 2 3 3 2 3 2 2" xfId="2478" xr:uid="{00000000-0005-0000-0000-000057860000}"/>
    <cellStyle name="Note 2 2 2 3 3 2 3 3" xfId="2477" xr:uid="{00000000-0005-0000-0000-000058860000}"/>
    <cellStyle name="Note 2 2 2 3 3 2 4" xfId="2476" xr:uid="{00000000-0005-0000-0000-000059860000}"/>
    <cellStyle name="Note 2 2 2 3 3 2 4 2" xfId="29013" xr:uid="{00000000-0005-0000-0000-00005A860000}"/>
    <cellStyle name="Note 2 2 2 3 3 2 5" xfId="2475" xr:uid="{00000000-0005-0000-0000-00005B860000}"/>
    <cellStyle name="Note 2 2 2 3 3 3" xfId="2474" xr:uid="{00000000-0005-0000-0000-00005C860000}"/>
    <cellStyle name="Note 2 2 2 3 3 3 2" xfId="2473" xr:uid="{00000000-0005-0000-0000-00005D860000}"/>
    <cellStyle name="Note 2 2 2 3 3 3 2 2" xfId="2472" xr:uid="{00000000-0005-0000-0000-00005E860000}"/>
    <cellStyle name="Note 2 2 2 3 3 3 2 2 2" xfId="2471" xr:uid="{00000000-0005-0000-0000-00005F860000}"/>
    <cellStyle name="Note 2 2 2 3 3 3 2 3" xfId="2470" xr:uid="{00000000-0005-0000-0000-000060860000}"/>
    <cellStyle name="Note 2 2 2 3 3 3 3" xfId="2469" xr:uid="{00000000-0005-0000-0000-000061860000}"/>
    <cellStyle name="Note 2 2 2 3 3 3 3 2" xfId="2468" xr:uid="{00000000-0005-0000-0000-000062860000}"/>
    <cellStyle name="Note 2 2 2 3 3 3 4" xfId="2467" xr:uid="{00000000-0005-0000-0000-000063860000}"/>
    <cellStyle name="Note 2 2 2 3 3 4" xfId="30629" xr:uid="{00000000-0005-0000-0000-000064860000}"/>
    <cellStyle name="Note 2 2 2 3 3 4 2" xfId="30627" xr:uid="{00000000-0005-0000-0000-000065860000}"/>
    <cellStyle name="Note 2 2 2 3 3 4 2 2" xfId="2466" xr:uid="{00000000-0005-0000-0000-000066860000}"/>
    <cellStyle name="Note 2 2 2 3 3 4 3" xfId="32756" xr:uid="{00000000-0005-0000-0000-000067860000}"/>
    <cellStyle name="Note 2 2 2 3 3 5" xfId="30624" xr:uid="{00000000-0005-0000-0000-000068860000}"/>
    <cellStyle name="Note 2 2 2 3 3 5 2" xfId="2465" xr:uid="{00000000-0005-0000-0000-000069860000}"/>
    <cellStyle name="Note 2 2 2 3 3 6" xfId="2464" xr:uid="{00000000-0005-0000-0000-00006A860000}"/>
    <cellStyle name="Note 2 2 2 3 4" xfId="2463" xr:uid="{00000000-0005-0000-0000-00006B860000}"/>
    <cellStyle name="Note 2 2 2 3 4 2" xfId="2462" xr:uid="{00000000-0005-0000-0000-00006C860000}"/>
    <cellStyle name="Note 2 2 2 3 4 2 2" xfId="2461" xr:uid="{00000000-0005-0000-0000-00006D860000}"/>
    <cellStyle name="Note 2 2 2 3 4 2 2 2" xfId="2460" xr:uid="{00000000-0005-0000-0000-00006E860000}"/>
    <cellStyle name="Note 2 2 2 3 4 2 2 2 2" xfId="2459" xr:uid="{00000000-0005-0000-0000-00006F860000}"/>
    <cellStyle name="Note 2 2 2 3 4 2 2 3" xfId="2458" xr:uid="{00000000-0005-0000-0000-000070860000}"/>
    <cellStyle name="Note 2 2 2 3 4 2 3" xfId="2457" xr:uid="{00000000-0005-0000-0000-000071860000}"/>
    <cellStyle name="Note 2 2 2 3 4 2 3 2" xfId="2456" xr:uid="{00000000-0005-0000-0000-000072860000}"/>
    <cellStyle name="Note 2 2 2 3 4 2 4" xfId="2455" xr:uid="{00000000-0005-0000-0000-000073860000}"/>
    <cellStyle name="Note 2 2 2 3 4 3" xfId="8010" xr:uid="{00000000-0005-0000-0000-000074860000}"/>
    <cellStyle name="Note 2 2 2 3 4 3 2" xfId="2454" xr:uid="{00000000-0005-0000-0000-000075860000}"/>
    <cellStyle name="Note 2 2 2 3 4 3 2 2" xfId="2453" xr:uid="{00000000-0005-0000-0000-000076860000}"/>
    <cellStyle name="Note 2 2 2 3 4 3 3" xfId="2452" xr:uid="{00000000-0005-0000-0000-000077860000}"/>
    <cellStyle name="Note 2 2 2 3 4 4" xfId="24695" xr:uid="{00000000-0005-0000-0000-000078860000}"/>
    <cellStyle name="Note 2 2 2 3 4 4 2" xfId="2451" xr:uid="{00000000-0005-0000-0000-000079860000}"/>
    <cellStyle name="Note 2 2 2 3 4 5" xfId="2450" xr:uid="{00000000-0005-0000-0000-00007A860000}"/>
    <cellStyle name="Note 2 2 2 3 5" xfId="2449" xr:uid="{00000000-0005-0000-0000-00007B860000}"/>
    <cellStyle name="Note 2 2 2 3 5 2" xfId="2448" xr:uid="{00000000-0005-0000-0000-00007C860000}"/>
    <cellStyle name="Note 2 2 2 3 5 2 2" xfId="28873" xr:uid="{00000000-0005-0000-0000-00007D860000}"/>
    <cellStyle name="Note 2 2 2 3 5 2 2 2" xfId="2447" xr:uid="{00000000-0005-0000-0000-00007E860000}"/>
    <cellStyle name="Note 2 2 2 3 5 2 3" xfId="25421" xr:uid="{00000000-0005-0000-0000-00007F860000}"/>
    <cellStyle name="Note 2 2 2 3 5 3" xfId="2446" xr:uid="{00000000-0005-0000-0000-000080860000}"/>
    <cellStyle name="Note 2 2 2 3 5 3 2" xfId="25409" xr:uid="{00000000-0005-0000-0000-000081860000}"/>
    <cellStyle name="Note 2 2 2 3 5 4" xfId="2445" xr:uid="{00000000-0005-0000-0000-000082860000}"/>
    <cellStyle name="Note 2 2 2 3 6" xfId="2444" xr:uid="{00000000-0005-0000-0000-000083860000}"/>
    <cellStyle name="Note 2 2 2 3 6 2" xfId="22168" xr:uid="{00000000-0005-0000-0000-000084860000}"/>
    <cellStyle name="Note 2 2 2 3 6 2 2" xfId="25389" xr:uid="{00000000-0005-0000-0000-000085860000}"/>
    <cellStyle name="Note 2 2 2 3 6 3" xfId="24671" xr:uid="{00000000-0005-0000-0000-000086860000}"/>
    <cellStyle name="Note 2 2 2 3 7" xfId="2443" xr:uid="{00000000-0005-0000-0000-000087860000}"/>
    <cellStyle name="Note 2 2 2 3 7 2" xfId="22164" xr:uid="{00000000-0005-0000-0000-000088860000}"/>
    <cellStyle name="Note 2 2 2 3 8" xfId="2442" xr:uid="{00000000-0005-0000-0000-000089860000}"/>
    <cellStyle name="Note 2 2 2 4" xfId="2441" xr:uid="{00000000-0005-0000-0000-00008A860000}"/>
    <cellStyle name="Note 2 2 2 4 2" xfId="2440" xr:uid="{00000000-0005-0000-0000-00008B860000}"/>
    <cellStyle name="Note 2 2 2 4 2 2" xfId="22508" xr:uid="{00000000-0005-0000-0000-00008C860000}"/>
    <cellStyle name="Note 2 2 2 4 2 2 2" xfId="22313" xr:uid="{00000000-0005-0000-0000-00008D860000}"/>
    <cellStyle name="Note 2 2 2 4 2 2 2 2" xfId="28535" xr:uid="{00000000-0005-0000-0000-00008E860000}"/>
    <cellStyle name="Note 2 2 2 4 2 2 2 2 2" xfId="2439" xr:uid="{00000000-0005-0000-0000-00008F860000}"/>
    <cellStyle name="Note 2 2 2 4 2 2 2 2 2 2" xfId="14542" xr:uid="{00000000-0005-0000-0000-000090860000}"/>
    <cellStyle name="Note 2 2 2 4 2 2 2 2 3" xfId="29793" xr:uid="{00000000-0005-0000-0000-000091860000}"/>
    <cellStyle name="Note 2 2 2 4 2 2 2 3" xfId="2438" xr:uid="{00000000-0005-0000-0000-000092860000}"/>
    <cellStyle name="Note 2 2 2 4 2 2 2 3 2" xfId="18802" xr:uid="{00000000-0005-0000-0000-000093860000}"/>
    <cellStyle name="Note 2 2 2 4 2 2 2 4" xfId="2437" xr:uid="{00000000-0005-0000-0000-000094860000}"/>
    <cellStyle name="Note 2 2 2 4 2 2 3" xfId="2436" xr:uid="{00000000-0005-0000-0000-000095860000}"/>
    <cellStyle name="Note 2 2 2 4 2 2 3 2" xfId="2435" xr:uid="{00000000-0005-0000-0000-000096860000}"/>
    <cellStyle name="Note 2 2 2 4 2 2 3 2 2" xfId="2434" xr:uid="{00000000-0005-0000-0000-000097860000}"/>
    <cellStyle name="Note 2 2 2 4 2 2 3 3" xfId="2433" xr:uid="{00000000-0005-0000-0000-000098860000}"/>
    <cellStyle name="Note 2 2 2 4 2 2 4" xfId="2432" xr:uid="{00000000-0005-0000-0000-000099860000}"/>
    <cellStyle name="Note 2 2 2 4 2 2 4 2" xfId="6287" xr:uid="{00000000-0005-0000-0000-00009A860000}"/>
    <cellStyle name="Note 2 2 2 4 2 2 5" xfId="2431" xr:uid="{00000000-0005-0000-0000-00009B860000}"/>
    <cellStyle name="Note 2 2 2 4 2 3" xfId="2430" xr:uid="{00000000-0005-0000-0000-00009C860000}"/>
    <cellStyle name="Note 2 2 2 4 2 3 2" xfId="2429" xr:uid="{00000000-0005-0000-0000-00009D860000}"/>
    <cellStyle name="Note 2 2 2 4 2 3 2 2" xfId="2428" xr:uid="{00000000-0005-0000-0000-00009E860000}"/>
    <cellStyle name="Note 2 2 2 4 2 3 2 2 2" xfId="2427" xr:uid="{00000000-0005-0000-0000-00009F860000}"/>
    <cellStyle name="Note 2 2 2 4 2 3 2 3" xfId="2426" xr:uid="{00000000-0005-0000-0000-0000A0860000}"/>
    <cellStyle name="Note 2 2 2 4 2 3 3" xfId="2425" xr:uid="{00000000-0005-0000-0000-0000A1860000}"/>
    <cellStyle name="Note 2 2 2 4 2 3 3 2" xfId="2424" xr:uid="{00000000-0005-0000-0000-0000A2860000}"/>
    <cellStyle name="Note 2 2 2 4 2 3 4" xfId="2423" xr:uid="{00000000-0005-0000-0000-0000A3860000}"/>
    <cellStyle name="Note 2 2 2 4 2 4" xfId="30510" xr:uid="{00000000-0005-0000-0000-0000A4860000}"/>
    <cellStyle name="Note 2 2 2 4 2 4 2" xfId="24592" xr:uid="{00000000-0005-0000-0000-0000A5860000}"/>
    <cellStyle name="Note 2 2 2 4 2 4 2 2" xfId="2422" xr:uid="{00000000-0005-0000-0000-0000A6860000}"/>
    <cellStyle name="Note 2 2 2 4 2 4 3" xfId="23548" xr:uid="{00000000-0005-0000-0000-0000A7860000}"/>
    <cellStyle name="Note 2 2 2 4 2 5" xfId="30506" xr:uid="{00000000-0005-0000-0000-0000A8860000}"/>
    <cellStyle name="Note 2 2 2 4 2 5 2" xfId="21968" xr:uid="{00000000-0005-0000-0000-0000A9860000}"/>
    <cellStyle name="Note 2 2 2 4 2 6" xfId="2421" xr:uid="{00000000-0005-0000-0000-0000AA860000}"/>
    <cellStyle name="Note 2 2 2 4 3" xfId="2420" xr:uid="{00000000-0005-0000-0000-0000AB860000}"/>
    <cellStyle name="Note 2 2 2 4 3 2" xfId="28771" xr:uid="{00000000-0005-0000-0000-0000AC860000}"/>
    <cellStyle name="Note 2 2 2 4 3 2 2" xfId="20184" xr:uid="{00000000-0005-0000-0000-0000AD860000}"/>
    <cellStyle name="Note 2 2 2 4 3 2 2 2" xfId="32723" xr:uid="{00000000-0005-0000-0000-0000AE860000}"/>
    <cellStyle name="Note 2 2 2 4 3 2 2 2 2" xfId="31140" xr:uid="{00000000-0005-0000-0000-0000AF860000}"/>
    <cellStyle name="Note 2 2 2 4 3 2 2 3" xfId="28123" xr:uid="{00000000-0005-0000-0000-0000B0860000}"/>
    <cellStyle name="Note 2 2 2 4 3 2 3" xfId="2419" xr:uid="{00000000-0005-0000-0000-0000B1860000}"/>
    <cellStyle name="Note 2 2 2 4 3 2 3 2" xfId="29915" xr:uid="{00000000-0005-0000-0000-0000B2860000}"/>
    <cellStyle name="Note 2 2 2 4 3 2 4" xfId="2418" xr:uid="{00000000-0005-0000-0000-0000B3860000}"/>
    <cellStyle name="Note 2 2 2 4 3 3" xfId="33955" xr:uid="{00000000-0005-0000-0000-0000B4860000}"/>
    <cellStyle name="Note 2 2 2 4 3 3 2" xfId="2417" xr:uid="{00000000-0005-0000-0000-0000B5860000}"/>
    <cellStyle name="Note 2 2 2 4 3 3 2 2" xfId="24639" xr:uid="{00000000-0005-0000-0000-0000B6860000}"/>
    <cellStyle name="Note 2 2 2 4 3 3 3" xfId="16799" xr:uid="{00000000-0005-0000-0000-0000B7860000}"/>
    <cellStyle name="Note 2 2 2 4 3 4" xfId="30494" xr:uid="{00000000-0005-0000-0000-0000B8860000}"/>
    <cellStyle name="Note 2 2 2 4 3 4 2" xfId="30160" xr:uid="{00000000-0005-0000-0000-0000B9860000}"/>
    <cellStyle name="Note 2 2 2 4 3 5" xfId="2416" xr:uid="{00000000-0005-0000-0000-0000BA860000}"/>
    <cellStyle name="Note 2 2 2 4 4" xfId="2415" xr:uid="{00000000-0005-0000-0000-0000BB860000}"/>
    <cellStyle name="Note 2 2 2 4 4 2" xfId="32092" xr:uid="{00000000-0005-0000-0000-0000BC860000}"/>
    <cellStyle name="Note 2 2 2 4 4 2 2" xfId="2414" xr:uid="{00000000-0005-0000-0000-0000BD860000}"/>
    <cellStyle name="Note 2 2 2 4 4 2 2 2" xfId="24280" xr:uid="{00000000-0005-0000-0000-0000BE860000}"/>
    <cellStyle name="Note 2 2 2 4 4 2 3" xfId="2413" xr:uid="{00000000-0005-0000-0000-0000BF860000}"/>
    <cellStyle name="Note 2 2 2 4 4 3" xfId="2412" xr:uid="{00000000-0005-0000-0000-0000C0860000}"/>
    <cellStyle name="Note 2 2 2 4 4 3 2" xfId="2411" xr:uid="{00000000-0005-0000-0000-0000C1860000}"/>
    <cellStyle name="Note 2 2 2 4 4 4" xfId="2410" xr:uid="{00000000-0005-0000-0000-0000C2860000}"/>
    <cellStyle name="Note 2 2 2 4 5" xfId="34365" xr:uid="{00000000-0005-0000-0000-0000C3860000}"/>
    <cellStyle name="Note 2 2 2 4 5 2" xfId="2409" xr:uid="{00000000-0005-0000-0000-0000C4860000}"/>
    <cellStyle name="Note 2 2 2 4 5 2 2" xfId="25352" xr:uid="{00000000-0005-0000-0000-0000C5860000}"/>
    <cellStyle name="Note 2 2 2 4 5 3" xfId="2408" xr:uid="{00000000-0005-0000-0000-0000C6860000}"/>
    <cellStyle name="Note 2 2 2 4 6" xfId="30570" xr:uid="{00000000-0005-0000-0000-0000C7860000}"/>
    <cellStyle name="Note 2 2 2 4 6 2" xfId="22154" xr:uid="{00000000-0005-0000-0000-0000C8860000}"/>
    <cellStyle name="Note 2 2 2 4 7" xfId="14977" xr:uid="{00000000-0005-0000-0000-0000C9860000}"/>
    <cellStyle name="Note 2 2 2 5" xfId="2407" xr:uid="{00000000-0005-0000-0000-0000CA860000}"/>
    <cellStyle name="Note 2 2 2 5 2" xfId="2406" xr:uid="{00000000-0005-0000-0000-0000CB860000}"/>
    <cellStyle name="Note 2 2 2 5 2 2" xfId="2405" xr:uid="{00000000-0005-0000-0000-0000CC860000}"/>
    <cellStyle name="Note 2 2 2 5 2 2 2" xfId="2404" xr:uid="{00000000-0005-0000-0000-0000CD860000}"/>
    <cellStyle name="Note 2 2 2 5 2 2 2 2" xfId="17724" xr:uid="{00000000-0005-0000-0000-0000CE860000}"/>
    <cellStyle name="Note 2 2 2 5 2 2 2 2 2" xfId="32671" xr:uid="{00000000-0005-0000-0000-0000CF860000}"/>
    <cellStyle name="Note 2 2 2 5 2 2 2 3" xfId="26355" xr:uid="{00000000-0005-0000-0000-0000D0860000}"/>
    <cellStyle name="Note 2 2 2 5 2 2 3" xfId="2403" xr:uid="{00000000-0005-0000-0000-0000D1860000}"/>
    <cellStyle name="Note 2 2 2 5 2 2 3 2" xfId="2402" xr:uid="{00000000-0005-0000-0000-0000D2860000}"/>
    <cellStyle name="Note 2 2 2 5 2 2 4" xfId="2401" xr:uid="{00000000-0005-0000-0000-0000D3860000}"/>
    <cellStyle name="Note 2 2 2 5 2 3" xfId="2400" xr:uid="{00000000-0005-0000-0000-0000D4860000}"/>
    <cellStyle name="Note 2 2 2 5 2 3 2" xfId="2399" xr:uid="{00000000-0005-0000-0000-0000D5860000}"/>
    <cellStyle name="Note 2 2 2 5 2 3 2 2" xfId="2397" xr:uid="{00000000-0005-0000-0000-0000D6860000}"/>
    <cellStyle name="Note 2 2 2 5 2 3 3" xfId="2396" xr:uid="{00000000-0005-0000-0000-0000D7860000}"/>
    <cellStyle name="Note 2 2 2 5 2 4" xfId="30458" xr:uid="{00000000-0005-0000-0000-0000D8860000}"/>
    <cellStyle name="Note 2 2 2 5 2 4 2" xfId="21766" xr:uid="{00000000-0005-0000-0000-0000D9860000}"/>
    <cellStyle name="Note 2 2 2 5 2 5" xfId="2395" xr:uid="{00000000-0005-0000-0000-0000DA860000}"/>
    <cellStyle name="Note 2 2 2 5 3" xfId="2394" xr:uid="{00000000-0005-0000-0000-0000DB860000}"/>
    <cellStyle name="Note 2 2 2 5 3 2" xfId="28313" xr:uid="{00000000-0005-0000-0000-0000DC860000}"/>
    <cellStyle name="Note 2 2 2 5 3 2 2" xfId="2393" xr:uid="{00000000-0005-0000-0000-0000DD860000}"/>
    <cellStyle name="Note 2 2 2 5 3 2 2 2" xfId="23573" xr:uid="{00000000-0005-0000-0000-0000DE860000}"/>
    <cellStyle name="Note 2 2 2 5 3 2 3" xfId="2392" xr:uid="{00000000-0005-0000-0000-0000DF860000}"/>
    <cellStyle name="Note 2 2 2 5 3 3" xfId="2391" xr:uid="{00000000-0005-0000-0000-0000E0860000}"/>
    <cellStyle name="Note 2 2 2 5 3 3 2" xfId="2390" xr:uid="{00000000-0005-0000-0000-0000E1860000}"/>
    <cellStyle name="Note 2 2 2 5 3 4" xfId="2389" xr:uid="{00000000-0005-0000-0000-0000E2860000}"/>
    <cellStyle name="Note 2 2 2 5 4" xfId="21031" xr:uid="{00000000-0005-0000-0000-0000E3860000}"/>
    <cellStyle name="Note 2 2 2 5 4 2" xfId="2388" xr:uid="{00000000-0005-0000-0000-0000E4860000}"/>
    <cellStyle name="Note 2 2 2 5 4 2 2" xfId="2387" xr:uid="{00000000-0005-0000-0000-0000E5860000}"/>
    <cellStyle name="Note 2 2 2 5 4 3" xfId="2386" xr:uid="{00000000-0005-0000-0000-0000E6860000}"/>
    <cellStyle name="Note 2 2 2 5 5" xfId="33975" xr:uid="{00000000-0005-0000-0000-0000E7860000}"/>
    <cellStyle name="Note 2 2 2 5 5 2" xfId="32390" xr:uid="{00000000-0005-0000-0000-0000E8860000}"/>
    <cellStyle name="Note 2 2 2 5 6" xfId="2385" xr:uid="{00000000-0005-0000-0000-0000E9860000}"/>
    <cellStyle name="Note 2 2 2 6" xfId="28798" xr:uid="{00000000-0005-0000-0000-0000EA860000}"/>
    <cellStyle name="Note 2 2 2 6 2" xfId="2384" xr:uid="{00000000-0005-0000-0000-0000EB860000}"/>
    <cellStyle name="Note 2 2 2 6 2 2" xfId="2383" xr:uid="{00000000-0005-0000-0000-0000EC860000}"/>
    <cellStyle name="Note 2 2 2 6 2 2 2" xfId="2382" xr:uid="{00000000-0005-0000-0000-0000ED860000}"/>
    <cellStyle name="Note 2 2 2 6 2 2 2 2" xfId="4774" xr:uid="{00000000-0005-0000-0000-0000EE860000}"/>
    <cellStyle name="Note 2 2 2 6 2 2 3" xfId="2381" xr:uid="{00000000-0005-0000-0000-0000EF860000}"/>
    <cellStyle name="Note 2 2 2 6 2 3" xfId="2380" xr:uid="{00000000-0005-0000-0000-0000F0860000}"/>
    <cellStyle name="Note 2 2 2 6 2 3 2" xfId="34148" xr:uid="{00000000-0005-0000-0000-0000F1860000}"/>
    <cellStyle name="Note 2 2 2 6 2 4" xfId="2379" xr:uid="{00000000-0005-0000-0000-0000F2860000}"/>
    <cellStyle name="Note 2 2 2 6 3" xfId="2378" xr:uid="{00000000-0005-0000-0000-0000F3860000}"/>
    <cellStyle name="Note 2 2 2 6 3 2" xfId="2377" xr:uid="{00000000-0005-0000-0000-0000F4860000}"/>
    <cellStyle name="Note 2 2 2 6 3 2 2" xfId="2376" xr:uid="{00000000-0005-0000-0000-0000F5860000}"/>
    <cellStyle name="Note 2 2 2 6 3 3" xfId="2375" xr:uid="{00000000-0005-0000-0000-0000F6860000}"/>
    <cellStyle name="Note 2 2 2 6 4" xfId="2374" xr:uid="{00000000-0005-0000-0000-0000F7860000}"/>
    <cellStyle name="Note 2 2 2 6 4 2" xfId="22196" xr:uid="{00000000-0005-0000-0000-0000F8860000}"/>
    <cellStyle name="Note 2 2 2 6 5" xfId="4948" xr:uid="{00000000-0005-0000-0000-0000F9860000}"/>
    <cellStyle name="Note 2 2 2 7" xfId="9902" xr:uid="{00000000-0005-0000-0000-0000FA860000}"/>
    <cellStyle name="Note 2 2 2 7 2" xfId="2373" xr:uid="{00000000-0005-0000-0000-0000FB860000}"/>
    <cellStyle name="Note 2 2 2 7 2 2" xfId="2372" xr:uid="{00000000-0005-0000-0000-0000FC860000}"/>
    <cellStyle name="Note 2 2 2 7 2 2 2" xfId="22424" xr:uid="{00000000-0005-0000-0000-0000FD860000}"/>
    <cellStyle name="Note 2 2 2 7 2 3" xfId="2371" xr:uid="{00000000-0005-0000-0000-0000FE860000}"/>
    <cellStyle name="Note 2 2 2 7 3" xfId="2370" xr:uid="{00000000-0005-0000-0000-0000FF860000}"/>
    <cellStyle name="Note 2 2 2 7 3 2" xfId="2369" xr:uid="{00000000-0005-0000-0000-000000870000}"/>
    <cellStyle name="Note 2 2 2 7 4" xfId="2368" xr:uid="{00000000-0005-0000-0000-000001870000}"/>
    <cellStyle name="Note 2 2 2 8" xfId="24496" xr:uid="{00000000-0005-0000-0000-000002870000}"/>
    <cellStyle name="Note 2 2 2 8 2" xfId="2367" xr:uid="{00000000-0005-0000-0000-000003870000}"/>
    <cellStyle name="Note 2 2 2 8 2 2" xfId="2366" xr:uid="{00000000-0005-0000-0000-000004870000}"/>
    <cellStyle name="Note 2 2 2 8 3" xfId="2365" xr:uid="{00000000-0005-0000-0000-000005870000}"/>
    <cellStyle name="Note 2 2 2 9" xfId="17988" xr:uid="{00000000-0005-0000-0000-000006870000}"/>
    <cellStyle name="Note 2 2 2 9 2" xfId="2364" xr:uid="{00000000-0005-0000-0000-000007870000}"/>
    <cellStyle name="Note 2 2 3" xfId="2363" xr:uid="{00000000-0005-0000-0000-000008870000}"/>
    <cellStyle name="Note 2 2 3 2" xfId="2362" xr:uid="{00000000-0005-0000-0000-000009870000}"/>
    <cellStyle name="Note 2 2 3 2 2" xfId="19198" xr:uid="{00000000-0005-0000-0000-00000A870000}"/>
    <cellStyle name="Note 2 2 3 2 2 2" xfId="14588" xr:uid="{00000000-0005-0000-0000-00000B870000}"/>
    <cellStyle name="Note 2 2 3 2 2 2 2" xfId="2361" xr:uid="{00000000-0005-0000-0000-00000C870000}"/>
    <cellStyle name="Note 2 2 3 2 2 2 2 2" xfId="2360" xr:uid="{00000000-0005-0000-0000-00000D870000}"/>
    <cellStyle name="Note 2 2 3 2 2 2 2 2 2" xfId="2359" xr:uid="{00000000-0005-0000-0000-00000E870000}"/>
    <cellStyle name="Note 2 2 3 2 2 2 2 2 2 2" xfId="2358" xr:uid="{00000000-0005-0000-0000-00000F870000}"/>
    <cellStyle name="Note 2 2 3 2 2 2 2 2 2 2 2" xfId="2357" xr:uid="{00000000-0005-0000-0000-000010870000}"/>
    <cellStyle name="Note 2 2 3 2 2 2 2 2 2 3" xfId="33324" xr:uid="{00000000-0005-0000-0000-000011870000}"/>
    <cellStyle name="Note 2 2 3 2 2 2 2 2 3" xfId="2356" xr:uid="{00000000-0005-0000-0000-000012870000}"/>
    <cellStyle name="Note 2 2 3 2 2 2 2 2 3 2" xfId="2355" xr:uid="{00000000-0005-0000-0000-000013870000}"/>
    <cellStyle name="Note 2 2 3 2 2 2 2 2 4" xfId="28016" xr:uid="{00000000-0005-0000-0000-000014870000}"/>
    <cellStyle name="Note 2 2 3 2 2 2 2 3" xfId="2354" xr:uid="{00000000-0005-0000-0000-000015870000}"/>
    <cellStyle name="Note 2 2 3 2 2 2 2 3 2" xfId="2353" xr:uid="{00000000-0005-0000-0000-000016870000}"/>
    <cellStyle name="Note 2 2 3 2 2 2 2 3 2 2" xfId="2352" xr:uid="{00000000-0005-0000-0000-000017870000}"/>
    <cellStyle name="Note 2 2 3 2 2 2 2 3 3" xfId="2351" xr:uid="{00000000-0005-0000-0000-000018870000}"/>
    <cellStyle name="Note 2 2 3 2 2 2 2 4" xfId="3403" xr:uid="{00000000-0005-0000-0000-000019870000}"/>
    <cellStyle name="Note 2 2 3 2 2 2 2 4 2" xfId="27626" xr:uid="{00000000-0005-0000-0000-00001A870000}"/>
    <cellStyle name="Note 2 2 3 2 2 2 2 5" xfId="3398" xr:uid="{00000000-0005-0000-0000-00001B870000}"/>
    <cellStyle name="Note 2 2 3 2 2 2 3" xfId="2350" xr:uid="{00000000-0005-0000-0000-00001C870000}"/>
    <cellStyle name="Note 2 2 3 2 2 2 3 2" xfId="2349" xr:uid="{00000000-0005-0000-0000-00001D870000}"/>
    <cellStyle name="Note 2 2 3 2 2 2 3 2 2" xfId="2348" xr:uid="{00000000-0005-0000-0000-00001E870000}"/>
    <cellStyle name="Note 2 2 3 2 2 2 3 2 2 2" xfId="32772" xr:uid="{00000000-0005-0000-0000-00001F870000}"/>
    <cellStyle name="Note 2 2 3 2 2 2 3 2 3" xfId="2347" xr:uid="{00000000-0005-0000-0000-000020870000}"/>
    <cellStyle name="Note 2 2 3 2 2 2 3 3" xfId="2346" xr:uid="{00000000-0005-0000-0000-000021870000}"/>
    <cellStyle name="Note 2 2 3 2 2 2 3 3 2" xfId="2345" xr:uid="{00000000-0005-0000-0000-000022870000}"/>
    <cellStyle name="Note 2 2 3 2 2 2 3 4" xfId="3386" xr:uid="{00000000-0005-0000-0000-000023870000}"/>
    <cellStyle name="Note 2 2 3 2 2 2 4" xfId="13178" xr:uid="{00000000-0005-0000-0000-000024870000}"/>
    <cellStyle name="Note 2 2 3 2 2 2 4 2" xfId="2344" xr:uid="{00000000-0005-0000-0000-000025870000}"/>
    <cellStyle name="Note 2 2 3 2 2 2 4 2 2" xfId="2343" xr:uid="{00000000-0005-0000-0000-000026870000}"/>
    <cellStyle name="Note 2 2 3 2 2 2 4 3" xfId="2342" xr:uid="{00000000-0005-0000-0000-000027870000}"/>
    <cellStyle name="Note 2 2 3 2 2 2 5" xfId="2341" xr:uid="{00000000-0005-0000-0000-000028870000}"/>
    <cellStyle name="Note 2 2 3 2 2 2 5 2" xfId="2340" xr:uid="{00000000-0005-0000-0000-000029870000}"/>
    <cellStyle name="Note 2 2 3 2 2 2 6" xfId="2339" xr:uid="{00000000-0005-0000-0000-00002A870000}"/>
    <cellStyle name="Note 2 2 3 2 2 3" xfId="25367" xr:uid="{00000000-0005-0000-0000-00002B870000}"/>
    <cellStyle name="Note 2 2 3 2 2 3 2" xfId="2338" xr:uid="{00000000-0005-0000-0000-00002C870000}"/>
    <cellStyle name="Note 2 2 3 2 2 3 2 2" xfId="2337" xr:uid="{00000000-0005-0000-0000-00002D870000}"/>
    <cellStyle name="Note 2 2 3 2 2 3 2 2 2" xfId="2336" xr:uid="{00000000-0005-0000-0000-00002E870000}"/>
    <cellStyle name="Note 2 2 3 2 2 3 2 2 2 2" xfId="2335" xr:uid="{00000000-0005-0000-0000-00002F870000}"/>
    <cellStyle name="Note 2 2 3 2 2 3 2 2 3" xfId="2334" xr:uid="{00000000-0005-0000-0000-000030870000}"/>
    <cellStyle name="Note 2 2 3 2 2 3 2 3" xfId="2333" xr:uid="{00000000-0005-0000-0000-000031870000}"/>
    <cellStyle name="Note 2 2 3 2 2 3 2 3 2" xfId="2332" xr:uid="{00000000-0005-0000-0000-000032870000}"/>
    <cellStyle name="Note 2 2 3 2 2 3 2 4" xfId="3347" xr:uid="{00000000-0005-0000-0000-000033870000}"/>
    <cellStyle name="Note 2 2 3 2 2 3 3" xfId="2331" xr:uid="{00000000-0005-0000-0000-000034870000}"/>
    <cellStyle name="Note 2 2 3 2 2 3 3 2" xfId="2330" xr:uid="{00000000-0005-0000-0000-000035870000}"/>
    <cellStyle name="Note 2 2 3 2 2 3 3 2 2" xfId="2329" xr:uid="{00000000-0005-0000-0000-000036870000}"/>
    <cellStyle name="Note 2 2 3 2 2 3 3 3" xfId="6046" xr:uid="{00000000-0005-0000-0000-000037870000}"/>
    <cellStyle name="Note 2 2 3 2 2 3 4" xfId="2328" xr:uid="{00000000-0005-0000-0000-000038870000}"/>
    <cellStyle name="Note 2 2 3 2 2 3 4 2" xfId="26031" xr:uid="{00000000-0005-0000-0000-000039870000}"/>
    <cellStyle name="Note 2 2 3 2 2 3 5" xfId="2327" xr:uid="{00000000-0005-0000-0000-00003A870000}"/>
    <cellStyle name="Note 2 2 3 2 2 4" xfId="26135" xr:uid="{00000000-0005-0000-0000-00003B870000}"/>
    <cellStyle name="Note 2 2 3 2 2 4 2" xfId="30259" xr:uid="{00000000-0005-0000-0000-00003C870000}"/>
    <cellStyle name="Note 2 2 3 2 2 4 2 2" xfId="2326" xr:uid="{00000000-0005-0000-0000-00003D870000}"/>
    <cellStyle name="Note 2 2 3 2 2 4 2 2 2" xfId="18079" xr:uid="{00000000-0005-0000-0000-00003E870000}"/>
    <cellStyle name="Note 2 2 3 2 2 4 2 3" xfId="2325" xr:uid="{00000000-0005-0000-0000-00003F870000}"/>
    <cellStyle name="Note 2 2 3 2 2 4 3" xfId="30255" xr:uid="{00000000-0005-0000-0000-000040870000}"/>
    <cellStyle name="Note 2 2 3 2 2 4 3 2" xfId="2324" xr:uid="{00000000-0005-0000-0000-000041870000}"/>
    <cellStyle name="Note 2 2 3 2 2 4 4" xfId="2323" xr:uid="{00000000-0005-0000-0000-000042870000}"/>
    <cellStyle name="Note 2 2 3 2 2 5" xfId="30248" xr:uid="{00000000-0005-0000-0000-000043870000}"/>
    <cellStyle name="Note 2 2 3 2 2 5 2" xfId="17573" xr:uid="{00000000-0005-0000-0000-000044870000}"/>
    <cellStyle name="Note 2 2 3 2 2 5 2 2" xfId="2322" xr:uid="{00000000-0005-0000-0000-000045870000}"/>
    <cellStyle name="Note 2 2 3 2 2 5 3" xfId="2321" xr:uid="{00000000-0005-0000-0000-000046870000}"/>
    <cellStyle name="Note 2 2 3 2 2 6" xfId="33151" xr:uid="{00000000-0005-0000-0000-000047870000}"/>
    <cellStyle name="Note 2 2 3 2 2 6 2" xfId="2320" xr:uid="{00000000-0005-0000-0000-000048870000}"/>
    <cellStyle name="Note 2 2 3 2 2 7" xfId="2319" xr:uid="{00000000-0005-0000-0000-000049870000}"/>
    <cellStyle name="Note 2 2 3 2 3" xfId="2318" xr:uid="{00000000-0005-0000-0000-00004A870000}"/>
    <cellStyle name="Note 2 2 3 2 3 2" xfId="12843" xr:uid="{00000000-0005-0000-0000-00004B870000}"/>
    <cellStyle name="Note 2 2 3 2 3 2 2" xfId="2317" xr:uid="{00000000-0005-0000-0000-00004C870000}"/>
    <cellStyle name="Note 2 2 3 2 3 2 2 2" xfId="2316" xr:uid="{00000000-0005-0000-0000-00004D870000}"/>
    <cellStyle name="Note 2 2 3 2 3 2 2 2 2" xfId="2315" xr:uid="{00000000-0005-0000-0000-00004E870000}"/>
    <cellStyle name="Note 2 2 3 2 3 2 2 2 2 2" xfId="33819" xr:uid="{00000000-0005-0000-0000-00004F870000}"/>
    <cellStyle name="Note 2 2 3 2 3 2 2 2 3" xfId="2314" xr:uid="{00000000-0005-0000-0000-000050870000}"/>
    <cellStyle name="Note 2 2 3 2 3 2 2 3" xfId="23834" xr:uid="{00000000-0005-0000-0000-000051870000}"/>
    <cellStyle name="Note 2 2 3 2 3 2 2 3 2" xfId="2313" xr:uid="{00000000-0005-0000-0000-000052870000}"/>
    <cellStyle name="Note 2 2 3 2 3 2 2 4" xfId="3302" xr:uid="{00000000-0005-0000-0000-000053870000}"/>
    <cellStyle name="Note 2 2 3 2 3 2 3" xfId="2312" xr:uid="{00000000-0005-0000-0000-000054870000}"/>
    <cellStyle name="Note 2 2 3 2 3 2 3 2" xfId="2311" xr:uid="{00000000-0005-0000-0000-000055870000}"/>
    <cellStyle name="Note 2 2 3 2 3 2 3 2 2" xfId="2310" xr:uid="{00000000-0005-0000-0000-000056870000}"/>
    <cellStyle name="Note 2 2 3 2 3 2 3 3" xfId="2309" xr:uid="{00000000-0005-0000-0000-000057870000}"/>
    <cellStyle name="Note 2 2 3 2 3 2 4" xfId="2308" xr:uid="{00000000-0005-0000-0000-000058870000}"/>
    <cellStyle name="Note 2 2 3 2 3 2 4 2" xfId="2307" xr:uid="{00000000-0005-0000-0000-000059870000}"/>
    <cellStyle name="Note 2 2 3 2 3 2 5" xfId="2306" xr:uid="{00000000-0005-0000-0000-00005A870000}"/>
    <cellStyle name="Note 2 2 3 2 3 3" xfId="2305" xr:uid="{00000000-0005-0000-0000-00005B870000}"/>
    <cellStyle name="Note 2 2 3 2 3 3 2" xfId="2304" xr:uid="{00000000-0005-0000-0000-00005C870000}"/>
    <cellStyle name="Note 2 2 3 2 3 3 2 2" xfId="2303" xr:uid="{00000000-0005-0000-0000-00005D870000}"/>
    <cellStyle name="Note 2 2 3 2 3 3 2 2 2" xfId="2302" xr:uid="{00000000-0005-0000-0000-00005E870000}"/>
    <cellStyle name="Note 2 2 3 2 3 3 2 3" xfId="2301" xr:uid="{00000000-0005-0000-0000-00005F870000}"/>
    <cellStyle name="Note 2 2 3 2 3 3 3" xfId="2300" xr:uid="{00000000-0005-0000-0000-000060870000}"/>
    <cellStyle name="Note 2 2 3 2 3 3 3 2" xfId="2299" xr:uid="{00000000-0005-0000-0000-000061870000}"/>
    <cellStyle name="Note 2 2 3 2 3 3 4" xfId="2298" xr:uid="{00000000-0005-0000-0000-000062870000}"/>
    <cellStyle name="Note 2 2 3 2 3 4" xfId="13849" xr:uid="{00000000-0005-0000-0000-000063870000}"/>
    <cellStyle name="Note 2 2 3 2 3 4 2" xfId="30238" xr:uid="{00000000-0005-0000-0000-000064870000}"/>
    <cellStyle name="Note 2 2 3 2 3 4 2 2" xfId="2297" xr:uid="{00000000-0005-0000-0000-000065870000}"/>
    <cellStyle name="Note 2 2 3 2 3 4 3" xfId="2296" xr:uid="{00000000-0005-0000-0000-000066870000}"/>
    <cellStyle name="Note 2 2 3 2 3 5" xfId="13845" xr:uid="{00000000-0005-0000-0000-000067870000}"/>
    <cellStyle name="Note 2 2 3 2 3 5 2" xfId="2295" xr:uid="{00000000-0005-0000-0000-000068870000}"/>
    <cellStyle name="Note 2 2 3 2 3 6" xfId="30350" xr:uid="{00000000-0005-0000-0000-000069870000}"/>
    <cellStyle name="Note 2 2 3 2 4" xfId="2294" xr:uid="{00000000-0005-0000-0000-00006A870000}"/>
    <cellStyle name="Note 2 2 3 2 4 2" xfId="2293" xr:uid="{00000000-0005-0000-0000-00006B870000}"/>
    <cellStyle name="Note 2 2 3 2 4 2 2" xfId="2292" xr:uid="{00000000-0005-0000-0000-00006C870000}"/>
    <cellStyle name="Note 2 2 3 2 4 2 2 2" xfId="2291" xr:uid="{00000000-0005-0000-0000-00006D870000}"/>
    <cellStyle name="Note 2 2 3 2 4 2 2 2 2" xfId="2290" xr:uid="{00000000-0005-0000-0000-00006E870000}"/>
    <cellStyle name="Note 2 2 3 2 4 2 2 3" xfId="3374" xr:uid="{00000000-0005-0000-0000-00006F870000}"/>
    <cellStyle name="Note 2 2 3 2 4 2 3" xfId="2289" xr:uid="{00000000-0005-0000-0000-000070870000}"/>
    <cellStyle name="Note 2 2 3 2 4 2 3 2" xfId="2288" xr:uid="{00000000-0005-0000-0000-000071870000}"/>
    <cellStyle name="Note 2 2 3 2 4 2 4" xfId="2287" xr:uid="{00000000-0005-0000-0000-000072870000}"/>
    <cellStyle name="Note 2 2 3 2 4 3" xfId="7961" xr:uid="{00000000-0005-0000-0000-000073870000}"/>
    <cellStyle name="Note 2 2 3 2 4 3 2" xfId="2286" xr:uid="{00000000-0005-0000-0000-000074870000}"/>
    <cellStyle name="Note 2 2 3 2 4 3 2 2" xfId="2285" xr:uid="{00000000-0005-0000-0000-000075870000}"/>
    <cellStyle name="Note 2 2 3 2 4 3 3" xfId="2284" xr:uid="{00000000-0005-0000-0000-000076870000}"/>
    <cellStyle name="Note 2 2 3 2 4 4" xfId="13842" xr:uid="{00000000-0005-0000-0000-000077870000}"/>
    <cellStyle name="Note 2 2 3 2 4 4 2" xfId="2283" xr:uid="{00000000-0005-0000-0000-000078870000}"/>
    <cellStyle name="Note 2 2 3 2 4 5" xfId="2282" xr:uid="{00000000-0005-0000-0000-000079870000}"/>
    <cellStyle name="Note 2 2 3 2 5" xfId="2281" xr:uid="{00000000-0005-0000-0000-00007A870000}"/>
    <cellStyle name="Note 2 2 3 2 5 2" xfId="2280" xr:uid="{00000000-0005-0000-0000-00007B870000}"/>
    <cellStyle name="Note 2 2 3 2 5 2 2" xfId="26120" xr:uid="{00000000-0005-0000-0000-00007C870000}"/>
    <cellStyle name="Note 2 2 3 2 5 2 2 2" xfId="2279" xr:uid="{00000000-0005-0000-0000-00007D870000}"/>
    <cellStyle name="Note 2 2 3 2 5 2 3" xfId="6665" xr:uid="{00000000-0005-0000-0000-00007E870000}"/>
    <cellStyle name="Note 2 2 3 2 5 3" xfId="2278" xr:uid="{00000000-0005-0000-0000-00007F870000}"/>
    <cellStyle name="Note 2 2 3 2 5 3 2" xfId="6659" xr:uid="{00000000-0005-0000-0000-000080870000}"/>
    <cellStyle name="Note 2 2 3 2 5 4" xfId="2277" xr:uid="{00000000-0005-0000-0000-000081870000}"/>
    <cellStyle name="Note 2 2 3 2 6" xfId="19723" xr:uid="{00000000-0005-0000-0000-000082870000}"/>
    <cellStyle name="Note 2 2 3 2 6 2" xfId="27555" xr:uid="{00000000-0005-0000-0000-000083870000}"/>
    <cellStyle name="Note 2 2 3 2 6 2 2" xfId="6637" xr:uid="{00000000-0005-0000-0000-000084870000}"/>
    <cellStyle name="Note 2 2 3 2 6 3" xfId="16877" xr:uid="{00000000-0005-0000-0000-000085870000}"/>
    <cellStyle name="Note 2 2 3 2 7" xfId="11252" xr:uid="{00000000-0005-0000-0000-000086870000}"/>
    <cellStyle name="Note 2 2 3 2 7 2" xfId="16846" xr:uid="{00000000-0005-0000-0000-000087870000}"/>
    <cellStyle name="Note 2 2 3 2 8" xfId="33622" xr:uid="{00000000-0005-0000-0000-000088870000}"/>
    <cellStyle name="Note 2 2 3 3" xfId="2276" xr:uid="{00000000-0005-0000-0000-000089870000}"/>
    <cellStyle name="Note 2 2 3 3 2" xfId="2275" xr:uid="{00000000-0005-0000-0000-00008A870000}"/>
    <cellStyle name="Note 2 2 3 3 2 2" xfId="12841" xr:uid="{00000000-0005-0000-0000-00008B870000}"/>
    <cellStyle name="Note 2 2 3 3 2 2 2" xfId="8658" xr:uid="{00000000-0005-0000-0000-00008C870000}"/>
    <cellStyle name="Note 2 2 3 3 2 2 2 2" xfId="2274" xr:uid="{00000000-0005-0000-0000-00008D870000}"/>
    <cellStyle name="Note 2 2 3 3 2 2 2 2 2" xfId="2273" xr:uid="{00000000-0005-0000-0000-00008E870000}"/>
    <cellStyle name="Note 2 2 3 3 2 2 2 2 2 2" xfId="2272" xr:uid="{00000000-0005-0000-0000-00008F870000}"/>
    <cellStyle name="Note 2 2 3 3 2 2 2 2 3" xfId="2271" xr:uid="{00000000-0005-0000-0000-000090870000}"/>
    <cellStyle name="Note 2 2 3 3 2 2 2 3" xfId="2270" xr:uid="{00000000-0005-0000-0000-000091870000}"/>
    <cellStyle name="Note 2 2 3 3 2 2 2 3 2" xfId="18680" xr:uid="{00000000-0005-0000-0000-000092870000}"/>
    <cellStyle name="Note 2 2 3 3 2 2 2 4" xfId="2269" xr:uid="{00000000-0005-0000-0000-000093870000}"/>
    <cellStyle name="Note 2 2 3 3 2 2 3" xfId="10229" xr:uid="{00000000-0005-0000-0000-000094870000}"/>
    <cellStyle name="Note 2 2 3 3 2 2 3 2" xfId="2267" xr:uid="{00000000-0005-0000-0000-000095870000}"/>
    <cellStyle name="Note 2 2 3 3 2 2 3 2 2" xfId="2266" xr:uid="{00000000-0005-0000-0000-000096870000}"/>
    <cellStyle name="Note 2 2 3 3 2 2 3 3" xfId="2265" xr:uid="{00000000-0005-0000-0000-000097870000}"/>
    <cellStyle name="Note 2 2 3 3 2 2 4" xfId="2264" xr:uid="{00000000-0005-0000-0000-000098870000}"/>
    <cellStyle name="Note 2 2 3 3 2 2 4 2" xfId="2263" xr:uid="{00000000-0005-0000-0000-000099870000}"/>
    <cellStyle name="Note 2 2 3 3 2 2 5" xfId="2262" xr:uid="{00000000-0005-0000-0000-00009A870000}"/>
    <cellStyle name="Note 2 2 3 3 2 3" xfId="2261" xr:uid="{00000000-0005-0000-0000-00009B870000}"/>
    <cellStyle name="Note 2 2 3 3 2 3 2" xfId="2260" xr:uid="{00000000-0005-0000-0000-00009C870000}"/>
    <cellStyle name="Note 2 2 3 3 2 3 2 2" xfId="2259" xr:uid="{00000000-0005-0000-0000-00009D870000}"/>
    <cellStyle name="Note 2 2 3 3 2 3 2 2 2" xfId="2258" xr:uid="{00000000-0005-0000-0000-00009E870000}"/>
    <cellStyle name="Note 2 2 3 3 2 3 2 3" xfId="2257" xr:uid="{00000000-0005-0000-0000-00009F870000}"/>
    <cellStyle name="Note 2 2 3 3 2 3 3" xfId="5145" xr:uid="{00000000-0005-0000-0000-0000A0870000}"/>
    <cellStyle name="Note 2 2 3 3 2 3 3 2" xfId="2256" xr:uid="{00000000-0005-0000-0000-0000A1870000}"/>
    <cellStyle name="Note 2 2 3 3 2 3 4" xfId="2255" xr:uid="{00000000-0005-0000-0000-0000A2870000}"/>
    <cellStyle name="Note 2 2 3 3 2 4" xfId="30593" xr:uid="{00000000-0005-0000-0000-0000A3870000}"/>
    <cellStyle name="Note 2 2 3 3 2 4 2" xfId="30094" xr:uid="{00000000-0005-0000-0000-0000A4870000}"/>
    <cellStyle name="Note 2 2 3 3 2 4 2 2" xfId="21098" xr:uid="{00000000-0005-0000-0000-0000A5870000}"/>
    <cellStyle name="Note 2 2 3 3 2 4 3" xfId="23424" xr:uid="{00000000-0005-0000-0000-0000A6870000}"/>
    <cellStyle name="Note 2 2 3 3 2 5" xfId="30771" xr:uid="{00000000-0005-0000-0000-0000A7870000}"/>
    <cellStyle name="Note 2 2 3 3 2 5 2" xfId="27912" xr:uid="{00000000-0005-0000-0000-0000A8870000}"/>
    <cellStyle name="Note 2 2 3 3 2 6" xfId="2254" xr:uid="{00000000-0005-0000-0000-0000A9870000}"/>
    <cellStyle name="Note 2 2 3 3 3" xfId="2253" xr:uid="{00000000-0005-0000-0000-0000AA870000}"/>
    <cellStyle name="Note 2 2 3 3 3 2" xfId="2252" xr:uid="{00000000-0005-0000-0000-0000AB870000}"/>
    <cellStyle name="Note 2 2 3 3 3 2 2" xfId="2251" xr:uid="{00000000-0005-0000-0000-0000AC870000}"/>
    <cellStyle name="Note 2 2 3 3 3 2 2 2" xfId="2250" xr:uid="{00000000-0005-0000-0000-0000AD870000}"/>
    <cellStyle name="Note 2 2 3 3 3 2 2 2 2" xfId="2249" xr:uid="{00000000-0005-0000-0000-0000AE870000}"/>
    <cellStyle name="Note 2 2 3 3 3 2 2 3" xfId="2248" xr:uid="{00000000-0005-0000-0000-0000AF870000}"/>
    <cellStyle name="Note 2 2 3 3 3 2 3" xfId="2247" xr:uid="{00000000-0005-0000-0000-0000B0870000}"/>
    <cellStyle name="Note 2 2 3 3 3 2 3 2" xfId="2246" xr:uid="{00000000-0005-0000-0000-0000B1870000}"/>
    <cellStyle name="Note 2 2 3 3 3 2 4" xfId="2245" xr:uid="{00000000-0005-0000-0000-0000B2870000}"/>
    <cellStyle name="Note 2 2 3 3 3 3" xfId="2244" xr:uid="{00000000-0005-0000-0000-0000B3870000}"/>
    <cellStyle name="Note 2 2 3 3 3 3 2" xfId="2243" xr:uid="{00000000-0005-0000-0000-0000B4870000}"/>
    <cellStyle name="Note 2 2 3 3 3 3 2 2" xfId="2242" xr:uid="{00000000-0005-0000-0000-0000B5870000}"/>
    <cellStyle name="Note 2 2 3 3 3 3 3" xfId="2241" xr:uid="{00000000-0005-0000-0000-0000B6870000}"/>
    <cellStyle name="Note 2 2 3 3 3 4" xfId="13839" xr:uid="{00000000-0005-0000-0000-0000B7870000}"/>
    <cellStyle name="Note 2 2 3 3 3 4 2" xfId="29442" xr:uid="{00000000-0005-0000-0000-0000B8870000}"/>
    <cellStyle name="Note 2 2 3 3 3 5" xfId="2240" xr:uid="{00000000-0005-0000-0000-0000B9870000}"/>
    <cellStyle name="Note 2 2 3 3 4" xfId="2239" xr:uid="{00000000-0005-0000-0000-0000BA870000}"/>
    <cellStyle name="Note 2 2 3 3 4 2" xfId="2238" xr:uid="{00000000-0005-0000-0000-0000BB870000}"/>
    <cellStyle name="Note 2 2 3 3 4 2 2" xfId="2237" xr:uid="{00000000-0005-0000-0000-0000BC870000}"/>
    <cellStyle name="Note 2 2 3 3 4 2 2 2" xfId="4094" xr:uid="{00000000-0005-0000-0000-0000BD870000}"/>
    <cellStyle name="Note 2 2 3 3 4 2 3" xfId="2236" xr:uid="{00000000-0005-0000-0000-0000BE870000}"/>
    <cellStyle name="Note 2 2 3 3 4 3" xfId="2235" xr:uid="{00000000-0005-0000-0000-0000BF870000}"/>
    <cellStyle name="Note 2 2 3 3 4 3 2" xfId="2234" xr:uid="{00000000-0005-0000-0000-0000C0870000}"/>
    <cellStyle name="Note 2 2 3 3 4 4" xfId="2233" xr:uid="{00000000-0005-0000-0000-0000C1870000}"/>
    <cellStyle name="Note 2 2 3 3 5" xfId="2232" xr:uid="{00000000-0005-0000-0000-0000C2870000}"/>
    <cellStyle name="Note 2 2 3 3 5 2" xfId="2231" xr:uid="{00000000-0005-0000-0000-0000C3870000}"/>
    <cellStyle name="Note 2 2 3 3 5 2 2" xfId="25282" xr:uid="{00000000-0005-0000-0000-0000C4870000}"/>
    <cellStyle name="Note 2 2 3 3 5 3" xfId="2230" xr:uid="{00000000-0005-0000-0000-0000C5870000}"/>
    <cellStyle name="Note 2 2 3 3 6" xfId="11239" xr:uid="{00000000-0005-0000-0000-0000C6870000}"/>
    <cellStyle name="Note 2 2 3 3 6 2" xfId="16233" xr:uid="{00000000-0005-0000-0000-0000C7870000}"/>
    <cellStyle name="Note 2 2 3 3 7" xfId="11226" xr:uid="{00000000-0005-0000-0000-0000C8870000}"/>
    <cellStyle name="Note 2 2 3 4" xfId="23637" xr:uid="{00000000-0005-0000-0000-0000C9870000}"/>
    <cellStyle name="Note 2 2 3 4 2" xfId="28361" xr:uid="{00000000-0005-0000-0000-0000CA870000}"/>
    <cellStyle name="Note 2 2 3 4 2 2" xfId="2229" xr:uid="{00000000-0005-0000-0000-0000CB870000}"/>
    <cellStyle name="Note 2 2 3 4 2 2 2" xfId="2228" xr:uid="{00000000-0005-0000-0000-0000CC870000}"/>
    <cellStyle name="Note 2 2 3 4 2 2 2 2" xfId="2227" xr:uid="{00000000-0005-0000-0000-0000CD870000}"/>
    <cellStyle name="Note 2 2 3 4 2 2 2 2 2" xfId="2226" xr:uid="{00000000-0005-0000-0000-0000CE870000}"/>
    <cellStyle name="Note 2 2 3 4 2 2 2 3" xfId="2225" xr:uid="{00000000-0005-0000-0000-0000CF870000}"/>
    <cellStyle name="Note 2 2 3 4 2 2 3" xfId="2224" xr:uid="{00000000-0005-0000-0000-0000D0870000}"/>
    <cellStyle name="Note 2 2 3 4 2 2 3 2" xfId="2223" xr:uid="{00000000-0005-0000-0000-0000D1870000}"/>
    <cellStyle name="Note 2 2 3 4 2 2 4" xfId="2222" xr:uid="{00000000-0005-0000-0000-0000D2870000}"/>
    <cellStyle name="Note 2 2 3 4 2 3" xfId="2221" xr:uid="{00000000-0005-0000-0000-0000D3870000}"/>
    <cellStyle name="Note 2 2 3 4 2 3 2" xfId="2220" xr:uid="{00000000-0005-0000-0000-0000D4870000}"/>
    <cellStyle name="Note 2 2 3 4 2 3 2 2" xfId="2219" xr:uid="{00000000-0005-0000-0000-0000D5870000}"/>
    <cellStyle name="Note 2 2 3 4 2 3 3" xfId="2218" xr:uid="{00000000-0005-0000-0000-0000D6870000}"/>
    <cellStyle name="Note 2 2 3 4 2 4" xfId="30577" xr:uid="{00000000-0005-0000-0000-0000D7870000}"/>
    <cellStyle name="Note 2 2 3 4 2 4 2" xfId="20494" xr:uid="{00000000-0005-0000-0000-0000D8870000}"/>
    <cellStyle name="Note 2 2 3 4 2 5" xfId="2217" xr:uid="{00000000-0005-0000-0000-0000D9870000}"/>
    <cellStyle name="Note 2 2 3 4 3" xfId="2216" xr:uid="{00000000-0005-0000-0000-0000DA870000}"/>
    <cellStyle name="Note 2 2 3 4 3 2" xfId="32066" xr:uid="{00000000-0005-0000-0000-0000DB870000}"/>
    <cellStyle name="Note 2 2 3 4 3 2 2" xfId="2215" xr:uid="{00000000-0005-0000-0000-0000DC870000}"/>
    <cellStyle name="Note 2 2 3 4 3 2 2 2" xfId="22044" xr:uid="{00000000-0005-0000-0000-0000DD870000}"/>
    <cellStyle name="Note 2 2 3 4 3 2 3" xfId="2214" xr:uid="{00000000-0005-0000-0000-0000DE870000}"/>
    <cellStyle name="Note 2 2 3 4 3 3" xfId="2213" xr:uid="{00000000-0005-0000-0000-0000DF870000}"/>
    <cellStyle name="Note 2 2 3 4 3 3 2" xfId="2212" xr:uid="{00000000-0005-0000-0000-0000E0870000}"/>
    <cellStyle name="Note 2 2 3 4 3 4" xfId="2211" xr:uid="{00000000-0005-0000-0000-0000E1870000}"/>
    <cellStyle name="Note 2 2 3 4 4" xfId="2210" xr:uid="{00000000-0005-0000-0000-0000E2870000}"/>
    <cellStyle name="Note 2 2 3 4 4 2" xfId="2209" xr:uid="{00000000-0005-0000-0000-0000E3870000}"/>
    <cellStyle name="Note 2 2 3 4 4 2 2" xfId="2208" xr:uid="{00000000-0005-0000-0000-0000E4870000}"/>
    <cellStyle name="Note 2 2 3 4 4 3" xfId="2207" xr:uid="{00000000-0005-0000-0000-0000E5870000}"/>
    <cellStyle name="Note 2 2 3 4 5" xfId="29695" xr:uid="{00000000-0005-0000-0000-0000E6870000}"/>
    <cellStyle name="Note 2 2 3 4 5 2" xfId="2206" xr:uid="{00000000-0005-0000-0000-0000E7870000}"/>
    <cellStyle name="Note 2 2 3 4 6" xfId="11210" xr:uid="{00000000-0005-0000-0000-0000E8870000}"/>
    <cellStyle name="Note 2 2 3 5" xfId="30654" xr:uid="{00000000-0005-0000-0000-0000E9870000}"/>
    <cellStyle name="Note 2 2 3 5 2" xfId="2205" xr:uid="{00000000-0005-0000-0000-0000EA870000}"/>
    <cellStyle name="Note 2 2 3 5 2 2" xfId="2204" xr:uid="{00000000-0005-0000-0000-0000EB870000}"/>
    <cellStyle name="Note 2 2 3 5 2 2 2" xfId="2203" xr:uid="{00000000-0005-0000-0000-0000EC870000}"/>
    <cellStyle name="Note 2 2 3 5 2 2 2 2" xfId="33847" xr:uid="{00000000-0005-0000-0000-0000ED870000}"/>
    <cellStyle name="Note 2 2 3 5 2 2 3" xfId="2202" xr:uid="{00000000-0005-0000-0000-0000EE870000}"/>
    <cellStyle name="Note 2 2 3 5 2 3" xfId="2201" xr:uid="{00000000-0005-0000-0000-0000EF870000}"/>
    <cellStyle name="Note 2 2 3 5 2 3 2" xfId="2200" xr:uid="{00000000-0005-0000-0000-0000F0870000}"/>
    <cellStyle name="Note 2 2 3 5 2 4" xfId="2199" xr:uid="{00000000-0005-0000-0000-0000F1870000}"/>
    <cellStyle name="Note 2 2 3 5 3" xfId="2198" xr:uid="{00000000-0005-0000-0000-0000F2870000}"/>
    <cellStyle name="Note 2 2 3 5 3 2" xfId="2197" xr:uid="{00000000-0005-0000-0000-0000F3870000}"/>
    <cellStyle name="Note 2 2 3 5 3 2 2" xfId="2196" xr:uid="{00000000-0005-0000-0000-0000F4870000}"/>
    <cellStyle name="Note 2 2 3 5 3 3" xfId="2195" xr:uid="{00000000-0005-0000-0000-0000F5870000}"/>
    <cellStyle name="Note 2 2 3 5 4" xfId="2194" xr:uid="{00000000-0005-0000-0000-0000F6870000}"/>
    <cellStyle name="Note 2 2 3 5 4 2" xfId="2193" xr:uid="{00000000-0005-0000-0000-0000F7870000}"/>
    <cellStyle name="Note 2 2 3 5 5" xfId="2192" xr:uid="{00000000-0005-0000-0000-0000F8870000}"/>
    <cellStyle name="Note 2 2 3 6" xfId="9895" xr:uid="{00000000-0005-0000-0000-0000F9870000}"/>
    <cellStyle name="Note 2 2 3 6 2" xfId="2191" xr:uid="{00000000-0005-0000-0000-0000FA870000}"/>
    <cellStyle name="Note 2 2 3 6 2 2" xfId="2190" xr:uid="{00000000-0005-0000-0000-0000FB870000}"/>
    <cellStyle name="Note 2 2 3 6 2 2 2" xfId="2189" xr:uid="{00000000-0005-0000-0000-0000FC870000}"/>
    <cellStyle name="Note 2 2 3 6 2 3" xfId="2188" xr:uid="{00000000-0005-0000-0000-0000FD870000}"/>
    <cellStyle name="Note 2 2 3 6 3" xfId="2187" xr:uid="{00000000-0005-0000-0000-0000FE870000}"/>
    <cellStyle name="Note 2 2 3 6 3 2" xfId="2186" xr:uid="{00000000-0005-0000-0000-0000FF870000}"/>
    <cellStyle name="Note 2 2 3 6 4" xfId="2185" xr:uid="{00000000-0005-0000-0000-000000880000}"/>
    <cellStyle name="Note 2 2 3 7" xfId="9889" xr:uid="{00000000-0005-0000-0000-000001880000}"/>
    <cellStyle name="Note 2 2 3 7 2" xfId="2184" xr:uid="{00000000-0005-0000-0000-000002880000}"/>
    <cellStyle name="Note 2 2 3 7 2 2" xfId="2183" xr:uid="{00000000-0005-0000-0000-000003880000}"/>
    <cellStyle name="Note 2 2 3 7 3" xfId="2182" xr:uid="{00000000-0005-0000-0000-000004880000}"/>
    <cellStyle name="Note 2 2 3 8" xfId="24479" xr:uid="{00000000-0005-0000-0000-000005880000}"/>
    <cellStyle name="Note 2 2 3 8 2" xfId="2181" xr:uid="{00000000-0005-0000-0000-000006880000}"/>
    <cellStyle name="Note 2 2 3 9" xfId="2180" xr:uid="{00000000-0005-0000-0000-000007880000}"/>
    <cellStyle name="Note 2 2 4" xfId="19714" xr:uid="{00000000-0005-0000-0000-000008880000}"/>
    <cellStyle name="Note 2 2 4 2" xfId="18666" xr:uid="{00000000-0005-0000-0000-000009880000}"/>
    <cellStyle name="Note 2 2 4 2 2" xfId="2179" xr:uid="{00000000-0005-0000-0000-00000A880000}"/>
    <cellStyle name="Note 2 2 4 2 2 2" xfId="12837" xr:uid="{00000000-0005-0000-0000-00000B880000}"/>
    <cellStyle name="Note 2 2 4 2 2 2 2" xfId="2178" xr:uid="{00000000-0005-0000-0000-00000C880000}"/>
    <cellStyle name="Note 2 2 4 2 2 2 2 2" xfId="2177" xr:uid="{00000000-0005-0000-0000-00000D880000}"/>
    <cellStyle name="Note 2 2 4 2 2 2 2 2 2" xfId="2176" xr:uid="{00000000-0005-0000-0000-00000E880000}"/>
    <cellStyle name="Note 2 2 4 2 2 2 2 2 2 2" xfId="4656" xr:uid="{00000000-0005-0000-0000-00000F880000}"/>
    <cellStyle name="Note 2 2 4 2 2 2 2 2 3" xfId="2175" xr:uid="{00000000-0005-0000-0000-000010880000}"/>
    <cellStyle name="Note 2 2 4 2 2 2 2 3" xfId="8669" xr:uid="{00000000-0005-0000-0000-000011880000}"/>
    <cellStyle name="Note 2 2 4 2 2 2 2 3 2" xfId="2174" xr:uid="{00000000-0005-0000-0000-000012880000}"/>
    <cellStyle name="Note 2 2 4 2 2 2 2 4" xfId="2173" xr:uid="{00000000-0005-0000-0000-000013880000}"/>
    <cellStyle name="Note 2 2 4 2 2 2 3" xfId="2172" xr:uid="{00000000-0005-0000-0000-000014880000}"/>
    <cellStyle name="Note 2 2 4 2 2 2 3 2" xfId="2171" xr:uid="{00000000-0005-0000-0000-000015880000}"/>
    <cellStyle name="Note 2 2 4 2 2 2 3 2 2" xfId="2170" xr:uid="{00000000-0005-0000-0000-000016880000}"/>
    <cellStyle name="Note 2 2 4 2 2 2 3 3" xfId="2169" xr:uid="{00000000-0005-0000-0000-000017880000}"/>
    <cellStyle name="Note 2 2 4 2 2 2 4" xfId="2168" xr:uid="{00000000-0005-0000-0000-000018880000}"/>
    <cellStyle name="Note 2 2 4 2 2 2 4 2" xfId="2167" xr:uid="{00000000-0005-0000-0000-000019880000}"/>
    <cellStyle name="Note 2 2 4 2 2 2 5" xfId="2166" xr:uid="{00000000-0005-0000-0000-00001A880000}"/>
    <cellStyle name="Note 2 2 4 2 2 3" xfId="2165" xr:uid="{00000000-0005-0000-0000-00001B880000}"/>
    <cellStyle name="Note 2 2 4 2 2 3 2" xfId="2164" xr:uid="{00000000-0005-0000-0000-00001C880000}"/>
    <cellStyle name="Note 2 2 4 2 2 3 2 2" xfId="2163" xr:uid="{00000000-0005-0000-0000-00001D880000}"/>
    <cellStyle name="Note 2 2 4 2 2 3 2 2 2" xfId="2162" xr:uid="{00000000-0005-0000-0000-00001E880000}"/>
    <cellStyle name="Note 2 2 4 2 2 3 2 3" xfId="2161" xr:uid="{00000000-0005-0000-0000-00001F880000}"/>
    <cellStyle name="Note 2 2 4 2 2 3 3" xfId="2160" xr:uid="{00000000-0005-0000-0000-000020880000}"/>
    <cellStyle name="Note 2 2 4 2 2 3 3 2" xfId="2159" xr:uid="{00000000-0005-0000-0000-000021880000}"/>
    <cellStyle name="Note 2 2 4 2 2 3 4" xfId="2158" xr:uid="{00000000-0005-0000-0000-000022880000}"/>
    <cellStyle name="Note 2 2 4 2 2 4" xfId="29758" xr:uid="{00000000-0005-0000-0000-000023880000}"/>
    <cellStyle name="Note 2 2 4 2 2 4 2" xfId="25049" xr:uid="{00000000-0005-0000-0000-000024880000}"/>
    <cellStyle name="Note 2 2 4 2 2 4 2 2" xfId="2157" xr:uid="{00000000-0005-0000-0000-000025880000}"/>
    <cellStyle name="Note 2 2 4 2 2 4 3" xfId="2156" xr:uid="{00000000-0005-0000-0000-000026880000}"/>
    <cellStyle name="Note 2 2 4 2 2 5" xfId="29749" xr:uid="{00000000-0005-0000-0000-000027880000}"/>
    <cellStyle name="Note 2 2 4 2 2 5 2" xfId="2155" xr:uid="{00000000-0005-0000-0000-000028880000}"/>
    <cellStyle name="Note 2 2 4 2 2 6" xfId="2154" xr:uid="{00000000-0005-0000-0000-000029880000}"/>
    <cellStyle name="Note 2 2 4 2 3" xfId="15194" xr:uid="{00000000-0005-0000-0000-00002A880000}"/>
    <cellStyle name="Note 2 2 4 2 3 2" xfId="2153" xr:uid="{00000000-0005-0000-0000-00002B880000}"/>
    <cellStyle name="Note 2 2 4 2 3 2 2" xfId="2152" xr:uid="{00000000-0005-0000-0000-00002C880000}"/>
    <cellStyle name="Note 2 2 4 2 3 2 2 2" xfId="2151" xr:uid="{00000000-0005-0000-0000-00002D880000}"/>
    <cellStyle name="Note 2 2 4 2 3 2 2 2 2" xfId="4329" xr:uid="{00000000-0005-0000-0000-00002E880000}"/>
    <cellStyle name="Note 2 2 4 2 3 2 2 3" xfId="2150" xr:uid="{00000000-0005-0000-0000-00002F880000}"/>
    <cellStyle name="Note 2 2 4 2 3 2 3" xfId="2149" xr:uid="{00000000-0005-0000-0000-000030880000}"/>
    <cellStyle name="Note 2 2 4 2 3 2 3 2" xfId="2148" xr:uid="{00000000-0005-0000-0000-000031880000}"/>
    <cellStyle name="Note 2 2 4 2 3 2 4" xfId="2147" xr:uid="{00000000-0005-0000-0000-000032880000}"/>
    <cellStyle name="Note 2 2 4 2 3 3" xfId="2146" xr:uid="{00000000-0005-0000-0000-000033880000}"/>
    <cellStyle name="Note 2 2 4 2 3 3 2" xfId="2145" xr:uid="{00000000-0005-0000-0000-000034880000}"/>
    <cellStyle name="Note 2 2 4 2 3 3 2 2" xfId="2144" xr:uid="{00000000-0005-0000-0000-000035880000}"/>
    <cellStyle name="Note 2 2 4 2 3 3 3" xfId="2143" xr:uid="{00000000-0005-0000-0000-000036880000}"/>
    <cellStyle name="Note 2 2 4 2 3 4" xfId="13817" xr:uid="{00000000-0005-0000-0000-000037880000}"/>
    <cellStyle name="Note 2 2 4 2 3 4 2" xfId="2142" xr:uid="{00000000-0005-0000-0000-000038880000}"/>
    <cellStyle name="Note 2 2 4 2 3 5" xfId="2141" xr:uid="{00000000-0005-0000-0000-000039880000}"/>
    <cellStyle name="Note 2 2 4 2 4" xfId="3771" xr:uid="{00000000-0005-0000-0000-00003A880000}"/>
    <cellStyle name="Note 2 2 4 2 4 2" xfId="29078" xr:uid="{00000000-0005-0000-0000-00003B880000}"/>
    <cellStyle name="Note 2 2 4 2 4 2 2" xfId="17110" xr:uid="{00000000-0005-0000-0000-00003C880000}"/>
    <cellStyle name="Note 2 2 4 2 4 2 2 2" xfId="2140" xr:uid="{00000000-0005-0000-0000-00003D880000}"/>
    <cellStyle name="Note 2 2 4 2 4 2 3" xfId="17105" xr:uid="{00000000-0005-0000-0000-00003E880000}"/>
    <cellStyle name="Note 2 2 4 2 4 3" xfId="29068" xr:uid="{00000000-0005-0000-0000-00003F880000}"/>
    <cellStyle name="Note 2 2 4 2 4 3 2" xfId="28230" xr:uid="{00000000-0005-0000-0000-000040880000}"/>
    <cellStyle name="Note 2 2 4 2 4 4" xfId="2139" xr:uid="{00000000-0005-0000-0000-000041880000}"/>
    <cellStyle name="Note 2 2 4 2 5" xfId="2138" xr:uid="{00000000-0005-0000-0000-000042880000}"/>
    <cellStyle name="Note 2 2 4 2 5 2" xfId="29055" xr:uid="{00000000-0005-0000-0000-000043880000}"/>
    <cellStyle name="Note 2 2 4 2 5 2 2" xfId="6485" xr:uid="{00000000-0005-0000-0000-000044880000}"/>
    <cellStyle name="Note 2 2 4 2 5 3" xfId="2137" xr:uid="{00000000-0005-0000-0000-000045880000}"/>
    <cellStyle name="Note 2 2 4 2 6" xfId="11192" xr:uid="{00000000-0005-0000-0000-000046880000}"/>
    <cellStyle name="Note 2 2 4 2 6 2" xfId="14730" xr:uid="{00000000-0005-0000-0000-000047880000}"/>
    <cellStyle name="Note 2 2 4 2 7" xfId="11182" xr:uid="{00000000-0005-0000-0000-000048880000}"/>
    <cellStyle name="Note 2 2 4 3" xfId="21396" xr:uid="{00000000-0005-0000-0000-000049880000}"/>
    <cellStyle name="Note 2 2 4 3 2" xfId="2136" xr:uid="{00000000-0005-0000-0000-00004A880000}"/>
    <cellStyle name="Note 2 2 4 3 2 2" xfId="2135" xr:uid="{00000000-0005-0000-0000-00004B880000}"/>
    <cellStyle name="Note 2 2 4 3 2 2 2" xfId="2134" xr:uid="{00000000-0005-0000-0000-00004C880000}"/>
    <cellStyle name="Note 2 2 4 3 2 2 2 2" xfId="14302" xr:uid="{00000000-0005-0000-0000-00004D880000}"/>
    <cellStyle name="Note 2 2 4 3 2 2 2 2 2" xfId="14298" xr:uid="{00000000-0005-0000-0000-00004E880000}"/>
    <cellStyle name="Note 2 2 4 3 2 2 2 3" xfId="14286" xr:uid="{00000000-0005-0000-0000-00004F880000}"/>
    <cellStyle name="Note 2 2 4 3 2 2 3" xfId="2133" xr:uid="{00000000-0005-0000-0000-000050880000}"/>
    <cellStyle name="Note 2 2 4 3 2 2 3 2" xfId="14264" xr:uid="{00000000-0005-0000-0000-000051880000}"/>
    <cellStyle name="Note 2 2 4 3 2 2 4" xfId="2132" xr:uid="{00000000-0005-0000-0000-000052880000}"/>
    <cellStyle name="Note 2 2 4 3 2 3" xfId="2131" xr:uid="{00000000-0005-0000-0000-000053880000}"/>
    <cellStyle name="Note 2 2 4 3 2 3 2" xfId="2130" xr:uid="{00000000-0005-0000-0000-000054880000}"/>
    <cellStyle name="Note 2 2 4 3 2 3 2 2" xfId="13932" xr:uid="{00000000-0005-0000-0000-000055880000}"/>
    <cellStyle name="Note 2 2 4 3 2 3 3" xfId="6026" xr:uid="{00000000-0005-0000-0000-000056880000}"/>
    <cellStyle name="Note 2 2 4 3 2 4" xfId="30535" xr:uid="{00000000-0005-0000-0000-000057880000}"/>
    <cellStyle name="Note 2 2 4 3 2 4 2" xfId="30106" xr:uid="{00000000-0005-0000-0000-000058880000}"/>
    <cellStyle name="Note 2 2 4 3 2 5" xfId="2129" xr:uid="{00000000-0005-0000-0000-000059880000}"/>
    <cellStyle name="Note 2 2 4 3 3" xfId="2128" xr:uid="{00000000-0005-0000-0000-00005A880000}"/>
    <cellStyle name="Note 2 2 4 3 3 2" xfId="2127" xr:uid="{00000000-0005-0000-0000-00005B880000}"/>
    <cellStyle name="Note 2 2 4 3 3 2 2" xfId="2126" xr:uid="{00000000-0005-0000-0000-00005C880000}"/>
    <cellStyle name="Note 2 2 4 3 3 2 2 2" xfId="12295" xr:uid="{00000000-0005-0000-0000-00005D880000}"/>
    <cellStyle name="Note 2 2 4 3 3 2 3" xfId="2125" xr:uid="{00000000-0005-0000-0000-00005E880000}"/>
    <cellStyle name="Note 2 2 4 3 3 3" xfId="2124" xr:uid="{00000000-0005-0000-0000-00005F880000}"/>
    <cellStyle name="Note 2 2 4 3 3 3 2" xfId="2123" xr:uid="{00000000-0005-0000-0000-000060880000}"/>
    <cellStyle name="Note 2 2 4 3 3 4" xfId="2122" xr:uid="{00000000-0005-0000-0000-000061880000}"/>
    <cellStyle name="Note 2 2 4 3 4" xfId="2121" xr:uid="{00000000-0005-0000-0000-000062880000}"/>
    <cellStyle name="Note 2 2 4 3 4 2" xfId="28946" xr:uid="{00000000-0005-0000-0000-000063880000}"/>
    <cellStyle name="Note 2 2 4 3 4 2 2" xfId="17085" xr:uid="{00000000-0005-0000-0000-000064880000}"/>
    <cellStyle name="Note 2 2 4 3 4 3" xfId="2120" xr:uid="{00000000-0005-0000-0000-000065880000}"/>
    <cellStyle name="Note 2 2 4 3 5" xfId="2119" xr:uid="{00000000-0005-0000-0000-000066880000}"/>
    <cellStyle name="Note 2 2 4 3 5 2" xfId="2118" xr:uid="{00000000-0005-0000-0000-000067880000}"/>
    <cellStyle name="Note 2 2 4 3 6" xfId="17139" xr:uid="{00000000-0005-0000-0000-000068880000}"/>
    <cellStyle name="Note 2 2 4 4" xfId="17325" xr:uid="{00000000-0005-0000-0000-000069880000}"/>
    <cellStyle name="Note 2 2 4 4 2" xfId="2117" xr:uid="{00000000-0005-0000-0000-00006A880000}"/>
    <cellStyle name="Note 2 2 4 4 2 2" xfId="2116" xr:uid="{00000000-0005-0000-0000-00006B880000}"/>
    <cellStyle name="Note 2 2 4 4 2 2 2" xfId="34391" xr:uid="{00000000-0005-0000-0000-00006C880000}"/>
    <cellStyle name="Note 2 2 4 4 2 2 2 2" xfId="2115" xr:uid="{00000000-0005-0000-0000-00006D880000}"/>
    <cellStyle name="Note 2 2 4 4 2 2 3" xfId="2114" xr:uid="{00000000-0005-0000-0000-00006E880000}"/>
    <cellStyle name="Note 2 2 4 4 2 3" xfId="2113" xr:uid="{00000000-0005-0000-0000-00006F880000}"/>
    <cellStyle name="Note 2 2 4 4 2 3 2" xfId="2112" xr:uid="{00000000-0005-0000-0000-000070880000}"/>
    <cellStyle name="Note 2 2 4 4 2 4" xfId="2111" xr:uid="{00000000-0005-0000-0000-000071880000}"/>
    <cellStyle name="Note 2 2 4 4 3" xfId="2110" xr:uid="{00000000-0005-0000-0000-000072880000}"/>
    <cellStyle name="Note 2 2 4 4 3 2" xfId="2109" xr:uid="{00000000-0005-0000-0000-000073880000}"/>
    <cellStyle name="Note 2 2 4 4 3 2 2" xfId="2108" xr:uid="{00000000-0005-0000-0000-000074880000}"/>
    <cellStyle name="Note 2 2 4 4 3 3" xfId="2107" xr:uid="{00000000-0005-0000-0000-000075880000}"/>
    <cellStyle name="Note 2 2 4 4 4" xfId="9150" xr:uid="{00000000-0005-0000-0000-000076880000}"/>
    <cellStyle name="Note 2 2 4 4 4 2" xfId="2106" xr:uid="{00000000-0005-0000-0000-000077880000}"/>
    <cellStyle name="Note 2 2 4 4 5" xfId="2105" xr:uid="{00000000-0005-0000-0000-000078880000}"/>
    <cellStyle name="Note 2 2 4 5" xfId="2104" xr:uid="{00000000-0005-0000-0000-000079880000}"/>
    <cellStyle name="Note 2 2 4 5 2" xfId="2103" xr:uid="{00000000-0005-0000-0000-00007A880000}"/>
    <cellStyle name="Note 2 2 4 5 2 2" xfId="2102" xr:uid="{00000000-0005-0000-0000-00007B880000}"/>
    <cellStyle name="Note 2 2 4 5 2 2 2" xfId="2101" xr:uid="{00000000-0005-0000-0000-00007C880000}"/>
    <cellStyle name="Note 2 2 4 5 2 3" xfId="2100" xr:uid="{00000000-0005-0000-0000-00007D880000}"/>
    <cellStyle name="Note 2 2 4 5 3" xfId="2099" xr:uid="{00000000-0005-0000-0000-00007E880000}"/>
    <cellStyle name="Note 2 2 4 5 3 2" xfId="2098" xr:uid="{00000000-0005-0000-0000-00007F880000}"/>
    <cellStyle name="Note 2 2 4 5 4" xfId="2097" xr:uid="{00000000-0005-0000-0000-000080880000}"/>
    <cellStyle name="Note 2 2 4 6" xfId="9883" xr:uid="{00000000-0005-0000-0000-000081880000}"/>
    <cellStyle name="Note 2 2 4 6 2" xfId="2096" xr:uid="{00000000-0005-0000-0000-000082880000}"/>
    <cellStyle name="Note 2 2 4 6 2 2" xfId="2095" xr:uid="{00000000-0005-0000-0000-000083880000}"/>
    <cellStyle name="Note 2 2 4 6 3" xfId="2094" xr:uid="{00000000-0005-0000-0000-000084880000}"/>
    <cellStyle name="Note 2 2 4 7" xfId="9878" xr:uid="{00000000-0005-0000-0000-000085880000}"/>
    <cellStyle name="Note 2 2 4 7 2" xfId="2093" xr:uid="{00000000-0005-0000-0000-000086880000}"/>
    <cellStyle name="Note 2 2 4 8" xfId="2092" xr:uid="{00000000-0005-0000-0000-000087880000}"/>
    <cellStyle name="Note 2 2 5" xfId="27901" xr:uid="{00000000-0005-0000-0000-000088880000}"/>
    <cellStyle name="Note 2 2 5 2" xfId="4007" xr:uid="{00000000-0005-0000-0000-000089880000}"/>
    <cellStyle name="Note 2 2 5 2 2" xfId="4005" xr:uid="{00000000-0005-0000-0000-00008A880000}"/>
    <cellStyle name="Note 2 2 5 2 2 2" xfId="2091" xr:uid="{00000000-0005-0000-0000-00008B880000}"/>
    <cellStyle name="Note 2 2 5 2 2 2 2" xfId="2090" xr:uid="{00000000-0005-0000-0000-00008C880000}"/>
    <cellStyle name="Note 2 2 5 2 2 2 2 2" xfId="2089" xr:uid="{00000000-0005-0000-0000-00008D880000}"/>
    <cellStyle name="Note 2 2 5 2 2 2 2 2 2" xfId="2088" xr:uid="{00000000-0005-0000-0000-00008E880000}"/>
    <cellStyle name="Note 2 2 5 2 2 2 2 3" xfId="2087" xr:uid="{00000000-0005-0000-0000-00008F880000}"/>
    <cellStyle name="Note 2 2 5 2 2 2 3" xfId="2086" xr:uid="{00000000-0005-0000-0000-000090880000}"/>
    <cellStyle name="Note 2 2 5 2 2 2 3 2" xfId="32119" xr:uid="{00000000-0005-0000-0000-000091880000}"/>
    <cellStyle name="Note 2 2 5 2 2 2 4" xfId="2085" xr:uid="{00000000-0005-0000-0000-000092880000}"/>
    <cellStyle name="Note 2 2 5 2 2 3" xfId="2084" xr:uid="{00000000-0005-0000-0000-000093880000}"/>
    <cellStyle name="Note 2 2 5 2 2 3 2" xfId="2083" xr:uid="{00000000-0005-0000-0000-000094880000}"/>
    <cellStyle name="Note 2 2 5 2 2 3 2 2" xfId="2082" xr:uid="{00000000-0005-0000-0000-000095880000}"/>
    <cellStyle name="Note 2 2 5 2 2 3 3" xfId="2081" xr:uid="{00000000-0005-0000-0000-000096880000}"/>
    <cellStyle name="Note 2 2 5 2 2 4" xfId="29482" xr:uid="{00000000-0005-0000-0000-000097880000}"/>
    <cellStyle name="Note 2 2 5 2 2 4 2" xfId="2080" xr:uid="{00000000-0005-0000-0000-000098880000}"/>
    <cellStyle name="Note 2 2 5 2 2 5" xfId="2079" xr:uid="{00000000-0005-0000-0000-000099880000}"/>
    <cellStyle name="Note 2 2 5 2 3" xfId="17775" xr:uid="{00000000-0005-0000-0000-00009A880000}"/>
    <cellStyle name="Note 2 2 5 2 3 2" xfId="2078" xr:uid="{00000000-0005-0000-0000-00009B880000}"/>
    <cellStyle name="Note 2 2 5 2 3 2 2" xfId="2077" xr:uid="{00000000-0005-0000-0000-00009C880000}"/>
    <cellStyle name="Note 2 2 5 2 3 2 2 2" xfId="2076" xr:uid="{00000000-0005-0000-0000-00009D880000}"/>
    <cellStyle name="Note 2 2 5 2 3 2 3" xfId="2075" xr:uid="{00000000-0005-0000-0000-00009E880000}"/>
    <cellStyle name="Note 2 2 5 2 3 3" xfId="2074" xr:uid="{00000000-0005-0000-0000-00009F880000}"/>
    <cellStyle name="Note 2 2 5 2 3 3 2" xfId="2073" xr:uid="{00000000-0005-0000-0000-0000A0880000}"/>
    <cellStyle name="Note 2 2 5 2 3 4" xfId="2072" xr:uid="{00000000-0005-0000-0000-0000A1880000}"/>
    <cellStyle name="Note 2 2 5 2 4" xfId="25128" xr:uid="{00000000-0005-0000-0000-0000A2880000}"/>
    <cellStyle name="Note 2 2 5 2 4 2" xfId="28721" xr:uid="{00000000-0005-0000-0000-0000A3880000}"/>
    <cellStyle name="Note 2 2 5 2 4 2 2" xfId="23583" xr:uid="{00000000-0005-0000-0000-0000A4880000}"/>
    <cellStyle name="Note 2 2 5 2 4 3" xfId="2071" xr:uid="{00000000-0005-0000-0000-0000A5880000}"/>
    <cellStyle name="Note 2 2 5 2 5" xfId="25119" xr:uid="{00000000-0005-0000-0000-0000A6880000}"/>
    <cellStyle name="Note 2 2 5 2 5 2" xfId="2070" xr:uid="{00000000-0005-0000-0000-0000A7880000}"/>
    <cellStyle name="Note 2 2 5 2 6" xfId="11163" xr:uid="{00000000-0005-0000-0000-0000A8880000}"/>
    <cellStyle name="Note 2 2 5 3" xfId="4003" xr:uid="{00000000-0005-0000-0000-0000A9880000}"/>
    <cellStyle name="Note 2 2 5 3 2" xfId="4001" xr:uid="{00000000-0005-0000-0000-0000AA880000}"/>
    <cellStyle name="Note 2 2 5 3 2 2" xfId="2069" xr:uid="{00000000-0005-0000-0000-0000AB880000}"/>
    <cellStyle name="Note 2 2 5 3 2 2 2" xfId="2068" xr:uid="{00000000-0005-0000-0000-0000AC880000}"/>
    <cellStyle name="Note 2 2 5 3 2 2 2 2" xfId="2067" xr:uid="{00000000-0005-0000-0000-0000AD880000}"/>
    <cellStyle name="Note 2 2 5 3 2 2 3" xfId="2066" xr:uid="{00000000-0005-0000-0000-0000AE880000}"/>
    <cellStyle name="Note 2 2 5 3 2 3" xfId="2065" xr:uid="{00000000-0005-0000-0000-0000AF880000}"/>
    <cellStyle name="Note 2 2 5 3 2 3 2" xfId="2064" xr:uid="{00000000-0005-0000-0000-0000B0880000}"/>
    <cellStyle name="Note 2 2 5 3 2 4" xfId="2063" xr:uid="{00000000-0005-0000-0000-0000B1880000}"/>
    <cellStyle name="Note 2 2 5 3 3" xfId="31248" xr:uid="{00000000-0005-0000-0000-0000B2880000}"/>
    <cellStyle name="Note 2 2 5 3 3 2" xfId="2062" xr:uid="{00000000-0005-0000-0000-0000B3880000}"/>
    <cellStyle name="Note 2 2 5 3 3 2 2" xfId="2061" xr:uid="{00000000-0005-0000-0000-0000B4880000}"/>
    <cellStyle name="Note 2 2 5 3 3 3" xfId="2060" xr:uid="{00000000-0005-0000-0000-0000B5880000}"/>
    <cellStyle name="Note 2 2 5 3 4" xfId="26617" xr:uid="{00000000-0005-0000-0000-0000B6880000}"/>
    <cellStyle name="Note 2 2 5 3 4 2" xfId="2059" xr:uid="{00000000-0005-0000-0000-0000B7880000}"/>
    <cellStyle name="Note 2 2 5 3 5" xfId="2058" xr:uid="{00000000-0005-0000-0000-0000B8880000}"/>
    <cellStyle name="Note 2 2 5 4" xfId="3999" xr:uid="{00000000-0005-0000-0000-0000B9880000}"/>
    <cellStyle name="Note 2 2 5 4 2" xfId="2057" xr:uid="{00000000-0005-0000-0000-0000BA880000}"/>
    <cellStyle name="Note 2 2 5 4 2 2" xfId="2056" xr:uid="{00000000-0005-0000-0000-0000BB880000}"/>
    <cellStyle name="Note 2 2 5 4 2 2 2" xfId="2055" xr:uid="{00000000-0005-0000-0000-0000BC880000}"/>
    <cellStyle name="Note 2 2 5 4 2 3" xfId="2054" xr:uid="{00000000-0005-0000-0000-0000BD880000}"/>
    <cellStyle name="Note 2 2 5 4 3" xfId="31499" xr:uid="{00000000-0005-0000-0000-0000BE880000}"/>
    <cellStyle name="Note 2 2 5 4 3 2" xfId="2053" xr:uid="{00000000-0005-0000-0000-0000BF880000}"/>
    <cellStyle name="Note 2 2 5 4 4" xfId="2052" xr:uid="{00000000-0005-0000-0000-0000C0880000}"/>
    <cellStyle name="Note 2 2 5 5" xfId="2051" xr:uid="{00000000-0005-0000-0000-0000C1880000}"/>
    <cellStyle name="Note 2 2 5 5 2" xfId="32817" xr:uid="{00000000-0005-0000-0000-0000C2880000}"/>
    <cellStyle name="Note 2 2 5 5 2 2" xfId="2050" xr:uid="{00000000-0005-0000-0000-0000C3880000}"/>
    <cellStyle name="Note 2 2 5 5 3" xfId="2049" xr:uid="{00000000-0005-0000-0000-0000C4880000}"/>
    <cellStyle name="Note 2 2 5 6" xfId="9875" xr:uid="{00000000-0005-0000-0000-0000C5880000}"/>
    <cellStyle name="Note 2 2 5 6 2" xfId="2048" xr:uid="{00000000-0005-0000-0000-0000C6880000}"/>
    <cellStyle name="Note 2 2 5 7" xfId="2047" xr:uid="{00000000-0005-0000-0000-0000C7880000}"/>
    <cellStyle name="Note 2 2 6" xfId="14737" xr:uid="{00000000-0005-0000-0000-0000C8880000}"/>
    <cellStyle name="Note 2 2 6 2" xfId="2046" xr:uid="{00000000-0005-0000-0000-0000C9880000}"/>
    <cellStyle name="Note 2 2 6 2 2" xfId="2045" xr:uid="{00000000-0005-0000-0000-0000CA880000}"/>
    <cellStyle name="Note 2 2 6 2 2 2" xfId="5961" xr:uid="{00000000-0005-0000-0000-0000CB880000}"/>
    <cellStyle name="Note 2 2 6 2 2 2 2" xfId="19235" xr:uid="{00000000-0005-0000-0000-0000CC880000}"/>
    <cellStyle name="Note 2 2 6 2 2 2 2 2" xfId="19233" xr:uid="{00000000-0005-0000-0000-0000CD880000}"/>
    <cellStyle name="Note 2 2 6 2 2 2 3" xfId="19224" xr:uid="{00000000-0005-0000-0000-0000CE880000}"/>
    <cellStyle name="Note 2 2 6 2 2 3" xfId="2044" xr:uid="{00000000-0005-0000-0000-0000CF880000}"/>
    <cellStyle name="Note 2 2 6 2 2 3 2" xfId="19212" xr:uid="{00000000-0005-0000-0000-0000D0880000}"/>
    <cellStyle name="Note 2 2 6 2 2 4" xfId="2043" xr:uid="{00000000-0005-0000-0000-0000D1880000}"/>
    <cellStyle name="Note 2 2 6 2 3" xfId="17759" xr:uid="{00000000-0005-0000-0000-0000D2880000}"/>
    <cellStyle name="Note 2 2 6 2 3 2" xfId="2042" xr:uid="{00000000-0005-0000-0000-0000D3880000}"/>
    <cellStyle name="Note 2 2 6 2 3 2 2" xfId="2041" xr:uid="{00000000-0005-0000-0000-0000D4880000}"/>
    <cellStyle name="Note 2 2 6 2 3 3" xfId="2040" xr:uid="{00000000-0005-0000-0000-0000D5880000}"/>
    <cellStyle name="Note 2 2 6 2 4" xfId="17754" xr:uid="{00000000-0005-0000-0000-0000D6880000}"/>
    <cellStyle name="Note 2 2 6 2 4 2" xfId="2039" xr:uid="{00000000-0005-0000-0000-0000D7880000}"/>
    <cellStyle name="Note 2 2 6 2 5" xfId="2038" xr:uid="{00000000-0005-0000-0000-0000D8880000}"/>
    <cellStyle name="Note 2 2 6 3" xfId="2036" xr:uid="{00000000-0005-0000-0000-0000D9880000}"/>
    <cellStyle name="Note 2 2 6 3 2" xfId="2035" xr:uid="{00000000-0005-0000-0000-0000DA880000}"/>
    <cellStyle name="Note 2 2 6 3 2 2" xfId="2034" xr:uid="{00000000-0005-0000-0000-0000DB880000}"/>
    <cellStyle name="Note 2 2 6 3 2 2 2" xfId="2033" xr:uid="{00000000-0005-0000-0000-0000DC880000}"/>
    <cellStyle name="Note 2 2 6 3 2 3" xfId="2032" xr:uid="{00000000-0005-0000-0000-0000DD880000}"/>
    <cellStyle name="Note 2 2 6 3 3" xfId="28395" xr:uid="{00000000-0005-0000-0000-0000DE880000}"/>
    <cellStyle name="Note 2 2 6 3 3 2" xfId="2031" xr:uid="{00000000-0005-0000-0000-0000DF880000}"/>
    <cellStyle name="Note 2 2 6 3 4" xfId="2030" xr:uid="{00000000-0005-0000-0000-0000E0880000}"/>
    <cellStyle name="Note 2 2 6 4" xfId="2029" xr:uid="{00000000-0005-0000-0000-0000E1880000}"/>
    <cellStyle name="Note 2 2 6 4 2" xfId="28641" xr:uid="{00000000-0005-0000-0000-0000E2880000}"/>
    <cellStyle name="Note 2 2 6 4 2 2" xfId="2028" xr:uid="{00000000-0005-0000-0000-0000E3880000}"/>
    <cellStyle name="Note 2 2 6 4 3" xfId="2027" xr:uid="{00000000-0005-0000-0000-0000E4880000}"/>
    <cellStyle name="Note 2 2 6 5" xfId="2026" xr:uid="{00000000-0005-0000-0000-0000E5880000}"/>
    <cellStyle name="Note 2 2 6 5 2" xfId="2025" xr:uid="{00000000-0005-0000-0000-0000E6880000}"/>
    <cellStyle name="Note 2 2 6 6" xfId="2024" xr:uid="{00000000-0005-0000-0000-0000E7880000}"/>
    <cellStyle name="Note 2 2 7" xfId="12859" xr:uid="{00000000-0005-0000-0000-0000E8880000}"/>
    <cellStyle name="Note 2 2 7 2" xfId="2023" xr:uid="{00000000-0005-0000-0000-0000E9880000}"/>
    <cellStyle name="Note 2 2 7 2 2" xfId="2022" xr:uid="{00000000-0005-0000-0000-0000EA880000}"/>
    <cellStyle name="Note 2 2 7 2 2 2" xfId="2021" xr:uid="{00000000-0005-0000-0000-0000EB880000}"/>
    <cellStyle name="Note 2 2 7 2 2 2 2" xfId="2020" xr:uid="{00000000-0005-0000-0000-0000EC880000}"/>
    <cellStyle name="Note 2 2 7 2 2 3" xfId="2019" xr:uid="{00000000-0005-0000-0000-0000ED880000}"/>
    <cellStyle name="Note 2 2 7 2 3" xfId="17748" xr:uid="{00000000-0005-0000-0000-0000EE880000}"/>
    <cellStyle name="Note 2 2 7 2 3 2" xfId="34382" xr:uid="{00000000-0005-0000-0000-0000EF880000}"/>
    <cellStyle name="Note 2 2 7 2 4" xfId="2018" xr:uid="{00000000-0005-0000-0000-0000F0880000}"/>
    <cellStyle name="Note 2 2 7 3" xfId="2017" xr:uid="{00000000-0005-0000-0000-0000F1880000}"/>
    <cellStyle name="Note 2 2 7 3 2" xfId="2016" xr:uid="{00000000-0005-0000-0000-0000F2880000}"/>
    <cellStyle name="Note 2 2 7 3 2 2" xfId="2015" xr:uid="{00000000-0005-0000-0000-0000F3880000}"/>
    <cellStyle name="Note 2 2 7 3 3" xfId="2014" xr:uid="{00000000-0005-0000-0000-0000F4880000}"/>
    <cellStyle name="Note 2 2 7 4" xfId="2013" xr:uid="{00000000-0005-0000-0000-0000F5880000}"/>
    <cellStyle name="Note 2 2 7 4 2" xfId="2012" xr:uid="{00000000-0005-0000-0000-0000F6880000}"/>
    <cellStyle name="Note 2 2 7 5" xfId="2011" xr:uid="{00000000-0005-0000-0000-0000F7880000}"/>
    <cellStyle name="Note 2 2 8" xfId="30782" xr:uid="{00000000-0005-0000-0000-0000F8880000}"/>
    <cellStyle name="Note 2 2 8 2" xfId="2010" xr:uid="{00000000-0005-0000-0000-0000F9880000}"/>
    <cellStyle name="Note 2 2 8 2 2" xfId="2009" xr:uid="{00000000-0005-0000-0000-0000FA880000}"/>
    <cellStyle name="Note 2 2 8 2 2 2" xfId="2008" xr:uid="{00000000-0005-0000-0000-0000FB880000}"/>
    <cellStyle name="Note 2 2 8 2 3" xfId="2007" xr:uid="{00000000-0005-0000-0000-0000FC880000}"/>
    <cellStyle name="Note 2 2 8 3" xfId="2006" xr:uid="{00000000-0005-0000-0000-0000FD880000}"/>
    <cellStyle name="Note 2 2 8 3 2" xfId="2005" xr:uid="{00000000-0005-0000-0000-0000FE880000}"/>
    <cellStyle name="Note 2 2 8 4" xfId="2004" xr:uid="{00000000-0005-0000-0000-0000FF880000}"/>
    <cellStyle name="Note 2 2 9" xfId="2003" xr:uid="{00000000-0005-0000-0000-000000890000}"/>
    <cellStyle name="Note 2 2 9 2" xfId="2002" xr:uid="{00000000-0005-0000-0000-000001890000}"/>
    <cellStyle name="Note 2 2 9 2 2" xfId="2001" xr:uid="{00000000-0005-0000-0000-000002890000}"/>
    <cellStyle name="Note 2 2 9 3" xfId="2000" xr:uid="{00000000-0005-0000-0000-000003890000}"/>
    <cellStyle name="Note 2 3" xfId="197" xr:uid="{00000000-0005-0000-0000-000004890000}"/>
    <cellStyle name="Note 2 3 10" xfId="25960" xr:uid="{00000000-0005-0000-0000-000005890000}"/>
    <cellStyle name="Note 2 3 11" xfId="34532" xr:uid="{00000000-0005-0000-0000-000006890000}"/>
    <cellStyle name="Note 2 3 12" xfId="1999" xr:uid="{00000000-0005-0000-0000-000007890000}"/>
    <cellStyle name="Note 2 3 2" xfId="24393" xr:uid="{00000000-0005-0000-0000-000008890000}"/>
    <cellStyle name="Note 2 3 2 2" xfId="1998" xr:uid="{00000000-0005-0000-0000-000009890000}"/>
    <cellStyle name="Note 2 3 2 2 2" xfId="17177" xr:uid="{00000000-0005-0000-0000-00000A890000}"/>
    <cellStyle name="Note 2 3 2 2 2 2" xfId="13925" xr:uid="{00000000-0005-0000-0000-00000B890000}"/>
    <cellStyle name="Note 2 3 2 2 2 2 2" xfId="1997" xr:uid="{00000000-0005-0000-0000-00000C890000}"/>
    <cellStyle name="Note 2 3 2 2 2 2 2 2" xfId="1996" xr:uid="{00000000-0005-0000-0000-00000D890000}"/>
    <cellStyle name="Note 2 3 2 2 2 2 2 2 2" xfId="9747" xr:uid="{00000000-0005-0000-0000-00000E890000}"/>
    <cellStyle name="Note 2 3 2 2 2 2 2 2 2 2" xfId="9743" xr:uid="{00000000-0005-0000-0000-00000F890000}"/>
    <cellStyle name="Note 2 3 2 2 2 2 2 2 2 2 2" xfId="27824" xr:uid="{00000000-0005-0000-0000-000010890000}"/>
    <cellStyle name="Note 2 3 2 2 2 2 2 2 2 3" xfId="28078" xr:uid="{00000000-0005-0000-0000-000011890000}"/>
    <cellStyle name="Note 2 3 2 2 2 2 2 2 3" xfId="17908" xr:uid="{00000000-0005-0000-0000-000012890000}"/>
    <cellStyle name="Note 2 3 2 2 2 2 2 2 3 2" xfId="16839" xr:uid="{00000000-0005-0000-0000-000013890000}"/>
    <cellStyle name="Note 2 3 2 2 2 2 2 2 4" xfId="1995" xr:uid="{00000000-0005-0000-0000-000014890000}"/>
    <cellStyle name="Note 2 3 2 2 2 2 2 3" xfId="1994" xr:uid="{00000000-0005-0000-0000-000015890000}"/>
    <cellStyle name="Note 2 3 2 2 2 2 2 3 2" xfId="9730" xr:uid="{00000000-0005-0000-0000-000016890000}"/>
    <cellStyle name="Note 2 3 2 2 2 2 2 3 2 2" xfId="1993" xr:uid="{00000000-0005-0000-0000-000017890000}"/>
    <cellStyle name="Note 2 3 2 2 2 2 2 3 3" xfId="1992" xr:uid="{00000000-0005-0000-0000-000018890000}"/>
    <cellStyle name="Note 2 3 2 2 2 2 2 4" xfId="1991" xr:uid="{00000000-0005-0000-0000-000019890000}"/>
    <cellStyle name="Note 2 3 2 2 2 2 2 4 2" xfId="1990" xr:uid="{00000000-0005-0000-0000-00001A890000}"/>
    <cellStyle name="Note 2 3 2 2 2 2 2 5" xfId="12437" xr:uid="{00000000-0005-0000-0000-00001B890000}"/>
    <cellStyle name="Note 2 3 2 2 2 2 3" xfId="1989" xr:uid="{00000000-0005-0000-0000-00001C890000}"/>
    <cellStyle name="Note 2 3 2 2 2 2 3 2" xfId="1988" xr:uid="{00000000-0005-0000-0000-00001D890000}"/>
    <cellStyle name="Note 2 3 2 2 2 2 3 2 2" xfId="12532" xr:uid="{00000000-0005-0000-0000-00001E890000}"/>
    <cellStyle name="Note 2 3 2 2 2 2 3 2 2 2" xfId="1987" xr:uid="{00000000-0005-0000-0000-00001F890000}"/>
    <cellStyle name="Note 2 3 2 2 2 2 3 2 3" xfId="1986" xr:uid="{00000000-0005-0000-0000-000020890000}"/>
    <cellStyle name="Note 2 3 2 2 2 2 3 3" xfId="1985" xr:uid="{00000000-0005-0000-0000-000021890000}"/>
    <cellStyle name="Note 2 3 2 2 2 2 3 3 2" xfId="1984" xr:uid="{00000000-0005-0000-0000-000022890000}"/>
    <cellStyle name="Note 2 3 2 2 2 2 3 4" xfId="1983" xr:uid="{00000000-0005-0000-0000-000023890000}"/>
    <cellStyle name="Note 2 3 2 2 2 2 4" xfId="29373" xr:uid="{00000000-0005-0000-0000-000024890000}"/>
    <cellStyle name="Note 2 3 2 2 2 2 4 2" xfId="1982" xr:uid="{00000000-0005-0000-0000-000025890000}"/>
    <cellStyle name="Note 2 3 2 2 2 2 4 2 2" xfId="1981" xr:uid="{00000000-0005-0000-0000-000026890000}"/>
    <cellStyle name="Note 2 3 2 2 2 2 4 3" xfId="1980" xr:uid="{00000000-0005-0000-0000-000027890000}"/>
    <cellStyle name="Note 2 3 2 2 2 2 5" xfId="1979" xr:uid="{00000000-0005-0000-0000-000028890000}"/>
    <cellStyle name="Note 2 3 2 2 2 2 5 2" xfId="30419" xr:uid="{00000000-0005-0000-0000-000029890000}"/>
    <cellStyle name="Note 2 3 2 2 2 2 6" xfId="1978" xr:uid="{00000000-0005-0000-0000-00002A890000}"/>
    <cellStyle name="Note 2 3 2 2 2 3" xfId="1977" xr:uid="{00000000-0005-0000-0000-00002B890000}"/>
    <cellStyle name="Note 2 3 2 2 2 3 2" xfId="1976" xr:uid="{00000000-0005-0000-0000-00002C890000}"/>
    <cellStyle name="Note 2 3 2 2 2 3 2 2" xfId="1975" xr:uid="{00000000-0005-0000-0000-00002D890000}"/>
    <cellStyle name="Note 2 3 2 2 2 3 2 2 2" xfId="9615" xr:uid="{00000000-0005-0000-0000-00002E890000}"/>
    <cellStyle name="Note 2 3 2 2 2 3 2 2 2 2" xfId="34324" xr:uid="{00000000-0005-0000-0000-00002F890000}"/>
    <cellStyle name="Note 2 3 2 2 2 3 2 2 3" xfId="12524" xr:uid="{00000000-0005-0000-0000-000030890000}"/>
    <cellStyle name="Note 2 3 2 2 2 3 2 3" xfId="1974" xr:uid="{00000000-0005-0000-0000-000031890000}"/>
    <cellStyle name="Note 2 3 2 2 2 3 2 3 2" xfId="6661" xr:uid="{00000000-0005-0000-0000-000032890000}"/>
    <cellStyle name="Note 2 3 2 2 2 3 2 4" xfId="1973" xr:uid="{00000000-0005-0000-0000-000033890000}"/>
    <cellStyle name="Note 2 3 2 2 2 3 3" xfId="1972" xr:uid="{00000000-0005-0000-0000-000034890000}"/>
    <cellStyle name="Note 2 3 2 2 2 3 3 2" xfId="1971" xr:uid="{00000000-0005-0000-0000-000035890000}"/>
    <cellStyle name="Note 2 3 2 2 2 3 3 2 2" xfId="31608" xr:uid="{00000000-0005-0000-0000-000036890000}"/>
    <cellStyle name="Note 2 3 2 2 2 3 3 3" xfId="1970" xr:uid="{00000000-0005-0000-0000-000037890000}"/>
    <cellStyle name="Note 2 3 2 2 2 3 4" xfId="24840" xr:uid="{00000000-0005-0000-0000-000038890000}"/>
    <cellStyle name="Note 2 3 2 2 2 3 4 2" xfId="1969" xr:uid="{00000000-0005-0000-0000-000039890000}"/>
    <cellStyle name="Note 2 3 2 2 2 3 5" xfId="1968" xr:uid="{00000000-0005-0000-0000-00003A890000}"/>
    <cellStyle name="Note 2 3 2 2 2 4" xfId="25987" xr:uid="{00000000-0005-0000-0000-00003B890000}"/>
    <cellStyle name="Note 2 3 2 2 2 4 2" xfId="29101" xr:uid="{00000000-0005-0000-0000-00003C890000}"/>
    <cellStyle name="Note 2 3 2 2 2 4 2 2" xfId="1967" xr:uid="{00000000-0005-0000-0000-00003D890000}"/>
    <cellStyle name="Note 2 3 2 2 2 4 2 2 2" xfId="12367" xr:uid="{00000000-0005-0000-0000-00003E890000}"/>
    <cellStyle name="Note 2 3 2 2 2 4 2 3" xfId="1966" xr:uid="{00000000-0005-0000-0000-00003F890000}"/>
    <cellStyle name="Note 2 3 2 2 2 4 3" xfId="29096" xr:uid="{00000000-0005-0000-0000-000040890000}"/>
    <cellStyle name="Note 2 3 2 2 2 4 3 2" xfId="26308" xr:uid="{00000000-0005-0000-0000-000041890000}"/>
    <cellStyle name="Note 2 3 2 2 2 4 4" xfId="1965" xr:uid="{00000000-0005-0000-0000-000042890000}"/>
    <cellStyle name="Note 2 3 2 2 2 5" xfId="29093" xr:uid="{00000000-0005-0000-0000-000043890000}"/>
    <cellStyle name="Note 2 3 2 2 2 5 2" xfId="29088" xr:uid="{00000000-0005-0000-0000-000044890000}"/>
    <cellStyle name="Note 2 3 2 2 2 5 2 2" xfId="1964" xr:uid="{00000000-0005-0000-0000-000045890000}"/>
    <cellStyle name="Note 2 3 2 2 2 5 3" xfId="1963" xr:uid="{00000000-0005-0000-0000-000046890000}"/>
    <cellStyle name="Note 2 3 2 2 2 6" xfId="29086" xr:uid="{00000000-0005-0000-0000-000047890000}"/>
    <cellStyle name="Note 2 3 2 2 2 6 2" xfId="1962" xr:uid="{00000000-0005-0000-0000-000048890000}"/>
    <cellStyle name="Note 2 3 2 2 2 7" xfId="1961" xr:uid="{00000000-0005-0000-0000-000049890000}"/>
    <cellStyle name="Note 2 3 2 2 3" xfId="1960" xr:uid="{00000000-0005-0000-0000-00004A890000}"/>
    <cellStyle name="Note 2 3 2 2 3 2" xfId="1959" xr:uid="{00000000-0005-0000-0000-00004B890000}"/>
    <cellStyle name="Note 2 3 2 2 3 2 2" xfId="1958" xr:uid="{00000000-0005-0000-0000-00004C890000}"/>
    <cellStyle name="Note 2 3 2 2 3 2 2 2" xfId="1957" xr:uid="{00000000-0005-0000-0000-00004D890000}"/>
    <cellStyle name="Note 2 3 2 2 3 2 2 2 2" xfId="11180" xr:uid="{00000000-0005-0000-0000-00004E890000}"/>
    <cellStyle name="Note 2 3 2 2 3 2 2 2 2 2" xfId="14682" xr:uid="{00000000-0005-0000-0000-00004F890000}"/>
    <cellStyle name="Note 2 3 2 2 3 2 2 2 3" xfId="17075" xr:uid="{00000000-0005-0000-0000-000050890000}"/>
    <cellStyle name="Note 2 3 2 2 3 2 2 3" xfId="1956" xr:uid="{00000000-0005-0000-0000-000051890000}"/>
    <cellStyle name="Note 2 3 2 2 3 2 2 3 2" xfId="17121" xr:uid="{00000000-0005-0000-0000-000052890000}"/>
    <cellStyle name="Note 2 3 2 2 3 2 2 4" xfId="1955" xr:uid="{00000000-0005-0000-0000-000053890000}"/>
    <cellStyle name="Note 2 3 2 2 3 2 3" xfId="1954" xr:uid="{00000000-0005-0000-0000-000054890000}"/>
    <cellStyle name="Note 2 3 2 2 3 2 3 2" xfId="1953" xr:uid="{00000000-0005-0000-0000-000055890000}"/>
    <cellStyle name="Note 2 3 2 2 3 2 3 2 2" xfId="11154" xr:uid="{00000000-0005-0000-0000-000056890000}"/>
    <cellStyle name="Note 2 3 2 2 3 2 3 3" xfId="1952" xr:uid="{00000000-0005-0000-0000-000057890000}"/>
    <cellStyle name="Note 2 3 2 2 3 2 4" xfId="1951" xr:uid="{00000000-0005-0000-0000-000058890000}"/>
    <cellStyle name="Note 2 3 2 2 3 2 4 2" xfId="1950" xr:uid="{00000000-0005-0000-0000-000059890000}"/>
    <cellStyle name="Note 2 3 2 2 3 2 5" xfId="27686" xr:uid="{00000000-0005-0000-0000-00005A890000}"/>
    <cellStyle name="Note 2 3 2 2 3 3" xfId="1949" xr:uid="{00000000-0005-0000-0000-00005B890000}"/>
    <cellStyle name="Note 2 3 2 2 3 3 2" xfId="1948" xr:uid="{00000000-0005-0000-0000-00005C890000}"/>
    <cellStyle name="Note 2 3 2 2 3 3 2 2" xfId="15409" xr:uid="{00000000-0005-0000-0000-00005D890000}"/>
    <cellStyle name="Note 2 3 2 2 3 3 2 2 2" xfId="11047" xr:uid="{00000000-0005-0000-0000-00005E890000}"/>
    <cellStyle name="Note 2 3 2 2 3 3 2 3" xfId="15403" xr:uid="{00000000-0005-0000-0000-00005F890000}"/>
    <cellStyle name="Note 2 3 2 2 3 3 3" xfId="1947" xr:uid="{00000000-0005-0000-0000-000060890000}"/>
    <cellStyle name="Note 2 3 2 2 3 3 3 2" xfId="15396" xr:uid="{00000000-0005-0000-0000-000061890000}"/>
    <cellStyle name="Note 2 3 2 2 3 3 4" xfId="1946" xr:uid="{00000000-0005-0000-0000-000062890000}"/>
    <cellStyle name="Note 2 3 2 2 3 4" xfId="29075" xr:uid="{00000000-0005-0000-0000-000063890000}"/>
    <cellStyle name="Note 2 3 2 2 3 4 2" xfId="24292" xr:uid="{00000000-0005-0000-0000-000064890000}"/>
    <cellStyle name="Note 2 3 2 2 3 4 2 2" xfId="19672" xr:uid="{00000000-0005-0000-0000-000065890000}"/>
    <cellStyle name="Note 2 3 2 2 3 4 3" xfId="1945" xr:uid="{00000000-0005-0000-0000-000066890000}"/>
    <cellStyle name="Note 2 3 2 2 3 5" xfId="11131" xr:uid="{00000000-0005-0000-0000-000067890000}"/>
    <cellStyle name="Note 2 3 2 2 3 5 2" xfId="1944" xr:uid="{00000000-0005-0000-0000-000068890000}"/>
    <cellStyle name="Note 2 3 2 2 3 6" xfId="11124" xr:uid="{00000000-0005-0000-0000-000069890000}"/>
    <cellStyle name="Note 2 3 2 2 4" xfId="1943" xr:uid="{00000000-0005-0000-0000-00006A890000}"/>
    <cellStyle name="Note 2 3 2 2 4 2" xfId="2660" xr:uid="{00000000-0005-0000-0000-00006B890000}"/>
    <cellStyle name="Note 2 3 2 2 4 2 2" xfId="2658" xr:uid="{00000000-0005-0000-0000-00006C890000}"/>
    <cellStyle name="Note 2 3 2 2 4 2 2 2" xfId="1942" xr:uid="{00000000-0005-0000-0000-00006D890000}"/>
    <cellStyle name="Note 2 3 2 2 4 2 2 2 2" xfId="1941" xr:uid="{00000000-0005-0000-0000-00006E890000}"/>
    <cellStyle name="Note 2 3 2 2 4 2 2 3" xfId="1940" xr:uid="{00000000-0005-0000-0000-00006F890000}"/>
    <cellStyle name="Note 2 3 2 2 4 2 3" xfId="1939" xr:uid="{00000000-0005-0000-0000-000070890000}"/>
    <cellStyle name="Note 2 3 2 2 4 2 3 2" xfId="1938" xr:uid="{00000000-0005-0000-0000-000071890000}"/>
    <cellStyle name="Note 2 3 2 2 4 2 4" xfId="1937" xr:uid="{00000000-0005-0000-0000-000072890000}"/>
    <cellStyle name="Note 2 3 2 2 4 3" xfId="18347" xr:uid="{00000000-0005-0000-0000-000073890000}"/>
    <cellStyle name="Note 2 3 2 2 4 3 2" xfId="1936" xr:uid="{00000000-0005-0000-0000-000074890000}"/>
    <cellStyle name="Note 2 3 2 2 4 3 2 2" xfId="15384" xr:uid="{00000000-0005-0000-0000-000075890000}"/>
    <cellStyle name="Note 2 3 2 2 4 3 3" xfId="1935" xr:uid="{00000000-0005-0000-0000-000076890000}"/>
    <cellStyle name="Note 2 3 2 2 4 4" xfId="26051" xr:uid="{00000000-0005-0000-0000-000077890000}"/>
    <cellStyle name="Note 2 3 2 2 4 4 2" xfId="1934" xr:uid="{00000000-0005-0000-0000-000078890000}"/>
    <cellStyle name="Note 2 3 2 2 4 5" xfId="11122" xr:uid="{00000000-0005-0000-0000-000079890000}"/>
    <cellStyle name="Note 2 3 2 2 5" xfId="1933" xr:uid="{00000000-0005-0000-0000-00007A890000}"/>
    <cellStyle name="Note 2 3 2 2 5 2" xfId="2647" xr:uid="{00000000-0005-0000-0000-00007B890000}"/>
    <cellStyle name="Note 2 3 2 2 5 2 2" xfId="23858" xr:uid="{00000000-0005-0000-0000-00007C890000}"/>
    <cellStyle name="Note 2 3 2 2 5 2 2 2" xfId="1932" xr:uid="{00000000-0005-0000-0000-00007D890000}"/>
    <cellStyle name="Note 2 3 2 2 5 2 3" xfId="23854" xr:uid="{00000000-0005-0000-0000-00007E890000}"/>
    <cellStyle name="Note 2 3 2 2 5 3" xfId="1931" xr:uid="{00000000-0005-0000-0000-00007F890000}"/>
    <cellStyle name="Note 2 3 2 2 5 3 2" xfId="23848" xr:uid="{00000000-0005-0000-0000-000080890000}"/>
    <cellStyle name="Note 2 3 2 2 5 4" xfId="1930" xr:uid="{00000000-0005-0000-0000-000081890000}"/>
    <cellStyle name="Note 2 3 2 2 6" xfId="1929" xr:uid="{00000000-0005-0000-0000-000082890000}"/>
    <cellStyle name="Note 2 3 2 2 6 2" xfId="1928" xr:uid="{00000000-0005-0000-0000-000083890000}"/>
    <cellStyle name="Note 2 3 2 2 6 2 2" xfId="23824" xr:uid="{00000000-0005-0000-0000-000084890000}"/>
    <cellStyle name="Note 2 3 2 2 6 3" xfId="1927" xr:uid="{00000000-0005-0000-0000-000085890000}"/>
    <cellStyle name="Note 2 3 2 2 7" xfId="1926" xr:uid="{00000000-0005-0000-0000-000086890000}"/>
    <cellStyle name="Note 2 3 2 2 7 2" xfId="1925" xr:uid="{00000000-0005-0000-0000-000087890000}"/>
    <cellStyle name="Note 2 3 2 2 8" xfId="1924" xr:uid="{00000000-0005-0000-0000-000088890000}"/>
    <cellStyle name="Note 2 3 2 3" xfId="1923" xr:uid="{00000000-0005-0000-0000-000089890000}"/>
    <cellStyle name="Note 2 3 2 3 2" xfId="29425" xr:uid="{00000000-0005-0000-0000-00008A890000}"/>
    <cellStyle name="Note 2 3 2 3 2 2" xfId="18924" xr:uid="{00000000-0005-0000-0000-00008B890000}"/>
    <cellStyle name="Note 2 3 2 3 2 2 2" xfId="30703" xr:uid="{00000000-0005-0000-0000-00008C890000}"/>
    <cellStyle name="Note 2 3 2 3 2 2 2 2" xfId="24536" xr:uid="{00000000-0005-0000-0000-00008D890000}"/>
    <cellStyle name="Note 2 3 2 3 2 2 2 2 2" xfId="29370" xr:uid="{00000000-0005-0000-0000-00008E890000}"/>
    <cellStyle name="Note 2 3 2 3 2 2 2 2 2 2" xfId="21994" xr:uid="{00000000-0005-0000-0000-00008F890000}"/>
    <cellStyle name="Note 2 3 2 3 2 2 2 2 3" xfId="29361" xr:uid="{00000000-0005-0000-0000-000090890000}"/>
    <cellStyle name="Note 2 3 2 3 2 2 2 3" xfId="31262" xr:uid="{00000000-0005-0000-0000-000091890000}"/>
    <cellStyle name="Note 2 3 2 3 2 2 2 3 2" xfId="19423" xr:uid="{00000000-0005-0000-0000-000092890000}"/>
    <cellStyle name="Note 2 3 2 3 2 2 2 4" xfId="29351" xr:uid="{00000000-0005-0000-0000-000093890000}"/>
    <cellStyle name="Note 2 3 2 3 2 2 3" xfId="31603" xr:uid="{00000000-0005-0000-0000-000094890000}"/>
    <cellStyle name="Note 2 3 2 3 2 2 3 2" xfId="24523" xr:uid="{00000000-0005-0000-0000-000095890000}"/>
    <cellStyle name="Note 2 3 2 3 2 2 3 2 2" xfId="30891" xr:uid="{00000000-0005-0000-0000-000096890000}"/>
    <cellStyle name="Note 2 3 2 3 2 2 3 3" xfId="29340" xr:uid="{00000000-0005-0000-0000-000097890000}"/>
    <cellStyle name="Note 2 3 2 3 2 2 4" xfId="30005" xr:uid="{00000000-0005-0000-0000-000098890000}"/>
    <cellStyle name="Note 2 3 2 3 2 2 4 2" xfId="29326" xr:uid="{00000000-0005-0000-0000-000099890000}"/>
    <cellStyle name="Note 2 3 2 3 2 2 5" xfId="29312" xr:uid="{00000000-0005-0000-0000-00009A890000}"/>
    <cellStyle name="Note 2 3 2 3 2 3" xfId="18914" xr:uid="{00000000-0005-0000-0000-00009B890000}"/>
    <cellStyle name="Note 2 3 2 3 2 3 2" xfId="30214" xr:uid="{00000000-0005-0000-0000-00009C890000}"/>
    <cellStyle name="Note 2 3 2 3 2 3 2 2" xfId="24516" xr:uid="{00000000-0005-0000-0000-00009D890000}"/>
    <cellStyle name="Note 2 3 2 3 2 3 2 2 2" xfId="10047" xr:uid="{00000000-0005-0000-0000-00009E890000}"/>
    <cellStyle name="Note 2 3 2 3 2 3 2 3" xfId="29286" xr:uid="{00000000-0005-0000-0000-00009F890000}"/>
    <cellStyle name="Note 2 3 2 3 2 3 3" xfId="30203" xr:uid="{00000000-0005-0000-0000-0000A0890000}"/>
    <cellStyle name="Note 2 3 2 3 2 3 3 2" xfId="29276" xr:uid="{00000000-0005-0000-0000-0000A1890000}"/>
    <cellStyle name="Note 2 3 2 3 2 3 4" xfId="30407" xr:uid="{00000000-0005-0000-0000-0000A2890000}"/>
    <cellStyle name="Note 2 3 2 3 2 4" xfId="17980" xr:uid="{00000000-0005-0000-0000-0000A3890000}"/>
    <cellStyle name="Note 2 3 2 3 2 4 2" xfId="20556" xr:uid="{00000000-0005-0000-0000-0000A4890000}"/>
    <cellStyle name="Note 2 3 2 3 2 4 2 2" xfId="29256" xr:uid="{00000000-0005-0000-0000-0000A5890000}"/>
    <cellStyle name="Note 2 3 2 3 2 4 3" xfId="23213" xr:uid="{00000000-0005-0000-0000-0000A6890000}"/>
    <cellStyle name="Note 2 3 2 3 2 5" xfId="28960" xr:uid="{00000000-0005-0000-0000-0000A7890000}"/>
    <cellStyle name="Note 2 3 2 3 2 5 2" xfId="30635" xr:uid="{00000000-0005-0000-0000-0000A8890000}"/>
    <cellStyle name="Note 2 3 2 3 2 6" xfId="27603" xr:uid="{00000000-0005-0000-0000-0000A9890000}"/>
    <cellStyle name="Note 2 3 2 3 3" xfId="28100" xr:uid="{00000000-0005-0000-0000-0000AA890000}"/>
    <cellStyle name="Note 2 3 2 3 3 2" xfId="18909" xr:uid="{00000000-0005-0000-0000-0000AB890000}"/>
    <cellStyle name="Note 2 3 2 3 3 2 2" xfId="26273" xr:uid="{00000000-0005-0000-0000-0000AC890000}"/>
    <cellStyle name="Note 2 3 2 3 3 2 2 2" xfId="24490" xr:uid="{00000000-0005-0000-0000-0000AD890000}"/>
    <cellStyle name="Note 2 3 2 3 3 2 2 2 2" xfId="18956" xr:uid="{00000000-0005-0000-0000-0000AE890000}"/>
    <cellStyle name="Note 2 3 2 3 3 2 2 3" xfId="32619" xr:uid="{00000000-0005-0000-0000-0000AF890000}"/>
    <cellStyle name="Note 2 3 2 3 3 2 3" xfId="32641" xr:uid="{00000000-0005-0000-0000-0000B0890000}"/>
    <cellStyle name="Note 2 3 2 3 3 2 3 2" xfId="24846" xr:uid="{00000000-0005-0000-0000-0000B1890000}"/>
    <cellStyle name="Note 2 3 2 3 3 2 4" xfId="32156" xr:uid="{00000000-0005-0000-0000-0000B2890000}"/>
    <cellStyle name="Note 2 3 2 3 3 3" xfId="17976" xr:uid="{00000000-0005-0000-0000-0000B3890000}"/>
    <cellStyle name="Note 2 3 2 3 3 3 2" xfId="30746" xr:uid="{00000000-0005-0000-0000-0000B4890000}"/>
    <cellStyle name="Note 2 3 2 3 3 3 2 2" xfId="15367" xr:uid="{00000000-0005-0000-0000-0000B5890000}"/>
    <cellStyle name="Note 2 3 2 3 3 3 3" xfId="32605" xr:uid="{00000000-0005-0000-0000-0000B6890000}"/>
    <cellStyle name="Note 2 3 2 3 3 4" xfId="28940" xr:uid="{00000000-0005-0000-0000-0000B7890000}"/>
    <cellStyle name="Note 2 3 2 3 3 4 2" xfId="17840" xr:uid="{00000000-0005-0000-0000-0000B8890000}"/>
    <cellStyle name="Note 2 3 2 3 3 5" xfId="11102" xr:uid="{00000000-0005-0000-0000-0000B9890000}"/>
    <cellStyle name="Note 2 3 2 3 4" xfId="25637" xr:uid="{00000000-0005-0000-0000-0000BA890000}"/>
    <cellStyle name="Note 2 3 2 3 4 2" xfId="17972" xr:uid="{00000000-0005-0000-0000-0000BB890000}"/>
    <cellStyle name="Note 2 3 2 3 4 2 2" xfId="30734" xr:uid="{00000000-0005-0000-0000-0000BC890000}"/>
    <cellStyle name="Note 2 3 2 3 4 2 2 2" xfId="32512" xr:uid="{00000000-0005-0000-0000-0000BD890000}"/>
    <cellStyle name="Note 2 3 2 3 4 2 3" xfId="31126" xr:uid="{00000000-0005-0000-0000-0000BE890000}"/>
    <cellStyle name="Note 2 3 2 3 4 3" xfId="29866" xr:uid="{00000000-0005-0000-0000-0000BF890000}"/>
    <cellStyle name="Note 2 3 2 3 4 3 2" xfId="30721" xr:uid="{00000000-0005-0000-0000-0000C0890000}"/>
    <cellStyle name="Note 2 3 2 3 4 4" xfId="29240" xr:uid="{00000000-0005-0000-0000-0000C1890000}"/>
    <cellStyle name="Note 2 3 2 3 5" xfId="29230" xr:uid="{00000000-0005-0000-0000-0000C2890000}"/>
    <cellStyle name="Note 2 3 2 3 5 2" xfId="22862" xr:uid="{00000000-0005-0000-0000-0000C3890000}"/>
    <cellStyle name="Note 2 3 2 3 5 2 2" xfId="25183" xr:uid="{00000000-0005-0000-0000-0000C4890000}"/>
    <cellStyle name="Note 2 3 2 3 5 3" xfId="21717" xr:uid="{00000000-0005-0000-0000-0000C5890000}"/>
    <cellStyle name="Note 2 3 2 3 6" xfId="1922" xr:uid="{00000000-0005-0000-0000-0000C6890000}"/>
    <cellStyle name="Note 2 3 2 3 6 2" xfId="26972" xr:uid="{00000000-0005-0000-0000-0000C7890000}"/>
    <cellStyle name="Note 2 3 2 3 7" xfId="1921" xr:uid="{00000000-0005-0000-0000-0000C8890000}"/>
    <cellStyle name="Note 2 3 2 4" xfId="1920" xr:uid="{00000000-0005-0000-0000-0000C9890000}"/>
    <cellStyle name="Note 2 3 2 4 2" xfId="28341" xr:uid="{00000000-0005-0000-0000-0000CA890000}"/>
    <cellStyle name="Note 2 3 2 4 2 2" xfId="18900" xr:uid="{00000000-0005-0000-0000-0000CB890000}"/>
    <cellStyle name="Note 2 3 2 4 2 2 2" xfId="31296" xr:uid="{00000000-0005-0000-0000-0000CC890000}"/>
    <cellStyle name="Note 2 3 2 4 2 2 2 2" xfId="24461" xr:uid="{00000000-0005-0000-0000-0000CD890000}"/>
    <cellStyle name="Note 2 3 2 4 2 2 2 2 2" xfId="32888" xr:uid="{00000000-0005-0000-0000-0000CE890000}"/>
    <cellStyle name="Note 2 3 2 4 2 2 2 3" xfId="29334" xr:uid="{00000000-0005-0000-0000-0000CF890000}"/>
    <cellStyle name="Note 2 3 2 4 2 2 3" xfId="30002" xr:uid="{00000000-0005-0000-0000-0000D0890000}"/>
    <cellStyle name="Note 2 3 2 4 2 2 3 2" xfId="29318" xr:uid="{00000000-0005-0000-0000-0000D1890000}"/>
    <cellStyle name="Note 2 3 2 4 2 2 4" xfId="29310" xr:uid="{00000000-0005-0000-0000-0000D2890000}"/>
    <cellStyle name="Note 2 3 2 4 2 3" xfId="17961" xr:uid="{00000000-0005-0000-0000-0000D3890000}"/>
    <cellStyle name="Note 2 3 2 4 2 3 2" xfId="30198" xr:uid="{00000000-0005-0000-0000-0000D4890000}"/>
    <cellStyle name="Note 2 3 2 4 2 3 2 2" xfId="25550" xr:uid="{00000000-0005-0000-0000-0000D5890000}"/>
    <cellStyle name="Note 2 3 2 4 2 3 3" xfId="30404" xr:uid="{00000000-0005-0000-0000-0000D6890000}"/>
    <cellStyle name="Note 2 3 2 4 2 4" xfId="29430" xr:uid="{00000000-0005-0000-0000-0000D7890000}"/>
    <cellStyle name="Note 2 3 2 4 2 4 2" xfId="21772" xr:uid="{00000000-0005-0000-0000-0000D8890000}"/>
    <cellStyle name="Note 2 3 2 4 2 5" xfId="28453" xr:uid="{00000000-0005-0000-0000-0000D9890000}"/>
    <cellStyle name="Note 2 3 2 4 3" xfId="24930" xr:uid="{00000000-0005-0000-0000-0000DA890000}"/>
    <cellStyle name="Note 2 3 2 4 3 2" xfId="17957" xr:uid="{00000000-0005-0000-0000-0000DB890000}"/>
    <cellStyle name="Note 2 3 2 4 3 2 2" xfId="31004" xr:uid="{00000000-0005-0000-0000-0000DC890000}"/>
    <cellStyle name="Note 2 3 2 4 3 2 2 2" xfId="31601" xr:uid="{00000000-0005-0000-0000-0000DD890000}"/>
    <cellStyle name="Note 2 3 2 4 3 2 3" xfId="32159" xr:uid="{00000000-0005-0000-0000-0000DE890000}"/>
    <cellStyle name="Note 2 3 2 4 3 3" xfId="31874" xr:uid="{00000000-0005-0000-0000-0000DF890000}"/>
    <cellStyle name="Note 2 3 2 4 3 3 2" xfId="32601" xr:uid="{00000000-0005-0000-0000-0000E0890000}"/>
    <cellStyle name="Note 2 3 2 4 3 4" xfId="33353" xr:uid="{00000000-0005-0000-0000-0000E1890000}"/>
    <cellStyle name="Note 2 3 2 4 4" xfId="8344" xr:uid="{00000000-0005-0000-0000-0000E2890000}"/>
    <cellStyle name="Note 2 3 2 4 4 2" xfId="28444" xr:uid="{00000000-0005-0000-0000-0000E3890000}"/>
    <cellStyle name="Note 2 3 2 4 4 2 2" xfId="30710" xr:uid="{00000000-0005-0000-0000-0000E4890000}"/>
    <cellStyle name="Note 2 3 2 4 4 3" xfId="30933" xr:uid="{00000000-0005-0000-0000-0000E5890000}"/>
    <cellStyle name="Note 2 3 2 4 5" xfId="28441" xr:uid="{00000000-0005-0000-0000-0000E6890000}"/>
    <cellStyle name="Note 2 3 2 4 5 2" xfId="22845" xr:uid="{00000000-0005-0000-0000-0000E7890000}"/>
    <cellStyle name="Note 2 3 2 4 6" xfId="1919" xr:uid="{00000000-0005-0000-0000-0000E8890000}"/>
    <cellStyle name="Note 2 3 2 5" xfId="1918" xr:uid="{00000000-0005-0000-0000-0000E9890000}"/>
    <cellStyle name="Note 2 3 2 5 2" xfId="24916" xr:uid="{00000000-0005-0000-0000-0000EA890000}"/>
    <cellStyle name="Note 2 3 2 5 2 2" xfId="17952" xr:uid="{00000000-0005-0000-0000-0000EB890000}"/>
    <cellStyle name="Note 2 3 2 5 2 2 2" xfId="29686" xr:uid="{00000000-0005-0000-0000-0000EC890000}"/>
    <cellStyle name="Note 2 3 2 5 2 2 2 2" xfId="24781" xr:uid="{00000000-0005-0000-0000-0000ED890000}"/>
    <cellStyle name="Note 2 3 2 5 2 2 3" xfId="29592" xr:uid="{00000000-0005-0000-0000-0000EE890000}"/>
    <cellStyle name="Note 2 3 2 5 2 3" xfId="28109" xr:uid="{00000000-0005-0000-0000-0000EF890000}"/>
    <cellStyle name="Note 2 3 2 5 2 3 2" xfId="32536" xr:uid="{00000000-0005-0000-0000-0000F0890000}"/>
    <cellStyle name="Note 2 3 2 5 2 4" xfId="28106" xr:uid="{00000000-0005-0000-0000-0000F1890000}"/>
    <cellStyle name="Note 2 3 2 5 3" xfId="8336" xr:uid="{00000000-0005-0000-0000-0000F2890000}"/>
    <cellStyle name="Note 2 3 2 5 3 2" xfId="28097" xr:uid="{00000000-0005-0000-0000-0000F3890000}"/>
    <cellStyle name="Note 2 3 2 5 3 2 2" xfId="21259" xr:uid="{00000000-0005-0000-0000-0000F4890000}"/>
    <cellStyle name="Note 2 3 2 5 3 3" xfId="30902" xr:uid="{00000000-0005-0000-0000-0000F5890000}"/>
    <cellStyle name="Note 2 3 2 5 4" xfId="17219" xr:uid="{00000000-0005-0000-0000-0000F6890000}"/>
    <cellStyle name="Note 2 3 2 5 4 2" xfId="28093" xr:uid="{00000000-0005-0000-0000-0000F7890000}"/>
    <cellStyle name="Note 2 3 2 5 5" xfId="17212" xr:uid="{00000000-0005-0000-0000-0000F8890000}"/>
    <cellStyle name="Note 2 3 2 6" xfId="9870" xr:uid="{00000000-0005-0000-0000-0000F9890000}"/>
    <cellStyle name="Note 2 3 2 6 2" xfId="8330" xr:uid="{00000000-0005-0000-0000-0000FA890000}"/>
    <cellStyle name="Note 2 3 2 6 2 2" xfId="27941" xr:uid="{00000000-0005-0000-0000-0000FB890000}"/>
    <cellStyle name="Note 2 3 2 6 2 2 2" xfId="29452" xr:uid="{00000000-0005-0000-0000-0000FC890000}"/>
    <cellStyle name="Note 2 3 2 6 2 3" xfId="27937" xr:uid="{00000000-0005-0000-0000-0000FD890000}"/>
    <cellStyle name="Note 2 3 2 6 3" xfId="27934" xr:uid="{00000000-0005-0000-0000-0000FE890000}"/>
    <cellStyle name="Note 2 3 2 6 3 2" xfId="33556" xr:uid="{00000000-0005-0000-0000-0000FF890000}"/>
    <cellStyle name="Note 2 3 2 6 4" xfId="17206" xr:uid="{00000000-0005-0000-0000-0000008A0000}"/>
    <cellStyle name="Note 2 3 2 7" xfId="9860" xr:uid="{00000000-0005-0000-0000-0000018A0000}"/>
    <cellStyle name="Note 2 3 2 7 2" xfId="27829" xr:uid="{00000000-0005-0000-0000-0000028A0000}"/>
    <cellStyle name="Note 2 3 2 7 2 2" xfId="27819" xr:uid="{00000000-0005-0000-0000-0000038A0000}"/>
    <cellStyle name="Note 2 3 2 7 3" xfId="27816" xr:uid="{00000000-0005-0000-0000-0000048A0000}"/>
    <cellStyle name="Note 2 3 2 8" xfId="31404" xr:uid="{00000000-0005-0000-0000-0000058A0000}"/>
    <cellStyle name="Note 2 3 2 8 2" xfId="28539" xr:uid="{00000000-0005-0000-0000-0000068A0000}"/>
    <cellStyle name="Note 2 3 2 9" xfId="1917" xr:uid="{00000000-0005-0000-0000-0000078A0000}"/>
    <cellStyle name="Note 2 3 3" xfId="1916" xr:uid="{00000000-0005-0000-0000-0000088A0000}"/>
    <cellStyle name="Note 2 3 3 2" xfId="1915" xr:uid="{00000000-0005-0000-0000-0000098A0000}"/>
    <cellStyle name="Note 2 3 3 2 2" xfId="1914" xr:uid="{00000000-0005-0000-0000-00000A8A0000}"/>
    <cellStyle name="Note 2 3 3 2 2 2" xfId="12828" xr:uid="{00000000-0005-0000-0000-00000B8A0000}"/>
    <cellStyle name="Note 2 3 3 2 2 2 2" xfId="1913" xr:uid="{00000000-0005-0000-0000-00000C8A0000}"/>
    <cellStyle name="Note 2 3 3 2 2 2 2 2" xfId="1912" xr:uid="{00000000-0005-0000-0000-00000D8A0000}"/>
    <cellStyle name="Note 2 3 3 2 2 2 2 2 2" xfId="1911" xr:uid="{00000000-0005-0000-0000-00000E8A0000}"/>
    <cellStyle name="Note 2 3 3 2 2 2 2 2 2 2" xfId="1910" xr:uid="{00000000-0005-0000-0000-00000F8A0000}"/>
    <cellStyle name="Note 2 3 3 2 2 2 2 2 3" xfId="1909" xr:uid="{00000000-0005-0000-0000-0000108A0000}"/>
    <cellStyle name="Note 2 3 3 2 2 2 2 3" xfId="1908" xr:uid="{00000000-0005-0000-0000-0000118A0000}"/>
    <cellStyle name="Note 2 3 3 2 2 2 2 3 2" xfId="1907" xr:uid="{00000000-0005-0000-0000-0000128A0000}"/>
    <cellStyle name="Note 2 3 3 2 2 2 2 4" xfId="1906" xr:uid="{00000000-0005-0000-0000-0000138A0000}"/>
    <cellStyle name="Note 2 3 3 2 2 2 3" xfId="1905" xr:uid="{00000000-0005-0000-0000-0000148A0000}"/>
    <cellStyle name="Note 2 3 3 2 2 2 3 2" xfId="1904" xr:uid="{00000000-0005-0000-0000-0000158A0000}"/>
    <cellStyle name="Note 2 3 3 2 2 2 3 2 2" xfId="1903" xr:uid="{00000000-0005-0000-0000-0000168A0000}"/>
    <cellStyle name="Note 2 3 3 2 2 2 3 3" xfId="1902" xr:uid="{00000000-0005-0000-0000-0000178A0000}"/>
    <cellStyle name="Note 2 3 3 2 2 2 4" xfId="1901" xr:uid="{00000000-0005-0000-0000-0000188A0000}"/>
    <cellStyle name="Note 2 3 3 2 2 2 4 2" xfId="1900" xr:uid="{00000000-0005-0000-0000-0000198A0000}"/>
    <cellStyle name="Note 2 3 3 2 2 2 5" xfId="1899" xr:uid="{00000000-0005-0000-0000-00001A8A0000}"/>
    <cellStyle name="Note 2 3 3 2 2 3" xfId="1898" xr:uid="{00000000-0005-0000-0000-00001B8A0000}"/>
    <cellStyle name="Note 2 3 3 2 2 3 2" xfId="1897" xr:uid="{00000000-0005-0000-0000-00001C8A0000}"/>
    <cellStyle name="Note 2 3 3 2 2 3 2 2" xfId="1896" xr:uid="{00000000-0005-0000-0000-00001D8A0000}"/>
    <cellStyle name="Note 2 3 3 2 2 3 2 2 2" xfId="1895" xr:uid="{00000000-0005-0000-0000-00001E8A0000}"/>
    <cellStyle name="Note 2 3 3 2 2 3 2 3" xfId="1894" xr:uid="{00000000-0005-0000-0000-00001F8A0000}"/>
    <cellStyle name="Note 2 3 3 2 2 3 3" xfId="1893" xr:uid="{00000000-0005-0000-0000-0000208A0000}"/>
    <cellStyle name="Note 2 3 3 2 2 3 3 2" xfId="1892" xr:uid="{00000000-0005-0000-0000-0000218A0000}"/>
    <cellStyle name="Note 2 3 3 2 2 3 4" xfId="1891" xr:uid="{00000000-0005-0000-0000-0000228A0000}"/>
    <cellStyle name="Note 2 3 3 2 2 4" xfId="28743" xr:uid="{00000000-0005-0000-0000-0000238A0000}"/>
    <cellStyle name="Note 2 3 3 2 2 4 2" xfId="28739" xr:uid="{00000000-0005-0000-0000-0000248A0000}"/>
    <cellStyle name="Note 2 3 3 2 2 4 2 2" xfId="1890" xr:uid="{00000000-0005-0000-0000-0000258A0000}"/>
    <cellStyle name="Note 2 3 3 2 2 4 3" xfId="1889" xr:uid="{00000000-0005-0000-0000-0000268A0000}"/>
    <cellStyle name="Note 2 3 3 2 2 5" xfId="28734" xr:uid="{00000000-0005-0000-0000-0000278A0000}"/>
    <cellStyle name="Note 2 3 3 2 2 5 2" xfId="1888" xr:uid="{00000000-0005-0000-0000-0000288A0000}"/>
    <cellStyle name="Note 2 3 3 2 2 6" xfId="1887" xr:uid="{00000000-0005-0000-0000-0000298A0000}"/>
    <cellStyle name="Note 2 3 3 2 3" xfId="1886" xr:uid="{00000000-0005-0000-0000-00002A8A0000}"/>
    <cellStyle name="Note 2 3 3 2 3 2" xfId="1885" xr:uid="{00000000-0005-0000-0000-00002B8A0000}"/>
    <cellStyle name="Note 2 3 3 2 3 2 2" xfId="1884" xr:uid="{00000000-0005-0000-0000-00002C8A0000}"/>
    <cellStyle name="Note 2 3 3 2 3 2 2 2" xfId="1883" xr:uid="{00000000-0005-0000-0000-00002D8A0000}"/>
    <cellStyle name="Note 2 3 3 2 3 2 2 2 2" xfId="1882" xr:uid="{00000000-0005-0000-0000-00002E8A0000}"/>
    <cellStyle name="Note 2 3 3 2 3 2 2 3" xfId="6209" xr:uid="{00000000-0005-0000-0000-00002F8A0000}"/>
    <cellStyle name="Note 2 3 3 2 3 2 3" xfId="1881" xr:uid="{00000000-0005-0000-0000-0000308A0000}"/>
    <cellStyle name="Note 2 3 3 2 3 2 3 2" xfId="1880" xr:uid="{00000000-0005-0000-0000-0000318A0000}"/>
    <cellStyle name="Note 2 3 3 2 3 2 4" xfId="1879" xr:uid="{00000000-0005-0000-0000-0000328A0000}"/>
    <cellStyle name="Note 2 3 3 2 3 3" xfId="1878" xr:uid="{00000000-0005-0000-0000-0000338A0000}"/>
    <cellStyle name="Note 2 3 3 2 3 3 2" xfId="1877" xr:uid="{00000000-0005-0000-0000-0000348A0000}"/>
    <cellStyle name="Note 2 3 3 2 3 3 2 2" xfId="31492" xr:uid="{00000000-0005-0000-0000-0000358A0000}"/>
    <cellStyle name="Note 2 3 3 2 3 3 3" xfId="1876" xr:uid="{00000000-0005-0000-0000-0000368A0000}"/>
    <cellStyle name="Note 2 3 3 2 3 4" xfId="28714" xr:uid="{00000000-0005-0000-0000-0000378A0000}"/>
    <cellStyle name="Note 2 3 3 2 3 4 2" xfId="1875" xr:uid="{00000000-0005-0000-0000-0000388A0000}"/>
    <cellStyle name="Note 2 3 3 2 3 5" xfId="11026" xr:uid="{00000000-0005-0000-0000-0000398A0000}"/>
    <cellStyle name="Note 2 3 3 2 4" xfId="1874" xr:uid="{00000000-0005-0000-0000-00003A8A0000}"/>
    <cellStyle name="Note 2 3 3 2 4 2" xfId="2596" xr:uid="{00000000-0005-0000-0000-00003B8A0000}"/>
    <cellStyle name="Note 2 3 3 2 4 2 2" xfId="1872" xr:uid="{00000000-0005-0000-0000-00003C8A0000}"/>
    <cellStyle name="Note 2 3 3 2 4 2 2 2" xfId="27296" xr:uid="{00000000-0005-0000-0000-00003D8A0000}"/>
    <cellStyle name="Note 2 3 3 2 4 2 3" xfId="1871" xr:uid="{00000000-0005-0000-0000-00003E8A0000}"/>
    <cellStyle name="Note 2 3 3 2 4 3" xfId="1870" xr:uid="{00000000-0005-0000-0000-00003F8A0000}"/>
    <cellStyle name="Note 2 3 3 2 4 3 2" xfId="1869" xr:uid="{00000000-0005-0000-0000-0000408A0000}"/>
    <cellStyle name="Note 2 3 3 2 4 4" xfId="1868" xr:uid="{00000000-0005-0000-0000-0000418A0000}"/>
    <cellStyle name="Note 2 3 3 2 5" xfId="1867" xr:uid="{00000000-0005-0000-0000-0000428A0000}"/>
    <cellStyle name="Note 2 3 3 2 5 2" xfId="1865" xr:uid="{00000000-0005-0000-0000-0000438A0000}"/>
    <cellStyle name="Note 2 3 3 2 5 2 2" xfId="23002" xr:uid="{00000000-0005-0000-0000-0000448A0000}"/>
    <cellStyle name="Note 2 3 3 2 5 3" xfId="1864" xr:uid="{00000000-0005-0000-0000-0000458A0000}"/>
    <cellStyle name="Note 2 3 3 2 6" xfId="11100" xr:uid="{00000000-0005-0000-0000-0000468A0000}"/>
    <cellStyle name="Note 2 3 3 2 6 2" xfId="9391" xr:uid="{00000000-0005-0000-0000-0000478A0000}"/>
    <cellStyle name="Note 2 3 3 2 7" xfId="11088" xr:uid="{00000000-0005-0000-0000-0000488A0000}"/>
    <cellStyle name="Note 2 3 3 3" xfId="1863" xr:uid="{00000000-0005-0000-0000-0000498A0000}"/>
    <cellStyle name="Note 2 3 3 3 2" xfId="26492" xr:uid="{00000000-0005-0000-0000-00004A8A0000}"/>
    <cellStyle name="Note 2 3 3 3 2 2" xfId="18879" xr:uid="{00000000-0005-0000-0000-00004B8A0000}"/>
    <cellStyle name="Note 2 3 3 3 2 2 2" xfId="26855" xr:uid="{00000000-0005-0000-0000-00004C8A0000}"/>
    <cellStyle name="Note 2 3 3 3 2 2 2 2" xfId="20215" xr:uid="{00000000-0005-0000-0000-00004D8A0000}"/>
    <cellStyle name="Note 2 3 3 3 2 2 2 2 2" xfId="28629" xr:uid="{00000000-0005-0000-0000-00004E8A0000}"/>
    <cellStyle name="Note 2 3 3 3 2 2 2 3" xfId="26833" xr:uid="{00000000-0005-0000-0000-00004F8A0000}"/>
    <cellStyle name="Note 2 3 3 3 2 2 3" xfId="26821" xr:uid="{00000000-0005-0000-0000-0000508A0000}"/>
    <cellStyle name="Note 2 3 3 3 2 2 3 2" xfId="26811" xr:uid="{00000000-0005-0000-0000-0000518A0000}"/>
    <cellStyle name="Note 2 3 3 3 2 2 4" xfId="29001" xr:uid="{00000000-0005-0000-0000-0000528A0000}"/>
    <cellStyle name="Note 2 3 3 3 2 3" xfId="17939" xr:uid="{00000000-0005-0000-0000-0000538A0000}"/>
    <cellStyle name="Note 2 3 3 3 2 3 2" xfId="26792" xr:uid="{00000000-0005-0000-0000-0000548A0000}"/>
    <cellStyle name="Note 2 3 3 3 2 3 2 2" xfId="24396" xr:uid="{00000000-0005-0000-0000-0000558A0000}"/>
    <cellStyle name="Note 2 3 3 3 2 3 3" xfId="26780" xr:uid="{00000000-0005-0000-0000-0000568A0000}"/>
    <cellStyle name="Note 2 3 3 3 2 4" xfId="23659" xr:uid="{00000000-0005-0000-0000-0000578A0000}"/>
    <cellStyle name="Note 2 3 3 3 2 4 2" xfId="19506" xr:uid="{00000000-0005-0000-0000-0000588A0000}"/>
    <cellStyle name="Note 2 3 3 3 2 5" xfId="26457" xr:uid="{00000000-0005-0000-0000-0000598A0000}"/>
    <cellStyle name="Note 2 3 3 3 3" xfId="25761" xr:uid="{00000000-0005-0000-0000-00005A8A0000}"/>
    <cellStyle name="Note 2 3 3 3 3 2" xfId="17935" xr:uid="{00000000-0005-0000-0000-00005B8A0000}"/>
    <cellStyle name="Note 2 3 3 3 3 2 2" xfId="28910" xr:uid="{00000000-0005-0000-0000-00005C8A0000}"/>
    <cellStyle name="Note 2 3 3 3 3 2 2 2" xfId="18115" xr:uid="{00000000-0005-0000-0000-00005D8A0000}"/>
    <cellStyle name="Note 2 3 3 3 3 2 3" xfId="26723" xr:uid="{00000000-0005-0000-0000-00005E8A0000}"/>
    <cellStyle name="Note 2 3 3 3 3 3" xfId="26437" xr:uid="{00000000-0005-0000-0000-00005F8A0000}"/>
    <cellStyle name="Note 2 3 3 3 3 3 2" xfId="26699" xr:uid="{00000000-0005-0000-0000-0000608A0000}"/>
    <cellStyle name="Note 2 3 3 3 3 4" xfId="26430" xr:uid="{00000000-0005-0000-0000-0000618A0000}"/>
    <cellStyle name="Note 2 3 3 3 4" xfId="29809" xr:uid="{00000000-0005-0000-0000-0000628A0000}"/>
    <cellStyle name="Note 2 3 3 3 4 2" xfId="26416" xr:uid="{00000000-0005-0000-0000-0000638A0000}"/>
    <cellStyle name="Note 2 3 3 3 4 2 2" xfId="28871" xr:uid="{00000000-0005-0000-0000-0000648A0000}"/>
    <cellStyle name="Note 2 3 3 3 4 3" xfId="26407" xr:uid="{00000000-0005-0000-0000-0000658A0000}"/>
    <cellStyle name="Note 2 3 3 3 5" xfId="26403" xr:uid="{00000000-0005-0000-0000-0000668A0000}"/>
    <cellStyle name="Note 2 3 3 3 5 2" xfId="22793" xr:uid="{00000000-0005-0000-0000-0000678A0000}"/>
    <cellStyle name="Note 2 3 3 3 6" xfId="11080" xr:uid="{00000000-0005-0000-0000-0000688A0000}"/>
    <cellStyle name="Note 2 3 3 4" xfId="34111" xr:uid="{00000000-0005-0000-0000-0000698A0000}"/>
    <cellStyle name="Note 2 3 3 4 2" xfId="25752" xr:uid="{00000000-0005-0000-0000-00006A8A0000}"/>
    <cellStyle name="Note 2 3 3 4 2 2" xfId="31451" xr:uid="{00000000-0005-0000-0000-00006B8A0000}"/>
    <cellStyle name="Note 2 3 3 4 2 2 2" xfId="12197" xr:uid="{00000000-0005-0000-0000-00006C8A0000}"/>
    <cellStyle name="Note 2 3 3 4 2 2 2 2" xfId="26559" xr:uid="{00000000-0005-0000-0000-00006D8A0000}"/>
    <cellStyle name="Note 2 3 3 4 2 2 3" xfId="12190" xr:uid="{00000000-0005-0000-0000-00006E8A0000}"/>
    <cellStyle name="Note 2 3 3 4 2 3" xfId="26775" xr:uid="{00000000-0005-0000-0000-00006F8A0000}"/>
    <cellStyle name="Note 2 3 3 4 2 3 2" xfId="12187" xr:uid="{00000000-0005-0000-0000-0000708A0000}"/>
    <cellStyle name="Note 2 3 3 4 2 4" xfId="29873" xr:uid="{00000000-0005-0000-0000-0000718A0000}"/>
    <cellStyle name="Note 2 3 3 4 3" xfId="8319" xr:uid="{00000000-0005-0000-0000-0000728A0000}"/>
    <cellStyle name="Note 2 3 3 4 3 2" xfId="25794" xr:uid="{00000000-0005-0000-0000-0000738A0000}"/>
    <cellStyle name="Note 2 3 3 4 3 2 2" xfId="19862" xr:uid="{00000000-0005-0000-0000-0000748A0000}"/>
    <cellStyle name="Note 2 3 3 4 3 3" xfId="24857" xr:uid="{00000000-0005-0000-0000-0000758A0000}"/>
    <cellStyle name="Note 2 3 3 4 4" xfId="23058" xr:uid="{00000000-0005-0000-0000-0000768A0000}"/>
    <cellStyle name="Note 2 3 3 4 4 2" xfId="24816" xr:uid="{00000000-0005-0000-0000-0000778A0000}"/>
    <cellStyle name="Note 2 3 3 4 5" xfId="25779" xr:uid="{00000000-0005-0000-0000-0000788A0000}"/>
    <cellStyle name="Note 2 3 3 5" xfId="1862" xr:uid="{00000000-0005-0000-0000-0000798A0000}"/>
    <cellStyle name="Note 2 3 3 5 2" xfId="8313" xr:uid="{00000000-0005-0000-0000-00007A8A0000}"/>
    <cellStyle name="Note 2 3 3 5 2 2" xfId="25434" xr:uid="{00000000-0005-0000-0000-00007B8A0000}"/>
    <cellStyle name="Note 2 3 3 5 2 2 2" xfId="12166" xr:uid="{00000000-0005-0000-0000-00007C8A0000}"/>
    <cellStyle name="Note 2 3 3 5 2 3" xfId="26685" xr:uid="{00000000-0005-0000-0000-00007D8A0000}"/>
    <cellStyle name="Note 2 3 3 5 3" xfId="25432" xr:uid="{00000000-0005-0000-0000-00007E8A0000}"/>
    <cellStyle name="Note 2 3 3 5 3 2" xfId="25430" xr:uid="{00000000-0005-0000-0000-00007F8A0000}"/>
    <cellStyle name="Note 2 3 3 5 4" xfId="17200" xr:uid="{00000000-0005-0000-0000-0000808A0000}"/>
    <cellStyle name="Note 2 3 3 6" xfId="9845" xr:uid="{00000000-0005-0000-0000-0000818A0000}"/>
    <cellStyle name="Note 2 3 3 6 2" xfId="27387" xr:uid="{00000000-0005-0000-0000-0000828A0000}"/>
    <cellStyle name="Note 2 3 3 6 2 2" xfId="25190" xr:uid="{00000000-0005-0000-0000-0000838A0000}"/>
    <cellStyle name="Note 2 3 3 6 3" xfId="31829" xr:uid="{00000000-0005-0000-0000-0000848A0000}"/>
    <cellStyle name="Note 2 3 3 7" xfId="9837" xr:uid="{00000000-0005-0000-0000-0000858A0000}"/>
    <cellStyle name="Note 2 3 3 7 2" xfId="28239" xr:uid="{00000000-0005-0000-0000-0000868A0000}"/>
    <cellStyle name="Note 2 3 3 8" xfId="1861" xr:uid="{00000000-0005-0000-0000-0000878A0000}"/>
    <cellStyle name="Note 2 3 4" xfId="19703" xr:uid="{00000000-0005-0000-0000-0000888A0000}"/>
    <cellStyle name="Note 2 3 4 2" xfId="16222" xr:uid="{00000000-0005-0000-0000-0000898A0000}"/>
    <cellStyle name="Note 2 3 4 2 2" xfId="1860" xr:uid="{00000000-0005-0000-0000-00008A8A0000}"/>
    <cellStyle name="Note 2 3 4 2 2 2" xfId="1859" xr:uid="{00000000-0005-0000-0000-00008B8A0000}"/>
    <cellStyle name="Note 2 3 4 2 2 2 2" xfId="10798" xr:uid="{00000000-0005-0000-0000-00008C8A0000}"/>
    <cellStyle name="Note 2 3 4 2 2 2 2 2" xfId="13633" xr:uid="{00000000-0005-0000-0000-00008D8A0000}"/>
    <cellStyle name="Note 2 3 4 2 2 2 2 2 2" xfId="17857" xr:uid="{00000000-0005-0000-0000-00008E8A0000}"/>
    <cellStyle name="Note 2 3 4 2 2 2 2 3" xfId="10793" xr:uid="{00000000-0005-0000-0000-00008F8A0000}"/>
    <cellStyle name="Note 2 3 4 2 2 2 3" xfId="10788" xr:uid="{00000000-0005-0000-0000-0000908A0000}"/>
    <cellStyle name="Note 2 3 4 2 2 2 3 2" xfId="16431" xr:uid="{00000000-0005-0000-0000-0000918A0000}"/>
    <cellStyle name="Note 2 3 4 2 2 2 4" xfId="10785" xr:uid="{00000000-0005-0000-0000-0000928A0000}"/>
    <cellStyle name="Note 2 3 4 2 2 3" xfId="1858" xr:uid="{00000000-0005-0000-0000-0000938A0000}"/>
    <cellStyle name="Note 2 3 4 2 2 3 2" xfId="22877" xr:uid="{00000000-0005-0000-0000-0000948A0000}"/>
    <cellStyle name="Note 2 3 4 2 2 3 2 2" xfId="10782" xr:uid="{00000000-0005-0000-0000-0000958A0000}"/>
    <cellStyle name="Note 2 3 4 2 2 3 3" xfId="19080" xr:uid="{00000000-0005-0000-0000-0000968A0000}"/>
    <cellStyle name="Note 2 3 4 2 2 4" xfId="28577" xr:uid="{00000000-0005-0000-0000-0000978A0000}"/>
    <cellStyle name="Note 2 3 4 2 2 4 2" xfId="7106" xr:uid="{00000000-0005-0000-0000-0000988A0000}"/>
    <cellStyle name="Note 2 3 4 2 2 5" xfId="31885" xr:uid="{00000000-0005-0000-0000-0000998A0000}"/>
    <cellStyle name="Note 2 3 4 2 3" xfId="1857" xr:uid="{00000000-0005-0000-0000-00009A8A0000}"/>
    <cellStyle name="Note 2 3 4 2 3 2" xfId="34394" xr:uid="{00000000-0005-0000-0000-00009B8A0000}"/>
    <cellStyle name="Note 2 3 4 2 3 2 2" xfId="10685" xr:uid="{00000000-0005-0000-0000-00009C8A0000}"/>
    <cellStyle name="Note 2 3 4 2 3 2 2 2" xfId="10682" xr:uid="{00000000-0005-0000-0000-00009D8A0000}"/>
    <cellStyle name="Note 2 3 4 2 3 2 3" xfId="10678" xr:uid="{00000000-0005-0000-0000-00009E8A0000}"/>
    <cellStyle name="Note 2 3 4 2 3 3" xfId="1856" xr:uid="{00000000-0005-0000-0000-00009F8A0000}"/>
    <cellStyle name="Note 2 3 4 2 3 3 2" xfId="7088" xr:uid="{00000000-0005-0000-0000-0000A08A0000}"/>
    <cellStyle name="Note 2 3 4 2 3 4" xfId="7888" xr:uid="{00000000-0005-0000-0000-0000A18A0000}"/>
    <cellStyle name="Note 2 3 4 2 4" xfId="1855" xr:uid="{00000000-0005-0000-0000-0000A28A0000}"/>
    <cellStyle name="Note 2 3 4 2 4 2" xfId="27767" xr:uid="{00000000-0005-0000-0000-0000A38A0000}"/>
    <cellStyle name="Note 2 3 4 2 4 2 2" xfId="10611" xr:uid="{00000000-0005-0000-0000-0000A48A0000}"/>
    <cellStyle name="Note 2 3 4 2 4 3" xfId="1853" xr:uid="{00000000-0005-0000-0000-0000A58A0000}"/>
    <cellStyle name="Note 2 3 4 2 5" xfId="1852" xr:uid="{00000000-0005-0000-0000-0000A68A0000}"/>
    <cellStyle name="Note 2 3 4 2 5 2" xfId="1851" xr:uid="{00000000-0005-0000-0000-0000A78A0000}"/>
    <cellStyle name="Note 2 3 4 2 6" xfId="11056" xr:uid="{00000000-0005-0000-0000-0000A88A0000}"/>
    <cellStyle name="Note 2 3 4 3" xfId="1850" xr:uid="{00000000-0005-0000-0000-0000A98A0000}"/>
    <cellStyle name="Note 2 3 4 3 2" xfId="23753" xr:uid="{00000000-0005-0000-0000-0000AA8A0000}"/>
    <cellStyle name="Note 2 3 4 3 2 2" xfId="17925" xr:uid="{00000000-0005-0000-0000-0000AB8A0000}"/>
    <cellStyle name="Note 2 3 4 3 2 2 2" xfId="10494" xr:uid="{00000000-0005-0000-0000-0000AC8A0000}"/>
    <cellStyle name="Note 2 3 4 3 2 2 2 2" xfId="10489" xr:uid="{00000000-0005-0000-0000-0000AD8A0000}"/>
    <cellStyle name="Note 2 3 4 3 2 2 3" xfId="10484" xr:uid="{00000000-0005-0000-0000-0000AE8A0000}"/>
    <cellStyle name="Note 2 3 4 3 2 3" xfId="8954" xr:uid="{00000000-0005-0000-0000-0000AF8A0000}"/>
    <cellStyle name="Note 2 3 4 3 2 3 2" xfId="7066" xr:uid="{00000000-0005-0000-0000-0000B08A0000}"/>
    <cellStyle name="Note 2 3 4 3 2 4" xfId="7999" xr:uid="{00000000-0005-0000-0000-0000B18A0000}"/>
    <cellStyle name="Note 2 3 4 3 3" xfId="23724" xr:uid="{00000000-0005-0000-0000-0000B28A0000}"/>
    <cellStyle name="Note 2 3 4 3 3 2" xfId="8951" xr:uid="{00000000-0005-0000-0000-0000B38A0000}"/>
    <cellStyle name="Note 2 3 4 3 3 2 2" xfId="10431" xr:uid="{00000000-0005-0000-0000-0000B48A0000}"/>
    <cellStyle name="Note 2 3 4 3 3 3" xfId="33272" xr:uid="{00000000-0005-0000-0000-0000B58A0000}"/>
    <cellStyle name="Note 2 3 4 3 4" xfId="23043" xr:uid="{00000000-0005-0000-0000-0000B68A0000}"/>
    <cellStyle name="Note 2 3 4 3 4 2" xfId="23714" xr:uid="{00000000-0005-0000-0000-0000B78A0000}"/>
    <cellStyle name="Note 2 3 4 3 5" xfId="31230" xr:uid="{00000000-0005-0000-0000-0000B88A0000}"/>
    <cellStyle name="Note 2 3 4 4" xfId="1849" xr:uid="{00000000-0005-0000-0000-0000B98A0000}"/>
    <cellStyle name="Note 2 3 4 4 2" xfId="22948" xr:uid="{00000000-0005-0000-0000-0000BA8A0000}"/>
    <cellStyle name="Note 2 3 4 4 2 2" xfId="8936" xr:uid="{00000000-0005-0000-0000-0000BB8A0000}"/>
    <cellStyle name="Note 2 3 4 4 2 2 2" xfId="10359" xr:uid="{00000000-0005-0000-0000-0000BC8A0000}"/>
    <cellStyle name="Note 2 3 4 4 2 3" xfId="29719" xr:uid="{00000000-0005-0000-0000-0000BD8A0000}"/>
    <cellStyle name="Note 2 3 4 4 3" xfId="22934" xr:uid="{00000000-0005-0000-0000-0000BE8A0000}"/>
    <cellStyle name="Note 2 3 4 4 3 2" xfId="22930" xr:uid="{00000000-0005-0000-0000-0000BF8A0000}"/>
    <cellStyle name="Note 2 3 4 4 4" xfId="22921" xr:uid="{00000000-0005-0000-0000-0000C08A0000}"/>
    <cellStyle name="Note 2 3 4 5" xfId="1848" xr:uid="{00000000-0005-0000-0000-0000C18A0000}"/>
    <cellStyle name="Note 2 3 4 5 2" xfId="22630" xr:uid="{00000000-0005-0000-0000-0000C28A0000}"/>
    <cellStyle name="Note 2 3 4 5 2 2" xfId="22628" xr:uid="{00000000-0005-0000-0000-0000C38A0000}"/>
    <cellStyle name="Note 2 3 4 5 3" xfId="22622" xr:uid="{00000000-0005-0000-0000-0000C48A0000}"/>
    <cellStyle name="Note 2 3 4 6" xfId="34043" xr:uid="{00000000-0005-0000-0000-0000C58A0000}"/>
    <cellStyle name="Note 2 3 4 6 2" xfId="21288" xr:uid="{00000000-0005-0000-0000-0000C68A0000}"/>
    <cellStyle name="Note 2 3 4 7" xfId="1847" xr:uid="{00000000-0005-0000-0000-0000C78A0000}"/>
    <cellStyle name="Note 2 3 5" xfId="1846" xr:uid="{00000000-0005-0000-0000-0000C88A0000}"/>
    <cellStyle name="Note 2 3 5 2" xfId="1845" xr:uid="{00000000-0005-0000-0000-0000C98A0000}"/>
    <cellStyle name="Note 2 3 5 2 2" xfId="1844" xr:uid="{00000000-0005-0000-0000-0000CA8A0000}"/>
    <cellStyle name="Note 2 3 5 2 2 2" xfId="1843" xr:uid="{00000000-0005-0000-0000-0000CB8A0000}"/>
    <cellStyle name="Note 2 3 5 2 2 2 2" xfId="5309" xr:uid="{00000000-0005-0000-0000-0000CC8A0000}"/>
    <cellStyle name="Note 2 3 5 2 2 2 2 2" xfId="5307" xr:uid="{00000000-0005-0000-0000-0000CD8A0000}"/>
    <cellStyle name="Note 2 3 5 2 2 2 3" xfId="16927" xr:uid="{00000000-0005-0000-0000-0000CE8A0000}"/>
    <cellStyle name="Note 2 3 5 2 2 3" xfId="1842" xr:uid="{00000000-0005-0000-0000-0000CF8A0000}"/>
    <cellStyle name="Note 2 3 5 2 2 3 2" xfId="7005" xr:uid="{00000000-0005-0000-0000-0000D08A0000}"/>
    <cellStyle name="Note 2 3 5 2 2 4" xfId="1841" xr:uid="{00000000-0005-0000-0000-0000D18A0000}"/>
    <cellStyle name="Note 2 3 5 2 3" xfId="17733" xr:uid="{00000000-0005-0000-0000-0000D28A0000}"/>
    <cellStyle name="Note 2 3 5 2 3 2" xfId="1840" xr:uid="{00000000-0005-0000-0000-0000D38A0000}"/>
    <cellStyle name="Note 2 3 5 2 3 2 2" xfId="5279" xr:uid="{00000000-0005-0000-0000-0000D48A0000}"/>
    <cellStyle name="Note 2 3 5 2 3 3" xfId="1839" xr:uid="{00000000-0005-0000-0000-0000D58A0000}"/>
    <cellStyle name="Note 2 3 5 2 4" xfId="17729" xr:uid="{00000000-0005-0000-0000-0000D68A0000}"/>
    <cellStyle name="Note 2 3 5 2 4 2" xfId="1838" xr:uid="{00000000-0005-0000-0000-0000D78A0000}"/>
    <cellStyle name="Note 2 3 5 2 5" xfId="1837" xr:uid="{00000000-0005-0000-0000-0000D88A0000}"/>
    <cellStyle name="Note 2 3 5 3" xfId="1836" xr:uid="{00000000-0005-0000-0000-0000D98A0000}"/>
    <cellStyle name="Note 2 3 5 3 2" xfId="25710" xr:uid="{00000000-0005-0000-0000-0000DA8A0000}"/>
    <cellStyle name="Note 2 3 5 3 2 2" xfId="20526" xr:uid="{00000000-0005-0000-0000-0000DB8A0000}"/>
    <cellStyle name="Note 2 3 5 3 2 2 2" xfId="33749" xr:uid="{00000000-0005-0000-0000-0000DC8A0000}"/>
    <cellStyle name="Note 2 3 5 3 2 3" xfId="29175" xr:uid="{00000000-0005-0000-0000-0000DD8A0000}"/>
    <cellStyle name="Note 2 3 5 3 3" xfId="27917" xr:uid="{00000000-0005-0000-0000-0000DE8A0000}"/>
    <cellStyle name="Note 2 3 5 3 3 2" xfId="34239" xr:uid="{00000000-0005-0000-0000-0000DF8A0000}"/>
    <cellStyle name="Note 2 3 5 3 4" xfId="32147" xr:uid="{00000000-0005-0000-0000-0000E08A0000}"/>
    <cellStyle name="Note 2 3 5 4" xfId="1835" xr:uid="{00000000-0005-0000-0000-0000E18A0000}"/>
    <cellStyle name="Note 2 3 5 4 2" xfId="33431" xr:uid="{00000000-0005-0000-0000-0000E28A0000}"/>
    <cellStyle name="Note 2 3 5 4 2 2" xfId="21538" xr:uid="{00000000-0005-0000-0000-0000E38A0000}"/>
    <cellStyle name="Note 2 3 5 4 3" xfId="32030" xr:uid="{00000000-0005-0000-0000-0000E48A0000}"/>
    <cellStyle name="Note 2 3 5 5" xfId="1834" xr:uid="{00000000-0005-0000-0000-0000E58A0000}"/>
    <cellStyle name="Note 2 3 5 5 2" xfId="34150" xr:uid="{00000000-0005-0000-0000-0000E68A0000}"/>
    <cellStyle name="Note 2 3 5 6" xfId="15123" xr:uid="{00000000-0005-0000-0000-0000E78A0000}"/>
    <cellStyle name="Note 2 3 6" xfId="14513" xr:uid="{00000000-0005-0000-0000-0000E88A0000}"/>
    <cellStyle name="Note 2 3 6 2" xfId="1833" xr:uid="{00000000-0005-0000-0000-0000E98A0000}"/>
    <cellStyle name="Note 2 3 6 2 2" xfId="1832" xr:uid="{00000000-0005-0000-0000-0000EA8A0000}"/>
    <cellStyle name="Note 2 3 6 2 2 2" xfId="1831" xr:uid="{00000000-0005-0000-0000-0000EB8A0000}"/>
    <cellStyle name="Note 2 3 6 2 2 2 2" xfId="32697" xr:uid="{00000000-0005-0000-0000-0000EC8A0000}"/>
    <cellStyle name="Note 2 3 6 2 2 3" xfId="24089" xr:uid="{00000000-0005-0000-0000-0000ED8A0000}"/>
    <cellStyle name="Note 2 3 6 2 3" xfId="17719" xr:uid="{00000000-0005-0000-0000-0000EE8A0000}"/>
    <cellStyle name="Note 2 3 6 2 3 2" xfId="34388" xr:uid="{00000000-0005-0000-0000-0000EF8A0000}"/>
    <cellStyle name="Note 2 3 6 2 4" xfId="1830" xr:uid="{00000000-0005-0000-0000-0000F08A0000}"/>
    <cellStyle name="Note 2 3 6 3" xfId="1829" xr:uid="{00000000-0005-0000-0000-0000F18A0000}"/>
    <cellStyle name="Note 2 3 6 3 2" xfId="27907" xr:uid="{00000000-0005-0000-0000-0000F28A0000}"/>
    <cellStyle name="Note 2 3 6 3 2 2" xfId="33784" xr:uid="{00000000-0005-0000-0000-0000F38A0000}"/>
    <cellStyle name="Note 2 3 6 3 3" xfId="33247" xr:uid="{00000000-0005-0000-0000-0000F48A0000}"/>
    <cellStyle name="Note 2 3 6 4" xfId="1828" xr:uid="{00000000-0005-0000-0000-0000F58A0000}"/>
    <cellStyle name="Note 2 3 6 4 2" xfId="32654" xr:uid="{00000000-0005-0000-0000-0000F68A0000}"/>
    <cellStyle name="Note 2 3 6 5" xfId="1827" xr:uid="{00000000-0005-0000-0000-0000F78A0000}"/>
    <cellStyle name="Note 2 3 7" xfId="15411" xr:uid="{00000000-0005-0000-0000-0000F88A0000}"/>
    <cellStyle name="Note 2 3 7 2" xfId="1826" xr:uid="{00000000-0005-0000-0000-0000F98A0000}"/>
    <cellStyle name="Note 2 3 7 2 2" xfId="31802" xr:uid="{00000000-0005-0000-0000-0000FA8A0000}"/>
    <cellStyle name="Note 2 3 7 2 2 2" xfId="34196" xr:uid="{00000000-0005-0000-0000-0000FB8A0000}"/>
    <cellStyle name="Note 2 3 7 2 3" xfId="33618" xr:uid="{00000000-0005-0000-0000-0000FC8A0000}"/>
    <cellStyle name="Note 2 3 7 3" xfId="1825" xr:uid="{00000000-0005-0000-0000-0000FD8A0000}"/>
    <cellStyle name="Note 2 3 7 3 2" xfId="23310" xr:uid="{00000000-0005-0000-0000-0000FE8A0000}"/>
    <cellStyle name="Note 2 3 7 4" xfId="1824" xr:uid="{00000000-0005-0000-0000-0000FF8A0000}"/>
    <cellStyle name="Note 2 3 8" xfId="1823" xr:uid="{00000000-0005-0000-0000-0000008B0000}"/>
    <cellStyle name="Note 2 3 8 2" xfId="1822" xr:uid="{00000000-0005-0000-0000-0000018B0000}"/>
    <cellStyle name="Note 2 3 8 2 2" xfId="33541" xr:uid="{00000000-0005-0000-0000-0000028B0000}"/>
    <cellStyle name="Note 2 3 8 3" xfId="1821" xr:uid="{00000000-0005-0000-0000-0000038B0000}"/>
    <cellStyle name="Note 2 3 9" xfId="1820" xr:uid="{00000000-0005-0000-0000-0000048B0000}"/>
    <cellStyle name="Note 2 3 9 2" xfId="1819" xr:uid="{00000000-0005-0000-0000-0000058B0000}"/>
    <cellStyle name="Note 2 4" xfId="26277" xr:uid="{00000000-0005-0000-0000-0000068B0000}"/>
    <cellStyle name="Note 2 4 10" xfId="34750" xr:uid="{00000000-0005-0000-0000-0000078B0000}"/>
    <cellStyle name="Note 2 4 2" xfId="32132" xr:uid="{00000000-0005-0000-0000-0000088B0000}"/>
    <cellStyle name="Note 2 4 2 2" xfId="28021" xr:uid="{00000000-0005-0000-0000-0000098B0000}"/>
    <cellStyle name="Note 2 4 2 2 2" xfId="28019" xr:uid="{00000000-0005-0000-0000-00000A8B0000}"/>
    <cellStyle name="Note 2 4 2 2 2 2" xfId="12241" xr:uid="{00000000-0005-0000-0000-00000B8B0000}"/>
    <cellStyle name="Note 2 4 2 2 2 2 2" xfId="1818" xr:uid="{00000000-0005-0000-0000-00000C8B0000}"/>
    <cellStyle name="Note 2 4 2 2 2 2 2 2" xfId="1817" xr:uid="{00000000-0005-0000-0000-00000D8B0000}"/>
    <cellStyle name="Note 2 4 2 2 2 2 2 2 2" xfId="1816" xr:uid="{00000000-0005-0000-0000-00000E8B0000}"/>
    <cellStyle name="Note 2 4 2 2 2 2 2 2 2 2" xfId="2037" xr:uid="{00000000-0005-0000-0000-00000F8B0000}"/>
    <cellStyle name="Note 2 4 2 2 2 2 2 2 3" xfId="1815" xr:uid="{00000000-0005-0000-0000-0000108B0000}"/>
    <cellStyle name="Note 2 4 2 2 2 2 2 3" xfId="1814" xr:uid="{00000000-0005-0000-0000-0000118B0000}"/>
    <cellStyle name="Note 2 4 2 2 2 2 2 3 2" xfId="1813" xr:uid="{00000000-0005-0000-0000-0000128B0000}"/>
    <cellStyle name="Note 2 4 2 2 2 2 2 4" xfId="1812" xr:uid="{00000000-0005-0000-0000-0000138B0000}"/>
    <cellStyle name="Note 2 4 2 2 2 2 3" xfId="1811" xr:uid="{00000000-0005-0000-0000-0000148B0000}"/>
    <cellStyle name="Note 2 4 2 2 2 2 3 2" xfId="1810" xr:uid="{00000000-0005-0000-0000-0000158B0000}"/>
    <cellStyle name="Note 2 4 2 2 2 2 3 2 2" xfId="1809" xr:uid="{00000000-0005-0000-0000-0000168B0000}"/>
    <cellStyle name="Note 2 4 2 2 2 2 3 3" xfId="1808" xr:uid="{00000000-0005-0000-0000-0000178B0000}"/>
    <cellStyle name="Note 2 4 2 2 2 2 4" xfId="1807" xr:uid="{00000000-0005-0000-0000-0000188B0000}"/>
    <cellStyle name="Note 2 4 2 2 2 2 4 2" xfId="1806" xr:uid="{00000000-0005-0000-0000-0000198B0000}"/>
    <cellStyle name="Note 2 4 2 2 2 2 5" xfId="1805" xr:uid="{00000000-0005-0000-0000-00001A8B0000}"/>
    <cellStyle name="Note 2 4 2 2 2 3" xfId="1804" xr:uid="{00000000-0005-0000-0000-00001B8B0000}"/>
    <cellStyle name="Note 2 4 2 2 2 3 2" xfId="1803" xr:uid="{00000000-0005-0000-0000-00001C8B0000}"/>
    <cellStyle name="Note 2 4 2 2 2 3 2 2" xfId="1802" xr:uid="{00000000-0005-0000-0000-00001D8B0000}"/>
    <cellStyle name="Note 2 4 2 2 2 3 2 2 2" xfId="1801" xr:uid="{00000000-0005-0000-0000-00001E8B0000}"/>
    <cellStyle name="Note 2 4 2 2 2 3 2 3" xfId="1800" xr:uid="{00000000-0005-0000-0000-00001F8B0000}"/>
    <cellStyle name="Note 2 4 2 2 2 3 3" xfId="1799" xr:uid="{00000000-0005-0000-0000-0000208B0000}"/>
    <cellStyle name="Note 2 4 2 2 2 3 3 2" xfId="1798" xr:uid="{00000000-0005-0000-0000-0000218B0000}"/>
    <cellStyle name="Note 2 4 2 2 2 3 4" xfId="1797" xr:uid="{00000000-0005-0000-0000-0000228B0000}"/>
    <cellStyle name="Note 2 4 2 2 2 4" xfId="27792" xr:uid="{00000000-0005-0000-0000-0000238B0000}"/>
    <cellStyle name="Note 2 4 2 2 2 4 2" xfId="28351" xr:uid="{00000000-0005-0000-0000-0000248B0000}"/>
    <cellStyle name="Note 2 4 2 2 2 4 2 2" xfId="1796" xr:uid="{00000000-0005-0000-0000-0000258B0000}"/>
    <cellStyle name="Note 2 4 2 2 2 4 3" xfId="1795" xr:uid="{00000000-0005-0000-0000-0000268B0000}"/>
    <cellStyle name="Note 2 4 2 2 2 5" xfId="27787" xr:uid="{00000000-0005-0000-0000-0000278B0000}"/>
    <cellStyle name="Note 2 4 2 2 2 5 2" xfId="1794" xr:uid="{00000000-0005-0000-0000-0000288B0000}"/>
    <cellStyle name="Note 2 4 2 2 2 6" xfId="1793" xr:uid="{00000000-0005-0000-0000-0000298B0000}"/>
    <cellStyle name="Note 2 4 2 2 3" xfId="32330" xr:uid="{00000000-0005-0000-0000-00002A8B0000}"/>
    <cellStyle name="Note 2 4 2 2 3 2" xfId="1792" xr:uid="{00000000-0005-0000-0000-00002B8B0000}"/>
    <cellStyle name="Note 2 4 2 2 3 2 2" xfId="1791" xr:uid="{00000000-0005-0000-0000-00002C8B0000}"/>
    <cellStyle name="Note 2 4 2 2 3 2 2 2" xfId="1790" xr:uid="{00000000-0005-0000-0000-00002D8B0000}"/>
    <cellStyle name="Note 2 4 2 2 3 2 2 2 2" xfId="1789" xr:uid="{00000000-0005-0000-0000-00002E8B0000}"/>
    <cellStyle name="Note 2 4 2 2 3 2 2 3" xfId="1788" xr:uid="{00000000-0005-0000-0000-00002F8B0000}"/>
    <cellStyle name="Note 2 4 2 2 3 2 3" xfId="1787" xr:uid="{00000000-0005-0000-0000-0000308B0000}"/>
    <cellStyle name="Note 2 4 2 2 3 2 3 2" xfId="1786" xr:uid="{00000000-0005-0000-0000-0000318B0000}"/>
    <cellStyle name="Note 2 4 2 2 3 2 4" xfId="5067" xr:uid="{00000000-0005-0000-0000-0000328B0000}"/>
    <cellStyle name="Note 2 4 2 2 3 3" xfId="17820" xr:uid="{00000000-0005-0000-0000-0000338B0000}"/>
    <cellStyle name="Note 2 4 2 2 3 3 2" xfId="1785" xr:uid="{00000000-0005-0000-0000-0000348B0000}"/>
    <cellStyle name="Note 2 4 2 2 3 3 2 2" xfId="15059" xr:uid="{00000000-0005-0000-0000-0000358B0000}"/>
    <cellStyle name="Note 2 4 2 2 3 3 3" xfId="1784" xr:uid="{00000000-0005-0000-0000-0000368B0000}"/>
    <cellStyle name="Note 2 4 2 2 3 4" xfId="27762" xr:uid="{00000000-0005-0000-0000-0000378B0000}"/>
    <cellStyle name="Note 2 4 2 2 3 4 2" xfId="1783" xr:uid="{00000000-0005-0000-0000-0000388B0000}"/>
    <cellStyle name="Note 2 4 2 2 3 5" xfId="28706" xr:uid="{00000000-0005-0000-0000-0000398B0000}"/>
    <cellStyle name="Note 2 4 2 2 4" xfId="1782" xr:uid="{00000000-0005-0000-0000-00003A8B0000}"/>
    <cellStyle name="Note 2 4 2 2 4 2" xfId="2516" xr:uid="{00000000-0005-0000-0000-00003B8B0000}"/>
    <cellStyle name="Note 2 4 2 2 4 2 2" xfId="1781" xr:uid="{00000000-0005-0000-0000-00003C8B0000}"/>
    <cellStyle name="Note 2 4 2 2 4 2 2 2" xfId="1780" xr:uid="{00000000-0005-0000-0000-00003D8B0000}"/>
    <cellStyle name="Note 2 4 2 2 4 2 3" xfId="1779" xr:uid="{00000000-0005-0000-0000-00003E8B0000}"/>
    <cellStyle name="Note 2 4 2 2 4 3" xfId="1778" xr:uid="{00000000-0005-0000-0000-00003F8B0000}"/>
    <cellStyle name="Note 2 4 2 2 4 3 2" xfId="1777" xr:uid="{00000000-0005-0000-0000-0000408B0000}"/>
    <cellStyle name="Note 2 4 2 2 4 4" xfId="1776" xr:uid="{00000000-0005-0000-0000-0000418B0000}"/>
    <cellStyle name="Note 2 4 2 2 5" xfId="1775" xr:uid="{00000000-0005-0000-0000-0000428B0000}"/>
    <cellStyle name="Note 2 4 2 2 5 2" xfId="1774" xr:uid="{00000000-0005-0000-0000-0000438B0000}"/>
    <cellStyle name="Note 2 4 2 2 5 2 2" xfId="28660" xr:uid="{00000000-0005-0000-0000-0000448B0000}"/>
    <cellStyle name="Note 2 4 2 2 5 3" xfId="4601" xr:uid="{00000000-0005-0000-0000-0000458B0000}"/>
    <cellStyle name="Note 2 4 2 2 6" xfId="1773" xr:uid="{00000000-0005-0000-0000-0000468B0000}"/>
    <cellStyle name="Note 2 4 2 2 6 2" xfId="1772" xr:uid="{00000000-0005-0000-0000-0000478B0000}"/>
    <cellStyle name="Note 2 4 2 2 7" xfId="1771" xr:uid="{00000000-0005-0000-0000-0000488B0000}"/>
    <cellStyle name="Note 2 4 2 3" xfId="28275" xr:uid="{00000000-0005-0000-0000-0000498B0000}"/>
    <cellStyle name="Note 2 4 2 3 2" xfId="19514" xr:uid="{00000000-0005-0000-0000-00004A8B0000}"/>
    <cellStyle name="Note 2 4 2 3 2 2" xfId="18095" xr:uid="{00000000-0005-0000-0000-00004B8B0000}"/>
    <cellStyle name="Note 2 4 2 3 2 2 2" xfId="8068" xr:uid="{00000000-0005-0000-0000-00004C8B0000}"/>
    <cellStyle name="Note 2 4 2 3 2 2 2 2" xfId="1770" xr:uid="{00000000-0005-0000-0000-00004D8B0000}"/>
    <cellStyle name="Note 2 4 2 3 2 2 2 2 2" xfId="1769" xr:uid="{00000000-0005-0000-0000-00004E8B0000}"/>
    <cellStyle name="Note 2 4 2 3 2 2 2 3" xfId="1768" xr:uid="{00000000-0005-0000-0000-00004F8B0000}"/>
    <cellStyle name="Note 2 4 2 3 2 2 3" xfId="1767" xr:uid="{00000000-0005-0000-0000-0000508B0000}"/>
    <cellStyle name="Note 2 4 2 3 2 2 3 2" xfId="1766" xr:uid="{00000000-0005-0000-0000-0000518B0000}"/>
    <cellStyle name="Note 2 4 2 3 2 2 4" xfId="1765" xr:uid="{00000000-0005-0000-0000-0000528B0000}"/>
    <cellStyle name="Note 2 4 2 3 2 3" xfId="32670" xr:uid="{00000000-0005-0000-0000-0000538B0000}"/>
    <cellStyle name="Note 2 4 2 3 2 3 2" xfId="26966" xr:uid="{00000000-0005-0000-0000-0000548B0000}"/>
    <cellStyle name="Note 2 4 2 3 2 3 2 2" xfId="1764" xr:uid="{00000000-0005-0000-0000-0000558B0000}"/>
    <cellStyle name="Note 2 4 2 3 2 3 3" xfId="26951" xr:uid="{00000000-0005-0000-0000-0000568B0000}"/>
    <cellStyle name="Note 2 4 2 3 2 4" xfId="33053" xr:uid="{00000000-0005-0000-0000-0000578B0000}"/>
    <cellStyle name="Note 2 4 2 3 2 4 2" xfId="26667" xr:uid="{00000000-0005-0000-0000-0000588B0000}"/>
    <cellStyle name="Note 2 4 2 3 2 5" xfId="1763" xr:uid="{00000000-0005-0000-0000-0000598B0000}"/>
    <cellStyle name="Note 2 4 2 3 3" xfId="22134" xr:uid="{00000000-0005-0000-0000-00005A8B0000}"/>
    <cellStyle name="Note 2 4 2 3 3 2" xfId="29280" xr:uid="{00000000-0005-0000-0000-00005B8B0000}"/>
    <cellStyle name="Note 2 4 2 3 3 2 2" xfId="1762" xr:uid="{00000000-0005-0000-0000-00005C8B0000}"/>
    <cellStyle name="Note 2 4 2 3 3 2 2 2" xfId="1761" xr:uid="{00000000-0005-0000-0000-00005D8B0000}"/>
    <cellStyle name="Note 2 4 2 3 3 2 3" xfId="1760" xr:uid="{00000000-0005-0000-0000-00005E8B0000}"/>
    <cellStyle name="Note 2 4 2 3 3 3" xfId="1759" xr:uid="{00000000-0005-0000-0000-00005F8B0000}"/>
    <cellStyle name="Note 2 4 2 3 3 3 2" xfId="29420" xr:uid="{00000000-0005-0000-0000-0000608B0000}"/>
    <cellStyle name="Note 2 4 2 3 3 4" xfId="1758" xr:uid="{00000000-0005-0000-0000-0000618B0000}"/>
    <cellStyle name="Note 2 4 2 3 4" xfId="23288" xr:uid="{00000000-0005-0000-0000-0000628B0000}"/>
    <cellStyle name="Note 2 4 2 3 4 2" xfId="1757" xr:uid="{00000000-0005-0000-0000-0000638B0000}"/>
    <cellStyle name="Note 2 4 2 3 4 2 2" xfId="28480" xr:uid="{00000000-0005-0000-0000-0000648B0000}"/>
    <cellStyle name="Note 2 4 2 3 4 3" xfId="1756" xr:uid="{00000000-0005-0000-0000-0000658B0000}"/>
    <cellStyle name="Note 2 4 2 3 5" xfId="5741" xr:uid="{00000000-0005-0000-0000-0000668B0000}"/>
    <cellStyle name="Note 2 4 2 3 5 2" xfId="1755" xr:uid="{00000000-0005-0000-0000-0000678B0000}"/>
    <cellStyle name="Note 2 4 2 3 6" xfId="1754" xr:uid="{00000000-0005-0000-0000-0000688B0000}"/>
    <cellStyle name="Note 2 4 2 4" xfId="33498" xr:uid="{00000000-0005-0000-0000-0000698B0000}"/>
    <cellStyle name="Note 2 4 2 4 2" xfId="22123" xr:uid="{00000000-0005-0000-0000-00006A8B0000}"/>
    <cellStyle name="Note 2 4 2 4 2 2" xfId="1753" xr:uid="{00000000-0005-0000-0000-00006B8B0000}"/>
    <cellStyle name="Note 2 4 2 4 2 2 2" xfId="1752" xr:uid="{00000000-0005-0000-0000-00006C8B0000}"/>
    <cellStyle name="Note 2 4 2 4 2 2 2 2" xfId="1751" xr:uid="{00000000-0005-0000-0000-00006D8B0000}"/>
    <cellStyle name="Note 2 4 2 4 2 2 3" xfId="1750" xr:uid="{00000000-0005-0000-0000-00006E8B0000}"/>
    <cellStyle name="Note 2 4 2 4 2 3" xfId="1749" xr:uid="{00000000-0005-0000-0000-00006F8B0000}"/>
    <cellStyle name="Note 2 4 2 4 2 3 2" xfId="31028" xr:uid="{00000000-0005-0000-0000-0000708B0000}"/>
    <cellStyle name="Note 2 4 2 4 2 4" xfId="1748" xr:uid="{00000000-0005-0000-0000-0000718B0000}"/>
    <cellStyle name="Note 2 4 2 4 3" xfId="8272" xr:uid="{00000000-0005-0000-0000-0000728B0000}"/>
    <cellStyle name="Note 2 4 2 4 3 2" xfId="8176" xr:uid="{00000000-0005-0000-0000-0000738B0000}"/>
    <cellStyle name="Note 2 4 2 4 3 2 2" xfId="1746" xr:uid="{00000000-0005-0000-0000-0000748B0000}"/>
    <cellStyle name="Note 2 4 2 4 3 3" xfId="5932" xr:uid="{00000000-0005-0000-0000-0000758B0000}"/>
    <cellStyle name="Note 2 4 2 4 4" xfId="5929" xr:uid="{00000000-0005-0000-0000-0000768B0000}"/>
    <cellStyle name="Note 2 4 2 4 4 2" xfId="5927" xr:uid="{00000000-0005-0000-0000-0000778B0000}"/>
    <cellStyle name="Note 2 4 2 4 5" xfId="5924" xr:uid="{00000000-0005-0000-0000-0000788B0000}"/>
    <cellStyle name="Note 2 4 2 5" xfId="1745" xr:uid="{00000000-0005-0000-0000-0000798B0000}"/>
    <cellStyle name="Note 2 4 2 5 2" xfId="8265" xr:uid="{00000000-0005-0000-0000-00007A8B0000}"/>
    <cellStyle name="Note 2 4 2 5 2 2" xfId="5692" xr:uid="{00000000-0005-0000-0000-00007B8B0000}"/>
    <cellStyle name="Note 2 4 2 5 2 2 2" xfId="1744" xr:uid="{00000000-0005-0000-0000-00007C8B0000}"/>
    <cellStyle name="Note 2 4 2 5 2 3" xfId="1743" xr:uid="{00000000-0005-0000-0000-00007D8B0000}"/>
    <cellStyle name="Note 2 4 2 5 3" xfId="9386" xr:uid="{00000000-0005-0000-0000-00007E8B0000}"/>
    <cellStyle name="Note 2 4 2 5 3 2" xfId="32925" xr:uid="{00000000-0005-0000-0000-00007F8B0000}"/>
    <cellStyle name="Note 2 4 2 5 4" xfId="6298" xr:uid="{00000000-0005-0000-0000-0000808B0000}"/>
    <cellStyle name="Note 2 4 2 6" xfId="9818" xr:uid="{00000000-0005-0000-0000-0000818B0000}"/>
    <cellStyle name="Note 2 4 2 6 2" xfId="1742" xr:uid="{00000000-0005-0000-0000-0000828B0000}"/>
    <cellStyle name="Note 2 4 2 6 2 2" xfId="1741" xr:uid="{00000000-0005-0000-0000-0000838B0000}"/>
    <cellStyle name="Note 2 4 2 6 3" xfId="6293" xr:uid="{00000000-0005-0000-0000-0000848B0000}"/>
    <cellStyle name="Note 2 4 2 7" xfId="9811" xr:uid="{00000000-0005-0000-0000-0000858B0000}"/>
    <cellStyle name="Note 2 4 2 7 2" xfId="5645" xr:uid="{00000000-0005-0000-0000-0000868B0000}"/>
    <cellStyle name="Note 2 4 2 8" xfId="1740" xr:uid="{00000000-0005-0000-0000-0000878B0000}"/>
    <cellStyle name="Note 2 4 3" xfId="5806" xr:uid="{00000000-0005-0000-0000-0000888B0000}"/>
    <cellStyle name="Note 2 4 3 2" xfId="23440" xr:uid="{00000000-0005-0000-0000-0000898B0000}"/>
    <cellStyle name="Note 2 4 3 2 2" xfId="5803" xr:uid="{00000000-0005-0000-0000-00008A8B0000}"/>
    <cellStyle name="Note 2 4 3 2 2 2" xfId="1739" xr:uid="{00000000-0005-0000-0000-00008B8B0000}"/>
    <cellStyle name="Note 2 4 3 2 2 2 2" xfId="1738" xr:uid="{00000000-0005-0000-0000-00008C8B0000}"/>
    <cellStyle name="Note 2 4 3 2 2 2 2 2" xfId="1737" xr:uid="{00000000-0005-0000-0000-00008D8B0000}"/>
    <cellStyle name="Note 2 4 3 2 2 2 2 2 2" xfId="1736" xr:uid="{00000000-0005-0000-0000-00008E8B0000}"/>
    <cellStyle name="Note 2 4 3 2 2 2 2 3" xfId="1735" xr:uid="{00000000-0005-0000-0000-00008F8B0000}"/>
    <cellStyle name="Note 2 4 3 2 2 2 3" xfId="1734" xr:uid="{00000000-0005-0000-0000-0000908B0000}"/>
    <cellStyle name="Note 2 4 3 2 2 2 3 2" xfId="14609" xr:uid="{00000000-0005-0000-0000-0000918B0000}"/>
    <cellStyle name="Note 2 4 3 2 2 2 4" xfId="1733" xr:uid="{00000000-0005-0000-0000-0000928B0000}"/>
    <cellStyle name="Note 2 4 3 2 2 3" xfId="1732" xr:uid="{00000000-0005-0000-0000-0000938B0000}"/>
    <cellStyle name="Note 2 4 3 2 2 3 2" xfId="1731" xr:uid="{00000000-0005-0000-0000-0000948B0000}"/>
    <cellStyle name="Note 2 4 3 2 2 3 2 2" xfId="1730" xr:uid="{00000000-0005-0000-0000-0000958B0000}"/>
    <cellStyle name="Note 2 4 3 2 2 3 3" xfId="1729" xr:uid="{00000000-0005-0000-0000-0000968B0000}"/>
    <cellStyle name="Note 2 4 3 2 2 4" xfId="27314" xr:uid="{00000000-0005-0000-0000-0000978B0000}"/>
    <cellStyle name="Note 2 4 3 2 2 4 2" xfId="1728" xr:uid="{00000000-0005-0000-0000-0000988B0000}"/>
    <cellStyle name="Note 2 4 3 2 2 5" xfId="1727" xr:uid="{00000000-0005-0000-0000-0000998B0000}"/>
    <cellStyle name="Note 2 4 3 2 3" xfId="1726" xr:uid="{00000000-0005-0000-0000-00009A8B0000}"/>
    <cellStyle name="Note 2 4 3 2 3 2" xfId="1725" xr:uid="{00000000-0005-0000-0000-00009B8B0000}"/>
    <cellStyle name="Note 2 4 3 2 3 2 2" xfId="1724" xr:uid="{00000000-0005-0000-0000-00009C8B0000}"/>
    <cellStyle name="Note 2 4 3 2 3 2 2 2" xfId="1723" xr:uid="{00000000-0005-0000-0000-00009D8B0000}"/>
    <cellStyle name="Note 2 4 3 2 3 2 3" xfId="1722" xr:uid="{00000000-0005-0000-0000-00009E8B0000}"/>
    <cellStyle name="Note 2 4 3 2 3 3" xfId="1721" xr:uid="{00000000-0005-0000-0000-00009F8B0000}"/>
    <cellStyle name="Note 2 4 3 2 3 3 2" xfId="1720" xr:uid="{00000000-0005-0000-0000-0000A08B0000}"/>
    <cellStyle name="Note 2 4 3 2 3 4" xfId="1719" xr:uid="{00000000-0005-0000-0000-0000A18B0000}"/>
    <cellStyle name="Note 2 4 3 2 4" xfId="1718" xr:uid="{00000000-0005-0000-0000-0000A28B0000}"/>
    <cellStyle name="Note 2 4 3 2 4 2" xfId="1716" xr:uid="{00000000-0005-0000-0000-0000A38B0000}"/>
    <cellStyle name="Note 2 4 3 2 4 2 2" xfId="1715" xr:uid="{00000000-0005-0000-0000-0000A48B0000}"/>
    <cellStyle name="Note 2 4 3 2 4 3" xfId="1714" xr:uid="{00000000-0005-0000-0000-0000A58B0000}"/>
    <cellStyle name="Note 2 4 3 2 5" xfId="1713" xr:uid="{00000000-0005-0000-0000-0000A68B0000}"/>
    <cellStyle name="Note 2 4 3 2 5 2" xfId="1712" xr:uid="{00000000-0005-0000-0000-0000A78B0000}"/>
    <cellStyle name="Note 2 4 3 2 6" xfId="11006" xr:uid="{00000000-0005-0000-0000-0000A88B0000}"/>
    <cellStyle name="Note 2 4 3 3" xfId="5800" xr:uid="{00000000-0005-0000-0000-0000A98B0000}"/>
    <cellStyle name="Note 2 4 3 3 2" xfId="23759" xr:uid="{00000000-0005-0000-0000-0000AA8B0000}"/>
    <cellStyle name="Note 2 4 3 3 2 2" xfId="1711" xr:uid="{00000000-0005-0000-0000-0000AB8B0000}"/>
    <cellStyle name="Note 2 4 3 3 2 2 2" xfId="1710" xr:uid="{00000000-0005-0000-0000-0000AC8B0000}"/>
    <cellStyle name="Note 2 4 3 3 2 2 2 2" xfId="29853" xr:uid="{00000000-0005-0000-0000-0000AD8B0000}"/>
    <cellStyle name="Note 2 4 3 3 2 2 3" xfId="1709" xr:uid="{00000000-0005-0000-0000-0000AE8B0000}"/>
    <cellStyle name="Note 2 4 3 3 2 3" xfId="1708" xr:uid="{00000000-0005-0000-0000-0000AF8B0000}"/>
    <cellStyle name="Note 2 4 3 3 2 3 2" xfId="10329" xr:uid="{00000000-0005-0000-0000-0000B08B0000}"/>
    <cellStyle name="Note 2 4 3 3 2 4" xfId="1707" xr:uid="{00000000-0005-0000-0000-0000B18B0000}"/>
    <cellStyle name="Note 2 4 3 3 3" xfId="23755" xr:uid="{00000000-0005-0000-0000-0000B28B0000}"/>
    <cellStyle name="Note 2 4 3 3 3 2" xfId="1706" xr:uid="{00000000-0005-0000-0000-0000B38B0000}"/>
    <cellStyle name="Note 2 4 3 3 3 2 2" xfId="1705" xr:uid="{00000000-0005-0000-0000-0000B48B0000}"/>
    <cellStyle name="Note 2 4 3 3 3 3" xfId="1704" xr:uid="{00000000-0005-0000-0000-0000B58B0000}"/>
    <cellStyle name="Note 2 4 3 3 4" xfId="1703" xr:uid="{00000000-0005-0000-0000-0000B68B0000}"/>
    <cellStyle name="Note 2 4 3 3 4 2" xfId="1702" xr:uid="{00000000-0005-0000-0000-0000B78B0000}"/>
    <cellStyle name="Note 2 4 3 3 5" xfId="1701" xr:uid="{00000000-0005-0000-0000-0000B88B0000}"/>
    <cellStyle name="Note 2 4 3 4" xfId="1700" xr:uid="{00000000-0005-0000-0000-0000B98B0000}"/>
    <cellStyle name="Note 2 4 3 4 2" xfId="8254" xr:uid="{00000000-0005-0000-0000-0000BA8B0000}"/>
    <cellStyle name="Note 2 4 3 4 2 2" xfId="1699" xr:uid="{00000000-0005-0000-0000-0000BB8B0000}"/>
    <cellStyle name="Note 2 4 3 4 2 2 2" xfId="14326" xr:uid="{00000000-0005-0000-0000-0000BC8B0000}"/>
    <cellStyle name="Note 2 4 3 4 2 3" xfId="1698" xr:uid="{00000000-0005-0000-0000-0000BD8B0000}"/>
    <cellStyle name="Note 2 4 3 4 3" xfId="5918" xr:uid="{00000000-0005-0000-0000-0000BE8B0000}"/>
    <cellStyle name="Note 2 4 3 4 3 2" xfId="5916" xr:uid="{00000000-0005-0000-0000-0000BF8B0000}"/>
    <cellStyle name="Note 2 4 3 4 4" xfId="5912" xr:uid="{00000000-0005-0000-0000-0000C08B0000}"/>
    <cellStyle name="Note 2 4 3 5" xfId="1697" xr:uid="{00000000-0005-0000-0000-0000C18B0000}"/>
    <cellStyle name="Note 2 4 3 5 2" xfId="1696" xr:uid="{00000000-0005-0000-0000-0000C28B0000}"/>
    <cellStyle name="Note 2 4 3 5 2 2" xfId="1695" xr:uid="{00000000-0005-0000-0000-0000C38B0000}"/>
    <cellStyle name="Note 2 4 3 5 3" xfId="6284" xr:uid="{00000000-0005-0000-0000-0000C48B0000}"/>
    <cellStyle name="Note 2 4 3 6" xfId="14528" xr:uid="{00000000-0005-0000-0000-0000C58B0000}"/>
    <cellStyle name="Note 2 4 3 6 2" xfId="1694" xr:uid="{00000000-0005-0000-0000-0000C68B0000}"/>
    <cellStyle name="Note 2 4 3 7" xfId="1693" xr:uid="{00000000-0005-0000-0000-0000C78B0000}"/>
    <cellStyle name="Note 2 4 4" xfId="12937" xr:uid="{00000000-0005-0000-0000-0000C88B0000}"/>
    <cellStyle name="Note 2 4 4 2" xfId="32713" xr:uid="{00000000-0005-0000-0000-0000C98B0000}"/>
    <cellStyle name="Note 2 4 4 2 2" xfId="33520" xr:uid="{00000000-0005-0000-0000-0000CA8B0000}"/>
    <cellStyle name="Note 2 4 4 2 2 2" xfId="1692" xr:uid="{00000000-0005-0000-0000-0000CB8B0000}"/>
    <cellStyle name="Note 2 4 4 2 2 2 2" xfId="4981" xr:uid="{00000000-0005-0000-0000-0000CC8B0000}"/>
    <cellStyle name="Note 2 4 4 2 2 2 2 2" xfId="4979" xr:uid="{00000000-0005-0000-0000-0000CD8B0000}"/>
    <cellStyle name="Note 2 4 4 2 2 2 3" xfId="4977" xr:uid="{00000000-0005-0000-0000-0000CE8B0000}"/>
    <cellStyle name="Note 2 4 4 2 2 3" xfId="1691" xr:uid="{00000000-0005-0000-0000-0000CF8B0000}"/>
    <cellStyle name="Note 2 4 4 2 2 3 2" xfId="11738" xr:uid="{00000000-0005-0000-0000-0000D08B0000}"/>
    <cellStyle name="Note 2 4 4 2 2 4" xfId="1690" xr:uid="{00000000-0005-0000-0000-0000D18B0000}"/>
    <cellStyle name="Note 2 4 4 2 3" xfId="1689" xr:uid="{00000000-0005-0000-0000-0000D28B0000}"/>
    <cellStyle name="Note 2 4 4 2 3 2" xfId="1688" xr:uid="{00000000-0005-0000-0000-0000D38B0000}"/>
    <cellStyle name="Note 2 4 4 2 3 2 2" xfId="4953" xr:uid="{00000000-0005-0000-0000-0000D48B0000}"/>
    <cellStyle name="Note 2 4 4 2 3 3" xfId="1687" xr:uid="{00000000-0005-0000-0000-0000D58B0000}"/>
    <cellStyle name="Note 2 4 4 2 4" xfId="1686" xr:uid="{00000000-0005-0000-0000-0000D68B0000}"/>
    <cellStyle name="Note 2 4 4 2 4 2" xfId="1685" xr:uid="{00000000-0005-0000-0000-0000D78B0000}"/>
    <cellStyle name="Note 2 4 4 2 5" xfId="1684" xr:uid="{00000000-0005-0000-0000-0000D88B0000}"/>
    <cellStyle name="Note 2 4 4 3" xfId="1683" xr:uid="{00000000-0005-0000-0000-0000D98B0000}"/>
    <cellStyle name="Note 2 4 4 3 2" xfId="22956" xr:uid="{00000000-0005-0000-0000-0000DA8B0000}"/>
    <cellStyle name="Note 2 4 4 3 2 2" xfId="8839" xr:uid="{00000000-0005-0000-0000-0000DB8B0000}"/>
    <cellStyle name="Note 2 4 4 3 2 2 2" xfId="4923" xr:uid="{00000000-0005-0000-0000-0000DC8B0000}"/>
    <cellStyle name="Note 2 4 4 3 2 3" xfId="1682" xr:uid="{00000000-0005-0000-0000-0000DD8B0000}"/>
    <cellStyle name="Note 2 4 4 3 3" xfId="1681" xr:uid="{00000000-0005-0000-0000-0000DE8B0000}"/>
    <cellStyle name="Note 2 4 4 3 3 2" xfId="1680" xr:uid="{00000000-0005-0000-0000-0000DF8B0000}"/>
    <cellStyle name="Note 2 4 4 3 4" xfId="1679" xr:uid="{00000000-0005-0000-0000-0000E08B0000}"/>
    <cellStyle name="Note 2 4 4 4" xfId="28001" xr:uid="{00000000-0005-0000-0000-0000E18B0000}"/>
    <cellStyle name="Note 2 4 4 4 2" xfId="1678" xr:uid="{00000000-0005-0000-0000-0000E28B0000}"/>
    <cellStyle name="Note 2 4 4 4 2 2" xfId="1677" xr:uid="{00000000-0005-0000-0000-0000E38B0000}"/>
    <cellStyle name="Note 2 4 4 4 3" xfId="5907" xr:uid="{00000000-0005-0000-0000-0000E48B0000}"/>
    <cellStyle name="Note 2 4 4 5" xfId="1676" xr:uid="{00000000-0005-0000-0000-0000E58B0000}"/>
    <cellStyle name="Note 2 4 4 5 2" xfId="1675" xr:uid="{00000000-0005-0000-0000-0000E68B0000}"/>
    <cellStyle name="Note 2 4 4 6" xfId="1674" xr:uid="{00000000-0005-0000-0000-0000E78B0000}"/>
    <cellStyle name="Note 2 4 5" xfId="12926" xr:uid="{00000000-0005-0000-0000-0000E88B0000}"/>
    <cellStyle name="Note 2 4 5 2" xfId="29145" xr:uid="{00000000-0005-0000-0000-0000E98B0000}"/>
    <cellStyle name="Note 2 4 5 2 2" xfId="17004" xr:uid="{00000000-0005-0000-0000-0000EA8B0000}"/>
    <cellStyle name="Note 2 4 5 2 2 2" xfId="1673" xr:uid="{00000000-0005-0000-0000-0000EB8B0000}"/>
    <cellStyle name="Note 2 4 5 2 2 2 2" xfId="24134" xr:uid="{00000000-0005-0000-0000-0000EC8B0000}"/>
    <cellStyle name="Note 2 4 5 2 2 3" xfId="1672" xr:uid="{00000000-0005-0000-0000-0000ED8B0000}"/>
    <cellStyle name="Note 2 4 5 2 3" xfId="22803" xr:uid="{00000000-0005-0000-0000-0000EE8B0000}"/>
    <cellStyle name="Note 2 4 5 2 3 2" xfId="34340" xr:uid="{00000000-0005-0000-0000-0000EF8B0000}"/>
    <cellStyle name="Note 2 4 5 2 4" xfId="1671" xr:uid="{00000000-0005-0000-0000-0000F08B0000}"/>
    <cellStyle name="Note 2 4 5 3" xfId="33873" xr:uid="{00000000-0005-0000-0000-0000F18B0000}"/>
    <cellStyle name="Note 2 4 5 3 2" xfId="9374" xr:uid="{00000000-0005-0000-0000-0000F28B0000}"/>
    <cellStyle name="Note 2 4 5 3 2 2" xfId="1670" xr:uid="{00000000-0005-0000-0000-0000F38B0000}"/>
    <cellStyle name="Note 2 4 5 3 3" xfId="9370" xr:uid="{00000000-0005-0000-0000-0000F48B0000}"/>
    <cellStyle name="Note 2 4 5 4" xfId="1669" xr:uid="{00000000-0005-0000-0000-0000F58B0000}"/>
    <cellStyle name="Note 2 4 5 4 2" xfId="1668" xr:uid="{00000000-0005-0000-0000-0000F68B0000}"/>
    <cellStyle name="Note 2 4 5 5" xfId="1667" xr:uid="{00000000-0005-0000-0000-0000F78B0000}"/>
    <cellStyle name="Note 2 4 6" xfId="15407" xr:uid="{00000000-0005-0000-0000-0000F88B0000}"/>
    <cellStyle name="Note 2 4 6 2" xfId="1666" xr:uid="{00000000-0005-0000-0000-0000F98B0000}"/>
    <cellStyle name="Note 2 4 6 2 2" xfId="1665" xr:uid="{00000000-0005-0000-0000-0000FA8B0000}"/>
    <cellStyle name="Note 2 4 6 2 2 2" xfId="1664" xr:uid="{00000000-0005-0000-0000-0000FB8B0000}"/>
    <cellStyle name="Note 2 4 6 2 3" xfId="1663" xr:uid="{00000000-0005-0000-0000-0000FC8B0000}"/>
    <cellStyle name="Note 2 4 6 3" xfId="1662" xr:uid="{00000000-0005-0000-0000-0000FD8B0000}"/>
    <cellStyle name="Note 2 4 6 3 2" xfId="33868" xr:uid="{00000000-0005-0000-0000-0000FE8B0000}"/>
    <cellStyle name="Note 2 4 6 4" xfId="1661" xr:uid="{00000000-0005-0000-0000-0000FF8B0000}"/>
    <cellStyle name="Note 2 4 7" xfId="1660" xr:uid="{00000000-0005-0000-0000-0000008C0000}"/>
    <cellStyle name="Note 2 4 7 2" xfId="1659" xr:uid="{00000000-0005-0000-0000-0000018C0000}"/>
    <cellStyle name="Note 2 4 7 2 2" xfId="33132" xr:uid="{00000000-0005-0000-0000-0000028C0000}"/>
    <cellStyle name="Note 2 4 7 3" xfId="1658" xr:uid="{00000000-0005-0000-0000-0000038C0000}"/>
    <cellStyle name="Note 2 4 8" xfId="1657" xr:uid="{00000000-0005-0000-0000-0000048C0000}"/>
    <cellStyle name="Note 2 4 8 2" xfId="1656" xr:uid="{00000000-0005-0000-0000-0000058C0000}"/>
    <cellStyle name="Note 2 4 9" xfId="1655" xr:uid="{00000000-0005-0000-0000-0000068C0000}"/>
    <cellStyle name="Note 2 5" xfId="30109" xr:uid="{00000000-0005-0000-0000-0000078C0000}"/>
    <cellStyle name="Note 2 5 2" xfId="27997" xr:uid="{00000000-0005-0000-0000-0000088C0000}"/>
    <cellStyle name="Note 2 5 2 2" xfId="23515" xr:uid="{00000000-0005-0000-0000-0000098C0000}"/>
    <cellStyle name="Note 2 5 2 2 2" xfId="27995" xr:uid="{00000000-0005-0000-0000-00000A8C0000}"/>
    <cellStyle name="Note 2 5 2 2 2 2" xfId="10979" xr:uid="{00000000-0005-0000-0000-00000B8C0000}"/>
    <cellStyle name="Note 2 5 2 2 2 2 2" xfId="1654" xr:uid="{00000000-0005-0000-0000-00000C8C0000}"/>
    <cellStyle name="Note 2 5 2 2 2 2 2 2" xfId="1653" xr:uid="{00000000-0005-0000-0000-00000D8C0000}"/>
    <cellStyle name="Note 2 5 2 2 2 2 2 2 2" xfId="1652" xr:uid="{00000000-0005-0000-0000-00000E8C0000}"/>
    <cellStyle name="Note 2 5 2 2 2 2 2 3" xfId="1651" xr:uid="{00000000-0005-0000-0000-00000F8C0000}"/>
    <cellStyle name="Note 2 5 2 2 2 2 3" xfId="21083" xr:uid="{00000000-0005-0000-0000-0000108C0000}"/>
    <cellStyle name="Note 2 5 2 2 2 2 3 2" xfId="1650" xr:uid="{00000000-0005-0000-0000-0000118C0000}"/>
    <cellStyle name="Note 2 5 2 2 2 2 4" xfId="1649" xr:uid="{00000000-0005-0000-0000-0000128C0000}"/>
    <cellStyle name="Note 2 5 2 2 2 3" xfId="1648" xr:uid="{00000000-0005-0000-0000-0000138C0000}"/>
    <cellStyle name="Note 2 5 2 2 2 3 2" xfId="1647" xr:uid="{00000000-0005-0000-0000-0000148C0000}"/>
    <cellStyle name="Note 2 5 2 2 2 3 2 2" xfId="1646" xr:uid="{00000000-0005-0000-0000-0000158C0000}"/>
    <cellStyle name="Note 2 5 2 2 2 3 3" xfId="1645" xr:uid="{00000000-0005-0000-0000-0000168C0000}"/>
    <cellStyle name="Note 2 5 2 2 2 4" xfId="28069" xr:uid="{00000000-0005-0000-0000-0000178C0000}"/>
    <cellStyle name="Note 2 5 2 2 2 4 2" xfId="1644" xr:uid="{00000000-0005-0000-0000-0000188C0000}"/>
    <cellStyle name="Note 2 5 2 2 2 5" xfId="1643" xr:uid="{00000000-0005-0000-0000-0000198C0000}"/>
    <cellStyle name="Note 2 5 2 2 3" xfId="1642" xr:uid="{00000000-0005-0000-0000-00001A8C0000}"/>
    <cellStyle name="Note 2 5 2 2 3 2" xfId="1641" xr:uid="{00000000-0005-0000-0000-00001B8C0000}"/>
    <cellStyle name="Note 2 5 2 2 3 2 2" xfId="1640" xr:uid="{00000000-0005-0000-0000-00001C8C0000}"/>
    <cellStyle name="Note 2 5 2 2 3 2 2 2" xfId="1639" xr:uid="{00000000-0005-0000-0000-00001D8C0000}"/>
    <cellStyle name="Note 2 5 2 2 3 2 3" xfId="1638" xr:uid="{00000000-0005-0000-0000-00001E8C0000}"/>
    <cellStyle name="Note 2 5 2 2 3 3" xfId="1637" xr:uid="{00000000-0005-0000-0000-00001F8C0000}"/>
    <cellStyle name="Note 2 5 2 2 3 3 2" xfId="1636" xr:uid="{00000000-0005-0000-0000-0000208C0000}"/>
    <cellStyle name="Note 2 5 2 2 3 4" xfId="1635" xr:uid="{00000000-0005-0000-0000-0000218C0000}"/>
    <cellStyle name="Note 2 5 2 2 4" xfId="20975" xr:uid="{00000000-0005-0000-0000-0000228C0000}"/>
    <cellStyle name="Note 2 5 2 2 4 2" xfId="1634" xr:uid="{00000000-0005-0000-0000-0000238C0000}"/>
    <cellStyle name="Note 2 5 2 2 4 2 2" xfId="1633" xr:uid="{00000000-0005-0000-0000-0000248C0000}"/>
    <cellStyle name="Note 2 5 2 2 4 3" xfId="1632" xr:uid="{00000000-0005-0000-0000-0000258C0000}"/>
    <cellStyle name="Note 2 5 2 2 5" xfId="1631" xr:uid="{00000000-0005-0000-0000-0000268C0000}"/>
    <cellStyle name="Note 2 5 2 2 5 2" xfId="1630" xr:uid="{00000000-0005-0000-0000-0000278C0000}"/>
    <cellStyle name="Note 2 5 2 2 6" xfId="1629" xr:uid="{00000000-0005-0000-0000-0000288C0000}"/>
    <cellStyle name="Note 2 5 2 3" xfId="27990" xr:uid="{00000000-0005-0000-0000-0000298C0000}"/>
    <cellStyle name="Note 2 5 2 3 2" xfId="22091" xr:uid="{00000000-0005-0000-0000-00002A8C0000}"/>
    <cellStyle name="Note 2 5 2 3 2 2" xfId="1628" xr:uid="{00000000-0005-0000-0000-00002B8C0000}"/>
    <cellStyle name="Note 2 5 2 3 2 2 2" xfId="1627" xr:uid="{00000000-0005-0000-0000-00002C8C0000}"/>
    <cellStyle name="Note 2 5 2 3 2 2 2 2" xfId="1626" xr:uid="{00000000-0005-0000-0000-00002D8C0000}"/>
    <cellStyle name="Note 2 5 2 3 2 2 3" xfId="1625" xr:uid="{00000000-0005-0000-0000-00002E8C0000}"/>
    <cellStyle name="Note 2 5 2 3 2 3" xfId="30077" xr:uid="{00000000-0005-0000-0000-00002F8C0000}"/>
    <cellStyle name="Note 2 5 2 3 2 3 2" xfId="9590" xr:uid="{00000000-0005-0000-0000-0000308C0000}"/>
    <cellStyle name="Note 2 5 2 3 2 4" xfId="1624" xr:uid="{00000000-0005-0000-0000-0000318C0000}"/>
    <cellStyle name="Note 2 5 2 3 3" xfId="24233" xr:uid="{00000000-0005-0000-0000-0000328C0000}"/>
    <cellStyle name="Note 2 5 2 3 3 2" xfId="1623" xr:uid="{00000000-0005-0000-0000-0000338C0000}"/>
    <cellStyle name="Note 2 5 2 3 3 2 2" xfId="1622" xr:uid="{00000000-0005-0000-0000-0000348C0000}"/>
    <cellStyle name="Note 2 5 2 3 3 3" xfId="1621" xr:uid="{00000000-0005-0000-0000-0000358C0000}"/>
    <cellStyle name="Note 2 5 2 3 4" xfId="1620" xr:uid="{00000000-0005-0000-0000-0000368C0000}"/>
    <cellStyle name="Note 2 5 2 3 4 2" xfId="1619" xr:uid="{00000000-0005-0000-0000-0000378C0000}"/>
    <cellStyle name="Note 2 5 2 3 5" xfId="1618" xr:uid="{00000000-0005-0000-0000-0000388C0000}"/>
    <cellStyle name="Note 2 5 2 4" xfId="1617" xr:uid="{00000000-0005-0000-0000-0000398C0000}"/>
    <cellStyle name="Note 2 5 2 4 2" xfId="22082" xr:uid="{00000000-0005-0000-0000-00003A8C0000}"/>
    <cellStyle name="Note 2 5 2 4 2 2" xfId="1616" xr:uid="{00000000-0005-0000-0000-00003B8C0000}"/>
    <cellStyle name="Note 2 5 2 4 2 2 2" xfId="1615" xr:uid="{00000000-0005-0000-0000-00003C8C0000}"/>
    <cellStyle name="Note 2 5 2 4 2 3" xfId="1614" xr:uid="{00000000-0005-0000-0000-00003D8C0000}"/>
    <cellStyle name="Note 2 5 2 4 3" xfId="5897" xr:uid="{00000000-0005-0000-0000-00003E8C0000}"/>
    <cellStyle name="Note 2 5 2 4 3 2" xfId="6507" xr:uid="{00000000-0005-0000-0000-00003F8C0000}"/>
    <cellStyle name="Note 2 5 2 4 4" xfId="5894" xr:uid="{00000000-0005-0000-0000-0000408C0000}"/>
    <cellStyle name="Note 2 5 2 5" xfId="1613" xr:uid="{00000000-0005-0000-0000-0000418C0000}"/>
    <cellStyle name="Note 2 5 2 5 2" xfId="1612" xr:uid="{00000000-0005-0000-0000-0000428C0000}"/>
    <cellStyle name="Note 2 5 2 5 2 2" xfId="1611" xr:uid="{00000000-0005-0000-0000-0000438C0000}"/>
    <cellStyle name="Note 2 5 2 5 3" xfId="10516" xr:uid="{00000000-0005-0000-0000-0000448C0000}"/>
    <cellStyle name="Note 2 5 2 6" xfId="9795" xr:uid="{00000000-0005-0000-0000-0000458C0000}"/>
    <cellStyle name="Note 2 5 2 6 2" xfId="20860" xr:uid="{00000000-0005-0000-0000-0000468C0000}"/>
    <cellStyle name="Note 2 5 2 7" xfId="1610" xr:uid="{00000000-0005-0000-0000-0000478C0000}"/>
    <cellStyle name="Note 2 5 3" xfId="5797" xr:uid="{00000000-0005-0000-0000-0000488C0000}"/>
    <cellStyle name="Note 2 5 3 2" xfId="5794" xr:uid="{00000000-0005-0000-0000-0000498C0000}"/>
    <cellStyle name="Note 2 5 3 2 2" xfId="1609" xr:uid="{00000000-0005-0000-0000-00004A8C0000}"/>
    <cellStyle name="Note 2 5 3 2 2 2" xfId="1608" xr:uid="{00000000-0005-0000-0000-00004B8C0000}"/>
    <cellStyle name="Note 2 5 3 2 2 2 2" xfId="1607" xr:uid="{00000000-0005-0000-0000-00004C8C0000}"/>
    <cellStyle name="Note 2 5 3 2 2 2 2 2" xfId="2992" xr:uid="{00000000-0005-0000-0000-00004D8C0000}"/>
    <cellStyle name="Note 2 5 3 2 2 2 3" xfId="1606" xr:uid="{00000000-0005-0000-0000-00004E8C0000}"/>
    <cellStyle name="Note 2 5 3 2 2 3" xfId="1605" xr:uid="{00000000-0005-0000-0000-00004F8C0000}"/>
    <cellStyle name="Note 2 5 3 2 2 3 2" xfId="1604" xr:uid="{00000000-0005-0000-0000-0000508C0000}"/>
    <cellStyle name="Note 2 5 3 2 2 4" xfId="1603" xr:uid="{00000000-0005-0000-0000-0000518C0000}"/>
    <cellStyle name="Note 2 5 3 2 3" xfId="1602" xr:uid="{00000000-0005-0000-0000-0000528C0000}"/>
    <cellStyle name="Note 2 5 3 2 3 2" xfId="1601" xr:uid="{00000000-0005-0000-0000-0000538C0000}"/>
    <cellStyle name="Note 2 5 3 2 3 2 2" xfId="1600" xr:uid="{00000000-0005-0000-0000-0000548C0000}"/>
    <cellStyle name="Note 2 5 3 2 3 3" xfId="1599" xr:uid="{00000000-0005-0000-0000-0000558C0000}"/>
    <cellStyle name="Note 2 5 3 2 4" xfId="1598" xr:uid="{00000000-0005-0000-0000-0000568C0000}"/>
    <cellStyle name="Note 2 5 3 2 4 2" xfId="1597" xr:uid="{00000000-0005-0000-0000-0000578C0000}"/>
    <cellStyle name="Note 2 5 3 2 5" xfId="1596" xr:uid="{00000000-0005-0000-0000-0000588C0000}"/>
    <cellStyle name="Note 2 5 3 3" xfId="1595" xr:uid="{00000000-0005-0000-0000-0000598C0000}"/>
    <cellStyle name="Note 2 5 3 3 2" xfId="34158" xr:uid="{00000000-0005-0000-0000-00005A8C0000}"/>
    <cellStyle name="Note 2 5 3 3 2 2" xfId="1594" xr:uid="{00000000-0005-0000-0000-00005B8C0000}"/>
    <cellStyle name="Note 2 5 3 3 2 2 2" xfId="1593" xr:uid="{00000000-0005-0000-0000-00005C8C0000}"/>
    <cellStyle name="Note 2 5 3 3 2 3" xfId="1592" xr:uid="{00000000-0005-0000-0000-00005D8C0000}"/>
    <cellStyle name="Note 2 5 3 3 3" xfId="1591" xr:uid="{00000000-0005-0000-0000-00005E8C0000}"/>
    <cellStyle name="Note 2 5 3 3 3 2" xfId="1590" xr:uid="{00000000-0005-0000-0000-00005F8C0000}"/>
    <cellStyle name="Note 2 5 3 3 4" xfId="1589" xr:uid="{00000000-0005-0000-0000-0000608C0000}"/>
    <cellStyle name="Note 2 5 3 4" xfId="1588" xr:uid="{00000000-0005-0000-0000-0000618C0000}"/>
    <cellStyle name="Note 2 5 3 4 2" xfId="1587" xr:uid="{00000000-0005-0000-0000-0000628C0000}"/>
    <cellStyle name="Note 2 5 3 4 2 2" xfId="1586" xr:uid="{00000000-0005-0000-0000-0000638C0000}"/>
    <cellStyle name="Note 2 5 3 4 3" xfId="12137" xr:uid="{00000000-0005-0000-0000-0000648C0000}"/>
    <cellStyle name="Note 2 5 3 5" xfId="1585" xr:uid="{00000000-0005-0000-0000-0000658C0000}"/>
    <cellStyle name="Note 2 5 3 5 2" xfId="1584" xr:uid="{00000000-0005-0000-0000-0000668C0000}"/>
    <cellStyle name="Note 2 5 3 6" xfId="1583" xr:uid="{00000000-0005-0000-0000-0000678C0000}"/>
    <cellStyle name="Note 2 5 4" xfId="12913" xr:uid="{00000000-0005-0000-0000-0000688C0000}"/>
    <cellStyle name="Note 2 5 4 2" xfId="1582" xr:uid="{00000000-0005-0000-0000-0000698C0000}"/>
    <cellStyle name="Note 2 5 4 2 2" xfId="1581" xr:uid="{00000000-0005-0000-0000-00006A8C0000}"/>
    <cellStyle name="Note 2 5 4 2 2 2" xfId="13138" xr:uid="{00000000-0005-0000-0000-00006B8C0000}"/>
    <cellStyle name="Note 2 5 4 2 2 2 2" xfId="5524" xr:uid="{00000000-0005-0000-0000-00006C8C0000}"/>
    <cellStyle name="Note 2 5 4 2 2 3" xfId="13136" xr:uid="{00000000-0005-0000-0000-00006D8C0000}"/>
    <cellStyle name="Note 2 5 4 2 3" xfId="1580" xr:uid="{00000000-0005-0000-0000-00006E8C0000}"/>
    <cellStyle name="Note 2 5 4 2 3 2" xfId="13129" xr:uid="{00000000-0005-0000-0000-00006F8C0000}"/>
    <cellStyle name="Note 2 5 4 2 4" xfId="1579" xr:uid="{00000000-0005-0000-0000-0000708C0000}"/>
    <cellStyle name="Note 2 5 4 3" xfId="1578" xr:uid="{00000000-0005-0000-0000-0000718C0000}"/>
    <cellStyle name="Note 2 5 4 3 2" xfId="1577" xr:uid="{00000000-0005-0000-0000-0000728C0000}"/>
    <cellStyle name="Note 2 5 4 3 2 2" xfId="13112" xr:uid="{00000000-0005-0000-0000-0000738C0000}"/>
    <cellStyle name="Note 2 5 4 3 3" xfId="1576" xr:uid="{00000000-0005-0000-0000-0000748C0000}"/>
    <cellStyle name="Note 2 5 4 4" xfId="32480" xr:uid="{00000000-0005-0000-0000-0000758C0000}"/>
    <cellStyle name="Note 2 5 4 4 2" xfId="1575" xr:uid="{00000000-0005-0000-0000-0000768C0000}"/>
    <cellStyle name="Note 2 5 4 5" xfId="30232" xr:uid="{00000000-0005-0000-0000-0000778C0000}"/>
    <cellStyle name="Note 2 5 5" xfId="1574" xr:uid="{00000000-0005-0000-0000-0000788C0000}"/>
    <cellStyle name="Note 2 5 5 2" xfId="1573" xr:uid="{00000000-0005-0000-0000-0000798C0000}"/>
    <cellStyle name="Note 2 5 5 2 2" xfId="1572" xr:uid="{00000000-0005-0000-0000-00007A8C0000}"/>
    <cellStyle name="Note 2 5 5 2 2 2" xfId="12898" xr:uid="{00000000-0005-0000-0000-00007B8C0000}"/>
    <cellStyle name="Note 2 5 5 2 3" xfId="1571" xr:uid="{00000000-0005-0000-0000-00007C8C0000}"/>
    <cellStyle name="Note 2 5 5 3" xfId="1570" xr:uid="{00000000-0005-0000-0000-00007D8C0000}"/>
    <cellStyle name="Note 2 5 5 3 2" xfId="1569" xr:uid="{00000000-0005-0000-0000-00007E8C0000}"/>
    <cellStyle name="Note 2 5 5 4" xfId="30090" xr:uid="{00000000-0005-0000-0000-00007F8C0000}"/>
    <cellStyle name="Note 2 5 6" xfId="1568" xr:uid="{00000000-0005-0000-0000-0000808C0000}"/>
    <cellStyle name="Note 2 5 6 2" xfId="1567" xr:uid="{00000000-0005-0000-0000-0000818C0000}"/>
    <cellStyle name="Note 2 5 6 2 2" xfId="1566" xr:uid="{00000000-0005-0000-0000-0000828C0000}"/>
    <cellStyle name="Note 2 5 6 3" xfId="1565" xr:uid="{00000000-0005-0000-0000-0000838C0000}"/>
    <cellStyle name="Note 2 5 7" xfId="1564" xr:uid="{00000000-0005-0000-0000-0000848C0000}"/>
    <cellStyle name="Note 2 5 7 2" xfId="1563" xr:uid="{00000000-0005-0000-0000-0000858C0000}"/>
    <cellStyle name="Note 2 5 8" xfId="1562" xr:uid="{00000000-0005-0000-0000-0000868C0000}"/>
    <cellStyle name="Note 2 5 9" xfId="34940" xr:uid="{00000000-0005-0000-0000-0000878C0000}"/>
    <cellStyle name="Note 2 6" xfId="20315" xr:uid="{00000000-0005-0000-0000-0000888C0000}"/>
    <cellStyle name="Note 2 6 2" xfId="32663" xr:uid="{00000000-0005-0000-0000-0000898C0000}"/>
    <cellStyle name="Note 2 6 2 2" xfId="33981" xr:uid="{00000000-0005-0000-0000-00008A8C0000}"/>
    <cellStyle name="Note 2 6 2 2 2" xfId="3624" xr:uid="{00000000-0005-0000-0000-00008B8C0000}"/>
    <cellStyle name="Note 2 6 2 2 2 2" xfId="9928" xr:uid="{00000000-0005-0000-0000-00008C8C0000}"/>
    <cellStyle name="Note 2 6 2 2 2 2 2" xfId="1561" xr:uid="{00000000-0005-0000-0000-00008D8C0000}"/>
    <cellStyle name="Note 2 6 2 2 2 2 2 2" xfId="1560" xr:uid="{00000000-0005-0000-0000-00008E8C0000}"/>
    <cellStyle name="Note 2 6 2 2 2 2 3" xfId="1559" xr:uid="{00000000-0005-0000-0000-00008F8C0000}"/>
    <cellStyle name="Note 2 6 2 2 2 3" xfId="1558" xr:uid="{00000000-0005-0000-0000-0000908C0000}"/>
    <cellStyle name="Note 2 6 2 2 2 3 2" xfId="1557" xr:uid="{00000000-0005-0000-0000-0000918C0000}"/>
    <cellStyle name="Note 2 6 2 2 2 4" xfId="1556" xr:uid="{00000000-0005-0000-0000-0000928C0000}"/>
    <cellStyle name="Note 2 6 2 2 3" xfId="4605" xr:uid="{00000000-0005-0000-0000-0000938C0000}"/>
    <cellStyle name="Note 2 6 2 2 3 2" xfId="4603" xr:uid="{00000000-0005-0000-0000-0000948C0000}"/>
    <cellStyle name="Note 2 6 2 2 3 2 2" xfId="4600" xr:uid="{00000000-0005-0000-0000-0000958C0000}"/>
    <cellStyle name="Note 2 6 2 2 3 3" xfId="4598" xr:uid="{00000000-0005-0000-0000-0000968C0000}"/>
    <cellStyle name="Note 2 6 2 2 4" xfId="33995" xr:uid="{00000000-0005-0000-0000-0000978C0000}"/>
    <cellStyle name="Note 2 6 2 2 4 2" xfId="4596" xr:uid="{00000000-0005-0000-0000-0000988C0000}"/>
    <cellStyle name="Note 2 6 2 2 5" xfId="4594" xr:uid="{00000000-0005-0000-0000-0000998C0000}"/>
    <cellStyle name="Note 2 6 2 3" xfId="3622" xr:uid="{00000000-0005-0000-0000-00009A8C0000}"/>
    <cellStyle name="Note 2 6 2 3 2" xfId="22060" xr:uid="{00000000-0005-0000-0000-00009B8C0000}"/>
    <cellStyle name="Note 2 6 2 3 2 2" xfId="1555" xr:uid="{00000000-0005-0000-0000-00009C8C0000}"/>
    <cellStyle name="Note 2 6 2 3 2 2 2" xfId="1554" xr:uid="{00000000-0005-0000-0000-00009D8C0000}"/>
    <cellStyle name="Note 2 6 2 3 2 3" xfId="1553" xr:uid="{00000000-0005-0000-0000-00009E8C0000}"/>
    <cellStyle name="Note 2 6 2 3 3" xfId="4591" xr:uid="{00000000-0005-0000-0000-00009F8C0000}"/>
    <cellStyle name="Note 2 6 2 3 3 2" xfId="4589" xr:uid="{00000000-0005-0000-0000-0000A08C0000}"/>
    <cellStyle name="Note 2 6 2 3 4" xfId="4587" xr:uid="{00000000-0005-0000-0000-0000A18C0000}"/>
    <cellStyle name="Note 2 6 2 4" xfId="3620" xr:uid="{00000000-0005-0000-0000-0000A28C0000}"/>
    <cellStyle name="Note 2 6 2 4 2" xfId="3618" xr:uid="{00000000-0005-0000-0000-0000A38C0000}"/>
    <cellStyle name="Note 2 6 2 4 2 2" xfId="1552" xr:uid="{00000000-0005-0000-0000-0000A48C0000}"/>
    <cellStyle name="Note 2 6 2 4 3" xfId="5884" xr:uid="{00000000-0005-0000-0000-0000A58C0000}"/>
    <cellStyle name="Note 2 6 2 5" xfId="3616" xr:uid="{00000000-0005-0000-0000-0000A68C0000}"/>
    <cellStyle name="Note 2 6 2 5 2" xfId="3614" xr:uid="{00000000-0005-0000-0000-0000A78C0000}"/>
    <cellStyle name="Note 2 6 2 6" xfId="3612" xr:uid="{00000000-0005-0000-0000-0000A88C0000}"/>
    <cellStyle name="Note 2 6 3" xfId="5790" xr:uid="{00000000-0005-0000-0000-0000A98C0000}"/>
    <cellStyle name="Note 2 6 3 2" xfId="3602" xr:uid="{00000000-0005-0000-0000-0000AA8C0000}"/>
    <cellStyle name="Note 2 6 3 2 2" xfId="3600" xr:uid="{00000000-0005-0000-0000-0000AB8C0000}"/>
    <cellStyle name="Note 2 6 3 2 2 2" xfId="1551" xr:uid="{00000000-0005-0000-0000-0000AC8C0000}"/>
    <cellStyle name="Note 2 6 3 2 2 2 2" xfId="1550" xr:uid="{00000000-0005-0000-0000-0000AD8C0000}"/>
    <cellStyle name="Note 2 6 3 2 2 3" xfId="33028" xr:uid="{00000000-0005-0000-0000-0000AE8C0000}"/>
    <cellStyle name="Note 2 6 3 2 3" xfId="4577" xr:uid="{00000000-0005-0000-0000-0000AF8C0000}"/>
    <cellStyle name="Note 2 6 3 2 3 2" xfId="4575" xr:uid="{00000000-0005-0000-0000-0000B08C0000}"/>
    <cellStyle name="Note 2 6 3 2 4" xfId="4573" xr:uid="{00000000-0005-0000-0000-0000B18C0000}"/>
    <cellStyle name="Note 2 6 3 3" xfId="3598" xr:uid="{00000000-0005-0000-0000-0000B28C0000}"/>
    <cellStyle name="Note 2 6 3 3 2" xfId="3596" xr:uid="{00000000-0005-0000-0000-0000B38C0000}"/>
    <cellStyle name="Note 2 6 3 3 2 2" xfId="1549" xr:uid="{00000000-0005-0000-0000-0000B48C0000}"/>
    <cellStyle name="Note 2 6 3 3 3" xfId="4570" xr:uid="{00000000-0005-0000-0000-0000B58C0000}"/>
    <cellStyle name="Note 2 6 3 4" xfId="3594" xr:uid="{00000000-0005-0000-0000-0000B68C0000}"/>
    <cellStyle name="Note 2 6 3 4 2" xfId="3592" xr:uid="{00000000-0005-0000-0000-0000B78C0000}"/>
    <cellStyle name="Note 2 6 3 5" xfId="3590" xr:uid="{00000000-0005-0000-0000-0000B88C0000}"/>
    <cellStyle name="Note 2 6 4" xfId="1548" xr:uid="{00000000-0005-0000-0000-0000B98C0000}"/>
    <cellStyle name="Note 2 6 4 2" xfId="3577" xr:uid="{00000000-0005-0000-0000-0000BA8C0000}"/>
    <cellStyle name="Note 2 6 4 2 2" xfId="3575" xr:uid="{00000000-0005-0000-0000-0000BB8C0000}"/>
    <cellStyle name="Note 2 6 4 2 2 2" xfId="12691" xr:uid="{00000000-0005-0000-0000-0000BC8C0000}"/>
    <cellStyle name="Note 2 6 4 2 3" xfId="4564" xr:uid="{00000000-0005-0000-0000-0000BD8C0000}"/>
    <cellStyle name="Note 2 6 4 3" xfId="3573" xr:uid="{00000000-0005-0000-0000-0000BE8C0000}"/>
    <cellStyle name="Note 2 6 4 3 2" xfId="3571" xr:uid="{00000000-0005-0000-0000-0000BF8C0000}"/>
    <cellStyle name="Note 2 6 4 4" xfId="30060" xr:uid="{00000000-0005-0000-0000-0000C08C0000}"/>
    <cellStyle name="Note 2 6 5" xfId="1547" xr:uid="{00000000-0005-0000-0000-0000C18C0000}"/>
    <cellStyle name="Note 2 6 5 2" xfId="21997" xr:uid="{00000000-0005-0000-0000-0000C28C0000}"/>
    <cellStyle name="Note 2 6 5 2 2" xfId="1546" xr:uid="{00000000-0005-0000-0000-0000C38C0000}"/>
    <cellStyle name="Note 2 6 5 3" xfId="1545" xr:uid="{00000000-0005-0000-0000-0000C48C0000}"/>
    <cellStyle name="Note 2 6 6" xfId="1544" xr:uid="{00000000-0005-0000-0000-0000C58C0000}"/>
    <cellStyle name="Note 2 6 6 2" xfId="1543" xr:uid="{00000000-0005-0000-0000-0000C68C0000}"/>
    <cellStyle name="Note 2 6 7" xfId="1542" xr:uid="{00000000-0005-0000-0000-0000C78C0000}"/>
    <cellStyle name="Note 2 6 8" xfId="35145" xr:uid="{00000000-0005-0000-0000-0000C88C0000}"/>
    <cellStyle name="Note 2 7" xfId="16767" xr:uid="{00000000-0005-0000-0000-0000C98C0000}"/>
    <cellStyle name="Note 2 7 2" xfId="33934" xr:uid="{00000000-0005-0000-0000-0000CA8C0000}"/>
    <cellStyle name="Note 2 7 2 2" xfId="1541" xr:uid="{00000000-0005-0000-0000-0000CB8C0000}"/>
    <cellStyle name="Note 2 7 2 2 2" xfId="34031" xr:uid="{00000000-0005-0000-0000-0000CC8C0000}"/>
    <cellStyle name="Note 2 7 2 2 2 2" xfId="33527" xr:uid="{00000000-0005-0000-0000-0000CD8C0000}"/>
    <cellStyle name="Note 2 7 2 2 2 2 2" xfId="1540" xr:uid="{00000000-0005-0000-0000-0000CE8C0000}"/>
    <cellStyle name="Note 2 7 2 2 2 3" xfId="27075" xr:uid="{00000000-0005-0000-0000-0000CF8C0000}"/>
    <cellStyle name="Note 2 7 2 2 3" xfId="4549" xr:uid="{00000000-0005-0000-0000-0000D08C0000}"/>
    <cellStyle name="Note 2 7 2 2 3 2" xfId="22057" xr:uid="{00000000-0005-0000-0000-0000D18C0000}"/>
    <cellStyle name="Note 2 7 2 2 4" xfId="4547" xr:uid="{00000000-0005-0000-0000-0000D28C0000}"/>
    <cellStyle name="Note 2 7 2 3" xfId="1539" xr:uid="{00000000-0005-0000-0000-0000D38C0000}"/>
    <cellStyle name="Note 2 7 2 3 2" xfId="1538" xr:uid="{00000000-0005-0000-0000-0000D48C0000}"/>
    <cellStyle name="Note 2 7 2 3 2 2" xfId="32339" xr:uid="{00000000-0005-0000-0000-0000D58C0000}"/>
    <cellStyle name="Note 2 7 2 3 3" xfId="4544" xr:uid="{00000000-0005-0000-0000-0000D68C0000}"/>
    <cellStyle name="Note 2 7 2 4" xfId="15449" xr:uid="{00000000-0005-0000-0000-0000D78C0000}"/>
    <cellStyle name="Note 2 7 2 4 2" xfId="30348" xr:uid="{00000000-0005-0000-0000-0000D88C0000}"/>
    <cellStyle name="Note 2 7 2 5" xfId="15440" xr:uid="{00000000-0005-0000-0000-0000D98C0000}"/>
    <cellStyle name="Note 2 7 3" xfId="1537" xr:uid="{00000000-0005-0000-0000-0000DA8C0000}"/>
    <cellStyle name="Note 2 7 3 2" xfId="1536" xr:uid="{00000000-0005-0000-0000-0000DB8C0000}"/>
    <cellStyle name="Note 2 7 3 2 2" xfId="1535" xr:uid="{00000000-0005-0000-0000-0000DC8C0000}"/>
    <cellStyle name="Note 2 7 3 2 2 2" xfId="1534" xr:uid="{00000000-0005-0000-0000-0000DD8C0000}"/>
    <cellStyle name="Note 2 7 3 2 3" xfId="4538" xr:uid="{00000000-0005-0000-0000-0000DE8C0000}"/>
    <cellStyle name="Note 2 7 3 3" xfId="4528" xr:uid="{00000000-0005-0000-0000-0000DF8C0000}"/>
    <cellStyle name="Note 2 7 3 3 2" xfId="4526" xr:uid="{00000000-0005-0000-0000-0000E08C0000}"/>
    <cellStyle name="Note 2 7 3 4" xfId="15429" xr:uid="{00000000-0005-0000-0000-0000E18C0000}"/>
    <cellStyle name="Note 2 7 4" xfId="1533" xr:uid="{00000000-0005-0000-0000-0000E28C0000}"/>
    <cellStyle name="Note 2 7 4 2" xfId="1531" xr:uid="{00000000-0005-0000-0000-0000E38C0000}"/>
    <cellStyle name="Note 2 7 4 2 2" xfId="1529" xr:uid="{00000000-0005-0000-0000-0000E48C0000}"/>
    <cellStyle name="Note 2 7 4 3" xfId="4522" xr:uid="{00000000-0005-0000-0000-0000E58C0000}"/>
    <cellStyle name="Note 2 7 5" xfId="1527" xr:uid="{00000000-0005-0000-0000-0000E68C0000}"/>
    <cellStyle name="Note 2 7 5 2" xfId="1525" xr:uid="{00000000-0005-0000-0000-0000E78C0000}"/>
    <cellStyle name="Note 2 7 6" xfId="1523" xr:uid="{00000000-0005-0000-0000-0000E88C0000}"/>
    <cellStyle name="Note 2 7 7" xfId="35374" xr:uid="{00000000-0005-0000-0000-0000E98C0000}"/>
    <cellStyle name="Note 2 8" xfId="28071" xr:uid="{00000000-0005-0000-0000-0000EA8C0000}"/>
    <cellStyle name="Note 2 8 2" xfId="1521" xr:uid="{00000000-0005-0000-0000-0000EB8C0000}"/>
    <cellStyle name="Note 2 8 2 2" xfId="1520" xr:uid="{00000000-0005-0000-0000-0000EC8C0000}"/>
    <cellStyle name="Note 2 8 2 2 2" xfId="1519" xr:uid="{00000000-0005-0000-0000-0000ED8C0000}"/>
    <cellStyle name="Note 2 8 2 2 2 2" xfId="1518" xr:uid="{00000000-0005-0000-0000-0000EE8C0000}"/>
    <cellStyle name="Note 2 8 2 2 3" xfId="19422" xr:uid="{00000000-0005-0000-0000-0000EF8C0000}"/>
    <cellStyle name="Note 2 8 2 3" xfId="3806" xr:uid="{00000000-0005-0000-0000-0000F08C0000}"/>
    <cellStyle name="Note 2 8 2 3 2" xfId="3804" xr:uid="{00000000-0005-0000-0000-0000F18C0000}"/>
    <cellStyle name="Note 2 8 2 4" xfId="15344" xr:uid="{00000000-0005-0000-0000-0000F28C0000}"/>
    <cellStyle name="Note 2 8 3" xfId="1517" xr:uid="{00000000-0005-0000-0000-0000F38C0000}"/>
    <cellStyle name="Note 2 8 3 2" xfId="1516" xr:uid="{00000000-0005-0000-0000-0000F48C0000}"/>
    <cellStyle name="Note 2 8 3 2 2" xfId="1515" xr:uid="{00000000-0005-0000-0000-0000F58C0000}"/>
    <cellStyle name="Note 2 8 3 3" xfId="4513" xr:uid="{00000000-0005-0000-0000-0000F68C0000}"/>
    <cellStyle name="Note 2 8 4" xfId="1514" xr:uid="{00000000-0005-0000-0000-0000F78C0000}"/>
    <cellStyle name="Note 2 8 4 2" xfId="1512" xr:uid="{00000000-0005-0000-0000-0000F88C0000}"/>
    <cellStyle name="Note 2 8 5" xfId="1510" xr:uid="{00000000-0005-0000-0000-0000F98C0000}"/>
    <cellStyle name="Note 2 8 6" xfId="36246" xr:uid="{00000000-0005-0000-0000-0000FA8C0000}"/>
    <cellStyle name="Note 2 9" xfId="23909" xr:uid="{00000000-0005-0000-0000-0000FB8C0000}"/>
    <cellStyle name="Note 2 9 2" xfId="1508" xr:uid="{00000000-0005-0000-0000-0000FC8C0000}"/>
    <cellStyle name="Note 2 9 2 2" xfId="1507" xr:uid="{00000000-0005-0000-0000-0000FD8C0000}"/>
    <cellStyle name="Note 2 9 2 2 2" xfId="10026" xr:uid="{00000000-0005-0000-0000-0000FE8C0000}"/>
    <cellStyle name="Note 2 9 2 3" xfId="3800" xr:uid="{00000000-0005-0000-0000-0000FF8C0000}"/>
    <cellStyle name="Note 2 9 3" xfId="34368" xr:uid="{00000000-0005-0000-0000-0000008D0000}"/>
    <cellStyle name="Note 2 9 3 2" xfId="1506" xr:uid="{00000000-0005-0000-0000-0000018D0000}"/>
    <cellStyle name="Note 2 9 4" xfId="34223" xr:uid="{00000000-0005-0000-0000-0000028D0000}"/>
    <cellStyle name="Note 2 9 5" xfId="36532" xr:uid="{00000000-0005-0000-0000-0000038D0000}"/>
    <cellStyle name="Note 20" xfId="35678" xr:uid="{00000000-0005-0000-0000-0000048D0000}"/>
    <cellStyle name="Note 20 2" xfId="36847" xr:uid="{00000000-0005-0000-0000-0000058D0000}"/>
    <cellStyle name="Note 20 3" xfId="37737" xr:uid="{00000000-0005-0000-0000-0000068D0000}"/>
    <cellStyle name="Note 21" xfId="35697" xr:uid="{00000000-0005-0000-0000-0000078D0000}"/>
    <cellStyle name="Note 21 2" xfId="36866" xr:uid="{00000000-0005-0000-0000-0000088D0000}"/>
    <cellStyle name="Note 21 3" xfId="37757" xr:uid="{00000000-0005-0000-0000-0000098D0000}"/>
    <cellStyle name="Note 22" xfId="35716" xr:uid="{00000000-0005-0000-0000-00000A8D0000}"/>
    <cellStyle name="Note 22 2" xfId="36886" xr:uid="{00000000-0005-0000-0000-00000B8D0000}"/>
    <cellStyle name="Note 22 3" xfId="37777" xr:uid="{00000000-0005-0000-0000-00000C8D0000}"/>
    <cellStyle name="Note 23" xfId="35735" xr:uid="{00000000-0005-0000-0000-00000D8D0000}"/>
    <cellStyle name="Note 23 2" xfId="36906" xr:uid="{00000000-0005-0000-0000-00000E8D0000}"/>
    <cellStyle name="Note 23 3" xfId="37797" xr:uid="{00000000-0005-0000-0000-00000F8D0000}"/>
    <cellStyle name="Note 24" xfId="35755" xr:uid="{00000000-0005-0000-0000-0000108D0000}"/>
    <cellStyle name="Note 24 2" xfId="36925" xr:uid="{00000000-0005-0000-0000-0000118D0000}"/>
    <cellStyle name="Note 24 3" xfId="37817" xr:uid="{00000000-0005-0000-0000-0000128D0000}"/>
    <cellStyle name="Note 25" xfId="35775" xr:uid="{00000000-0005-0000-0000-0000138D0000}"/>
    <cellStyle name="Note 25 2" xfId="36944" xr:uid="{00000000-0005-0000-0000-0000148D0000}"/>
    <cellStyle name="Note 25 3" xfId="37837" xr:uid="{00000000-0005-0000-0000-0000158D0000}"/>
    <cellStyle name="Note 26" xfId="35794" xr:uid="{00000000-0005-0000-0000-0000168D0000}"/>
    <cellStyle name="Note 26 2" xfId="36964" xr:uid="{00000000-0005-0000-0000-0000178D0000}"/>
    <cellStyle name="Note 26 3" xfId="37857" xr:uid="{00000000-0005-0000-0000-0000188D0000}"/>
    <cellStyle name="Note 27" xfId="35813" xr:uid="{00000000-0005-0000-0000-0000198D0000}"/>
    <cellStyle name="Note 27 2" xfId="36984" xr:uid="{00000000-0005-0000-0000-00001A8D0000}"/>
    <cellStyle name="Note 27 3" xfId="37877" xr:uid="{00000000-0005-0000-0000-00001B8D0000}"/>
    <cellStyle name="Note 28" xfId="35832" xr:uid="{00000000-0005-0000-0000-00001C8D0000}"/>
    <cellStyle name="Note 28 2" xfId="37004" xr:uid="{00000000-0005-0000-0000-00001D8D0000}"/>
    <cellStyle name="Note 28 3" xfId="37897" xr:uid="{00000000-0005-0000-0000-00001E8D0000}"/>
    <cellStyle name="Note 29" xfId="35851" xr:uid="{00000000-0005-0000-0000-00001F8D0000}"/>
    <cellStyle name="Note 29 2" xfId="37024" xr:uid="{00000000-0005-0000-0000-0000208D0000}"/>
    <cellStyle name="Note 29 3" xfId="37917" xr:uid="{00000000-0005-0000-0000-0000218D0000}"/>
    <cellStyle name="Note 3" xfId="76" xr:uid="{00000000-0005-0000-0000-0000228D0000}"/>
    <cellStyle name="Note 3 10" xfId="1504" xr:uid="{00000000-0005-0000-0000-0000238D0000}"/>
    <cellStyle name="Note 3 10 2" xfId="9487" xr:uid="{00000000-0005-0000-0000-0000248D0000}"/>
    <cellStyle name="Note 3 10 3" xfId="37418" xr:uid="{00000000-0005-0000-0000-0000258D0000}"/>
    <cellStyle name="Note 3 11" xfId="33789" xr:uid="{00000000-0005-0000-0000-0000268D0000}"/>
    <cellStyle name="Note 3 12" xfId="34437" xr:uid="{00000000-0005-0000-0000-0000278D0000}"/>
    <cellStyle name="Note 3 13" xfId="1505" xr:uid="{00000000-0005-0000-0000-0000288D0000}"/>
    <cellStyle name="Note 3 2" xfId="138" xr:uid="{00000000-0005-0000-0000-0000298D0000}"/>
    <cellStyle name="Note 3 2 10" xfId="1502" xr:uid="{00000000-0005-0000-0000-00002A8D0000}"/>
    <cellStyle name="Note 3 2 11" xfId="34492" xr:uid="{00000000-0005-0000-0000-00002B8D0000}"/>
    <cellStyle name="Note 3 2 12" xfId="1503" xr:uid="{00000000-0005-0000-0000-00002C8D0000}"/>
    <cellStyle name="Note 3 2 2" xfId="22323" xr:uid="{00000000-0005-0000-0000-00002D8D0000}"/>
    <cellStyle name="Note 3 2 2 2" xfId="20219" xr:uid="{00000000-0005-0000-0000-00002E8D0000}"/>
    <cellStyle name="Note 3 2 2 2 2" xfId="21336" xr:uid="{00000000-0005-0000-0000-00002F8D0000}"/>
    <cellStyle name="Note 3 2 2 2 2 2" xfId="18224" xr:uid="{00000000-0005-0000-0000-0000308D0000}"/>
    <cellStyle name="Note 3 2 2 2 2 2 2" xfId="28891" xr:uid="{00000000-0005-0000-0000-0000318D0000}"/>
    <cellStyle name="Note 3 2 2 2 2 2 2 2" xfId="29429" xr:uid="{00000000-0005-0000-0000-0000328D0000}"/>
    <cellStyle name="Note 3 2 2 2 2 2 2 2 2" xfId="21771" xr:uid="{00000000-0005-0000-0000-0000338D0000}"/>
    <cellStyle name="Note 3 2 2 2 2 2 2 2 2 2" xfId="1501" xr:uid="{00000000-0005-0000-0000-0000348D0000}"/>
    <cellStyle name="Note 3 2 2 2 2 2 2 2 2 2 2" xfId="33275" xr:uid="{00000000-0005-0000-0000-0000358D0000}"/>
    <cellStyle name="Note 3 2 2 2 2 2 2 2 2 3" xfId="1500" xr:uid="{00000000-0005-0000-0000-0000368D0000}"/>
    <cellStyle name="Note 3 2 2 2 2 2 2 2 3" xfId="19145" xr:uid="{00000000-0005-0000-0000-0000378D0000}"/>
    <cellStyle name="Note 3 2 2 2 2 2 2 2 3 2" xfId="11128" xr:uid="{00000000-0005-0000-0000-0000388D0000}"/>
    <cellStyle name="Note 3 2 2 2 2 2 2 2 4" xfId="1499" xr:uid="{00000000-0005-0000-0000-0000398D0000}"/>
    <cellStyle name="Note 3 2 2 2 2 2 2 3" xfId="28452" xr:uid="{00000000-0005-0000-0000-00003A8D0000}"/>
    <cellStyle name="Note 3 2 2 2 2 2 2 3 2" xfId="20959" xr:uid="{00000000-0005-0000-0000-00003B8D0000}"/>
    <cellStyle name="Note 3 2 2 2 2 2 2 3 2 2" xfId="1498" xr:uid="{00000000-0005-0000-0000-00003C8D0000}"/>
    <cellStyle name="Note 3 2 2 2 2 2 2 3 3" xfId="1497" xr:uid="{00000000-0005-0000-0000-00003D8D0000}"/>
    <cellStyle name="Note 3 2 2 2 2 2 2 4" xfId="29567" xr:uid="{00000000-0005-0000-0000-00003E8D0000}"/>
    <cellStyle name="Note 3 2 2 2 2 2 2 4 2" xfId="1496" xr:uid="{00000000-0005-0000-0000-00003F8D0000}"/>
    <cellStyle name="Note 3 2 2 2 2 2 2 5" xfId="1495" xr:uid="{00000000-0005-0000-0000-0000408D0000}"/>
    <cellStyle name="Note 3 2 2 2 2 2 3" xfId="28884" xr:uid="{00000000-0005-0000-0000-0000418D0000}"/>
    <cellStyle name="Note 3 2 2 2 2 2 3 2" xfId="33352" xr:uid="{00000000-0005-0000-0000-0000428D0000}"/>
    <cellStyle name="Note 3 2 2 2 2 2 3 2 2" xfId="20946" xr:uid="{00000000-0005-0000-0000-0000438D0000}"/>
    <cellStyle name="Note 3 2 2 2 2 2 3 2 2 2" xfId="1494" xr:uid="{00000000-0005-0000-0000-0000448D0000}"/>
    <cellStyle name="Note 3 2 2 2 2 2 3 2 3" xfId="16168" xr:uid="{00000000-0005-0000-0000-0000458D0000}"/>
    <cellStyle name="Note 3 2 2 2 2 2 3 3" xfId="11058" xr:uid="{00000000-0005-0000-0000-0000468D0000}"/>
    <cellStyle name="Note 3 2 2 2 2 2 3 3 2" xfId="4171" xr:uid="{00000000-0005-0000-0000-0000478D0000}"/>
    <cellStyle name="Note 3 2 2 2 2 2 3 4" xfId="11050" xr:uid="{00000000-0005-0000-0000-0000488D0000}"/>
    <cellStyle name="Note 3 2 2 2 2 2 4" xfId="19288" xr:uid="{00000000-0005-0000-0000-0000498D0000}"/>
    <cellStyle name="Note 3 2 2 2 2 2 4 2" xfId="4157" xr:uid="{00000000-0005-0000-0000-00004A8D0000}"/>
    <cellStyle name="Note 3 2 2 2 2 2 4 2 2" xfId="4155" xr:uid="{00000000-0005-0000-0000-00004B8D0000}"/>
    <cellStyle name="Note 3 2 2 2 2 2 4 3" xfId="16954" xr:uid="{00000000-0005-0000-0000-00004C8D0000}"/>
    <cellStyle name="Note 3 2 2 2 2 2 5" xfId="1493" xr:uid="{00000000-0005-0000-0000-00004D8D0000}"/>
    <cellStyle name="Note 3 2 2 2 2 2 5 2" xfId="4140" xr:uid="{00000000-0005-0000-0000-00004E8D0000}"/>
    <cellStyle name="Note 3 2 2 2 2 2 6" xfId="15883" xr:uid="{00000000-0005-0000-0000-00004F8D0000}"/>
    <cellStyle name="Note 3 2 2 2 2 3" xfId="18222" xr:uid="{00000000-0005-0000-0000-0000508D0000}"/>
    <cellStyle name="Note 3 2 2 2 2 3 2" xfId="28859" xr:uid="{00000000-0005-0000-0000-0000518D0000}"/>
    <cellStyle name="Note 3 2 2 2 2 3 2 2" xfId="28105" xr:uid="{00000000-0005-0000-0000-0000528D0000}"/>
    <cellStyle name="Note 3 2 2 2 2 3 2 2 2" xfId="20881" xr:uid="{00000000-0005-0000-0000-0000538D0000}"/>
    <cellStyle name="Note 3 2 2 2 2 3 2 2 2 2" xfId="1492" xr:uid="{00000000-0005-0000-0000-0000548D0000}"/>
    <cellStyle name="Note 3 2 2 2 2 3 2 2 3" xfId="20726" xr:uid="{00000000-0005-0000-0000-0000558D0000}"/>
    <cellStyle name="Note 3 2 2 2 2 3 2 3" xfId="3262" xr:uid="{00000000-0005-0000-0000-0000568D0000}"/>
    <cellStyle name="Note 3 2 2 2 2 3 2 3 2" xfId="28709" xr:uid="{00000000-0005-0000-0000-0000578D0000}"/>
    <cellStyle name="Note 3 2 2 2 2 3 2 4" xfId="3260" xr:uid="{00000000-0005-0000-0000-0000588D0000}"/>
    <cellStyle name="Note 3 2 2 2 2 3 3" xfId="24132" xr:uid="{00000000-0005-0000-0000-0000598D0000}"/>
    <cellStyle name="Note 3 2 2 2 2 3 3 2" xfId="3233" xr:uid="{00000000-0005-0000-0000-00005A8D0000}"/>
    <cellStyle name="Note 3 2 2 2 2 3 3 2 2" xfId="25607" xr:uid="{00000000-0005-0000-0000-00005B8D0000}"/>
    <cellStyle name="Note 3 2 2 2 2 3 3 3" xfId="11036" xr:uid="{00000000-0005-0000-0000-00005C8D0000}"/>
    <cellStyle name="Note 3 2 2 2 2 3 4" xfId="1491" xr:uid="{00000000-0005-0000-0000-00005D8D0000}"/>
    <cellStyle name="Note 3 2 2 2 2 3 4 2" xfId="3208" xr:uid="{00000000-0005-0000-0000-00005E8D0000}"/>
    <cellStyle name="Note 3 2 2 2 2 3 5" xfId="1490" xr:uid="{00000000-0005-0000-0000-00005F8D0000}"/>
    <cellStyle name="Note 3 2 2 2 2 4" xfId="18219" xr:uid="{00000000-0005-0000-0000-0000608D0000}"/>
    <cellStyle name="Note 3 2 2 2 2 4 2" xfId="5559" xr:uid="{00000000-0005-0000-0000-0000618D0000}"/>
    <cellStyle name="Note 3 2 2 2 2 4 2 2" xfId="1489" xr:uid="{00000000-0005-0000-0000-0000628D0000}"/>
    <cellStyle name="Note 3 2 2 2 2 4 2 2 2" xfId="1487" xr:uid="{00000000-0005-0000-0000-0000638D0000}"/>
    <cellStyle name="Note 3 2 2 2 2 4 2 3" xfId="1485" xr:uid="{00000000-0005-0000-0000-0000648D0000}"/>
    <cellStyle name="Note 3 2 2 2 2 4 3" xfId="1483" xr:uid="{00000000-0005-0000-0000-0000658D0000}"/>
    <cellStyle name="Note 3 2 2 2 2 4 3 2" xfId="1482" xr:uid="{00000000-0005-0000-0000-0000668D0000}"/>
    <cellStyle name="Note 3 2 2 2 2 4 4" xfId="1480" xr:uid="{00000000-0005-0000-0000-0000678D0000}"/>
    <cellStyle name="Note 3 2 2 2 2 5" xfId="1479" xr:uid="{00000000-0005-0000-0000-0000688D0000}"/>
    <cellStyle name="Note 3 2 2 2 2 5 2" xfId="1478" xr:uid="{00000000-0005-0000-0000-0000698D0000}"/>
    <cellStyle name="Note 3 2 2 2 2 5 2 2" xfId="2874" xr:uid="{00000000-0005-0000-0000-00006A8D0000}"/>
    <cellStyle name="Note 3 2 2 2 2 5 3" xfId="1477" xr:uid="{00000000-0005-0000-0000-00006B8D0000}"/>
    <cellStyle name="Note 3 2 2 2 2 6" xfId="1476" xr:uid="{00000000-0005-0000-0000-00006C8D0000}"/>
    <cellStyle name="Note 3 2 2 2 2 6 2" xfId="1475" xr:uid="{00000000-0005-0000-0000-00006D8D0000}"/>
    <cellStyle name="Note 3 2 2 2 2 7" xfId="16313" xr:uid="{00000000-0005-0000-0000-00006E8D0000}"/>
    <cellStyle name="Note 3 2 2 2 3" xfId="1474" xr:uid="{00000000-0005-0000-0000-00006F8D0000}"/>
    <cellStyle name="Note 3 2 2 2 3 2" xfId="18182" xr:uid="{00000000-0005-0000-0000-0000708D0000}"/>
    <cellStyle name="Note 3 2 2 2 3 2 2" xfId="32121" xr:uid="{00000000-0005-0000-0000-0000718D0000}"/>
    <cellStyle name="Note 3 2 2 2 3 2 2 2" xfId="29872" xr:uid="{00000000-0005-0000-0000-0000728D0000}"/>
    <cellStyle name="Note 3 2 2 2 3 2 2 2 2" xfId="18476" xr:uid="{00000000-0005-0000-0000-0000738D0000}"/>
    <cellStyle name="Note 3 2 2 2 3 2 2 2 2 2" xfId="1473" xr:uid="{00000000-0005-0000-0000-0000748D0000}"/>
    <cellStyle name="Note 3 2 2 2 3 2 2 2 3" xfId="1472" xr:uid="{00000000-0005-0000-0000-0000758D0000}"/>
    <cellStyle name="Note 3 2 2 2 3 2 2 3" xfId="29857" xr:uid="{00000000-0005-0000-0000-0000768D0000}"/>
    <cellStyle name="Note 3 2 2 2 3 2 2 3 2" xfId="1471" xr:uid="{00000000-0005-0000-0000-0000778D0000}"/>
    <cellStyle name="Note 3 2 2 2 3 2 2 4" xfId="6956" xr:uid="{00000000-0005-0000-0000-0000788D0000}"/>
    <cellStyle name="Note 3 2 2 2 3 2 3" xfId="21318" xr:uid="{00000000-0005-0000-0000-0000798D0000}"/>
    <cellStyle name="Note 3 2 2 2 3 2 3 2" xfId="24826" xr:uid="{00000000-0005-0000-0000-00007A8D0000}"/>
    <cellStyle name="Note 3 2 2 2 3 2 3 2 2" xfId="1470" xr:uid="{00000000-0005-0000-0000-00007B8D0000}"/>
    <cellStyle name="Note 3 2 2 2 3 2 3 3" xfId="10976" xr:uid="{00000000-0005-0000-0000-00007C8D0000}"/>
    <cellStyle name="Note 3 2 2 2 3 2 4" xfId="1469" xr:uid="{00000000-0005-0000-0000-00007D8D0000}"/>
    <cellStyle name="Note 3 2 2 2 3 2 4 2" xfId="1468" xr:uid="{00000000-0005-0000-0000-00007E8D0000}"/>
    <cellStyle name="Note 3 2 2 2 3 2 5" xfId="1467" xr:uid="{00000000-0005-0000-0000-00007F8D0000}"/>
    <cellStyle name="Note 3 2 2 2 3 3" xfId="18180" xr:uid="{00000000-0005-0000-0000-0000808D0000}"/>
    <cellStyle name="Note 3 2 2 2 3 3 2" xfId="1466" xr:uid="{00000000-0005-0000-0000-0000818D0000}"/>
    <cellStyle name="Note 3 2 2 2 3 3 2 2" xfId="28671" xr:uid="{00000000-0005-0000-0000-0000828D0000}"/>
    <cellStyle name="Note 3 2 2 2 3 3 2 2 2" xfId="1465" xr:uid="{00000000-0005-0000-0000-0000838D0000}"/>
    <cellStyle name="Note 3 2 2 2 3 3 2 3" xfId="1464" xr:uid="{00000000-0005-0000-0000-0000848D0000}"/>
    <cellStyle name="Note 3 2 2 2 3 3 3" xfId="1463" xr:uid="{00000000-0005-0000-0000-0000858D0000}"/>
    <cellStyle name="Note 3 2 2 2 3 3 3 2" xfId="1462" xr:uid="{00000000-0005-0000-0000-0000868D0000}"/>
    <cellStyle name="Note 3 2 2 2 3 3 4" xfId="1461" xr:uid="{00000000-0005-0000-0000-0000878D0000}"/>
    <cellStyle name="Note 3 2 2 2 3 4" xfId="1460" xr:uid="{00000000-0005-0000-0000-0000888D0000}"/>
    <cellStyle name="Note 3 2 2 2 3 4 2" xfId="1459" xr:uid="{00000000-0005-0000-0000-0000898D0000}"/>
    <cellStyle name="Note 3 2 2 2 3 4 2 2" xfId="1458" xr:uid="{00000000-0005-0000-0000-00008A8D0000}"/>
    <cellStyle name="Note 3 2 2 2 3 4 3" xfId="1457" xr:uid="{00000000-0005-0000-0000-00008B8D0000}"/>
    <cellStyle name="Note 3 2 2 2 3 5" xfId="1456" xr:uid="{00000000-0005-0000-0000-00008C8D0000}"/>
    <cellStyle name="Note 3 2 2 2 3 5 2" xfId="1455" xr:uid="{00000000-0005-0000-0000-00008D8D0000}"/>
    <cellStyle name="Note 3 2 2 2 3 6" xfId="1454" xr:uid="{00000000-0005-0000-0000-00008E8D0000}"/>
    <cellStyle name="Note 3 2 2 2 4" xfId="1453" xr:uid="{00000000-0005-0000-0000-00008F8D0000}"/>
    <cellStyle name="Note 3 2 2 2 4 2" xfId="18160" xr:uid="{00000000-0005-0000-0000-0000908D0000}"/>
    <cellStyle name="Note 3 2 2 2 4 2 2" xfId="1452" xr:uid="{00000000-0005-0000-0000-0000918D0000}"/>
    <cellStyle name="Note 3 2 2 2 4 2 2 2" xfId="29715" xr:uid="{00000000-0005-0000-0000-0000928D0000}"/>
    <cellStyle name="Note 3 2 2 2 4 2 2 2 2" xfId="22937" xr:uid="{00000000-0005-0000-0000-0000938D0000}"/>
    <cellStyle name="Note 3 2 2 2 4 2 2 3" xfId="29710" xr:uid="{00000000-0005-0000-0000-0000948D0000}"/>
    <cellStyle name="Note 3 2 2 2 4 2 3" xfId="1451" xr:uid="{00000000-0005-0000-0000-0000958D0000}"/>
    <cellStyle name="Note 3 2 2 2 4 2 3 2" xfId="29693" xr:uid="{00000000-0005-0000-0000-0000968D0000}"/>
    <cellStyle name="Note 3 2 2 2 4 2 4" xfId="1450" xr:uid="{00000000-0005-0000-0000-0000978D0000}"/>
    <cellStyle name="Note 3 2 2 2 4 3" xfId="23151" xr:uid="{00000000-0005-0000-0000-0000988D0000}"/>
    <cellStyle name="Note 3 2 2 2 4 3 2" xfId="6392" xr:uid="{00000000-0005-0000-0000-0000998D0000}"/>
    <cellStyle name="Note 3 2 2 2 4 3 2 2" xfId="29670" xr:uid="{00000000-0005-0000-0000-00009A8D0000}"/>
    <cellStyle name="Note 3 2 2 2 4 3 3" xfId="1449" xr:uid="{00000000-0005-0000-0000-00009B8D0000}"/>
    <cellStyle name="Note 3 2 2 2 4 4" xfId="6390" xr:uid="{00000000-0005-0000-0000-00009C8D0000}"/>
    <cellStyle name="Note 3 2 2 2 4 4 2" xfId="4289" xr:uid="{00000000-0005-0000-0000-00009D8D0000}"/>
    <cellStyle name="Note 3 2 2 2 4 5" xfId="1448" xr:uid="{00000000-0005-0000-0000-00009E8D0000}"/>
    <cellStyle name="Note 3 2 2 2 5" xfId="1447" xr:uid="{00000000-0005-0000-0000-00009F8D0000}"/>
    <cellStyle name="Note 3 2 2 2 5 2" xfId="1446" xr:uid="{00000000-0005-0000-0000-0000A08D0000}"/>
    <cellStyle name="Note 3 2 2 2 5 2 2" xfId="1445" xr:uid="{00000000-0005-0000-0000-0000A18D0000}"/>
    <cellStyle name="Note 3 2 2 2 5 2 2 2" xfId="29636" xr:uid="{00000000-0005-0000-0000-0000A28D0000}"/>
    <cellStyle name="Note 3 2 2 2 5 2 3" xfId="1444" xr:uid="{00000000-0005-0000-0000-0000A38D0000}"/>
    <cellStyle name="Note 3 2 2 2 5 3" xfId="6386" xr:uid="{00000000-0005-0000-0000-0000A48D0000}"/>
    <cellStyle name="Note 3 2 2 2 5 3 2" xfId="8354" xr:uid="{00000000-0005-0000-0000-0000A58D0000}"/>
    <cellStyle name="Note 3 2 2 2 5 4" xfId="1443" xr:uid="{00000000-0005-0000-0000-0000A68D0000}"/>
    <cellStyle name="Note 3 2 2 2 6" xfId="1442" xr:uid="{00000000-0005-0000-0000-0000A78D0000}"/>
    <cellStyle name="Note 3 2 2 2 6 2" xfId="1441" xr:uid="{00000000-0005-0000-0000-0000A88D0000}"/>
    <cellStyle name="Note 3 2 2 2 6 2 2" xfId="2552" xr:uid="{00000000-0005-0000-0000-0000A98D0000}"/>
    <cellStyle name="Note 3 2 2 2 6 3" xfId="1440" xr:uid="{00000000-0005-0000-0000-0000AA8D0000}"/>
    <cellStyle name="Note 3 2 2 2 7" xfId="1439" xr:uid="{00000000-0005-0000-0000-0000AB8D0000}"/>
    <cellStyle name="Note 3 2 2 2 7 2" xfId="1438" xr:uid="{00000000-0005-0000-0000-0000AC8D0000}"/>
    <cellStyle name="Note 3 2 2 2 8" xfId="1437" xr:uid="{00000000-0005-0000-0000-0000AD8D0000}"/>
    <cellStyle name="Note 3 2 2 3" xfId="5029" xr:uid="{00000000-0005-0000-0000-0000AE8D0000}"/>
    <cellStyle name="Note 3 2 2 3 2" xfId="1436" xr:uid="{00000000-0005-0000-0000-0000AF8D0000}"/>
    <cellStyle name="Note 3 2 2 3 2 2" xfId="33695" xr:uid="{00000000-0005-0000-0000-0000B08D0000}"/>
    <cellStyle name="Note 3 2 2 3 2 2 2" xfId="7842" xr:uid="{00000000-0005-0000-0000-0000B18D0000}"/>
    <cellStyle name="Note 3 2 2 3 2 2 2 2" xfId="1747" xr:uid="{00000000-0005-0000-0000-0000B28D0000}"/>
    <cellStyle name="Note 3 2 2 3 2 2 2 2 2" xfId="20511" xr:uid="{00000000-0005-0000-0000-0000B38D0000}"/>
    <cellStyle name="Note 3 2 2 3 2 2 2 2 2 2" xfId="1435" xr:uid="{00000000-0005-0000-0000-0000B48D0000}"/>
    <cellStyle name="Note 3 2 2 3 2 2 2 2 3" xfId="1434" xr:uid="{00000000-0005-0000-0000-0000B58D0000}"/>
    <cellStyle name="Note 3 2 2 3 2 2 2 3" xfId="1433" xr:uid="{00000000-0005-0000-0000-0000B68D0000}"/>
    <cellStyle name="Note 3 2 2 3 2 2 2 3 2" xfId="1432" xr:uid="{00000000-0005-0000-0000-0000B78D0000}"/>
    <cellStyle name="Note 3 2 2 3 2 2 2 4" xfId="1431" xr:uid="{00000000-0005-0000-0000-0000B88D0000}"/>
    <cellStyle name="Note 3 2 2 3 2 2 3" xfId="21154" xr:uid="{00000000-0005-0000-0000-0000B98D0000}"/>
    <cellStyle name="Note 3 2 2 3 2 2 3 2" xfId="1430" xr:uid="{00000000-0005-0000-0000-0000BA8D0000}"/>
    <cellStyle name="Note 3 2 2 3 2 2 3 2 2" xfId="1429" xr:uid="{00000000-0005-0000-0000-0000BB8D0000}"/>
    <cellStyle name="Note 3 2 2 3 2 2 3 3" xfId="10622" xr:uid="{00000000-0005-0000-0000-0000BC8D0000}"/>
    <cellStyle name="Note 3 2 2 3 2 2 4" xfId="1428" xr:uid="{00000000-0005-0000-0000-0000BD8D0000}"/>
    <cellStyle name="Note 3 2 2 3 2 2 4 2" xfId="1427" xr:uid="{00000000-0005-0000-0000-0000BE8D0000}"/>
    <cellStyle name="Note 3 2 2 3 2 2 5" xfId="1426" xr:uid="{00000000-0005-0000-0000-0000BF8D0000}"/>
    <cellStyle name="Note 3 2 2 3 2 3" xfId="18117" xr:uid="{00000000-0005-0000-0000-0000C08D0000}"/>
    <cellStyle name="Note 3 2 2 3 2 3 2" xfId="1425" xr:uid="{00000000-0005-0000-0000-0000C18D0000}"/>
    <cellStyle name="Note 3 2 2 3 2 3 2 2" xfId="1424" xr:uid="{00000000-0005-0000-0000-0000C28D0000}"/>
    <cellStyle name="Note 3 2 2 3 2 3 2 2 2" xfId="1423" xr:uid="{00000000-0005-0000-0000-0000C38D0000}"/>
    <cellStyle name="Note 3 2 2 3 2 3 2 3" xfId="1422" xr:uid="{00000000-0005-0000-0000-0000C48D0000}"/>
    <cellStyle name="Note 3 2 2 3 2 3 3" xfId="1421" xr:uid="{00000000-0005-0000-0000-0000C58D0000}"/>
    <cellStyle name="Note 3 2 2 3 2 3 3 2" xfId="1420" xr:uid="{00000000-0005-0000-0000-0000C68D0000}"/>
    <cellStyle name="Note 3 2 2 3 2 3 4" xfId="1419" xr:uid="{00000000-0005-0000-0000-0000C78D0000}"/>
    <cellStyle name="Note 3 2 2 3 2 4" xfId="1418" xr:uid="{00000000-0005-0000-0000-0000C88D0000}"/>
    <cellStyle name="Note 3 2 2 3 2 4 2" xfId="1417" xr:uid="{00000000-0005-0000-0000-0000C98D0000}"/>
    <cellStyle name="Note 3 2 2 3 2 4 2 2" xfId="1416" xr:uid="{00000000-0005-0000-0000-0000CA8D0000}"/>
    <cellStyle name="Note 3 2 2 3 2 4 3" xfId="22883" xr:uid="{00000000-0005-0000-0000-0000CB8D0000}"/>
    <cellStyle name="Note 3 2 2 3 2 5" xfId="1415" xr:uid="{00000000-0005-0000-0000-0000CC8D0000}"/>
    <cellStyle name="Note 3 2 2 3 2 5 2" xfId="1414" xr:uid="{00000000-0005-0000-0000-0000CD8D0000}"/>
    <cellStyle name="Note 3 2 2 3 2 6" xfId="27538" xr:uid="{00000000-0005-0000-0000-0000CE8D0000}"/>
    <cellStyle name="Note 3 2 2 3 3" xfId="1413" xr:uid="{00000000-0005-0000-0000-0000CF8D0000}"/>
    <cellStyle name="Note 3 2 2 3 3 2" xfId="18102" xr:uid="{00000000-0005-0000-0000-0000D08D0000}"/>
    <cellStyle name="Note 3 2 2 3 3 2 2" xfId="1412" xr:uid="{00000000-0005-0000-0000-0000D18D0000}"/>
    <cellStyle name="Note 3 2 2 3 3 2 2 2" xfId="1411" xr:uid="{00000000-0005-0000-0000-0000D28D0000}"/>
    <cellStyle name="Note 3 2 2 3 3 2 2 2 2" xfId="1410" xr:uid="{00000000-0005-0000-0000-0000D38D0000}"/>
    <cellStyle name="Note 3 2 2 3 3 2 2 3" xfId="1409" xr:uid="{00000000-0005-0000-0000-0000D48D0000}"/>
    <cellStyle name="Note 3 2 2 3 3 2 3" xfId="1408" xr:uid="{00000000-0005-0000-0000-0000D58D0000}"/>
    <cellStyle name="Note 3 2 2 3 3 2 3 2" xfId="1407" xr:uid="{00000000-0005-0000-0000-0000D68D0000}"/>
    <cellStyle name="Note 3 2 2 3 3 2 4" xfId="1406" xr:uid="{00000000-0005-0000-0000-0000D78D0000}"/>
    <cellStyle name="Note 3 2 2 3 3 3" xfId="1405" xr:uid="{00000000-0005-0000-0000-0000D88D0000}"/>
    <cellStyle name="Note 3 2 2 3 3 3 2" xfId="1404" xr:uid="{00000000-0005-0000-0000-0000D98D0000}"/>
    <cellStyle name="Note 3 2 2 3 3 3 2 2" xfId="30114" xr:uid="{00000000-0005-0000-0000-0000DA8D0000}"/>
    <cellStyle name="Note 3 2 2 3 3 3 3" xfId="1403" xr:uid="{00000000-0005-0000-0000-0000DB8D0000}"/>
    <cellStyle name="Note 3 2 2 3 3 4" xfId="1402" xr:uid="{00000000-0005-0000-0000-0000DC8D0000}"/>
    <cellStyle name="Note 3 2 2 3 3 4 2" xfId="1401" xr:uid="{00000000-0005-0000-0000-0000DD8D0000}"/>
    <cellStyle name="Note 3 2 2 3 3 5" xfId="1400" xr:uid="{00000000-0005-0000-0000-0000DE8D0000}"/>
    <cellStyle name="Note 3 2 2 3 4" xfId="1399" xr:uid="{00000000-0005-0000-0000-0000DF8D0000}"/>
    <cellStyle name="Note 3 2 2 3 4 2" xfId="1398" xr:uid="{00000000-0005-0000-0000-0000E08D0000}"/>
    <cellStyle name="Note 3 2 2 3 4 2 2" xfId="1397" xr:uid="{00000000-0005-0000-0000-0000E18D0000}"/>
    <cellStyle name="Note 3 2 2 3 4 2 2 2" xfId="1396" xr:uid="{00000000-0005-0000-0000-0000E28D0000}"/>
    <cellStyle name="Note 3 2 2 3 4 2 3" xfId="1395" xr:uid="{00000000-0005-0000-0000-0000E38D0000}"/>
    <cellStyle name="Note 3 2 2 3 4 3" xfId="6384" xr:uid="{00000000-0005-0000-0000-0000E48D0000}"/>
    <cellStyle name="Note 3 2 2 3 4 3 2" xfId="1394" xr:uid="{00000000-0005-0000-0000-0000E58D0000}"/>
    <cellStyle name="Note 3 2 2 3 4 4" xfId="1393" xr:uid="{00000000-0005-0000-0000-0000E68D0000}"/>
    <cellStyle name="Note 3 2 2 3 5" xfId="1392" xr:uid="{00000000-0005-0000-0000-0000E78D0000}"/>
    <cellStyle name="Note 3 2 2 3 5 2" xfId="27640" xr:uid="{00000000-0005-0000-0000-0000E88D0000}"/>
    <cellStyle name="Note 3 2 2 3 5 2 2" xfId="1391" xr:uid="{00000000-0005-0000-0000-0000E98D0000}"/>
    <cellStyle name="Note 3 2 2 3 5 3" xfId="1389" xr:uid="{00000000-0005-0000-0000-0000EA8D0000}"/>
    <cellStyle name="Note 3 2 2 3 6" xfId="1388" xr:uid="{00000000-0005-0000-0000-0000EB8D0000}"/>
    <cellStyle name="Note 3 2 2 3 6 2" xfId="33459" xr:uid="{00000000-0005-0000-0000-0000EC8D0000}"/>
    <cellStyle name="Note 3 2 2 3 7" xfId="1387" xr:uid="{00000000-0005-0000-0000-0000ED8D0000}"/>
    <cellStyle name="Note 3 2 2 4" xfId="4890" xr:uid="{00000000-0005-0000-0000-0000EE8D0000}"/>
    <cellStyle name="Note 3 2 2 4 2" xfId="4888" xr:uid="{00000000-0005-0000-0000-0000EF8D0000}"/>
    <cellStyle name="Note 3 2 2 4 2 2" xfId="14576" xr:uid="{00000000-0005-0000-0000-0000F08D0000}"/>
    <cellStyle name="Note 3 2 2 4 2 2 2" xfId="1386" xr:uid="{00000000-0005-0000-0000-0000F18D0000}"/>
    <cellStyle name="Note 3 2 2 4 2 2 2 2" xfId="1385" xr:uid="{00000000-0005-0000-0000-0000F28D0000}"/>
    <cellStyle name="Note 3 2 2 4 2 2 2 2 2" xfId="1384" xr:uid="{00000000-0005-0000-0000-0000F38D0000}"/>
    <cellStyle name="Note 3 2 2 4 2 2 2 3" xfId="1383" xr:uid="{00000000-0005-0000-0000-0000F48D0000}"/>
    <cellStyle name="Note 3 2 2 4 2 2 3" xfId="1382" xr:uid="{00000000-0005-0000-0000-0000F58D0000}"/>
    <cellStyle name="Note 3 2 2 4 2 2 3 2" xfId="1381" xr:uid="{00000000-0005-0000-0000-0000F68D0000}"/>
    <cellStyle name="Note 3 2 2 4 2 2 4" xfId="1380" xr:uid="{00000000-0005-0000-0000-0000F78D0000}"/>
    <cellStyle name="Note 3 2 2 4 2 3" xfId="1379" xr:uid="{00000000-0005-0000-0000-0000F88D0000}"/>
    <cellStyle name="Note 3 2 2 4 2 3 2" xfId="1378" xr:uid="{00000000-0005-0000-0000-0000F98D0000}"/>
    <cellStyle name="Note 3 2 2 4 2 3 2 2" xfId="1377" xr:uid="{00000000-0005-0000-0000-0000FA8D0000}"/>
    <cellStyle name="Note 3 2 2 4 2 3 3" xfId="1376" xr:uid="{00000000-0005-0000-0000-0000FB8D0000}"/>
    <cellStyle name="Note 3 2 2 4 2 4" xfId="1375" xr:uid="{00000000-0005-0000-0000-0000FC8D0000}"/>
    <cellStyle name="Note 3 2 2 4 2 4 2" xfId="19780" xr:uid="{00000000-0005-0000-0000-0000FD8D0000}"/>
    <cellStyle name="Note 3 2 2 4 2 5" xfId="1374" xr:uid="{00000000-0005-0000-0000-0000FE8D0000}"/>
    <cellStyle name="Note 3 2 2 4 3" xfId="1373" xr:uid="{00000000-0005-0000-0000-0000FF8D0000}"/>
    <cellStyle name="Note 3 2 2 4 3 2" xfId="18935" xr:uid="{00000000-0005-0000-0000-0000008E0000}"/>
    <cellStyle name="Note 3 2 2 4 3 2 2" xfId="28488" xr:uid="{00000000-0005-0000-0000-0000018E0000}"/>
    <cellStyle name="Note 3 2 2 4 3 2 2 2" xfId="1372" xr:uid="{00000000-0005-0000-0000-0000028E0000}"/>
    <cellStyle name="Note 3 2 2 4 3 2 3" xfId="1371" xr:uid="{00000000-0005-0000-0000-0000038E0000}"/>
    <cellStyle name="Note 3 2 2 4 3 3" xfId="29516" xr:uid="{00000000-0005-0000-0000-0000048E0000}"/>
    <cellStyle name="Note 3 2 2 4 3 3 2" xfId="1370" xr:uid="{00000000-0005-0000-0000-0000058E0000}"/>
    <cellStyle name="Note 3 2 2 4 3 4" xfId="1369" xr:uid="{00000000-0005-0000-0000-0000068E0000}"/>
    <cellStyle name="Note 3 2 2 4 4" xfId="1368" xr:uid="{00000000-0005-0000-0000-0000078E0000}"/>
    <cellStyle name="Note 3 2 2 4 4 2" xfId="29497" xr:uid="{00000000-0005-0000-0000-0000088E0000}"/>
    <cellStyle name="Note 3 2 2 4 4 2 2" xfId="1367" xr:uid="{00000000-0005-0000-0000-0000098E0000}"/>
    <cellStyle name="Note 3 2 2 4 4 3" xfId="1366" xr:uid="{00000000-0005-0000-0000-00000A8E0000}"/>
    <cellStyle name="Note 3 2 2 4 5" xfId="32206" xr:uid="{00000000-0005-0000-0000-00000B8E0000}"/>
    <cellStyle name="Note 3 2 2 4 5 2" xfId="1365" xr:uid="{00000000-0005-0000-0000-00000C8E0000}"/>
    <cellStyle name="Note 3 2 2 4 6" xfId="1364" xr:uid="{00000000-0005-0000-0000-00000D8E0000}"/>
    <cellStyle name="Note 3 2 2 5" xfId="4886" xr:uid="{00000000-0005-0000-0000-00000E8E0000}"/>
    <cellStyle name="Note 3 2 2 5 2" xfId="1363" xr:uid="{00000000-0005-0000-0000-00000F8E0000}"/>
    <cellStyle name="Note 3 2 2 5 2 2" xfId="1362" xr:uid="{00000000-0005-0000-0000-0000108E0000}"/>
    <cellStyle name="Note 3 2 2 5 2 2 2" xfId="12947" xr:uid="{00000000-0005-0000-0000-0000118E0000}"/>
    <cellStyle name="Note 3 2 2 5 2 2 2 2" xfId="27249" xr:uid="{00000000-0005-0000-0000-0000128E0000}"/>
    <cellStyle name="Note 3 2 2 5 2 2 3" xfId="8834" xr:uid="{00000000-0005-0000-0000-0000138E0000}"/>
    <cellStyle name="Note 3 2 2 5 2 3" xfId="1361" xr:uid="{00000000-0005-0000-0000-0000148E0000}"/>
    <cellStyle name="Note 3 2 2 5 2 3 2" xfId="8817" xr:uid="{00000000-0005-0000-0000-0000158E0000}"/>
    <cellStyle name="Note 3 2 2 5 2 4" xfId="1360" xr:uid="{00000000-0005-0000-0000-0000168E0000}"/>
    <cellStyle name="Note 3 2 2 5 3" xfId="1359" xr:uid="{00000000-0005-0000-0000-0000178E0000}"/>
    <cellStyle name="Note 3 2 2 5 3 2" xfId="26410" xr:uid="{00000000-0005-0000-0000-0000188E0000}"/>
    <cellStyle name="Note 3 2 2 5 3 2 2" xfId="8775" xr:uid="{00000000-0005-0000-0000-0000198E0000}"/>
    <cellStyle name="Note 3 2 2 5 3 3" xfId="1358" xr:uid="{00000000-0005-0000-0000-00001A8E0000}"/>
    <cellStyle name="Note 3 2 2 5 4" xfId="1357" xr:uid="{00000000-0005-0000-0000-00001B8E0000}"/>
    <cellStyle name="Note 3 2 2 5 4 2" xfId="1356" xr:uid="{00000000-0005-0000-0000-00001C8E0000}"/>
    <cellStyle name="Note 3 2 2 5 5" xfId="12153" xr:uid="{00000000-0005-0000-0000-00001D8E0000}"/>
    <cellStyle name="Note 3 2 2 6" xfId="9786" xr:uid="{00000000-0005-0000-0000-00001E8E0000}"/>
    <cellStyle name="Note 3 2 2 6 2" xfId="1355" xr:uid="{00000000-0005-0000-0000-00001F8E0000}"/>
    <cellStyle name="Note 3 2 2 6 2 2" xfId="1354" xr:uid="{00000000-0005-0000-0000-0000208E0000}"/>
    <cellStyle name="Note 3 2 2 6 2 2 2" xfId="8633" xr:uid="{00000000-0005-0000-0000-0000218E0000}"/>
    <cellStyle name="Note 3 2 2 6 2 3" xfId="1353" xr:uid="{00000000-0005-0000-0000-0000228E0000}"/>
    <cellStyle name="Note 3 2 2 6 3" xfId="1352" xr:uid="{00000000-0005-0000-0000-0000238E0000}"/>
    <cellStyle name="Note 3 2 2 6 3 2" xfId="1351" xr:uid="{00000000-0005-0000-0000-0000248E0000}"/>
    <cellStyle name="Note 3 2 2 6 4" xfId="1350" xr:uid="{00000000-0005-0000-0000-0000258E0000}"/>
    <cellStyle name="Note 3 2 2 7" xfId="9778" xr:uid="{00000000-0005-0000-0000-0000268E0000}"/>
    <cellStyle name="Note 3 2 2 7 2" xfId="1349" xr:uid="{00000000-0005-0000-0000-0000278E0000}"/>
    <cellStyle name="Note 3 2 2 7 2 2" xfId="1348" xr:uid="{00000000-0005-0000-0000-0000288E0000}"/>
    <cellStyle name="Note 3 2 2 7 3" xfId="1347" xr:uid="{00000000-0005-0000-0000-0000298E0000}"/>
    <cellStyle name="Note 3 2 2 8" xfId="24447" xr:uid="{00000000-0005-0000-0000-00002A8E0000}"/>
    <cellStyle name="Note 3 2 2 8 2" xfId="1346" xr:uid="{00000000-0005-0000-0000-00002B8E0000}"/>
    <cellStyle name="Note 3 2 2 9" xfId="1345" xr:uid="{00000000-0005-0000-0000-00002C8E0000}"/>
    <cellStyle name="Note 3 2 3" xfId="19932" xr:uid="{00000000-0005-0000-0000-00002D8E0000}"/>
    <cellStyle name="Note 3 2 3 2" xfId="1344" xr:uid="{00000000-0005-0000-0000-00002E8E0000}"/>
    <cellStyle name="Note 3 2 3 2 2" xfId="18707" xr:uid="{00000000-0005-0000-0000-00002F8E0000}"/>
    <cellStyle name="Note 3 2 3 2 2 2" xfId="12794" xr:uid="{00000000-0005-0000-0000-0000308E0000}"/>
    <cellStyle name="Note 3 2 3 2 2 2 2" xfId="1343" xr:uid="{00000000-0005-0000-0000-0000318E0000}"/>
    <cellStyle name="Note 3 2 3 2 2 2 2 2" xfId="1342" xr:uid="{00000000-0005-0000-0000-0000328E0000}"/>
    <cellStyle name="Note 3 2 3 2 2 2 2 2 2" xfId="27224" xr:uid="{00000000-0005-0000-0000-0000338E0000}"/>
    <cellStyle name="Note 3 2 3 2 2 2 2 2 2 2" xfId="29519" xr:uid="{00000000-0005-0000-0000-0000348E0000}"/>
    <cellStyle name="Note 3 2 3 2 2 2 2 2 3" xfId="27408" xr:uid="{00000000-0005-0000-0000-0000358E0000}"/>
    <cellStyle name="Note 3 2 3 2 2 2 2 3" xfId="1340" xr:uid="{00000000-0005-0000-0000-0000368E0000}"/>
    <cellStyle name="Note 3 2 3 2 2 2 2 3 2" xfId="27402" xr:uid="{00000000-0005-0000-0000-0000378E0000}"/>
    <cellStyle name="Note 3 2 3 2 2 2 2 4" xfId="1339" xr:uid="{00000000-0005-0000-0000-0000388E0000}"/>
    <cellStyle name="Note 3 2 3 2 2 2 3" xfId="24483" xr:uid="{00000000-0005-0000-0000-0000398E0000}"/>
    <cellStyle name="Note 3 2 3 2 2 2 3 2" xfId="1338" xr:uid="{00000000-0005-0000-0000-00003A8E0000}"/>
    <cellStyle name="Note 3 2 3 2 2 2 3 2 2" xfId="27396" xr:uid="{00000000-0005-0000-0000-00003B8E0000}"/>
    <cellStyle name="Note 3 2 3 2 2 2 3 3" xfId="9951" xr:uid="{00000000-0005-0000-0000-00003C8E0000}"/>
    <cellStyle name="Note 3 2 3 2 2 2 4" xfId="1337" xr:uid="{00000000-0005-0000-0000-00003D8E0000}"/>
    <cellStyle name="Note 3 2 3 2 2 2 4 2" xfId="1336" xr:uid="{00000000-0005-0000-0000-00003E8E0000}"/>
    <cellStyle name="Note 3 2 3 2 2 2 5" xfId="1335" xr:uid="{00000000-0005-0000-0000-00003F8E0000}"/>
    <cellStyle name="Note 3 2 3 2 2 3" xfId="25274" xr:uid="{00000000-0005-0000-0000-0000408E0000}"/>
    <cellStyle name="Note 3 2 3 2 2 3 2" xfId="1334" xr:uid="{00000000-0005-0000-0000-0000418E0000}"/>
    <cellStyle name="Note 3 2 3 2 2 3 2 2" xfId="1333" xr:uid="{00000000-0005-0000-0000-0000428E0000}"/>
    <cellStyle name="Note 3 2 3 2 2 3 2 2 2" xfId="26580" xr:uid="{00000000-0005-0000-0000-0000438E0000}"/>
    <cellStyle name="Note 3 2 3 2 2 3 2 3" xfId="1332" xr:uid="{00000000-0005-0000-0000-0000448E0000}"/>
    <cellStyle name="Note 3 2 3 2 2 3 3" xfId="1331" xr:uid="{00000000-0005-0000-0000-0000458E0000}"/>
    <cellStyle name="Note 3 2 3 2 2 3 3 2" xfId="1330" xr:uid="{00000000-0005-0000-0000-0000468E0000}"/>
    <cellStyle name="Note 3 2 3 2 2 3 4" xfId="1329" xr:uid="{00000000-0005-0000-0000-0000478E0000}"/>
    <cellStyle name="Note 3 2 3 2 2 4" xfId="26640" xr:uid="{00000000-0005-0000-0000-0000488E0000}"/>
    <cellStyle name="Note 3 2 3 2 2 4 2" xfId="1328" xr:uid="{00000000-0005-0000-0000-0000498E0000}"/>
    <cellStyle name="Note 3 2 3 2 2 4 2 2" xfId="1327" xr:uid="{00000000-0005-0000-0000-00004A8E0000}"/>
    <cellStyle name="Note 3 2 3 2 2 4 3" xfId="1326" xr:uid="{00000000-0005-0000-0000-00004B8E0000}"/>
    <cellStyle name="Note 3 2 3 2 2 5" xfId="31356" xr:uid="{00000000-0005-0000-0000-00004C8E0000}"/>
    <cellStyle name="Note 3 2 3 2 2 5 2" xfId="1325" xr:uid="{00000000-0005-0000-0000-00004D8E0000}"/>
    <cellStyle name="Note 3 2 3 2 2 6" xfId="1324" xr:uid="{00000000-0005-0000-0000-00004E8E0000}"/>
    <cellStyle name="Note 3 2 3 2 3" xfId="1323" xr:uid="{00000000-0005-0000-0000-00004F8E0000}"/>
    <cellStyle name="Note 3 2 3 2 3 2" xfId="1322" xr:uid="{00000000-0005-0000-0000-0000508E0000}"/>
    <cellStyle name="Note 3 2 3 2 3 2 2" xfId="1321" xr:uid="{00000000-0005-0000-0000-0000518E0000}"/>
    <cellStyle name="Note 3 2 3 2 3 2 2 2" xfId="1320" xr:uid="{00000000-0005-0000-0000-0000528E0000}"/>
    <cellStyle name="Note 3 2 3 2 3 2 2 2 2" xfId="14134" xr:uid="{00000000-0005-0000-0000-0000538E0000}"/>
    <cellStyle name="Note 3 2 3 2 3 2 2 3" xfId="1319" xr:uid="{00000000-0005-0000-0000-0000548E0000}"/>
    <cellStyle name="Note 3 2 3 2 3 2 3" xfId="1318" xr:uid="{00000000-0005-0000-0000-0000558E0000}"/>
    <cellStyle name="Note 3 2 3 2 3 2 3 2" xfId="1317" xr:uid="{00000000-0005-0000-0000-0000568E0000}"/>
    <cellStyle name="Note 3 2 3 2 3 2 4" xfId="1316" xr:uid="{00000000-0005-0000-0000-0000578E0000}"/>
    <cellStyle name="Note 3 2 3 2 3 3" xfId="30880" xr:uid="{00000000-0005-0000-0000-0000588E0000}"/>
    <cellStyle name="Note 3 2 3 2 3 3 2" xfId="1315" xr:uid="{00000000-0005-0000-0000-0000598E0000}"/>
    <cellStyle name="Note 3 2 3 2 3 3 2 2" xfId="1314" xr:uid="{00000000-0005-0000-0000-00005A8E0000}"/>
    <cellStyle name="Note 3 2 3 2 3 3 3" xfId="1313" xr:uid="{00000000-0005-0000-0000-00005B8E0000}"/>
    <cellStyle name="Note 3 2 3 2 3 4" xfId="11880" xr:uid="{00000000-0005-0000-0000-00005C8E0000}"/>
    <cellStyle name="Note 3 2 3 2 3 4 2" xfId="11877" xr:uid="{00000000-0005-0000-0000-00005D8E0000}"/>
    <cellStyle name="Note 3 2 3 2 3 5" xfId="11874" xr:uid="{00000000-0005-0000-0000-00005E8E0000}"/>
    <cellStyle name="Note 3 2 3 2 4" xfId="1312" xr:uid="{00000000-0005-0000-0000-00005F8E0000}"/>
    <cellStyle name="Note 3 2 3 2 4 2" xfId="1311" xr:uid="{00000000-0005-0000-0000-0000608E0000}"/>
    <cellStyle name="Note 3 2 3 2 4 2 2" xfId="1310" xr:uid="{00000000-0005-0000-0000-0000618E0000}"/>
    <cellStyle name="Note 3 2 3 2 4 2 2 2" xfId="1309" xr:uid="{00000000-0005-0000-0000-0000628E0000}"/>
    <cellStyle name="Note 3 2 3 2 4 2 3" xfId="1308" xr:uid="{00000000-0005-0000-0000-0000638E0000}"/>
    <cellStyle name="Note 3 2 3 2 4 3" xfId="6369" xr:uid="{00000000-0005-0000-0000-0000648E0000}"/>
    <cellStyle name="Note 3 2 3 2 4 3 2" xfId="1307" xr:uid="{00000000-0005-0000-0000-0000658E0000}"/>
    <cellStyle name="Note 3 2 3 2 4 4" xfId="11871" xr:uid="{00000000-0005-0000-0000-0000668E0000}"/>
    <cellStyle name="Note 3 2 3 2 5" xfId="23564" xr:uid="{00000000-0005-0000-0000-0000678E0000}"/>
    <cellStyle name="Note 3 2 3 2 5 2" xfId="32235" xr:uid="{00000000-0005-0000-0000-0000688E0000}"/>
    <cellStyle name="Note 3 2 3 2 5 2 2" xfId="1306" xr:uid="{00000000-0005-0000-0000-0000698E0000}"/>
    <cellStyle name="Note 3 2 3 2 5 3" xfId="1305" xr:uid="{00000000-0005-0000-0000-00006A8E0000}"/>
    <cellStyle name="Note 3 2 3 2 6" xfId="10738" xr:uid="{00000000-0005-0000-0000-00006B8E0000}"/>
    <cellStyle name="Note 3 2 3 2 6 2" xfId="9249" xr:uid="{00000000-0005-0000-0000-00006C8E0000}"/>
    <cellStyle name="Note 3 2 3 2 7" xfId="10732" xr:uid="{00000000-0005-0000-0000-00006D8E0000}"/>
    <cellStyle name="Note 3 2 3 3" xfId="5026" xr:uid="{00000000-0005-0000-0000-00006E8E0000}"/>
    <cellStyle name="Note 3 2 3 3 2" xfId="1304" xr:uid="{00000000-0005-0000-0000-00006F8E0000}"/>
    <cellStyle name="Note 3 2 3 3 2 2" xfId="1303" xr:uid="{00000000-0005-0000-0000-0000708E0000}"/>
    <cellStyle name="Note 3 2 3 3 2 2 2" xfId="1302" xr:uid="{00000000-0005-0000-0000-0000718E0000}"/>
    <cellStyle name="Note 3 2 3 3 2 2 2 2" xfId="23480" xr:uid="{00000000-0005-0000-0000-0000728E0000}"/>
    <cellStyle name="Note 3 2 3 3 2 2 2 2 2" xfId="27033" xr:uid="{00000000-0005-0000-0000-0000738E0000}"/>
    <cellStyle name="Note 3 2 3 3 2 2 2 3" xfId="1301" xr:uid="{00000000-0005-0000-0000-0000748E0000}"/>
    <cellStyle name="Note 3 2 3 3 2 2 3" xfId="1300" xr:uid="{00000000-0005-0000-0000-0000758E0000}"/>
    <cellStyle name="Note 3 2 3 3 2 2 3 2" xfId="1299" xr:uid="{00000000-0005-0000-0000-0000768E0000}"/>
    <cellStyle name="Note 3 2 3 3 2 2 4" xfId="1297" xr:uid="{00000000-0005-0000-0000-0000778E0000}"/>
    <cellStyle name="Note 3 2 3 3 2 3" xfId="30844" xr:uid="{00000000-0005-0000-0000-0000788E0000}"/>
    <cellStyle name="Note 3 2 3 3 2 3 2" xfId="1296" xr:uid="{00000000-0005-0000-0000-0000798E0000}"/>
    <cellStyle name="Note 3 2 3 3 2 3 2 2" xfId="1295" xr:uid="{00000000-0005-0000-0000-00007A8E0000}"/>
    <cellStyle name="Note 3 2 3 3 2 3 3" xfId="1294" xr:uid="{00000000-0005-0000-0000-00007B8E0000}"/>
    <cellStyle name="Note 3 2 3 3 2 4" xfId="31336" xr:uid="{00000000-0005-0000-0000-00007C8E0000}"/>
    <cellStyle name="Note 3 2 3 3 2 4 2" xfId="28763" xr:uid="{00000000-0005-0000-0000-00007D8E0000}"/>
    <cellStyle name="Note 3 2 3 3 2 5" xfId="1293" xr:uid="{00000000-0005-0000-0000-00007E8E0000}"/>
    <cellStyle name="Note 3 2 3 3 3" xfId="1292" xr:uid="{00000000-0005-0000-0000-00007F8E0000}"/>
    <cellStyle name="Note 3 2 3 3 3 2" xfId="1291" xr:uid="{00000000-0005-0000-0000-0000808E0000}"/>
    <cellStyle name="Note 3 2 3 3 3 2 2" xfId="1290" xr:uid="{00000000-0005-0000-0000-0000818E0000}"/>
    <cellStyle name="Note 3 2 3 3 3 2 2 2" xfId="1289" xr:uid="{00000000-0005-0000-0000-0000828E0000}"/>
    <cellStyle name="Note 3 2 3 3 3 2 3" xfId="1288" xr:uid="{00000000-0005-0000-0000-0000838E0000}"/>
    <cellStyle name="Note 3 2 3 3 3 3" xfId="29385" xr:uid="{00000000-0005-0000-0000-0000848E0000}"/>
    <cellStyle name="Note 3 2 3 3 3 3 2" xfId="1287" xr:uid="{00000000-0005-0000-0000-0000858E0000}"/>
    <cellStyle name="Note 3 2 3 3 3 4" xfId="11868" xr:uid="{00000000-0005-0000-0000-0000868E0000}"/>
    <cellStyle name="Note 3 2 3 3 4" xfId="1286" xr:uid="{00000000-0005-0000-0000-0000878E0000}"/>
    <cellStyle name="Note 3 2 3 3 4 2" xfId="1285" xr:uid="{00000000-0005-0000-0000-0000888E0000}"/>
    <cellStyle name="Note 3 2 3 3 4 2 2" xfId="1284" xr:uid="{00000000-0005-0000-0000-0000898E0000}"/>
    <cellStyle name="Note 3 2 3 3 4 3" xfId="1283" xr:uid="{00000000-0005-0000-0000-00008A8E0000}"/>
    <cellStyle name="Note 3 2 3 3 5" xfId="1282" xr:uid="{00000000-0005-0000-0000-00008B8E0000}"/>
    <cellStyle name="Note 3 2 3 3 5 2" xfId="1281" xr:uid="{00000000-0005-0000-0000-00008C8E0000}"/>
    <cellStyle name="Note 3 2 3 3 6" xfId="10722" xr:uid="{00000000-0005-0000-0000-00008D8E0000}"/>
    <cellStyle name="Note 3 2 3 4" xfId="17238" xr:uid="{00000000-0005-0000-0000-00008E8E0000}"/>
    <cellStyle name="Note 3 2 3 4 2" xfId="1280" xr:uid="{00000000-0005-0000-0000-00008F8E0000}"/>
    <cellStyle name="Note 3 2 3 4 2 2" xfId="1279" xr:uid="{00000000-0005-0000-0000-0000908E0000}"/>
    <cellStyle name="Note 3 2 3 4 2 2 2" xfId="1278" xr:uid="{00000000-0005-0000-0000-0000918E0000}"/>
    <cellStyle name="Note 3 2 3 4 2 2 2 2" xfId="1277" xr:uid="{00000000-0005-0000-0000-0000928E0000}"/>
    <cellStyle name="Note 3 2 3 4 2 2 3" xfId="1276" xr:uid="{00000000-0005-0000-0000-0000938E0000}"/>
    <cellStyle name="Note 3 2 3 4 2 3" xfId="30820" xr:uid="{00000000-0005-0000-0000-0000948E0000}"/>
    <cellStyle name="Note 3 2 3 4 2 3 2" xfId="1275" xr:uid="{00000000-0005-0000-0000-0000958E0000}"/>
    <cellStyle name="Note 3 2 3 4 2 4" xfId="1274" xr:uid="{00000000-0005-0000-0000-0000968E0000}"/>
    <cellStyle name="Note 3 2 3 4 3" xfId="1273" xr:uid="{00000000-0005-0000-0000-0000978E0000}"/>
    <cellStyle name="Note 3 2 3 4 3 2" xfId="29333" xr:uid="{00000000-0005-0000-0000-0000988E0000}"/>
    <cellStyle name="Note 3 2 3 4 3 2 2" xfId="1272" xr:uid="{00000000-0005-0000-0000-0000998E0000}"/>
    <cellStyle name="Note 3 2 3 4 3 3" xfId="1271" xr:uid="{00000000-0005-0000-0000-00009A8E0000}"/>
    <cellStyle name="Note 3 2 3 4 4" xfId="1270" xr:uid="{00000000-0005-0000-0000-00009B8E0000}"/>
    <cellStyle name="Note 3 2 3 4 4 2" xfId="1269" xr:uid="{00000000-0005-0000-0000-00009C8E0000}"/>
    <cellStyle name="Note 3 2 3 4 5" xfId="1268" xr:uid="{00000000-0005-0000-0000-00009D8E0000}"/>
    <cellStyle name="Note 3 2 3 5" xfId="1267" xr:uid="{00000000-0005-0000-0000-00009E8E0000}"/>
    <cellStyle name="Note 3 2 3 5 2" xfId="1266" xr:uid="{00000000-0005-0000-0000-00009F8E0000}"/>
    <cellStyle name="Note 3 2 3 5 2 2" xfId="1265" xr:uid="{00000000-0005-0000-0000-0000A08E0000}"/>
    <cellStyle name="Note 3 2 3 5 2 2 2" xfId="26585" xr:uid="{00000000-0005-0000-0000-0000A18E0000}"/>
    <cellStyle name="Note 3 2 3 5 2 3" xfId="1264" xr:uid="{00000000-0005-0000-0000-0000A28E0000}"/>
    <cellStyle name="Note 3 2 3 5 3" xfId="1263" xr:uid="{00000000-0005-0000-0000-0000A38E0000}"/>
    <cellStyle name="Note 3 2 3 5 3 2" xfId="1262" xr:uid="{00000000-0005-0000-0000-0000A48E0000}"/>
    <cellStyle name="Note 3 2 3 5 4" xfId="1261" xr:uid="{00000000-0005-0000-0000-0000A58E0000}"/>
    <cellStyle name="Note 3 2 3 6" xfId="9772" xr:uid="{00000000-0005-0000-0000-0000A68E0000}"/>
    <cellStyle name="Note 3 2 3 6 2" xfId="1260" xr:uid="{00000000-0005-0000-0000-0000A78E0000}"/>
    <cellStyle name="Note 3 2 3 6 2 2" xfId="1259" xr:uid="{00000000-0005-0000-0000-0000A88E0000}"/>
    <cellStyle name="Note 3 2 3 6 3" xfId="1258" xr:uid="{00000000-0005-0000-0000-0000A98E0000}"/>
    <cellStyle name="Note 3 2 3 7" xfId="9768" xr:uid="{00000000-0005-0000-0000-0000AA8E0000}"/>
    <cellStyle name="Note 3 2 3 7 2" xfId="7791" xr:uid="{00000000-0005-0000-0000-0000AB8E0000}"/>
    <cellStyle name="Note 3 2 3 8" xfId="1257" xr:uid="{00000000-0005-0000-0000-0000AC8E0000}"/>
    <cellStyle name="Note 3 2 4" xfId="19701" xr:uid="{00000000-0005-0000-0000-0000AD8E0000}"/>
    <cellStyle name="Note 3 2 4 2" xfId="1256" xr:uid="{00000000-0005-0000-0000-0000AE8E0000}"/>
    <cellStyle name="Note 3 2 4 2 2" xfId="1255" xr:uid="{00000000-0005-0000-0000-0000AF8E0000}"/>
    <cellStyle name="Note 3 2 4 2 2 2" xfId="1254" xr:uid="{00000000-0005-0000-0000-0000B08E0000}"/>
    <cellStyle name="Note 3 2 4 2 2 2 2" xfId="1253" xr:uid="{00000000-0005-0000-0000-0000B18E0000}"/>
    <cellStyle name="Note 3 2 4 2 2 2 2 2" xfId="1252" xr:uid="{00000000-0005-0000-0000-0000B28E0000}"/>
    <cellStyle name="Note 3 2 4 2 2 2 2 2 2" xfId="17143" xr:uid="{00000000-0005-0000-0000-0000B38E0000}"/>
    <cellStyle name="Note 3 2 4 2 2 2 2 3" xfId="1251" xr:uid="{00000000-0005-0000-0000-0000B48E0000}"/>
    <cellStyle name="Note 3 2 4 2 2 2 3" xfId="16822" xr:uid="{00000000-0005-0000-0000-0000B58E0000}"/>
    <cellStyle name="Note 3 2 4 2 2 2 3 2" xfId="1250" xr:uid="{00000000-0005-0000-0000-0000B68E0000}"/>
    <cellStyle name="Note 3 2 4 2 2 2 4" xfId="1249" xr:uid="{00000000-0005-0000-0000-0000B78E0000}"/>
    <cellStyle name="Note 3 2 4 2 2 3" xfId="31766" xr:uid="{00000000-0005-0000-0000-0000B88E0000}"/>
    <cellStyle name="Note 3 2 4 2 2 3 2" xfId="1248" xr:uid="{00000000-0005-0000-0000-0000B98E0000}"/>
    <cellStyle name="Note 3 2 4 2 2 3 2 2" xfId="5423" xr:uid="{00000000-0005-0000-0000-0000BA8E0000}"/>
    <cellStyle name="Note 3 2 4 2 2 3 3" xfId="1247" xr:uid="{00000000-0005-0000-0000-0000BB8E0000}"/>
    <cellStyle name="Note 3 2 4 2 2 4" xfId="31183" xr:uid="{00000000-0005-0000-0000-0000BC8E0000}"/>
    <cellStyle name="Note 3 2 4 2 2 4 2" xfId="1246" xr:uid="{00000000-0005-0000-0000-0000BD8E0000}"/>
    <cellStyle name="Note 3 2 4 2 2 5" xfId="34271" xr:uid="{00000000-0005-0000-0000-0000BE8E0000}"/>
    <cellStyle name="Note 3 2 4 2 3" xfId="1245" xr:uid="{00000000-0005-0000-0000-0000BF8E0000}"/>
    <cellStyle name="Note 3 2 4 2 3 2" xfId="1244" xr:uid="{00000000-0005-0000-0000-0000C08E0000}"/>
    <cellStyle name="Note 3 2 4 2 3 2 2" xfId="1243" xr:uid="{00000000-0005-0000-0000-0000C18E0000}"/>
    <cellStyle name="Note 3 2 4 2 3 2 2 2" xfId="1242" xr:uid="{00000000-0005-0000-0000-0000C28E0000}"/>
    <cellStyle name="Note 3 2 4 2 3 2 3" xfId="18748" xr:uid="{00000000-0005-0000-0000-0000C38E0000}"/>
    <cellStyle name="Note 3 2 4 2 3 3" xfId="29252" xr:uid="{00000000-0005-0000-0000-0000C48E0000}"/>
    <cellStyle name="Note 3 2 4 2 3 3 2" xfId="1241" xr:uid="{00000000-0005-0000-0000-0000C58E0000}"/>
    <cellStyle name="Note 3 2 4 2 3 4" xfId="11834" xr:uid="{00000000-0005-0000-0000-0000C68E0000}"/>
    <cellStyle name="Note 3 2 4 2 4" xfId="1240" xr:uid="{00000000-0005-0000-0000-0000C78E0000}"/>
    <cellStyle name="Note 3 2 4 2 4 2" xfId="30130" xr:uid="{00000000-0005-0000-0000-0000C88E0000}"/>
    <cellStyle name="Note 3 2 4 2 4 2 2" xfId="16348" xr:uid="{00000000-0005-0000-0000-0000C98E0000}"/>
    <cellStyle name="Note 3 2 4 2 4 3" xfId="17843" xr:uid="{00000000-0005-0000-0000-0000CA8E0000}"/>
    <cellStyle name="Note 3 2 4 2 5" xfId="1239" xr:uid="{00000000-0005-0000-0000-0000CB8E0000}"/>
    <cellStyle name="Note 3 2 4 2 5 2" xfId="33817" xr:uid="{00000000-0005-0000-0000-0000CC8E0000}"/>
    <cellStyle name="Note 3 2 4 2 6" xfId="10702" xr:uid="{00000000-0005-0000-0000-0000CD8E0000}"/>
    <cellStyle name="Note 3 2 4 3" xfId="5023" xr:uid="{00000000-0005-0000-0000-0000CE8E0000}"/>
    <cellStyle name="Note 3 2 4 3 2" xfId="1238" xr:uid="{00000000-0005-0000-0000-0000CF8E0000}"/>
    <cellStyle name="Note 3 2 4 3 2 2" xfId="1237" xr:uid="{00000000-0005-0000-0000-0000D08E0000}"/>
    <cellStyle name="Note 3 2 4 3 2 2 2" xfId="1236" xr:uid="{00000000-0005-0000-0000-0000D18E0000}"/>
    <cellStyle name="Note 3 2 4 3 2 2 2 2" xfId="1235" xr:uid="{00000000-0005-0000-0000-0000D28E0000}"/>
    <cellStyle name="Note 3 2 4 3 2 2 3" xfId="1234" xr:uid="{00000000-0005-0000-0000-0000D38E0000}"/>
    <cellStyle name="Note 3 2 4 3 2 3" xfId="27693" xr:uid="{00000000-0005-0000-0000-0000D48E0000}"/>
    <cellStyle name="Note 3 2 4 3 2 3 2" xfId="1233" xr:uid="{00000000-0005-0000-0000-0000D58E0000}"/>
    <cellStyle name="Note 3 2 4 3 2 4" xfId="1232" xr:uid="{00000000-0005-0000-0000-0000D68E0000}"/>
    <cellStyle name="Note 3 2 4 3 3" xfId="1231" xr:uid="{00000000-0005-0000-0000-0000D78E0000}"/>
    <cellStyle name="Note 3 2 4 3 3 2" xfId="1230" xr:uid="{00000000-0005-0000-0000-0000D88E0000}"/>
    <cellStyle name="Note 3 2 4 3 3 2 2" xfId="1229" xr:uid="{00000000-0005-0000-0000-0000D98E0000}"/>
    <cellStyle name="Note 3 2 4 3 3 3" xfId="1228" xr:uid="{00000000-0005-0000-0000-0000DA8E0000}"/>
    <cellStyle name="Note 3 2 4 3 4" xfId="1227" xr:uid="{00000000-0005-0000-0000-0000DB8E0000}"/>
    <cellStyle name="Note 3 2 4 3 4 2" xfId="19952" xr:uid="{00000000-0005-0000-0000-0000DC8E0000}"/>
    <cellStyle name="Note 3 2 4 3 5" xfId="1226" xr:uid="{00000000-0005-0000-0000-0000DD8E0000}"/>
    <cellStyle name="Note 3 2 4 4" xfId="4554" xr:uid="{00000000-0005-0000-0000-0000DE8E0000}"/>
    <cellStyle name="Note 3 2 4 4 2" xfId="1225" xr:uid="{00000000-0005-0000-0000-0000DF8E0000}"/>
    <cellStyle name="Note 3 2 4 4 2 2" xfId="1224" xr:uid="{00000000-0005-0000-0000-0000E08E0000}"/>
    <cellStyle name="Note 3 2 4 4 2 2 2" xfId="17967" xr:uid="{00000000-0005-0000-0000-0000E18E0000}"/>
    <cellStyle name="Note 3 2 4 4 2 3" xfId="1223" xr:uid="{00000000-0005-0000-0000-0000E28E0000}"/>
    <cellStyle name="Note 3 2 4 4 3" xfId="1222" xr:uid="{00000000-0005-0000-0000-0000E38E0000}"/>
    <cellStyle name="Note 3 2 4 4 3 2" xfId="1221" xr:uid="{00000000-0005-0000-0000-0000E48E0000}"/>
    <cellStyle name="Note 3 2 4 4 4" xfId="1220" xr:uid="{00000000-0005-0000-0000-0000E58E0000}"/>
    <cellStyle name="Note 3 2 4 5" xfId="1219" xr:uid="{00000000-0005-0000-0000-0000E68E0000}"/>
    <cellStyle name="Note 3 2 4 5 2" xfId="1218" xr:uid="{00000000-0005-0000-0000-0000E78E0000}"/>
    <cellStyle name="Note 3 2 4 5 2 2" xfId="1217" xr:uid="{00000000-0005-0000-0000-0000E88E0000}"/>
    <cellStyle name="Note 3 2 4 5 3" xfId="1216" xr:uid="{00000000-0005-0000-0000-0000E98E0000}"/>
    <cellStyle name="Note 3 2 4 6" xfId="9766" xr:uid="{00000000-0005-0000-0000-0000EA8E0000}"/>
    <cellStyle name="Note 3 2 4 6 2" xfId="1215" xr:uid="{00000000-0005-0000-0000-0000EB8E0000}"/>
    <cellStyle name="Note 3 2 4 7" xfId="1214" xr:uid="{00000000-0005-0000-0000-0000EC8E0000}"/>
    <cellStyle name="Note 3 2 5" xfId="1213" xr:uid="{00000000-0005-0000-0000-0000ED8E0000}"/>
    <cellStyle name="Note 3 2 5 2" xfId="1212" xr:uid="{00000000-0005-0000-0000-0000EE8E0000}"/>
    <cellStyle name="Note 3 2 5 2 2" xfId="1211" xr:uid="{00000000-0005-0000-0000-0000EF8E0000}"/>
    <cellStyle name="Note 3 2 5 2 2 2" xfId="1210" xr:uid="{00000000-0005-0000-0000-0000F08E0000}"/>
    <cellStyle name="Note 3 2 5 2 2 2 2" xfId="4475" xr:uid="{00000000-0005-0000-0000-0000F18E0000}"/>
    <cellStyle name="Note 3 2 5 2 2 2 2 2" xfId="34274" xr:uid="{00000000-0005-0000-0000-0000F28E0000}"/>
    <cellStyle name="Note 3 2 5 2 2 2 3" xfId="1209" xr:uid="{00000000-0005-0000-0000-0000F38E0000}"/>
    <cellStyle name="Note 3 2 5 2 2 3" xfId="32867" xr:uid="{00000000-0005-0000-0000-0000F48E0000}"/>
    <cellStyle name="Note 3 2 5 2 2 3 2" xfId="1208" xr:uid="{00000000-0005-0000-0000-0000F58E0000}"/>
    <cellStyle name="Note 3 2 5 2 2 4" xfId="1207" xr:uid="{00000000-0005-0000-0000-0000F68E0000}"/>
    <cellStyle name="Note 3 2 5 2 3" xfId="17693" xr:uid="{00000000-0005-0000-0000-0000F78E0000}"/>
    <cellStyle name="Note 3 2 5 2 3 2" xfId="1206" xr:uid="{00000000-0005-0000-0000-0000F88E0000}"/>
    <cellStyle name="Note 3 2 5 2 3 2 2" xfId="1205" xr:uid="{00000000-0005-0000-0000-0000F98E0000}"/>
    <cellStyle name="Note 3 2 5 2 3 3" xfId="1204" xr:uid="{00000000-0005-0000-0000-0000FA8E0000}"/>
    <cellStyle name="Note 3 2 5 2 4" xfId="17690" xr:uid="{00000000-0005-0000-0000-0000FB8E0000}"/>
    <cellStyle name="Note 3 2 5 2 4 2" xfId="17825" xr:uid="{00000000-0005-0000-0000-0000FC8E0000}"/>
    <cellStyle name="Note 3 2 5 2 5" xfId="1203" xr:uid="{00000000-0005-0000-0000-0000FD8E0000}"/>
    <cellStyle name="Note 3 2 5 3" xfId="1202" xr:uid="{00000000-0005-0000-0000-0000FE8E0000}"/>
    <cellStyle name="Note 3 2 5 3 2" xfId="1201" xr:uid="{00000000-0005-0000-0000-0000FF8E0000}"/>
    <cellStyle name="Note 3 2 5 3 2 2" xfId="1200" xr:uid="{00000000-0005-0000-0000-0000008F0000}"/>
    <cellStyle name="Note 3 2 5 3 2 2 2" xfId="1199" xr:uid="{00000000-0005-0000-0000-0000018F0000}"/>
    <cellStyle name="Note 3 2 5 3 2 3" xfId="1198" xr:uid="{00000000-0005-0000-0000-0000028F0000}"/>
    <cellStyle name="Note 3 2 5 3 3" xfId="32149" xr:uid="{00000000-0005-0000-0000-0000038F0000}"/>
    <cellStyle name="Note 3 2 5 3 3 2" xfId="1197" xr:uid="{00000000-0005-0000-0000-0000048F0000}"/>
    <cellStyle name="Note 3 2 5 3 4" xfId="1196" xr:uid="{00000000-0005-0000-0000-0000058F0000}"/>
    <cellStyle name="Note 3 2 5 4" xfId="1195" xr:uid="{00000000-0005-0000-0000-0000068F0000}"/>
    <cellStyle name="Note 3 2 5 4 2" xfId="1194" xr:uid="{00000000-0005-0000-0000-0000078F0000}"/>
    <cellStyle name="Note 3 2 5 4 2 2" xfId="1193" xr:uid="{00000000-0005-0000-0000-0000088F0000}"/>
    <cellStyle name="Note 3 2 5 4 3" xfId="1192" xr:uid="{00000000-0005-0000-0000-0000098F0000}"/>
    <cellStyle name="Note 3 2 5 5" xfId="1191" xr:uid="{00000000-0005-0000-0000-00000A8F0000}"/>
    <cellStyle name="Note 3 2 5 5 2" xfId="1190" xr:uid="{00000000-0005-0000-0000-00000B8F0000}"/>
    <cellStyle name="Note 3 2 5 6" xfId="1189" xr:uid="{00000000-0005-0000-0000-00000C8F0000}"/>
    <cellStyle name="Note 3 2 6" xfId="12851" xr:uid="{00000000-0005-0000-0000-00000D8F0000}"/>
    <cellStyle name="Note 3 2 6 2" xfId="1188" xr:uid="{00000000-0005-0000-0000-00000E8F0000}"/>
    <cellStyle name="Note 3 2 6 2 2" xfId="1187" xr:uid="{00000000-0005-0000-0000-00000F8F0000}"/>
    <cellStyle name="Note 3 2 6 2 2 2" xfId="1186" xr:uid="{00000000-0005-0000-0000-0000108F0000}"/>
    <cellStyle name="Note 3 2 6 2 2 2 2" xfId="1185" xr:uid="{00000000-0005-0000-0000-0000118F0000}"/>
    <cellStyle name="Note 3 2 6 2 2 3" xfId="1184" xr:uid="{00000000-0005-0000-0000-0000128F0000}"/>
    <cellStyle name="Note 3 2 6 2 3" xfId="18950" xr:uid="{00000000-0005-0000-0000-0000138F0000}"/>
    <cellStyle name="Note 3 2 6 2 3 2" xfId="1183" xr:uid="{00000000-0005-0000-0000-0000148F0000}"/>
    <cellStyle name="Note 3 2 6 2 4" xfId="1182" xr:uid="{00000000-0005-0000-0000-0000158F0000}"/>
    <cellStyle name="Note 3 2 6 3" xfId="1181" xr:uid="{00000000-0005-0000-0000-0000168F0000}"/>
    <cellStyle name="Note 3 2 6 3 2" xfId="1180" xr:uid="{00000000-0005-0000-0000-0000178F0000}"/>
    <cellStyle name="Note 3 2 6 3 2 2" xfId="1179" xr:uid="{00000000-0005-0000-0000-0000188F0000}"/>
    <cellStyle name="Note 3 2 6 3 3" xfId="1178" xr:uid="{00000000-0005-0000-0000-0000198F0000}"/>
    <cellStyle name="Note 3 2 6 4" xfId="1177" xr:uid="{00000000-0005-0000-0000-00001A8F0000}"/>
    <cellStyle name="Note 3 2 6 4 2" xfId="1176" xr:uid="{00000000-0005-0000-0000-00001B8F0000}"/>
    <cellStyle name="Note 3 2 6 5" xfId="1175" xr:uid="{00000000-0005-0000-0000-00001C8F0000}"/>
    <cellStyle name="Note 3 2 7" xfId="7102" xr:uid="{00000000-0005-0000-0000-00001D8F0000}"/>
    <cellStyle name="Note 3 2 7 2" xfId="1174" xr:uid="{00000000-0005-0000-0000-00001E8F0000}"/>
    <cellStyle name="Note 3 2 7 2 2" xfId="1173" xr:uid="{00000000-0005-0000-0000-00001F8F0000}"/>
    <cellStyle name="Note 3 2 7 2 2 2" xfId="1172" xr:uid="{00000000-0005-0000-0000-0000208F0000}"/>
    <cellStyle name="Note 3 2 7 2 3" xfId="1171" xr:uid="{00000000-0005-0000-0000-0000218F0000}"/>
    <cellStyle name="Note 3 2 7 3" xfId="1170" xr:uid="{00000000-0005-0000-0000-0000228F0000}"/>
    <cellStyle name="Note 3 2 7 3 2" xfId="1169" xr:uid="{00000000-0005-0000-0000-0000238F0000}"/>
    <cellStyle name="Note 3 2 7 4" xfId="1168" xr:uid="{00000000-0005-0000-0000-0000248F0000}"/>
    <cellStyle name="Note 3 2 8" xfId="7098" xr:uid="{00000000-0005-0000-0000-0000258F0000}"/>
    <cellStyle name="Note 3 2 8 2" xfId="1167" xr:uid="{00000000-0005-0000-0000-0000268F0000}"/>
    <cellStyle name="Note 3 2 8 2 2" xfId="19676" xr:uid="{00000000-0005-0000-0000-0000278F0000}"/>
    <cellStyle name="Note 3 2 8 3" xfId="31973" xr:uid="{00000000-0005-0000-0000-0000288F0000}"/>
    <cellStyle name="Note 3 2 9" xfId="11843" xr:uid="{00000000-0005-0000-0000-0000298F0000}"/>
    <cellStyle name="Note 3 2 9 2" xfId="11840" xr:uid="{00000000-0005-0000-0000-00002A8F0000}"/>
    <cellStyle name="Note 3 3" xfId="199" xr:uid="{00000000-0005-0000-0000-00002B8F0000}"/>
    <cellStyle name="Note 3 3 10" xfId="34534" xr:uid="{00000000-0005-0000-0000-00002C8F0000}"/>
    <cellStyle name="Note 3 3 11" xfId="1166" xr:uid="{00000000-0005-0000-0000-00002D8F0000}"/>
    <cellStyle name="Note 3 3 2" xfId="18481" xr:uid="{00000000-0005-0000-0000-00002E8F0000}"/>
    <cellStyle name="Note 3 3 2 2" xfId="1165" xr:uid="{00000000-0005-0000-0000-00002F8F0000}"/>
    <cellStyle name="Note 3 3 2 2 2" xfId="1164" xr:uid="{00000000-0005-0000-0000-0000308F0000}"/>
    <cellStyle name="Note 3 3 2 2 2 2" xfId="1163" xr:uid="{00000000-0005-0000-0000-0000318F0000}"/>
    <cellStyle name="Note 3 3 2 2 2 2 2" xfId="1162" xr:uid="{00000000-0005-0000-0000-0000328F0000}"/>
    <cellStyle name="Note 3 3 2 2 2 2 2 2" xfId="1161" xr:uid="{00000000-0005-0000-0000-0000338F0000}"/>
    <cellStyle name="Note 3 3 2 2 2 2 2 2 2" xfId="1160" xr:uid="{00000000-0005-0000-0000-0000348F0000}"/>
    <cellStyle name="Note 3 3 2 2 2 2 2 2 2 2" xfId="1159" xr:uid="{00000000-0005-0000-0000-0000358F0000}"/>
    <cellStyle name="Note 3 3 2 2 2 2 2 2 3" xfId="22286" xr:uid="{00000000-0005-0000-0000-0000368F0000}"/>
    <cellStyle name="Note 3 3 2 2 2 2 2 3" xfId="1158" xr:uid="{00000000-0005-0000-0000-0000378F0000}"/>
    <cellStyle name="Note 3 3 2 2 2 2 2 3 2" xfId="1157" xr:uid="{00000000-0005-0000-0000-0000388F0000}"/>
    <cellStyle name="Note 3 3 2 2 2 2 2 4" xfId="1156" xr:uid="{00000000-0005-0000-0000-0000398F0000}"/>
    <cellStyle name="Note 3 3 2 2 2 2 3" xfId="26515" xr:uid="{00000000-0005-0000-0000-00003A8F0000}"/>
    <cellStyle name="Note 3 3 2 2 2 2 3 2" xfId="1155" xr:uid="{00000000-0005-0000-0000-00003B8F0000}"/>
    <cellStyle name="Note 3 3 2 2 2 2 3 2 2" xfId="1154" xr:uid="{00000000-0005-0000-0000-00003C8F0000}"/>
    <cellStyle name="Note 3 3 2 2 2 2 3 3" xfId="8494" xr:uid="{00000000-0005-0000-0000-00003D8F0000}"/>
    <cellStyle name="Note 3 3 2 2 2 2 4" xfId="1153" xr:uid="{00000000-0005-0000-0000-00003E8F0000}"/>
    <cellStyle name="Note 3 3 2 2 2 2 4 2" xfId="1152" xr:uid="{00000000-0005-0000-0000-00003F8F0000}"/>
    <cellStyle name="Note 3 3 2 2 2 2 5" xfId="1151" xr:uid="{00000000-0005-0000-0000-0000408F0000}"/>
    <cellStyle name="Note 3 3 2 2 2 3" xfId="5205" xr:uid="{00000000-0005-0000-0000-0000418F0000}"/>
    <cellStyle name="Note 3 3 2 2 2 3 2" xfId="5203" xr:uid="{00000000-0005-0000-0000-0000428F0000}"/>
    <cellStyle name="Note 3 3 2 2 2 3 2 2" xfId="5201" xr:uid="{00000000-0005-0000-0000-0000438F0000}"/>
    <cellStyle name="Note 3 3 2 2 2 3 2 2 2" xfId="1150" xr:uid="{00000000-0005-0000-0000-0000448F0000}"/>
    <cellStyle name="Note 3 3 2 2 2 3 2 3" xfId="19654" xr:uid="{00000000-0005-0000-0000-0000458F0000}"/>
    <cellStyle name="Note 3 3 2 2 2 3 3" xfId="5199" xr:uid="{00000000-0005-0000-0000-0000468F0000}"/>
    <cellStyle name="Note 3 3 2 2 2 3 3 2" xfId="1149" xr:uid="{00000000-0005-0000-0000-0000478F0000}"/>
    <cellStyle name="Note 3 3 2 2 2 3 4" xfId="1148" xr:uid="{00000000-0005-0000-0000-0000488F0000}"/>
    <cellStyle name="Note 3 3 2 2 2 4" xfId="5197" xr:uid="{00000000-0005-0000-0000-0000498F0000}"/>
    <cellStyle name="Note 3 3 2 2 2 4 2" xfId="11391" xr:uid="{00000000-0005-0000-0000-00004A8F0000}"/>
    <cellStyle name="Note 3 3 2 2 2 4 2 2" xfId="1147" xr:uid="{00000000-0005-0000-0000-00004B8F0000}"/>
    <cellStyle name="Note 3 3 2 2 2 4 3" xfId="1146" xr:uid="{00000000-0005-0000-0000-00004C8F0000}"/>
    <cellStyle name="Note 3 3 2 2 2 5" xfId="5195" xr:uid="{00000000-0005-0000-0000-00004D8F0000}"/>
    <cellStyle name="Note 3 3 2 2 2 5 2" xfId="1145" xr:uid="{00000000-0005-0000-0000-00004E8F0000}"/>
    <cellStyle name="Note 3 3 2 2 2 6" xfId="1144" xr:uid="{00000000-0005-0000-0000-00004F8F0000}"/>
    <cellStyle name="Note 3 3 2 2 3" xfId="1143" xr:uid="{00000000-0005-0000-0000-0000508F0000}"/>
    <cellStyle name="Note 3 3 2 2 3 2" xfId="3419" xr:uid="{00000000-0005-0000-0000-0000518F0000}"/>
    <cellStyle name="Note 3 3 2 2 3 2 2" xfId="3417" xr:uid="{00000000-0005-0000-0000-0000528F0000}"/>
    <cellStyle name="Note 3 3 2 2 3 2 2 2" xfId="3415" xr:uid="{00000000-0005-0000-0000-0000538F0000}"/>
    <cellStyle name="Note 3 3 2 2 3 2 2 2 2" xfId="30473" xr:uid="{00000000-0005-0000-0000-0000548F0000}"/>
    <cellStyle name="Note 3 3 2 2 3 2 2 3" xfId="3413" xr:uid="{00000000-0005-0000-0000-0000558F0000}"/>
    <cellStyle name="Note 3 3 2 2 3 2 3" xfId="3411" xr:uid="{00000000-0005-0000-0000-0000568F0000}"/>
    <cellStyle name="Note 3 3 2 2 3 2 3 2" xfId="3409" xr:uid="{00000000-0005-0000-0000-0000578F0000}"/>
    <cellStyle name="Note 3 3 2 2 3 2 4" xfId="18771" xr:uid="{00000000-0005-0000-0000-0000588F0000}"/>
    <cellStyle name="Note 3 3 2 2 3 3" xfId="5191" xr:uid="{00000000-0005-0000-0000-0000598F0000}"/>
    <cellStyle name="Note 3 3 2 2 3 3 2" xfId="5188" xr:uid="{00000000-0005-0000-0000-00005A8F0000}"/>
    <cellStyle name="Note 3 3 2 2 3 3 2 2" xfId="19202" xr:uid="{00000000-0005-0000-0000-00005B8F0000}"/>
    <cellStyle name="Note 3 3 2 2 3 3 3" xfId="3407" xr:uid="{00000000-0005-0000-0000-00005C8F0000}"/>
    <cellStyle name="Note 3 3 2 2 3 4" xfId="5185" xr:uid="{00000000-0005-0000-0000-00005D8F0000}"/>
    <cellStyle name="Note 3 3 2 2 3 4 2" xfId="3405" xr:uid="{00000000-0005-0000-0000-00005E8F0000}"/>
    <cellStyle name="Note 3 3 2 2 3 5" xfId="9972" xr:uid="{00000000-0005-0000-0000-00005F8F0000}"/>
    <cellStyle name="Note 3 3 2 2 4" xfId="1142" xr:uid="{00000000-0005-0000-0000-0000608F0000}"/>
    <cellStyle name="Note 3 3 2 2 4 2" xfId="3397" xr:uid="{00000000-0005-0000-0000-0000618F0000}"/>
    <cellStyle name="Note 3 3 2 2 4 2 2" xfId="27615" xr:uid="{00000000-0005-0000-0000-0000628F0000}"/>
    <cellStyle name="Note 3 3 2 2 4 2 2 2" xfId="3395" xr:uid="{00000000-0005-0000-0000-0000638F0000}"/>
    <cellStyle name="Note 3 3 2 2 4 2 3" xfId="3393" xr:uid="{00000000-0005-0000-0000-0000648F0000}"/>
    <cellStyle name="Note 3 3 2 2 4 3" xfId="17548" xr:uid="{00000000-0005-0000-0000-0000658F0000}"/>
    <cellStyle name="Note 3 3 2 2 4 3 2" xfId="3391" xr:uid="{00000000-0005-0000-0000-0000668F0000}"/>
    <cellStyle name="Note 3 3 2 2 4 4" xfId="3389" xr:uid="{00000000-0005-0000-0000-0000678F0000}"/>
    <cellStyle name="Note 3 3 2 2 5" xfId="1141" xr:uid="{00000000-0005-0000-0000-0000688F0000}"/>
    <cellStyle name="Note 3 3 2 2 5 2" xfId="3382" xr:uid="{00000000-0005-0000-0000-0000698F0000}"/>
    <cellStyle name="Note 3 3 2 2 5 2 2" xfId="3380" xr:uid="{00000000-0005-0000-0000-00006A8F0000}"/>
    <cellStyle name="Note 3 3 2 2 5 3" xfId="3378" xr:uid="{00000000-0005-0000-0000-00006B8F0000}"/>
    <cellStyle name="Note 3 3 2 2 6" xfId="1140" xr:uid="{00000000-0005-0000-0000-00006C8F0000}"/>
    <cellStyle name="Note 3 3 2 2 6 2" xfId="3372" xr:uid="{00000000-0005-0000-0000-00006D8F0000}"/>
    <cellStyle name="Note 3 3 2 2 7" xfId="1139" xr:uid="{00000000-0005-0000-0000-00006E8F0000}"/>
    <cellStyle name="Note 3 3 2 3" xfId="1138" xr:uid="{00000000-0005-0000-0000-00006F8F0000}"/>
    <cellStyle name="Note 3 3 2 3 2" xfId="1137" xr:uid="{00000000-0005-0000-0000-0000708F0000}"/>
    <cellStyle name="Note 3 3 2 3 2 2" xfId="1136" xr:uid="{00000000-0005-0000-0000-0000718F0000}"/>
    <cellStyle name="Note 3 3 2 3 2 2 2" xfId="1135" xr:uid="{00000000-0005-0000-0000-0000728F0000}"/>
    <cellStyle name="Note 3 3 2 3 2 2 2 2" xfId="1134" xr:uid="{00000000-0005-0000-0000-0000738F0000}"/>
    <cellStyle name="Note 3 3 2 3 2 2 2 2 2" xfId="1133" xr:uid="{00000000-0005-0000-0000-0000748F0000}"/>
    <cellStyle name="Note 3 3 2 3 2 2 2 3" xfId="1132" xr:uid="{00000000-0005-0000-0000-0000758F0000}"/>
    <cellStyle name="Note 3 3 2 3 2 2 3" xfId="1131" xr:uid="{00000000-0005-0000-0000-0000768F0000}"/>
    <cellStyle name="Note 3 3 2 3 2 2 3 2" xfId="1130" xr:uid="{00000000-0005-0000-0000-0000778F0000}"/>
    <cellStyle name="Note 3 3 2 3 2 2 4" xfId="1129" xr:uid="{00000000-0005-0000-0000-0000788F0000}"/>
    <cellStyle name="Note 3 3 2 3 2 3" xfId="5174" xr:uid="{00000000-0005-0000-0000-0000798F0000}"/>
    <cellStyle name="Note 3 3 2 3 2 3 2" xfId="5172" xr:uid="{00000000-0005-0000-0000-00007A8F0000}"/>
    <cellStyle name="Note 3 3 2 3 2 3 2 2" xfId="1128" xr:uid="{00000000-0005-0000-0000-00007B8F0000}"/>
    <cellStyle name="Note 3 3 2 3 2 3 3" xfId="1127" xr:uid="{00000000-0005-0000-0000-00007C8F0000}"/>
    <cellStyle name="Note 3 3 2 3 2 4" xfId="5170" xr:uid="{00000000-0005-0000-0000-00007D8F0000}"/>
    <cellStyle name="Note 3 3 2 3 2 4 2" xfId="1126" xr:uid="{00000000-0005-0000-0000-00007E8F0000}"/>
    <cellStyle name="Note 3 3 2 3 2 5" xfId="1125" xr:uid="{00000000-0005-0000-0000-00007F8F0000}"/>
    <cellStyle name="Note 3 3 2 3 3" xfId="1124" xr:uid="{00000000-0005-0000-0000-0000808F0000}"/>
    <cellStyle name="Note 3 3 2 3 3 2" xfId="3360" xr:uid="{00000000-0005-0000-0000-0000818F0000}"/>
    <cellStyle name="Note 3 3 2 3 3 2 2" xfId="3358" xr:uid="{00000000-0005-0000-0000-0000828F0000}"/>
    <cellStyle name="Note 3 3 2 3 3 2 2 2" xfId="3356" xr:uid="{00000000-0005-0000-0000-0000838F0000}"/>
    <cellStyle name="Note 3 3 2 3 3 2 3" xfId="3354" xr:uid="{00000000-0005-0000-0000-0000848F0000}"/>
    <cellStyle name="Note 3 3 2 3 3 3" xfId="5167" xr:uid="{00000000-0005-0000-0000-0000858F0000}"/>
    <cellStyle name="Note 3 3 2 3 3 3 2" xfId="3352" xr:uid="{00000000-0005-0000-0000-0000868F0000}"/>
    <cellStyle name="Note 3 3 2 3 3 4" xfId="3350" xr:uid="{00000000-0005-0000-0000-0000878F0000}"/>
    <cellStyle name="Note 3 3 2 3 4" xfId="1123" xr:uid="{00000000-0005-0000-0000-0000888F0000}"/>
    <cellStyle name="Note 3 3 2 3 4 2" xfId="3343" xr:uid="{00000000-0005-0000-0000-0000898F0000}"/>
    <cellStyle name="Note 3 3 2 3 4 2 2" xfId="3341" xr:uid="{00000000-0005-0000-0000-00008A8F0000}"/>
    <cellStyle name="Note 3 3 2 3 4 3" xfId="3339" xr:uid="{00000000-0005-0000-0000-00008B8F0000}"/>
    <cellStyle name="Note 3 3 2 3 5" xfId="1122" xr:uid="{00000000-0005-0000-0000-00008C8F0000}"/>
    <cellStyle name="Note 3 3 2 3 5 2" xfId="3335" xr:uid="{00000000-0005-0000-0000-00008D8F0000}"/>
    <cellStyle name="Note 3 3 2 3 6" xfId="1121" xr:uid="{00000000-0005-0000-0000-00008E8F0000}"/>
    <cellStyle name="Note 3 3 2 4" xfId="4872" xr:uid="{00000000-0005-0000-0000-00008F8F0000}"/>
    <cellStyle name="Note 3 3 2 4 2" xfId="25043" xr:uid="{00000000-0005-0000-0000-0000908F0000}"/>
    <cellStyle name="Note 3 3 2 4 2 2" xfId="1120" xr:uid="{00000000-0005-0000-0000-0000918F0000}"/>
    <cellStyle name="Note 3 3 2 4 2 2 2" xfId="1119" xr:uid="{00000000-0005-0000-0000-0000928F0000}"/>
    <cellStyle name="Note 3 3 2 4 2 2 2 2" xfId="1118" xr:uid="{00000000-0005-0000-0000-0000938F0000}"/>
    <cellStyle name="Note 3 3 2 4 2 2 3" xfId="1117" xr:uid="{00000000-0005-0000-0000-0000948F0000}"/>
    <cellStyle name="Note 3 3 2 4 2 3" xfId="5161" xr:uid="{00000000-0005-0000-0000-0000958F0000}"/>
    <cellStyle name="Note 3 3 2 4 2 3 2" xfId="1116" xr:uid="{00000000-0005-0000-0000-0000968F0000}"/>
    <cellStyle name="Note 3 3 2 4 2 4" xfId="1341" xr:uid="{00000000-0005-0000-0000-0000978F0000}"/>
    <cellStyle name="Note 3 3 2 4 3" xfId="31323" xr:uid="{00000000-0005-0000-0000-0000988F0000}"/>
    <cellStyle name="Note 3 3 2 4 3 2" xfId="29822" xr:uid="{00000000-0005-0000-0000-0000998F0000}"/>
    <cellStyle name="Note 3 3 2 4 3 2 2" xfId="3329" xr:uid="{00000000-0005-0000-0000-00009A8F0000}"/>
    <cellStyle name="Note 3 3 2 4 3 3" xfId="3327" xr:uid="{00000000-0005-0000-0000-00009B8F0000}"/>
    <cellStyle name="Note 3 3 2 4 4" xfId="1115" xr:uid="{00000000-0005-0000-0000-00009C8F0000}"/>
    <cellStyle name="Note 3 3 2 4 4 2" xfId="3324" xr:uid="{00000000-0005-0000-0000-00009D8F0000}"/>
    <cellStyle name="Note 3 3 2 4 5" xfId="1114" xr:uid="{00000000-0005-0000-0000-00009E8F0000}"/>
    <cellStyle name="Note 3 3 2 5" xfId="1113" xr:uid="{00000000-0005-0000-0000-00009F8F0000}"/>
    <cellStyle name="Note 3 3 2 5 2" xfId="8142" xr:uid="{00000000-0005-0000-0000-0000A08F0000}"/>
    <cellStyle name="Note 3 3 2 5 2 2" xfId="1112" xr:uid="{00000000-0005-0000-0000-0000A18F0000}"/>
    <cellStyle name="Note 3 3 2 5 2 2 2" xfId="18023" xr:uid="{00000000-0005-0000-0000-0000A28F0000}"/>
    <cellStyle name="Note 3 3 2 5 2 3" xfId="1111" xr:uid="{00000000-0005-0000-0000-0000A38F0000}"/>
    <cellStyle name="Note 3 3 2 5 3" xfId="1110" xr:uid="{00000000-0005-0000-0000-0000A48F0000}"/>
    <cellStyle name="Note 3 3 2 5 3 2" xfId="3320" xr:uid="{00000000-0005-0000-0000-0000A58F0000}"/>
    <cellStyle name="Note 3 3 2 5 4" xfId="21096" xr:uid="{00000000-0005-0000-0000-0000A68F0000}"/>
    <cellStyle name="Note 3 3 2 6" xfId="9760" xr:uid="{00000000-0005-0000-0000-0000A78F0000}"/>
    <cellStyle name="Note 3 3 2 6 2" xfId="1109" xr:uid="{00000000-0005-0000-0000-0000A88F0000}"/>
    <cellStyle name="Note 3 3 2 6 2 2" xfId="1108" xr:uid="{00000000-0005-0000-0000-0000A98F0000}"/>
    <cellStyle name="Note 3 3 2 6 3" xfId="1107" xr:uid="{00000000-0005-0000-0000-0000AA8F0000}"/>
    <cellStyle name="Note 3 3 2 7" xfId="9754" xr:uid="{00000000-0005-0000-0000-0000AB8F0000}"/>
    <cellStyle name="Note 3 3 2 7 2" xfId="1106" xr:uid="{00000000-0005-0000-0000-0000AC8F0000}"/>
    <cellStyle name="Note 3 3 2 8" xfId="17556" xr:uid="{00000000-0005-0000-0000-0000AD8F0000}"/>
    <cellStyle name="Note 3 3 3" xfId="1105" xr:uid="{00000000-0005-0000-0000-0000AE8F0000}"/>
    <cellStyle name="Note 3 3 3 2" xfId="1104" xr:uid="{00000000-0005-0000-0000-0000AF8F0000}"/>
    <cellStyle name="Note 3 3 3 2 2" xfId="1103" xr:uid="{00000000-0005-0000-0000-0000B08F0000}"/>
    <cellStyle name="Note 3 3 3 2 2 2" xfId="1102" xr:uid="{00000000-0005-0000-0000-0000B18F0000}"/>
    <cellStyle name="Note 3 3 3 2 2 2 2" xfId="1101" xr:uid="{00000000-0005-0000-0000-0000B28F0000}"/>
    <cellStyle name="Note 3 3 3 2 2 2 2 2" xfId="1100" xr:uid="{00000000-0005-0000-0000-0000B38F0000}"/>
    <cellStyle name="Note 3 3 3 2 2 2 2 2 2" xfId="1099" xr:uid="{00000000-0005-0000-0000-0000B48F0000}"/>
    <cellStyle name="Note 3 3 3 2 2 2 2 3" xfId="1098" xr:uid="{00000000-0005-0000-0000-0000B58F0000}"/>
    <cellStyle name="Note 3 3 3 2 2 2 3" xfId="5504" xr:uid="{00000000-0005-0000-0000-0000B68F0000}"/>
    <cellStyle name="Note 3 3 3 2 2 2 3 2" xfId="15188" xr:uid="{00000000-0005-0000-0000-0000B78F0000}"/>
    <cellStyle name="Note 3 3 3 2 2 2 4" xfId="33197" xr:uid="{00000000-0005-0000-0000-0000B88F0000}"/>
    <cellStyle name="Note 3 3 3 2 2 3" xfId="30277" xr:uid="{00000000-0005-0000-0000-0000B98F0000}"/>
    <cellStyle name="Note 3 3 3 2 2 3 2" xfId="5101" xr:uid="{00000000-0005-0000-0000-0000BA8F0000}"/>
    <cellStyle name="Note 3 3 3 2 2 3 2 2" xfId="1097" xr:uid="{00000000-0005-0000-0000-0000BB8F0000}"/>
    <cellStyle name="Note 3 3 3 2 2 3 3" xfId="5019" xr:uid="{00000000-0005-0000-0000-0000BC8F0000}"/>
    <cellStyle name="Note 3 3 3 2 2 4" xfId="30274" xr:uid="{00000000-0005-0000-0000-0000BD8F0000}"/>
    <cellStyle name="Note 3 3 3 2 2 4 2" xfId="1096" xr:uid="{00000000-0005-0000-0000-0000BE8F0000}"/>
    <cellStyle name="Note 3 3 3 2 2 5" xfId="33502" xr:uid="{00000000-0005-0000-0000-0000BF8F0000}"/>
    <cellStyle name="Note 3 3 3 2 3" xfId="3947" xr:uid="{00000000-0005-0000-0000-0000C08F0000}"/>
    <cellStyle name="Note 3 3 3 2 3 2" xfId="3944" xr:uid="{00000000-0005-0000-0000-0000C18F0000}"/>
    <cellStyle name="Note 3 3 3 2 3 2 2" xfId="3941" xr:uid="{00000000-0005-0000-0000-0000C28F0000}"/>
    <cellStyle name="Note 3 3 3 2 3 2 2 2" xfId="3307" xr:uid="{00000000-0005-0000-0000-0000C38F0000}"/>
    <cellStyle name="Note 3 3 3 2 3 2 3" xfId="4298" xr:uid="{00000000-0005-0000-0000-0000C48F0000}"/>
    <cellStyle name="Note 3 3 3 2 3 3" xfId="30265" xr:uid="{00000000-0005-0000-0000-0000C58F0000}"/>
    <cellStyle name="Note 3 3 3 2 3 3 2" xfId="3305" xr:uid="{00000000-0005-0000-0000-0000C68F0000}"/>
    <cellStyle name="Note 3 3 3 2 3 4" xfId="11743" xr:uid="{00000000-0005-0000-0000-0000C78F0000}"/>
    <cellStyle name="Note 3 3 3 2 4" xfId="3939" xr:uid="{00000000-0005-0000-0000-0000C88F0000}"/>
    <cellStyle name="Note 3 3 3 2 4 2" xfId="3935" xr:uid="{00000000-0005-0000-0000-0000C98F0000}"/>
    <cellStyle name="Note 3 3 3 2 4 2 2" xfId="3298" xr:uid="{00000000-0005-0000-0000-0000CA8F0000}"/>
    <cellStyle name="Note 3 3 3 2 4 3" xfId="3296" xr:uid="{00000000-0005-0000-0000-0000CB8F0000}"/>
    <cellStyle name="Note 3 3 3 2 5" xfId="3933" xr:uid="{00000000-0005-0000-0000-0000CC8F0000}"/>
    <cellStyle name="Note 3 3 3 2 5 2" xfId="3292" xr:uid="{00000000-0005-0000-0000-0000CD8F0000}"/>
    <cellStyle name="Note 3 3 3 2 6" xfId="10653" xr:uid="{00000000-0005-0000-0000-0000CE8F0000}"/>
    <cellStyle name="Note 3 3 3 3" xfId="1095" xr:uid="{00000000-0005-0000-0000-0000CF8F0000}"/>
    <cellStyle name="Note 3 3 3 3 2" xfId="7850" xr:uid="{00000000-0005-0000-0000-0000D08F0000}"/>
    <cellStyle name="Note 3 3 3 3 2 2" xfId="1094" xr:uid="{00000000-0005-0000-0000-0000D18F0000}"/>
    <cellStyle name="Note 3 3 3 3 2 2 2" xfId="1093" xr:uid="{00000000-0005-0000-0000-0000D28F0000}"/>
    <cellStyle name="Note 3 3 3 3 2 2 2 2" xfId="1092" xr:uid="{00000000-0005-0000-0000-0000D38F0000}"/>
    <cellStyle name="Note 3 3 3 3 2 2 3" xfId="1091" xr:uid="{00000000-0005-0000-0000-0000D48F0000}"/>
    <cellStyle name="Note 3 3 3 3 2 3" xfId="30245" xr:uid="{00000000-0005-0000-0000-0000D58F0000}"/>
    <cellStyle name="Note 3 3 3 3 2 3 2" xfId="1090" xr:uid="{00000000-0005-0000-0000-0000D68F0000}"/>
    <cellStyle name="Note 3 3 3 3 2 4" xfId="1089" xr:uid="{00000000-0005-0000-0000-0000D78F0000}"/>
    <cellStyle name="Note 3 3 3 3 3" xfId="6496" xr:uid="{00000000-0005-0000-0000-0000D88F0000}"/>
    <cellStyle name="Note 3 3 3 3 3 2" xfId="3929" xr:uid="{00000000-0005-0000-0000-0000D98F0000}"/>
    <cellStyle name="Note 3 3 3 3 3 2 2" xfId="3280" xr:uid="{00000000-0005-0000-0000-0000DA8F0000}"/>
    <cellStyle name="Note 3 3 3 3 3 3" xfId="3278" xr:uid="{00000000-0005-0000-0000-0000DB8F0000}"/>
    <cellStyle name="Note 3 3 3 3 4" xfId="3927" xr:uid="{00000000-0005-0000-0000-0000DC8F0000}"/>
    <cellStyle name="Note 3 3 3 3 4 2" xfId="3273" xr:uid="{00000000-0005-0000-0000-0000DD8F0000}"/>
    <cellStyle name="Note 3 3 3 3 5" xfId="1088" xr:uid="{00000000-0005-0000-0000-0000DE8F0000}"/>
    <cellStyle name="Note 3 3 3 4" xfId="1087" xr:uid="{00000000-0005-0000-0000-0000DF8F0000}"/>
    <cellStyle name="Note 3 3 3 4 2" xfId="8136" xr:uid="{00000000-0005-0000-0000-0000E08F0000}"/>
    <cellStyle name="Note 3 3 3 4 2 2" xfId="33866" xr:uid="{00000000-0005-0000-0000-0000E18F0000}"/>
    <cellStyle name="Note 3 3 3 4 2 2 2" xfId="22282" xr:uid="{00000000-0005-0000-0000-0000E28F0000}"/>
    <cellStyle name="Note 3 3 3 4 2 3" xfId="1086" xr:uid="{00000000-0005-0000-0000-0000E38F0000}"/>
    <cellStyle name="Note 3 3 3 4 3" xfId="3925" xr:uid="{00000000-0005-0000-0000-0000E48F0000}"/>
    <cellStyle name="Note 3 3 3 4 3 2" xfId="3267" xr:uid="{00000000-0005-0000-0000-0000E58F0000}"/>
    <cellStyle name="Note 3 3 3 4 4" xfId="1085" xr:uid="{00000000-0005-0000-0000-0000E68F0000}"/>
    <cellStyle name="Note 3 3 3 5" xfId="1084" xr:uid="{00000000-0005-0000-0000-0000E78F0000}"/>
    <cellStyle name="Note 3 3 3 5 2" xfId="1083" xr:uid="{00000000-0005-0000-0000-0000E88F0000}"/>
    <cellStyle name="Note 3 3 3 5 2 2" xfId="1082" xr:uid="{00000000-0005-0000-0000-0000E98F0000}"/>
    <cellStyle name="Note 3 3 3 5 3" xfId="1081" xr:uid="{00000000-0005-0000-0000-0000EA8F0000}"/>
    <cellStyle name="Note 3 3 3 6" xfId="9745" xr:uid="{00000000-0005-0000-0000-0000EB8F0000}"/>
    <cellStyle name="Note 3 3 3 6 2" xfId="1080" xr:uid="{00000000-0005-0000-0000-0000EC8F0000}"/>
    <cellStyle name="Note 3 3 3 7" xfId="1079" xr:uid="{00000000-0005-0000-0000-0000ED8F0000}"/>
    <cellStyle name="Note 3 3 4" xfId="1078" xr:uid="{00000000-0005-0000-0000-0000EE8F0000}"/>
    <cellStyle name="Note 3 3 4 2" xfId="1077" xr:uid="{00000000-0005-0000-0000-0000EF8F0000}"/>
    <cellStyle name="Note 3 3 4 2 2" xfId="1076" xr:uid="{00000000-0005-0000-0000-0000F08F0000}"/>
    <cellStyle name="Note 3 3 4 2 2 2" xfId="11516" xr:uid="{00000000-0005-0000-0000-0000F18F0000}"/>
    <cellStyle name="Note 3 3 4 2 2 2 2" xfId="1075" xr:uid="{00000000-0005-0000-0000-0000F28F0000}"/>
    <cellStyle name="Note 3 3 4 2 2 2 2 2" xfId="1074" xr:uid="{00000000-0005-0000-0000-0000F38F0000}"/>
    <cellStyle name="Note 3 3 4 2 2 2 3" xfId="1073" xr:uid="{00000000-0005-0000-0000-0000F48F0000}"/>
    <cellStyle name="Note 3 3 4 2 2 3" xfId="31135" xr:uid="{00000000-0005-0000-0000-0000F58F0000}"/>
    <cellStyle name="Note 3 3 4 2 2 3 2" xfId="26481" xr:uid="{00000000-0005-0000-0000-0000F68F0000}"/>
    <cellStyle name="Note 3 3 4 2 2 4" xfId="1072" xr:uid="{00000000-0005-0000-0000-0000F78F0000}"/>
    <cellStyle name="Note 3 3 4 2 3" xfId="3909" xr:uid="{00000000-0005-0000-0000-0000F88F0000}"/>
    <cellStyle name="Note 3 3 4 2 3 2" xfId="3906" xr:uid="{00000000-0005-0000-0000-0000F98F0000}"/>
    <cellStyle name="Note 3 3 4 2 3 2 2" xfId="3253" xr:uid="{00000000-0005-0000-0000-0000FA8F0000}"/>
    <cellStyle name="Note 3 3 4 2 3 3" xfId="3251" xr:uid="{00000000-0005-0000-0000-0000FB8F0000}"/>
    <cellStyle name="Note 3 3 4 2 4" xfId="3904" xr:uid="{00000000-0005-0000-0000-0000FC8F0000}"/>
    <cellStyle name="Note 3 3 4 2 4 2" xfId="17812" xr:uid="{00000000-0005-0000-0000-0000FD8F0000}"/>
    <cellStyle name="Note 3 3 4 2 5" xfId="1071" xr:uid="{00000000-0005-0000-0000-0000FE8F0000}"/>
    <cellStyle name="Note 3 3 4 3" xfId="1070" xr:uid="{00000000-0005-0000-0000-0000FF8F0000}"/>
    <cellStyle name="Note 3 3 4 3 2" xfId="6494" xr:uid="{00000000-0005-0000-0000-000000900000}"/>
    <cellStyle name="Note 3 3 4 3 2 2" xfId="27929" xr:uid="{00000000-0005-0000-0000-000001900000}"/>
    <cellStyle name="Note 3 3 4 3 2 2 2" xfId="1069" xr:uid="{00000000-0005-0000-0000-000002900000}"/>
    <cellStyle name="Note 3 3 4 3 2 3" xfId="1068" xr:uid="{00000000-0005-0000-0000-000003900000}"/>
    <cellStyle name="Note 3 3 4 3 3" xfId="3901" xr:uid="{00000000-0005-0000-0000-000004900000}"/>
    <cellStyle name="Note 3 3 4 3 3 2" xfId="3239" xr:uid="{00000000-0005-0000-0000-000005900000}"/>
    <cellStyle name="Note 3 3 4 3 4" xfId="1067" xr:uid="{00000000-0005-0000-0000-000006900000}"/>
    <cellStyle name="Note 3 3 4 4" xfId="1066" xr:uid="{00000000-0005-0000-0000-000007900000}"/>
    <cellStyle name="Note 3 3 4 4 2" xfId="1065" xr:uid="{00000000-0005-0000-0000-000008900000}"/>
    <cellStyle name="Note 3 3 4 4 2 2" xfId="1064" xr:uid="{00000000-0005-0000-0000-000009900000}"/>
    <cellStyle name="Note 3 3 4 4 3" xfId="1063" xr:uid="{00000000-0005-0000-0000-00000A900000}"/>
    <cellStyle name="Note 3 3 4 5" xfId="1062" xr:uid="{00000000-0005-0000-0000-00000B900000}"/>
    <cellStyle name="Note 3 3 4 5 2" xfId="1061" xr:uid="{00000000-0005-0000-0000-00000C900000}"/>
    <cellStyle name="Note 3 3 4 6" xfId="1060" xr:uid="{00000000-0005-0000-0000-00000D900000}"/>
    <cellStyle name="Note 3 3 5" xfId="1059" xr:uid="{00000000-0005-0000-0000-00000E900000}"/>
    <cellStyle name="Note 3 3 5 2" xfId="1058" xr:uid="{00000000-0005-0000-0000-00000F900000}"/>
    <cellStyle name="Note 3 3 5 2 2" xfId="1057" xr:uid="{00000000-0005-0000-0000-000010900000}"/>
    <cellStyle name="Note 3 3 5 2 2 2" xfId="1056" xr:uid="{00000000-0005-0000-0000-000011900000}"/>
    <cellStyle name="Note 3 3 5 2 2 2 2" xfId="1055" xr:uid="{00000000-0005-0000-0000-000012900000}"/>
    <cellStyle name="Note 3 3 5 2 2 3" xfId="1054" xr:uid="{00000000-0005-0000-0000-000013900000}"/>
    <cellStyle name="Note 3 3 5 2 3" xfId="17659" xr:uid="{00000000-0005-0000-0000-000014900000}"/>
    <cellStyle name="Note 3 3 5 2 3 2" xfId="3224" xr:uid="{00000000-0005-0000-0000-000015900000}"/>
    <cellStyle name="Note 3 3 5 2 4" xfId="1053" xr:uid="{00000000-0005-0000-0000-000016900000}"/>
    <cellStyle name="Note 3 3 5 3" xfId="1052" xr:uid="{00000000-0005-0000-0000-000017900000}"/>
    <cellStyle name="Note 3 3 5 3 2" xfId="1051" xr:uid="{00000000-0005-0000-0000-000018900000}"/>
    <cellStyle name="Note 3 3 5 3 2 2" xfId="1050" xr:uid="{00000000-0005-0000-0000-000019900000}"/>
    <cellStyle name="Note 3 3 5 3 3" xfId="1049" xr:uid="{00000000-0005-0000-0000-00001A900000}"/>
    <cellStyle name="Note 3 3 5 4" xfId="1048" xr:uid="{00000000-0005-0000-0000-00001B900000}"/>
    <cellStyle name="Note 3 3 5 4 2" xfId="1047" xr:uid="{00000000-0005-0000-0000-00001C900000}"/>
    <cellStyle name="Note 3 3 5 5" xfId="1046" xr:uid="{00000000-0005-0000-0000-00001D900000}"/>
    <cellStyle name="Note 3 3 6" xfId="15398" xr:uid="{00000000-0005-0000-0000-00001E900000}"/>
    <cellStyle name="Note 3 3 6 2" xfId="1045" xr:uid="{00000000-0005-0000-0000-00001F900000}"/>
    <cellStyle name="Note 3 3 6 2 2" xfId="1044" xr:uid="{00000000-0005-0000-0000-000020900000}"/>
    <cellStyle name="Note 3 3 6 2 2 2" xfId="1043" xr:uid="{00000000-0005-0000-0000-000021900000}"/>
    <cellStyle name="Note 3 3 6 2 3" xfId="1042" xr:uid="{00000000-0005-0000-0000-000022900000}"/>
    <cellStyle name="Note 3 3 6 3" xfId="1041" xr:uid="{00000000-0005-0000-0000-000023900000}"/>
    <cellStyle name="Note 3 3 6 3 2" xfId="1040" xr:uid="{00000000-0005-0000-0000-000024900000}"/>
    <cellStyle name="Note 3 3 6 4" xfId="1039" xr:uid="{00000000-0005-0000-0000-000025900000}"/>
    <cellStyle name="Note 3 3 7" xfId="12216" xr:uid="{00000000-0005-0000-0000-000026900000}"/>
    <cellStyle name="Note 3 3 7 2" xfId="1038" xr:uid="{00000000-0005-0000-0000-000027900000}"/>
    <cellStyle name="Note 3 3 7 2 2" xfId="24926" xr:uid="{00000000-0005-0000-0000-000028900000}"/>
    <cellStyle name="Note 3 3 7 3" xfId="1037" xr:uid="{00000000-0005-0000-0000-000029900000}"/>
    <cellStyle name="Note 3 3 8" xfId="1036" xr:uid="{00000000-0005-0000-0000-00002A900000}"/>
    <cellStyle name="Note 3 3 8 2" xfId="1035" xr:uid="{00000000-0005-0000-0000-00002B900000}"/>
    <cellStyle name="Note 3 3 9" xfId="26765" xr:uid="{00000000-0005-0000-0000-00002C900000}"/>
    <cellStyle name="Note 3 4" xfId="32637" xr:uid="{00000000-0005-0000-0000-00002D900000}"/>
    <cellStyle name="Note 3 4 2" xfId="27986" xr:uid="{00000000-0005-0000-0000-00002E900000}"/>
    <cellStyle name="Note 3 4 2 2" xfId="28423" xr:uid="{00000000-0005-0000-0000-00002F900000}"/>
    <cellStyle name="Note 3 4 2 2 2" xfId="27983" xr:uid="{00000000-0005-0000-0000-000030900000}"/>
    <cellStyle name="Note 3 4 2 2 2 2" xfId="1034" xr:uid="{00000000-0005-0000-0000-000031900000}"/>
    <cellStyle name="Note 3 4 2 2 2 2 2" xfId="29329" xr:uid="{00000000-0005-0000-0000-000032900000}"/>
    <cellStyle name="Note 3 4 2 2 2 2 2 2" xfId="1033" xr:uid="{00000000-0005-0000-0000-000033900000}"/>
    <cellStyle name="Note 3 4 2 2 2 2 2 2 2" xfId="1032" xr:uid="{00000000-0005-0000-0000-000034900000}"/>
    <cellStyle name="Note 3 4 2 2 2 2 2 3" xfId="1031" xr:uid="{00000000-0005-0000-0000-000035900000}"/>
    <cellStyle name="Note 3 4 2 2 2 2 3" xfId="1030" xr:uid="{00000000-0005-0000-0000-000036900000}"/>
    <cellStyle name="Note 3 4 2 2 2 2 3 2" xfId="1029" xr:uid="{00000000-0005-0000-0000-000037900000}"/>
    <cellStyle name="Note 3 4 2 2 2 2 4" xfId="1028" xr:uid="{00000000-0005-0000-0000-000038900000}"/>
    <cellStyle name="Note 3 4 2 2 2 3" xfId="4788" xr:uid="{00000000-0005-0000-0000-000039900000}"/>
    <cellStyle name="Note 3 4 2 2 2 3 2" xfId="4786" xr:uid="{00000000-0005-0000-0000-00003A900000}"/>
    <cellStyle name="Note 3 4 2 2 2 3 2 2" xfId="1027" xr:uid="{00000000-0005-0000-0000-00003B900000}"/>
    <cellStyle name="Note 3 4 2 2 2 3 3" xfId="1026" xr:uid="{00000000-0005-0000-0000-00003C900000}"/>
    <cellStyle name="Note 3 4 2 2 2 4" xfId="4784" xr:uid="{00000000-0005-0000-0000-00003D900000}"/>
    <cellStyle name="Note 3 4 2 2 2 4 2" xfId="1025" xr:uid="{00000000-0005-0000-0000-00003E900000}"/>
    <cellStyle name="Note 3 4 2 2 2 5" xfId="18131" xr:uid="{00000000-0005-0000-0000-00003F900000}"/>
    <cellStyle name="Note 3 4 2 2 3" xfId="1024" xr:uid="{00000000-0005-0000-0000-000040900000}"/>
    <cellStyle name="Note 3 4 2 2 3 2" xfId="1023" xr:uid="{00000000-0005-0000-0000-000041900000}"/>
    <cellStyle name="Note 3 4 2 2 3 2 2" xfId="24908" xr:uid="{00000000-0005-0000-0000-000042900000}"/>
    <cellStyle name="Note 3 4 2 2 3 2 2 2" xfId="1021" xr:uid="{00000000-0005-0000-0000-000043900000}"/>
    <cellStyle name="Note 3 4 2 2 3 2 3" xfId="24221" xr:uid="{00000000-0005-0000-0000-000044900000}"/>
    <cellStyle name="Note 3 4 2 2 3 3" xfId="4782" xr:uid="{00000000-0005-0000-0000-000045900000}"/>
    <cellStyle name="Note 3 4 2 2 3 3 2" xfId="24182" xr:uid="{00000000-0005-0000-0000-000046900000}"/>
    <cellStyle name="Note 3 4 2 2 3 4" xfId="1019" xr:uid="{00000000-0005-0000-0000-000047900000}"/>
    <cellStyle name="Note 3 4 2 2 4" xfId="1017" xr:uid="{00000000-0005-0000-0000-000048900000}"/>
    <cellStyle name="Note 3 4 2 2 4 2" xfId="1016" xr:uid="{00000000-0005-0000-0000-000049900000}"/>
    <cellStyle name="Note 3 4 2 2 4 2 2" xfId="23671" xr:uid="{00000000-0005-0000-0000-00004A900000}"/>
    <cellStyle name="Note 3 4 2 2 4 3" xfId="1014" xr:uid="{00000000-0005-0000-0000-00004B900000}"/>
    <cellStyle name="Note 3 4 2 2 5" xfId="1012" xr:uid="{00000000-0005-0000-0000-00004C900000}"/>
    <cellStyle name="Note 3 4 2 2 5 2" xfId="1011" xr:uid="{00000000-0005-0000-0000-00004D900000}"/>
    <cellStyle name="Note 3 4 2 2 6" xfId="1009" xr:uid="{00000000-0005-0000-0000-00004E900000}"/>
    <cellStyle name="Note 3 4 2 3" xfId="27980" xr:uid="{00000000-0005-0000-0000-00004F900000}"/>
    <cellStyle name="Note 3 4 2 3 2" xfId="24343" xr:uid="{00000000-0005-0000-0000-000050900000}"/>
    <cellStyle name="Note 3 4 2 3 2 2" xfId="1008" xr:uid="{00000000-0005-0000-0000-000051900000}"/>
    <cellStyle name="Note 3 4 2 3 2 2 2" xfId="1007" xr:uid="{00000000-0005-0000-0000-000052900000}"/>
    <cellStyle name="Note 3 4 2 3 2 2 2 2" xfId="1006" xr:uid="{00000000-0005-0000-0000-000053900000}"/>
    <cellStyle name="Note 3 4 2 3 2 2 3" xfId="1005" xr:uid="{00000000-0005-0000-0000-000054900000}"/>
    <cellStyle name="Note 3 4 2 3 2 3" xfId="4772" xr:uid="{00000000-0005-0000-0000-000055900000}"/>
    <cellStyle name="Note 3 4 2 3 2 3 2" xfId="17986" xr:uid="{00000000-0005-0000-0000-000056900000}"/>
    <cellStyle name="Note 3 4 2 3 2 4" xfId="21509" xr:uid="{00000000-0005-0000-0000-000057900000}"/>
    <cellStyle name="Note 3 4 2 3 3" xfId="21642" xr:uid="{00000000-0005-0000-0000-000058900000}"/>
    <cellStyle name="Note 3 4 2 3 3 2" xfId="1004" xr:uid="{00000000-0005-0000-0000-000059900000}"/>
    <cellStyle name="Note 3 4 2 3 3 2 2" xfId="23945" xr:uid="{00000000-0005-0000-0000-00005A900000}"/>
    <cellStyle name="Note 3 4 2 3 3 3" xfId="1002" xr:uid="{00000000-0005-0000-0000-00005B900000}"/>
    <cellStyle name="Note 3 4 2 3 4" xfId="1000" xr:uid="{00000000-0005-0000-0000-00005C900000}"/>
    <cellStyle name="Note 3 4 2 3 4 2" xfId="999" xr:uid="{00000000-0005-0000-0000-00005D900000}"/>
    <cellStyle name="Note 3 4 2 3 5" xfId="997" xr:uid="{00000000-0005-0000-0000-00005E900000}"/>
    <cellStyle name="Note 3 4 2 4" xfId="996" xr:uid="{00000000-0005-0000-0000-00005F900000}"/>
    <cellStyle name="Note 3 4 2 4 2" xfId="8109" xr:uid="{00000000-0005-0000-0000-000060900000}"/>
    <cellStyle name="Note 3 4 2 4 2 2" xfId="995" xr:uid="{00000000-0005-0000-0000-000061900000}"/>
    <cellStyle name="Note 3 4 2 4 2 2 2" xfId="21981" xr:uid="{00000000-0005-0000-0000-000062900000}"/>
    <cellStyle name="Note 3 4 2 4 2 3" xfId="994" xr:uid="{00000000-0005-0000-0000-000063900000}"/>
    <cellStyle name="Note 3 4 2 4 3" xfId="12088" xr:uid="{00000000-0005-0000-0000-000064900000}"/>
    <cellStyle name="Note 3 4 2 4 3 2" xfId="5865" xr:uid="{00000000-0005-0000-0000-000065900000}"/>
    <cellStyle name="Note 3 4 2 4 4" xfId="28141" xr:uid="{00000000-0005-0000-0000-000066900000}"/>
    <cellStyle name="Note 3 4 2 5" xfId="993" xr:uid="{00000000-0005-0000-0000-000067900000}"/>
    <cellStyle name="Note 3 4 2 5 2" xfId="992" xr:uid="{00000000-0005-0000-0000-000068900000}"/>
    <cellStyle name="Note 3 4 2 5 2 2" xfId="991" xr:uid="{00000000-0005-0000-0000-000069900000}"/>
    <cellStyle name="Note 3 4 2 5 3" xfId="6245" xr:uid="{00000000-0005-0000-0000-00006A900000}"/>
    <cellStyle name="Note 3 4 2 6" xfId="9734" xr:uid="{00000000-0005-0000-0000-00006B900000}"/>
    <cellStyle name="Note 3 4 2 6 2" xfId="990" xr:uid="{00000000-0005-0000-0000-00006C900000}"/>
    <cellStyle name="Note 3 4 2 7" xfId="989" xr:uid="{00000000-0005-0000-0000-00006D900000}"/>
    <cellStyle name="Note 3 4 3" xfId="27977" xr:uid="{00000000-0005-0000-0000-00006E900000}"/>
    <cellStyle name="Note 3 4 3 2" xfId="27970" xr:uid="{00000000-0005-0000-0000-00006F900000}"/>
    <cellStyle name="Note 3 4 3 2 2" xfId="988" xr:uid="{00000000-0005-0000-0000-000070900000}"/>
    <cellStyle name="Note 3 4 3 2 2 2" xfId="987" xr:uid="{00000000-0005-0000-0000-000071900000}"/>
    <cellStyle name="Note 3 4 3 2 2 2 2" xfId="986" xr:uid="{00000000-0005-0000-0000-000072900000}"/>
    <cellStyle name="Note 3 4 3 2 2 2 2 2" xfId="4073" xr:uid="{00000000-0005-0000-0000-000073900000}"/>
    <cellStyle name="Note 3 4 3 2 2 2 3" xfId="985" xr:uid="{00000000-0005-0000-0000-000074900000}"/>
    <cellStyle name="Note 3 4 3 2 2 3" xfId="29767" xr:uid="{00000000-0005-0000-0000-000075900000}"/>
    <cellStyle name="Note 3 4 3 2 2 3 2" xfId="984" xr:uid="{00000000-0005-0000-0000-000076900000}"/>
    <cellStyle name="Note 3 4 3 2 2 4" xfId="983" xr:uid="{00000000-0005-0000-0000-000077900000}"/>
    <cellStyle name="Note 3 4 3 2 3" xfId="3861" xr:uid="{00000000-0005-0000-0000-000078900000}"/>
    <cellStyle name="Note 3 4 3 2 3 2" xfId="3859" xr:uid="{00000000-0005-0000-0000-000079900000}"/>
    <cellStyle name="Note 3 4 3 2 3 2 2" xfId="30444" xr:uid="{00000000-0005-0000-0000-00007A900000}"/>
    <cellStyle name="Note 3 4 3 2 3 3" xfId="982" xr:uid="{00000000-0005-0000-0000-00007B900000}"/>
    <cellStyle name="Note 3 4 3 2 4" xfId="3856" xr:uid="{00000000-0005-0000-0000-00007C900000}"/>
    <cellStyle name="Note 3 4 3 2 4 2" xfId="980" xr:uid="{00000000-0005-0000-0000-00007D900000}"/>
    <cellStyle name="Note 3 4 3 2 5" xfId="978" xr:uid="{00000000-0005-0000-0000-00007E900000}"/>
    <cellStyle name="Note 3 4 3 3" xfId="977" xr:uid="{00000000-0005-0000-0000-00007F900000}"/>
    <cellStyle name="Note 3 4 3 3 2" xfId="19718" xr:uid="{00000000-0005-0000-0000-000080900000}"/>
    <cellStyle name="Note 3 4 3 3 2 2" xfId="976" xr:uid="{00000000-0005-0000-0000-000081900000}"/>
    <cellStyle name="Note 3 4 3 3 2 2 2" xfId="975" xr:uid="{00000000-0005-0000-0000-000082900000}"/>
    <cellStyle name="Note 3 4 3 3 2 3" xfId="974" xr:uid="{00000000-0005-0000-0000-000083900000}"/>
    <cellStyle name="Note 3 4 3 3 3" xfId="3853" xr:uid="{00000000-0005-0000-0000-000084900000}"/>
    <cellStyle name="Note 3 4 3 3 3 2" xfId="973" xr:uid="{00000000-0005-0000-0000-000085900000}"/>
    <cellStyle name="Note 3 4 3 3 4" xfId="971" xr:uid="{00000000-0005-0000-0000-000086900000}"/>
    <cellStyle name="Note 3 4 3 4" xfId="970" xr:uid="{00000000-0005-0000-0000-000087900000}"/>
    <cellStyle name="Note 3 4 3 4 2" xfId="969" xr:uid="{00000000-0005-0000-0000-000088900000}"/>
    <cellStyle name="Note 3 4 3 4 2 2" xfId="968" xr:uid="{00000000-0005-0000-0000-000089900000}"/>
    <cellStyle name="Note 3 4 3 4 3" xfId="5858" xr:uid="{00000000-0005-0000-0000-00008A900000}"/>
    <cellStyle name="Note 3 4 3 5" xfId="967" xr:uid="{00000000-0005-0000-0000-00008B900000}"/>
    <cellStyle name="Note 3 4 3 5 2" xfId="966" xr:uid="{00000000-0005-0000-0000-00008C900000}"/>
    <cellStyle name="Note 3 4 3 6" xfId="965" xr:uid="{00000000-0005-0000-0000-00008D900000}"/>
    <cellStyle name="Note 3 4 4" xfId="27966" xr:uid="{00000000-0005-0000-0000-00008E900000}"/>
    <cellStyle name="Note 3 4 4 2" xfId="964" xr:uid="{00000000-0005-0000-0000-00008F900000}"/>
    <cellStyle name="Note 3 4 4 2 2" xfId="963" xr:uid="{00000000-0005-0000-0000-000090900000}"/>
    <cellStyle name="Note 3 4 4 2 2 2" xfId="962" xr:uid="{00000000-0005-0000-0000-000091900000}"/>
    <cellStyle name="Note 3 4 4 2 2 2 2" xfId="961" xr:uid="{00000000-0005-0000-0000-000092900000}"/>
    <cellStyle name="Note 3 4 4 2 2 3" xfId="26835" xr:uid="{00000000-0005-0000-0000-000093900000}"/>
    <cellStyle name="Note 3 4 4 2 3" xfId="3841" xr:uid="{00000000-0005-0000-0000-000094900000}"/>
    <cellStyle name="Note 3 4 4 2 3 2" xfId="960" xr:uid="{00000000-0005-0000-0000-000095900000}"/>
    <cellStyle name="Note 3 4 4 2 4" xfId="958" xr:uid="{00000000-0005-0000-0000-000096900000}"/>
    <cellStyle name="Note 3 4 4 3" xfId="957" xr:uid="{00000000-0005-0000-0000-000097900000}"/>
    <cellStyle name="Note 3 4 4 3 2" xfId="956" xr:uid="{00000000-0005-0000-0000-000098900000}"/>
    <cellStyle name="Note 3 4 4 3 2 2" xfId="955" xr:uid="{00000000-0005-0000-0000-000099900000}"/>
    <cellStyle name="Note 3 4 4 3 3" xfId="954" xr:uid="{00000000-0005-0000-0000-00009A900000}"/>
    <cellStyle name="Note 3 4 4 4" xfId="953" xr:uid="{00000000-0005-0000-0000-00009B900000}"/>
    <cellStyle name="Note 3 4 4 4 2" xfId="952" xr:uid="{00000000-0005-0000-0000-00009C900000}"/>
    <cellStyle name="Note 3 4 4 5" xfId="951" xr:uid="{00000000-0005-0000-0000-00009D900000}"/>
    <cellStyle name="Note 3 4 5" xfId="950" xr:uid="{00000000-0005-0000-0000-00009E900000}"/>
    <cellStyle name="Note 3 4 5 2" xfId="949" xr:uid="{00000000-0005-0000-0000-00009F900000}"/>
    <cellStyle name="Note 3 4 5 2 2" xfId="948" xr:uid="{00000000-0005-0000-0000-0000A0900000}"/>
    <cellStyle name="Note 3 4 5 2 2 2" xfId="947" xr:uid="{00000000-0005-0000-0000-0000A1900000}"/>
    <cellStyle name="Note 3 4 5 2 3" xfId="946" xr:uid="{00000000-0005-0000-0000-0000A2900000}"/>
    <cellStyle name="Note 3 4 5 3" xfId="945" xr:uid="{00000000-0005-0000-0000-0000A3900000}"/>
    <cellStyle name="Note 3 4 5 3 2" xfId="944" xr:uid="{00000000-0005-0000-0000-0000A4900000}"/>
    <cellStyle name="Note 3 4 5 4" xfId="943" xr:uid="{00000000-0005-0000-0000-0000A5900000}"/>
    <cellStyle name="Note 3 4 6" xfId="942" xr:uid="{00000000-0005-0000-0000-0000A6900000}"/>
    <cellStyle name="Note 3 4 6 2" xfId="941" xr:uid="{00000000-0005-0000-0000-0000A7900000}"/>
    <cellStyle name="Note 3 4 6 2 2" xfId="940" xr:uid="{00000000-0005-0000-0000-0000A8900000}"/>
    <cellStyle name="Note 3 4 6 3" xfId="939" xr:uid="{00000000-0005-0000-0000-0000A9900000}"/>
    <cellStyle name="Note 3 4 7" xfId="938" xr:uid="{00000000-0005-0000-0000-0000AA900000}"/>
    <cellStyle name="Note 3 4 7 2" xfId="937" xr:uid="{00000000-0005-0000-0000-0000AB900000}"/>
    <cellStyle name="Note 3 4 8" xfId="4450" xr:uid="{00000000-0005-0000-0000-0000AC900000}"/>
    <cellStyle name="Note 3 4 9" xfId="34751" xr:uid="{00000000-0005-0000-0000-0000AD900000}"/>
    <cellStyle name="Note 3 5" xfId="27963" xr:uid="{00000000-0005-0000-0000-0000AE900000}"/>
    <cellStyle name="Note 3 5 2" xfId="27959" xr:uid="{00000000-0005-0000-0000-0000AF900000}"/>
    <cellStyle name="Note 3 5 2 2" xfId="22534" xr:uid="{00000000-0005-0000-0000-0000B0900000}"/>
    <cellStyle name="Note 3 5 2 2 2" xfId="11024" xr:uid="{00000000-0005-0000-0000-0000B1900000}"/>
    <cellStyle name="Note 3 5 2 2 2 2" xfId="936" xr:uid="{00000000-0005-0000-0000-0000B2900000}"/>
    <cellStyle name="Note 3 5 2 2 2 2 2" xfId="935" xr:uid="{00000000-0005-0000-0000-0000B3900000}"/>
    <cellStyle name="Note 3 5 2 2 2 2 2 2" xfId="26252" xr:uid="{00000000-0005-0000-0000-0000B4900000}"/>
    <cellStyle name="Note 3 5 2 2 2 2 3" xfId="934" xr:uid="{00000000-0005-0000-0000-0000B5900000}"/>
    <cellStyle name="Note 3 5 2 2 2 3" xfId="4632" xr:uid="{00000000-0005-0000-0000-0000B6900000}"/>
    <cellStyle name="Note 3 5 2 2 2 3 2" xfId="933" xr:uid="{00000000-0005-0000-0000-0000B7900000}"/>
    <cellStyle name="Note 3 5 2 2 2 4" xfId="932" xr:uid="{00000000-0005-0000-0000-0000B8900000}"/>
    <cellStyle name="Note 3 5 2 2 3" xfId="931" xr:uid="{00000000-0005-0000-0000-0000B9900000}"/>
    <cellStyle name="Note 3 5 2 2 3 2" xfId="2945" xr:uid="{00000000-0005-0000-0000-0000BA900000}"/>
    <cellStyle name="Note 3 5 2 2 3 2 2" xfId="21449" xr:uid="{00000000-0005-0000-0000-0000BB900000}"/>
    <cellStyle name="Note 3 5 2 2 3 3" xfId="8408" xr:uid="{00000000-0005-0000-0000-0000BC900000}"/>
    <cellStyle name="Note 3 5 2 2 4" xfId="930" xr:uid="{00000000-0005-0000-0000-0000BD900000}"/>
    <cellStyle name="Note 3 5 2 2 4 2" xfId="2937" xr:uid="{00000000-0005-0000-0000-0000BE900000}"/>
    <cellStyle name="Note 3 5 2 2 5" xfId="929" xr:uid="{00000000-0005-0000-0000-0000BF900000}"/>
    <cellStyle name="Note 3 5 2 3" xfId="928" xr:uid="{00000000-0005-0000-0000-0000C0900000}"/>
    <cellStyle name="Note 3 5 2 3 2" xfId="31527" xr:uid="{00000000-0005-0000-0000-0000C1900000}"/>
    <cellStyle name="Note 3 5 2 3 2 2" xfId="927" xr:uid="{00000000-0005-0000-0000-0000C2900000}"/>
    <cellStyle name="Note 3 5 2 3 2 2 2" xfId="926" xr:uid="{00000000-0005-0000-0000-0000C3900000}"/>
    <cellStyle name="Note 3 5 2 3 2 3" xfId="925" xr:uid="{00000000-0005-0000-0000-0000C4900000}"/>
    <cellStyle name="Note 3 5 2 3 3" xfId="924" xr:uid="{00000000-0005-0000-0000-0000C5900000}"/>
    <cellStyle name="Note 3 5 2 3 3 2" xfId="2921" xr:uid="{00000000-0005-0000-0000-0000C6900000}"/>
    <cellStyle name="Note 3 5 2 3 4" xfId="923" xr:uid="{00000000-0005-0000-0000-0000C7900000}"/>
    <cellStyle name="Note 3 5 2 4" xfId="922" xr:uid="{00000000-0005-0000-0000-0000C8900000}"/>
    <cellStyle name="Note 3 5 2 4 2" xfId="921" xr:uid="{00000000-0005-0000-0000-0000C9900000}"/>
    <cellStyle name="Note 3 5 2 4 2 2" xfId="920" xr:uid="{00000000-0005-0000-0000-0000CA900000}"/>
    <cellStyle name="Note 3 5 2 4 3" xfId="5851" xr:uid="{00000000-0005-0000-0000-0000CB900000}"/>
    <cellStyle name="Note 3 5 2 5" xfId="919" xr:uid="{00000000-0005-0000-0000-0000CC900000}"/>
    <cellStyle name="Note 3 5 2 5 2" xfId="918" xr:uid="{00000000-0005-0000-0000-0000CD900000}"/>
    <cellStyle name="Note 3 5 2 6" xfId="917" xr:uid="{00000000-0005-0000-0000-0000CE900000}"/>
    <cellStyle name="Note 3 5 3" xfId="25341" xr:uid="{00000000-0005-0000-0000-0000CF900000}"/>
    <cellStyle name="Note 3 5 3 2" xfId="916" xr:uid="{00000000-0005-0000-0000-0000D0900000}"/>
    <cellStyle name="Note 3 5 3 2 2" xfId="915" xr:uid="{00000000-0005-0000-0000-0000D1900000}"/>
    <cellStyle name="Note 3 5 3 2 2 2" xfId="914" xr:uid="{00000000-0005-0000-0000-0000D2900000}"/>
    <cellStyle name="Note 3 5 3 2 2 2 2" xfId="913" xr:uid="{00000000-0005-0000-0000-0000D3900000}"/>
    <cellStyle name="Note 3 5 3 2 2 3" xfId="912" xr:uid="{00000000-0005-0000-0000-0000D4900000}"/>
    <cellStyle name="Note 3 5 3 2 3" xfId="16533" xr:uid="{00000000-0005-0000-0000-0000D5900000}"/>
    <cellStyle name="Note 3 5 3 2 3 2" xfId="2895" xr:uid="{00000000-0005-0000-0000-0000D6900000}"/>
    <cellStyle name="Note 3 5 3 2 4" xfId="16530" xr:uid="{00000000-0005-0000-0000-0000D7900000}"/>
    <cellStyle name="Note 3 5 3 3" xfId="911" xr:uid="{00000000-0005-0000-0000-0000D8900000}"/>
    <cellStyle name="Note 3 5 3 3 2" xfId="910" xr:uid="{00000000-0005-0000-0000-0000D9900000}"/>
    <cellStyle name="Note 3 5 3 3 2 2" xfId="909" xr:uid="{00000000-0005-0000-0000-0000DA900000}"/>
    <cellStyle name="Note 3 5 3 3 3" xfId="30017" xr:uid="{00000000-0005-0000-0000-0000DB900000}"/>
    <cellStyle name="Note 3 5 3 4" xfId="908" xr:uid="{00000000-0005-0000-0000-0000DC900000}"/>
    <cellStyle name="Note 3 5 3 4 2" xfId="907" xr:uid="{00000000-0005-0000-0000-0000DD900000}"/>
    <cellStyle name="Note 3 5 3 5" xfId="906" xr:uid="{00000000-0005-0000-0000-0000DE900000}"/>
    <cellStyle name="Note 3 5 4" xfId="905" xr:uid="{00000000-0005-0000-0000-0000DF900000}"/>
    <cellStyle name="Note 3 5 4 2" xfId="32258" xr:uid="{00000000-0005-0000-0000-0000E0900000}"/>
    <cellStyle name="Note 3 5 4 2 2" xfId="904" xr:uid="{00000000-0005-0000-0000-0000E1900000}"/>
    <cellStyle name="Note 3 5 4 2 2 2" xfId="10993" xr:uid="{00000000-0005-0000-0000-0000E2900000}"/>
    <cellStyle name="Note 3 5 4 2 3" xfId="16518" xr:uid="{00000000-0005-0000-0000-0000E3900000}"/>
    <cellStyle name="Note 3 5 4 3" xfId="29368" xr:uid="{00000000-0005-0000-0000-0000E4900000}"/>
    <cellStyle name="Note 3 5 4 3 2" xfId="2858" xr:uid="{00000000-0005-0000-0000-0000E5900000}"/>
    <cellStyle name="Note 3 5 4 4" xfId="28727" xr:uid="{00000000-0005-0000-0000-0000E6900000}"/>
    <cellStyle name="Note 3 5 5" xfId="903" xr:uid="{00000000-0005-0000-0000-0000E7900000}"/>
    <cellStyle name="Note 3 5 5 2" xfId="32240" xr:uid="{00000000-0005-0000-0000-0000E8900000}"/>
    <cellStyle name="Note 3 5 5 2 2" xfId="27666" xr:uid="{00000000-0005-0000-0000-0000E9900000}"/>
    <cellStyle name="Note 3 5 5 3" xfId="902" xr:uid="{00000000-0005-0000-0000-0000EA900000}"/>
    <cellStyle name="Note 3 5 6" xfId="15225" xr:uid="{00000000-0005-0000-0000-0000EB900000}"/>
    <cellStyle name="Note 3 5 6 2" xfId="15223" xr:uid="{00000000-0005-0000-0000-0000EC900000}"/>
    <cellStyle name="Note 3 5 7" xfId="15169" xr:uid="{00000000-0005-0000-0000-0000ED900000}"/>
    <cellStyle name="Note 3 5 8" xfId="34941" xr:uid="{00000000-0005-0000-0000-0000EE900000}"/>
    <cellStyle name="Note 3 6" xfId="20279" xr:uid="{00000000-0005-0000-0000-0000EF900000}"/>
    <cellStyle name="Note 3 6 2" xfId="20970" xr:uid="{00000000-0005-0000-0000-0000F0900000}"/>
    <cellStyle name="Note 3 6 2 2" xfId="1532" xr:uid="{00000000-0005-0000-0000-0000F1900000}"/>
    <cellStyle name="Note 3 6 2 2 2" xfId="1530" xr:uid="{00000000-0005-0000-0000-0000F2900000}"/>
    <cellStyle name="Note 3 6 2 2 2 2" xfId="1528" xr:uid="{00000000-0005-0000-0000-0000F3900000}"/>
    <cellStyle name="Note 3 6 2 2 2 2 2" xfId="901" xr:uid="{00000000-0005-0000-0000-0000F4900000}"/>
    <cellStyle name="Note 3 6 2 2 2 3" xfId="900" xr:uid="{00000000-0005-0000-0000-0000F5900000}"/>
    <cellStyle name="Note 3 6 2 2 3" xfId="4521" xr:uid="{00000000-0005-0000-0000-0000F6900000}"/>
    <cellStyle name="Note 3 6 2 2 3 2" xfId="4519" xr:uid="{00000000-0005-0000-0000-0000F7900000}"/>
    <cellStyle name="Note 3 6 2 2 4" xfId="20816" xr:uid="{00000000-0005-0000-0000-0000F8900000}"/>
    <cellStyle name="Note 3 6 2 3" xfId="1526" xr:uid="{00000000-0005-0000-0000-0000F9900000}"/>
    <cellStyle name="Note 3 6 2 3 2" xfId="1524" xr:uid="{00000000-0005-0000-0000-0000FA900000}"/>
    <cellStyle name="Note 3 6 2 3 2 2" xfId="899" xr:uid="{00000000-0005-0000-0000-0000FB900000}"/>
    <cellStyle name="Note 3 6 2 3 3" xfId="4516" xr:uid="{00000000-0005-0000-0000-0000FC900000}"/>
    <cellStyle name="Note 3 6 2 4" xfId="1522" xr:uid="{00000000-0005-0000-0000-0000FD900000}"/>
    <cellStyle name="Note 3 6 2 4 2" xfId="898" xr:uid="{00000000-0005-0000-0000-0000FE900000}"/>
    <cellStyle name="Note 3 6 2 5" xfId="897" xr:uid="{00000000-0005-0000-0000-0000FF900000}"/>
    <cellStyle name="Note 3 6 3" xfId="20863" xr:uid="{00000000-0005-0000-0000-000000910000}"/>
    <cellStyle name="Note 3 6 3 2" xfId="1513" xr:uid="{00000000-0005-0000-0000-000001910000}"/>
    <cellStyle name="Note 3 6 3 2 2" xfId="1511" xr:uid="{00000000-0005-0000-0000-000002910000}"/>
    <cellStyle name="Note 3 6 3 2 2 2" xfId="896" xr:uid="{00000000-0005-0000-0000-000003910000}"/>
    <cellStyle name="Note 3 6 3 2 3" xfId="16488" xr:uid="{00000000-0005-0000-0000-000004910000}"/>
    <cellStyle name="Note 3 6 3 3" xfId="1509" xr:uid="{00000000-0005-0000-0000-000005910000}"/>
    <cellStyle name="Note 3 6 3 3 2" xfId="21864" xr:uid="{00000000-0005-0000-0000-000006910000}"/>
    <cellStyle name="Note 3 6 3 4" xfId="895" xr:uid="{00000000-0005-0000-0000-000007910000}"/>
    <cellStyle name="Note 3 6 4" xfId="894" xr:uid="{00000000-0005-0000-0000-000008910000}"/>
    <cellStyle name="Note 3 6 4 2" xfId="34222" xr:uid="{00000000-0005-0000-0000-000009910000}"/>
    <cellStyle name="Note 3 6 4 2 2" xfId="893" xr:uid="{00000000-0005-0000-0000-00000A910000}"/>
    <cellStyle name="Note 3 6 4 3" xfId="892" xr:uid="{00000000-0005-0000-0000-00000B910000}"/>
    <cellStyle name="Note 3 6 5" xfId="891" xr:uid="{00000000-0005-0000-0000-00000C910000}"/>
    <cellStyle name="Note 3 6 5 2" xfId="890" xr:uid="{00000000-0005-0000-0000-00000D910000}"/>
    <cellStyle name="Note 3 6 6" xfId="15129" xr:uid="{00000000-0005-0000-0000-00000E910000}"/>
    <cellStyle name="Note 3 6 7" xfId="35146" xr:uid="{00000000-0005-0000-0000-00000F910000}"/>
    <cellStyle name="Note 3 7" xfId="16762" xr:uid="{00000000-0005-0000-0000-000010910000}"/>
    <cellStyle name="Note 3 7 2" xfId="20853" xr:uid="{00000000-0005-0000-0000-000011910000}"/>
    <cellStyle name="Note 3 7 2 2" xfId="889" xr:uid="{00000000-0005-0000-0000-000012910000}"/>
    <cellStyle name="Note 3 7 2 2 2" xfId="887" xr:uid="{00000000-0005-0000-0000-000013910000}"/>
    <cellStyle name="Note 3 7 2 2 2 2" xfId="885" xr:uid="{00000000-0005-0000-0000-000014910000}"/>
    <cellStyle name="Note 3 7 2 2 3" xfId="4501" xr:uid="{00000000-0005-0000-0000-000015910000}"/>
    <cellStyle name="Note 3 7 2 3" xfId="884" xr:uid="{00000000-0005-0000-0000-000016910000}"/>
    <cellStyle name="Note 3 7 2 3 2" xfId="882" xr:uid="{00000000-0005-0000-0000-000017910000}"/>
    <cellStyle name="Note 3 7 2 4" xfId="31836" xr:uid="{00000000-0005-0000-0000-000018910000}"/>
    <cellStyle name="Note 3 7 3" xfId="881" xr:uid="{00000000-0005-0000-0000-000019910000}"/>
    <cellStyle name="Note 3 7 3 2" xfId="880" xr:uid="{00000000-0005-0000-0000-00001A910000}"/>
    <cellStyle name="Note 3 7 3 2 2" xfId="878" xr:uid="{00000000-0005-0000-0000-00001B910000}"/>
    <cellStyle name="Note 3 7 3 3" xfId="4504" xr:uid="{00000000-0005-0000-0000-00001C910000}"/>
    <cellStyle name="Note 3 7 4" xfId="888" xr:uid="{00000000-0005-0000-0000-00001D910000}"/>
    <cellStyle name="Note 3 7 4 2" xfId="886" xr:uid="{00000000-0005-0000-0000-00001E910000}"/>
    <cellStyle name="Note 3 7 5" xfId="883" xr:uid="{00000000-0005-0000-0000-00001F910000}"/>
    <cellStyle name="Note 3 7 6" xfId="35375" xr:uid="{00000000-0005-0000-0000-000020910000}"/>
    <cellStyle name="Note 3 8" xfId="28030" xr:uid="{00000000-0005-0000-0000-000021910000}"/>
    <cellStyle name="Note 3 8 2" xfId="877" xr:uid="{00000000-0005-0000-0000-000022910000}"/>
    <cellStyle name="Note 3 8 2 2" xfId="876" xr:uid="{00000000-0005-0000-0000-000023910000}"/>
    <cellStyle name="Note 3 8 2 2 2" xfId="874" xr:uid="{00000000-0005-0000-0000-000024910000}"/>
    <cellStyle name="Note 3 8 2 3" xfId="3793" xr:uid="{00000000-0005-0000-0000-000025910000}"/>
    <cellStyle name="Note 3 8 3" xfId="873" xr:uid="{00000000-0005-0000-0000-000026910000}"/>
    <cellStyle name="Note 3 8 3 2" xfId="872" xr:uid="{00000000-0005-0000-0000-000027910000}"/>
    <cellStyle name="Note 3 8 4" xfId="879" xr:uid="{00000000-0005-0000-0000-000028910000}"/>
    <cellStyle name="Note 3 8 5" xfId="36247" xr:uid="{00000000-0005-0000-0000-000029910000}"/>
    <cellStyle name="Note 3 9" xfId="871" xr:uid="{00000000-0005-0000-0000-00002A910000}"/>
    <cellStyle name="Note 3 9 2" xfId="870" xr:uid="{00000000-0005-0000-0000-00002B910000}"/>
    <cellStyle name="Note 3 9 2 2" xfId="869" xr:uid="{00000000-0005-0000-0000-00002C910000}"/>
    <cellStyle name="Note 3 9 3" xfId="28178" xr:uid="{00000000-0005-0000-0000-00002D910000}"/>
    <cellStyle name="Note 3 9 4" xfId="36533" xr:uid="{00000000-0005-0000-0000-00002E910000}"/>
    <cellStyle name="Note 30" xfId="35889" xr:uid="{00000000-0005-0000-0000-00002F910000}"/>
    <cellStyle name="Note 30 2" xfId="37061" xr:uid="{00000000-0005-0000-0000-000030910000}"/>
    <cellStyle name="Note 30 3" xfId="37955" xr:uid="{00000000-0005-0000-0000-000031910000}"/>
    <cellStyle name="Note 31" xfId="35891" xr:uid="{00000000-0005-0000-0000-000032910000}"/>
    <cellStyle name="Note 31 2" xfId="37063" xr:uid="{00000000-0005-0000-0000-000033910000}"/>
    <cellStyle name="Note 31 3" xfId="37958" xr:uid="{00000000-0005-0000-0000-000034910000}"/>
    <cellStyle name="Note 32" xfId="35911" xr:uid="{00000000-0005-0000-0000-000035910000}"/>
    <cellStyle name="Note 32 2" xfId="37082" xr:uid="{00000000-0005-0000-0000-000036910000}"/>
    <cellStyle name="Note 32 3" xfId="37978" xr:uid="{00000000-0005-0000-0000-000037910000}"/>
    <cellStyle name="Note 33" xfId="35931" xr:uid="{00000000-0005-0000-0000-000038910000}"/>
    <cellStyle name="Note 33 2" xfId="37101" xr:uid="{00000000-0005-0000-0000-000039910000}"/>
    <cellStyle name="Note 33 3" xfId="37998" xr:uid="{00000000-0005-0000-0000-00003A910000}"/>
    <cellStyle name="Note 34" xfId="35951" xr:uid="{00000000-0005-0000-0000-00003B910000}"/>
    <cellStyle name="Note 34 2" xfId="37120" xr:uid="{00000000-0005-0000-0000-00003C910000}"/>
    <cellStyle name="Note 34 3" xfId="38018" xr:uid="{00000000-0005-0000-0000-00003D910000}"/>
    <cellStyle name="Note 35" xfId="35971" xr:uid="{00000000-0005-0000-0000-00003E910000}"/>
    <cellStyle name="Note 35 2" xfId="37140" xr:uid="{00000000-0005-0000-0000-00003F910000}"/>
    <cellStyle name="Note 35 3" xfId="38038" xr:uid="{00000000-0005-0000-0000-000040910000}"/>
    <cellStyle name="Note 36" xfId="35991" xr:uid="{00000000-0005-0000-0000-000041910000}"/>
    <cellStyle name="Note 36 2" xfId="37160" xr:uid="{00000000-0005-0000-0000-000042910000}"/>
    <cellStyle name="Note 36 3" xfId="38058" xr:uid="{00000000-0005-0000-0000-000043910000}"/>
    <cellStyle name="Note 37" xfId="36011" xr:uid="{00000000-0005-0000-0000-000044910000}"/>
    <cellStyle name="Note 37 2" xfId="37180" xr:uid="{00000000-0005-0000-0000-000045910000}"/>
    <cellStyle name="Note 37 3" xfId="38078" xr:uid="{00000000-0005-0000-0000-000046910000}"/>
    <cellStyle name="Note 38" xfId="36031" xr:uid="{00000000-0005-0000-0000-000047910000}"/>
    <cellStyle name="Note 38 2" xfId="37200" xr:uid="{00000000-0005-0000-0000-000048910000}"/>
    <cellStyle name="Note 38 3" xfId="38098" xr:uid="{00000000-0005-0000-0000-000049910000}"/>
    <cellStyle name="Note 39" xfId="36051" xr:uid="{00000000-0005-0000-0000-00004A910000}"/>
    <cellStyle name="Note 39 2" xfId="37220" xr:uid="{00000000-0005-0000-0000-00004B910000}"/>
    <cellStyle name="Note 39 3" xfId="38118" xr:uid="{00000000-0005-0000-0000-00004C910000}"/>
    <cellStyle name="Note 4" xfId="97" xr:uid="{00000000-0005-0000-0000-00004D910000}"/>
    <cellStyle name="Note 4 10" xfId="867" xr:uid="{00000000-0005-0000-0000-00004E910000}"/>
    <cellStyle name="Note 4 10 2" xfId="37437" xr:uid="{00000000-0005-0000-0000-00004F910000}"/>
    <cellStyle name="Note 4 11" xfId="34451" xr:uid="{00000000-0005-0000-0000-000050910000}"/>
    <cellStyle name="Note 4 12" xfId="868" xr:uid="{00000000-0005-0000-0000-000051910000}"/>
    <cellStyle name="Note 4 2" xfId="158" xr:uid="{00000000-0005-0000-0000-000052910000}"/>
    <cellStyle name="Note 4 2 10" xfId="34506" xr:uid="{00000000-0005-0000-0000-000053910000}"/>
    <cellStyle name="Note 4 2 11" xfId="866" xr:uid="{00000000-0005-0000-0000-000054910000}"/>
    <cellStyle name="Note 4 2 2" xfId="10265" xr:uid="{00000000-0005-0000-0000-000055910000}"/>
    <cellStyle name="Note 4 2 2 2" xfId="865" xr:uid="{00000000-0005-0000-0000-000056910000}"/>
    <cellStyle name="Note 4 2 2 2 2" xfId="864" xr:uid="{00000000-0005-0000-0000-000057910000}"/>
    <cellStyle name="Note 4 2 2 2 2 2" xfId="863" xr:uid="{00000000-0005-0000-0000-000058910000}"/>
    <cellStyle name="Note 4 2 2 2 2 2 2" xfId="862" xr:uid="{00000000-0005-0000-0000-000059910000}"/>
    <cellStyle name="Note 4 2 2 2 2 2 2 2" xfId="861" xr:uid="{00000000-0005-0000-0000-00005A910000}"/>
    <cellStyle name="Note 4 2 2 2 2 2 2 2 2" xfId="860" xr:uid="{00000000-0005-0000-0000-00005B910000}"/>
    <cellStyle name="Note 4 2 2 2 2 2 2 2 2 2" xfId="859" xr:uid="{00000000-0005-0000-0000-00005C910000}"/>
    <cellStyle name="Note 4 2 2 2 2 2 2 2 3" xfId="858" xr:uid="{00000000-0005-0000-0000-00005D910000}"/>
    <cellStyle name="Note 4 2 2 2 2 2 2 3" xfId="857" xr:uid="{00000000-0005-0000-0000-00005E910000}"/>
    <cellStyle name="Note 4 2 2 2 2 2 2 3 2" xfId="856" xr:uid="{00000000-0005-0000-0000-00005F910000}"/>
    <cellStyle name="Note 4 2 2 2 2 2 2 4" xfId="5058" xr:uid="{00000000-0005-0000-0000-000060910000}"/>
    <cellStyle name="Note 4 2 2 2 2 2 3" xfId="18636" xr:uid="{00000000-0005-0000-0000-000061910000}"/>
    <cellStyle name="Note 4 2 2 2 2 2 3 2" xfId="855" xr:uid="{00000000-0005-0000-0000-000062910000}"/>
    <cellStyle name="Note 4 2 2 2 2 2 3 2 2" xfId="854" xr:uid="{00000000-0005-0000-0000-000063910000}"/>
    <cellStyle name="Note 4 2 2 2 2 2 3 3" xfId="853" xr:uid="{00000000-0005-0000-0000-000064910000}"/>
    <cellStyle name="Note 4 2 2 2 2 2 4" xfId="7138" xr:uid="{00000000-0005-0000-0000-000065910000}"/>
    <cellStyle name="Note 4 2 2 2 2 2 4 2" xfId="24895" xr:uid="{00000000-0005-0000-0000-000066910000}"/>
    <cellStyle name="Note 4 2 2 2 2 2 5" xfId="31045" xr:uid="{00000000-0005-0000-0000-000067910000}"/>
    <cellStyle name="Note 4 2 2 2 2 3" xfId="852" xr:uid="{00000000-0005-0000-0000-000068910000}"/>
    <cellStyle name="Note 4 2 2 2 2 3 2" xfId="851" xr:uid="{00000000-0005-0000-0000-000069910000}"/>
    <cellStyle name="Note 4 2 2 2 2 3 2 2" xfId="850" xr:uid="{00000000-0005-0000-0000-00006A910000}"/>
    <cellStyle name="Note 4 2 2 2 2 3 2 2 2" xfId="849" xr:uid="{00000000-0005-0000-0000-00006B910000}"/>
    <cellStyle name="Note 4 2 2 2 2 3 2 3" xfId="848" xr:uid="{00000000-0005-0000-0000-00006C910000}"/>
    <cellStyle name="Note 4 2 2 2 2 3 3" xfId="847" xr:uid="{00000000-0005-0000-0000-00006D910000}"/>
    <cellStyle name="Note 4 2 2 2 2 3 3 2" xfId="846" xr:uid="{00000000-0005-0000-0000-00006E910000}"/>
    <cellStyle name="Note 4 2 2 2 2 3 4" xfId="32305" xr:uid="{00000000-0005-0000-0000-00006F910000}"/>
    <cellStyle name="Note 4 2 2 2 2 4" xfId="845" xr:uid="{00000000-0005-0000-0000-000070910000}"/>
    <cellStyle name="Note 4 2 2 2 2 4 2" xfId="3203" xr:uid="{00000000-0005-0000-0000-000071910000}"/>
    <cellStyle name="Note 4 2 2 2 2 4 2 2" xfId="3201" xr:uid="{00000000-0005-0000-0000-000072910000}"/>
    <cellStyle name="Note 4 2 2 2 2 4 3" xfId="3199" xr:uid="{00000000-0005-0000-0000-000073910000}"/>
    <cellStyle name="Note 4 2 2 2 2 5" xfId="844" xr:uid="{00000000-0005-0000-0000-000074910000}"/>
    <cellStyle name="Note 4 2 2 2 2 5 2" xfId="17735" xr:uid="{00000000-0005-0000-0000-000075910000}"/>
    <cellStyle name="Note 4 2 2 2 2 6" xfId="843" xr:uid="{00000000-0005-0000-0000-000076910000}"/>
    <cellStyle name="Note 4 2 2 2 3" xfId="15604" xr:uid="{00000000-0005-0000-0000-000077910000}"/>
    <cellStyle name="Note 4 2 2 2 3 2" xfId="842" xr:uid="{00000000-0005-0000-0000-000078910000}"/>
    <cellStyle name="Note 4 2 2 2 3 2 2" xfId="2674" xr:uid="{00000000-0005-0000-0000-000079910000}"/>
    <cellStyle name="Note 4 2 2 2 3 2 2 2" xfId="16693" xr:uid="{00000000-0005-0000-0000-00007A910000}"/>
    <cellStyle name="Note 4 2 2 2 3 2 2 2 2" xfId="6775" xr:uid="{00000000-0005-0000-0000-00007B910000}"/>
    <cellStyle name="Note 4 2 2 2 3 2 2 3" xfId="6771" xr:uid="{00000000-0005-0000-0000-00007C910000}"/>
    <cellStyle name="Note 4 2 2 2 3 2 3" xfId="841" xr:uid="{00000000-0005-0000-0000-00007D910000}"/>
    <cellStyle name="Note 4 2 2 2 3 2 3 2" xfId="16675" xr:uid="{00000000-0005-0000-0000-00007E910000}"/>
    <cellStyle name="Note 4 2 2 2 3 2 4" xfId="32187" xr:uid="{00000000-0005-0000-0000-00007F910000}"/>
    <cellStyle name="Note 4 2 2 2 3 3" xfId="6730" xr:uid="{00000000-0005-0000-0000-000080910000}"/>
    <cellStyle name="Note 4 2 2 2 3 3 2" xfId="840" xr:uid="{00000000-0005-0000-0000-000081910000}"/>
    <cellStyle name="Note 4 2 2 2 3 3 2 2" xfId="6732" xr:uid="{00000000-0005-0000-0000-000082910000}"/>
    <cellStyle name="Note 4 2 2 2 3 3 3" xfId="838" xr:uid="{00000000-0005-0000-0000-000083910000}"/>
    <cellStyle name="Note 4 2 2 2 3 4" xfId="6726" xr:uid="{00000000-0005-0000-0000-000084910000}"/>
    <cellStyle name="Note 4 2 2 2 3 4 2" xfId="3185" xr:uid="{00000000-0005-0000-0000-000085910000}"/>
    <cellStyle name="Note 4 2 2 2 3 5" xfId="837" xr:uid="{00000000-0005-0000-0000-000086910000}"/>
    <cellStyle name="Note 4 2 2 2 4" xfId="28282" xr:uid="{00000000-0005-0000-0000-000087910000}"/>
    <cellStyle name="Note 4 2 2 2 4 2" xfId="836" xr:uid="{00000000-0005-0000-0000-000088910000}"/>
    <cellStyle name="Note 4 2 2 2 4 2 2" xfId="835" xr:uid="{00000000-0005-0000-0000-000089910000}"/>
    <cellStyle name="Note 4 2 2 2 4 2 2 2" xfId="6547" xr:uid="{00000000-0005-0000-0000-00008A910000}"/>
    <cellStyle name="Note 4 2 2 2 4 2 3" xfId="834" xr:uid="{00000000-0005-0000-0000-00008B910000}"/>
    <cellStyle name="Note 4 2 2 2 4 3" xfId="6723" xr:uid="{00000000-0005-0000-0000-00008C910000}"/>
    <cellStyle name="Note 4 2 2 2 4 3 2" xfId="833" xr:uid="{00000000-0005-0000-0000-00008D910000}"/>
    <cellStyle name="Note 4 2 2 2 4 4" xfId="832" xr:uid="{00000000-0005-0000-0000-00008E910000}"/>
    <cellStyle name="Note 4 2 2 2 5" xfId="831" xr:uid="{00000000-0005-0000-0000-00008F910000}"/>
    <cellStyle name="Note 4 2 2 2 5 2" xfId="830" xr:uid="{00000000-0005-0000-0000-000090910000}"/>
    <cellStyle name="Note 4 2 2 2 5 2 2" xfId="829" xr:uid="{00000000-0005-0000-0000-000091910000}"/>
    <cellStyle name="Note 4 2 2 2 5 3" xfId="828" xr:uid="{00000000-0005-0000-0000-000092910000}"/>
    <cellStyle name="Note 4 2 2 2 6" xfId="827" xr:uid="{00000000-0005-0000-0000-000093910000}"/>
    <cellStyle name="Note 4 2 2 2 6 2" xfId="826" xr:uid="{00000000-0005-0000-0000-000094910000}"/>
    <cellStyle name="Note 4 2 2 2 7" xfId="825" xr:uid="{00000000-0005-0000-0000-000095910000}"/>
    <cellStyle name="Note 4 2 2 3" xfId="1022" xr:uid="{00000000-0005-0000-0000-000096910000}"/>
    <cellStyle name="Note 4 2 2 3 2" xfId="24907" xr:uid="{00000000-0005-0000-0000-000097910000}"/>
    <cellStyle name="Note 4 2 2 3 2 2" xfId="1020" xr:uid="{00000000-0005-0000-0000-000098910000}"/>
    <cellStyle name="Note 4 2 2 3 2 2 2" xfId="26033" xr:uid="{00000000-0005-0000-0000-000099910000}"/>
    <cellStyle name="Note 4 2 2 3 2 2 2 2" xfId="824" xr:uid="{00000000-0005-0000-0000-00009A910000}"/>
    <cellStyle name="Note 4 2 2 3 2 2 2 2 2" xfId="32099" xr:uid="{00000000-0005-0000-0000-00009B910000}"/>
    <cellStyle name="Note 4 2 2 3 2 2 2 3" xfId="823" xr:uid="{00000000-0005-0000-0000-00009C910000}"/>
    <cellStyle name="Note 4 2 2 3 2 2 3" xfId="822" xr:uid="{00000000-0005-0000-0000-00009D910000}"/>
    <cellStyle name="Note 4 2 2 3 2 2 3 2" xfId="821" xr:uid="{00000000-0005-0000-0000-00009E910000}"/>
    <cellStyle name="Note 4 2 2 3 2 2 4" xfId="31722" xr:uid="{00000000-0005-0000-0000-00009F910000}"/>
    <cellStyle name="Note 4 2 2 3 2 3" xfId="820" xr:uid="{00000000-0005-0000-0000-0000A0910000}"/>
    <cellStyle name="Note 4 2 2 3 2 3 2" xfId="819" xr:uid="{00000000-0005-0000-0000-0000A1910000}"/>
    <cellStyle name="Note 4 2 2 3 2 3 2 2" xfId="818" xr:uid="{00000000-0005-0000-0000-0000A2910000}"/>
    <cellStyle name="Note 4 2 2 3 2 3 3" xfId="817" xr:uid="{00000000-0005-0000-0000-0000A3910000}"/>
    <cellStyle name="Note 4 2 2 3 2 4" xfId="816" xr:uid="{00000000-0005-0000-0000-0000A4910000}"/>
    <cellStyle name="Note 4 2 2 3 2 4 2" xfId="7330" xr:uid="{00000000-0005-0000-0000-0000A5910000}"/>
    <cellStyle name="Note 4 2 2 3 2 5" xfId="815" xr:uid="{00000000-0005-0000-0000-0000A6910000}"/>
    <cellStyle name="Note 4 2 2 3 3" xfId="24220" xr:uid="{00000000-0005-0000-0000-0000A7910000}"/>
    <cellStyle name="Note 4 2 2 3 3 2" xfId="814" xr:uid="{00000000-0005-0000-0000-0000A8910000}"/>
    <cellStyle name="Note 4 2 2 3 3 2 2" xfId="20081" xr:uid="{00000000-0005-0000-0000-0000A9910000}"/>
    <cellStyle name="Note 4 2 2 3 3 2 2 2" xfId="17426" xr:uid="{00000000-0005-0000-0000-0000AA910000}"/>
    <cellStyle name="Note 4 2 2 3 3 2 3" xfId="813" xr:uid="{00000000-0005-0000-0000-0000AB910000}"/>
    <cellStyle name="Note 4 2 2 3 3 3" xfId="6721" xr:uid="{00000000-0005-0000-0000-0000AC910000}"/>
    <cellStyle name="Note 4 2 2 3 3 3 2" xfId="21605" xr:uid="{00000000-0005-0000-0000-0000AD910000}"/>
    <cellStyle name="Note 4 2 2 3 3 4" xfId="812" xr:uid="{00000000-0005-0000-0000-0000AE910000}"/>
    <cellStyle name="Note 4 2 2 3 4" xfId="21798" xr:uid="{00000000-0005-0000-0000-0000AF910000}"/>
    <cellStyle name="Note 4 2 2 3 4 2" xfId="811" xr:uid="{00000000-0005-0000-0000-0000B0910000}"/>
    <cellStyle name="Note 4 2 2 3 4 2 2" xfId="810" xr:uid="{00000000-0005-0000-0000-0000B1910000}"/>
    <cellStyle name="Note 4 2 2 3 4 3" xfId="809" xr:uid="{00000000-0005-0000-0000-0000B2910000}"/>
    <cellStyle name="Note 4 2 2 3 5" xfId="26073" xr:uid="{00000000-0005-0000-0000-0000B3910000}"/>
    <cellStyle name="Note 4 2 2 3 5 2" xfId="808" xr:uid="{00000000-0005-0000-0000-0000B4910000}"/>
    <cellStyle name="Note 4 2 2 3 6" xfId="26071" xr:uid="{00000000-0005-0000-0000-0000B5910000}"/>
    <cellStyle name="Note 4 2 2 4" xfId="4781" xr:uid="{00000000-0005-0000-0000-0000B6910000}"/>
    <cellStyle name="Note 4 2 2 4 2" xfId="24181" xr:uid="{00000000-0005-0000-0000-0000B7910000}"/>
    <cellStyle name="Note 4 2 2 4 2 2" xfId="807" xr:uid="{00000000-0005-0000-0000-0000B8910000}"/>
    <cellStyle name="Note 4 2 2 4 2 2 2" xfId="13300" xr:uid="{00000000-0005-0000-0000-0000B9910000}"/>
    <cellStyle name="Note 4 2 2 4 2 2 2 2" xfId="10434" xr:uid="{00000000-0005-0000-0000-0000BA910000}"/>
    <cellStyle name="Note 4 2 2 4 2 2 3" xfId="10429" xr:uid="{00000000-0005-0000-0000-0000BB910000}"/>
    <cellStyle name="Note 4 2 2 4 2 3" xfId="806" xr:uid="{00000000-0005-0000-0000-0000BC910000}"/>
    <cellStyle name="Note 4 2 2 4 2 3 2" xfId="10410" xr:uid="{00000000-0005-0000-0000-0000BD910000}"/>
    <cellStyle name="Note 4 2 2 4 2 4" xfId="805" xr:uid="{00000000-0005-0000-0000-0000BE910000}"/>
    <cellStyle name="Note 4 2 2 4 3" xfId="21791" xr:uid="{00000000-0005-0000-0000-0000BF910000}"/>
    <cellStyle name="Note 4 2 2 4 3 2" xfId="28316" xr:uid="{00000000-0005-0000-0000-0000C0910000}"/>
    <cellStyle name="Note 4 2 2 4 3 2 2" xfId="10344" xr:uid="{00000000-0005-0000-0000-0000C1910000}"/>
    <cellStyle name="Note 4 2 2 4 3 3" xfId="25837" xr:uid="{00000000-0005-0000-0000-0000C2910000}"/>
    <cellStyle name="Note 4 2 2 4 4" xfId="21784" xr:uid="{00000000-0005-0000-0000-0000C3910000}"/>
    <cellStyle name="Note 4 2 2 4 4 2" xfId="25826" xr:uid="{00000000-0005-0000-0000-0000C4910000}"/>
    <cellStyle name="Note 4 2 2 4 5" xfId="27262" xr:uid="{00000000-0005-0000-0000-0000C5910000}"/>
    <cellStyle name="Note 4 2 2 5" xfId="1018" xr:uid="{00000000-0005-0000-0000-0000C6910000}"/>
    <cellStyle name="Note 4 2 2 5 2" xfId="29375" xr:uid="{00000000-0005-0000-0000-0000C7910000}"/>
    <cellStyle name="Note 4 2 2 5 2 2" xfId="804" xr:uid="{00000000-0005-0000-0000-0000C8910000}"/>
    <cellStyle name="Note 4 2 2 5 2 2 2" xfId="9608" xr:uid="{00000000-0005-0000-0000-0000C9910000}"/>
    <cellStyle name="Note 4 2 2 5 2 3" xfId="803" xr:uid="{00000000-0005-0000-0000-0000CA910000}"/>
    <cellStyle name="Note 4 2 2 5 3" xfId="18975" xr:uid="{00000000-0005-0000-0000-0000CB910000}"/>
    <cellStyle name="Note 4 2 2 5 3 2" xfId="22810" xr:uid="{00000000-0005-0000-0000-0000CC910000}"/>
    <cellStyle name="Note 4 2 2 5 4" xfId="802" xr:uid="{00000000-0005-0000-0000-0000CD910000}"/>
    <cellStyle name="Note 4 2 2 6" xfId="9717" xr:uid="{00000000-0005-0000-0000-0000CE910000}"/>
    <cellStyle name="Note 4 2 2 6 2" xfId="18089" xr:uid="{00000000-0005-0000-0000-0000CF910000}"/>
    <cellStyle name="Note 4 2 2 6 2 2" xfId="20058" xr:uid="{00000000-0005-0000-0000-0000D0910000}"/>
    <cellStyle name="Note 4 2 2 6 3" xfId="18074" xr:uid="{00000000-0005-0000-0000-0000D1910000}"/>
    <cellStyle name="Note 4 2 2 7" xfId="9714" xr:uid="{00000000-0005-0000-0000-0000D2910000}"/>
    <cellStyle name="Note 4 2 2 7 2" xfId="31863" xr:uid="{00000000-0005-0000-0000-0000D3910000}"/>
    <cellStyle name="Note 4 2 2 8" xfId="18068" xr:uid="{00000000-0005-0000-0000-0000D4910000}"/>
    <cellStyle name="Note 4 2 3" xfId="801" xr:uid="{00000000-0005-0000-0000-0000D5910000}"/>
    <cellStyle name="Note 4 2 3 2" xfId="2268" xr:uid="{00000000-0005-0000-0000-0000D6910000}"/>
    <cellStyle name="Note 4 2 3 2 2" xfId="32796" xr:uid="{00000000-0005-0000-0000-0000D7910000}"/>
    <cellStyle name="Note 4 2 3 2 2 2" xfId="800" xr:uid="{00000000-0005-0000-0000-0000D8910000}"/>
    <cellStyle name="Note 4 2 3 2 2 2 2" xfId="3722" xr:uid="{00000000-0005-0000-0000-0000D9910000}"/>
    <cellStyle name="Note 4 2 3 2 2 2 2 2" xfId="3720" xr:uid="{00000000-0005-0000-0000-0000DA910000}"/>
    <cellStyle name="Note 4 2 3 2 2 2 2 2 2" xfId="17046" xr:uid="{00000000-0005-0000-0000-0000DB910000}"/>
    <cellStyle name="Note 4 2 3 2 2 2 2 3" xfId="799" xr:uid="{00000000-0005-0000-0000-0000DC910000}"/>
    <cellStyle name="Note 4 2 3 2 2 2 3" xfId="3717" xr:uid="{00000000-0005-0000-0000-0000DD910000}"/>
    <cellStyle name="Note 4 2 3 2 2 2 3 2" xfId="797" xr:uid="{00000000-0005-0000-0000-0000DE910000}"/>
    <cellStyle name="Note 4 2 3 2 2 2 4" xfId="28729" xr:uid="{00000000-0005-0000-0000-0000DF910000}"/>
    <cellStyle name="Note 4 2 3 2 2 3" xfId="29118" xr:uid="{00000000-0005-0000-0000-0000E0910000}"/>
    <cellStyle name="Note 4 2 3 2 2 3 2" xfId="26155" xr:uid="{00000000-0005-0000-0000-0000E1910000}"/>
    <cellStyle name="Note 4 2 3 2 2 3 2 2" xfId="5533" xr:uid="{00000000-0005-0000-0000-0000E2910000}"/>
    <cellStyle name="Note 4 2 3 2 2 3 3" xfId="18273" xr:uid="{00000000-0005-0000-0000-0000E3910000}"/>
    <cellStyle name="Note 4 2 3 2 2 4" xfId="31777" xr:uid="{00000000-0005-0000-0000-0000E4910000}"/>
    <cellStyle name="Note 4 2 3 2 2 4 2" xfId="795" xr:uid="{00000000-0005-0000-0000-0000E5910000}"/>
    <cellStyle name="Note 4 2 3 2 2 5" xfId="794" xr:uid="{00000000-0005-0000-0000-0000E6910000}"/>
    <cellStyle name="Note 4 2 3 2 3" xfId="793" xr:uid="{00000000-0005-0000-0000-0000E7910000}"/>
    <cellStyle name="Note 4 2 3 2 3 2" xfId="792" xr:uid="{00000000-0005-0000-0000-0000E8910000}"/>
    <cellStyle name="Note 4 2 3 2 3 2 2" xfId="3702" xr:uid="{00000000-0005-0000-0000-0000E9910000}"/>
    <cellStyle name="Note 4 2 3 2 3 2 2 2" xfId="6975" xr:uid="{00000000-0005-0000-0000-0000EA910000}"/>
    <cellStyle name="Note 4 2 3 2 3 2 3" xfId="791" xr:uid="{00000000-0005-0000-0000-0000EB910000}"/>
    <cellStyle name="Note 4 2 3 2 3 3" xfId="12979" xr:uid="{00000000-0005-0000-0000-0000EC910000}"/>
    <cellStyle name="Note 4 2 3 2 3 3 2" xfId="790" xr:uid="{00000000-0005-0000-0000-0000ED910000}"/>
    <cellStyle name="Note 4 2 3 2 3 4" xfId="13646" xr:uid="{00000000-0005-0000-0000-0000EE910000}"/>
    <cellStyle name="Note 4 2 3 2 4" xfId="3754" xr:uid="{00000000-0005-0000-0000-0000EF910000}"/>
    <cellStyle name="Note 4 2 3 2 4 2" xfId="789" xr:uid="{00000000-0005-0000-0000-0000F0910000}"/>
    <cellStyle name="Note 4 2 3 2 4 2 2" xfId="30283" xr:uid="{00000000-0005-0000-0000-0000F1910000}"/>
    <cellStyle name="Note 4 2 3 2 4 3" xfId="788" xr:uid="{00000000-0005-0000-0000-0000F2910000}"/>
    <cellStyle name="Note 4 2 3 2 5" xfId="4261" xr:uid="{00000000-0005-0000-0000-0000F3910000}"/>
    <cellStyle name="Note 4 2 3 2 5 2" xfId="787" xr:uid="{00000000-0005-0000-0000-0000F4910000}"/>
    <cellStyle name="Note 4 2 3 2 6" xfId="12498" xr:uid="{00000000-0005-0000-0000-0000F5910000}"/>
    <cellStyle name="Note 4 2 3 3" xfId="1015" xr:uid="{00000000-0005-0000-0000-0000F6910000}"/>
    <cellStyle name="Note 4 2 3 3 2" xfId="23670" xr:uid="{00000000-0005-0000-0000-0000F7910000}"/>
    <cellStyle name="Note 4 2 3 3 2 2" xfId="786" xr:uid="{00000000-0005-0000-0000-0000F8910000}"/>
    <cellStyle name="Note 4 2 3 3 2 2 2" xfId="3661" xr:uid="{00000000-0005-0000-0000-0000F9910000}"/>
    <cellStyle name="Note 4 2 3 3 2 2 2 2" xfId="785" xr:uid="{00000000-0005-0000-0000-0000FA910000}"/>
    <cellStyle name="Note 4 2 3 3 2 2 3" xfId="783" xr:uid="{00000000-0005-0000-0000-0000FB910000}"/>
    <cellStyle name="Note 4 2 3 3 2 3" xfId="29091" xr:uid="{00000000-0005-0000-0000-0000FC910000}"/>
    <cellStyle name="Note 4 2 3 3 2 3 2" xfId="782" xr:uid="{00000000-0005-0000-0000-0000FD910000}"/>
    <cellStyle name="Note 4 2 3 3 2 4" xfId="781" xr:uid="{00000000-0005-0000-0000-0000FE910000}"/>
    <cellStyle name="Note 4 2 3 3 3" xfId="21764" xr:uid="{00000000-0005-0000-0000-0000FF910000}"/>
    <cellStyle name="Note 4 2 3 3 3 2" xfId="780" xr:uid="{00000000-0005-0000-0000-000000920000}"/>
    <cellStyle name="Note 4 2 3 3 3 2 2" xfId="779" xr:uid="{00000000-0005-0000-0000-000001920000}"/>
    <cellStyle name="Note 4 2 3 3 3 3" xfId="778" xr:uid="{00000000-0005-0000-0000-000002920000}"/>
    <cellStyle name="Note 4 2 3 3 4" xfId="22906" xr:uid="{00000000-0005-0000-0000-000003920000}"/>
    <cellStyle name="Note 4 2 3 3 4 2" xfId="777" xr:uid="{00000000-0005-0000-0000-000004920000}"/>
    <cellStyle name="Note 4 2 3 3 5" xfId="26061" xr:uid="{00000000-0005-0000-0000-000005920000}"/>
    <cellStyle name="Note 4 2 3 4" xfId="1013" xr:uid="{00000000-0005-0000-0000-000006920000}"/>
    <cellStyle name="Note 4 2 3 4 2" xfId="21760" xr:uid="{00000000-0005-0000-0000-000007920000}"/>
    <cellStyle name="Note 4 2 3 4 2 2" xfId="776" xr:uid="{00000000-0005-0000-0000-000008920000}"/>
    <cellStyle name="Note 4 2 3 4 2 2 2" xfId="8101" xr:uid="{00000000-0005-0000-0000-000009920000}"/>
    <cellStyle name="Note 4 2 3 4 2 3" xfId="775" xr:uid="{00000000-0005-0000-0000-00000A920000}"/>
    <cellStyle name="Note 4 2 3 4 3" xfId="21756" xr:uid="{00000000-0005-0000-0000-00000B920000}"/>
    <cellStyle name="Note 4 2 3 4 3 2" xfId="25806" xr:uid="{00000000-0005-0000-0000-00000C920000}"/>
    <cellStyle name="Note 4 2 3 4 4" xfId="774" xr:uid="{00000000-0005-0000-0000-00000D920000}"/>
    <cellStyle name="Note 4 2 3 5" xfId="773" xr:uid="{00000000-0005-0000-0000-00000E920000}"/>
    <cellStyle name="Note 4 2 3 5 2" xfId="29297" xr:uid="{00000000-0005-0000-0000-00000F920000}"/>
    <cellStyle name="Note 4 2 3 5 2 2" xfId="772" xr:uid="{00000000-0005-0000-0000-000010920000}"/>
    <cellStyle name="Note 4 2 3 5 3" xfId="771" xr:uid="{00000000-0005-0000-0000-000011920000}"/>
    <cellStyle name="Note 4 2 3 6" xfId="9706" xr:uid="{00000000-0005-0000-0000-000012920000}"/>
    <cellStyle name="Note 4 2 3 6 2" xfId="18061" xr:uid="{00000000-0005-0000-0000-000013920000}"/>
    <cellStyle name="Note 4 2 3 7" xfId="28786" xr:uid="{00000000-0005-0000-0000-000014920000}"/>
    <cellStyle name="Note 4 2 4" xfId="770" xr:uid="{00000000-0005-0000-0000-000015920000}"/>
    <cellStyle name="Note 4 2 4 2" xfId="769" xr:uid="{00000000-0005-0000-0000-000016920000}"/>
    <cellStyle name="Note 4 2 4 2 2" xfId="768" xr:uid="{00000000-0005-0000-0000-000017920000}"/>
    <cellStyle name="Note 4 2 4 2 2 2" xfId="767" xr:uid="{00000000-0005-0000-0000-000018920000}"/>
    <cellStyle name="Note 4 2 4 2 2 2 2" xfId="3472" xr:uid="{00000000-0005-0000-0000-000019920000}"/>
    <cellStyle name="Note 4 2 4 2 2 2 2 2" xfId="766" xr:uid="{00000000-0005-0000-0000-00001A920000}"/>
    <cellStyle name="Note 4 2 4 2 2 2 3" xfId="6346" xr:uid="{00000000-0005-0000-0000-00001B920000}"/>
    <cellStyle name="Note 4 2 4 2 2 3" xfId="31477" xr:uid="{00000000-0005-0000-0000-00001C920000}"/>
    <cellStyle name="Note 4 2 4 2 2 3 2" xfId="765" xr:uid="{00000000-0005-0000-0000-00001D920000}"/>
    <cellStyle name="Note 4 2 4 2 2 4" xfId="3520" xr:uid="{00000000-0005-0000-0000-00001E920000}"/>
    <cellStyle name="Note 4 2 4 2 3" xfId="764" xr:uid="{00000000-0005-0000-0000-00001F920000}"/>
    <cellStyle name="Note 4 2 4 2 3 2" xfId="763" xr:uid="{00000000-0005-0000-0000-000020920000}"/>
    <cellStyle name="Note 4 2 4 2 3 2 2" xfId="762" xr:uid="{00000000-0005-0000-0000-000021920000}"/>
    <cellStyle name="Note 4 2 4 2 3 3" xfId="761" xr:uid="{00000000-0005-0000-0000-000022920000}"/>
    <cellStyle name="Note 4 2 4 2 4" xfId="760" xr:uid="{00000000-0005-0000-0000-000023920000}"/>
    <cellStyle name="Note 4 2 4 2 4 2" xfId="17689" xr:uid="{00000000-0005-0000-0000-000024920000}"/>
    <cellStyle name="Note 4 2 4 2 5" xfId="759" xr:uid="{00000000-0005-0000-0000-000025920000}"/>
    <cellStyle name="Note 4 2 4 3" xfId="1010" xr:uid="{00000000-0005-0000-0000-000026920000}"/>
    <cellStyle name="Note 4 2 4 3 2" xfId="31944" xr:uid="{00000000-0005-0000-0000-000027920000}"/>
    <cellStyle name="Note 4 2 4 3 2 2" xfId="758" xr:uid="{00000000-0005-0000-0000-000028920000}"/>
    <cellStyle name="Note 4 2 4 3 2 2 2" xfId="757" xr:uid="{00000000-0005-0000-0000-000029920000}"/>
    <cellStyle name="Note 4 2 4 3 2 3" xfId="756" xr:uid="{00000000-0005-0000-0000-00002A920000}"/>
    <cellStyle name="Note 4 2 4 3 3" xfId="29667" xr:uid="{00000000-0005-0000-0000-00002B920000}"/>
    <cellStyle name="Note 4 2 4 3 3 2" xfId="755" xr:uid="{00000000-0005-0000-0000-00002C920000}"/>
    <cellStyle name="Note 4 2 4 3 4" xfId="754" xr:uid="{00000000-0005-0000-0000-00002D920000}"/>
    <cellStyle name="Note 4 2 4 4" xfId="753" xr:uid="{00000000-0005-0000-0000-00002E920000}"/>
    <cellStyle name="Note 4 2 4 4 2" xfId="21743" xr:uid="{00000000-0005-0000-0000-00002F920000}"/>
    <cellStyle name="Note 4 2 4 4 2 2" xfId="752" xr:uid="{00000000-0005-0000-0000-000030920000}"/>
    <cellStyle name="Note 4 2 4 4 3" xfId="751" xr:uid="{00000000-0005-0000-0000-000031920000}"/>
    <cellStyle name="Note 4 2 4 5" xfId="750" xr:uid="{00000000-0005-0000-0000-000032920000}"/>
    <cellStyle name="Note 4 2 4 5 2" xfId="749" xr:uid="{00000000-0005-0000-0000-000033920000}"/>
    <cellStyle name="Note 4 2 4 6" xfId="18042" xr:uid="{00000000-0005-0000-0000-000034920000}"/>
    <cellStyle name="Note 4 2 5" xfId="748" xr:uid="{00000000-0005-0000-0000-000035920000}"/>
    <cellStyle name="Note 4 2 5 2" xfId="747" xr:uid="{00000000-0005-0000-0000-000036920000}"/>
    <cellStyle name="Note 4 2 5 2 2" xfId="746" xr:uid="{00000000-0005-0000-0000-000037920000}"/>
    <cellStyle name="Note 4 2 5 2 2 2" xfId="34354" xr:uid="{00000000-0005-0000-0000-000038920000}"/>
    <cellStyle name="Note 4 2 5 2 2 2 2" xfId="3896" xr:uid="{00000000-0005-0000-0000-000039920000}"/>
    <cellStyle name="Note 4 2 5 2 2 3" xfId="33086" xr:uid="{00000000-0005-0000-0000-00003A920000}"/>
    <cellStyle name="Note 4 2 5 2 3" xfId="17646" xr:uid="{00000000-0005-0000-0000-00003B920000}"/>
    <cellStyle name="Note 4 2 5 2 3 2" xfId="3892" xr:uid="{00000000-0005-0000-0000-00003C920000}"/>
    <cellStyle name="Note 4 2 5 2 4" xfId="745" xr:uid="{00000000-0005-0000-0000-00003D920000}"/>
    <cellStyle name="Note 4 2 5 3" xfId="744" xr:uid="{00000000-0005-0000-0000-00003E920000}"/>
    <cellStyle name="Note 4 2 5 3 2" xfId="21735" xr:uid="{00000000-0005-0000-0000-00003F920000}"/>
    <cellStyle name="Note 4 2 5 3 2 2" xfId="3886" xr:uid="{00000000-0005-0000-0000-000040920000}"/>
    <cellStyle name="Note 4 2 5 3 3" xfId="743" xr:uid="{00000000-0005-0000-0000-000041920000}"/>
    <cellStyle name="Note 4 2 5 4" xfId="742" xr:uid="{00000000-0005-0000-0000-000042920000}"/>
    <cellStyle name="Note 4 2 5 4 2" xfId="741" xr:uid="{00000000-0005-0000-0000-000043920000}"/>
    <cellStyle name="Note 4 2 5 5" xfId="740" xr:uid="{00000000-0005-0000-0000-000044920000}"/>
    <cellStyle name="Note 4 2 6" xfId="32962" xr:uid="{00000000-0005-0000-0000-000045920000}"/>
    <cellStyle name="Note 4 2 6 2" xfId="739" xr:uid="{00000000-0005-0000-0000-000046920000}"/>
    <cellStyle name="Note 4 2 6 2 2" xfId="738" xr:uid="{00000000-0005-0000-0000-000047920000}"/>
    <cellStyle name="Note 4 2 6 2 2 2" xfId="3837" xr:uid="{00000000-0005-0000-0000-000048920000}"/>
    <cellStyle name="Note 4 2 6 2 3" xfId="737" xr:uid="{00000000-0005-0000-0000-000049920000}"/>
    <cellStyle name="Note 4 2 6 3" xfId="736" xr:uid="{00000000-0005-0000-0000-00004A920000}"/>
    <cellStyle name="Note 4 2 6 3 2" xfId="735" xr:uid="{00000000-0005-0000-0000-00004B920000}"/>
    <cellStyle name="Note 4 2 6 4" xfId="734" xr:uid="{00000000-0005-0000-0000-00004C920000}"/>
    <cellStyle name="Note 4 2 7" xfId="25481" xr:uid="{00000000-0005-0000-0000-00004D920000}"/>
    <cellStyle name="Note 4 2 7 2" xfId="733" xr:uid="{00000000-0005-0000-0000-00004E920000}"/>
    <cellStyle name="Note 4 2 7 2 2" xfId="732" xr:uid="{00000000-0005-0000-0000-00004F920000}"/>
    <cellStyle name="Note 4 2 7 3" xfId="731" xr:uid="{00000000-0005-0000-0000-000050920000}"/>
    <cellStyle name="Note 4 2 8" xfId="730" xr:uid="{00000000-0005-0000-0000-000051920000}"/>
    <cellStyle name="Note 4 2 8 2" xfId="729" xr:uid="{00000000-0005-0000-0000-000052920000}"/>
    <cellStyle name="Note 4 2 9" xfId="11832" xr:uid="{00000000-0005-0000-0000-000053920000}"/>
    <cellStyle name="Note 4 3" xfId="219" xr:uid="{00000000-0005-0000-0000-000054920000}"/>
    <cellStyle name="Note 4 3 10" xfId="728" xr:uid="{00000000-0005-0000-0000-000055920000}"/>
    <cellStyle name="Note 4 3 2" xfId="727" xr:uid="{00000000-0005-0000-0000-000056920000}"/>
    <cellStyle name="Note 4 3 2 2" xfId="726" xr:uid="{00000000-0005-0000-0000-000057920000}"/>
    <cellStyle name="Note 4 3 2 2 2" xfId="725" xr:uid="{00000000-0005-0000-0000-000058920000}"/>
    <cellStyle name="Note 4 3 2 2 2 2" xfId="724" xr:uid="{00000000-0005-0000-0000-000059920000}"/>
    <cellStyle name="Note 4 3 2 2 2 2 2" xfId="723" xr:uid="{00000000-0005-0000-0000-00005A920000}"/>
    <cellStyle name="Note 4 3 2 2 2 2 2 2" xfId="722" xr:uid="{00000000-0005-0000-0000-00005B920000}"/>
    <cellStyle name="Note 4 3 2 2 2 2 2 2 2" xfId="721" xr:uid="{00000000-0005-0000-0000-00005C920000}"/>
    <cellStyle name="Note 4 3 2 2 2 2 2 3" xfId="720" xr:uid="{00000000-0005-0000-0000-00005D920000}"/>
    <cellStyle name="Note 4 3 2 2 2 2 3" xfId="719" xr:uid="{00000000-0005-0000-0000-00005E920000}"/>
    <cellStyle name="Note 4 3 2 2 2 2 3 2" xfId="718" xr:uid="{00000000-0005-0000-0000-00005F920000}"/>
    <cellStyle name="Note 4 3 2 2 2 2 4" xfId="9665" xr:uid="{00000000-0005-0000-0000-000060920000}"/>
    <cellStyle name="Note 4 3 2 2 2 3" xfId="717" xr:uid="{00000000-0005-0000-0000-000061920000}"/>
    <cellStyle name="Note 4 3 2 2 2 3 2" xfId="716" xr:uid="{00000000-0005-0000-0000-000062920000}"/>
    <cellStyle name="Note 4 3 2 2 2 3 2 2" xfId="34164" xr:uid="{00000000-0005-0000-0000-000063920000}"/>
    <cellStyle name="Note 4 3 2 2 2 3 3" xfId="715" xr:uid="{00000000-0005-0000-0000-000064920000}"/>
    <cellStyle name="Note 4 3 2 2 2 4" xfId="714" xr:uid="{00000000-0005-0000-0000-000065920000}"/>
    <cellStyle name="Note 4 3 2 2 2 4 2" xfId="8748" xr:uid="{00000000-0005-0000-0000-000066920000}"/>
    <cellStyle name="Note 4 3 2 2 2 5" xfId="713" xr:uid="{00000000-0005-0000-0000-000067920000}"/>
    <cellStyle name="Note 4 3 2 2 3" xfId="712" xr:uid="{00000000-0005-0000-0000-000068920000}"/>
    <cellStyle name="Note 4 3 2 2 3 2" xfId="20675" xr:uid="{00000000-0005-0000-0000-000069920000}"/>
    <cellStyle name="Note 4 3 2 2 3 2 2" xfId="711" xr:uid="{00000000-0005-0000-0000-00006A920000}"/>
    <cellStyle name="Note 4 3 2 2 3 2 2 2" xfId="31928" xr:uid="{00000000-0005-0000-0000-00006B920000}"/>
    <cellStyle name="Note 4 3 2 2 3 2 3" xfId="710" xr:uid="{00000000-0005-0000-0000-00006C920000}"/>
    <cellStyle name="Note 4 3 2 2 3 3" xfId="6526" xr:uid="{00000000-0005-0000-0000-00006D920000}"/>
    <cellStyle name="Note 4 3 2 2 3 3 2" xfId="709" xr:uid="{00000000-0005-0000-0000-00006E920000}"/>
    <cellStyle name="Note 4 3 2 2 3 4" xfId="708" xr:uid="{00000000-0005-0000-0000-00006F920000}"/>
    <cellStyle name="Note 4 3 2 2 4" xfId="707" xr:uid="{00000000-0005-0000-0000-000070920000}"/>
    <cellStyle name="Note 4 3 2 2 4 2" xfId="706" xr:uid="{00000000-0005-0000-0000-000071920000}"/>
    <cellStyle name="Note 4 3 2 2 4 2 2" xfId="705" xr:uid="{00000000-0005-0000-0000-000072920000}"/>
    <cellStyle name="Note 4 3 2 2 4 3" xfId="704" xr:uid="{00000000-0005-0000-0000-000073920000}"/>
    <cellStyle name="Note 4 3 2 2 5" xfId="703" xr:uid="{00000000-0005-0000-0000-000074920000}"/>
    <cellStyle name="Note 4 3 2 2 5 2" xfId="702" xr:uid="{00000000-0005-0000-0000-000075920000}"/>
    <cellStyle name="Note 4 3 2 2 6" xfId="701" xr:uid="{00000000-0005-0000-0000-000076920000}"/>
    <cellStyle name="Note 4 3 2 3" xfId="1003" xr:uid="{00000000-0005-0000-0000-000077920000}"/>
    <cellStyle name="Note 4 3 2 3 2" xfId="23944" xr:uid="{00000000-0005-0000-0000-000078920000}"/>
    <cellStyle name="Note 4 3 2 3 2 2" xfId="700" xr:uid="{00000000-0005-0000-0000-000079920000}"/>
    <cellStyle name="Note 4 3 2 3 2 2 2" xfId="699" xr:uid="{00000000-0005-0000-0000-00007A920000}"/>
    <cellStyle name="Note 4 3 2 3 2 2 2 2" xfId="698" xr:uid="{00000000-0005-0000-0000-00007B920000}"/>
    <cellStyle name="Note 4 3 2 3 2 2 3" xfId="697" xr:uid="{00000000-0005-0000-0000-00007C920000}"/>
    <cellStyle name="Note 4 3 2 3 2 3" xfId="696" xr:uid="{00000000-0005-0000-0000-00007D920000}"/>
    <cellStyle name="Note 4 3 2 3 2 3 2" xfId="695" xr:uid="{00000000-0005-0000-0000-00007E920000}"/>
    <cellStyle name="Note 4 3 2 3 2 4" xfId="694" xr:uid="{00000000-0005-0000-0000-00007F920000}"/>
    <cellStyle name="Note 4 3 2 3 3" xfId="21678" xr:uid="{00000000-0005-0000-0000-000080920000}"/>
    <cellStyle name="Note 4 3 2 3 3 2" xfId="693" xr:uid="{00000000-0005-0000-0000-000081920000}"/>
    <cellStyle name="Note 4 3 2 3 3 2 2" xfId="692" xr:uid="{00000000-0005-0000-0000-000082920000}"/>
    <cellStyle name="Note 4 3 2 3 3 3" xfId="691" xr:uid="{00000000-0005-0000-0000-000083920000}"/>
    <cellStyle name="Note 4 3 2 3 4" xfId="21672" xr:uid="{00000000-0005-0000-0000-000084920000}"/>
    <cellStyle name="Note 4 3 2 3 4 2" xfId="690" xr:uid="{00000000-0005-0000-0000-000085920000}"/>
    <cellStyle name="Note 4 3 2 3 5" xfId="28067" xr:uid="{00000000-0005-0000-0000-000086920000}"/>
    <cellStyle name="Note 4 3 2 4" xfId="1001" xr:uid="{00000000-0005-0000-0000-000087920000}"/>
    <cellStyle name="Note 4 3 2 4 2" xfId="30602" xr:uid="{00000000-0005-0000-0000-000088920000}"/>
    <cellStyle name="Note 4 3 2 4 2 2" xfId="26011" xr:uid="{00000000-0005-0000-0000-000089920000}"/>
    <cellStyle name="Note 4 3 2 4 2 2 2" xfId="689" xr:uid="{00000000-0005-0000-0000-00008A920000}"/>
    <cellStyle name="Note 4 3 2 4 2 3" xfId="688" xr:uid="{00000000-0005-0000-0000-00008B920000}"/>
    <cellStyle name="Note 4 3 2 4 3" xfId="21665" xr:uid="{00000000-0005-0000-0000-00008C920000}"/>
    <cellStyle name="Note 4 3 2 4 3 2" xfId="25449" xr:uid="{00000000-0005-0000-0000-00008D920000}"/>
    <cellStyle name="Note 4 3 2 4 4" xfId="4365" xr:uid="{00000000-0005-0000-0000-00008E920000}"/>
    <cellStyle name="Note 4 3 2 5" xfId="30317" xr:uid="{00000000-0005-0000-0000-00008F920000}"/>
    <cellStyle name="Note 4 3 2 5 2" xfId="23461" xr:uid="{00000000-0005-0000-0000-000090920000}"/>
    <cellStyle name="Note 4 3 2 5 2 2" xfId="687" xr:uid="{00000000-0005-0000-0000-000091920000}"/>
    <cellStyle name="Note 4 3 2 5 3" xfId="686" xr:uid="{00000000-0005-0000-0000-000092920000}"/>
    <cellStyle name="Note 4 3 2 6" xfId="9698" xr:uid="{00000000-0005-0000-0000-000093920000}"/>
    <cellStyle name="Note 4 3 2 6 2" xfId="685" xr:uid="{00000000-0005-0000-0000-000094920000}"/>
    <cellStyle name="Note 4 3 2 7" xfId="684" xr:uid="{00000000-0005-0000-0000-000095920000}"/>
    <cellStyle name="Note 4 3 3" xfId="683" xr:uid="{00000000-0005-0000-0000-000096920000}"/>
    <cellStyle name="Note 4 3 3 2" xfId="682" xr:uid="{00000000-0005-0000-0000-000097920000}"/>
    <cellStyle name="Note 4 3 3 2 2" xfId="681" xr:uid="{00000000-0005-0000-0000-000098920000}"/>
    <cellStyle name="Note 4 3 3 2 2 2" xfId="680" xr:uid="{00000000-0005-0000-0000-000099920000}"/>
    <cellStyle name="Note 4 3 3 2 2 2 2" xfId="1873" xr:uid="{00000000-0005-0000-0000-00009A920000}"/>
    <cellStyle name="Note 4 3 3 2 2 2 2 2" xfId="2595" xr:uid="{00000000-0005-0000-0000-00009B920000}"/>
    <cellStyle name="Note 4 3 3 2 2 2 3" xfId="1866" xr:uid="{00000000-0005-0000-0000-00009C920000}"/>
    <cellStyle name="Note 4 3 3 2 2 3" xfId="28756" xr:uid="{00000000-0005-0000-0000-00009D920000}"/>
    <cellStyle name="Note 4 3 3 2 2 3 2" xfId="29808" xr:uid="{00000000-0005-0000-0000-00009E920000}"/>
    <cellStyle name="Note 4 3 3 2 2 4" xfId="679" xr:uid="{00000000-0005-0000-0000-00009F920000}"/>
    <cellStyle name="Note 4 3 3 2 3" xfId="3765" xr:uid="{00000000-0005-0000-0000-0000A0920000}"/>
    <cellStyle name="Note 4 3 3 2 3 2" xfId="3763" xr:uid="{00000000-0005-0000-0000-0000A1920000}"/>
    <cellStyle name="Note 4 3 3 2 3 2 2" xfId="1854" xr:uid="{00000000-0005-0000-0000-0000A2920000}"/>
    <cellStyle name="Note 4 3 3 2 3 3" xfId="678" xr:uid="{00000000-0005-0000-0000-0000A3920000}"/>
    <cellStyle name="Note 4 3 3 2 4" xfId="3761" xr:uid="{00000000-0005-0000-0000-0000A4920000}"/>
    <cellStyle name="Note 4 3 3 2 4 2" xfId="677" xr:uid="{00000000-0005-0000-0000-0000A5920000}"/>
    <cellStyle name="Note 4 3 3 2 5" xfId="4251" xr:uid="{00000000-0005-0000-0000-0000A6920000}"/>
    <cellStyle name="Note 4 3 3 3" xfId="998" xr:uid="{00000000-0005-0000-0000-0000A7920000}"/>
    <cellStyle name="Note 4 3 3 3 2" xfId="21659" xr:uid="{00000000-0005-0000-0000-0000A8920000}"/>
    <cellStyle name="Note 4 3 3 3 2 2" xfId="676" xr:uid="{00000000-0005-0000-0000-0000A9920000}"/>
    <cellStyle name="Note 4 3 3 3 2 2 2" xfId="1717" xr:uid="{00000000-0005-0000-0000-0000AA920000}"/>
    <cellStyle name="Note 4 3 3 3 2 3" xfId="675" xr:uid="{00000000-0005-0000-0000-0000AB920000}"/>
    <cellStyle name="Note 4 3 3 3 3" xfId="21652" xr:uid="{00000000-0005-0000-0000-0000AC920000}"/>
    <cellStyle name="Note 4 3 3 3 3 2" xfId="674" xr:uid="{00000000-0005-0000-0000-0000AD920000}"/>
    <cellStyle name="Note 4 3 3 3 4" xfId="4356" xr:uid="{00000000-0005-0000-0000-0000AE920000}"/>
    <cellStyle name="Note 4 3 3 4" xfId="673" xr:uid="{00000000-0005-0000-0000-0000AF920000}"/>
    <cellStyle name="Note 4 3 3 4 2" xfId="21647" xr:uid="{00000000-0005-0000-0000-0000B0920000}"/>
    <cellStyle name="Note 4 3 3 4 2 2" xfId="672" xr:uid="{00000000-0005-0000-0000-0000B1920000}"/>
    <cellStyle name="Note 4 3 3 4 3" xfId="671" xr:uid="{00000000-0005-0000-0000-0000B2920000}"/>
    <cellStyle name="Note 4 3 3 5" xfId="670" xr:uid="{00000000-0005-0000-0000-0000B3920000}"/>
    <cellStyle name="Note 4 3 3 5 2" xfId="669" xr:uid="{00000000-0005-0000-0000-0000B4920000}"/>
    <cellStyle name="Note 4 3 3 6" xfId="668" xr:uid="{00000000-0005-0000-0000-0000B5920000}"/>
    <cellStyle name="Note 4 3 4" xfId="667" xr:uid="{00000000-0005-0000-0000-0000B6920000}"/>
    <cellStyle name="Note 4 3 4 2" xfId="666" xr:uid="{00000000-0005-0000-0000-0000B7920000}"/>
    <cellStyle name="Note 4 3 4 2 2" xfId="665" xr:uid="{00000000-0005-0000-0000-0000B8920000}"/>
    <cellStyle name="Note 4 3 4 2 2 2" xfId="664" xr:uid="{00000000-0005-0000-0000-0000B9920000}"/>
    <cellStyle name="Note 4 3 4 2 2 2 2" xfId="3938" xr:uid="{00000000-0005-0000-0000-0000BA920000}"/>
    <cellStyle name="Note 4 3 4 2 2 3" xfId="663" xr:uid="{00000000-0005-0000-0000-0000BB920000}"/>
    <cellStyle name="Note 4 3 4 2 3" xfId="3746" xr:uid="{00000000-0005-0000-0000-0000BC920000}"/>
    <cellStyle name="Note 4 3 4 2 3 2" xfId="662" xr:uid="{00000000-0005-0000-0000-0000BD920000}"/>
    <cellStyle name="Note 4 3 4 2 4" xfId="661" xr:uid="{00000000-0005-0000-0000-0000BE920000}"/>
    <cellStyle name="Note 4 3 4 3" xfId="660" xr:uid="{00000000-0005-0000-0000-0000BF920000}"/>
    <cellStyle name="Note 4 3 4 3 2" xfId="21640" xr:uid="{00000000-0005-0000-0000-0000C0920000}"/>
    <cellStyle name="Note 4 3 4 3 2 2" xfId="659" xr:uid="{00000000-0005-0000-0000-0000C1920000}"/>
    <cellStyle name="Note 4 3 4 3 3" xfId="658" xr:uid="{00000000-0005-0000-0000-0000C2920000}"/>
    <cellStyle name="Note 4 3 4 4" xfId="657" xr:uid="{00000000-0005-0000-0000-0000C3920000}"/>
    <cellStyle name="Note 4 3 4 4 2" xfId="656" xr:uid="{00000000-0005-0000-0000-0000C4920000}"/>
    <cellStyle name="Note 4 3 4 5" xfId="655" xr:uid="{00000000-0005-0000-0000-0000C5920000}"/>
    <cellStyle name="Note 4 3 5" xfId="654" xr:uid="{00000000-0005-0000-0000-0000C6920000}"/>
    <cellStyle name="Note 4 3 5 2" xfId="653" xr:uid="{00000000-0005-0000-0000-0000C7920000}"/>
    <cellStyle name="Note 4 3 5 2 2" xfId="652" xr:uid="{00000000-0005-0000-0000-0000C8920000}"/>
    <cellStyle name="Note 4 3 5 2 2 2" xfId="3741" xr:uid="{00000000-0005-0000-0000-0000C9920000}"/>
    <cellStyle name="Note 4 3 5 2 3" xfId="8988" xr:uid="{00000000-0005-0000-0000-0000CA920000}"/>
    <cellStyle name="Note 4 3 5 3" xfId="651" xr:uid="{00000000-0005-0000-0000-0000CB920000}"/>
    <cellStyle name="Note 4 3 5 3 2" xfId="650" xr:uid="{00000000-0005-0000-0000-0000CC920000}"/>
    <cellStyle name="Note 4 3 5 4" xfId="649" xr:uid="{00000000-0005-0000-0000-0000CD920000}"/>
    <cellStyle name="Note 4 3 6" xfId="648" xr:uid="{00000000-0005-0000-0000-0000CE920000}"/>
    <cellStyle name="Note 4 3 6 2" xfId="647" xr:uid="{00000000-0005-0000-0000-0000CF920000}"/>
    <cellStyle name="Note 4 3 6 2 2" xfId="646" xr:uid="{00000000-0005-0000-0000-0000D0920000}"/>
    <cellStyle name="Note 4 3 6 3" xfId="645" xr:uid="{00000000-0005-0000-0000-0000D1920000}"/>
    <cellStyle name="Note 4 3 7" xfId="644" xr:uid="{00000000-0005-0000-0000-0000D2920000}"/>
    <cellStyle name="Note 4 3 7 2" xfId="643" xr:uid="{00000000-0005-0000-0000-0000D3920000}"/>
    <cellStyle name="Note 4 3 8" xfId="642" xr:uid="{00000000-0005-0000-0000-0000D4920000}"/>
    <cellStyle name="Note 4 3 9" xfId="34548" xr:uid="{00000000-0005-0000-0000-0000D5920000}"/>
    <cellStyle name="Note 4 4" xfId="27950" xr:uid="{00000000-0005-0000-0000-0000D6920000}"/>
    <cellStyle name="Note 4 4 2" xfId="29819" xr:uid="{00000000-0005-0000-0000-0000D7920000}"/>
    <cellStyle name="Note 4 4 2 2" xfId="29814" xr:uid="{00000000-0005-0000-0000-0000D8920000}"/>
    <cellStyle name="Note 4 4 2 2 2" xfId="641" xr:uid="{00000000-0005-0000-0000-0000D9920000}"/>
    <cellStyle name="Note 4 4 2 2 2 2" xfId="17160" xr:uid="{00000000-0005-0000-0000-0000DA920000}"/>
    <cellStyle name="Note 4 4 2 2 2 2 2" xfId="19076" xr:uid="{00000000-0005-0000-0000-0000DB920000}"/>
    <cellStyle name="Note 4 4 2 2 2 2 2 2" xfId="14409" xr:uid="{00000000-0005-0000-0000-0000DC920000}"/>
    <cellStyle name="Note 4 4 2 2 2 2 3" xfId="14406" xr:uid="{00000000-0005-0000-0000-0000DD920000}"/>
    <cellStyle name="Note 4 4 2 2 2 3" xfId="18510" xr:uid="{00000000-0005-0000-0000-0000DE920000}"/>
    <cellStyle name="Note 4 4 2 2 2 3 2" xfId="19066" xr:uid="{00000000-0005-0000-0000-0000DF920000}"/>
    <cellStyle name="Note 4 4 2 2 2 4" xfId="24386" xr:uid="{00000000-0005-0000-0000-0000E0920000}"/>
    <cellStyle name="Note 4 4 2 2 3" xfId="640" xr:uid="{00000000-0005-0000-0000-0000E1920000}"/>
    <cellStyle name="Note 4 4 2 2 3 2" xfId="17145" xr:uid="{00000000-0005-0000-0000-0000E2920000}"/>
    <cellStyle name="Note 4 4 2 2 3 2 2" xfId="14322" xr:uid="{00000000-0005-0000-0000-0000E3920000}"/>
    <cellStyle name="Note 4 4 2 2 3 3" xfId="18506" xr:uid="{00000000-0005-0000-0000-0000E4920000}"/>
    <cellStyle name="Note 4 4 2 2 4" xfId="639" xr:uid="{00000000-0005-0000-0000-0000E5920000}"/>
    <cellStyle name="Note 4 4 2 2 4 2" xfId="17130" xr:uid="{00000000-0005-0000-0000-0000E6920000}"/>
    <cellStyle name="Note 4 4 2 2 5" xfId="638" xr:uid="{00000000-0005-0000-0000-0000E7920000}"/>
    <cellStyle name="Note 4 4 2 3" xfId="5864" xr:uid="{00000000-0005-0000-0000-0000E8920000}"/>
    <cellStyle name="Note 4 4 2 3 2" xfId="21595" xr:uid="{00000000-0005-0000-0000-0000E9920000}"/>
    <cellStyle name="Note 4 4 2 3 2 2" xfId="30522" xr:uid="{00000000-0005-0000-0000-0000EA920000}"/>
    <cellStyle name="Note 4 4 2 3 2 2 2" xfId="13983" xr:uid="{00000000-0005-0000-0000-0000EB920000}"/>
    <cellStyle name="Note 4 4 2 3 2 3" xfId="18498" xr:uid="{00000000-0005-0000-0000-0000EC920000}"/>
    <cellStyle name="Note 4 4 2 3 3" xfId="20240" xr:uid="{00000000-0005-0000-0000-0000ED920000}"/>
    <cellStyle name="Note 4 4 2 3 3 2" xfId="17095" xr:uid="{00000000-0005-0000-0000-0000EE920000}"/>
    <cellStyle name="Note 4 4 2 3 4" xfId="637" xr:uid="{00000000-0005-0000-0000-0000EF920000}"/>
    <cellStyle name="Note 4 4 2 4" xfId="636" xr:uid="{00000000-0005-0000-0000-0000F0920000}"/>
    <cellStyle name="Note 4 4 2 4 2" xfId="21589" xr:uid="{00000000-0005-0000-0000-0000F1920000}"/>
    <cellStyle name="Note 4 4 2 4 2 2" xfId="28335" xr:uid="{00000000-0005-0000-0000-0000F2920000}"/>
    <cellStyle name="Note 4 4 2 4 3" xfId="5841" xr:uid="{00000000-0005-0000-0000-0000F3920000}"/>
    <cellStyle name="Note 4 4 2 5" xfId="1298" xr:uid="{00000000-0005-0000-0000-0000F4920000}"/>
    <cellStyle name="Note 4 4 2 5 2" xfId="635" xr:uid="{00000000-0005-0000-0000-0000F5920000}"/>
    <cellStyle name="Note 4 4 2 6" xfId="634" xr:uid="{00000000-0005-0000-0000-0000F6920000}"/>
    <cellStyle name="Note 4 4 3" xfId="29538" xr:uid="{00000000-0005-0000-0000-0000F7920000}"/>
    <cellStyle name="Note 4 4 3 2" xfId="633" xr:uid="{00000000-0005-0000-0000-0000F8920000}"/>
    <cellStyle name="Note 4 4 3 2 2" xfId="632" xr:uid="{00000000-0005-0000-0000-0000F9920000}"/>
    <cellStyle name="Note 4 4 3 2 2 2" xfId="17058" xr:uid="{00000000-0005-0000-0000-0000FA920000}"/>
    <cellStyle name="Note 4 4 3 2 2 2 2" xfId="17431" xr:uid="{00000000-0005-0000-0000-0000FB920000}"/>
    <cellStyle name="Note 4 4 3 2 2 3" xfId="30020" xr:uid="{00000000-0005-0000-0000-0000FC920000}"/>
    <cellStyle name="Note 4 4 3 2 3" xfId="3719" xr:uid="{00000000-0005-0000-0000-0000FD920000}"/>
    <cellStyle name="Note 4 4 3 2 3 2" xfId="17045" xr:uid="{00000000-0005-0000-0000-0000FE920000}"/>
    <cellStyle name="Note 4 4 3 2 4" xfId="798" xr:uid="{00000000-0005-0000-0000-0000FF920000}"/>
    <cellStyle name="Note 4 4 3 3" xfId="631" xr:uid="{00000000-0005-0000-0000-000000930000}"/>
    <cellStyle name="Note 4 4 3 3 2" xfId="21585" xr:uid="{00000000-0005-0000-0000-000001930000}"/>
    <cellStyle name="Note 4 4 3 3 2 2" xfId="5846" xr:uid="{00000000-0005-0000-0000-000002930000}"/>
    <cellStyle name="Note 4 4 3 3 3" xfId="796" xr:uid="{00000000-0005-0000-0000-000003930000}"/>
    <cellStyle name="Note 4 4 3 4" xfId="630" xr:uid="{00000000-0005-0000-0000-000004930000}"/>
    <cellStyle name="Note 4 4 3 4 2" xfId="629" xr:uid="{00000000-0005-0000-0000-000005930000}"/>
    <cellStyle name="Note 4 4 3 5" xfId="628" xr:uid="{00000000-0005-0000-0000-000006930000}"/>
    <cellStyle name="Note 4 4 4" xfId="627" xr:uid="{00000000-0005-0000-0000-000007930000}"/>
    <cellStyle name="Note 4 4 4 2" xfId="626" xr:uid="{00000000-0005-0000-0000-000008930000}"/>
    <cellStyle name="Note 4 4 4 2 2" xfId="625" xr:uid="{00000000-0005-0000-0000-000009930000}"/>
    <cellStyle name="Note 4 4 4 2 2 2" xfId="17009" xr:uid="{00000000-0005-0000-0000-00000A930000}"/>
    <cellStyle name="Note 4 4 4 2 3" xfId="5532" xr:uid="{00000000-0005-0000-0000-00000B930000}"/>
    <cellStyle name="Note 4 4 4 3" xfId="624" xr:uid="{00000000-0005-0000-0000-00000C930000}"/>
    <cellStyle name="Note 4 4 4 3 2" xfId="623" xr:uid="{00000000-0005-0000-0000-00000D930000}"/>
    <cellStyle name="Note 4 4 4 4" xfId="622" xr:uid="{00000000-0005-0000-0000-00000E930000}"/>
    <cellStyle name="Note 4 4 5" xfId="621" xr:uid="{00000000-0005-0000-0000-00000F930000}"/>
    <cellStyle name="Note 4 4 5 2" xfId="620" xr:uid="{00000000-0005-0000-0000-000010930000}"/>
    <cellStyle name="Note 4 4 5 2 2" xfId="20604" xr:uid="{00000000-0005-0000-0000-000011930000}"/>
    <cellStyle name="Note 4 4 5 3" xfId="619" xr:uid="{00000000-0005-0000-0000-000012930000}"/>
    <cellStyle name="Note 4 4 6" xfId="618" xr:uid="{00000000-0005-0000-0000-000013930000}"/>
    <cellStyle name="Note 4 4 6 2" xfId="617" xr:uid="{00000000-0005-0000-0000-000014930000}"/>
    <cellStyle name="Note 4 4 7" xfId="616" xr:uid="{00000000-0005-0000-0000-000015930000}"/>
    <cellStyle name="Note 4 4 8" xfId="34770" xr:uid="{00000000-0005-0000-0000-000016930000}"/>
    <cellStyle name="Note 4 5" xfId="22401" xr:uid="{00000000-0005-0000-0000-000017930000}"/>
    <cellStyle name="Note 4 5 2" xfId="29512" xr:uid="{00000000-0005-0000-0000-000018930000}"/>
    <cellStyle name="Note 4 5 2 2" xfId="615" xr:uid="{00000000-0005-0000-0000-000019930000}"/>
    <cellStyle name="Note 4 5 2 2 2" xfId="7055" xr:uid="{00000000-0005-0000-0000-00001A930000}"/>
    <cellStyle name="Note 4 5 2 2 2 2" xfId="614" xr:uid="{00000000-0005-0000-0000-00001B930000}"/>
    <cellStyle name="Note 4 5 2 2 2 2 2" xfId="613" xr:uid="{00000000-0005-0000-0000-00001C930000}"/>
    <cellStyle name="Note 4 5 2 2 2 3" xfId="1390" xr:uid="{00000000-0005-0000-0000-00001D930000}"/>
    <cellStyle name="Note 4 5 2 2 3" xfId="15799" xr:uid="{00000000-0005-0000-0000-00001E930000}"/>
    <cellStyle name="Note 4 5 2 2 3 2" xfId="612" xr:uid="{00000000-0005-0000-0000-00001F930000}"/>
    <cellStyle name="Note 4 5 2 2 4" xfId="7048" xr:uid="{00000000-0005-0000-0000-000020930000}"/>
    <cellStyle name="Note 4 5 2 3" xfId="611" xr:uid="{00000000-0005-0000-0000-000021930000}"/>
    <cellStyle name="Note 4 5 2 3 2" xfId="21561" xr:uid="{00000000-0005-0000-0000-000022930000}"/>
    <cellStyle name="Note 4 5 2 3 2 2" xfId="2535" xr:uid="{00000000-0005-0000-0000-000023930000}"/>
    <cellStyle name="Note 4 5 2 3 3" xfId="7030" xr:uid="{00000000-0005-0000-0000-000024930000}"/>
    <cellStyle name="Note 4 5 2 4" xfId="610" xr:uid="{00000000-0005-0000-0000-000025930000}"/>
    <cellStyle name="Note 4 5 2 4 2" xfId="7018" xr:uid="{00000000-0005-0000-0000-000026930000}"/>
    <cellStyle name="Note 4 5 2 5" xfId="609" xr:uid="{00000000-0005-0000-0000-000027930000}"/>
    <cellStyle name="Note 4 5 3" xfId="608" xr:uid="{00000000-0005-0000-0000-000028930000}"/>
    <cellStyle name="Note 4 5 3 2" xfId="607" xr:uid="{00000000-0005-0000-0000-000029930000}"/>
    <cellStyle name="Note 4 5 3 2 2" xfId="6980" xr:uid="{00000000-0005-0000-0000-00002A930000}"/>
    <cellStyle name="Note 4 5 3 2 2 2" xfId="606" xr:uid="{00000000-0005-0000-0000-00002B930000}"/>
    <cellStyle name="Note 4 5 3 2 3" xfId="6974" xr:uid="{00000000-0005-0000-0000-00002C930000}"/>
    <cellStyle name="Note 4 5 3 3" xfId="605" xr:uid="{00000000-0005-0000-0000-00002D930000}"/>
    <cellStyle name="Note 4 5 3 3 2" xfId="6962" xr:uid="{00000000-0005-0000-0000-00002E930000}"/>
    <cellStyle name="Note 4 5 3 4" xfId="604" xr:uid="{00000000-0005-0000-0000-00002F930000}"/>
    <cellStyle name="Note 4 5 4" xfId="603" xr:uid="{00000000-0005-0000-0000-000030930000}"/>
    <cellStyle name="Note 4 5 4 2" xfId="34345" xr:uid="{00000000-0005-0000-0000-000031930000}"/>
    <cellStyle name="Note 4 5 4 2 2" xfId="6938" xr:uid="{00000000-0005-0000-0000-000032930000}"/>
    <cellStyle name="Note 4 5 4 3" xfId="602" xr:uid="{00000000-0005-0000-0000-000033930000}"/>
    <cellStyle name="Note 4 5 5" xfId="601" xr:uid="{00000000-0005-0000-0000-000034930000}"/>
    <cellStyle name="Note 4 5 5 2" xfId="600" xr:uid="{00000000-0005-0000-0000-000035930000}"/>
    <cellStyle name="Note 4 5 6" xfId="15066" xr:uid="{00000000-0005-0000-0000-000036930000}"/>
    <cellStyle name="Note 4 5 7" xfId="34960" xr:uid="{00000000-0005-0000-0000-000037930000}"/>
    <cellStyle name="Note 4 6" xfId="31559" xr:uid="{00000000-0005-0000-0000-000038930000}"/>
    <cellStyle name="Note 4 6 2" xfId="22181" xr:uid="{00000000-0005-0000-0000-000039930000}"/>
    <cellStyle name="Note 4 6 2 2" xfId="599" xr:uid="{00000000-0005-0000-0000-00003A930000}"/>
    <cellStyle name="Note 4 6 2 2 2" xfId="22235" xr:uid="{00000000-0005-0000-0000-00003B930000}"/>
    <cellStyle name="Note 4 6 2 2 2 2" xfId="598" xr:uid="{00000000-0005-0000-0000-00003C930000}"/>
    <cellStyle name="Note 4 6 2 2 3" xfId="6867" xr:uid="{00000000-0005-0000-0000-00003D930000}"/>
    <cellStyle name="Note 4 6 2 3" xfId="17738" xr:uid="{00000000-0005-0000-0000-00003E930000}"/>
    <cellStyle name="Note 4 6 2 3 2" xfId="25420" xr:uid="{00000000-0005-0000-0000-00003F930000}"/>
    <cellStyle name="Note 4 6 2 4" xfId="18991" xr:uid="{00000000-0005-0000-0000-000040930000}"/>
    <cellStyle name="Note 4 6 3" xfId="597" xr:uid="{00000000-0005-0000-0000-000041930000}"/>
    <cellStyle name="Note 4 6 3 2" xfId="596" xr:uid="{00000000-0005-0000-0000-000042930000}"/>
    <cellStyle name="Note 4 6 3 2 2" xfId="6830" xr:uid="{00000000-0005-0000-0000-000043930000}"/>
    <cellStyle name="Note 4 6 3 3" xfId="18984" xr:uid="{00000000-0005-0000-0000-000044930000}"/>
    <cellStyle name="Note 4 6 4" xfId="595" xr:uid="{00000000-0005-0000-0000-000045930000}"/>
    <cellStyle name="Note 4 6 4 2" xfId="594" xr:uid="{00000000-0005-0000-0000-000046930000}"/>
    <cellStyle name="Note 4 6 5" xfId="593" xr:uid="{00000000-0005-0000-0000-000047930000}"/>
    <cellStyle name="Note 4 6 6" xfId="35165" xr:uid="{00000000-0005-0000-0000-000048930000}"/>
    <cellStyle name="Note 4 7" xfId="16759" xr:uid="{00000000-0005-0000-0000-000049930000}"/>
    <cellStyle name="Note 4 7 2" xfId="23561" xr:uid="{00000000-0005-0000-0000-00004A930000}"/>
    <cellStyle name="Note 4 7 2 2" xfId="592" xr:uid="{00000000-0005-0000-0000-00004B930000}"/>
    <cellStyle name="Note 4 7 2 2 2" xfId="21923" xr:uid="{00000000-0005-0000-0000-00004C930000}"/>
    <cellStyle name="Note 4 7 2 3" xfId="18966" xr:uid="{00000000-0005-0000-0000-00004D930000}"/>
    <cellStyle name="Note 4 7 3" xfId="591" xr:uid="{00000000-0005-0000-0000-00004E930000}"/>
    <cellStyle name="Note 4 7 3 2" xfId="590" xr:uid="{00000000-0005-0000-0000-00004F930000}"/>
    <cellStyle name="Note 4 7 4" xfId="875" xr:uid="{00000000-0005-0000-0000-000050930000}"/>
    <cellStyle name="Note 4 7 5" xfId="35394" xr:uid="{00000000-0005-0000-0000-000051930000}"/>
    <cellStyle name="Note 4 8" xfId="589" xr:uid="{00000000-0005-0000-0000-000052930000}"/>
    <cellStyle name="Note 4 8 2" xfId="588" xr:uid="{00000000-0005-0000-0000-000053930000}"/>
    <cellStyle name="Note 4 8 2 2" xfId="587" xr:uid="{00000000-0005-0000-0000-000054930000}"/>
    <cellStyle name="Note 4 8 3" xfId="586" xr:uid="{00000000-0005-0000-0000-000055930000}"/>
    <cellStyle name="Note 4 8 4" xfId="36266" xr:uid="{00000000-0005-0000-0000-000056930000}"/>
    <cellStyle name="Note 4 9" xfId="585" xr:uid="{00000000-0005-0000-0000-000057930000}"/>
    <cellStyle name="Note 4 9 2" xfId="584" xr:uid="{00000000-0005-0000-0000-000058930000}"/>
    <cellStyle name="Note 4 9 3" xfId="36552" xr:uid="{00000000-0005-0000-0000-000059930000}"/>
    <cellStyle name="Note 40" xfId="36071" xr:uid="{00000000-0005-0000-0000-00005A930000}"/>
    <cellStyle name="Note 40 2" xfId="37240" xr:uid="{00000000-0005-0000-0000-00005B930000}"/>
    <cellStyle name="Note 40 3" xfId="38138" xr:uid="{00000000-0005-0000-0000-00005C930000}"/>
    <cellStyle name="Note 41" xfId="36091" xr:uid="{00000000-0005-0000-0000-00005D930000}"/>
    <cellStyle name="Note 41 2" xfId="37260" xr:uid="{00000000-0005-0000-0000-00005E930000}"/>
    <cellStyle name="Note 41 3" xfId="38158" xr:uid="{00000000-0005-0000-0000-00005F930000}"/>
    <cellStyle name="Note 42" xfId="36111" xr:uid="{00000000-0005-0000-0000-000060930000}"/>
    <cellStyle name="Note 42 2" xfId="37280" xr:uid="{00000000-0005-0000-0000-000061930000}"/>
    <cellStyle name="Note 42 3" xfId="38178" xr:uid="{00000000-0005-0000-0000-000062930000}"/>
    <cellStyle name="Note 43" xfId="36131" xr:uid="{00000000-0005-0000-0000-000063930000}"/>
    <cellStyle name="Note 43 2" xfId="37300" xr:uid="{00000000-0005-0000-0000-000064930000}"/>
    <cellStyle name="Note 43 3" xfId="38198" xr:uid="{00000000-0005-0000-0000-000065930000}"/>
    <cellStyle name="Note 44" xfId="36151" xr:uid="{00000000-0005-0000-0000-000066930000}"/>
    <cellStyle name="Note 44 2" xfId="37320" xr:uid="{00000000-0005-0000-0000-000067930000}"/>
    <cellStyle name="Note 44 3" xfId="38218" xr:uid="{00000000-0005-0000-0000-000068930000}"/>
    <cellStyle name="Note 45" xfId="36171" xr:uid="{00000000-0005-0000-0000-000069930000}"/>
    <cellStyle name="Note 45 2" xfId="37340" xr:uid="{00000000-0005-0000-0000-00006A930000}"/>
    <cellStyle name="Note 45 3" xfId="38238" xr:uid="{00000000-0005-0000-0000-00006B930000}"/>
    <cellStyle name="Note 46" xfId="36191" xr:uid="{00000000-0005-0000-0000-00006C930000}"/>
    <cellStyle name="Note 46 2" xfId="37360" xr:uid="{00000000-0005-0000-0000-00006D930000}"/>
    <cellStyle name="Note 46 3" xfId="38258" xr:uid="{00000000-0005-0000-0000-00006E930000}"/>
    <cellStyle name="Note 47" xfId="36211" xr:uid="{00000000-0005-0000-0000-00006F930000}"/>
    <cellStyle name="Note 47 2" xfId="38278" xr:uid="{00000000-0005-0000-0000-000070930000}"/>
    <cellStyle name="Note 5" xfId="239" xr:uid="{00000000-0005-0000-0000-000071930000}"/>
    <cellStyle name="Note 5 10" xfId="34562" xr:uid="{00000000-0005-0000-0000-000072930000}"/>
    <cellStyle name="Note 5 11" xfId="583" xr:uid="{00000000-0005-0000-0000-000073930000}"/>
    <cellStyle name="Note 5 2" xfId="582" xr:uid="{00000000-0005-0000-0000-000074930000}"/>
    <cellStyle name="Note 5 2 2" xfId="581" xr:uid="{00000000-0005-0000-0000-000075930000}"/>
    <cellStyle name="Note 5 2 2 2" xfId="580" xr:uid="{00000000-0005-0000-0000-000076930000}"/>
    <cellStyle name="Note 5 2 2 2 2" xfId="579" xr:uid="{00000000-0005-0000-0000-000077930000}"/>
    <cellStyle name="Note 5 2 2 2 2 2" xfId="578" xr:uid="{00000000-0005-0000-0000-000078930000}"/>
    <cellStyle name="Note 5 2 2 2 2 2 2" xfId="577" xr:uid="{00000000-0005-0000-0000-000079930000}"/>
    <cellStyle name="Note 5 2 2 2 2 2 2 2" xfId="4963" xr:uid="{00000000-0005-0000-0000-00007A930000}"/>
    <cellStyle name="Note 5 2 2 2 2 2 2 2 2" xfId="576" xr:uid="{00000000-0005-0000-0000-00007B930000}"/>
    <cellStyle name="Note 5 2 2 2 2 2 2 3" xfId="2398" xr:uid="{00000000-0005-0000-0000-00007C930000}"/>
    <cellStyle name="Note 5 2 2 2 2 2 3" xfId="23105" xr:uid="{00000000-0005-0000-0000-00007D930000}"/>
    <cellStyle name="Note 5 2 2 2 2 2 3 2" xfId="23673" xr:uid="{00000000-0005-0000-0000-00007E930000}"/>
    <cellStyle name="Note 5 2 2 2 2 2 4" xfId="20643" xr:uid="{00000000-0005-0000-0000-00007F930000}"/>
    <cellStyle name="Note 5 2 2 2 2 3" xfId="16952" xr:uid="{00000000-0005-0000-0000-000080930000}"/>
    <cellStyle name="Note 5 2 2 2 2 3 2" xfId="575" xr:uid="{00000000-0005-0000-0000-000081930000}"/>
    <cellStyle name="Note 5 2 2 2 2 3 2 2" xfId="574" xr:uid="{00000000-0005-0000-0000-000082930000}"/>
    <cellStyle name="Note 5 2 2 2 2 3 3" xfId="34135" xr:uid="{00000000-0005-0000-0000-000083930000}"/>
    <cellStyle name="Note 5 2 2 2 2 4" xfId="2671" xr:uid="{00000000-0005-0000-0000-000084930000}"/>
    <cellStyle name="Note 5 2 2 2 2 4 2" xfId="573" xr:uid="{00000000-0005-0000-0000-000085930000}"/>
    <cellStyle name="Note 5 2 2 2 2 5" xfId="839" xr:uid="{00000000-0005-0000-0000-000086930000}"/>
    <cellStyle name="Note 5 2 2 2 3" xfId="572" xr:uid="{00000000-0005-0000-0000-000087930000}"/>
    <cellStyle name="Note 5 2 2 2 3 2" xfId="571" xr:uid="{00000000-0005-0000-0000-000088930000}"/>
    <cellStyle name="Note 5 2 2 2 3 2 2" xfId="570" xr:uid="{00000000-0005-0000-0000-000089930000}"/>
    <cellStyle name="Note 5 2 2 2 3 2 2 2" xfId="34162" xr:uid="{00000000-0005-0000-0000-00008A930000}"/>
    <cellStyle name="Note 5 2 2 2 3 2 3" xfId="34283" xr:uid="{00000000-0005-0000-0000-00008B930000}"/>
    <cellStyle name="Note 5 2 2 2 3 3" xfId="25665" xr:uid="{00000000-0005-0000-0000-00008C930000}"/>
    <cellStyle name="Note 5 2 2 2 3 3 2" xfId="569" xr:uid="{00000000-0005-0000-0000-00008D930000}"/>
    <cellStyle name="Note 5 2 2 2 3 4" xfId="3187" xr:uid="{00000000-0005-0000-0000-00008E930000}"/>
    <cellStyle name="Note 5 2 2 2 4" xfId="568" xr:uid="{00000000-0005-0000-0000-00008F930000}"/>
    <cellStyle name="Note 5 2 2 2 4 2" xfId="567" xr:uid="{00000000-0005-0000-0000-000090930000}"/>
    <cellStyle name="Note 5 2 2 2 4 2 2" xfId="566" xr:uid="{00000000-0005-0000-0000-000091930000}"/>
    <cellStyle name="Note 5 2 2 2 4 3" xfId="565" xr:uid="{00000000-0005-0000-0000-000092930000}"/>
    <cellStyle name="Note 5 2 2 2 5" xfId="564" xr:uid="{00000000-0005-0000-0000-000093930000}"/>
    <cellStyle name="Note 5 2 2 2 5 2" xfId="563" xr:uid="{00000000-0005-0000-0000-000094930000}"/>
    <cellStyle name="Note 5 2 2 2 6" xfId="562" xr:uid="{00000000-0005-0000-0000-000095930000}"/>
    <cellStyle name="Note 5 2 2 3" xfId="3858" xr:uid="{00000000-0005-0000-0000-000096930000}"/>
    <cellStyle name="Note 5 2 2 3 2" xfId="30443" xr:uid="{00000000-0005-0000-0000-000097930000}"/>
    <cellStyle name="Note 5 2 2 3 2 2" xfId="561" xr:uid="{00000000-0005-0000-0000-000098930000}"/>
    <cellStyle name="Note 5 2 2 3 2 2 2" xfId="23051" xr:uid="{00000000-0005-0000-0000-000099930000}"/>
    <cellStyle name="Note 5 2 2 3 2 2 2 2" xfId="560" xr:uid="{00000000-0005-0000-0000-00009A930000}"/>
    <cellStyle name="Note 5 2 2 3 2 2 3" xfId="20425" xr:uid="{00000000-0005-0000-0000-00009B930000}"/>
    <cellStyle name="Note 5 2 2 3 2 3" xfId="559" xr:uid="{00000000-0005-0000-0000-00009C930000}"/>
    <cellStyle name="Note 5 2 2 3 2 3 2" xfId="558" xr:uid="{00000000-0005-0000-0000-00009D930000}"/>
    <cellStyle name="Note 5 2 2 3 2 4" xfId="557" xr:uid="{00000000-0005-0000-0000-00009E930000}"/>
    <cellStyle name="Note 5 2 2 3 3" xfId="30176" xr:uid="{00000000-0005-0000-0000-00009F930000}"/>
    <cellStyle name="Note 5 2 2 3 3 2" xfId="556" xr:uid="{00000000-0005-0000-0000-0000A0930000}"/>
    <cellStyle name="Note 5 2 2 3 3 2 2" xfId="555" xr:uid="{00000000-0005-0000-0000-0000A1930000}"/>
    <cellStyle name="Note 5 2 2 3 3 3" xfId="554" xr:uid="{00000000-0005-0000-0000-0000A2930000}"/>
    <cellStyle name="Note 5 2 2 3 4" xfId="21385" xr:uid="{00000000-0005-0000-0000-0000A3930000}"/>
    <cellStyle name="Note 5 2 2 3 4 2" xfId="553" xr:uid="{00000000-0005-0000-0000-0000A4930000}"/>
    <cellStyle name="Note 5 2 2 3 5" xfId="25492" xr:uid="{00000000-0005-0000-0000-0000A5930000}"/>
    <cellStyle name="Note 5 2 2 4" xfId="981" xr:uid="{00000000-0005-0000-0000-0000A6930000}"/>
    <cellStyle name="Note 5 2 2 4 2" xfId="29712" xr:uid="{00000000-0005-0000-0000-0000A7930000}"/>
    <cellStyle name="Note 5 2 2 4 2 2" xfId="552" xr:uid="{00000000-0005-0000-0000-0000A8930000}"/>
    <cellStyle name="Note 5 2 2 4 2 2 2" xfId="551" xr:uid="{00000000-0005-0000-0000-0000A9930000}"/>
    <cellStyle name="Note 5 2 2 4 2 3" xfId="550" xr:uid="{00000000-0005-0000-0000-0000AA930000}"/>
    <cellStyle name="Note 5 2 2 4 3" xfId="21383" xr:uid="{00000000-0005-0000-0000-0000AB930000}"/>
    <cellStyle name="Note 5 2 2 4 3 2" xfId="31617" xr:uid="{00000000-0005-0000-0000-0000AC930000}"/>
    <cellStyle name="Note 5 2 2 4 4" xfId="549" xr:uid="{00000000-0005-0000-0000-0000AD930000}"/>
    <cellStyle name="Note 5 2 2 5" xfId="548" xr:uid="{00000000-0005-0000-0000-0000AE930000}"/>
    <cellStyle name="Note 5 2 2 5 2" xfId="21381" xr:uid="{00000000-0005-0000-0000-0000AF930000}"/>
    <cellStyle name="Note 5 2 2 5 2 2" xfId="30416" xr:uid="{00000000-0005-0000-0000-0000B0930000}"/>
    <cellStyle name="Note 5 2 2 5 3" xfId="547" xr:uid="{00000000-0005-0000-0000-0000B1930000}"/>
    <cellStyle name="Note 5 2 2 6" xfId="9688" xr:uid="{00000000-0005-0000-0000-0000B2930000}"/>
    <cellStyle name="Note 5 2 2 6 2" xfId="546" xr:uid="{00000000-0005-0000-0000-0000B3930000}"/>
    <cellStyle name="Note 5 2 2 7" xfId="545" xr:uid="{00000000-0005-0000-0000-0000B4930000}"/>
    <cellStyle name="Note 5 2 3" xfId="544" xr:uid="{00000000-0005-0000-0000-0000B5930000}"/>
    <cellStyle name="Note 5 2 3 2" xfId="543" xr:uid="{00000000-0005-0000-0000-0000B6930000}"/>
    <cellStyle name="Note 5 2 3 2 2" xfId="542" xr:uid="{00000000-0005-0000-0000-0000B7930000}"/>
    <cellStyle name="Note 5 2 3 2 2 2" xfId="20070" xr:uid="{00000000-0005-0000-0000-0000B8930000}"/>
    <cellStyle name="Note 5 2 3 2 2 2 2" xfId="29787" xr:uid="{00000000-0005-0000-0000-0000B9930000}"/>
    <cellStyle name="Note 5 2 3 2 2 2 2 2" xfId="541" xr:uid="{00000000-0005-0000-0000-0000BA930000}"/>
    <cellStyle name="Note 5 2 3 2 2 2 3" xfId="32217" xr:uid="{00000000-0005-0000-0000-0000BB930000}"/>
    <cellStyle name="Note 5 2 3 2 2 3" xfId="20060" xr:uid="{00000000-0005-0000-0000-0000BC930000}"/>
    <cellStyle name="Note 5 2 3 2 2 3 2" xfId="540" xr:uid="{00000000-0005-0000-0000-0000BD930000}"/>
    <cellStyle name="Note 5 2 3 2 2 4" xfId="20054" xr:uid="{00000000-0005-0000-0000-0000BE930000}"/>
    <cellStyle name="Note 5 2 3 2 3" xfId="539" xr:uid="{00000000-0005-0000-0000-0000BF930000}"/>
    <cellStyle name="Note 5 2 3 2 3 2" xfId="28080" xr:uid="{00000000-0005-0000-0000-0000C0930000}"/>
    <cellStyle name="Note 5 2 3 2 3 2 2" xfId="6197" xr:uid="{00000000-0005-0000-0000-0000C1930000}"/>
    <cellStyle name="Note 5 2 3 2 3 3" xfId="28076" xr:uid="{00000000-0005-0000-0000-0000C2930000}"/>
    <cellStyle name="Note 5 2 3 2 4" xfId="538" xr:uid="{00000000-0005-0000-0000-0000C3930000}"/>
    <cellStyle name="Note 5 2 3 2 4 2" xfId="21275" xr:uid="{00000000-0005-0000-0000-0000C4930000}"/>
    <cellStyle name="Note 5 2 3 2 5" xfId="537" xr:uid="{00000000-0005-0000-0000-0000C5930000}"/>
    <cellStyle name="Note 5 2 3 3" xfId="979" xr:uid="{00000000-0005-0000-0000-0000C6930000}"/>
    <cellStyle name="Note 5 2 3 3 2" xfId="30142" xr:uid="{00000000-0005-0000-0000-0000C7930000}"/>
    <cellStyle name="Note 5 2 3 3 2 2" xfId="25994" xr:uid="{00000000-0005-0000-0000-0000C8930000}"/>
    <cellStyle name="Note 5 2 3 3 2 2 2" xfId="13090" xr:uid="{00000000-0005-0000-0000-0000C9930000}"/>
    <cellStyle name="Note 5 2 3 3 2 3" xfId="33328" xr:uid="{00000000-0005-0000-0000-0000CA930000}"/>
    <cellStyle name="Note 5 2 3 3 3" xfId="21375" xr:uid="{00000000-0005-0000-0000-0000CB930000}"/>
    <cellStyle name="Note 5 2 3 3 3 2" xfId="28003" xr:uid="{00000000-0005-0000-0000-0000CC930000}"/>
    <cellStyle name="Note 5 2 3 3 4" xfId="4733" xr:uid="{00000000-0005-0000-0000-0000CD930000}"/>
    <cellStyle name="Note 5 2 3 4" xfId="31326" xr:uid="{00000000-0005-0000-0000-0000CE930000}"/>
    <cellStyle name="Note 5 2 3 4 2" xfId="18015" xr:uid="{00000000-0005-0000-0000-0000CF930000}"/>
    <cellStyle name="Note 5 2 3 4 2 2" xfId="26606" xr:uid="{00000000-0005-0000-0000-0000D0930000}"/>
    <cellStyle name="Note 5 2 3 4 3" xfId="23392" xr:uid="{00000000-0005-0000-0000-0000D1930000}"/>
    <cellStyle name="Note 5 2 3 5" xfId="31290" xr:uid="{00000000-0005-0000-0000-0000D2930000}"/>
    <cellStyle name="Note 5 2 3 5 2" xfId="25777" xr:uid="{00000000-0005-0000-0000-0000D3930000}"/>
    <cellStyle name="Note 5 2 3 6" xfId="23843" xr:uid="{00000000-0005-0000-0000-0000D4930000}"/>
    <cellStyle name="Note 5 2 4" xfId="536" xr:uid="{00000000-0005-0000-0000-0000D5930000}"/>
    <cellStyle name="Note 5 2 4 2" xfId="535" xr:uid="{00000000-0005-0000-0000-0000D6930000}"/>
    <cellStyle name="Note 5 2 4 2 2" xfId="12016" xr:uid="{00000000-0005-0000-0000-0000D7930000}"/>
    <cellStyle name="Note 5 2 4 2 2 2" xfId="19999" xr:uid="{00000000-0005-0000-0000-0000D8930000}"/>
    <cellStyle name="Note 5 2 4 2 2 2 2" xfId="28718" xr:uid="{00000000-0005-0000-0000-0000D9930000}"/>
    <cellStyle name="Note 5 2 4 2 2 3" xfId="19993" xr:uid="{00000000-0005-0000-0000-0000DA930000}"/>
    <cellStyle name="Note 5 2 4 2 3" xfId="12011" xr:uid="{00000000-0005-0000-0000-0000DB930000}"/>
    <cellStyle name="Note 5 2 4 2 3 2" xfId="27904" xr:uid="{00000000-0005-0000-0000-0000DC930000}"/>
    <cellStyle name="Note 5 2 4 2 4" xfId="13396" xr:uid="{00000000-0005-0000-0000-0000DD930000}"/>
    <cellStyle name="Note 5 2 4 3" xfId="534" xr:uid="{00000000-0005-0000-0000-0000DE930000}"/>
    <cellStyle name="Note 5 2 4 3 2" xfId="11991" xr:uid="{00000000-0005-0000-0000-0000DF930000}"/>
    <cellStyle name="Note 5 2 4 3 2 2" xfId="26538" xr:uid="{00000000-0005-0000-0000-0000E0930000}"/>
    <cellStyle name="Note 5 2 4 3 3" xfId="11987" xr:uid="{00000000-0005-0000-0000-0000E1930000}"/>
    <cellStyle name="Note 5 2 4 4" xfId="30253" xr:uid="{00000000-0005-0000-0000-0000E2930000}"/>
    <cellStyle name="Note 5 2 4 4 2" xfId="11982" xr:uid="{00000000-0005-0000-0000-0000E3930000}"/>
    <cellStyle name="Note 5 2 4 5" xfId="31214" xr:uid="{00000000-0005-0000-0000-0000E4930000}"/>
    <cellStyle name="Note 5 2 5" xfId="533" xr:uid="{00000000-0005-0000-0000-0000E5930000}"/>
    <cellStyle name="Note 5 2 5 2" xfId="532" xr:uid="{00000000-0005-0000-0000-0000E6930000}"/>
    <cellStyle name="Note 5 2 5 2 2" xfId="11958" xr:uid="{00000000-0005-0000-0000-0000E7930000}"/>
    <cellStyle name="Note 5 2 5 2 2 2" xfId="19960" xr:uid="{00000000-0005-0000-0000-0000E8930000}"/>
    <cellStyle name="Note 5 2 5 2 3" xfId="23208" xr:uid="{00000000-0005-0000-0000-0000E9930000}"/>
    <cellStyle name="Note 5 2 5 3" xfId="531" xr:uid="{00000000-0005-0000-0000-0000EA930000}"/>
    <cellStyle name="Note 5 2 5 3 2" xfId="12238" xr:uid="{00000000-0005-0000-0000-0000EB930000}"/>
    <cellStyle name="Note 5 2 5 4" xfId="31206" xr:uid="{00000000-0005-0000-0000-0000EC930000}"/>
    <cellStyle name="Note 5 2 6" xfId="530" xr:uid="{00000000-0005-0000-0000-0000ED930000}"/>
    <cellStyle name="Note 5 2 6 2" xfId="529" xr:uid="{00000000-0005-0000-0000-0000EE930000}"/>
    <cellStyle name="Note 5 2 6 2 2" xfId="11946" xr:uid="{00000000-0005-0000-0000-0000EF930000}"/>
    <cellStyle name="Note 5 2 6 3" xfId="528" xr:uid="{00000000-0005-0000-0000-0000F0930000}"/>
    <cellStyle name="Note 5 2 7" xfId="527" xr:uid="{00000000-0005-0000-0000-0000F1930000}"/>
    <cellStyle name="Note 5 2 7 2" xfId="526" xr:uid="{00000000-0005-0000-0000-0000F2930000}"/>
    <cellStyle name="Note 5 2 8" xfId="525" xr:uid="{00000000-0005-0000-0000-0000F3930000}"/>
    <cellStyle name="Note 5 2 9" xfId="34783" xr:uid="{00000000-0005-0000-0000-0000F4930000}"/>
    <cellStyle name="Note 5 3" xfId="524" xr:uid="{00000000-0005-0000-0000-0000F5930000}"/>
    <cellStyle name="Note 5 3 2" xfId="523" xr:uid="{00000000-0005-0000-0000-0000F6930000}"/>
    <cellStyle name="Note 5 3 2 2" xfId="522" xr:uid="{00000000-0005-0000-0000-0000F7930000}"/>
    <cellStyle name="Note 5 3 2 2 2" xfId="33675" xr:uid="{00000000-0005-0000-0000-0000F8930000}"/>
    <cellStyle name="Note 5 3 2 2 2 2" xfId="521" xr:uid="{00000000-0005-0000-0000-0000F9930000}"/>
    <cellStyle name="Note 5 3 2 2 2 2 2" xfId="520" xr:uid="{00000000-0005-0000-0000-0000FA930000}"/>
    <cellStyle name="Note 5 3 2 2 2 2 2 2" xfId="8746" xr:uid="{00000000-0005-0000-0000-0000FB930000}"/>
    <cellStyle name="Note 5 3 2 2 2 2 3" xfId="28378" xr:uid="{00000000-0005-0000-0000-0000FC930000}"/>
    <cellStyle name="Note 5 3 2 2 2 3" xfId="3700" xr:uid="{00000000-0005-0000-0000-0000FD930000}"/>
    <cellStyle name="Note 5 3 2 2 2 3 2" xfId="3698" xr:uid="{00000000-0005-0000-0000-0000FE930000}"/>
    <cellStyle name="Note 5 3 2 2 2 4" xfId="3696" xr:uid="{00000000-0005-0000-0000-0000FF930000}"/>
    <cellStyle name="Note 5 3 2 2 3" xfId="519" xr:uid="{00000000-0005-0000-0000-000000940000}"/>
    <cellStyle name="Note 5 3 2 2 3 2" xfId="518" xr:uid="{00000000-0005-0000-0000-000001940000}"/>
    <cellStyle name="Note 5 3 2 2 3 2 2" xfId="517" xr:uid="{00000000-0005-0000-0000-000002940000}"/>
    <cellStyle name="Note 5 3 2 2 3 3" xfId="3694" xr:uid="{00000000-0005-0000-0000-000003940000}"/>
    <cellStyle name="Note 5 3 2 2 4" xfId="14224" xr:uid="{00000000-0005-0000-0000-000004940000}"/>
    <cellStyle name="Note 5 3 2 2 4 2" xfId="516" xr:uid="{00000000-0005-0000-0000-000005940000}"/>
    <cellStyle name="Note 5 3 2 2 5" xfId="14221" xr:uid="{00000000-0005-0000-0000-000006940000}"/>
    <cellStyle name="Note 5 3 2 3" xfId="972" xr:uid="{00000000-0005-0000-0000-000007940000}"/>
    <cellStyle name="Note 5 3 2 3 2" xfId="29924" xr:uid="{00000000-0005-0000-0000-000008940000}"/>
    <cellStyle name="Note 5 3 2 3 2 2" xfId="515" xr:uid="{00000000-0005-0000-0000-000009940000}"/>
    <cellStyle name="Note 5 3 2 3 2 2 2" xfId="514" xr:uid="{00000000-0005-0000-0000-00000A940000}"/>
    <cellStyle name="Note 5 3 2 3 2 3" xfId="3687" xr:uid="{00000000-0005-0000-0000-00000B940000}"/>
    <cellStyle name="Note 5 3 2 3 3" xfId="21357" xr:uid="{00000000-0005-0000-0000-00000C940000}"/>
    <cellStyle name="Note 5 3 2 3 3 2" xfId="513" xr:uid="{00000000-0005-0000-0000-00000D940000}"/>
    <cellStyle name="Note 5 3 2 3 4" xfId="14217" xr:uid="{00000000-0005-0000-0000-00000E940000}"/>
    <cellStyle name="Note 5 3 2 4" xfId="512" xr:uid="{00000000-0005-0000-0000-00000F940000}"/>
    <cellStyle name="Note 5 3 2 4 2" xfId="21353" xr:uid="{00000000-0005-0000-0000-000010940000}"/>
    <cellStyle name="Note 5 3 2 4 2 2" xfId="511" xr:uid="{00000000-0005-0000-0000-000011940000}"/>
    <cellStyle name="Note 5 3 2 4 3" xfId="510" xr:uid="{00000000-0005-0000-0000-000012940000}"/>
    <cellStyle name="Note 5 3 2 5" xfId="509" xr:uid="{00000000-0005-0000-0000-000013940000}"/>
    <cellStyle name="Note 5 3 2 5 2" xfId="508" xr:uid="{00000000-0005-0000-0000-000014940000}"/>
    <cellStyle name="Note 5 3 2 6" xfId="507" xr:uid="{00000000-0005-0000-0000-000015940000}"/>
    <cellStyle name="Note 5 3 3" xfId="506" xr:uid="{00000000-0005-0000-0000-000016940000}"/>
    <cellStyle name="Note 5 3 3 2" xfId="505" xr:uid="{00000000-0005-0000-0000-000017940000}"/>
    <cellStyle name="Note 5 3 3 2 2" xfId="504" xr:uid="{00000000-0005-0000-0000-000018940000}"/>
    <cellStyle name="Note 5 3 3 2 2 2" xfId="5357" xr:uid="{00000000-0005-0000-0000-000019940000}"/>
    <cellStyle name="Note 5 3 3 2 2 2 2" xfId="503" xr:uid="{00000000-0005-0000-0000-00001A940000}"/>
    <cellStyle name="Note 5 3 3 2 2 3" xfId="19918" xr:uid="{00000000-0005-0000-0000-00001B940000}"/>
    <cellStyle name="Note 5 3 3 2 3" xfId="3671" xr:uid="{00000000-0005-0000-0000-00001C940000}"/>
    <cellStyle name="Note 5 3 3 2 3 2" xfId="25365" xr:uid="{00000000-0005-0000-0000-00001D940000}"/>
    <cellStyle name="Note 5 3 3 2 4" xfId="28356" xr:uid="{00000000-0005-0000-0000-00001E940000}"/>
    <cellStyle name="Note 5 3 3 3" xfId="502" xr:uid="{00000000-0005-0000-0000-00001F940000}"/>
    <cellStyle name="Note 5 3 3 3 2" xfId="21350" xr:uid="{00000000-0005-0000-0000-000020940000}"/>
    <cellStyle name="Note 5 3 3 3 2 2" xfId="23071" xr:uid="{00000000-0005-0000-0000-000021940000}"/>
    <cellStyle name="Note 5 3 3 3 3" xfId="501" xr:uid="{00000000-0005-0000-0000-000022940000}"/>
    <cellStyle name="Note 5 3 3 4" xfId="31179" xr:uid="{00000000-0005-0000-0000-000023940000}"/>
    <cellStyle name="Note 5 3 3 4 2" xfId="26831" xr:uid="{00000000-0005-0000-0000-000024940000}"/>
    <cellStyle name="Note 5 3 3 5" xfId="31174" xr:uid="{00000000-0005-0000-0000-000025940000}"/>
    <cellStyle name="Note 5 3 4" xfId="500" xr:uid="{00000000-0005-0000-0000-000026940000}"/>
    <cellStyle name="Note 5 3 4 2" xfId="499" xr:uid="{00000000-0005-0000-0000-000027940000}"/>
    <cellStyle name="Note 5 3 4 2 2" xfId="11812" xr:uid="{00000000-0005-0000-0000-000028940000}"/>
    <cellStyle name="Note 5 3 4 2 2 2" xfId="19858" xr:uid="{00000000-0005-0000-0000-000029940000}"/>
    <cellStyle name="Note 5 3 4 2 3" xfId="11809" xr:uid="{00000000-0005-0000-0000-00002A940000}"/>
    <cellStyle name="Note 5 3 4 3" xfId="498" xr:uid="{00000000-0005-0000-0000-00002B940000}"/>
    <cellStyle name="Note 5 3 4 3 2" xfId="11799" xr:uid="{00000000-0005-0000-0000-00002C940000}"/>
    <cellStyle name="Note 5 3 4 4" xfId="28725" xr:uid="{00000000-0005-0000-0000-00002D940000}"/>
    <cellStyle name="Note 5 3 5" xfId="13388" xr:uid="{00000000-0005-0000-0000-00002E940000}"/>
    <cellStyle name="Note 5 3 5 2" xfId="497" xr:uid="{00000000-0005-0000-0000-00002F940000}"/>
    <cellStyle name="Note 5 3 5 2 2" xfId="11782" xr:uid="{00000000-0005-0000-0000-000030940000}"/>
    <cellStyle name="Note 5 3 5 3" xfId="496" xr:uid="{00000000-0005-0000-0000-000031940000}"/>
    <cellStyle name="Note 5 3 6" xfId="495" xr:uid="{00000000-0005-0000-0000-000032940000}"/>
    <cellStyle name="Note 5 3 6 2" xfId="494" xr:uid="{00000000-0005-0000-0000-000033940000}"/>
    <cellStyle name="Note 5 3 7" xfId="493" xr:uid="{00000000-0005-0000-0000-000034940000}"/>
    <cellStyle name="Note 5 3 8" xfId="34979" xr:uid="{00000000-0005-0000-0000-000035940000}"/>
    <cellStyle name="Note 5 4" xfId="27940" xr:uid="{00000000-0005-0000-0000-000036940000}"/>
    <cellStyle name="Note 5 4 2" xfId="29451" xr:uid="{00000000-0005-0000-0000-000037940000}"/>
    <cellStyle name="Note 5 4 2 2" xfId="492" xr:uid="{00000000-0005-0000-0000-000038940000}"/>
    <cellStyle name="Note 5 4 2 2 2" xfId="491" xr:uid="{00000000-0005-0000-0000-000039940000}"/>
    <cellStyle name="Note 5 4 2 2 2 2" xfId="490" xr:uid="{00000000-0005-0000-0000-00003A940000}"/>
    <cellStyle name="Note 5 4 2 2 2 2 2" xfId="489" xr:uid="{00000000-0005-0000-0000-00003B940000}"/>
    <cellStyle name="Note 5 4 2 2 2 3" xfId="3460" xr:uid="{00000000-0005-0000-0000-00003C940000}"/>
    <cellStyle name="Note 5 4 2 2 3" xfId="20735" xr:uid="{00000000-0005-0000-0000-00003D940000}"/>
    <cellStyle name="Note 5 4 2 2 3 2" xfId="27465" xr:uid="{00000000-0005-0000-0000-00003E940000}"/>
    <cellStyle name="Note 5 4 2 2 4" xfId="14185" xr:uid="{00000000-0005-0000-0000-00003F940000}"/>
    <cellStyle name="Note 5 4 2 3" xfId="488" xr:uid="{00000000-0005-0000-0000-000040940000}"/>
    <cellStyle name="Note 5 4 2 3 2" xfId="21340" xr:uid="{00000000-0005-0000-0000-000041940000}"/>
    <cellStyle name="Note 5 4 2 3 2 2" xfId="487" xr:uid="{00000000-0005-0000-0000-000042940000}"/>
    <cellStyle name="Note 5 4 2 3 3" xfId="486" xr:uid="{00000000-0005-0000-0000-000043940000}"/>
    <cellStyle name="Note 5 4 2 4" xfId="485" xr:uid="{00000000-0005-0000-0000-000044940000}"/>
    <cellStyle name="Note 5 4 2 4 2" xfId="484" xr:uid="{00000000-0005-0000-0000-000045940000}"/>
    <cellStyle name="Note 5 4 2 5" xfId="483" xr:uid="{00000000-0005-0000-0000-000046940000}"/>
    <cellStyle name="Note 5 4 3" xfId="482" xr:uid="{00000000-0005-0000-0000-000047940000}"/>
    <cellStyle name="Note 5 4 3 2" xfId="481" xr:uid="{00000000-0005-0000-0000-000048940000}"/>
    <cellStyle name="Note 5 4 3 2 2" xfId="480" xr:uid="{00000000-0005-0000-0000-000049940000}"/>
    <cellStyle name="Note 5 4 3 2 2 2" xfId="19788" xr:uid="{00000000-0005-0000-0000-00004A940000}"/>
    <cellStyle name="Note 5 4 3 2 3" xfId="784" xr:uid="{00000000-0005-0000-0000-00004B940000}"/>
    <cellStyle name="Note 5 4 3 3" xfId="479" xr:uid="{00000000-0005-0000-0000-00004C940000}"/>
    <cellStyle name="Note 5 4 3 3 2" xfId="478" xr:uid="{00000000-0005-0000-0000-00004D940000}"/>
    <cellStyle name="Note 5 4 3 4" xfId="19885" xr:uid="{00000000-0005-0000-0000-00004E940000}"/>
    <cellStyle name="Note 5 4 4" xfId="477" xr:uid="{00000000-0005-0000-0000-00004F940000}"/>
    <cellStyle name="Note 5 4 4 2" xfId="476" xr:uid="{00000000-0005-0000-0000-000050940000}"/>
    <cellStyle name="Note 5 4 4 2 2" xfId="30808" xr:uid="{00000000-0005-0000-0000-000051940000}"/>
    <cellStyle name="Note 5 4 4 3" xfId="29203" xr:uid="{00000000-0005-0000-0000-000052940000}"/>
    <cellStyle name="Note 5 4 5" xfId="475" xr:uid="{00000000-0005-0000-0000-000053940000}"/>
    <cellStyle name="Note 5 4 5 2" xfId="474" xr:uid="{00000000-0005-0000-0000-000054940000}"/>
    <cellStyle name="Note 5 4 6" xfId="473" xr:uid="{00000000-0005-0000-0000-000055940000}"/>
    <cellStyle name="Note 5 4 7" xfId="35184" xr:uid="{00000000-0005-0000-0000-000056940000}"/>
    <cellStyle name="Note 5 5" xfId="27936" xr:uid="{00000000-0005-0000-0000-000057940000}"/>
    <cellStyle name="Note 5 5 2" xfId="14485" xr:uid="{00000000-0005-0000-0000-000058940000}"/>
    <cellStyle name="Note 5 5 2 2" xfId="472" xr:uid="{00000000-0005-0000-0000-000059940000}"/>
    <cellStyle name="Note 5 5 2 2 2" xfId="6673" xr:uid="{00000000-0005-0000-0000-00005A940000}"/>
    <cellStyle name="Note 5 5 2 2 2 2" xfId="471" xr:uid="{00000000-0005-0000-0000-00005B940000}"/>
    <cellStyle name="Note 5 5 2 2 3" xfId="31986" xr:uid="{00000000-0005-0000-0000-00005C940000}"/>
    <cellStyle name="Note 5 5 2 3" xfId="470" xr:uid="{00000000-0005-0000-0000-00005D940000}"/>
    <cellStyle name="Note 5 5 2 3 2" xfId="6664" xr:uid="{00000000-0005-0000-0000-00005E940000}"/>
    <cellStyle name="Note 5 5 2 4" xfId="30755" xr:uid="{00000000-0005-0000-0000-00005F940000}"/>
    <cellStyle name="Note 5 5 3" xfId="20857" xr:uid="{00000000-0005-0000-0000-000060940000}"/>
    <cellStyle name="Note 5 5 3 2" xfId="469" xr:uid="{00000000-0005-0000-0000-000061940000}"/>
    <cellStyle name="Note 5 5 3 2 2" xfId="6642" xr:uid="{00000000-0005-0000-0000-000062940000}"/>
    <cellStyle name="Note 5 5 3 3" xfId="468" xr:uid="{00000000-0005-0000-0000-000063940000}"/>
    <cellStyle name="Note 5 5 4" xfId="20851" xr:uid="{00000000-0005-0000-0000-000064940000}"/>
    <cellStyle name="Note 5 5 4 2" xfId="467" xr:uid="{00000000-0005-0000-0000-000065940000}"/>
    <cellStyle name="Note 5 5 5" xfId="466" xr:uid="{00000000-0005-0000-0000-000066940000}"/>
    <cellStyle name="Note 5 5 6" xfId="35413" xr:uid="{00000000-0005-0000-0000-000067940000}"/>
    <cellStyle name="Note 5 6" xfId="1488" xr:uid="{00000000-0005-0000-0000-000068940000}"/>
    <cellStyle name="Note 5 6 2" xfId="1486" xr:uid="{00000000-0005-0000-0000-000069940000}"/>
    <cellStyle name="Note 5 6 2 2" xfId="465" xr:uid="{00000000-0005-0000-0000-00006A940000}"/>
    <cellStyle name="Note 5 6 2 2 2" xfId="6595" xr:uid="{00000000-0005-0000-0000-00006B940000}"/>
    <cellStyle name="Note 5 6 2 3" xfId="18932" xr:uid="{00000000-0005-0000-0000-00006C940000}"/>
    <cellStyle name="Note 5 6 3" xfId="20064" xr:uid="{00000000-0005-0000-0000-00006D940000}"/>
    <cellStyle name="Note 5 6 3 2" xfId="9501" xr:uid="{00000000-0005-0000-0000-00006E940000}"/>
    <cellStyle name="Note 5 6 4" xfId="464" xr:uid="{00000000-0005-0000-0000-00006F940000}"/>
    <cellStyle name="Note 5 6 5" xfId="36285" xr:uid="{00000000-0005-0000-0000-000070940000}"/>
    <cellStyle name="Note 5 7" xfId="1484" xr:uid="{00000000-0005-0000-0000-000071940000}"/>
    <cellStyle name="Note 5 7 2" xfId="463" xr:uid="{00000000-0005-0000-0000-000072940000}"/>
    <cellStyle name="Note 5 7 2 2" xfId="462" xr:uid="{00000000-0005-0000-0000-000073940000}"/>
    <cellStyle name="Note 5 7 3" xfId="461" xr:uid="{00000000-0005-0000-0000-000074940000}"/>
    <cellStyle name="Note 5 7 4" xfId="36571" xr:uid="{00000000-0005-0000-0000-000075940000}"/>
    <cellStyle name="Note 5 8" xfId="460" xr:uid="{00000000-0005-0000-0000-000076940000}"/>
    <cellStyle name="Note 5 8 2" xfId="459" xr:uid="{00000000-0005-0000-0000-000077940000}"/>
    <cellStyle name="Note 5 8 3" xfId="37456" xr:uid="{00000000-0005-0000-0000-000078940000}"/>
    <cellStyle name="Note 5 9" xfId="458" xr:uid="{00000000-0005-0000-0000-000079940000}"/>
    <cellStyle name="Note 6" xfId="259" xr:uid="{00000000-0005-0000-0000-00007A940000}"/>
    <cellStyle name="Note 6 10" xfId="457" xr:uid="{00000000-0005-0000-0000-00007B940000}"/>
    <cellStyle name="Note 6 2" xfId="22203" xr:uid="{00000000-0005-0000-0000-00007C940000}"/>
    <cellStyle name="Note 6 2 2" xfId="456" xr:uid="{00000000-0005-0000-0000-00007D940000}"/>
    <cellStyle name="Note 6 2 2 2" xfId="455" xr:uid="{00000000-0005-0000-0000-00007E940000}"/>
    <cellStyle name="Note 6 2 2 2 2" xfId="454" xr:uid="{00000000-0005-0000-0000-00007F940000}"/>
    <cellStyle name="Note 6 2 2 2 2 2" xfId="453" xr:uid="{00000000-0005-0000-0000-000080940000}"/>
    <cellStyle name="Note 6 2 2 2 2 2 2" xfId="24025" xr:uid="{00000000-0005-0000-0000-000081940000}"/>
    <cellStyle name="Note 6 2 2 2 2 2 2 2" xfId="452" xr:uid="{00000000-0005-0000-0000-000082940000}"/>
    <cellStyle name="Note 6 2 2 2 2 2 3" xfId="26304" xr:uid="{00000000-0005-0000-0000-000083940000}"/>
    <cellStyle name="Note 6 2 2 2 2 3" xfId="451" xr:uid="{00000000-0005-0000-0000-000084940000}"/>
    <cellStyle name="Note 6 2 2 2 2 3 2" xfId="24018" xr:uid="{00000000-0005-0000-0000-000085940000}"/>
    <cellStyle name="Note 6 2 2 2 2 4" xfId="450" xr:uid="{00000000-0005-0000-0000-000086940000}"/>
    <cellStyle name="Note 6 2 2 2 3" xfId="8727" xr:uid="{00000000-0005-0000-0000-000087940000}"/>
    <cellStyle name="Note 6 2 2 2 3 2" xfId="8725" xr:uid="{00000000-0005-0000-0000-000088940000}"/>
    <cellStyle name="Note 6 2 2 2 3 2 2" xfId="23997" xr:uid="{00000000-0005-0000-0000-000089940000}"/>
    <cellStyle name="Note 6 2 2 2 3 3" xfId="27378" xr:uid="{00000000-0005-0000-0000-00008A940000}"/>
    <cellStyle name="Note 6 2 2 2 4" xfId="19589" xr:uid="{00000000-0005-0000-0000-00008B940000}"/>
    <cellStyle name="Note 6 2 2 2 4 2" xfId="8716" xr:uid="{00000000-0005-0000-0000-00008C940000}"/>
    <cellStyle name="Note 6 2 2 2 5" xfId="27246" xr:uid="{00000000-0005-0000-0000-00008D940000}"/>
    <cellStyle name="Note 6 2 2 3" xfId="959" xr:uid="{00000000-0005-0000-0000-00008E940000}"/>
    <cellStyle name="Note 6 2 2 3 2" xfId="23356" xr:uid="{00000000-0005-0000-0000-00008F940000}"/>
    <cellStyle name="Note 6 2 2 3 2 2" xfId="449" xr:uid="{00000000-0005-0000-0000-000090940000}"/>
    <cellStyle name="Note 6 2 2 3 2 2 2" xfId="20638" xr:uid="{00000000-0005-0000-0000-000091940000}"/>
    <cellStyle name="Note 6 2 2 3 2 3" xfId="448" xr:uid="{00000000-0005-0000-0000-000092940000}"/>
    <cellStyle name="Note 6 2 2 3 3" xfId="21206" xr:uid="{00000000-0005-0000-0000-000093940000}"/>
    <cellStyle name="Note 6 2 2 3 3 2" xfId="8713" xr:uid="{00000000-0005-0000-0000-000094940000}"/>
    <cellStyle name="Note 6 2 2 3 4" xfId="27238" xr:uid="{00000000-0005-0000-0000-000095940000}"/>
    <cellStyle name="Note 6 2 2 4" xfId="447" xr:uid="{00000000-0005-0000-0000-000096940000}"/>
    <cellStyle name="Note 6 2 2 4 2" xfId="10419" xr:uid="{00000000-0005-0000-0000-000097940000}"/>
    <cellStyle name="Note 6 2 2 4 2 2" xfId="446" xr:uid="{00000000-0005-0000-0000-000098940000}"/>
    <cellStyle name="Note 6 2 2 4 3" xfId="7095" xr:uid="{00000000-0005-0000-0000-000099940000}"/>
    <cellStyle name="Note 6 2 2 5" xfId="445" xr:uid="{00000000-0005-0000-0000-00009A940000}"/>
    <cellStyle name="Note 6 2 2 5 2" xfId="7085" xr:uid="{00000000-0005-0000-0000-00009B940000}"/>
    <cellStyle name="Note 6 2 2 6" xfId="23959" xr:uid="{00000000-0005-0000-0000-00009C940000}"/>
    <cellStyle name="Note 6 2 3" xfId="444" xr:uid="{00000000-0005-0000-0000-00009D940000}"/>
    <cellStyle name="Note 6 2 3 2" xfId="33341" xr:uid="{00000000-0005-0000-0000-00009E940000}"/>
    <cellStyle name="Note 6 2 3 2 2" xfId="443" xr:uid="{00000000-0005-0000-0000-00009F940000}"/>
    <cellStyle name="Note 6 2 3 2 2 2" xfId="19681" xr:uid="{00000000-0005-0000-0000-0000A0940000}"/>
    <cellStyle name="Note 6 2 3 2 2 2 2" xfId="23915" xr:uid="{00000000-0005-0000-0000-0000A1940000}"/>
    <cellStyle name="Note 6 2 3 2 2 3" xfId="19678" xr:uid="{00000000-0005-0000-0000-0000A2940000}"/>
    <cellStyle name="Note 6 2 3 2 3" xfId="8575" xr:uid="{00000000-0005-0000-0000-0000A3940000}"/>
    <cellStyle name="Note 6 2 3 2 3 2" xfId="8572" xr:uid="{00000000-0005-0000-0000-0000A4940000}"/>
    <cellStyle name="Note 6 2 3 2 4" xfId="19574" xr:uid="{00000000-0005-0000-0000-0000A5940000}"/>
    <cellStyle name="Note 6 2 3 3" xfId="442" xr:uid="{00000000-0005-0000-0000-0000A6940000}"/>
    <cellStyle name="Note 6 2 3 3 2" xfId="21201" xr:uid="{00000000-0005-0000-0000-0000A7940000}"/>
    <cellStyle name="Note 6 2 3 3 2 2" xfId="20364" xr:uid="{00000000-0005-0000-0000-0000A8940000}"/>
    <cellStyle name="Note 6 2 3 3 3" xfId="34251" xr:uid="{00000000-0005-0000-0000-0000A9940000}"/>
    <cellStyle name="Note 6 2 3 4" xfId="32022" xr:uid="{00000000-0005-0000-0000-0000AA940000}"/>
    <cellStyle name="Note 6 2 3 4 2" xfId="7061" xr:uid="{00000000-0005-0000-0000-0000AB940000}"/>
    <cellStyle name="Note 6 2 3 5" xfId="33726" xr:uid="{00000000-0005-0000-0000-0000AC940000}"/>
    <cellStyle name="Note 6 2 4" xfId="3172" xr:uid="{00000000-0005-0000-0000-0000AD940000}"/>
    <cellStyle name="Note 6 2 4 2" xfId="3170" xr:uid="{00000000-0005-0000-0000-0000AE940000}"/>
    <cellStyle name="Note 6 2 4 2 2" xfId="3168" xr:uid="{00000000-0005-0000-0000-0000AF940000}"/>
    <cellStyle name="Note 6 2 4 2 2 2" xfId="19653" xr:uid="{00000000-0005-0000-0000-0000B0940000}"/>
    <cellStyle name="Note 6 2 4 2 3" xfId="10956" xr:uid="{00000000-0005-0000-0000-0000B1940000}"/>
    <cellStyle name="Note 6 2 4 3" xfId="3096" xr:uid="{00000000-0005-0000-0000-0000B2940000}"/>
    <cellStyle name="Note 6 2 4 3 2" xfId="14627" xr:uid="{00000000-0005-0000-0000-0000B3940000}"/>
    <cellStyle name="Note 6 2 4 4" xfId="31131" xr:uid="{00000000-0005-0000-0000-0000B4940000}"/>
    <cellStyle name="Note 6 2 5" xfId="3030" xr:uid="{00000000-0005-0000-0000-0000B5940000}"/>
    <cellStyle name="Note 6 2 5 2" xfId="3028" xr:uid="{00000000-0005-0000-0000-0000B6940000}"/>
    <cellStyle name="Note 6 2 5 2 2" xfId="20187" xr:uid="{00000000-0005-0000-0000-0000B7940000}"/>
    <cellStyle name="Note 6 2 5 3" xfId="2991" xr:uid="{00000000-0005-0000-0000-0000B8940000}"/>
    <cellStyle name="Note 6 2 6" xfId="2954" xr:uid="{00000000-0005-0000-0000-0000B9940000}"/>
    <cellStyle name="Note 6 2 6 2" xfId="2952" xr:uid="{00000000-0005-0000-0000-0000BA940000}"/>
    <cellStyle name="Note 6 2 7" xfId="2903" xr:uid="{00000000-0005-0000-0000-0000BB940000}"/>
    <cellStyle name="Note 6 2 8" xfId="34796" xr:uid="{00000000-0005-0000-0000-0000BC940000}"/>
    <cellStyle name="Note 6 3" xfId="441" xr:uid="{00000000-0005-0000-0000-0000BD940000}"/>
    <cellStyle name="Note 6 3 2" xfId="440" xr:uid="{00000000-0005-0000-0000-0000BE940000}"/>
    <cellStyle name="Note 6 3 2 2" xfId="439" xr:uid="{00000000-0005-0000-0000-0000BF940000}"/>
    <cellStyle name="Note 6 3 2 2 2" xfId="438" xr:uid="{00000000-0005-0000-0000-0000C0940000}"/>
    <cellStyle name="Note 6 3 2 2 2 2" xfId="23792" xr:uid="{00000000-0005-0000-0000-0000C1940000}"/>
    <cellStyle name="Note 6 3 2 2 2 2 2" xfId="8967" xr:uid="{00000000-0005-0000-0000-0000C2940000}"/>
    <cellStyle name="Note 6 3 2 2 2 3" xfId="23752" xr:uid="{00000000-0005-0000-0000-0000C3940000}"/>
    <cellStyle name="Note 6 3 2 2 3" xfId="8309" xr:uid="{00000000-0005-0000-0000-0000C4940000}"/>
    <cellStyle name="Note 6 3 2 2 3 2" xfId="22966" xr:uid="{00000000-0005-0000-0000-0000C5940000}"/>
    <cellStyle name="Note 6 3 2 2 4" xfId="14160" xr:uid="{00000000-0005-0000-0000-0000C6940000}"/>
    <cellStyle name="Note 6 3 2 3" xfId="437" xr:uid="{00000000-0005-0000-0000-0000C7940000}"/>
    <cellStyle name="Note 6 3 2 3 2" xfId="23860" xr:uid="{00000000-0005-0000-0000-0000C8940000}"/>
    <cellStyle name="Note 6 3 2 3 2 2" xfId="32232" xr:uid="{00000000-0005-0000-0000-0000C9940000}"/>
    <cellStyle name="Note 6 3 2 3 3" xfId="22755" xr:uid="{00000000-0005-0000-0000-0000CA940000}"/>
    <cellStyle name="Note 6 3 2 4" xfId="436" xr:uid="{00000000-0005-0000-0000-0000CB940000}"/>
    <cellStyle name="Note 6 3 2 4 2" xfId="7003" xr:uid="{00000000-0005-0000-0000-0000CC940000}"/>
    <cellStyle name="Note 6 3 2 5" xfId="435" xr:uid="{00000000-0005-0000-0000-0000CD940000}"/>
    <cellStyle name="Note 6 3 3" xfId="434" xr:uid="{00000000-0005-0000-0000-0000CE940000}"/>
    <cellStyle name="Note 6 3 3 2" xfId="433" xr:uid="{00000000-0005-0000-0000-0000CF940000}"/>
    <cellStyle name="Note 6 3 3 2 2" xfId="432" xr:uid="{00000000-0005-0000-0000-0000D0940000}"/>
    <cellStyle name="Note 6 3 3 2 2 2" xfId="19614" xr:uid="{00000000-0005-0000-0000-0000D1940000}"/>
    <cellStyle name="Note 6 3 3 2 3" xfId="8249" xr:uid="{00000000-0005-0000-0000-0000D2940000}"/>
    <cellStyle name="Note 6 3 3 3" xfId="431" xr:uid="{00000000-0005-0000-0000-0000D3940000}"/>
    <cellStyle name="Note 6 3 3 3 2" xfId="430" xr:uid="{00000000-0005-0000-0000-0000D4940000}"/>
    <cellStyle name="Note 6 3 3 4" xfId="28372" xr:uid="{00000000-0005-0000-0000-0000D5940000}"/>
    <cellStyle name="Note 6 3 4" xfId="2867" xr:uid="{00000000-0005-0000-0000-0000D6940000}"/>
    <cellStyle name="Note 6 3 4 2" xfId="429" xr:uid="{00000000-0005-0000-0000-0000D7940000}"/>
    <cellStyle name="Note 6 3 4 2 2" xfId="428" xr:uid="{00000000-0005-0000-0000-0000D8940000}"/>
    <cellStyle name="Note 6 3 4 3" xfId="427" xr:uid="{00000000-0005-0000-0000-0000D9940000}"/>
    <cellStyle name="Note 6 3 5" xfId="426" xr:uid="{00000000-0005-0000-0000-0000DA940000}"/>
    <cellStyle name="Note 6 3 5 2" xfId="425" xr:uid="{00000000-0005-0000-0000-0000DB940000}"/>
    <cellStyle name="Note 6 3 6" xfId="424" xr:uid="{00000000-0005-0000-0000-0000DC940000}"/>
    <cellStyle name="Note 6 3 7" xfId="34998" xr:uid="{00000000-0005-0000-0000-0000DD940000}"/>
    <cellStyle name="Note 6 4" xfId="33555" xr:uid="{00000000-0005-0000-0000-0000DE940000}"/>
    <cellStyle name="Note 6 4 2" xfId="423" xr:uid="{00000000-0005-0000-0000-0000DF940000}"/>
    <cellStyle name="Note 6 4 2 2" xfId="422" xr:uid="{00000000-0005-0000-0000-0000E0940000}"/>
    <cellStyle name="Note 6 4 2 2 2" xfId="421" xr:uid="{00000000-0005-0000-0000-0000E1940000}"/>
    <cellStyle name="Note 6 4 2 2 2 2" xfId="420" xr:uid="{00000000-0005-0000-0000-0000E2940000}"/>
    <cellStyle name="Note 6 4 2 2 3" xfId="8132" xr:uid="{00000000-0005-0000-0000-0000E3940000}"/>
    <cellStyle name="Note 6 4 2 3" xfId="419" xr:uid="{00000000-0005-0000-0000-0000E4940000}"/>
    <cellStyle name="Note 6 4 2 3 2" xfId="31426" xr:uid="{00000000-0005-0000-0000-0000E5940000}"/>
    <cellStyle name="Note 6 4 2 4" xfId="418" xr:uid="{00000000-0005-0000-0000-0000E6940000}"/>
    <cellStyle name="Note 6 4 3" xfId="417" xr:uid="{00000000-0005-0000-0000-0000E7940000}"/>
    <cellStyle name="Note 6 4 3 2" xfId="416" xr:uid="{00000000-0005-0000-0000-0000E8940000}"/>
    <cellStyle name="Note 6 4 3 2 2" xfId="415" xr:uid="{00000000-0005-0000-0000-0000E9940000}"/>
    <cellStyle name="Note 6 4 3 3" xfId="414" xr:uid="{00000000-0005-0000-0000-0000EA940000}"/>
    <cellStyle name="Note 6 4 4" xfId="2865" xr:uid="{00000000-0005-0000-0000-0000EB940000}"/>
    <cellStyle name="Note 6 4 4 2" xfId="2863" xr:uid="{00000000-0005-0000-0000-0000EC940000}"/>
    <cellStyle name="Note 6 4 5" xfId="27457" xr:uid="{00000000-0005-0000-0000-0000ED940000}"/>
    <cellStyle name="Note 6 4 6" xfId="35204" xr:uid="{00000000-0005-0000-0000-0000EE940000}"/>
    <cellStyle name="Note 6 5" xfId="413" xr:uid="{00000000-0005-0000-0000-0000EF940000}"/>
    <cellStyle name="Note 6 5 2" xfId="412" xr:uid="{00000000-0005-0000-0000-0000F0940000}"/>
    <cellStyle name="Note 6 5 2 2" xfId="411" xr:uid="{00000000-0005-0000-0000-0000F1940000}"/>
    <cellStyle name="Note 6 5 2 2 2" xfId="7587" xr:uid="{00000000-0005-0000-0000-0000F2940000}"/>
    <cellStyle name="Note 6 5 2 3" xfId="410" xr:uid="{00000000-0005-0000-0000-0000F3940000}"/>
    <cellStyle name="Note 6 5 3" xfId="14341" xr:uid="{00000000-0005-0000-0000-0000F4940000}"/>
    <cellStyle name="Note 6 5 3 2" xfId="409" xr:uid="{00000000-0005-0000-0000-0000F5940000}"/>
    <cellStyle name="Note 6 5 4" xfId="408" xr:uid="{00000000-0005-0000-0000-0000F6940000}"/>
    <cellStyle name="Note 6 5 5" xfId="35433" xr:uid="{00000000-0005-0000-0000-0000F7940000}"/>
    <cellStyle name="Note 6 6" xfId="1481" xr:uid="{00000000-0005-0000-0000-0000F8940000}"/>
    <cellStyle name="Note 6 6 2" xfId="407" xr:uid="{00000000-0005-0000-0000-0000F9940000}"/>
    <cellStyle name="Note 6 6 2 2" xfId="406" xr:uid="{00000000-0005-0000-0000-0000FA940000}"/>
    <cellStyle name="Note 6 6 3" xfId="405" xr:uid="{00000000-0005-0000-0000-0000FB940000}"/>
    <cellStyle name="Note 6 6 4" xfId="36305" xr:uid="{00000000-0005-0000-0000-0000FC940000}"/>
    <cellStyle name="Note 6 7" xfId="404" xr:uid="{00000000-0005-0000-0000-0000FD940000}"/>
    <cellStyle name="Note 6 7 2" xfId="403" xr:uid="{00000000-0005-0000-0000-0000FE940000}"/>
    <cellStyle name="Note 6 7 3" xfId="36591" xr:uid="{00000000-0005-0000-0000-0000FF940000}"/>
    <cellStyle name="Note 6 8" xfId="402" xr:uid="{00000000-0005-0000-0000-000000950000}"/>
    <cellStyle name="Note 6 8 2" xfId="37476" xr:uid="{00000000-0005-0000-0000-000001950000}"/>
    <cellStyle name="Note 6 9" xfId="34576" xr:uid="{00000000-0005-0000-0000-000002950000}"/>
    <cellStyle name="Note 7" xfId="279" xr:uid="{00000000-0005-0000-0000-000003950000}"/>
    <cellStyle name="Note 7 2" xfId="28388" xr:uid="{00000000-0005-0000-0000-000004950000}"/>
    <cellStyle name="Note 7 2 2" xfId="21727" xr:uid="{00000000-0005-0000-0000-000005950000}"/>
    <cellStyle name="Note 7 2 2 2" xfId="7374" xr:uid="{00000000-0005-0000-0000-000006950000}"/>
    <cellStyle name="Note 7 2 2 2 2" xfId="401" xr:uid="{00000000-0005-0000-0000-000007950000}"/>
    <cellStyle name="Note 7 2 2 2 2 2" xfId="400" xr:uid="{00000000-0005-0000-0000-000008950000}"/>
    <cellStyle name="Note 7 2 2 2 2 2 2" xfId="23075" xr:uid="{00000000-0005-0000-0000-000009950000}"/>
    <cellStyle name="Note 7 2 2 2 2 3" xfId="399" xr:uid="{00000000-0005-0000-0000-00000A950000}"/>
    <cellStyle name="Note 7 2 2 2 3" xfId="26455" xr:uid="{00000000-0005-0000-0000-00000B950000}"/>
    <cellStyle name="Note 7 2 2 2 3 2" xfId="32407" xr:uid="{00000000-0005-0000-0000-00000C950000}"/>
    <cellStyle name="Note 7 2 2 2 4" xfId="18722" xr:uid="{00000000-0005-0000-0000-00000D950000}"/>
    <cellStyle name="Note 7 2 2 3" xfId="7369" xr:uid="{00000000-0005-0000-0000-00000E950000}"/>
    <cellStyle name="Note 7 2 2 3 2" xfId="29260" xr:uid="{00000000-0005-0000-0000-00000F950000}"/>
    <cellStyle name="Note 7 2 2 3 2 2" xfId="377" xr:uid="{00000000-0005-0000-0000-000010950000}"/>
    <cellStyle name="Note 7 2 2 3 3" xfId="26424" xr:uid="{00000000-0005-0000-0000-000011950000}"/>
    <cellStyle name="Note 7 2 2 4" xfId="7365" xr:uid="{00000000-0005-0000-0000-000012950000}"/>
    <cellStyle name="Note 7 2 2 4 2" xfId="6895" xr:uid="{00000000-0005-0000-0000-000013950000}"/>
    <cellStyle name="Note 7 2 2 5" xfId="33417" xr:uid="{00000000-0005-0000-0000-000014950000}"/>
    <cellStyle name="Note 7 2 3" xfId="7360" xr:uid="{00000000-0005-0000-0000-000015950000}"/>
    <cellStyle name="Note 7 2 3 2" xfId="7358" xr:uid="{00000000-0005-0000-0000-000016950000}"/>
    <cellStyle name="Note 7 2 3 2 2" xfId="387" xr:uid="{00000000-0005-0000-0000-000017950000}"/>
    <cellStyle name="Note 7 2 3 2 2 2" xfId="30739" xr:uid="{00000000-0005-0000-0000-000018950000}"/>
    <cellStyle name="Note 7 2 3 2 3" xfId="29855" xr:uid="{00000000-0005-0000-0000-000019950000}"/>
    <cellStyle name="Note 7 2 3 3" xfId="7354" xr:uid="{00000000-0005-0000-0000-00001A950000}"/>
    <cellStyle name="Note 7 2 3 3 2" xfId="394" xr:uid="{00000000-0005-0000-0000-00001B950000}"/>
    <cellStyle name="Note 7 2 3 4" xfId="15590" xr:uid="{00000000-0005-0000-0000-00001C950000}"/>
    <cellStyle name="Note 7 2 4" xfId="15330" xr:uid="{00000000-0005-0000-0000-00001D950000}"/>
    <cellStyle name="Note 7 2 4 2" xfId="7350" xr:uid="{00000000-0005-0000-0000-00001E950000}"/>
    <cellStyle name="Note 7 2 4 2 2" xfId="379" xr:uid="{00000000-0005-0000-0000-00001F950000}"/>
    <cellStyle name="Note 7 2 4 3" xfId="385" xr:uid="{00000000-0005-0000-0000-000020950000}"/>
    <cellStyle name="Note 7 2 5" xfId="22604" xr:uid="{00000000-0005-0000-0000-000021950000}"/>
    <cellStyle name="Note 7 2 5 2" xfId="396" xr:uid="{00000000-0005-0000-0000-000022950000}"/>
    <cellStyle name="Note 7 2 6" xfId="373" xr:uid="{00000000-0005-0000-0000-000023950000}"/>
    <cellStyle name="Note 7 2 7" xfId="34815" xr:uid="{00000000-0005-0000-0000-000024950000}"/>
    <cellStyle name="Note 7 3" xfId="33385" xr:uid="{00000000-0005-0000-0000-000025950000}"/>
    <cellStyle name="Note 7 3 2" xfId="9868" xr:uid="{00000000-0005-0000-0000-000026950000}"/>
    <cellStyle name="Note 7 3 2 2" xfId="7345" xr:uid="{00000000-0005-0000-0000-000027950000}"/>
    <cellStyle name="Note 7 3 2 2 2" xfId="384" xr:uid="{00000000-0005-0000-0000-000028950000}"/>
    <cellStyle name="Note 7 3 2 2 2 2" xfId="390" xr:uid="{00000000-0005-0000-0000-000029950000}"/>
    <cellStyle name="Note 7 3 2 2 3" xfId="23733" xr:uid="{00000000-0005-0000-0000-00002A950000}"/>
    <cellStyle name="Note 7 3 2 3" xfId="29862" xr:uid="{00000000-0005-0000-0000-00002B950000}"/>
    <cellStyle name="Note 7 3 2 3 2" xfId="22736" xr:uid="{00000000-0005-0000-0000-00002C950000}"/>
    <cellStyle name="Note 7 3 2 4" xfId="375" xr:uid="{00000000-0005-0000-0000-00002D950000}"/>
    <cellStyle name="Note 7 3 3" xfId="9857" xr:uid="{00000000-0005-0000-0000-00002E950000}"/>
    <cellStyle name="Note 7 3 3 2" xfId="7341" xr:uid="{00000000-0005-0000-0000-00002F950000}"/>
    <cellStyle name="Note 7 3 3 2 2" xfId="19815" xr:uid="{00000000-0005-0000-0000-000030950000}"/>
    <cellStyle name="Note 7 3 3 3" xfId="382" xr:uid="{00000000-0005-0000-0000-000031950000}"/>
    <cellStyle name="Note 7 3 4" xfId="17684" xr:uid="{00000000-0005-0000-0000-000032950000}"/>
    <cellStyle name="Note 7 3 4 2" xfId="397" xr:uid="{00000000-0005-0000-0000-000033950000}"/>
    <cellStyle name="Note 7 3 5" xfId="17682" xr:uid="{00000000-0005-0000-0000-000034950000}"/>
    <cellStyle name="Note 7 3 6" xfId="35017" xr:uid="{00000000-0005-0000-0000-000035950000}"/>
    <cellStyle name="Note 7 4" xfId="9849" xr:uid="{00000000-0005-0000-0000-000036950000}"/>
    <cellStyle name="Note 7 4 2" xfId="9843" xr:uid="{00000000-0005-0000-0000-000037950000}"/>
    <cellStyle name="Note 7 4 2 2" xfId="30370" xr:uid="{00000000-0005-0000-0000-000038950000}"/>
    <cellStyle name="Note 7 4 2 2 2" xfId="395" xr:uid="{00000000-0005-0000-0000-000039950000}"/>
    <cellStyle name="Note 7 4 2 3" xfId="380" xr:uid="{00000000-0005-0000-0000-00003A950000}"/>
    <cellStyle name="Note 7 4 3" xfId="9834" xr:uid="{00000000-0005-0000-0000-00003B950000}"/>
    <cellStyle name="Note 7 4 3 2" xfId="386" xr:uid="{00000000-0005-0000-0000-00003C950000}"/>
    <cellStyle name="Note 7 4 4" xfId="17675" xr:uid="{00000000-0005-0000-0000-00003D950000}"/>
    <cellStyle name="Note 7 4 5" xfId="35223" xr:uid="{00000000-0005-0000-0000-00003E950000}"/>
    <cellStyle name="Note 7 5" xfId="9830" xr:uid="{00000000-0005-0000-0000-00003F950000}"/>
    <cellStyle name="Note 7 5 2" xfId="34041" xr:uid="{00000000-0005-0000-0000-000040950000}"/>
    <cellStyle name="Note 7 5 2 2" xfId="393" xr:uid="{00000000-0005-0000-0000-000041950000}"/>
    <cellStyle name="Note 7 5 3" xfId="17671" xr:uid="{00000000-0005-0000-0000-000042950000}"/>
    <cellStyle name="Note 7 5 4" xfId="35452" xr:uid="{00000000-0005-0000-0000-000043950000}"/>
    <cellStyle name="Note 7 6" xfId="9826" xr:uid="{00000000-0005-0000-0000-000044950000}"/>
    <cellStyle name="Note 7 6 2" xfId="378" xr:uid="{00000000-0005-0000-0000-000045950000}"/>
    <cellStyle name="Note 7 6 3" xfId="36324" xr:uid="{00000000-0005-0000-0000-000046950000}"/>
    <cellStyle name="Note 7 7" xfId="398" xr:uid="{00000000-0005-0000-0000-000047950000}"/>
    <cellStyle name="Note 7 7 2" xfId="36610" xr:uid="{00000000-0005-0000-0000-000048950000}"/>
    <cellStyle name="Note 7 8" xfId="34590" xr:uid="{00000000-0005-0000-0000-000049950000}"/>
    <cellStyle name="Note 7 9" xfId="7377" xr:uid="{00000000-0005-0000-0000-00004A950000}"/>
    <cellStyle name="Note 8" xfId="299" xr:uid="{00000000-0005-0000-0000-00004B950000}"/>
    <cellStyle name="Note 8 2" xfId="21626" xr:uid="{00000000-0005-0000-0000-00004C950000}"/>
    <cellStyle name="Note 8 2 2" xfId="7337" xr:uid="{00000000-0005-0000-0000-00004D950000}"/>
    <cellStyle name="Note 8 2 2 2" xfId="7334" xr:uid="{00000000-0005-0000-0000-00004E950000}"/>
    <cellStyle name="Note 8 2 2 2 2" xfId="14523" xr:uid="{00000000-0005-0000-0000-00004F950000}"/>
    <cellStyle name="Note 8 2 2 2 2 2" xfId="381" xr:uid="{00000000-0005-0000-0000-000050950000}"/>
    <cellStyle name="Note 8 2 2 2 3" xfId="10144" xr:uid="{00000000-0005-0000-0000-000051950000}"/>
    <cellStyle name="Note 8 2 2 3" xfId="7332" xr:uid="{00000000-0005-0000-0000-000052950000}"/>
    <cellStyle name="Note 8 2 2 3 2" xfId="391" xr:uid="{00000000-0005-0000-0000-000053950000}"/>
    <cellStyle name="Note 8 2 2 4" xfId="4827" xr:uid="{00000000-0005-0000-0000-000054950000}"/>
    <cellStyle name="Note 8 2 3" xfId="7329" xr:uid="{00000000-0005-0000-0000-000055950000}"/>
    <cellStyle name="Note 8 2 3 2" xfId="25809" xr:uid="{00000000-0005-0000-0000-000056950000}"/>
    <cellStyle name="Note 8 2 3 2 2" xfId="376" xr:uid="{00000000-0005-0000-0000-000057950000}"/>
    <cellStyle name="Note 8 2 3 3" xfId="383" xr:uid="{00000000-0005-0000-0000-000058950000}"/>
    <cellStyle name="Note 8 2 4" xfId="7326" xr:uid="{00000000-0005-0000-0000-000059950000}"/>
    <cellStyle name="Note 8 2 4 2" xfId="389" xr:uid="{00000000-0005-0000-0000-00005A950000}"/>
    <cellStyle name="Note 8 2 5" xfId="374" xr:uid="{00000000-0005-0000-0000-00005B950000}"/>
    <cellStyle name="Note 8 2 6" xfId="34834" xr:uid="{00000000-0005-0000-0000-00005C950000}"/>
    <cellStyle name="Note 8 3" xfId="9820" xr:uid="{00000000-0005-0000-0000-00005D950000}"/>
    <cellStyle name="Note 8 3 2" xfId="9816" xr:uid="{00000000-0005-0000-0000-00005E950000}"/>
    <cellStyle name="Note 8 3 2 2" xfId="7324" xr:uid="{00000000-0005-0000-0000-00005F950000}"/>
    <cellStyle name="Note 8 3 2 2 2" xfId="362" xr:uid="{00000000-0005-0000-0000-000060950000}"/>
    <cellStyle name="Note 8 3 2 3" xfId="372" xr:uid="{00000000-0005-0000-0000-000061950000}"/>
    <cellStyle name="Note 8 3 3" xfId="9808" xr:uid="{00000000-0005-0000-0000-000062950000}"/>
    <cellStyle name="Note 8 3 3 2" xfId="368" xr:uid="{00000000-0005-0000-0000-000063950000}"/>
    <cellStyle name="Note 8 3 4" xfId="27610" xr:uid="{00000000-0005-0000-0000-000064950000}"/>
    <cellStyle name="Note 8 3 5" xfId="35036" xr:uid="{00000000-0005-0000-0000-000065950000}"/>
    <cellStyle name="Note 8 4" xfId="9804" xr:uid="{00000000-0005-0000-0000-000066950000}"/>
    <cellStyle name="Note 8 4 2" xfId="14526" xr:uid="{00000000-0005-0000-0000-000067950000}"/>
    <cellStyle name="Note 8 4 2 2" xfId="388" xr:uid="{00000000-0005-0000-0000-000068950000}"/>
    <cellStyle name="Note 8 4 3" xfId="34309" xr:uid="{00000000-0005-0000-0000-000069950000}"/>
    <cellStyle name="Note 8 4 4" xfId="35243" xr:uid="{00000000-0005-0000-0000-00006A950000}"/>
    <cellStyle name="Note 8 5" xfId="9801" xr:uid="{00000000-0005-0000-0000-00006B950000}"/>
    <cellStyle name="Note 8 5 2" xfId="363" xr:uid="{00000000-0005-0000-0000-00006C950000}"/>
    <cellStyle name="Note 8 5 3" xfId="35472" xr:uid="{00000000-0005-0000-0000-00006D950000}"/>
    <cellStyle name="Note 8 6" xfId="359" xr:uid="{00000000-0005-0000-0000-00006E950000}"/>
    <cellStyle name="Note 8 6 2" xfId="36344" xr:uid="{00000000-0005-0000-0000-00006F950000}"/>
    <cellStyle name="Note 8 7" xfId="34604" xr:uid="{00000000-0005-0000-0000-000070950000}"/>
    <cellStyle name="Note 8 8" xfId="22619" xr:uid="{00000000-0005-0000-0000-000071950000}"/>
    <cellStyle name="Note 8 8 2" xfId="37502" xr:uid="{00000000-0005-0000-0000-000072950000}"/>
    <cellStyle name="Note 9" xfId="319" xr:uid="{00000000-0005-0000-0000-000073950000}"/>
    <cellStyle name="Note 9 2" xfId="7321" xr:uid="{00000000-0005-0000-0000-000074950000}"/>
    <cellStyle name="Note 9 2 2" xfId="13353" xr:uid="{00000000-0005-0000-0000-000075950000}"/>
    <cellStyle name="Note 9 2 2 2" xfId="7319" xr:uid="{00000000-0005-0000-0000-000076950000}"/>
    <cellStyle name="Note 9 2 2 2 2" xfId="365" xr:uid="{00000000-0005-0000-0000-000077950000}"/>
    <cellStyle name="Note 9 2 2 3" xfId="369" xr:uid="{00000000-0005-0000-0000-000078950000}"/>
    <cellStyle name="Note 9 2 3" xfId="7317" xr:uid="{00000000-0005-0000-0000-000079950000}"/>
    <cellStyle name="Note 9 2 3 2" xfId="33939" xr:uid="{00000000-0005-0000-0000-00007A950000}"/>
    <cellStyle name="Note 9 2 4" xfId="366" xr:uid="{00000000-0005-0000-0000-00007B950000}"/>
    <cellStyle name="Note 9 2 5" xfId="34853" xr:uid="{00000000-0005-0000-0000-00007C950000}"/>
    <cellStyle name="Note 9 3" xfId="9797" xr:uid="{00000000-0005-0000-0000-00007D950000}"/>
    <cellStyle name="Note 9 3 2" xfId="9793" xr:uid="{00000000-0005-0000-0000-00007E950000}"/>
    <cellStyle name="Note 9 3 2 2" xfId="360" xr:uid="{00000000-0005-0000-0000-00007F950000}"/>
    <cellStyle name="Note 9 3 3" xfId="21534" xr:uid="{00000000-0005-0000-0000-000080950000}"/>
    <cellStyle name="Note 9 3 4" xfId="35055" xr:uid="{00000000-0005-0000-0000-000081950000}"/>
    <cellStyle name="Note 9 4" xfId="9789" xr:uid="{00000000-0005-0000-0000-000082950000}"/>
    <cellStyle name="Note 9 4 2" xfId="370" xr:uid="{00000000-0005-0000-0000-000083950000}"/>
    <cellStyle name="Note 9 4 3" xfId="35262" xr:uid="{00000000-0005-0000-0000-000084950000}"/>
    <cellStyle name="Note 9 5" xfId="361" xr:uid="{00000000-0005-0000-0000-000085950000}"/>
    <cellStyle name="Note 9 5 2" xfId="35491" xr:uid="{00000000-0005-0000-0000-000086950000}"/>
    <cellStyle name="Note 9 6" xfId="34618" xr:uid="{00000000-0005-0000-0000-000087950000}"/>
    <cellStyle name="Note 9 7" xfId="22613" xr:uid="{00000000-0005-0000-0000-000088950000}"/>
    <cellStyle name="Note 9 7 2" xfId="36636" xr:uid="{00000000-0005-0000-0000-000089950000}"/>
    <cellStyle name="Note 9 8" xfId="37521" xr:uid="{00000000-0005-0000-0000-00008A950000}"/>
    <cellStyle name="Output" xfId="15" builtinId="21" customBuiltin="1"/>
    <cellStyle name="Output 2" xfId="367" xr:uid="{00000000-0005-0000-0000-00008C950000}"/>
    <cellStyle name="Output 3" xfId="392" xr:uid="{00000000-0005-0000-0000-00008D950000}"/>
    <cellStyle name="Percent" xfId="2" builtinId="5"/>
    <cellStyle name="Percent 2" xfId="47" xr:uid="{00000000-0005-0000-0000-00008F950000}"/>
    <cellStyle name="Percent 3" xfId="371" xr:uid="{00000000-0005-0000-0000-000090950000}"/>
    <cellStyle name="Percent 35" xfId="38299" xr:uid="{9CAD49CA-3661-4E98-BD13-2D1C95CBAD39}"/>
    <cellStyle name="Percent 4" xfId="5" xr:uid="{00000000-0005-0000-0000-000091950000}"/>
    <cellStyle name="Percent 43" xfId="38300" xr:uid="{C127D28E-B9E5-436D-B892-C09F015501E4}"/>
    <cellStyle name="Percent 5" xfId="34411" xr:uid="{00000000-0005-0000-0000-000092950000}"/>
    <cellStyle name="Style 1" xfId="13708" xr:uid="{00000000-0005-0000-0000-000093950000}"/>
    <cellStyle name="Title" xfId="6" builtinId="15" customBuiltin="1"/>
    <cellStyle name="Total" xfId="21" builtinId="25" customBuiltin="1"/>
    <cellStyle name="Total 2" xfId="77" xr:uid="{00000000-0005-0000-0000-000096950000}"/>
    <cellStyle name="Warning Text" xfId="19" builtinId="11" customBuiltin="1"/>
    <cellStyle name="Warning Text 2" xfId="75" xr:uid="{00000000-0005-0000-0000-000098950000}"/>
  </cellStyles>
  <dxfs count="1110">
    <dxf>
      <fill>
        <patternFill>
          <bgColor rgb="FFDE787A"/>
        </patternFill>
      </fill>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theme="1"/>
        <name val="Calibri"/>
        <family val="2"/>
        <scheme val="minor"/>
      </font>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theme="1"/>
        <name val="Calibri"/>
        <scheme val="minor"/>
      </font>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theme="1"/>
        <name val="Calibri"/>
        <scheme val="minor"/>
      </font>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theme="1"/>
        <name val="Calibri"/>
        <scheme val="minor"/>
      </font>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theme="1"/>
        <name val="Calibri"/>
        <family val="2"/>
        <scheme val="minor"/>
      </font>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theme="1"/>
        <name val="Calibri"/>
        <scheme val="minor"/>
      </font>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border>
    </dxf>
    <dxf>
      <numFmt numFmtId="178" formatCode="dd/mmm/yy"/>
      <border diagonalUp="0" diagonalDown="0" outline="0">
        <left/>
        <right style="hair">
          <color auto="1"/>
        </right>
        <top style="hair">
          <color auto="1"/>
        </top>
        <bottom style="hair">
          <color auto="1"/>
        </bottom>
      </border>
    </dxf>
    <dxf>
      <border>
        <top style="hair">
          <color auto="1"/>
        </top>
      </border>
    </dxf>
    <dxf>
      <border diagonalUp="0" diagonalDown="0">
        <left style="hair">
          <color auto="1"/>
        </left>
        <right style="hair">
          <color auto="1"/>
        </right>
        <top style="hair">
          <color auto="1"/>
        </top>
        <bottom style="hair">
          <color auto="1"/>
        </bottom>
      </border>
    </dxf>
    <dxf>
      <alignment horizontal="center" vertical="bottom" textRotation="0" wrapText="0" indent="0" justifyLastLine="0" shrinkToFit="0" readingOrder="0"/>
    </dxf>
    <dxf>
      <border>
        <bottom style="hair">
          <color auto="1"/>
        </bottom>
      </border>
    </dxf>
    <dxf>
      <font>
        <b/>
        <i val="0"/>
        <strike val="0"/>
        <condense val="0"/>
        <extend val="0"/>
        <outline val="0"/>
        <shadow val="0"/>
        <u val="none"/>
        <vertAlign val="baseline"/>
        <sz val="9"/>
        <color theme="0"/>
        <name val="Calibri"/>
        <scheme val="minor"/>
      </font>
      <fill>
        <patternFill patternType="solid">
          <fgColor indexed="64"/>
          <bgColor theme="9"/>
        </patternFill>
      </fill>
      <alignment horizontal="center" vertical="center" textRotation="0" wrapText="1" indent="0" justifyLastLine="0" shrinkToFit="0" readingOrder="0"/>
      <border diagonalUp="0" diagonalDown="0">
        <left style="hair">
          <color auto="1"/>
        </left>
        <right style="hair">
          <color auto="1"/>
        </right>
        <top/>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top style="hair">
          <color auto="1"/>
        </top>
        <bottom style="hair">
          <color auto="1"/>
        </bottom>
        <vertical/>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top style="hair">
          <color auto="1"/>
        </top>
        <bottom style="hair">
          <color auto="1"/>
        </bottom>
        <vertical/>
        <horizontal/>
      </border>
    </dxf>
    <dxf>
      <numFmt numFmtId="2" formatCode="0.00"/>
      <alignment horizontal="center" vertical="bottom" textRotation="0" wrapText="0" indent="0" justifyLastLine="0" shrinkToFit="0" readingOrder="0"/>
      <border diagonalUp="0" diagonalDown="0">
        <left style="hair">
          <color auto="1"/>
        </left>
        <right/>
        <top style="hair">
          <color auto="1"/>
        </top>
        <bottom style="hair">
          <color auto="1"/>
        </bottom>
        <vertical/>
        <horizontal/>
      </border>
    </dxf>
    <dxf>
      <numFmt numFmtId="2" formatCode="0.00"/>
      <alignment horizontal="center" vertical="bottom" textRotation="0" wrapText="0" indent="0" justifyLastLine="0" shrinkToFit="0" readingOrder="0"/>
      <border diagonalUp="0" diagonalDown="0">
        <left style="hair">
          <color auto="1"/>
        </left>
        <right/>
        <top style="hair">
          <color auto="1"/>
        </top>
        <bottom style="hair">
          <color auto="1"/>
        </bottom>
        <vertical/>
        <horizontal/>
      </border>
    </dxf>
    <dxf>
      <numFmt numFmtId="2" formatCode="0.00"/>
      <alignment horizontal="center" vertical="bottom" textRotation="0" wrapText="0" indent="0" justifyLastLine="0" shrinkToFit="0" readingOrder="0"/>
      <border diagonalUp="0" diagonalDown="0">
        <left style="hair">
          <color auto="1"/>
        </left>
        <right/>
        <top style="hair">
          <color auto="1"/>
        </top>
        <bottom style="hair">
          <color auto="1"/>
        </bottom>
        <vertical/>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78" formatCode="dd/mmm/yy"/>
      <border diagonalUp="0" diagonalDown="0">
        <left/>
        <right style="hair">
          <color auto="1"/>
        </right>
        <top style="hair">
          <color auto="1"/>
        </top>
        <bottom style="hair">
          <color auto="1"/>
        </bottom>
        <vertical style="hair">
          <color auto="1"/>
        </vertical>
        <horizontal style="hair">
          <color auto="1"/>
        </horizontal>
      </border>
    </dxf>
    <dxf>
      <border>
        <top style="hair">
          <color auto="1"/>
        </top>
      </border>
    </dxf>
    <dxf>
      <border diagonalUp="0" diagonalDown="0">
        <left style="hair">
          <color auto="1"/>
        </left>
        <right style="hair">
          <color auto="1"/>
        </right>
        <top style="hair">
          <color auto="1"/>
        </top>
        <bottom style="hair">
          <color auto="1"/>
        </bottom>
      </border>
    </dxf>
    <dxf>
      <alignment horizontal="center" vertical="bottom" textRotation="0" wrapText="0" indent="0" justifyLastLine="0" shrinkToFit="0" readingOrder="0"/>
    </dxf>
    <dxf>
      <border>
        <bottom style="hair">
          <color auto="1"/>
        </bottom>
      </border>
    </dxf>
    <dxf>
      <font>
        <b/>
        <i val="0"/>
        <strike val="0"/>
        <condense val="0"/>
        <extend val="0"/>
        <outline val="0"/>
        <shadow val="0"/>
        <u val="none"/>
        <vertAlign val="baseline"/>
        <sz val="9"/>
        <color theme="0"/>
        <name val="Calibri"/>
        <scheme val="minor"/>
      </font>
      <fill>
        <patternFill patternType="solid">
          <fgColor indexed="64"/>
          <bgColor theme="9"/>
        </patternFill>
      </fill>
      <alignment horizontal="center" vertical="center" textRotation="0" wrapText="1" indent="0" justifyLastLine="0" shrinkToFit="0" readingOrder="0"/>
      <border diagonalUp="0" diagonalDown="0">
        <left style="hair">
          <color auto="1"/>
        </left>
        <right style="hair">
          <color auto="1"/>
        </right>
        <top/>
        <bottom/>
        <vertical style="hair">
          <color auto="1"/>
        </vertical>
        <horizontal style="hair">
          <color auto="1"/>
        </horizontal>
      </border>
    </dxf>
    <dxf>
      <border diagonalUp="0" diagonalDown="0" outline="0">
        <left/>
        <right/>
        <top/>
        <bottom/>
      </border>
    </dxf>
    <dxf>
      <border diagonalUp="0" diagonalDown="0" outline="0">
        <left/>
        <right/>
        <top/>
        <bottom/>
      </border>
    </dxf>
    <dxf>
      <numFmt numFmtId="1" formatCode="0"/>
      <alignment horizontal="center" vertical="bottom" textRotation="0" wrapText="0" indent="0" justifyLastLine="0" shrinkToFit="0" readingOrder="0"/>
      <border diagonalUp="0" diagonalDown="0" outline="0">
        <left style="hair">
          <color auto="1"/>
        </left>
        <right/>
        <top style="hair">
          <color auto="1"/>
        </top>
        <bottom/>
      </border>
    </dxf>
    <dxf>
      <numFmt numFmtId="1" formatCode="0"/>
      <alignment horizontal="center" vertical="bottom" textRotation="0" wrapText="0" indent="0" justifyLastLine="0" shrinkToFit="0" readingOrder="0"/>
      <border diagonalUp="0" diagonalDown="0">
        <left style="hair">
          <color auto="1"/>
        </left>
        <right/>
        <top style="hair">
          <color auto="1"/>
        </top>
        <bottom style="hair">
          <color auto="1"/>
        </bottom>
      </border>
    </dxf>
    <dxf>
      <fill>
        <patternFill patternType="solid">
          <fgColor indexed="64"/>
          <bgColor theme="0" tint="-0.14999847407452621"/>
        </patternFill>
      </fill>
      <alignment horizontal="center" vertical="bottom" textRotation="0" wrapText="0" indent="0" justifyLastLine="0" shrinkToFit="0" readingOrder="0"/>
      <border diagonalUp="0" diagonalDown="0" outline="0">
        <left style="hair">
          <color auto="1"/>
        </left>
        <right style="hair">
          <color auto="1"/>
        </right>
        <top style="hair">
          <color auto="1"/>
        </top>
        <bottom/>
      </border>
    </dxf>
    <dxf>
      <fill>
        <patternFill patternType="solid">
          <fgColor indexed="64"/>
          <bgColor theme="0" tint="-0.14999847407452621"/>
        </patternFill>
      </fill>
      <border diagonalUp="0" diagonalDown="0" outline="0">
        <left style="hair">
          <color auto="1"/>
        </left>
        <right style="hair">
          <color auto="1"/>
        </right>
        <top style="hair">
          <color auto="1"/>
        </top>
        <bottom style="hair">
          <color auto="1"/>
        </bottom>
      </border>
    </dxf>
    <dxf>
      <numFmt numFmtId="166" formatCode="0.0"/>
      <alignment horizontal="center" vertical="bottom" textRotation="0" wrapText="0" indent="0" justifyLastLine="0" shrinkToFit="0" readingOrder="0"/>
      <border diagonalUp="0" diagonalDown="0" outline="0">
        <left style="hair">
          <color auto="1"/>
        </left>
        <right style="hair">
          <color auto="1"/>
        </right>
        <top style="hair">
          <color auto="1"/>
        </top>
        <bottom/>
      </border>
    </dxf>
    <dxf>
      <numFmt numFmtId="166"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textRotation="0" wrapText="0" indent="0" justifyLastLine="0" shrinkToFit="0" readingOrder="0"/>
      <border diagonalUp="0" diagonalDown="0" outline="0">
        <left style="hair">
          <color auto="1"/>
        </left>
        <right style="hair">
          <color auto="1"/>
        </right>
        <top style="hair">
          <color auto="1"/>
        </top>
        <bottom/>
      </border>
    </dxf>
    <dxf>
      <alignment horizontal="center" textRotation="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solid">
          <fgColor indexed="64"/>
          <bgColor theme="0" tint="-0.14999847407452621"/>
        </patternFill>
      </fill>
      <alignment horizontal="general" vertical="bottom" textRotation="0" wrapText="1" indent="0" justifyLastLine="0" shrinkToFit="0" readingOrder="0"/>
      <border diagonalUp="0" diagonalDown="0" outline="0">
        <left style="hair">
          <color auto="1"/>
        </left>
        <right style="hair">
          <color auto="1"/>
        </right>
        <top style="hair">
          <color auto="1"/>
        </top>
        <bottom style="hair">
          <color auto="1"/>
        </bottom>
      </border>
    </dxf>
    <dxf>
      <fill>
        <patternFill patternType="solid">
          <fgColor indexed="64"/>
          <bgColor theme="0" tint="-0.14999847407452621"/>
        </patternFill>
      </fill>
      <alignment horizontal="general" vertical="bottom" textRotation="0" wrapText="1" indent="0" justifyLastLine="0" shrinkToFit="0" readingOrder="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numFmt numFmtId="2" formatCode="0.0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numFmt numFmtId="2" formatCode="0.00"/>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left" vertical="bottom" textRotation="0" wrapText="0" indent="0" justifyLastLine="0" shrinkToFit="0" readingOrder="0"/>
      <border diagonalUp="0" diagonalDown="0" outline="0">
        <left/>
        <right/>
        <top style="hair">
          <color auto="1"/>
        </top>
        <bottom/>
      </border>
    </dxf>
    <dxf>
      <numFmt numFmtId="2" formatCode="0.00"/>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left" vertical="bottom" textRotation="0" wrapText="0" indent="0" justifyLastLine="0" shrinkToFit="0" readingOrder="0"/>
      <border diagonalUp="0" diagonalDown="0" outline="0">
        <left/>
        <right/>
        <top style="hair">
          <color auto="1"/>
        </top>
        <bottom/>
      </border>
    </dxf>
    <dxf>
      <numFmt numFmtId="2" formatCode="0.00"/>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numFmt numFmtId="176" formatCode="hh:mm"/>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numFmt numFmtId="176" formatCode="hh:mm"/>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numFmt numFmtId="176" formatCode="hh:mm"/>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numFmt numFmtId="176" formatCode="hh:mm"/>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bottom" textRotation="0" wrapText="0" indent="0" justifyLastLine="0" shrinkToFit="0" readingOrder="0"/>
      <border diagonalUp="0" diagonalDown="0" outline="0">
        <left/>
        <right/>
        <top style="hair">
          <color auto="1"/>
        </top>
        <bottom/>
      </border>
    </dxf>
    <dxf>
      <fill>
        <patternFill patternType="solid">
          <fgColor indexed="64"/>
          <bgColor theme="0" tint="-0.14999847407452621"/>
        </patternFill>
      </fill>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bottom" textRotation="0" wrapText="0" indent="0" justifyLastLine="0" shrinkToFit="0" readingOrder="0"/>
      <border diagonalUp="0" diagonalDown="0" outline="0">
        <left/>
        <right/>
        <top style="hair">
          <color auto="1"/>
        </top>
        <bottom/>
      </border>
    </dxf>
    <dxf>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bottom" textRotation="0" wrapText="0" indent="0" justifyLastLine="0" shrinkToFit="0" readingOrder="0"/>
      <border diagonalUp="0" diagonalDown="0" outline="0">
        <left/>
        <right/>
        <top style="hair">
          <color auto="1"/>
        </top>
        <bottom/>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numFmt numFmtId="166"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numFmt numFmtId="0" formatCode="Genera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diagonalUp="0" diagonalDown="0" outline="0">
        <left/>
        <right/>
        <top style="hair">
          <color auto="1"/>
        </top>
        <bottom/>
      </border>
    </dxf>
    <dxf>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66" formatCode="0.0"/>
      <alignment horizontal="center" vertical="bottom" textRotation="0" wrapText="0" indent="0" justifyLastLine="0" shrinkToFit="0" readingOrder="0"/>
      <border diagonalUp="0" diagonalDown="0" outline="0">
        <left style="hair">
          <color auto="1"/>
        </left>
        <right style="hair">
          <color auto="1"/>
        </right>
        <top style="hair">
          <color auto="1"/>
        </top>
        <bottom/>
      </border>
    </dxf>
    <dxf>
      <numFmt numFmtId="166"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7" formatCode="[$-14009]hh:mm;@"/>
      <fill>
        <patternFill patternType="solid">
          <fgColor indexed="64"/>
          <bgColor theme="6" tint="0.59999389629810485"/>
        </patternFill>
      </fill>
      <alignment horizontal="center" vertical="bottom" textRotation="0" wrapText="0" indent="0" justifyLastLine="0" shrinkToFit="0" readingOrder="0"/>
      <border diagonalUp="0" diagonalDown="0" outline="0">
        <left style="hair">
          <color auto="1"/>
        </left>
        <right style="hair">
          <color auto="1"/>
        </right>
        <top style="hair">
          <color auto="1"/>
        </top>
        <bottom style="hair">
          <color auto="1"/>
        </bottom>
      </border>
    </dxf>
    <dxf>
      <numFmt numFmtId="176" formatCode="hh:mm"/>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67" formatCode="[$-14009]hh:mm;@"/>
      <fill>
        <patternFill patternType="solid">
          <fgColor indexed="64"/>
          <bgColor theme="6" tint="0.59999389629810485"/>
        </patternFill>
      </fill>
      <alignment horizontal="center" vertical="bottom" textRotation="0" wrapText="0" indent="0" justifyLastLine="0" shrinkToFit="0" readingOrder="0"/>
      <border diagonalUp="0" diagonalDown="0" outline="0">
        <left style="hair">
          <color auto="1"/>
        </left>
        <right style="hair">
          <color auto="1"/>
        </right>
        <top style="hair">
          <color auto="1"/>
        </top>
        <bottom style="hair">
          <color auto="1"/>
        </bottom>
      </border>
    </dxf>
    <dxf>
      <numFmt numFmtId="176" formatCode="hh:mm"/>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0" formatCode="General"/>
      <border diagonalUp="0" diagonalDown="0" outline="0">
        <left style="hair">
          <color auto="1"/>
        </left>
        <right style="hair">
          <color auto="1"/>
        </right>
        <top style="hair">
          <color auto="1"/>
        </top>
        <bottom/>
      </border>
    </dxf>
    <dxf>
      <numFmt numFmtId="177" formatCode="mmm/yy"/>
      <fill>
        <patternFill patternType="none">
          <fgColor indexed="64"/>
          <bgColor indexed="65"/>
        </patternFill>
      </fill>
      <alignment horizontal="center" vertical="bottom" textRotation="0" wrapText="0" indent="0" justifyLastLine="0" shrinkToFit="0" readingOrder="0"/>
      <border diagonalUp="0" diagonalDown="0" outline="0">
        <left style="hair">
          <color auto="1"/>
        </left>
        <right style="hair">
          <color auto="1"/>
        </right>
        <top style="hair">
          <color auto="1"/>
        </top>
        <bottom/>
      </border>
    </dxf>
    <dxf>
      <fill>
        <patternFill patternType="none">
          <fgColor indexed="64"/>
          <bgColor auto="1"/>
        </patternFill>
      </fill>
      <alignment horizontal="center" textRotation="0" indent="0" justifyLastLine="0" shrinkToFit="0" readingOrder="0"/>
      <border diagonalUp="0" diagonalDown="0" outline="0">
        <left style="hair">
          <color auto="1"/>
        </left>
        <right style="hair">
          <color auto="1"/>
        </right>
        <top style="hair">
          <color auto="1"/>
        </top>
        <bottom style="hair">
          <color auto="1"/>
        </bottom>
      </border>
    </dxf>
    <dxf>
      <font>
        <b val="0"/>
        <i val="0"/>
        <strike val="0"/>
        <condense val="0"/>
        <extend val="0"/>
        <outline val="0"/>
        <shadow val="0"/>
        <u val="none"/>
        <vertAlign val="baseline"/>
        <sz val="11"/>
        <color theme="1"/>
        <name val="Calibri"/>
        <family val="2"/>
        <scheme val="none"/>
      </font>
      <border diagonalUp="0" diagonalDown="0" outline="0">
        <left style="hair">
          <color rgb="FF000000"/>
        </left>
        <right style="hair">
          <color rgb="FF000000"/>
        </right>
        <top style="hair">
          <color rgb="FF000000"/>
        </top>
        <bottom/>
      </border>
    </dxf>
    <dxf>
      <border diagonalUp="0" diagonalDown="0">
        <left style="hair">
          <color rgb="FF000000"/>
        </left>
        <right style="hair">
          <color rgb="FF000000"/>
        </right>
        <top style="hair">
          <color rgb="FF000000"/>
        </top>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hair">
          <color rgb="FF000000"/>
        </left>
        <right style="hair">
          <color rgb="FF000000"/>
        </right>
        <top style="hair">
          <color rgb="FF000000"/>
        </top>
        <bottom/>
      </border>
    </dxf>
    <dxf>
      <alignment horizontal="center" vertical="bottom" textRotation="0" wrapText="0" indent="0" justifyLastLine="0" shrinkToFit="0" readingOrder="0"/>
      <border diagonalUp="0" diagonalDown="0">
        <left style="hair">
          <color rgb="FF000000"/>
        </left>
        <right style="hair">
          <color rgb="FF000000"/>
        </right>
        <top style="hair">
          <color rgb="FF000000"/>
        </top>
        <bottom/>
        <vertical/>
        <horizontal/>
      </border>
    </dxf>
    <dxf>
      <numFmt numFmtId="0" formatCode="General"/>
      <alignment horizontal="center" vertical="bottom" textRotation="0" wrapText="0" indent="0" justifyLastLine="0" shrinkToFit="0" readingOrder="0"/>
      <border diagonalUp="0" diagonalDown="0" outline="0">
        <left style="hair">
          <color auto="1"/>
        </left>
        <right style="hair">
          <color auto="1"/>
        </right>
        <top style="hair">
          <color auto="1"/>
        </top>
        <bottom style="hair">
          <color auto="1"/>
        </bottom>
      </border>
    </dxf>
    <dxf>
      <numFmt numFmtId="0" formatCode="Genera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ill>
        <patternFill patternType="solid">
          <fgColor indexed="64"/>
          <bgColor theme="0" tint="-0.14999847407452621"/>
        </patternFill>
      </fill>
      <alignment horizontal="center" vertical="bottom" textRotation="0" wrapText="0" indent="0" justifyLastLine="0" shrinkToFit="0" readingOrder="0"/>
      <border diagonalUp="0" diagonalDown="0" outline="0">
        <left style="hair">
          <color auto="1"/>
        </left>
        <right style="hair">
          <color auto="1"/>
        </right>
        <top style="hair">
          <color auto="1"/>
        </top>
        <bottom/>
      </border>
    </dxf>
    <dxf>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78" formatCode="dd/mmm/yy"/>
      <fill>
        <patternFill patternType="solid">
          <fgColor indexed="64"/>
          <bgColor theme="0" tint="-0.14999847407452621"/>
        </patternFill>
      </fill>
      <border diagonalUp="0" diagonalDown="0" outline="0">
        <left style="hair">
          <color auto="1"/>
        </left>
        <right style="hair">
          <color auto="1"/>
        </right>
        <top style="hair">
          <color auto="1"/>
        </top>
        <bottom/>
      </border>
    </dxf>
    <dxf>
      <numFmt numFmtId="178" formatCode="dd/mmm/yy"/>
      <fill>
        <patternFill patternType="solid">
          <fgColor indexed="64"/>
          <bgColor theme="0" tint="-0.14999847407452621"/>
        </patternFill>
      </fill>
      <border diagonalUp="0" diagonalDown="0">
        <left style="hair">
          <color auto="1"/>
        </left>
        <right style="hair">
          <color auto="1"/>
        </right>
        <top style="hair">
          <color auto="1"/>
        </top>
        <bottom/>
        <vertical/>
        <horizontal/>
      </border>
    </dxf>
    <dxf>
      <fill>
        <patternFill patternType="solid">
          <fgColor indexed="64"/>
          <bgColor theme="0" tint="-0.14999847407452621"/>
        </patternFill>
      </fill>
      <alignment horizontal="center" vertical="bottom" textRotation="0" wrapText="0" indent="0" justifyLastLine="0" shrinkToFit="0" readingOrder="0"/>
      <border diagonalUp="0" diagonalDown="0" outline="0">
        <left/>
        <right style="hair">
          <color auto="1"/>
        </right>
        <top style="hair">
          <color auto="1"/>
        </top>
        <bottom/>
      </border>
    </dxf>
    <dxf>
      <fill>
        <patternFill patternType="solid">
          <fgColor indexed="64"/>
          <bgColor theme="0" tint="-0.14999847407452621"/>
        </patternFill>
      </fill>
      <alignment horizontal="center" vertical="bottom" textRotation="0" wrapText="0" indent="0" justifyLastLine="0" shrinkToFit="0" readingOrder="0"/>
      <border diagonalUp="0" diagonalDown="0">
        <left/>
        <right style="hair">
          <color auto="1"/>
        </right>
        <top style="hair">
          <color auto="1"/>
        </top>
        <bottom/>
        <vertical/>
        <horizontal/>
      </border>
    </dxf>
    <dxf>
      <border>
        <top style="hair">
          <color auto="1"/>
        </top>
      </border>
    </dxf>
    <dxf>
      <border diagonalUp="0" diagonalDown="0">
        <left style="hair">
          <color auto="1"/>
        </left>
        <right style="hair">
          <color auto="1"/>
        </right>
        <top style="hair">
          <color auto="1"/>
        </top>
        <bottom style="hair">
          <color auto="1"/>
        </bottom>
      </border>
    </dxf>
    <dxf>
      <border>
        <bottom style="hair">
          <color auto="1"/>
        </bottom>
      </border>
    </dxf>
    <dxf>
      <font>
        <b/>
        <i val="0"/>
        <strike val="0"/>
        <condense val="0"/>
        <extend val="0"/>
        <outline val="0"/>
        <shadow val="0"/>
        <u val="none"/>
        <vertAlign val="baseline"/>
        <sz val="9"/>
        <color theme="0"/>
        <name val="Calibri"/>
        <scheme val="minor"/>
      </font>
      <fill>
        <patternFill patternType="solid">
          <fgColor indexed="64"/>
          <bgColor theme="9"/>
        </patternFill>
      </fill>
      <alignment horizontal="center" vertical="center" textRotation="0" wrapText="1" indent="0" justifyLastLine="0" shrinkToFit="0" readingOrder="0"/>
      <border diagonalUp="0" diagonalDown="0">
        <left style="hair">
          <color auto="1"/>
        </left>
        <right style="hair">
          <color auto="1"/>
        </right>
        <top/>
        <bottom/>
        <vertical style="hair">
          <color auto="1"/>
        </vertical>
        <horizontal style="hair">
          <color auto="1"/>
        </horizontal>
      </border>
    </dxf>
    <dxf>
      <font>
        <b val="0"/>
        <i val="0"/>
        <strike val="0"/>
        <condense val="0"/>
        <extend val="0"/>
        <outline val="0"/>
        <shadow val="0"/>
        <u val="none"/>
        <vertAlign val="baseline"/>
        <sz val="11"/>
        <color theme="1"/>
        <name val="Calibri"/>
        <scheme val="minor"/>
      </font>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indexed="64"/>
        </left>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numFmt numFmtId="166" formatCode="0.0"/>
      <fill>
        <patternFill patternType="none">
          <fgColor indexed="64"/>
          <bgColor auto="1"/>
        </patternFill>
      </fill>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numFmt numFmtId="166" formatCode="0.0"/>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numFmt numFmtId="166" formatCode="0.0"/>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numFmt numFmtId="2" formatCode="0.00"/>
      <fill>
        <patternFill patternType="none">
          <fgColor indexed="64"/>
          <bgColor auto="1"/>
        </patternFill>
      </fill>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numFmt numFmtId="173" formatCode="h:mm;@"/>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numFmt numFmtId="173" formatCode="h:mm;@"/>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numFmt numFmtId="166" formatCode="0.0"/>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theme="1"/>
        <name val="Calibri"/>
        <scheme val="minor"/>
      </font>
      <numFmt numFmtId="166" formatCode="0.0"/>
      <fill>
        <patternFill patternType="none">
          <fgColor indexed="64"/>
          <bgColor auto="1"/>
        </patternFill>
      </fill>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numFmt numFmtId="176" formatCode="hh:mm"/>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numFmt numFmtId="166" formatCode="0.0"/>
      <fill>
        <patternFill patternType="none">
          <fgColor indexed="64"/>
          <bgColor auto="1"/>
        </patternFill>
      </fill>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numFmt numFmtId="176" formatCode="hh:mm"/>
      <fill>
        <patternFill patternType="none">
          <fgColor indexed="64"/>
          <bgColor auto="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theme="1"/>
        <name val="Calibri"/>
        <scheme val="minor"/>
      </font>
      <numFmt numFmtId="176" formatCode="hh:mm"/>
      <fill>
        <patternFill patternType="none">
          <fgColor indexed="64"/>
          <bgColor auto="1"/>
        </patternFill>
      </fill>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border diagonalUp="0" diagonalDown="0" outline="0">
        <left style="hair">
          <color auto="1"/>
        </left>
        <right style="hair">
          <color indexed="64"/>
        </right>
        <top style="hair">
          <color indexed="64"/>
        </top>
        <bottom style="hair">
          <color indexed="64"/>
        </bottom>
      </border>
    </dxf>
    <dxf>
      <font>
        <b val="0"/>
        <i val="0"/>
        <strike val="0"/>
        <condense val="0"/>
        <extend val="0"/>
        <outline val="0"/>
        <shadow val="0"/>
        <u val="none"/>
        <vertAlign val="baseline"/>
        <sz val="11"/>
        <color theme="1"/>
        <name val="Calibri"/>
        <scheme val="minor"/>
      </font>
      <numFmt numFmtId="177" formatCode="mmm/yy"/>
      <fill>
        <patternFill patternType="none">
          <fgColor indexed="64"/>
          <bgColor auto="1"/>
        </patternFill>
      </fill>
      <alignment horizontal="center" vertical="bottom"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1"/>
        <color theme="1"/>
        <name val="Calibri"/>
        <scheme val="minor"/>
      </font>
      <fill>
        <patternFill patternType="solid">
          <fgColor indexed="64"/>
          <bgColor theme="0" tint="-0.14999847407452621"/>
        </patternFill>
      </fill>
      <alignment horizontal="center" vertical="bottom" textRotation="0" wrapText="0" indent="0" justifyLastLine="0" shrinkToFit="0" readingOrder="0"/>
      <border diagonalUp="0" diagonalDown="0" outline="0">
        <left style="hair">
          <color indexed="64"/>
        </left>
        <right style="hair">
          <color auto="1"/>
        </right>
        <top style="hair">
          <color indexed="64"/>
        </top>
        <bottom style="hair">
          <color indexed="64"/>
        </bottom>
      </border>
    </dxf>
    <dxf>
      <font>
        <b val="0"/>
        <i val="0"/>
        <strike val="0"/>
        <condense val="0"/>
        <extend val="0"/>
        <outline val="0"/>
        <shadow val="0"/>
        <u val="none"/>
        <vertAlign val="baseline"/>
        <sz val="11"/>
        <color theme="1"/>
        <name val="Calibri"/>
        <scheme val="minor"/>
      </font>
      <fill>
        <patternFill patternType="solid">
          <fgColor indexed="64"/>
          <bgColor theme="0" tint="-0.14999847407452621"/>
        </patternFill>
      </fill>
      <alignment horizontal="center"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alignment horizontal="center" vertical="bottom" textRotation="0" wrapText="0" indent="0" justifyLastLine="0" shrinkToFit="0" readingOrder="0"/>
      <border diagonalUp="0" diagonalDown="0" outline="0">
        <left style="hair">
          <color auto="1"/>
        </left>
        <right style="hair">
          <color indexed="64"/>
        </right>
        <top style="hair">
          <color indexed="64"/>
        </top>
        <bottom style="hair">
          <color indexed="64"/>
        </bottom>
      </border>
    </dxf>
    <dxf>
      <font>
        <b val="0"/>
        <i val="0"/>
        <strike val="0"/>
        <condense val="0"/>
        <extend val="0"/>
        <outline val="0"/>
        <shadow val="0"/>
        <u val="none"/>
        <vertAlign val="baseline"/>
        <sz val="11"/>
        <color theme="1"/>
        <name val="Calibri"/>
        <scheme val="minor"/>
      </font>
      <numFmt numFmtId="178" formatCode="dd/mmm/yy"/>
      <fill>
        <patternFill patternType="none">
          <fgColor indexed="64"/>
          <bgColor auto="1"/>
        </patternFill>
      </fill>
      <alignment horizontal="center" vertical="bottom"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1"/>
        <color theme="1"/>
        <name val="Calibri"/>
        <scheme val="minor"/>
      </font>
      <numFmt numFmtId="178" formatCode="dd/mmm/yy"/>
      <fill>
        <patternFill patternType="solid">
          <fgColor indexed="64"/>
          <bgColor theme="0" tint="-0.14999847407452621"/>
        </patternFill>
      </fill>
      <border diagonalUp="0" diagonalDown="0" outline="0">
        <left style="hair">
          <color indexed="64"/>
        </left>
        <right style="hair">
          <color auto="1"/>
        </right>
        <top style="hair">
          <color indexed="64"/>
        </top>
        <bottom style="hair">
          <color indexed="64"/>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left/>
        <right style="hair">
          <color indexed="64"/>
        </right>
        <top style="hair">
          <color indexed="64"/>
        </top>
        <bottom style="hair">
          <color indexed="64"/>
        </bottom>
        <vertical style="hair">
          <color indexed="64"/>
        </vertical>
        <horizontal style="hair">
          <color indexed="64"/>
        </horizontal>
      </border>
    </dxf>
    <dxf>
      <border>
        <top style="hair">
          <color indexed="64"/>
        </top>
      </border>
    </dxf>
    <dxf>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dxf>
    <dxf>
      <border>
        <bottom style="hair">
          <color indexed="64"/>
        </bottom>
      </border>
    </dxf>
    <dxf>
      <font>
        <b/>
        <i val="0"/>
        <strike val="0"/>
        <condense val="0"/>
        <extend val="0"/>
        <outline val="0"/>
        <shadow val="0"/>
        <u val="none"/>
        <vertAlign val="baseline"/>
        <sz val="9"/>
        <color theme="0"/>
        <name val="Calibri"/>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left style="hair">
          <color indexed="64"/>
        </left>
        <right style="hair">
          <color indexed="64"/>
        </right>
        <top/>
        <bottom/>
        <vertical style="hair">
          <color indexed="64"/>
        </vertical>
        <horizontal style="hair">
          <color indexed="64"/>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charset val="134"/>
        <scheme val="minor"/>
      </font>
      <numFmt numFmtId="14" formatCode="0.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6"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2" formatCode="0.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numFmt numFmtId="14" formatCode="0.00%"/>
      <fill>
        <patternFill patternType="none">
          <fgColor indexed="64"/>
          <bgColor auto="1"/>
        </patternFill>
      </fill>
      <alignment horizontal="center" vertical="center" textRotation="0" wrapText="0" indent="0" justifyLastLine="0" shrinkToFit="0" readingOrder="0"/>
    </dxf>
    <dxf>
      <numFmt numFmtId="14" formatCode="0.00%"/>
      <fill>
        <patternFill patternType="none">
          <fgColor indexed="64"/>
          <bgColor auto="1"/>
        </patternFill>
      </fill>
      <alignment horizontal="center" vertical="center" textRotation="0" wrapText="0" indent="0" justifyLastLine="0" shrinkToFit="0" readingOrder="0"/>
    </dxf>
    <dxf>
      <numFmt numFmtId="14" formatCode="0.00%"/>
      <fill>
        <patternFill patternType="none">
          <fgColor indexed="64"/>
          <bgColor auto="1"/>
        </patternFill>
      </fill>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 formatCode="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66"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77"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charset val="134"/>
        <scheme val="minor"/>
      </font>
      <numFmt numFmtId="177"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charset val="134"/>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1"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charset val="134"/>
        <scheme val="minor"/>
      </font>
      <numFmt numFmtId="1"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dotted">
          <color auto="1"/>
        </left>
        <right/>
        <top style="dotted">
          <color auto="1"/>
        </top>
        <bottom/>
      </border>
      <protection locked="0" hidden="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protection locked="0" hidden="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protection locked="0" hidden="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numFmt numFmtId="14" formatCode="0.00%"/>
      <fill>
        <patternFill patternType="none">
          <fgColor indexed="64"/>
          <bgColor indexed="65"/>
        </patternFill>
      </fill>
      <alignment horizontal="center" vertical="center" textRotation="0" wrapText="0" indent="0" justifyLastLine="0" shrinkToFit="0" readingOrder="0"/>
    </dxf>
    <dxf>
      <numFmt numFmtId="14" formatCode="0.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70" formatCode="0.0%"/>
      <fill>
        <patternFill patternType="none">
          <fgColor indexed="64"/>
          <bgColor indexed="65"/>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70" formatCode="0.0%"/>
      <fill>
        <patternFill patternType="none">
          <fgColor indexed="64"/>
          <bgColor indexed="65"/>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none"/>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4" formatCode="0.00%"/>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none"/>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style="dotted">
          <color auto="1"/>
        </top>
        <bottom/>
      </border>
    </dxf>
    <dxf>
      <font>
        <b/>
        <i val="0"/>
        <strike val="0"/>
        <condense val="0"/>
        <extend val="0"/>
        <outline val="0"/>
        <shadow val="0"/>
        <u val="none"/>
        <vertAlign val="baseline"/>
        <sz val="11"/>
        <color theme="0"/>
        <name val="Calibri"/>
        <family val="2"/>
        <scheme val="minor"/>
      </font>
      <numFmt numFmtId="14" formatCode="0.00%"/>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family val="2"/>
        <charset val="134"/>
        <scheme val="minor"/>
      </font>
      <numFmt numFmtId="166"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6"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6"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6"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166"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6"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6"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1"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family val="2"/>
        <charset val="134"/>
        <scheme val="minor"/>
      </font>
      <numFmt numFmtId="166" formatCode="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charset val="134"/>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9"/>
        <color theme="0"/>
        <name val="Calibri"/>
        <family val="2"/>
        <scheme val="minor"/>
      </font>
      <numFmt numFmtId="0" formatCode="General"/>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top style="dotted">
          <color auto="1"/>
        </top>
        <bottom/>
      </border>
      <protection locked="1" hidden="0"/>
    </dxf>
    <dxf>
      <font>
        <b/>
        <i val="0"/>
        <strike val="0"/>
        <condense val="0"/>
        <extend val="0"/>
        <outline val="0"/>
        <shadow val="0"/>
        <u val="none"/>
        <vertAlign val="baseline"/>
        <sz val="9"/>
        <color theme="0"/>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9"/>
        <color theme="0"/>
        <name val="Calibri"/>
        <family val="2"/>
        <scheme val="minor"/>
      </font>
      <numFmt numFmtId="177" formatCode="mmm/yy"/>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family val="2"/>
        <scheme val="minor"/>
      </font>
      <numFmt numFmtId="177" formatCode="mmm/yy"/>
      <fill>
        <patternFill patternType="none">
          <fgColor indexed="64"/>
          <bgColor indexed="65"/>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family val="2"/>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family val="2"/>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family val="2"/>
        <scheme val="minor"/>
      </font>
      <numFmt numFmtId="165" formatCode="[$-409]d/mmm/yy;@"/>
      <fill>
        <patternFill patternType="solid">
          <fgColor indexed="64"/>
          <bgColor theme="9"/>
        </patternFill>
      </fill>
      <alignment horizontal="center" vertical="bottom" textRotation="0" wrapText="0" indent="0" justifyLastLine="0" shrinkToFit="0" readingOrder="0"/>
      <border diagonalUp="0" diagonalDown="0" outline="0">
        <left/>
        <right style="dotted">
          <color auto="1"/>
        </right>
        <top style="dotted">
          <color auto="1"/>
        </top>
        <bottom/>
      </border>
      <protection locked="1" hidden="0"/>
    </dxf>
    <dxf>
      <font>
        <b/>
        <i val="0"/>
        <strike val="0"/>
        <condense val="0"/>
        <extend val="0"/>
        <outline val="0"/>
        <shadow val="0"/>
        <u val="none"/>
        <vertAlign val="baseline"/>
        <sz val="9"/>
        <color theme="0"/>
        <name val="Calibri"/>
        <family val="2"/>
        <scheme val="minor"/>
      </font>
      <numFmt numFmtId="178" formatCode="dd/mmm/yy"/>
      <fill>
        <patternFill patternType="none">
          <fgColor indexed="64"/>
          <bgColor indexed="65"/>
        </patternFill>
      </fill>
      <alignment horizontal="center" vertical="center" textRotation="0" wrapText="0" indent="0" justifyLastLine="0" shrinkToFit="0" readingOrder="0"/>
      <border diagonalUp="0" diagonalDown="0" outline="0">
        <left/>
        <right style="dotted">
          <color auto="1"/>
        </right>
        <top style="dotted">
          <color auto="1"/>
        </top>
        <bottom/>
      </border>
    </dxf>
    <dxf>
      <border outline="0">
        <top style="dotted">
          <color auto="1"/>
        </top>
      </border>
    </dxf>
    <dxf>
      <alignment horizontal="center" vertical="center" textRotation="0" wrapText="0" indent="0" justifyLastLine="0" shrinkToFit="0" readingOrder="0"/>
    </dxf>
    <dxf>
      <border outline="0">
        <left style="dotted">
          <color auto="1"/>
        </left>
        <right style="dotted">
          <color auto="1"/>
        </right>
        <top style="dotted">
          <color auto="1"/>
        </top>
        <bottom style="dotted">
          <color auto="1"/>
        </bottom>
      </border>
    </dxf>
    <dxf>
      <border outline="0">
        <bottom style="dotted">
          <color auto="1"/>
        </bottom>
      </border>
    </dxf>
    <dxf>
      <font>
        <b/>
        <i val="0"/>
        <strike val="0"/>
        <condense val="0"/>
        <extend val="0"/>
        <outline val="0"/>
        <shadow val="0"/>
        <u val="none"/>
        <vertAlign val="baseline"/>
        <sz val="11"/>
        <color theme="0"/>
        <name val="Calibri"/>
        <family val="2"/>
        <scheme val="minor"/>
      </font>
      <fill>
        <patternFill patternType="none">
          <fgColor theme="9"/>
          <bgColor auto="1"/>
        </patternFill>
      </fill>
      <alignment horizontal="center" vertical="center" textRotation="0" wrapText="1" indent="0" justifyLastLine="0" shrinkToFit="0" readingOrder="0"/>
      <border diagonalUp="0" diagonalDown="0" outline="0">
        <left style="dotted">
          <color auto="1"/>
        </left>
        <right style="dotted">
          <color auto="1"/>
        </right>
        <top/>
        <bottom/>
      </border>
    </dxf>
    <dxf>
      <numFmt numFmtId="170"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6" formatCode="0.0"/>
      <fill>
        <patternFill patternType="solid">
          <fgColor indexed="64"/>
          <bgColor theme="2" tint="-9.9978637043366805E-2"/>
        </patternFill>
      </fill>
      <alignment horizontal="center" vertical="bottom" textRotation="0" wrapText="0" indent="0" justifyLastLine="0" shrinkToFit="0" readingOrder="0"/>
      <border diagonalUp="0" diagonalDown="0" outline="0">
        <left style="hair">
          <color auto="1"/>
        </left>
        <right style="hair">
          <color auto="1"/>
        </right>
        <top style="hair">
          <color auto="1"/>
        </top>
        <bottom style="hair">
          <color auto="1"/>
        </bottom>
      </border>
    </dxf>
    <dxf>
      <numFmt numFmtId="2" formatCode="0.00"/>
      <fill>
        <patternFill patternType="solid">
          <fgColor indexed="64"/>
          <bgColor theme="2" tint="-9.9978637043366805E-2"/>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6"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6"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6"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6"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6"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6" formatCode="0.0"/>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8" formatCode="_ * #,##0.0_ ;_ * \-#,##0.0_ ;_ * &quot;-&quot;??_ ;_ @_ "/>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9" formatCode="_ * #,##0_ ;_ * \-#,##0_ ;_ * &quot;-&quot;??_ ;_ @_ "/>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9" formatCode="_ * #,##0_ ;_ * \-#,##0_ ;_ * &quot;-&quot;??_ ;_ @_ "/>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9" formatCode="_ * #,##0_ ;_ * \-#,##0_ ;_ * &quot;-&quot;??_ ;_ @_ "/>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9" formatCode="_ * #,##0_ ;_ * \-#,##0_ ;_ * &quot;-&quot;??_ ;_ @_ "/>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1"/>
        <color theme="1"/>
        <name val="Calibri"/>
        <scheme val="minor"/>
      </font>
      <numFmt numFmtId="169" formatCode="_ * #,##0_ ;_ * \-#,##0_ ;_ * &quot;-&quot;??_ ;_ @_ "/>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theme="1"/>
        <name val="Calibri"/>
        <scheme val="minor"/>
      </font>
      <numFmt numFmtId="169" formatCode="_ * #,##0_ ;_ * \-#,##0_ ;_ * &quot;-&quot;??_ ;_ @_ "/>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theme="1"/>
        <name val="Calibri"/>
        <scheme val="minor"/>
      </font>
      <numFmt numFmtId="169" formatCode="_ * #,##0_ ;_ * \-#,##0_ ;_ * &quot;-&quot;??_ ;_ @_ "/>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theme="1"/>
        <name val="Calibri"/>
        <scheme val="minor"/>
      </font>
      <numFmt numFmtId="169" formatCode="_ * #,##0_ ;_ * \-#,##0_ ;_ * &quot;-&quot;??_ ;_ @_ "/>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69" formatCode="_ * #,##0_ ;_ * \-#,##0_ ;_ * &quot;-&quot;??_ ;_ @_ "/>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9" formatCode="_ * #,##0_ ;_ * \-#,##0_ ;_ * &quot;-&quot;??_ ;_ @_ "/>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9" formatCode="_ * #,##0_ ;_ * \-#,##0_ ;_ * &quot;-&quot;??_ ;_ @_ "/>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9" formatCode="_ * #,##0_ ;_ * \-#,##0_ ;_ * &quot;-&quot;??_ ;_ @_ "/>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6" formatCode="0.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6" formatCode="0.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fgColor indexed="64"/>
          <bgColor theme="6" tint="0.59999389629810485"/>
        </patternFill>
      </fill>
      <alignment horizontal="general" textRotation="0" indent="0" justifyLastLine="0" shrinkToFit="0" readingOrder="0"/>
      <border diagonalUp="0" diagonalDown="0" outline="0">
        <left style="hair">
          <color auto="1"/>
        </left>
        <right style="hair">
          <color auto="1"/>
        </right>
        <top style="hair">
          <color auto="1"/>
        </top>
        <bottom style="hair">
          <color auto="1"/>
        </bottom>
      </border>
    </dxf>
    <dxf>
      <fill>
        <patternFill>
          <fgColor indexed="64"/>
          <bgColor theme="6" tint="0.59999389629810485"/>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fill>
        <patternFill patternType="solid">
          <fgColor indexed="64"/>
          <bgColor theme="6" tint="0.59999389629810485"/>
        </patternFill>
      </fill>
      <alignment horizontal="center" vertical="center" textRotation="0" wrapText="0" indent="0" justifyLastLine="0" shrinkToFit="0" readingOrder="0"/>
      <border diagonalUp="0" diagonalDown="0" outline="0">
        <left style="hair">
          <color auto="1"/>
        </left>
        <right style="hair">
          <color auto="1"/>
        </right>
        <top style="hair">
          <color auto="1"/>
        </top>
        <bottom style="hair">
          <color auto="1"/>
        </bottom>
      </border>
    </dxf>
    <dxf>
      <numFmt numFmtId="166" formatCode="0.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6" formatCode="0.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66" formatCode="0.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6" formatCode="0.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6" formatCode="0.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6" formatCode="0.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7" formatCode="[$-14009]hh:mm;@"/>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7" formatCode="[$-14009]hh:mm;@"/>
      <fill>
        <patternFill>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77" formatCode="mmm/yy"/>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solid">
          <fgColor indexed="64"/>
          <bgColor theme="6" tint="0.59999389629810485"/>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bottom" textRotation="0" wrapText="0" indent="0" justifyLastLine="0" shrinkToFit="0" readingOrder="0"/>
      <border diagonalUp="0" diagonalDown="0" outline="0">
        <left style="hair">
          <color auto="1"/>
        </left>
        <right style="hair">
          <color auto="1"/>
        </right>
        <top style="hair">
          <color auto="1"/>
        </top>
        <bottom style="hair">
          <color auto="1"/>
        </bottom>
      </border>
    </dxf>
    <dxf>
      <numFmt numFmtId="1" formatCode="0"/>
      <fill>
        <patternFill patternType="solid">
          <fgColor indexed="64"/>
          <bgColor theme="6" tint="0.59999389629810485"/>
        </patternFill>
      </fill>
      <alignment horizontal="center" vertical="bottom" textRotation="0" wrapText="0" indent="0" justifyLastLine="0" shrinkToFit="0" readingOrder="0"/>
      <border diagonalUp="0" diagonalDown="0" outline="0">
        <left style="hair">
          <color auto="1"/>
        </left>
        <right style="hair">
          <color auto="1"/>
        </right>
        <top style="hair">
          <color auto="1"/>
        </top>
        <bottom style="hair">
          <color auto="1"/>
        </bottom>
      </border>
    </dxf>
    <dxf>
      <numFmt numFmtId="178" formatCode="dd/mmm/yy"/>
      <fill>
        <patternFill patternType="solid">
          <fgColor indexed="64"/>
          <bgColor theme="6" tint="0.59999389629810485"/>
        </patternFill>
      </fill>
      <alignment horizontal="center" vertical="bottom" textRotation="0" wrapText="0" indent="0" justifyLastLine="0" shrinkToFit="0" readingOrder="0"/>
      <border diagonalUp="0" diagonalDown="0" outline="0">
        <left/>
        <right style="hair">
          <color auto="1"/>
        </right>
        <top style="hair">
          <color auto="1"/>
        </top>
        <bottom style="hair">
          <color auto="1"/>
        </bottom>
      </border>
    </dxf>
    <dxf>
      <border>
        <top style="hair">
          <color auto="1"/>
        </top>
      </border>
    </dxf>
    <dxf>
      <border diagonalUp="0" diagonalDown="0">
        <left style="hair">
          <color auto="1"/>
        </left>
        <right style="hair">
          <color auto="1"/>
        </right>
        <top style="hair">
          <color auto="1"/>
        </top>
        <bottom style="hair">
          <color auto="1"/>
        </bottom>
      </border>
    </dxf>
    <dxf>
      <alignment horizontal="center" vertical="bottom" textRotation="0" wrapText="0" indent="0" justifyLastLine="0" shrinkToFit="0" readingOrder="0"/>
    </dxf>
    <dxf>
      <border>
        <bottom style="hair">
          <color auto="1"/>
        </bottom>
      </border>
    </dxf>
    <dxf>
      <font>
        <b/>
        <i val="0"/>
        <strike val="0"/>
        <condense val="0"/>
        <extend val="0"/>
        <outline val="0"/>
        <shadow val="0"/>
        <u val="none"/>
        <vertAlign val="baseline"/>
        <sz val="9"/>
        <color theme="0"/>
        <name val="Calibri"/>
        <scheme val="minor"/>
      </font>
      <fill>
        <patternFill patternType="solid">
          <fgColor indexed="64"/>
          <bgColor theme="9"/>
        </patternFill>
      </fill>
      <alignment horizontal="center" vertical="center" textRotation="0" wrapText="1" indent="0" justifyLastLine="0" shrinkToFit="0" readingOrder="0"/>
      <border diagonalUp="0" diagonalDown="0">
        <left style="hair">
          <color auto="1"/>
        </left>
        <right style="hair">
          <color auto="1"/>
        </right>
        <top/>
        <bottom/>
        <vertical style="hair">
          <color auto="1"/>
        </vertical>
        <horizontal style="hair">
          <color auto="1"/>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numFmt numFmtId="0" formatCode="General"/>
      <alignment horizontal="center" textRotation="0" wrapText="0" indent="0" justifyLastLine="0" shrinkToFit="0" readingOrder="0"/>
    </dxf>
    <dxf>
      <numFmt numFmtId="0" formatCode="General"/>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outline="0">
        <left style="dotted">
          <color theme="5" tint="0.59996337778862885"/>
        </left>
        <right style="dotted">
          <color theme="5" tint="0.59996337778862885"/>
        </right>
        <top style="hair">
          <color auto="1"/>
        </top>
        <bottom style="hair">
          <color auto="1"/>
        </bottom>
      </border>
    </dxf>
    <dxf>
      <fill>
        <patternFill patternType="none">
          <fgColor indexed="64"/>
          <bgColor auto="1"/>
        </patternFill>
      </fill>
      <alignment horizontal="center" vertical="bottom" textRotation="0" wrapText="0" indent="0" justifyLastLine="0" shrinkToFit="0" readingOrder="0"/>
      <border diagonalUp="0" diagonalDown="0" outline="0">
        <left style="dotted">
          <color theme="5" tint="0.59996337778862885"/>
        </left>
        <right style="dotted">
          <color theme="5" tint="0.59996337778862885"/>
        </right>
        <top style="hair">
          <color auto="1"/>
        </top>
        <bottom style="hair">
          <color auto="1"/>
        </bottom>
      </border>
    </dxf>
    <dxf>
      <numFmt numFmtId="1" formatCode="0"/>
      <fill>
        <patternFill patternType="none">
          <fgColor indexed="64"/>
          <bgColor auto="1"/>
        </patternFill>
      </fill>
      <alignment horizontal="center" vertical="bottom" textRotation="0" wrapText="0" indent="0" justifyLastLine="0" shrinkToFit="0" readingOrder="0"/>
      <border diagonalUp="0" diagonalDown="0" outline="0">
        <left/>
        <right/>
        <top style="hair">
          <color auto="1"/>
        </top>
        <bottom style="hair">
          <color auto="1"/>
        </bottom>
      </border>
    </dxf>
    <dxf>
      <font>
        <sz val="10"/>
      </font>
      <numFmt numFmtId="165" formatCode="[$-409]d/mmm/yy;@"/>
      <fill>
        <patternFill patternType="solid">
          <fgColor indexed="64"/>
          <bgColor theme="7" tint="0.79998168889431442"/>
        </patternFill>
      </fill>
      <alignment horizontal="center" vertical="bottom" textRotation="0" wrapText="0" indent="0" justifyLastLine="0" shrinkToFit="0" readingOrder="0"/>
      <border diagonalUp="0" diagonalDown="0" outline="0">
        <left style="dotted">
          <color theme="5" tint="0.59996337778862885"/>
        </left>
        <right/>
        <top/>
        <bottom style="hair">
          <color auto="1"/>
        </bottom>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border outline="0">
        <bottom style="hair">
          <color auto="1"/>
        </bottom>
      </border>
    </dxf>
    <dxf>
      <font>
        <b/>
        <i val="0"/>
        <strike val="0"/>
        <condense val="0"/>
        <extend val="0"/>
        <outline val="0"/>
        <shadow val="0"/>
        <u val="none"/>
        <vertAlign val="baseline"/>
        <sz val="10"/>
        <color theme="0"/>
        <name val="Calibri"/>
        <scheme val="minor"/>
      </font>
      <fill>
        <patternFill patternType="solid">
          <fgColor indexed="64"/>
          <bgColor theme="9"/>
        </patternFill>
      </fill>
      <alignment horizontal="center" vertical="center" textRotation="0" wrapText="1" indent="0" justifyLastLine="0" shrinkToFit="0" readingOrder="0"/>
      <border diagonalUp="0" diagonalDown="0" outline="0">
        <left style="hair">
          <color auto="1"/>
        </left>
        <right style="hair">
          <color auto="1"/>
        </right>
        <top/>
        <bottom/>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numFmt numFmtId="0" formatCode="General"/>
      <alignment horizontal="center" textRotation="0" wrapText="0" indent="0" justifyLastLine="0" shrinkToFit="0" readingOrder="0"/>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outline="0">
        <left style="dotted">
          <color theme="5" tint="0.59996337778862885"/>
        </left>
        <right style="dotted">
          <color theme="5" tint="0.59996337778862885"/>
        </right>
        <top style="hair">
          <color auto="1"/>
        </top>
        <bottom style="hair">
          <color auto="1"/>
        </bottom>
      </border>
    </dxf>
    <dxf>
      <fill>
        <patternFill patternType="none">
          <fgColor indexed="64"/>
          <bgColor auto="1"/>
        </patternFill>
      </fill>
      <alignment horizontal="center" vertical="bottom" textRotation="0" wrapText="0" indent="0" justifyLastLine="0" shrinkToFit="0" readingOrder="0"/>
      <border diagonalUp="0" diagonalDown="0" outline="0">
        <left style="dotted">
          <color theme="5" tint="0.59996337778862885"/>
        </left>
        <right style="dotted">
          <color theme="5" tint="0.59996337778862885"/>
        </right>
        <top style="hair">
          <color auto="1"/>
        </top>
        <bottom style="hair">
          <color auto="1"/>
        </bottom>
      </border>
    </dxf>
    <dxf>
      <numFmt numFmtId="1" formatCode="0"/>
      <fill>
        <patternFill patternType="none">
          <fgColor indexed="64"/>
          <bgColor auto="1"/>
        </patternFill>
      </fill>
      <alignment horizontal="center" vertical="bottom" textRotation="0" wrapText="0" indent="0" justifyLastLine="0" shrinkToFit="0" readingOrder="0"/>
      <border diagonalUp="0" diagonalDown="0" outline="0">
        <left/>
        <right/>
        <top style="hair">
          <color auto="1"/>
        </top>
        <bottom style="hair">
          <color auto="1"/>
        </bottom>
      </border>
    </dxf>
    <dxf>
      <font>
        <sz val="10"/>
      </font>
      <numFmt numFmtId="165" formatCode="[$-409]d/mmm/yy;@"/>
      <fill>
        <patternFill patternType="solid">
          <fgColor indexed="64"/>
          <bgColor theme="7" tint="0.79998168889431442"/>
        </patternFill>
      </fill>
      <alignment horizontal="center" vertical="bottom" textRotation="0" wrapText="0" indent="0" justifyLastLine="0" shrinkToFit="0" readingOrder="0"/>
      <border diagonalUp="0" diagonalDown="0" outline="0">
        <left style="dotted">
          <color theme="5" tint="0.59996337778862885"/>
        </left>
        <right/>
        <top/>
        <bottom style="hair">
          <color auto="1"/>
        </bottom>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dotted">
          <color theme="5" tint="0.59996337778862885"/>
        </right>
        <top style="hair">
          <color auto="1"/>
        </top>
        <bottom style="hair">
          <color auto="1"/>
        </bottom>
        <vertical/>
        <horizontal/>
      </border>
    </dxf>
    <dxf>
      <border outline="0">
        <bottom style="hair">
          <color auto="1"/>
        </bottom>
      </border>
    </dxf>
    <dxf>
      <font>
        <b/>
        <i val="0"/>
        <strike val="0"/>
        <condense val="0"/>
        <extend val="0"/>
        <outline val="0"/>
        <shadow val="0"/>
        <u val="none"/>
        <vertAlign val="baseline"/>
        <sz val="10"/>
        <color theme="0"/>
        <name val="Calibri"/>
        <scheme val="minor"/>
      </font>
      <fill>
        <patternFill patternType="solid">
          <fgColor indexed="64"/>
          <bgColor theme="9"/>
        </patternFill>
      </fill>
      <alignment horizontal="center" vertical="center" textRotation="0" wrapText="1" indent="0" justifyLastLine="0" shrinkToFit="0" readingOrder="0"/>
      <border diagonalUp="0" diagonalDown="0" outline="0">
        <left style="hair">
          <color auto="1"/>
        </left>
        <right style="hair">
          <color auto="1"/>
        </right>
        <top/>
        <bottom/>
      </border>
    </dxf>
  </dxfs>
  <tableStyles count="0" defaultTableStyle="TableStyleMedium2" defaultPivotStyle="PivotStyleLight16"/>
  <colors>
    <mruColors>
      <color rgb="FFDE78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GC" displayName="GC" ref="A2:U643" totalsRowShown="0" headerRowDxfId="1109" headerRowBorderDxfId="1108" headerRowCellStyle="Normal 26">
  <tableColumns count="21">
    <tableColumn id="1" xr3:uid="{00000000-0010-0000-0200-000001000000}" name="Sr. No." dataDxfId="1107"/>
    <tableColumn id="8" xr3:uid="{00000000-0010-0000-0200-000008000000}" name="Date" dataDxfId="1106"/>
    <tableColumn id="2" xr3:uid="{00000000-0010-0000-0200-000002000000}" name="Finacial Year" dataDxfId="1105">
      <calculatedColumnFormula>YEAR(GC[[#This Row],[Date]])+IF(MONTH(GC[[#This Row],[Date]])&gt;=4,1,0)</calculatedColumnFormula>
    </tableColumn>
    <tableColumn id="3" xr3:uid="{00000000-0010-0000-0200-000003000000}" name="Calendor Year" dataDxfId="1104">
      <calculatedColumnFormula>YEAR(GC[[#This Row],[Date]])</calculatedColumnFormula>
    </tableColumn>
    <tableColumn id="4" xr3:uid="{00000000-0010-0000-0200-000004000000}" name="Contrcatual Year" dataDxfId="1103"/>
    <tableColumn id="5" xr3:uid="{00000000-0010-0000-0200-000005000000}" name="Operating Year" dataDxfId="1102"/>
    <tableColumn id="6" xr3:uid="{00000000-0010-0000-0200-000006000000}" name="Month Year" dataDxfId="1101">
      <calculatedColumnFormula>TEXT(GC[[#This Row],[Date]],"mmm-yy")</calculatedColumnFormula>
    </tableColumn>
    <tableColumn id="7" xr3:uid="{00000000-0010-0000-0200-000007000000}" name="Days" dataDxfId="1100">
      <calculatedColumnFormula>DAY(EOMONTH(GC[[#This Row],[Month Year]],0))</calculatedColumnFormula>
    </tableColumn>
    <tableColumn id="9" xr3:uid="{00000000-0010-0000-0200-000009000000}" name="Cycle Number" dataDxfId="1099"/>
    <tableColumn id="10" xr3:uid="{00000000-0010-0000-0200-00000A000000}" name="Resources" dataDxfId="1098"/>
    <tableColumn id="11" xr3:uid="{00000000-0010-0000-0200-00000B000000}" name="Blk1" dataDxfId="1097"/>
    <tableColumn id="12" xr3:uid="{00000000-0010-0000-0200-00000C000000}" name="Blk2" dataDxfId="1096"/>
    <tableColumn id="13" xr3:uid="{00000000-0010-0000-0200-00000D000000}" name="Blk3" dataDxfId="1095"/>
    <tableColumn id="14" xr3:uid="{00000000-0010-0000-0200-00000E000000}" name="Blk4" dataDxfId="1094"/>
    <tableColumn id="15" xr3:uid="{00000000-0010-0000-0200-00000F000000}" name="Blk5" dataDxfId="1093"/>
    <tableColumn id="16" xr3:uid="{00000000-0010-0000-0200-000010000000}" name="Blk6" dataDxfId="1092"/>
    <tableColumn id="25" xr3:uid="{00000000-0010-0000-0200-000019000000}" name="Blk7" dataDxfId="1091"/>
    <tableColumn id="26" xr3:uid="{00000000-0010-0000-0200-00001A000000}" name="Blk8" dataDxfId="1090"/>
    <tableColumn id="17" xr3:uid="{00000000-0010-0000-0200-000011000000}" name="Total No.Table GC done" dataDxfId="1089">
      <calculatedColumnFormula>SUM(GC[[#This Row],[Blk1]:[Blk8]])</calculatedColumnFormula>
    </tableColumn>
    <tableColumn id="24" xr3:uid="{00000000-0010-0000-0200-000018000000}" name="Mrthod of Cutting" dataDxfId="1088">
      <calculatedColumnFormula>PROPER(GC[[#This Row],[Resources]])</calculatedColumnFormula>
    </tableColumn>
    <tableColumn id="23" xr3:uid="{00000000-0010-0000-0200-000017000000}" name="Remarks for the day" dataDxfId="108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MC" displayName="MC" ref="A2:Z630" totalsRowShown="0" headerRowDxfId="1086" headerRowBorderDxfId="1085" headerRowCellStyle="Normal 26">
  <tableColumns count="26">
    <tableColumn id="1" xr3:uid="{00000000-0010-0000-0300-000001000000}" name="Sr. No." dataDxfId="1084"/>
    <tableColumn id="8" xr3:uid="{00000000-0010-0000-0300-000008000000}" name="Date" dataDxfId="1083"/>
    <tableColumn id="2" xr3:uid="{00000000-0010-0000-0300-000002000000}" name="Finacial Year" dataDxfId="1082">
      <calculatedColumnFormula>YEAR(MC[[#This Row],[Date]])+IF(MONTH(MC[[#This Row],[Date]])&gt;=4,1,0)</calculatedColumnFormula>
    </tableColumn>
    <tableColumn id="3" xr3:uid="{00000000-0010-0000-0300-000003000000}" name="Calendor Year" dataDxfId="1081">
      <calculatedColumnFormula>YEAR(MC[[#This Row],[Date]])</calculatedColumnFormula>
    </tableColumn>
    <tableColumn id="4" xr3:uid="{00000000-0010-0000-0300-000004000000}" name="Contrcatual Year" dataDxfId="1080"/>
    <tableColumn id="5" xr3:uid="{00000000-0010-0000-0300-000005000000}" name="Operating Year" dataDxfId="1079"/>
    <tableColumn id="6" xr3:uid="{00000000-0010-0000-0300-000006000000}" name="Month Year" dataDxfId="1078">
      <calculatedColumnFormula>TEXT(MC[[#This Row],[Date]],"mmm-yy")</calculatedColumnFormula>
    </tableColumn>
    <tableColumn id="7" xr3:uid="{00000000-0010-0000-0300-000007000000}" name="Days" dataDxfId="1077">
      <calculatedColumnFormula>DAY(EOMONTH(MC[[#This Row],[Month Year]],0))</calculatedColumnFormula>
    </tableColumn>
    <tableColumn id="9" xr3:uid="{00000000-0010-0000-0300-000009000000}" name="Cycle Number" dataDxfId="1076"/>
    <tableColumn id="10" xr3:uid="{00000000-0010-0000-0300-00000A000000}" name="Resources" dataDxfId="1075"/>
    <tableColumn id="11" xr3:uid="{00000000-0010-0000-0300-00000B000000}" name="Blk1" dataDxfId="1074"/>
    <tableColumn id="12" xr3:uid="{00000000-0010-0000-0300-00000C000000}" name="Blk2" dataDxfId="1073"/>
    <tableColumn id="13" xr3:uid="{00000000-0010-0000-0300-00000D000000}" name="Blk3" dataDxfId="1072"/>
    <tableColumn id="14" xr3:uid="{00000000-0010-0000-0300-00000E000000}" name="Blk4" dataDxfId="1071"/>
    <tableColumn id="15" xr3:uid="{00000000-0010-0000-0300-00000F000000}" name="Blk5" dataDxfId="1070"/>
    <tableColumn id="16" xr3:uid="{00000000-0010-0000-0300-000010000000}" name="Blk6" dataDxfId="1069"/>
    <tableColumn id="25" xr3:uid="{00000000-0010-0000-0300-000019000000}" name="Blk7" dataDxfId="1068"/>
    <tableColumn id="26" xr3:uid="{00000000-0010-0000-0300-00001A000000}" name="Blk8" dataDxfId="1067">
      <calculatedColumnFormula>120*50</calculatedColumnFormula>
    </tableColumn>
    <tableColumn id="17" xr3:uid="{00000000-0010-0000-0300-000011000000}" name="Total NO. Module cleaned" dataDxfId="1066">
      <calculatedColumnFormula>SUM(MC[[#This Row],[Blk1]:[Blk8]])</calculatedColumnFormula>
    </tableColumn>
    <tableColumn id="18" xr3:uid="{00000000-0010-0000-0300-000012000000}" name="Morning Start Time" dataDxfId="1065"/>
    <tableColumn id="19" xr3:uid="{00000000-0010-0000-0300-000013000000}" name="Morning End Time" dataDxfId="1064"/>
    <tableColumn id="20" xr3:uid="{00000000-0010-0000-0300-000014000000}" name="Evening Start Time" dataDxfId="1063"/>
    <tableColumn id="21" xr3:uid="{00000000-0010-0000-0300-000015000000}" name="Evening End time" dataDxfId="1062"/>
    <tableColumn id="22" xr3:uid="{00000000-0010-0000-0300-000016000000}" name="Brush/MOP Replcemnet" dataDxfId="1061"/>
    <tableColumn id="24" xr3:uid="{00000000-0010-0000-0300-000018000000}" name="Water Test Report" dataDxfId="1060"/>
    <tableColumn id="23" xr3:uid="{00000000-0010-0000-0300-000017000000}" name="Remarks for the day" dataDxfId="105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RD" displayName="RD" ref="B3:KQ131" totalsRowShown="0" headerRowDxfId="1058" dataDxfId="1056" headerRowBorderDxfId="1057" tableBorderDxfId="1055" totalsRowBorderDxfId="1054" headerRowCellStyle="Normal 26">
  <autoFilter ref="B3:KQ131" xr:uid="{00000000-0009-0000-0100-000001000000}"/>
  <tableColumns count="302">
    <tableColumn id="7" xr3:uid="{00000000-0010-0000-0400-000007000000}" name="Date" dataDxfId="1053"/>
    <tableColumn id="1" xr3:uid="{00000000-0010-0000-0400-000001000000}" name="Finacial Year" dataDxfId="1052">
      <calculatedColumnFormula>YEAR(RD[[#This Row],[Date]])+IF(MONTH(RD[[#This Row],[Date]])&gt;=4,1,0)</calculatedColumnFormula>
    </tableColumn>
    <tableColumn id="2" xr3:uid="{00000000-0010-0000-0400-000002000000}" name="Calendor Year" dataDxfId="1051">
      <calculatedColumnFormula>YEAR(B4)</calculatedColumnFormula>
    </tableColumn>
    <tableColumn id="3" xr3:uid="{00000000-0010-0000-0400-000003000000}" name="Contrcatual Year" dataDxfId="1050"/>
    <tableColumn id="4" xr3:uid="{00000000-0010-0000-0400-000004000000}" name="Operating Year" dataDxfId="1049"/>
    <tableColumn id="5" xr3:uid="{00000000-0010-0000-0400-000005000000}" name="Month Year" dataDxfId="1048">
      <calculatedColumnFormula>TEXT(RD[[#This Row],[Date]],"mmm-yy")</calculatedColumnFormula>
    </tableColumn>
    <tableColumn id="6" xr3:uid="{00000000-0010-0000-0400-000006000000}" name="Days" dataDxfId="1047">
      <calculatedColumnFormula>DAY(EOMONTH(B4,0))</calculatedColumnFormula>
    </tableColumn>
    <tableColumn id="8" xr3:uid="{00000000-0010-0000-0400-000008000000}" name="Plant DC Capcity (MW)" dataDxfId="1046">
      <calculatedColumnFormula>'Basic Data '!$S$2</calculatedColumnFormula>
    </tableColumn>
    <tableColumn id="9" xr3:uid="{00000000-0010-0000-0400-000009000000}" name="Sunrise Time (POA&gt;20 W/m2)" dataDxfId="1045"/>
    <tableColumn id="10" xr3:uid="{00000000-0010-0000-0400-00000A000000}" name="Sunset Time (POA&lt;20 W/m2)" dataDxfId="1044"/>
    <tableColumn id="11" xr3:uid="{00000000-0010-0000-0400-00000B000000}" name="BLK1_INV1" dataDxfId="1043"/>
    <tableColumn id="12" xr3:uid="{00000000-0010-0000-0400-00000C000000}" name="BLK1_INV2" dataDxfId="1042">
      <calculatedColumnFormula>RD[[#This Row],[BLK1_INV1]]+1</calculatedColumnFormula>
    </tableColumn>
    <tableColumn id="13" xr3:uid="{00000000-0010-0000-0400-00000D000000}" name="BLK1_INV3" dataDxfId="1041">
      <calculatedColumnFormula>RD[[#This Row],[BLK1_INV1]]+1</calculatedColumnFormula>
    </tableColumn>
    <tableColumn id="14" xr3:uid="{00000000-0010-0000-0400-00000E000000}" name="BLK1_INV4" dataDxfId="1040">
      <calculatedColumnFormula>RD[[#This Row],[BLK1_INV1]]+1</calculatedColumnFormula>
    </tableColumn>
    <tableColumn id="15" xr3:uid="{00000000-0010-0000-0400-00000F000000}" name="BLK1_INV5" dataDxfId="1039">
      <calculatedColumnFormula>RD[[#This Row],[BLK1_INV1]]+1</calculatedColumnFormula>
    </tableColumn>
    <tableColumn id="16" xr3:uid="{00000000-0010-0000-0400-000010000000}" name="BLK1_INV6" dataDxfId="1038">
      <calculatedColumnFormula>RD[[#This Row],[BLK1_INV1]]+1</calculatedColumnFormula>
    </tableColumn>
    <tableColumn id="17" xr3:uid="{00000000-0010-0000-0400-000011000000}" name="BLK1_INV7" dataDxfId="1037">
      <calculatedColumnFormula>RD[[#This Row],[BLK1_INV1]]+1</calculatedColumnFormula>
    </tableColumn>
    <tableColumn id="18" xr3:uid="{00000000-0010-0000-0400-000012000000}" name="BLK1_INV8" dataDxfId="1036">
      <calculatedColumnFormula>RD[[#This Row],[BLK1_INV1]]+1</calculatedColumnFormula>
    </tableColumn>
    <tableColumn id="19" xr3:uid="{00000000-0010-0000-0400-000013000000}" name="BLK1_INV9" dataDxfId="1035">
      <calculatedColumnFormula>RD[[#This Row],[BLK1_INV1]]+1</calculatedColumnFormula>
    </tableColumn>
    <tableColumn id="20" xr3:uid="{00000000-0010-0000-0400-000014000000}" name="BLK1_INV10" dataDxfId="1034">
      <calculatedColumnFormula>RD[[#This Row],[BLK1_INV1]]+1</calculatedColumnFormula>
    </tableColumn>
    <tableColumn id="21" xr3:uid="{00000000-0010-0000-0400-000015000000}" name="BLK1_INV11" dataDxfId="1033">
      <calculatedColumnFormula>RD[[#This Row],[BLK1_INV1]]+1</calculatedColumnFormula>
    </tableColumn>
    <tableColumn id="22" xr3:uid="{00000000-0010-0000-0400-000016000000}" name="BLK1_INV12" dataDxfId="1032">
      <calculatedColumnFormula>RD[[#This Row],[BLK1_INV1]]+1</calculatedColumnFormula>
    </tableColumn>
    <tableColumn id="23" xr3:uid="{00000000-0010-0000-0400-000017000000}" name="BLK1_INV13" dataDxfId="1031">
      <calculatedColumnFormula>RD[[#This Row],[BLK1_INV1]]+1</calculatedColumnFormula>
    </tableColumn>
    <tableColumn id="24" xr3:uid="{00000000-0010-0000-0400-000018000000}" name="BLK1_INV14" dataDxfId="1030">
      <calculatedColumnFormula>RD[[#This Row],[BLK1_INV1]]+1</calculatedColumnFormula>
    </tableColumn>
    <tableColumn id="25" xr3:uid="{00000000-0010-0000-0400-000019000000}" name="BLK1_INV15" dataDxfId="1029">
      <calculatedColumnFormula>RD[[#This Row],[BLK1_INV1]]+1</calculatedColumnFormula>
    </tableColumn>
    <tableColumn id="26" xr3:uid="{00000000-0010-0000-0400-00001A000000}" name="BLK1_INV16" dataDxfId="1028">
      <calculatedColumnFormula>RD[[#This Row],[BLK1_INV1]]+1</calculatedColumnFormula>
    </tableColumn>
    <tableColumn id="27" xr3:uid="{00000000-0010-0000-0400-00001B000000}" name="BLK1_INV17" dataDxfId="1027">
      <calculatedColumnFormula>RD[[#This Row],[BLK1_INV1]]+1</calculatedColumnFormula>
    </tableColumn>
    <tableColumn id="28" xr3:uid="{00000000-0010-0000-0400-00001C000000}" name="BLK1_INV18" dataDxfId="1026">
      <calculatedColumnFormula>RD[[#This Row],[BLK1_INV1]]+1</calculatedColumnFormula>
    </tableColumn>
    <tableColumn id="29" xr3:uid="{00000000-0010-0000-0400-00001D000000}" name="BLK1_INV19" dataDxfId="1025">
      <calculatedColumnFormula>RD[[#This Row],[BLK1_INV1]]+1</calculatedColumnFormula>
    </tableColumn>
    <tableColumn id="30" xr3:uid="{00000000-0010-0000-0400-00001E000000}" name="BLK1_INV20" dataDxfId="1024">
      <calculatedColumnFormula>RD[[#This Row],[BLK1_INV1]]+1</calculatedColumnFormula>
    </tableColumn>
    <tableColumn id="31" xr3:uid="{00000000-0010-0000-0400-00001F000000}" name="BLK1_INV21" dataDxfId="1023">
      <calculatedColumnFormula>RD[[#This Row],[BLK1_INV1]]+1</calculatedColumnFormula>
    </tableColumn>
    <tableColumn id="32" xr3:uid="{00000000-0010-0000-0400-000020000000}" name="BLK1_INV22" dataDxfId="1022">
      <calculatedColumnFormula>RD[[#This Row],[BLK1_INV1]]+1</calculatedColumnFormula>
    </tableColumn>
    <tableColumn id="33" xr3:uid="{00000000-0010-0000-0400-000021000000}" name="BLK1_INV23" dataDxfId="1021">
      <calculatedColumnFormula>RD[[#This Row],[BLK1_INV1]]+1</calculatedColumnFormula>
    </tableColumn>
    <tableColumn id="34" xr3:uid="{00000000-0010-0000-0400-000022000000}" name="BLK1_INV24" dataDxfId="1020">
      <calculatedColumnFormula>RD[[#This Row],[BLK1_INV1]]+1</calculatedColumnFormula>
    </tableColumn>
    <tableColumn id="35" xr3:uid="{00000000-0010-0000-0400-000023000000}" name="BLK1_INV25" dataDxfId="1019">
      <calculatedColumnFormula>RD[[#This Row],[BLK1_INV1]]+1</calculatedColumnFormula>
    </tableColumn>
    <tableColumn id="36" xr3:uid="{00000000-0010-0000-0400-000024000000}" name="BLK1_INV26" dataDxfId="1018">
      <calculatedColumnFormula>RD[[#This Row],[BLK1_INV1]]+1</calculatedColumnFormula>
    </tableColumn>
    <tableColumn id="37" xr3:uid="{00000000-0010-0000-0400-000025000000}" name="BLK1_INV27" dataDxfId="1017">
      <calculatedColumnFormula>RD[[#This Row],[BLK1_INV1]]+1</calculatedColumnFormula>
    </tableColumn>
    <tableColumn id="38" xr3:uid="{00000000-0010-0000-0400-000026000000}" name="BLK1_INV28" dataDxfId="1016">
      <calculatedColumnFormula>RD[[#This Row],[BLK1_INV1]]+1</calculatedColumnFormula>
    </tableColumn>
    <tableColumn id="39" xr3:uid="{00000000-0010-0000-0400-000027000000}" name="BLK1_INV29" dataDxfId="1015">
      <calculatedColumnFormula>RD[[#This Row],[BLK1_INV1]]+1</calculatedColumnFormula>
    </tableColumn>
    <tableColumn id="40" xr3:uid="{00000000-0010-0000-0400-000028000000}" name="BLK1_INV30" dataDxfId="1014">
      <calculatedColumnFormula>RD[[#This Row],[BLK1_INV1]]+1</calculatedColumnFormula>
    </tableColumn>
    <tableColumn id="41" xr3:uid="{00000000-0010-0000-0400-000029000000}" name="BLK1_INV31" dataDxfId="1013">
      <calculatedColumnFormula>RD[[#This Row],[BLK1_INV1]]+1</calculatedColumnFormula>
    </tableColumn>
    <tableColumn id="168" xr3:uid="{00000000-0010-0000-0400-0000A8000000}" name="BLK1_INV32" dataDxfId="1012"/>
    <tableColumn id="42" xr3:uid="{00000000-0010-0000-0400-00002A000000}" name="BLK2_INV1" dataDxfId="1011">
      <calculatedColumnFormula>RD[[#This Row],[BLK1_INV1]]+1</calculatedColumnFormula>
    </tableColumn>
    <tableColumn id="43" xr3:uid="{00000000-0010-0000-0400-00002B000000}" name="BLK2_INV2" dataDxfId="1010">
      <calculatedColumnFormula>RD[[#This Row],[BLK1_INV1]]+1</calculatedColumnFormula>
    </tableColumn>
    <tableColumn id="44" xr3:uid="{00000000-0010-0000-0400-00002C000000}" name="BLK2_INV3" dataDxfId="1009">
      <calculatedColumnFormula>RD[[#This Row],[BLK1_INV1]]+1</calculatedColumnFormula>
    </tableColumn>
    <tableColumn id="45" xr3:uid="{00000000-0010-0000-0400-00002D000000}" name="BLK2_INV4" dataDxfId="1008">
      <calculatedColumnFormula>RD[[#This Row],[BLK1_INV1]]+1</calculatedColumnFormula>
    </tableColumn>
    <tableColumn id="46" xr3:uid="{00000000-0010-0000-0400-00002E000000}" name="BLK2_INV5" dataDxfId="1007">
      <calculatedColumnFormula>RD[[#This Row],[BLK1_INV1]]+1</calculatedColumnFormula>
    </tableColumn>
    <tableColumn id="47" xr3:uid="{00000000-0010-0000-0400-00002F000000}" name="BLK2_INV6" dataDxfId="1006">
      <calculatedColumnFormula>RD[[#This Row],[BLK1_INV1]]+1</calculatedColumnFormula>
    </tableColumn>
    <tableColumn id="48" xr3:uid="{00000000-0010-0000-0400-000030000000}" name="BLK2_INV7" dataDxfId="1005">
      <calculatedColumnFormula>RD[[#This Row],[BLK1_INV1]]+1</calculatedColumnFormula>
    </tableColumn>
    <tableColumn id="49" xr3:uid="{00000000-0010-0000-0400-000031000000}" name="BLK2_INV8" dataDxfId="1004">
      <calculatedColumnFormula>RD[[#This Row],[BLK1_INV1]]+1</calculatedColumnFormula>
    </tableColumn>
    <tableColumn id="50" xr3:uid="{00000000-0010-0000-0400-000032000000}" name="BLK2_INV9" dataDxfId="1003">
      <calculatedColumnFormula>RD[[#This Row],[BLK1_INV1]]+1</calculatedColumnFormula>
    </tableColumn>
    <tableColumn id="51" xr3:uid="{00000000-0010-0000-0400-000033000000}" name="BLK2_INV10" dataDxfId="1002">
      <calculatedColumnFormula>RD[[#This Row],[BLK1_INV1]]+1</calculatedColumnFormula>
    </tableColumn>
    <tableColumn id="52" xr3:uid="{00000000-0010-0000-0400-000034000000}" name="BLK2_INV11" dataDxfId="1001">
      <calculatedColumnFormula>RD[[#This Row],[BLK1_INV1]]+1</calculatedColumnFormula>
    </tableColumn>
    <tableColumn id="53" xr3:uid="{00000000-0010-0000-0400-000035000000}" name="BLK2_INV12" dataDxfId="1000">
      <calculatedColumnFormula>RD[[#This Row],[BLK1_INV1]]+1</calculatedColumnFormula>
    </tableColumn>
    <tableColumn id="54" xr3:uid="{00000000-0010-0000-0400-000036000000}" name="BLK2_INV13" dataDxfId="999">
      <calculatedColumnFormula>RD[[#This Row],[BLK1_INV1]]+1</calculatedColumnFormula>
    </tableColumn>
    <tableColumn id="55" xr3:uid="{00000000-0010-0000-0400-000037000000}" name="BLK2_INV14" dataDxfId="998">
      <calculatedColumnFormula>RD[[#This Row],[BLK1_INV1]]+1</calculatedColumnFormula>
    </tableColumn>
    <tableColumn id="56" xr3:uid="{00000000-0010-0000-0400-000038000000}" name="BLK2_INV15" dataDxfId="997">
      <calculatedColumnFormula>RD[[#This Row],[BLK1_INV1]]+1</calculatedColumnFormula>
    </tableColumn>
    <tableColumn id="57" xr3:uid="{00000000-0010-0000-0400-000039000000}" name="BLK2_INV16" dataDxfId="996">
      <calculatedColumnFormula>RD[[#This Row],[BLK1_INV1]]+1</calculatedColumnFormula>
    </tableColumn>
    <tableColumn id="58" xr3:uid="{00000000-0010-0000-0400-00003A000000}" name="BLK2_INV17" dataDxfId="995">
      <calculatedColumnFormula>RD[[#This Row],[BLK1_INV1]]+1</calculatedColumnFormula>
    </tableColumn>
    <tableColumn id="59" xr3:uid="{00000000-0010-0000-0400-00003B000000}" name="BLK2_INV18" dataDxfId="994">
      <calculatedColumnFormula>RD[[#This Row],[BLK1_INV1]]+1</calculatedColumnFormula>
    </tableColumn>
    <tableColumn id="60" xr3:uid="{00000000-0010-0000-0400-00003C000000}" name="BLK2_INV19" dataDxfId="993">
      <calculatedColumnFormula>RD[[#This Row],[BLK1_INV1]]+1</calculatedColumnFormula>
    </tableColumn>
    <tableColumn id="61" xr3:uid="{00000000-0010-0000-0400-00003D000000}" name="BLK2_INV20" dataDxfId="992">
      <calculatedColumnFormula>RD[[#This Row],[BLK1_INV1]]+1</calculatedColumnFormula>
    </tableColumn>
    <tableColumn id="62" xr3:uid="{00000000-0010-0000-0400-00003E000000}" name="BLK2_INV21" dataDxfId="991">
      <calculatedColumnFormula>RD[[#This Row],[BLK1_INV1]]+1</calculatedColumnFormula>
    </tableColumn>
    <tableColumn id="63" xr3:uid="{00000000-0010-0000-0400-00003F000000}" name="BLK2_INV22" dataDxfId="990">
      <calculatedColumnFormula>RD[[#This Row],[BLK1_INV1]]+1</calculatedColumnFormula>
    </tableColumn>
    <tableColumn id="64" xr3:uid="{00000000-0010-0000-0400-000040000000}" name="BLK2_INV23" dataDxfId="989">
      <calculatedColumnFormula>RD[[#This Row],[BLK1_INV1]]+1</calculatedColumnFormula>
    </tableColumn>
    <tableColumn id="65" xr3:uid="{00000000-0010-0000-0400-000041000000}" name="BLK2_INV24" dataDxfId="988">
      <calculatedColumnFormula>RD[[#This Row],[BLK1_INV1]]+1</calculatedColumnFormula>
    </tableColumn>
    <tableColumn id="66" xr3:uid="{00000000-0010-0000-0400-000042000000}" name="BLK2_INV25" dataDxfId="987">
      <calculatedColumnFormula>RD[[#This Row],[BLK1_INV1]]+1</calculatedColumnFormula>
    </tableColumn>
    <tableColumn id="67" xr3:uid="{00000000-0010-0000-0400-000043000000}" name="BLK2_INV26" dataDxfId="986">
      <calculatedColumnFormula>RD[[#This Row],[BLK1_INV1]]+1</calculatedColumnFormula>
    </tableColumn>
    <tableColumn id="68" xr3:uid="{00000000-0010-0000-0400-000044000000}" name="BLK2_INV27" dataDxfId="985">
      <calculatedColumnFormula>RD[[#This Row],[BLK1_INV1]]+1</calculatedColumnFormula>
    </tableColumn>
    <tableColumn id="69" xr3:uid="{00000000-0010-0000-0400-000045000000}" name="BLK2_INV28" dataDxfId="984">
      <calculatedColumnFormula>RD[[#This Row],[BLK1_INV1]]+1</calculatedColumnFormula>
    </tableColumn>
    <tableColumn id="70" xr3:uid="{00000000-0010-0000-0400-000046000000}" name="BLK2_INV29" dataDxfId="983">
      <calculatedColumnFormula>RD[[#This Row],[BLK1_INV1]]+1</calculatedColumnFormula>
    </tableColumn>
    <tableColumn id="71" xr3:uid="{00000000-0010-0000-0400-000047000000}" name="BLK2_INV30" dataDxfId="982">
      <calculatedColumnFormula>RD[[#This Row],[BLK1_INV1]]+1</calculatedColumnFormula>
    </tableColumn>
    <tableColumn id="72" xr3:uid="{00000000-0010-0000-0400-000048000000}" name="BLK2_INV31" dataDxfId="981">
      <calculatedColumnFormula>RD[[#This Row],[BLK1_INV1]]+1</calculatedColumnFormula>
    </tableColumn>
    <tableColumn id="173" xr3:uid="{D2B3E73E-6D62-4187-A33B-6C21600B70F6}" name="BLK2_INV32" dataDxfId="980"/>
    <tableColumn id="73" xr3:uid="{00000000-0010-0000-0400-000049000000}" name="BLK3_INV1" dataDxfId="979">
      <calculatedColumnFormula>RD[[#This Row],[BLK1_INV1]]+1</calculatedColumnFormula>
    </tableColumn>
    <tableColumn id="74" xr3:uid="{00000000-0010-0000-0400-00004A000000}" name="BLK3_INV2" dataDxfId="978">
      <calculatedColumnFormula>RD[[#This Row],[BLK1_INV1]]+1</calculatedColumnFormula>
    </tableColumn>
    <tableColumn id="75" xr3:uid="{00000000-0010-0000-0400-00004B000000}" name="BLK3_INV3" dataDxfId="977">
      <calculatedColumnFormula>RD[[#This Row],[BLK1_INV1]]+1</calculatedColumnFormula>
    </tableColumn>
    <tableColumn id="76" xr3:uid="{00000000-0010-0000-0400-00004C000000}" name="BLK3_INV4" dataDxfId="976">
      <calculatedColumnFormula>RD[[#This Row],[BLK1_INV1]]+1</calculatedColumnFormula>
    </tableColumn>
    <tableColumn id="77" xr3:uid="{00000000-0010-0000-0400-00004D000000}" name="BLK3_INV5" dataDxfId="975">
      <calculatedColumnFormula>RD[[#This Row],[BLK1_INV1]]+1</calculatedColumnFormula>
    </tableColumn>
    <tableColumn id="78" xr3:uid="{00000000-0010-0000-0400-00004E000000}" name="BLK3_INV6" dataDxfId="974">
      <calculatedColumnFormula>RD[[#This Row],[BLK1_INV1]]+1</calculatedColumnFormula>
    </tableColumn>
    <tableColumn id="79" xr3:uid="{00000000-0010-0000-0400-00004F000000}" name="BLK3_INV7" dataDxfId="973">
      <calculatedColumnFormula>RD[[#This Row],[BLK1_INV1]]+1</calculatedColumnFormula>
    </tableColumn>
    <tableColumn id="80" xr3:uid="{00000000-0010-0000-0400-000050000000}" name="BLK3_INV8" dataDxfId="972">
      <calculatedColumnFormula>RD[[#This Row],[BLK1_INV1]]+1</calculatedColumnFormula>
    </tableColumn>
    <tableColumn id="81" xr3:uid="{00000000-0010-0000-0400-000051000000}" name="BLK3_INV9" dataDxfId="971">
      <calculatedColumnFormula>RD[[#This Row],[BLK1_INV1]]+1</calculatedColumnFormula>
    </tableColumn>
    <tableColumn id="82" xr3:uid="{00000000-0010-0000-0400-000052000000}" name="BLK3_INV10" dataDxfId="970">
      <calculatedColumnFormula>RD[[#This Row],[BLK1_INV1]]+1</calculatedColumnFormula>
    </tableColumn>
    <tableColumn id="83" xr3:uid="{00000000-0010-0000-0400-000053000000}" name="BLK3_INV11" dataDxfId="969">
      <calculatedColumnFormula>RD[[#This Row],[BLK1_INV1]]+1</calculatedColumnFormula>
    </tableColumn>
    <tableColumn id="84" xr3:uid="{00000000-0010-0000-0400-000054000000}" name="BLK3_INV12" dataDxfId="968">
      <calculatedColumnFormula>RD[[#This Row],[BLK1_INV1]]+1</calculatedColumnFormula>
    </tableColumn>
    <tableColumn id="85" xr3:uid="{00000000-0010-0000-0400-000055000000}" name="BLK3_INV13" dataDxfId="967">
      <calculatedColumnFormula>RD[[#This Row],[BLK1_INV1]]+1</calculatedColumnFormula>
    </tableColumn>
    <tableColumn id="86" xr3:uid="{00000000-0010-0000-0400-000056000000}" name="BLK3_INV14" dataDxfId="966">
      <calculatedColumnFormula>RD[[#This Row],[BLK1_INV1]]+1</calculatedColumnFormula>
    </tableColumn>
    <tableColumn id="87" xr3:uid="{00000000-0010-0000-0400-000057000000}" name="BLK3_INV15" dataDxfId="965">
      <calculatedColumnFormula>RD[[#This Row],[BLK1_INV1]]+1</calculatedColumnFormula>
    </tableColumn>
    <tableColumn id="88" xr3:uid="{00000000-0010-0000-0400-000058000000}" name="BLK3_INV16" dataDxfId="964">
      <calculatedColumnFormula>RD[[#This Row],[BLK1_INV1]]+1</calculatedColumnFormula>
    </tableColumn>
    <tableColumn id="89" xr3:uid="{00000000-0010-0000-0400-000059000000}" name="BLK3_INV17" dataDxfId="963">
      <calculatedColumnFormula>RD[[#This Row],[BLK1_INV1]]+1</calculatedColumnFormula>
    </tableColumn>
    <tableColumn id="90" xr3:uid="{00000000-0010-0000-0400-00005A000000}" name="BLK3_INV18" dataDxfId="962">
      <calculatedColumnFormula>RD[[#This Row],[BLK1_INV1]]+1</calculatedColumnFormula>
    </tableColumn>
    <tableColumn id="91" xr3:uid="{00000000-0010-0000-0400-00005B000000}" name="BLK3_INV19" dataDxfId="961">
      <calculatedColumnFormula>RD[[#This Row],[BLK1_INV1]]+1</calculatedColumnFormula>
    </tableColumn>
    <tableColumn id="92" xr3:uid="{00000000-0010-0000-0400-00005C000000}" name="BLK3_INV20" dataDxfId="960">
      <calculatedColumnFormula>RD[[#This Row],[BLK1_INV1]]+1</calculatedColumnFormula>
    </tableColumn>
    <tableColumn id="93" xr3:uid="{00000000-0010-0000-0400-00005D000000}" name="BLK3_INV21" dataDxfId="959">
      <calculatedColumnFormula>RD[[#This Row],[BLK1_INV1]]+1</calculatedColumnFormula>
    </tableColumn>
    <tableColumn id="94" xr3:uid="{00000000-0010-0000-0400-00005E000000}" name="BLK3_INV22" dataDxfId="958">
      <calculatedColumnFormula>RD[[#This Row],[BLK1_INV1]]+1</calculatedColumnFormula>
    </tableColumn>
    <tableColumn id="95" xr3:uid="{00000000-0010-0000-0400-00005F000000}" name="BLK3_INV23" dataDxfId="957">
      <calculatedColumnFormula>RD[[#This Row],[BLK1_INV1]]+1</calculatedColumnFormula>
    </tableColumn>
    <tableColumn id="96" xr3:uid="{00000000-0010-0000-0400-000060000000}" name="BLK3_INV24" dataDxfId="956">
      <calculatedColumnFormula>RD[[#This Row],[BLK1_INV1]]+1</calculatedColumnFormula>
    </tableColumn>
    <tableColumn id="97" xr3:uid="{00000000-0010-0000-0400-000061000000}" name="BLK3_INV25" dataDxfId="955">
      <calculatedColumnFormula>RD[[#This Row],[BLK1_INV1]]+1</calculatedColumnFormula>
    </tableColumn>
    <tableColumn id="98" xr3:uid="{00000000-0010-0000-0400-000062000000}" name="BLK3_INV26" dataDxfId="954">
      <calculatedColumnFormula>RD[[#This Row],[BLK1_INV1]]+1</calculatedColumnFormula>
    </tableColumn>
    <tableColumn id="99" xr3:uid="{00000000-0010-0000-0400-000063000000}" name="BLK3_INV27" dataDxfId="953"/>
    <tableColumn id="100" xr3:uid="{00000000-0010-0000-0400-000064000000}" name="BLK3_INV28" dataDxfId="952"/>
    <tableColumn id="101" xr3:uid="{00000000-0010-0000-0400-000065000000}" name="BLK3_INV29" dataDxfId="951"/>
    <tableColumn id="102" xr3:uid="{00000000-0010-0000-0400-000066000000}" name="BLK3_INV30" dataDxfId="950"/>
    <tableColumn id="103" xr3:uid="{00000000-0010-0000-0400-000067000000}" name="BLK3_INV31" dataDxfId="949"/>
    <tableColumn id="104" xr3:uid="{00000000-0010-0000-0400-000068000000}" name="BLK4_INV1" dataDxfId="948"/>
    <tableColumn id="105" xr3:uid="{00000000-0010-0000-0400-000069000000}" name="BLK4_INV2" dataDxfId="947"/>
    <tableColumn id="106" xr3:uid="{00000000-0010-0000-0400-00006A000000}" name="BLK4_INV3" dataDxfId="946"/>
    <tableColumn id="107" xr3:uid="{00000000-0010-0000-0400-00006B000000}" name="BLK4_INV4" dataDxfId="945"/>
    <tableColumn id="108" xr3:uid="{00000000-0010-0000-0400-00006C000000}" name="BLK4_INV5" dataDxfId="944"/>
    <tableColumn id="109" xr3:uid="{00000000-0010-0000-0400-00006D000000}" name="BLK4_INV6" dataDxfId="943"/>
    <tableColumn id="110" xr3:uid="{00000000-0010-0000-0400-00006E000000}" name="BLK4_INV7" dataDxfId="942"/>
    <tableColumn id="111" xr3:uid="{00000000-0010-0000-0400-00006F000000}" name="BLK4_INV8" dataDxfId="941"/>
    <tableColumn id="112" xr3:uid="{00000000-0010-0000-0400-000070000000}" name="BLK4_INV9" dataDxfId="940"/>
    <tableColumn id="113" xr3:uid="{00000000-0010-0000-0400-000071000000}" name="BLK4_INV10" dataDxfId="939"/>
    <tableColumn id="114" xr3:uid="{00000000-0010-0000-0400-000072000000}" name="BLK4_INV11" dataDxfId="938"/>
    <tableColumn id="115" xr3:uid="{00000000-0010-0000-0400-000073000000}" name="BLK4_INV12" dataDxfId="937"/>
    <tableColumn id="116" xr3:uid="{00000000-0010-0000-0400-000074000000}" name="BLK4_INV13" dataDxfId="936"/>
    <tableColumn id="117" xr3:uid="{00000000-0010-0000-0400-000075000000}" name="BLK4_INV14" dataDxfId="935"/>
    <tableColumn id="118" xr3:uid="{00000000-0010-0000-0400-000076000000}" name="BLK4_INV15" dataDxfId="934"/>
    <tableColumn id="119" xr3:uid="{00000000-0010-0000-0400-000077000000}" name="BLK4_INV16" dataDxfId="933"/>
    <tableColumn id="120" xr3:uid="{00000000-0010-0000-0400-000078000000}" name="BLK4_INV17" dataDxfId="932"/>
    <tableColumn id="121" xr3:uid="{00000000-0010-0000-0400-000079000000}" name="BLK4_INV18" dataDxfId="931"/>
    <tableColumn id="122" xr3:uid="{00000000-0010-0000-0400-00007A000000}" name="BLK4_INV19" dataDxfId="930"/>
    <tableColumn id="123" xr3:uid="{00000000-0010-0000-0400-00007B000000}" name="BLK4_INV20" dataDxfId="929"/>
    <tableColumn id="124" xr3:uid="{00000000-0010-0000-0400-00007C000000}" name="BLK4_INV21" dataDxfId="928"/>
    <tableColumn id="125" xr3:uid="{00000000-0010-0000-0400-00007D000000}" name="BLK4_INV22" dataDxfId="927"/>
    <tableColumn id="126" xr3:uid="{00000000-0010-0000-0400-00007E000000}" name="BLK4_INV23" dataDxfId="926"/>
    <tableColumn id="127" xr3:uid="{00000000-0010-0000-0400-00007F000000}" name="BLK4_INV24" dataDxfId="925"/>
    <tableColumn id="128" xr3:uid="{00000000-0010-0000-0400-000080000000}" name="BLK4_INV25" dataDxfId="924"/>
    <tableColumn id="129" xr3:uid="{00000000-0010-0000-0400-000081000000}" name="BLK4_INV26" dataDxfId="923"/>
    <tableColumn id="130" xr3:uid="{00000000-0010-0000-0400-000082000000}" name="BLK4_INV27" dataDxfId="922"/>
    <tableColumn id="131" xr3:uid="{00000000-0010-0000-0400-000083000000}" name="BLK4_INV28" dataDxfId="921"/>
    <tableColumn id="132" xr3:uid="{00000000-0010-0000-0400-000084000000}" name="BLK4_INV29" dataDxfId="920"/>
    <tableColumn id="133" xr3:uid="{00000000-0010-0000-0400-000085000000}" name="BLK4_INV30" dataDxfId="919"/>
    <tableColumn id="134" xr3:uid="{00000000-0010-0000-0400-000086000000}" name="BLK4_INV31" dataDxfId="918"/>
    <tableColumn id="135" xr3:uid="{00000000-0010-0000-0400-000087000000}" name="BLK5_INV1" dataDxfId="917"/>
    <tableColumn id="136" xr3:uid="{00000000-0010-0000-0400-000088000000}" name="BLK5_INV2" dataDxfId="916"/>
    <tableColumn id="137" xr3:uid="{00000000-0010-0000-0400-000089000000}" name="BLK5_INV3" dataDxfId="915"/>
    <tableColumn id="138" xr3:uid="{00000000-0010-0000-0400-00008A000000}" name="BLK5_INV4" dataDxfId="914"/>
    <tableColumn id="139" xr3:uid="{00000000-0010-0000-0400-00008B000000}" name="BLK5_INV5" dataDxfId="913"/>
    <tableColumn id="140" xr3:uid="{00000000-0010-0000-0400-00008C000000}" name="BLK5_INV6" dataDxfId="912"/>
    <tableColumn id="141" xr3:uid="{00000000-0010-0000-0400-00008D000000}" name="BLK5_INV7" dataDxfId="911"/>
    <tableColumn id="142" xr3:uid="{00000000-0010-0000-0400-00008E000000}" name="BLK5_INV8" dataDxfId="910"/>
    <tableColumn id="143" xr3:uid="{00000000-0010-0000-0400-00008F000000}" name="BLK5_INV9" dataDxfId="909"/>
    <tableColumn id="144" xr3:uid="{00000000-0010-0000-0400-000090000000}" name="BLK5_INV10" dataDxfId="908"/>
    <tableColumn id="145" xr3:uid="{00000000-0010-0000-0400-000091000000}" name="BLK5_INV11" dataDxfId="907"/>
    <tableColumn id="146" xr3:uid="{00000000-0010-0000-0400-000092000000}" name="BLK5_INV12" dataDxfId="906"/>
    <tableColumn id="147" xr3:uid="{00000000-0010-0000-0400-000093000000}" name="BLK5_INV13" dataDxfId="905"/>
    <tableColumn id="148" xr3:uid="{00000000-0010-0000-0400-000094000000}" name="BLK5_INV14" dataDxfId="904"/>
    <tableColumn id="149" xr3:uid="{00000000-0010-0000-0400-000095000000}" name="BLK5_INV15" dataDxfId="903"/>
    <tableColumn id="150" xr3:uid="{00000000-0010-0000-0400-000096000000}" name="BLK5_INV16" dataDxfId="902"/>
    <tableColumn id="151" xr3:uid="{00000000-0010-0000-0400-000097000000}" name="BLK5_INV17" dataDxfId="901"/>
    <tableColumn id="152" xr3:uid="{00000000-0010-0000-0400-000098000000}" name="BLK5_INV18" dataDxfId="900"/>
    <tableColumn id="153" xr3:uid="{00000000-0010-0000-0400-000099000000}" name="BLK5_INV19" dataDxfId="899"/>
    <tableColumn id="154" xr3:uid="{00000000-0010-0000-0400-00009A000000}" name="BLK5_INV20" dataDxfId="898"/>
    <tableColumn id="155" xr3:uid="{00000000-0010-0000-0400-00009B000000}" name="BLK5_INV21" dataDxfId="897"/>
    <tableColumn id="156" xr3:uid="{00000000-0010-0000-0400-00009C000000}" name="BLK5_INV22" dataDxfId="896"/>
    <tableColumn id="157" xr3:uid="{00000000-0010-0000-0400-00009D000000}" name="BLK5_INV23" dataDxfId="895"/>
    <tableColumn id="158" xr3:uid="{00000000-0010-0000-0400-00009E000000}" name="BLK5_INV24" dataDxfId="894"/>
    <tableColumn id="159" xr3:uid="{00000000-0010-0000-0400-00009F000000}" name="BLK5_INV25" dataDxfId="893"/>
    <tableColumn id="160" xr3:uid="{00000000-0010-0000-0400-0000A0000000}" name="BLK5_INV26" dataDxfId="892"/>
    <tableColumn id="161" xr3:uid="{00000000-0010-0000-0400-0000A1000000}" name="BLK5_INV27" dataDxfId="891"/>
    <tableColumn id="162" xr3:uid="{00000000-0010-0000-0400-0000A2000000}" name="BLK5_INV28" dataDxfId="890"/>
    <tableColumn id="163" xr3:uid="{00000000-0010-0000-0400-0000A3000000}" name="BLK5_INV29" dataDxfId="889"/>
    <tableColumn id="164" xr3:uid="{00000000-0010-0000-0400-0000A4000000}" name="BLK5_INV30" dataDxfId="888"/>
    <tableColumn id="165" xr3:uid="{00000000-0010-0000-0400-0000A5000000}" name="BLK5_INV31" dataDxfId="887"/>
    <tableColumn id="166" xr3:uid="{00000000-0010-0000-0400-0000A6000000}" name="BLK5_INV32" dataDxfId="886"/>
    <tableColumn id="274" xr3:uid="{00000000-0010-0000-0400-000012010000}" name="BLK6_INV1" dataDxfId="885"/>
    <tableColumn id="275" xr3:uid="{00000000-0010-0000-0400-000013010000}" name="BLK6_INV2" dataDxfId="884"/>
    <tableColumn id="276" xr3:uid="{00000000-0010-0000-0400-000014010000}" name="BLK6_INV3" dataDxfId="883"/>
    <tableColumn id="277" xr3:uid="{00000000-0010-0000-0400-000015010000}" name="BLK6_INV4" dataDxfId="882"/>
    <tableColumn id="278" xr3:uid="{00000000-0010-0000-0400-000016010000}" name="BLK6_INV5" dataDxfId="881"/>
    <tableColumn id="279" xr3:uid="{00000000-0010-0000-0400-000017010000}" name="BLK6_INV6" dataDxfId="880"/>
    <tableColumn id="280" xr3:uid="{00000000-0010-0000-0400-000018010000}" name="BLK6_INV7" dataDxfId="879"/>
    <tableColumn id="281" xr3:uid="{00000000-0010-0000-0400-000019010000}" name="BLK6_INV8" dataDxfId="878"/>
    <tableColumn id="282" xr3:uid="{00000000-0010-0000-0400-00001A010000}" name="BLK6_INV9" dataDxfId="877"/>
    <tableColumn id="283" xr3:uid="{00000000-0010-0000-0400-00001B010000}" name="BLK6_INV10" dataDxfId="876"/>
    <tableColumn id="284" xr3:uid="{00000000-0010-0000-0400-00001C010000}" name="BLK6_INV11" dataDxfId="875"/>
    <tableColumn id="285" xr3:uid="{00000000-0010-0000-0400-00001D010000}" name="BLK6_INV12" dataDxfId="874"/>
    <tableColumn id="286" xr3:uid="{00000000-0010-0000-0400-00001E010000}" name="BLK6_INV13" dataDxfId="873"/>
    <tableColumn id="287" xr3:uid="{00000000-0010-0000-0400-00001F010000}" name="BLK6_INV14" dataDxfId="872"/>
    <tableColumn id="288" xr3:uid="{00000000-0010-0000-0400-000020010000}" name="BLK6_INV15" dataDxfId="871"/>
    <tableColumn id="289" xr3:uid="{00000000-0010-0000-0400-000021010000}" name="BLK6_INV16" dataDxfId="870"/>
    <tableColumn id="290" xr3:uid="{00000000-0010-0000-0400-000022010000}" name="BLK6_INV17" dataDxfId="869"/>
    <tableColumn id="291" xr3:uid="{00000000-0010-0000-0400-000023010000}" name="BLK6_INV18" dataDxfId="868"/>
    <tableColumn id="292" xr3:uid="{00000000-0010-0000-0400-000024010000}" name="BLK6_INV19" dataDxfId="867"/>
    <tableColumn id="293" xr3:uid="{00000000-0010-0000-0400-000025010000}" name="BLK6_INV20" dataDxfId="866"/>
    <tableColumn id="294" xr3:uid="{00000000-0010-0000-0400-000026010000}" name="BLK6_INV21" dataDxfId="865"/>
    <tableColumn id="295" xr3:uid="{00000000-0010-0000-0400-000027010000}" name="BLK6_INV22" dataDxfId="864"/>
    <tableColumn id="296" xr3:uid="{00000000-0010-0000-0400-000028010000}" name="BLK6_INV23" dataDxfId="863"/>
    <tableColumn id="297" xr3:uid="{00000000-0010-0000-0400-000029010000}" name="BLK6_INV24" dataDxfId="862"/>
    <tableColumn id="298" xr3:uid="{00000000-0010-0000-0400-00002A010000}" name="BLK6_INV25" dataDxfId="861"/>
    <tableColumn id="299" xr3:uid="{00000000-0010-0000-0400-00002B010000}" name="BLK6_INV26" dataDxfId="860"/>
    <tableColumn id="300" xr3:uid="{00000000-0010-0000-0400-00002C010000}" name="BLK6_INV27" dataDxfId="859"/>
    <tableColumn id="301" xr3:uid="{00000000-0010-0000-0400-00002D010000}" name="BLK6_INV28" dataDxfId="858"/>
    <tableColumn id="302" xr3:uid="{00000000-0010-0000-0400-00002E010000}" name="BLK6_INV29" dataDxfId="857"/>
    <tableColumn id="303" xr3:uid="{00000000-0010-0000-0400-00002F010000}" name="BLK6_INV30" dataDxfId="856"/>
    <tableColumn id="304" xr3:uid="{00000000-0010-0000-0400-000030010000}" name="BLK6_INV31" dataDxfId="855"/>
    <tableColumn id="305" xr3:uid="{00000000-0010-0000-0400-000031010000}" name="BLK6_INV32" dataDxfId="854"/>
    <tableColumn id="306" xr3:uid="{00000000-0010-0000-0400-000032010000}" name="BLK7_INV1" dataDxfId="853"/>
    <tableColumn id="307" xr3:uid="{00000000-0010-0000-0400-000033010000}" name="BLK7_INV2" dataDxfId="852"/>
    <tableColumn id="308" xr3:uid="{00000000-0010-0000-0400-000034010000}" name="BLK7_INV3" dataDxfId="851"/>
    <tableColumn id="309" xr3:uid="{00000000-0010-0000-0400-000035010000}" name="BLK7_INV4" dataDxfId="850"/>
    <tableColumn id="310" xr3:uid="{00000000-0010-0000-0400-000036010000}" name="BLK7_INV5" dataDxfId="849"/>
    <tableColumn id="311" xr3:uid="{00000000-0010-0000-0400-000037010000}" name="BLK7_INV6" dataDxfId="848"/>
    <tableColumn id="312" xr3:uid="{00000000-0010-0000-0400-000038010000}" name="BLK7_INV7" dataDxfId="847"/>
    <tableColumn id="313" xr3:uid="{00000000-0010-0000-0400-000039010000}" name="BLK7_INV8" dataDxfId="846"/>
    <tableColumn id="314" xr3:uid="{00000000-0010-0000-0400-00003A010000}" name="BLK7_INV9" dataDxfId="845"/>
    <tableColumn id="315" xr3:uid="{00000000-0010-0000-0400-00003B010000}" name="BLK7_INV10" dataDxfId="844"/>
    <tableColumn id="316" xr3:uid="{00000000-0010-0000-0400-00003C010000}" name="BLK7_INV11" dataDxfId="843"/>
    <tableColumn id="317" xr3:uid="{00000000-0010-0000-0400-00003D010000}" name="BLK7_INV12" dataDxfId="842"/>
    <tableColumn id="318" xr3:uid="{00000000-0010-0000-0400-00003E010000}" name="BLK7_INV13" dataDxfId="841"/>
    <tableColumn id="319" xr3:uid="{00000000-0010-0000-0400-00003F010000}" name="BLK7_INV14" dataDxfId="840"/>
    <tableColumn id="320" xr3:uid="{00000000-0010-0000-0400-000040010000}" name="BLK7_INV15" dataDxfId="839"/>
    <tableColumn id="321" xr3:uid="{00000000-0010-0000-0400-000041010000}" name="BLK7_INV16" dataDxfId="838"/>
    <tableColumn id="322" xr3:uid="{00000000-0010-0000-0400-000042010000}" name="BLK7_INV17" dataDxfId="837"/>
    <tableColumn id="323" xr3:uid="{00000000-0010-0000-0400-000043010000}" name="BLK7_INV18" dataDxfId="836"/>
    <tableColumn id="324" xr3:uid="{00000000-0010-0000-0400-000044010000}" name="BLK7_INV19" dataDxfId="835"/>
    <tableColumn id="325" xr3:uid="{00000000-0010-0000-0400-000045010000}" name="BLK7_INV20" dataDxfId="834"/>
    <tableColumn id="326" xr3:uid="{00000000-0010-0000-0400-000046010000}" name="BLK7_INV21" dataDxfId="833"/>
    <tableColumn id="327" xr3:uid="{00000000-0010-0000-0400-000047010000}" name="BLK7_INV22" dataDxfId="832"/>
    <tableColumn id="328" xr3:uid="{00000000-0010-0000-0400-000048010000}" name="BLK7_INV23" dataDxfId="831"/>
    <tableColumn id="329" xr3:uid="{00000000-0010-0000-0400-000049010000}" name="BLK7_INV24" dataDxfId="830"/>
    <tableColumn id="330" xr3:uid="{00000000-0010-0000-0400-00004A010000}" name="BLK7_INV25" dataDxfId="829"/>
    <tableColumn id="331" xr3:uid="{00000000-0010-0000-0400-00004B010000}" name="BLK7_INV26" dataDxfId="828"/>
    <tableColumn id="332" xr3:uid="{00000000-0010-0000-0400-00004C010000}" name="BLK7_INV27" dataDxfId="827"/>
    <tableColumn id="333" xr3:uid="{00000000-0010-0000-0400-00004D010000}" name="BLK7_INV28" dataDxfId="826"/>
    <tableColumn id="169" xr3:uid="{00000000-0010-0000-0400-0000A9000000}" name="BLK7_INV29" dataDxfId="825"/>
    <tableColumn id="170" xr3:uid="{00000000-0010-0000-0400-0000AA000000}" name="BLK7_INV30" dataDxfId="824"/>
    <tableColumn id="171" xr3:uid="{00000000-0010-0000-0400-0000AB000000}" name="BLK7_INV31" dataDxfId="823"/>
    <tableColumn id="174" xr3:uid="{D37C006D-7970-4C77-86A3-36144D35C6AB}" name="BLK7_INV32" dataDxfId="822"/>
    <tableColumn id="334" xr3:uid="{00000000-0010-0000-0400-00004E010000}" name="BLK8_INV1" dataDxfId="821"/>
    <tableColumn id="335" xr3:uid="{00000000-0010-0000-0400-00004F010000}" name="BLK8_INV2" dataDxfId="820"/>
    <tableColumn id="336" xr3:uid="{00000000-0010-0000-0400-000050010000}" name="BLK8_INV3" dataDxfId="819"/>
    <tableColumn id="337" xr3:uid="{00000000-0010-0000-0400-000051010000}" name="BLK8_INV4" dataDxfId="818"/>
    <tableColumn id="338" xr3:uid="{00000000-0010-0000-0400-000052010000}" name="BLK8_INV5" dataDxfId="817"/>
    <tableColumn id="339" xr3:uid="{00000000-0010-0000-0400-000053010000}" name="BLK8_INV6" dataDxfId="816"/>
    <tableColumn id="340" xr3:uid="{00000000-0010-0000-0400-000054010000}" name="BLK8_INV7" dataDxfId="815"/>
    <tableColumn id="341" xr3:uid="{00000000-0010-0000-0400-000055010000}" name="BLK8_INV8" dataDxfId="814"/>
    <tableColumn id="342" xr3:uid="{00000000-0010-0000-0400-000056010000}" name="BLK8_INV9" dataDxfId="813"/>
    <tableColumn id="343" xr3:uid="{00000000-0010-0000-0400-000057010000}" name="BLK8_INV10" dataDxfId="812"/>
    <tableColumn id="344" xr3:uid="{00000000-0010-0000-0400-000058010000}" name="BLK8_INV11" dataDxfId="811"/>
    <tableColumn id="345" xr3:uid="{00000000-0010-0000-0400-000059010000}" name="BLK8_INV12" dataDxfId="810"/>
    <tableColumn id="346" xr3:uid="{00000000-0010-0000-0400-00005A010000}" name="BLK8_INV13" dataDxfId="809"/>
    <tableColumn id="347" xr3:uid="{00000000-0010-0000-0400-00005B010000}" name="BLK8_INV14" dataDxfId="808"/>
    <tableColumn id="348" xr3:uid="{00000000-0010-0000-0400-00005C010000}" name="BLK8_INV15" dataDxfId="807"/>
    <tableColumn id="349" xr3:uid="{00000000-0010-0000-0400-00005D010000}" name="BLK8_INV16" dataDxfId="806"/>
    <tableColumn id="350" xr3:uid="{00000000-0010-0000-0400-00005E010000}" name="BLK8_INV17" dataDxfId="805"/>
    <tableColumn id="351" xr3:uid="{00000000-0010-0000-0400-00005F010000}" name="BLK8_INV18" dataDxfId="804"/>
    <tableColumn id="352" xr3:uid="{00000000-0010-0000-0400-000060010000}" name="BLK8_INV19" dataDxfId="803"/>
    <tableColumn id="353" xr3:uid="{00000000-0010-0000-0400-000061010000}" name="BLK8_INV20" dataDxfId="802"/>
    <tableColumn id="354" xr3:uid="{00000000-0010-0000-0400-000062010000}" name="BLK8_INV21" dataDxfId="801"/>
    <tableColumn id="355" xr3:uid="{00000000-0010-0000-0400-000063010000}" name="BLK8_INV22" dataDxfId="800"/>
    <tableColumn id="356" xr3:uid="{00000000-0010-0000-0400-000064010000}" name="BLK8_INV23" dataDxfId="799"/>
    <tableColumn id="357" xr3:uid="{00000000-0010-0000-0400-000065010000}" name="BLK8_INV24" dataDxfId="798"/>
    <tableColumn id="358" xr3:uid="{00000000-0010-0000-0400-000066010000}" name="BLK8_INV25" dataDxfId="797"/>
    <tableColumn id="359" xr3:uid="{00000000-0010-0000-0400-000067010000}" name="BLK8_INV26" dataDxfId="796"/>
    <tableColumn id="360" xr3:uid="{00000000-0010-0000-0400-000068010000}" name="BLK8_INV27" dataDxfId="795"/>
    <tableColumn id="175" xr3:uid="{1521660E-69DB-4077-84DD-34A1AB504D33}" name="BLK8_INV28" dataDxfId="794"/>
    <tableColumn id="172" xr3:uid="{00000000-0010-0000-0400-0000AC000000}" name="AT (°C) 14 Hours" dataDxfId="793"/>
    <tableColumn id="177" xr3:uid="{00000000-0010-0000-0400-0000B1000000}" name="MT (°C) Gen. Hours" dataDxfId="792"/>
    <tableColumn id="183" xr3:uid="{00000000-0010-0000-0400-0000B7000000}" name="WS_Avg (m/s) (24 Hours)" dataDxfId="791"/>
    <tableColumn id="189" xr3:uid="{00000000-0010-0000-0400-0000BD000000}" name="WS_Max (m/s)" dataDxfId="790"/>
    <tableColumn id="167" xr3:uid="{00000000-0010-0000-0400-0000A7000000}" name="Rain (mm)" dataDxfId="789"/>
    <tableColumn id="195" xr3:uid="{00000000-0010-0000-0400-0000C3000000}" name="GHI " dataDxfId="788"/>
    <tableColumn id="207" xr3:uid="{00000000-0010-0000-0400-0000CF000000}" name="POA" dataDxfId="787"/>
    <tableColumn id="219" xr3:uid="{00000000-0010-0000-0400-0000DB000000}" name="GHI_Lost " dataDxfId="786"/>
    <tableColumn id="225" xr3:uid="{00000000-0010-0000-0400-0000E1000000}" name="POA_Lost" dataDxfId="785"/>
    <tableColumn id="231" xr3:uid="{00000000-0010-0000-0400-0000E7000000}" name="33kV_IC1_ExPort" dataDxfId="784"/>
    <tableColumn id="232" xr3:uid="{00000000-0010-0000-0400-0000E8000000}" name="33kV_IC1_Import" dataDxfId="783"/>
    <tableColumn id="233" xr3:uid="{00000000-0010-0000-0400-0000E9000000}" name="33kV_IC2_ExPort" dataDxfId="782"/>
    <tableColumn id="234" xr3:uid="{00000000-0010-0000-0400-0000EA000000}" name="33kV_IC2_Import" dataDxfId="781"/>
    <tableColumn id="369" xr3:uid="{00000000-0010-0000-0400-000071010000}" name="33kV_IC3_ExPort" dataDxfId="780"/>
    <tableColumn id="370" xr3:uid="{00000000-0010-0000-0400-000072010000}" name="33kV_IC3_Import" dataDxfId="779"/>
    <tableColumn id="371" xr3:uid="{00000000-0010-0000-0400-000073010000}" name="33kV_IC4_ExPort" dataDxfId="778"/>
    <tableColumn id="372" xr3:uid="{00000000-0010-0000-0400-000074010000}" name="33kV_IC4_Import" dataDxfId="777"/>
    <tableColumn id="235" xr3:uid="{00000000-0010-0000-0400-0000EB000000}" name=" " dataDxfId="776"/>
    <tableColumn id="236" xr3:uid="{00000000-0010-0000-0400-0000EC000000}" name="I31kV_PQM_Im" dataDxfId="775"/>
    <tableColumn id="249" xr3:uid="{00000000-0010-0000-0400-0000F9000000}" name="33kV_IC1_ExPort(KWh)" dataDxfId="774" dataCellStyle="Comma"/>
    <tableColumn id="250" xr3:uid="{00000000-0010-0000-0400-0000FA000000}" name="33kV_IC1_Import(KWh)" dataDxfId="773" dataCellStyle="Comma"/>
    <tableColumn id="251" xr3:uid="{00000000-0010-0000-0400-0000FB000000}" name="33kV_IC2_ExPort(KWh)" dataDxfId="772" dataCellStyle="Comma"/>
    <tableColumn id="252" xr3:uid="{00000000-0010-0000-0400-0000FC000000}" name="33kV_IC2_Import(KWh)" dataDxfId="771" dataCellStyle="Comma"/>
    <tableColumn id="373" xr3:uid="{00000000-0010-0000-0400-000075010000}" name="33kV_IC3_ExPort(KWh)" dataDxfId="770" dataCellStyle="Comma"/>
    <tableColumn id="374" xr3:uid="{00000000-0010-0000-0400-000076010000}" name="33kV_IC3_Import(KWh)" dataDxfId="769" dataCellStyle="Comma"/>
    <tableColumn id="375" xr3:uid="{00000000-0010-0000-0400-000077010000}" name="33kV_IC4_ExPort(kWh)" dataDxfId="768" dataCellStyle="Comma"/>
    <tableColumn id="376" xr3:uid="{00000000-0010-0000-0400-000078010000}" name="33kV_IC4_Import(KWh)" dataDxfId="767" dataCellStyle="Comma"/>
    <tableColumn id="253" xr3:uid="{00000000-0010-0000-0400-0000FD000000}" name="132kV_PQM_Ex(KWh)" dataDxfId="766" dataCellStyle="Comma"/>
    <tableColumn id="254" xr3:uid="{00000000-0010-0000-0400-0000FE000000}" name="132kV_PQM_Im(KWh)" dataDxfId="765" dataCellStyle="Comma"/>
    <tableColumn id="255" xr3:uid="{00000000-0010-0000-0400-0000FF000000}" name="33kV_Net_Ex (kWh)" dataDxfId="764" dataCellStyle="Comma">
      <calculatedColumnFormula>(JU4+JW4)-(JV4+JX4)</calculatedColumnFormula>
    </tableColumn>
    <tableColumn id="256" xr3:uid="{00000000-0010-0000-0400-000000010000}" name="132kV_Net_Ex (kWh)" dataDxfId="763" dataCellStyle="Comma">
      <calculatedColumnFormula>IFERROR(KC4-KD4,"")</calculatedColumnFormula>
    </tableColumn>
    <tableColumn id="257" xr3:uid="{00000000-0010-0000-0400-000001010000}" name="Operating Hours" dataDxfId="762" dataCellStyle="Comma">
      <calculatedColumnFormula>(RD[[#This Row],[Sunset Time (POA&lt;20 W/m2)]]-RD[[#This Row],[Sunrise Time (POA&gt;20 W/m2)]])*24</calculatedColumnFormula>
    </tableColumn>
    <tableColumn id="258" xr3:uid="{00000000-0010-0000-0400-000002010000}" name="GHI (KWh/m2)2" dataDxfId="761">
      <calculatedColumnFormula>RD[[#This Row],[GHI ]]</calculatedColumnFormula>
    </tableColumn>
    <tableColumn id="260" xr3:uid="{00000000-0010-0000-0400-000004010000}" name="POA(KWh/m2)2" dataDxfId="760">
      <calculatedColumnFormula>RD[[#This Row],[POA]]</calculatedColumnFormula>
    </tableColumn>
    <tableColumn id="264" xr3:uid="{00000000-0010-0000-0400-000008010000}" name="Amm_Temp(°C)" dataDxfId="759">
      <calculatedColumnFormula>RD[[#This Row],[AT (°C) 14 Hours]]</calculatedColumnFormula>
    </tableColumn>
    <tableColumn id="265" xr3:uid="{00000000-0010-0000-0400-000009010000}" name="Mod_Temp(°C)" dataDxfId="758">
      <calculatedColumnFormula>RD[[#This Row],[MT (°C) Gen. Hours]]</calculatedColumnFormula>
    </tableColumn>
    <tableColumn id="266" xr3:uid="{00000000-0010-0000-0400-00000A010000}" name="WS_Avg(m/s)" dataDxfId="757">
      <calculatedColumnFormula>RD[[#This Row],[WS_Avg (m/s) (24 Hours)]]</calculatedColumnFormula>
    </tableColumn>
    <tableColumn id="267" xr3:uid="{00000000-0010-0000-0400-00000B010000}" name="WS_Max(m/s)" dataDxfId="756">
      <calculatedColumnFormula>RD[[#This Row],[WS_Max (m/s)]]</calculatedColumnFormula>
    </tableColumn>
    <tableColumn id="268" xr3:uid="{00000000-0010-0000-0400-00000C010000}" name="Inv_Exp(KWh)" dataDxfId="755">
      <calculatedColumnFormula>SUM(RD[[#This Row],[BLK1_INV1]:[BLK8_INV27]])</calculatedColumnFormula>
    </tableColumn>
    <tableColumn id="269" xr3:uid="{00000000-0010-0000-0400-00000D010000}" name="WPR_Eac" dataDxfId="754"/>
    <tableColumn id="270" xr3:uid="{00000000-0010-0000-0400-00000E010000}" name="WPR_Edc" dataDxfId="753"/>
    <tableColumn id="271" xr3:uid="{00000000-0010-0000-0400-00000F010000}" name="WPR" dataDxfId="752">
      <calculatedColumnFormula>IFERROR(RD[[#This Row],[WPR_Eac]]/RD[[#This Row],[WPR_Edc]],"")</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681BD85-17C5-468A-92FA-55BB59607B40}" name="Table13" displayName="Table13" ref="A1:AS369" totalsRowShown="0" headerRowDxfId="751" totalsRowDxfId="748" headerRowBorderDxfId="750" tableBorderDxfId="749" totalsRowBorderDxfId="747">
  <autoFilter ref="A1:AS369" xr:uid="{3B203726-2095-49D8-A694-A659B4A14C0A}"/>
  <tableColumns count="45">
    <tableColumn id="1" xr3:uid="{49331164-3EAB-44DA-90A7-516EFC04B490}" name="Date" dataDxfId="746" totalsRowDxfId="745" dataCellStyle="Normal 53"/>
    <tableColumn id="2" xr3:uid="{2D110DEE-5BF3-454F-9218-CCE60A151302}" name="Financial Year" dataDxfId="744" totalsRowDxfId="743" dataCellStyle="Normal 53">
      <calculatedColumnFormula>YEAR(Table13[[#This Row],[Date]])+IF(MONTH(Table13[[#This Row],[Date]])&gt;=4,1,0)</calculatedColumnFormula>
    </tableColumn>
    <tableColumn id="3" xr3:uid="{37DFA36D-1BBA-4A44-A7D9-F26561F835F6}" name="Calendar Year" dataDxfId="742" totalsRowDxfId="741" dataCellStyle="Normal 53">
      <calculatedColumnFormula>YEAR(Table13[[#This Row],[Date]])</calculatedColumnFormula>
    </tableColumn>
    <tableColumn id="4" xr3:uid="{E9FAE028-4151-4FCB-BF43-2D43738476A8}" name="Month Year" dataDxfId="740" totalsRowDxfId="739" dataCellStyle="Normal 53">
      <calculatedColumnFormula>Table13[[#This Row],[Date]]-DAY(Table13[[#This Row],[Date]])+1</calculatedColumnFormula>
    </tableColumn>
    <tableColumn id="5" xr3:uid="{87B68F0A-9F82-4CDE-9EAA-DE532516DCA5}" name="Days" dataDxfId="738" totalsRowDxfId="737" dataCellStyle="Normal 53">
      <calculatedColumnFormula>DAY(EOMONTH(A2,0))</calculatedColumnFormula>
    </tableColumn>
    <tableColumn id="6" xr3:uid="{33DA5E20-FC7B-4D81-8F60-ADE4F9AAD842}" name="Operating Hours" dataDxfId="736" dataCellStyle="Percent 43">
      <calculatedColumnFormula>IFERROR(_xlfn.XLOOKUP($A2,Raw_Data!$B:$B,Raw_Data!$KG:$KG),"")</calculatedColumnFormula>
    </tableColumn>
    <tableColumn id="7" xr3:uid="{58F2F89C-1D98-42BE-B0E7-7809ADF8B85A}" name="GHI-UP (KWh/m2)" dataDxfId="735" totalsRowDxfId="734" dataCellStyle="Percent 43">
      <calculatedColumnFormula>IFERROR(_xlfn.XLOOKUP($A2,Raw_Data!$B:$B,Raw_Data!KH:KH),"")</calculatedColumnFormula>
    </tableColumn>
    <tableColumn id="8" xr3:uid="{D10AA21C-FB29-49C0-962E-D7DB33D1FFA7}" name="GHI-Down(KWh/m2)" dataDxfId="733" totalsRowDxfId="732" dataCellStyle="Percent 43"/>
    <tableColumn id="9" xr3:uid="{DFBDBA3B-ACBF-47E0-A773-88EF915D4C27}" name="POA-UP(KWh/m2)" dataDxfId="731" totalsRowDxfId="730" dataCellStyle="Percent 43">
      <calculatedColumnFormula>IFERROR(_xlfn.XLOOKUP($A2,Raw_Data!$B:$B,Raw_Data!$KI:$KI),"")</calculatedColumnFormula>
    </tableColumn>
    <tableColumn id="10" xr3:uid="{19829804-03CF-4955-9789-A937DA3C2C45}" name="POA-Down(KWh/m2)" dataDxfId="729" dataCellStyle="Percent 43"/>
    <tableColumn id="11" xr3:uid="{87AC32BE-04A9-42BB-A85D-14F59A2A1BF9}" name="Amb_Temp(°C)" dataDxfId="728" totalsRowDxfId="727" dataCellStyle="Percent 43">
      <calculatedColumnFormula>IFERROR(_xlfn.XLOOKUP($A2,Raw_Data!$B:$B,Raw_Data!KJ:KJ),"")</calculatedColumnFormula>
    </tableColumn>
    <tableColumn id="12" xr3:uid="{1D75C511-BEEE-41CD-AE72-FD39512392BC}" name="Mod_Temp(°C)" dataDxfId="726" totalsRowDxfId="725" dataCellStyle="Percent 43">
      <calculatedColumnFormula>IFERROR(_xlfn.XLOOKUP($A2,Raw_Data!$B:$B,Raw_Data!KK:KK),"")</calculatedColumnFormula>
    </tableColumn>
    <tableColumn id="13" xr3:uid="{854248A8-4A8F-4035-88A7-C4C68BDB5DF7}" name="WS_Avg(m/s)" dataDxfId="724" totalsRowDxfId="723" dataCellStyle="Percent 43">
      <calculatedColumnFormula>IFERROR(_xlfn.XLOOKUP($A2,Raw_Data!$B:$B,Raw_Data!KL:KL),"")</calculatedColumnFormula>
    </tableColumn>
    <tableColumn id="14" xr3:uid="{FBB52B0A-F091-4917-B4BC-792FC5D96FC9}" name="WS_Max(m/s)" dataDxfId="722" totalsRowDxfId="721" dataCellStyle="Percent 43">
      <calculatedColumnFormula>IFERROR(_xlfn.XLOOKUP($A2,Raw_Data!$B:$B,Raw_Data!KM:KM),"")</calculatedColumnFormula>
    </tableColumn>
    <tableColumn id="15" xr3:uid="{FC90C8C1-B608-4C30-86A6-1422B7F0DB38}" name="PA(%)" dataDxfId="720" totalsRowDxfId="719" dataCellStyle="Percent 43">
      <calculatedColumnFormula>IFERROR(1-SUMIF(PA!$B:$B,$A2,PA!AJ:AJ)/($AA2+SUMIF(PA!$B:$B,$A2,PA!AJ:AJ)),"")</calculatedColumnFormula>
    </tableColumn>
    <tableColumn id="16" xr3:uid="{031E2A96-98CB-40F3-AB2B-50D61CAFA61E}" name="MA (%)" dataDxfId="718" totalsRowDxfId="717" dataCellStyle="Percent 43"/>
    <tableColumn id="17" xr3:uid="{AEA3A465-AF29-49F4-9C94-77A812F882A4}" name="IGA (%)" dataDxfId="716" totalsRowDxfId="715" dataCellStyle="Percent 43"/>
    <tableColumn id="18" xr3:uid="{283929F0-2115-4FC5-888B-EF8432A7E0BB}" name="EGA(%)" dataDxfId="714" dataCellStyle="Percent 43">
      <calculatedColumnFormula>IFERROR(1-SUMIF(GA!$C:$C,$A2,GA!$X:$X)/($AA2+SUMIF(GA!$C:$C,$A2,GA!$X:$X)),"")</calculatedColumnFormula>
    </tableColumn>
    <tableColumn id="19" xr3:uid="{DB115EE3-EFE5-4DB4-ACB5-E1B13AFD64FF}" name="EMA (%)" dataDxfId="713" totalsRowDxfId="712" dataCellStyle="Normal 53"/>
    <tableColumn id="20" xr3:uid="{A49BD202-0098-4877-A3DF-B33540A5A044}" name="TA (%)" dataDxfId="711" totalsRowDxfId="710" dataCellStyle="Percent 43"/>
    <tableColumn id="21" xr3:uid="{8BEDF9D7-76FE-42C2-A225-EDA6B635BF33}" name="PR(%)" dataDxfId="709" totalsRowDxfId="708" dataCellStyle="Percent 43">
      <calculatedColumnFormula>IFERROR(AA2/I2/AB2/1000,"")</calculatedColumnFormula>
    </tableColumn>
    <tableColumn id="22" xr3:uid="{D15BCCC4-2EF2-42FC-A7D3-90060D608014}" name="WPR(%)" dataDxfId="707" totalsRowDxfId="706" dataCellStyle="Percent 43">
      <calculatedColumnFormula>IFERROR(_xlfn.XLOOKUP($A2,Raw_Data!$B:$B,Raw_Data!$KQ:$KQ),"")</calculatedColumnFormula>
    </tableColumn>
    <tableColumn id="23" xr3:uid="{F2969299-67B3-4F43-9970-8ACEB0754219}" name="CUF(%)" dataDxfId="705" totalsRowDxfId="704" dataCellStyle="Percent 43">
      <calculatedColumnFormula>IFERROR(AA2/(24*AB2*1000),"")</calculatedColumnFormula>
    </tableColumn>
    <tableColumn id="24" xr3:uid="{69914939-A5C1-445B-A68E-B18042777754}" name="Gen_Exp (kWh)" dataDxfId="703" totalsRowDxfId="702" dataCellStyle="Normal 53">
      <calculatedColumnFormula>IFERROR(_xlfn.XLOOKUP($A2,Raw_Data!$B:$B,Raw_Data!$KN:$KN),"")</calculatedColumnFormula>
    </tableColumn>
    <tableColumn id="25" xr3:uid="{A6A7272D-B6B7-48A3-A9F4-0B349A9BA1A5}" name="Mtr_Export (kWh)" dataDxfId="701" totalsRowDxfId="700" dataCellStyle="Normal 53">
      <calculatedColumnFormula>IFERROR(_xlfn.XLOOKUP($A2,Raw_Data!$B:$B,Raw_Data!$KC:$KC),"")</calculatedColumnFormula>
    </tableColumn>
    <tableColumn id="26" xr3:uid="{1287878D-6530-4708-9198-0C07D74CDDA5}" name="Mtr_Import (kWh)" dataDxfId="699" totalsRowDxfId="698" dataCellStyle="Normal 53">
      <calculatedColumnFormula>IFERROR(_xlfn.XLOOKUP($A2,Raw_Data!$B:$B,Raw_Data!$KD:$KD),"")</calculatedColumnFormula>
    </tableColumn>
    <tableColumn id="27" xr3:uid="{BFC39E57-4975-4F67-87C7-BEDA6ADB82A8}" name="Mtr_Net_Exp (KWh)" dataDxfId="697" dataCellStyle="Normal 53">
      <calculatedColumnFormula>IFERROR(_xlfn.XLOOKUP($A2,Raw_Data!$B:$B,Raw_Data!$KF:$KF),"")</calculatedColumnFormula>
    </tableColumn>
    <tableColumn id="28" xr3:uid="{F771343E-28FA-43EC-818A-A4A1064E1C12}" name="Operational Capacity (MW)" dataDxfId="696" totalsRowDxfId="695" dataCellStyle="Normal 53">
      <calculatedColumnFormula>IFERROR(_xlfn.XLOOKUP($A2,Raw_Data!$B:$B,Raw_Data!I:I)/1000,"")</calculatedColumnFormula>
    </tableColumn>
    <tableColumn id="29" xr3:uid="{B63F84BD-286E-4F4F-B9C4-1CF27F227DAE}" name="Bugt_Resource" dataDxfId="694" totalsRowDxfId="693" dataCellStyle="Normal 53">
      <calculatedColumnFormula>IFERROR(_xlfn.XLOOKUP($D2,'Modelling New'!$D:$D,'Modelling New'!$P:$P),"")</calculatedColumnFormula>
    </tableColumn>
    <tableColumn id="30" xr3:uid="{5B376AB6-CF9C-42D3-B833-3C8A9F272FCD}" name="Bugt_Energy" dataDxfId="692" dataCellStyle="Normal 53">
      <calculatedColumnFormula>IFERROR(_xlfn.XLOOKUP($D2,'Modelling New'!$D:$D,'Modelling New'!$T:$T)*1000,"")</calculatedColumnFormula>
    </tableColumn>
    <tableColumn id="43" xr3:uid="{8EBA8262-02E2-485D-B2CD-E236A343A4AD}" name="Bugt PR" dataDxfId="691" dataCellStyle="Percent 35">
      <calculatedColumnFormula>IFERROR(_xlfn.XLOOKUP($D2,'Modelling New'!$D:$D,'Modelling New'!$O:$O),"")</calculatedColumnFormula>
    </tableColumn>
    <tableColumn id="42" xr3:uid="{4CDA2AD1-CDB5-4FC2-BB6C-493E34B7F743}" name="Bugt CUF" dataDxfId="690" totalsRowDxfId="689" dataCellStyle="Percent 35">
      <calculatedColumnFormula>IFERROR(_xlfn.XLOOKUP($D2,'Modelling New'!$D:$D,'Modelling New'!$W:$W),"")</calculatedColumnFormula>
    </tableColumn>
    <tableColumn id="31" xr3:uid="{DEA2AEF8-25BC-4B90-AB15-018053AA0DA0}" name="Bugt_PA" dataDxfId="688" totalsRowDxfId="687" dataCellStyle="Percent 35">
      <calculatedColumnFormula>IFERROR(_xlfn.XLOOKUP($D2,'Modelling New'!$D:$D,'Modelling New'!$AE:$AE),"")</calculatedColumnFormula>
    </tableColumn>
    <tableColumn id="32" xr3:uid="{530311D8-D9AB-4B3D-8FFC-4BBA7630AC9E}" name="Bugt_EGA" dataDxfId="686" totalsRowDxfId="685" dataCellStyle="Percent 35">
      <calculatedColumnFormula>IFERROR(_xlfn.XLOOKUP($D2,'Modelling New'!$D:$D,'Modelling New'!$AF:$AF),"")</calculatedColumnFormula>
    </tableColumn>
    <tableColumn id="33" xr3:uid="{73D5A29F-6704-4558-B1F6-21E5217B1779}" name="Expected Energy" dataDxfId="684" totalsRowDxfId="683" dataCellStyle="Normal 53"/>
    <tableColumn id="34" xr3:uid="{C6EE79F6-FE41-4904-8187-0053AAD099E7}" name="Actual Energy WPR" dataDxfId="682" totalsRowDxfId="681" dataCellStyle="Normal 53"/>
    <tableColumn id="35" xr3:uid="{DBC7D838-FEB6-418C-B358-21D7838203A0}" name="RA (%)" dataDxfId="680" totalsRowDxfId="679" dataCellStyle="Normal 53"/>
    <tableColumn id="36" xr3:uid="{790EBCFF-F6E1-47A3-8B3F-0D8EFA397E48}" name="Mod Clean Dry (Num)" dataDxfId="678" totalsRowDxfId="677" dataCellStyle="Normal 53"/>
    <tableColumn id="37" xr3:uid="{49F8C4C4-1657-4839-8511-D3D012676E43}" name="Mod Clean Wet (Num)" dataDxfId="676" totalsRowDxfId="675" dataCellStyle="Normal 53"/>
    <tableColumn id="38" xr3:uid="{9AE27CB4-C6B7-4D24-8FF4-077BAE181FE5}" name="Line Loss(%)" dataDxfId="674" totalsRowDxfId="673" dataCellStyle="Percent 35"/>
    <tableColumn id="39" xr3:uid="{E0EE24BD-846E-4620-8DA7-AD3B7879EEE8}" name="Reactive Power (%)" dataDxfId="672" dataCellStyle="Percent 43"/>
    <tableColumn id="40" xr3:uid="{7E75F90B-5C77-42D6-BC4C-CFDA882DE538}" name="Bugt Line loss (%) (Wind)" dataDxfId="671" totalsRowDxfId="670" dataCellStyle="Percent 43"/>
    <tableColumn id="41" xr3:uid="{5F964522-45B8-4CA3-8C82-AAA02167987E}" name="Bugt Reactive Power (%) (Wind)" dataDxfId="669" totalsRowDxfId="668" dataCellStyle="Percent 43"/>
    <tableColumn id="45" xr3:uid="{53F5A90A-5D5D-46B1-B329-AF28B53869D7}" name="Bugt Capacity" dataDxfId="667" totalsRowDxfId="666" dataCellStyle="Normal 53">
      <calculatedColumnFormula>IFERROR(_xlfn.XLOOKUP($D1,'Modelling New'!$D:$D,'Modelling New'!$N:$N),"")</calculatedColumnFormula>
    </tableColumn>
    <tableColumn id="44" xr3:uid="{9308A95A-73E6-4885-A1C1-365931361676}" name="CC*Bugt" dataDxfId="665" totalsRowDxfId="664" dataCellStyle="Normal 53"/>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F61447-9D12-4A1C-9E68-8C2AE7EE7A9A}" name="Table14" displayName="Table14" ref="A1:AN25" totalsRowShown="0" headerRowDxfId="663" dataDxfId="661" headerRowBorderDxfId="662" tableBorderDxfId="660" totalsRowBorderDxfId="659">
  <tableColumns count="40">
    <tableColumn id="1" xr3:uid="{7B2E1B10-0299-4518-A1FD-6E02E1E9C380}" name="Sr. No." dataDxfId="658" dataCellStyle="Comma 42"/>
    <tableColumn id="2" xr3:uid="{92015E87-FBE9-4863-B82B-85947C05D7C5}" name="Month Name" dataDxfId="657" dataCellStyle="Comma 42"/>
    <tableColumn id="3" xr3:uid="{95DFB51B-C0A5-4870-919A-189632071F24}" name="Month Number" dataDxfId="656" dataCellStyle="Comma 42"/>
    <tableColumn id="4" xr3:uid="{5F4BDB3D-0337-404E-8607-E9125808800E}" name="Month" dataDxfId="655" dataCellStyle="Comma 42"/>
    <tableColumn id="5" xr3:uid="{6A9345FC-645A-405F-9371-057518E40B0D}" name="CY" dataDxfId="654">
      <calculatedColumnFormula>YEAR(D2)</calculatedColumnFormula>
    </tableColumn>
    <tableColumn id="6" xr3:uid="{59CEFE7E-9B91-4D2E-A1FC-A61D6BB217DA}" name="FY" dataDxfId="653"/>
    <tableColumn id="7" xr3:uid="{72E919BE-CF43-42B3-BE0B-58AC84F923B3}" name="No. of Days in Month" dataDxfId="652">
      <calculatedColumnFormula>DAY(EOMONTH(D2,0))</calculatedColumnFormula>
    </tableColumn>
    <tableColumn id="8" xr3:uid="{C6938CC9-5034-41D1-8E14-BD669497696F}" name="GHI" dataDxfId="651"/>
    <tableColumn id="9" xr3:uid="{E12FACAF-DBE3-4B58-ABD6-05001E91BB3A}" name="POA" dataDxfId="650"/>
    <tableColumn id="10" xr3:uid="{12FAB84B-82E8-41B8-A4BE-BA3C1046980C}" name="WS" dataDxfId="649"/>
    <tableColumn id="11" xr3:uid="{D3C4D3B4-70F2-4932-B22F-4EF80BECF804}" name="Tamb" dataDxfId="648"/>
    <tableColumn id="12" xr3:uid="{E233462A-23D7-45D8-AC6F-81DA13F9084C}" name="Tmod" dataDxfId="647"/>
    <tableColumn id="13" xr3:uid="{7C104789-1FA1-4A71-94BE-7B950D9D6498}" name="Egrid (MWh)" dataDxfId="646"/>
    <tableColumn id="14" xr3:uid="{AB26A7CB-06EE-44F5-B8A5-B62A0C57C169}" name="Bugt_Capacity" dataDxfId="645"/>
    <tableColumn id="15" xr3:uid="{84AD1D76-86A1-47CE-819B-9DCFFB649ADB}" name="PR" dataDxfId="644">
      <calculatedColumnFormula>IFERROR(M2/I2/N2,"")</calculatedColumnFormula>
    </tableColumn>
    <tableColumn id="16" xr3:uid="{CE6C2D67-E40E-4775-A5DE-7F26E80DF638}" name="Daily POA" dataDxfId="643">
      <calculatedColumnFormula>IFERROR(I2/G2,"")</calculatedColumnFormula>
    </tableColumn>
    <tableColumn id="17" xr3:uid="{7527786A-ED87-4E75-B260-19FAB9550F9C}" name="Days Operated" dataDxfId="642">
      <calculatedColumnFormula>COUNTIFS('Daily KPI'!$D:$D,D2,'Daily KPI'!$F:$F,"&gt;0")</calculatedColumnFormula>
    </tableColumn>
    <tableColumn id="18" xr3:uid="{9074833B-1268-4C1D-993B-0F3151B48BBE}" name="MTD POA" dataDxfId="641">
      <calculatedColumnFormula>I2/G2*Q2</calculatedColumnFormula>
    </tableColumn>
    <tableColumn id="27" xr3:uid="{BCCDE85D-7C23-4301-8186-A751DD589D26}" name="YTD POA" dataDxfId="640">
      <calculatedColumnFormula>SUMIF($F$2:F2,F2,$R$2:R2)</calculatedColumnFormula>
    </tableColumn>
    <tableColumn id="19" xr3:uid="{8235E5FB-3E26-4E52-8E19-2F2993521EEB}" name="Daily Energy (MWh)" dataDxfId="639">
      <calculatedColumnFormula>M2/G2</calculatedColumnFormula>
    </tableColumn>
    <tableColumn id="20" xr3:uid="{B02F29F5-F360-48B7-B617-AA685F233D69}" name="MTD Energy (MWh)" dataDxfId="638">
      <calculatedColumnFormula>M2/G2*Q2</calculatedColumnFormula>
    </tableColumn>
    <tableColumn id="28" xr3:uid="{EE16DB2A-0A6F-4FD4-947E-917072257015}" name="YTD Energy (MWh)" dataDxfId="637">
      <calculatedColumnFormula>SUMIF($F$2:F2,F2,$U$2:U2)</calculatedColumnFormula>
    </tableColumn>
    <tableColumn id="38" xr3:uid="{BEDC4B8F-95B7-4972-8715-228C715C4E11}" name="Bugt CUF (%)" dataDxfId="636" dataCellStyle="Percent">
      <calculatedColumnFormula>IFERROR(T2/(24*N2),"")</calculatedColumnFormula>
    </tableColumn>
    <tableColumn id="37" xr3:uid="{ED60FB18-3140-4A56-BB36-900157DC2305}" name="Bugt CUF (%) MTD" dataDxfId="635" dataCellStyle="Percent">
      <calculatedColumnFormula>IFERROR(U2/(24*N2*G2),"")</calculatedColumnFormula>
    </tableColumn>
    <tableColumn id="36" xr3:uid="{CB6EDCB7-A91E-48B2-BDC1-21DFA6B4D1C1}" name="Bugt CUF (%)YTD" dataDxfId="634" dataCellStyle="Percent">
      <calculatedColumnFormula>IFERROR(V2/(24*N2*SUMIFS($Q:$Q,$F:$F,$F2,$D:$D,"&lt;="&amp;D2)),"")</calculatedColumnFormula>
    </tableColumn>
    <tableColumn id="21" xr3:uid="{6B672FC8-FE39-4056-9109-939BEC9AB7B4}" name="Ave. Cap MTD" dataDxfId="633">
      <calculatedColumnFormula>IFERROR(AVERAGEIF('Daily KPI'!$D:$D,Table14[[#This Row],[Month]],'Daily KPI'!AB:AB),"")</calculatedColumnFormula>
    </tableColumn>
    <tableColumn id="29" xr3:uid="{D61064F6-01AE-4441-B130-F0082AFD50F7}" name="Ave. Cap YTD" dataDxfId="632">
      <calculatedColumnFormula>IFERROR(AVERAGEIF($F$2:F2,F2,$N$2:N2),"")</calculatedColumnFormula>
    </tableColumn>
    <tableColumn id="22" xr3:uid="{819AC15E-6F11-4C0E-B0D0-A2015D7A0147}" name="CC Energy MTD" dataDxfId="631"/>
    <tableColumn id="31" xr3:uid="{244B772D-43D8-4EAD-9B2A-8E414DEB93EB}" name="WS MTD" dataDxfId="630"/>
    <tableColumn id="23" xr3:uid="{18D6D62D-4BC5-436C-8463-1EEEEEE632E6}" name="WS YTD" dataDxfId="629"/>
    <tableColumn id="24" xr3:uid="{40C0EB30-B3C7-4B06-894B-2A0A60BE6884}" name="Bugt PA" dataDxfId="628" dataCellStyle="Percent 43"/>
    <tableColumn id="25" xr3:uid="{A8D16B50-AB0C-4530-8E60-7BD5FE98DE86}" name="Bugt EGA" dataDxfId="627" dataCellStyle="Percent 43"/>
    <tableColumn id="35" xr3:uid="{3E3BA4EE-68F0-4011-A040-97EF026CB7FE}" name="Bugt TA" dataDxfId="626" dataCellStyle="Percent"/>
    <tableColumn id="26" xr3:uid="{93F2791A-E9CF-4ACA-BE97-7A908579F197}" name="Bugt MA" dataDxfId="625" dataCellStyle="Percent"/>
    <tableColumn id="30" xr3:uid="{F9FB10AB-62EF-43A1-BF10-161AC377C4D6}" name="Bugt IGA" dataDxfId="624" dataCellStyle="Percent"/>
    <tableColumn id="32" xr3:uid="{7EB0B29D-0273-475E-B56F-C9439C93E6F7}" name="Corelation" dataDxfId="623" dataCellStyle="Percent"/>
    <tableColumn id="33" xr3:uid="{387C5FC5-7362-4368-A010-4C527EECF054}" name="Bugt Line loss" dataDxfId="622" dataCellStyle="Percent"/>
    <tableColumn id="34" xr3:uid="{CECC43BB-DA13-4AC7-AE65-E9E196DB48E0}" name="Bugt Reactive Power" dataDxfId="621" dataCellStyle="Percent"/>
    <tableColumn id="40" xr3:uid="{A0B92E6B-2F19-4B5C-BE3F-DFD8EAC82180}" name="CC*Bugt (MTD)" dataDxfId="620" dataCellStyle="Percent"/>
    <tableColumn id="41" xr3:uid="{879AD165-2B1A-404A-9D18-C9011CA9CED5}" name="CC*Bugt (YTD)" dataDxfId="619" dataCellStyle="Percent"/>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GA" displayName="GA" ref="B4:X11" totalsRowShown="0" headerRowDxfId="618" dataDxfId="616" headerRowBorderDxfId="617" tableBorderDxfId="615" totalsRowBorderDxfId="614" headerRowCellStyle="Normal 26">
  <tableColumns count="23">
    <tableColumn id="1" xr3:uid="{00000000-0010-0000-0600-000001000000}" name="Sr. No." dataDxfId="613"/>
    <tableColumn id="2" xr3:uid="{00000000-0010-0000-0600-000002000000}" name="Date" dataDxfId="612"/>
    <tableColumn id="3" xr3:uid="{00000000-0010-0000-0600-000003000000}" name="Financial Year" dataDxfId="611">
      <calculatedColumnFormula>YEAR(GA[[#This Row],[Date]])+IF(MONTH(GA[[#This Row],[Date]])&gt;=4,1,0)</calculatedColumnFormula>
    </tableColumn>
    <tableColumn id="4" xr3:uid="{00000000-0010-0000-0600-000004000000}" name="Calendar Year" dataDxfId="610">
      <calculatedColumnFormula>YEAR(GA[[#This Row],[Date]])</calculatedColumnFormula>
    </tableColumn>
    <tableColumn id="5" xr3:uid="{00000000-0010-0000-0600-000005000000}" name="Contractual Year" dataDxfId="609"/>
    <tableColumn id="6" xr3:uid="{00000000-0010-0000-0600-000006000000}" name="Operating Year" dataDxfId="608"/>
    <tableColumn id="7" xr3:uid="{00000000-0010-0000-0600-000007000000}" name="Month Year" dataDxfId="607">
      <calculatedColumnFormula>GA[[#This Row],[Date]]-DAY(GA[[#This Row],[Date]])+1</calculatedColumnFormula>
    </tableColumn>
    <tableColumn id="8" xr3:uid="{00000000-0010-0000-0600-000008000000}" name="Days" dataDxfId="606">
      <calculatedColumnFormula>DAY(EOMONTH(GA[[#This Row],[Month Year]],0))</calculatedColumnFormula>
    </tableColumn>
    <tableColumn id="9" xr3:uid="{00000000-0010-0000-0600-000009000000}" name="Sunrise Time (POA&gt;20 W/m2)" dataDxfId="605">
      <calculatedColumnFormula>_xlfn.XLOOKUP(GA[[#This Row],[Date]],RD[Date],RD[Sunrise Time (POA&gt;20 W/m2)],0)</calculatedColumnFormula>
    </tableColumn>
    <tableColumn id="10" xr3:uid="{00000000-0010-0000-0600-00000A000000}" name="Sunset Time (POA&lt;20 W/m2)" dataDxfId="604">
      <calculatedColumnFormula>_xlfn.XLOOKUP(GA[[#This Row],[Date]],RD[Date],RD[Sunset Time (POA&lt;20 W/m2)],0)</calculatedColumnFormula>
    </tableColumn>
    <tableColumn id="11" xr3:uid="{00000000-0010-0000-0600-00000B000000}" name="Total Generation Time" dataDxfId="603">
      <calculatedColumnFormula>(GA[[#This Row],[Sunset Time (POA&lt;20 W/m2)]]-GA[[#This Row],[Sunrise Time (POA&gt;20 W/m2)]])*24</calculatedColumnFormula>
    </tableColumn>
    <tableColumn id="12" xr3:uid="{00000000-0010-0000-0600-00000C000000}" name="Affected Equipment " dataDxfId="602"/>
    <tableColumn id="13" xr3:uid="{00000000-0010-0000-0600-00000D000000}" name="DC Capacity Affected (kW)" dataDxfId="601">
      <calculatedColumnFormula>_xlfn.XLOOKUP(GA[[#This Row],[Affected Equipment ]],'Basic Data '!$A:$A,'Basic Data '!$B:$B,0)</calculatedColumnFormula>
    </tableColumn>
    <tableColumn id="14" xr3:uid="{00000000-0010-0000-0600-00000E000000}" name="Plant Equivalent Weightage" dataDxfId="600" dataCellStyle="Percent">
      <calculatedColumnFormula>_xlfn.XLOOKUP(GA[[#This Row],[Affected Equipment ]],'Basic Data '!$A:$A,'Basic Data '!$C:$C,0)</calculatedColumnFormula>
    </tableColumn>
    <tableColumn id="16" xr3:uid="{00000000-0010-0000-0600-000010000000}" name="Breakdown Description" dataDxfId="599"/>
    <tableColumn id="17" xr3:uid="{00000000-0010-0000-0600-000011000000}" name="Fault Time" dataDxfId="598"/>
    <tableColumn id="18" xr3:uid="{00000000-0010-0000-0600-000012000000}" name="Work Completion time on fault" dataDxfId="597"/>
    <tableColumn id="19" xr3:uid="{00000000-0010-0000-0600-000013000000}" name="Breakdown Time" dataDxfId="596">
      <calculatedColumnFormula>(GA[[#This Row],[Work Completion time on fault]]-GA[[#This Row],[Fault Time]])*24</calculatedColumnFormula>
    </tableColumn>
    <tableColumn id="20" xr3:uid="{00000000-0010-0000-0600-000014000000}" name="Action taken" dataDxfId="595"/>
    <tableColumn id="21" xr3:uid="{00000000-0010-0000-0600-000015000000}" name="Status" dataDxfId="594"/>
    <tableColumn id="22" xr3:uid="{00000000-0010-0000-0600-000016000000}" name="Plant Equivalent breakdown" dataDxfId="593">
      <calculatedColumnFormula>GA[[#This Row],[Breakdown Time]]*GA[[#This Row],[Plant Equivalent Weightage]]</calculatedColumnFormula>
    </tableColumn>
    <tableColumn id="23" xr3:uid="{00000000-0010-0000-0600-000017000000}" name="Lost PoA(kWh/m2)" dataDxfId="592"/>
    <tableColumn id="24" xr3:uid="{00000000-0010-0000-0600-000018000000}" name="Approximate Energy Loss (KWh)" dataDxfId="59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PA" displayName="PA" ref="A3:AL596" totalsRowShown="0" headerRowDxfId="590" headerRowBorderDxfId="589" tableBorderDxfId="588" totalsRowBorderDxfId="587" headerRowCellStyle="Normal 26">
  <autoFilter ref="A3:AL596" xr:uid="{00000000-000C-0000-FFFF-FFFF05000000}">
    <filterColumn colId="1">
      <filters>
        <dateGroupItem year="2025" month="7" dateTimeGrouping="month"/>
      </filters>
    </filterColumn>
  </autoFilter>
  <tableColumns count="38">
    <tableColumn id="1" xr3:uid="{00000000-0010-0000-0500-000001000000}" name="Sr. No." dataDxfId="586" totalsRowDxfId="585"/>
    <tableColumn id="2" xr3:uid="{00000000-0010-0000-0500-000002000000}" name="Date" dataDxfId="584" totalsRowDxfId="583"/>
    <tableColumn id="3" xr3:uid="{00000000-0010-0000-0500-000003000000}" name="Financial Year" dataDxfId="582" totalsRowDxfId="581"/>
    <tableColumn id="4" xr3:uid="{00000000-0010-0000-0500-000004000000}" name="Calendar Year" dataDxfId="580" totalsRowDxfId="579">
      <calculatedColumnFormula>YEAR(PA[[#This Row],[Date]])</calculatedColumnFormula>
    </tableColumn>
    <tableColumn id="5" xr3:uid="{00000000-0010-0000-0500-000005000000}" name="9" dataDxfId="578" totalsRowDxfId="577"/>
    <tableColumn id="6" xr3:uid="{00000000-0010-0000-0500-000006000000}" name="Operating Year" dataDxfId="576" totalsRowDxfId="575"/>
    <tableColumn id="7" xr3:uid="{00000000-0010-0000-0500-000007000000}" name="Month Year" dataDxfId="574" totalsRowDxfId="573"/>
    <tableColumn id="8" xr3:uid="{00000000-0010-0000-0500-000008000000}" name="Days" totalsRowDxfId="572">
      <calculatedColumnFormula>DAY(EOMONTH(PA[[#This Row],[Date]], 0))</calculatedColumnFormula>
    </tableColumn>
    <tableColumn id="9" xr3:uid="{00000000-0010-0000-0500-000009000000}" name="Sunrise Time (POA&gt;20 W/m2)" dataDxfId="571" totalsRowDxfId="570"/>
    <tableColumn id="10" xr3:uid="{00000000-0010-0000-0500-00000A000000}" name="Sunset Time (POA&lt;20 W/m2)" dataDxfId="569" totalsRowDxfId="568"/>
    <tableColumn id="11" xr3:uid="{00000000-0010-0000-0500-00000B000000}" name="Total Generation Time" dataDxfId="567" totalsRowDxfId="566">
      <calculatedColumnFormula>IFERROR((PA[[#This Row],[Sunset Time (POA&lt;20 W/m2)]]-PA[[#This Row],[Sunrise Time (POA&gt;20 W/m2)]])*24,"")</calculatedColumnFormula>
    </tableColumn>
    <tableColumn id="12" xr3:uid="{00000000-0010-0000-0500-00000C000000}" name="Inverter  Station Number (if Bd in filed)" dataDxfId="565" totalsRowDxfId="564"/>
    <tableColumn id="14" xr3:uid="{00000000-0010-0000-0500-00000E000000}" name="LT Number (If breakdwon in Below LT Panel)" dataDxfId="563" totalsRowDxfId="562"/>
    <tableColumn id="36" xr3:uid="{00000000-0010-0000-0500-000024000000}" name="ACCB Number (If BD below ACCB)" dataDxfId="561" totalsRowDxfId="560"/>
    <tableColumn id="13" xr3:uid="{00000000-0010-0000-0500-00000D000000}" name="Inverter number (If Inv or Str BD)" dataDxfId="559" totalsRowDxfId="558"/>
    <tableColumn id="15" xr3:uid="{00000000-0010-0000-0500-00000F000000}" name="String Type(If String BD, No other filed to be inserted)" dataDxfId="557" totalsRowDxfId="556"/>
    <tableColumn id="16" xr3:uid="{00000000-0010-0000-0500-000010000000}" name="Equipment (If any BD above LT panel)" dataDxfId="555" totalsRowDxfId="554"/>
    <tableColumn id="17" xr3:uid="{00000000-0010-0000-0500-000011000000}" name="Affected Equipment " dataDxfId="553" totalsRowDxfId="552">
      <calculatedColumnFormula>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calculatedColumnFormula>
    </tableColumn>
    <tableColumn id="18" xr3:uid="{00000000-0010-0000-0500-000012000000}" name="DC Capacity Affected (kW)" dataDxfId="551" totalsRowDxfId="550">
      <calculatedColumnFormula>_xlfn.XLOOKUP(PA[[#This Row],[Affected Equipment ]],'Basic Data '!$A:$A,'Basic Data '!$B:$B)</calculatedColumnFormula>
    </tableColumn>
    <tableColumn id="19" xr3:uid="{00000000-0010-0000-0500-000013000000}" name="Plant Equivalent Weightage" dataDxfId="549" totalsRowDxfId="548">
      <calculatedColumnFormula>IFERROR(_xlfn.XLOOKUP(PA[[#This Row],[Affected Equipment ]],'Basic Data '!A:A,'Basic Data '!C:C),"")</calculatedColumnFormula>
    </tableColumn>
    <tableColumn id="20" xr3:uid="{00000000-0010-0000-0500-000014000000}" name="Fault Category" dataDxfId="547" totalsRowDxfId="546"/>
    <tableColumn id="21" xr3:uid="{00000000-0010-0000-0500-000015000000}" name="Fault Code (As per HMI)" dataDxfId="545" totalsRowDxfId="544"/>
    <tableColumn id="22" xr3:uid="{00000000-0010-0000-0500-000016000000}" name="Breakdown Description" dataDxfId="543" totalsRowDxfId="542"/>
    <tableColumn id="23" xr3:uid="{00000000-0010-0000-0500-000017000000}" name="Fault Time" dataDxfId="541" totalsRowDxfId="540"/>
    <tableColumn id="24" xr3:uid="{00000000-0010-0000-0500-000018000000}" name="Acknowledgement Time " dataDxfId="539" totalsRowDxfId="538"/>
    <tableColumn id="25" xr3:uid="{00000000-0010-0000-0500-000019000000}" name="Work Start time on Fault" dataDxfId="537" totalsRowDxfId="536"/>
    <tableColumn id="26" xr3:uid="{00000000-0010-0000-0500-00001A000000}" name="Work Completion time on fault" dataDxfId="535" totalsRowDxfId="534"/>
    <tableColumn id="27" xr3:uid="{00000000-0010-0000-0500-00001B000000}" name="Acknow. time " dataDxfId="533" totalsRowDxfId="532">
      <calculatedColumnFormula>IF(PA[[#This Row],[Acknowledgement Time ]]="NA","",(PA[[#This Row],[Acknowledgement Time ]]-PA[[#This Row],[Fault Time]])*24)</calculatedColumnFormula>
    </tableColumn>
    <tableColumn id="28" xr3:uid="{00000000-0010-0000-0500-00001C000000}" name="Response Time" dataDxfId="531" totalsRowDxfId="530">
      <calculatedColumnFormula>IF(PA[[#This Row],[Work Start time on Fault]]="NA","",(PA[[#This Row],[Work Start time on Fault]]-PA[[#This Row],[Fault Time]])*24)</calculatedColumnFormula>
    </tableColumn>
    <tableColumn id="29" xr3:uid="{00000000-0010-0000-0500-00001D000000}" name="Resolution Time" dataDxfId="529" totalsRowDxfId="528">
      <calculatedColumnFormula>IF(PA[[#This Row],[Status]]="Open","",(PA[[#This Row],[Work Completion time on fault]]-PA[[#This Row],[Fault Time]])*24)</calculatedColumnFormula>
    </tableColumn>
    <tableColumn id="30" xr3:uid="{00000000-0010-0000-0500-00001E000000}" name="Breakdown Time" dataDxfId="527" totalsRowDxfId="526">
      <calculatedColumnFormula>IFERROR((PA[[#This Row],[Work Completion time on fault]]-PA[[#This Row],[Fault Time]])*24,"")</calculatedColumnFormula>
    </tableColumn>
    <tableColumn id="31" xr3:uid="{00000000-0010-0000-0500-00001F000000}" name="Action taken" dataDxfId="525" totalsRowDxfId="524"/>
    <tableColumn id="32" xr3:uid="{00000000-0010-0000-0500-000020000000}" name="Status" dataDxfId="523" totalsRowDxfId="522"/>
    <tableColumn id="33" xr3:uid="{00000000-0010-0000-0500-000021000000}" name="Plant Equivalent breakdown" dataDxfId="521" totalsRowDxfId="520">
      <calculatedColumnFormula>IFERROR(PA[[#This Row],[Breakdown Time]]*PA[[#This Row],[Plant Equivalent Weightage]],"")</calculatedColumnFormula>
    </tableColumn>
    <tableColumn id="34" xr3:uid="{00000000-0010-0000-0500-000022000000}" name="Lost PoA(kWh/m2)" dataDxfId="519" totalsRowDxfId="518"/>
    <tableColumn id="35" xr3:uid="{00000000-0010-0000-0500-000023000000}" name="Approximate Energy Loss (KWh)" dataDxfId="517" totalsRowDxfId="516">
      <calculatedColumnFormula>IF(PA[[#This Row],[Lost PoA(kWh/m2)]]&gt;0,VLOOKUP(PA[[#This Row],[Date]],#REF!,16,0)*PA[[#This Row],[Lost PoA(kWh/m2)]]*S4,0)</calculatedColumnFormula>
    </tableColumn>
    <tableColumn id="37" xr3:uid="{D8CCC3CB-99ED-466C-B42A-5892D9F8A5D8}" name="PTW No." totalsRowDxfId="515"/>
    <tableColumn id="38" xr3:uid="{C89C5126-6A14-4A35-A95B-24D8AA547E7E}" name="Job Card No." totalsRowDxfId="51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nv_SY_B" displayName="Inv_SY_B" ref="B3:IS53" totalsRowShown="0" headerRowDxfId="513" dataDxfId="511" headerRowBorderDxfId="512" tableBorderDxfId="510" totalsRowBorderDxfId="509" headerRowCellStyle="Normal 26">
  <autoFilter ref="B3:IS53" xr:uid="{00000000-0009-0000-0100-000008000000}"/>
  <tableColumns count="252">
    <tableColumn id="1" xr3:uid="{00000000-0010-0000-0700-000001000000}" name="Date" dataDxfId="508">
      <calculatedColumnFormula>B3+1</calculatedColumnFormula>
    </tableColumn>
    <tableColumn id="2" xr3:uid="{00000000-0010-0000-0700-000002000000}" name="BLK1_INV1" dataDxfId="507">
      <calculatedColumnFormula>IFERROR(VLOOKUP($B4,RD[#All],C$2,0)/C$1,"")</calculatedColumnFormula>
    </tableColumn>
    <tableColumn id="3" xr3:uid="{00000000-0010-0000-0700-000003000000}" name="BLK1_INV2" dataDxfId="506">
      <calculatedColumnFormula>IFERROR(VLOOKUP($B4,RD[#All],D$2,0)/D$1,"")</calculatedColumnFormula>
    </tableColumn>
    <tableColumn id="4" xr3:uid="{00000000-0010-0000-0700-000004000000}" name="BLK1_INV3" dataDxfId="505">
      <calculatedColumnFormula>IFERROR(VLOOKUP($B4,RD[#All],E$2,0)/E$1,"")</calculatedColumnFormula>
    </tableColumn>
    <tableColumn id="5" xr3:uid="{00000000-0010-0000-0700-000005000000}" name="BLK1_INV4" dataDxfId="504">
      <calculatedColumnFormula>IFERROR(VLOOKUP($B4,RD[#All],F$2,0)/F$1,"")</calculatedColumnFormula>
    </tableColumn>
    <tableColumn id="6" xr3:uid="{00000000-0010-0000-0700-000006000000}" name="BLK1_INV5" dataDxfId="503">
      <calculatedColumnFormula>IFERROR(VLOOKUP($B4,RD[#All],G$2,0)/G$1,"")</calculatedColumnFormula>
    </tableColumn>
    <tableColumn id="7" xr3:uid="{00000000-0010-0000-0700-000007000000}" name="BLK1_INV6" dataDxfId="502">
      <calculatedColumnFormula>IFERROR(VLOOKUP($B4,RD[#All],H$2,0)/H$1,"")</calculatedColumnFormula>
    </tableColumn>
    <tableColumn id="8" xr3:uid="{00000000-0010-0000-0700-000008000000}" name="BLK1_INV7" dataDxfId="501">
      <calculatedColumnFormula>IFERROR(VLOOKUP($B4,RD[#All],I$2,0)/I$1,"")</calculatedColumnFormula>
    </tableColumn>
    <tableColumn id="9" xr3:uid="{00000000-0010-0000-0700-000009000000}" name="BLK1_INV8" dataDxfId="500">
      <calculatedColumnFormula>IFERROR(VLOOKUP($B4,RD[#All],J$2,0)/J$1,"")</calculatedColumnFormula>
    </tableColumn>
    <tableColumn id="10" xr3:uid="{00000000-0010-0000-0700-00000A000000}" name="BLK1_INV9" dataDxfId="499">
      <calculatedColumnFormula>IFERROR(VLOOKUP($B4,RD[#All],K$2,0)/K$1,"")</calculatedColumnFormula>
    </tableColumn>
    <tableColumn id="11" xr3:uid="{00000000-0010-0000-0700-00000B000000}" name="BLK1_INV10" dataDxfId="498">
      <calculatedColumnFormula>IFERROR(VLOOKUP($B4,RD[#All],L$2,0)/L$1,"")</calculatedColumnFormula>
    </tableColumn>
    <tableColumn id="12" xr3:uid="{00000000-0010-0000-0700-00000C000000}" name="BLK1_INV11" dataDxfId="497">
      <calculatedColumnFormula>IFERROR(VLOOKUP($B4,RD[#All],M$2,0)/M$1,"")</calculatedColumnFormula>
    </tableColumn>
    <tableColumn id="13" xr3:uid="{00000000-0010-0000-0700-00000D000000}" name="BLK1_INV12" dataDxfId="496">
      <calculatedColumnFormula>IFERROR(VLOOKUP($B4,RD[#All],N$2,0)/N$1,"")</calculatedColumnFormula>
    </tableColumn>
    <tableColumn id="14" xr3:uid="{00000000-0010-0000-0700-00000E000000}" name="BLK1_INV13" dataDxfId="495">
      <calculatedColumnFormula>IFERROR(VLOOKUP($B4,RD[#All],O$2,0)/O$1,"")</calculatedColumnFormula>
    </tableColumn>
    <tableColumn id="15" xr3:uid="{00000000-0010-0000-0700-00000F000000}" name="BLK1_INV14" dataDxfId="494">
      <calculatedColumnFormula>IFERROR(VLOOKUP($B4,RD[#All],P$2,0)/P$1,"")</calculatedColumnFormula>
    </tableColumn>
    <tableColumn id="16" xr3:uid="{00000000-0010-0000-0700-000010000000}" name="BLK1_INV15" dataDxfId="493">
      <calculatedColumnFormula>IFERROR(VLOOKUP($B4,RD[#All],Q$2,0)/Q$1,"")</calculatedColumnFormula>
    </tableColumn>
    <tableColumn id="17" xr3:uid="{00000000-0010-0000-0700-000011000000}" name="BLK1_INV16" dataDxfId="492">
      <calculatedColumnFormula>IFERROR(VLOOKUP($B4,RD[#All],R$2,0)/R$1,"")</calculatedColumnFormula>
    </tableColumn>
    <tableColumn id="18" xr3:uid="{00000000-0010-0000-0700-000012000000}" name="BLK1_INV17" dataDxfId="491">
      <calculatedColumnFormula>IFERROR(VLOOKUP($B4,RD[#All],S$2,0)/S$1,"")</calculatedColumnFormula>
    </tableColumn>
    <tableColumn id="19" xr3:uid="{00000000-0010-0000-0700-000013000000}" name="BLK1_INV18" dataDxfId="490">
      <calculatedColumnFormula>IFERROR(VLOOKUP($B4,RD[#All],T$2,0)/T$1,"")</calculatedColumnFormula>
    </tableColumn>
    <tableColumn id="20" xr3:uid="{00000000-0010-0000-0700-000014000000}" name="BLK1_INV19" dataDxfId="489">
      <calculatedColumnFormula>IFERROR(VLOOKUP($B4,RD[#All],U$2,0)/U$1,"")</calculatedColumnFormula>
    </tableColumn>
    <tableColumn id="21" xr3:uid="{00000000-0010-0000-0700-000015000000}" name="BLK1_INV20" dataDxfId="488">
      <calculatedColumnFormula>IFERROR(VLOOKUP($B4,RD[#All],V$2,0)/V$1,"")</calculatedColumnFormula>
    </tableColumn>
    <tableColumn id="22" xr3:uid="{00000000-0010-0000-0700-000016000000}" name="BLK1_INV21" dataDxfId="487">
      <calculatedColumnFormula>IFERROR(VLOOKUP($B4,RD[#All],W$2,0)/W$1,"")</calculatedColumnFormula>
    </tableColumn>
    <tableColumn id="23" xr3:uid="{00000000-0010-0000-0700-000017000000}" name="BLK1_INV22" dataDxfId="486">
      <calculatedColumnFormula>IFERROR(VLOOKUP($B4,RD[#All],X$2,0)/X$1,"")</calculatedColumnFormula>
    </tableColumn>
    <tableColumn id="24" xr3:uid="{00000000-0010-0000-0700-000018000000}" name="BLK1_INV23" dataDxfId="485">
      <calculatedColumnFormula>IFERROR(VLOOKUP($B4,RD[#All],Y$2,0)/Y$1,"")</calculatedColumnFormula>
    </tableColumn>
    <tableColumn id="25" xr3:uid="{00000000-0010-0000-0700-000019000000}" name="BLK1_INV24" dataDxfId="484">
      <calculatedColumnFormula>IFERROR(VLOOKUP($B4,RD[#All],Z$2,0)/Z$1,"")</calculatedColumnFormula>
    </tableColumn>
    <tableColumn id="26" xr3:uid="{00000000-0010-0000-0700-00001A000000}" name="BLK1_INV25" dataDxfId="483">
      <calculatedColumnFormula>IFERROR(VLOOKUP($B4,RD[#All],AA$2,0)/AA$1,"")</calculatedColumnFormula>
    </tableColumn>
    <tableColumn id="27" xr3:uid="{00000000-0010-0000-0700-00001B000000}" name="BLK1_INV26" dataDxfId="482">
      <calculatedColumnFormula>IFERROR(VLOOKUP($B4,RD[#All],AB$2,0)/AB$1,"")</calculatedColumnFormula>
    </tableColumn>
    <tableColumn id="28" xr3:uid="{00000000-0010-0000-0700-00001C000000}" name="BLK1_INV27" dataDxfId="481">
      <calculatedColumnFormula>IFERROR(VLOOKUP($B4,RD[#All],AC$2,0)/AC$1,"")</calculatedColumnFormula>
    </tableColumn>
    <tableColumn id="29" xr3:uid="{00000000-0010-0000-0700-00001D000000}" name="BLK1_INV28" dataDxfId="480">
      <calculatedColumnFormula>IFERROR(VLOOKUP($B4,RD[#All],AD$2,0)/AD$1,"")</calculatedColumnFormula>
    </tableColumn>
    <tableColumn id="30" xr3:uid="{00000000-0010-0000-0700-00001E000000}" name="BLK1_INV29" dataDxfId="479">
      <calculatedColumnFormula>IFERROR(VLOOKUP($B4,RD[#All],AE$2,0)/AE$1,"")</calculatedColumnFormula>
    </tableColumn>
    <tableColumn id="31" xr3:uid="{00000000-0010-0000-0700-00001F000000}" name="BLK1_INV30" dataDxfId="478">
      <calculatedColumnFormula>IFERROR(VLOOKUP($B4,RD[#All],AF$2,0)/AF$1,"")</calculatedColumnFormula>
    </tableColumn>
    <tableColumn id="32" xr3:uid="{00000000-0010-0000-0700-000020000000}" name="BLK1_INV31" dataDxfId="477">
      <calculatedColumnFormula>IFERROR(VLOOKUP($B4,RD[#All],AG$2,0)/AG$1,"")</calculatedColumnFormula>
    </tableColumn>
    <tableColumn id="250" xr3:uid="{00000000-0010-0000-0700-0000FA000000}" name="BLK1_INV32" dataDxfId="476">
      <calculatedColumnFormula>IFERROR(VLOOKUP($B4,RD[#All],AH$2,0)/AH$1,"")</calculatedColumnFormula>
    </tableColumn>
    <tableColumn id="33" xr3:uid="{00000000-0010-0000-0700-000021000000}" name="BLK2_INV1" dataDxfId="475">
      <calculatedColumnFormula>IFERROR(VLOOKUP($B4,RD[#All],AI$2,0)/AI$1,"")</calculatedColumnFormula>
    </tableColumn>
    <tableColumn id="34" xr3:uid="{00000000-0010-0000-0700-000022000000}" name="BLK2_INV2" dataDxfId="474">
      <calculatedColumnFormula>IFERROR(VLOOKUP($B4,RD[#All],AJ$2,0)/AJ$1,"")</calculatedColumnFormula>
    </tableColumn>
    <tableColumn id="35" xr3:uid="{00000000-0010-0000-0700-000023000000}" name="BLK2_INV3" dataDxfId="473">
      <calculatedColumnFormula>IFERROR(VLOOKUP($B4,RD[#All],AK$2,0)/AK$1,"")</calculatedColumnFormula>
    </tableColumn>
    <tableColumn id="36" xr3:uid="{00000000-0010-0000-0700-000024000000}" name="BLK2_INV4" dataDxfId="472">
      <calculatedColumnFormula>IFERROR(VLOOKUP($B4,RD[#All],AL$2,0)/AL$1,"")</calculatedColumnFormula>
    </tableColumn>
    <tableColumn id="37" xr3:uid="{00000000-0010-0000-0700-000025000000}" name="BLK2_INV5" dataDxfId="471">
      <calculatedColumnFormula>IFERROR(VLOOKUP($B4,RD[#All],AM$2,0)/AM$1,"")</calculatedColumnFormula>
    </tableColumn>
    <tableColumn id="38" xr3:uid="{00000000-0010-0000-0700-000026000000}" name="BLK2_INV6" dataDxfId="470">
      <calculatedColumnFormula>IFERROR(VLOOKUP($B4,RD[#All],AN$2,0)/AN$1,"")</calculatedColumnFormula>
    </tableColumn>
    <tableColumn id="39" xr3:uid="{00000000-0010-0000-0700-000027000000}" name="BLK2_INV7" dataDxfId="469">
      <calculatedColumnFormula>IFERROR(VLOOKUP($B4,RD[#All],AO$2,0)/AO$1,"")</calculatedColumnFormula>
    </tableColumn>
    <tableColumn id="40" xr3:uid="{00000000-0010-0000-0700-000028000000}" name="BLK2_INV8" dataDxfId="468">
      <calculatedColumnFormula>IFERROR(VLOOKUP($B4,RD[#All],AP$2,0)/AP$1,"")</calculatedColumnFormula>
    </tableColumn>
    <tableColumn id="41" xr3:uid="{00000000-0010-0000-0700-000029000000}" name="BLK2_INV9" dataDxfId="467">
      <calculatedColumnFormula>IFERROR(VLOOKUP($B4,RD[#All],AQ$2,0)/AQ$1,"")</calculatedColumnFormula>
    </tableColumn>
    <tableColumn id="42" xr3:uid="{00000000-0010-0000-0700-00002A000000}" name="BLK2_INV10" dataDxfId="466">
      <calculatedColumnFormula>IFERROR(VLOOKUP($B4,RD[#All],AR$2,0)/AR$1,"")</calculatedColumnFormula>
    </tableColumn>
    <tableColumn id="43" xr3:uid="{00000000-0010-0000-0700-00002B000000}" name="BLK2_INV11" dataDxfId="465">
      <calculatedColumnFormula>IFERROR(VLOOKUP($B4,RD[#All],AS$2,0)/AS$1,"")</calculatedColumnFormula>
    </tableColumn>
    <tableColumn id="44" xr3:uid="{00000000-0010-0000-0700-00002C000000}" name="BLK2_INV12" dataDxfId="464">
      <calculatedColumnFormula>IFERROR(VLOOKUP($B4,RD[#All],AT$2,0)/AT$1,"")</calculatedColumnFormula>
    </tableColumn>
    <tableColumn id="45" xr3:uid="{00000000-0010-0000-0700-00002D000000}" name="BLK2_INV13" dataDxfId="463">
      <calculatedColumnFormula>IFERROR(VLOOKUP($B4,RD[#All],AU$2,0)/AU$1,"")</calculatedColumnFormula>
    </tableColumn>
    <tableColumn id="46" xr3:uid="{00000000-0010-0000-0700-00002E000000}" name="BLK2_INV14" dataDxfId="462">
      <calculatedColumnFormula>IFERROR(VLOOKUP($B4,RD[#All],AV$2,0)/AV$1,"")</calculatedColumnFormula>
    </tableColumn>
    <tableColumn id="47" xr3:uid="{00000000-0010-0000-0700-00002F000000}" name="BLK2_INV15" dataDxfId="461">
      <calculatedColumnFormula>IFERROR(VLOOKUP($B4,RD[#All],AW$2,0)/AW$1,"")</calculatedColumnFormula>
    </tableColumn>
    <tableColumn id="48" xr3:uid="{00000000-0010-0000-0700-000030000000}" name="BLK2_INV16" dataDxfId="460">
      <calculatedColumnFormula>IFERROR(VLOOKUP($B4,RD[#All],AX$2,0)/AX$1,"")</calculatedColumnFormula>
    </tableColumn>
    <tableColumn id="49" xr3:uid="{00000000-0010-0000-0700-000031000000}" name="BLK2_INV17" dataDxfId="459">
      <calculatedColumnFormula>IFERROR(VLOOKUP($B4,RD[#All],AY$2,0)/AY$1,"")</calculatedColumnFormula>
    </tableColumn>
    <tableColumn id="50" xr3:uid="{00000000-0010-0000-0700-000032000000}" name="BLK2_INV18" dataDxfId="458">
      <calculatedColumnFormula>IFERROR(VLOOKUP($B4,RD[#All],AZ$2,0)/AZ$1,"")</calculatedColumnFormula>
    </tableColumn>
    <tableColumn id="51" xr3:uid="{00000000-0010-0000-0700-000033000000}" name="BLK2_INV19" dataDxfId="457">
      <calculatedColumnFormula>IFERROR(VLOOKUP($B4,RD[#All],BA$2,0)/BA$1,"")</calculatedColumnFormula>
    </tableColumn>
    <tableColumn id="52" xr3:uid="{00000000-0010-0000-0700-000034000000}" name="BLK2_INV20" dataDxfId="456">
      <calculatedColumnFormula>IFERROR(VLOOKUP($B4,RD[#All],BB$2,0)/BB$1,"")</calculatedColumnFormula>
    </tableColumn>
    <tableColumn id="53" xr3:uid="{00000000-0010-0000-0700-000035000000}" name="BLK2_INV21" dataDxfId="455">
      <calculatedColumnFormula>IFERROR(VLOOKUP($B4,RD[#All],BC$2,0)/BC$1,"")</calculatedColumnFormula>
    </tableColumn>
    <tableColumn id="54" xr3:uid="{00000000-0010-0000-0700-000036000000}" name="BLK2_INV22" dataDxfId="454">
      <calculatedColumnFormula>IFERROR(VLOOKUP($B4,RD[#All],BD$2,0)/BD$1,"")</calculatedColumnFormula>
    </tableColumn>
    <tableColumn id="55" xr3:uid="{00000000-0010-0000-0700-000037000000}" name="BLK2_INV23" dataDxfId="453">
      <calculatedColumnFormula>IFERROR(VLOOKUP($B4,RD[#All],BE$2,0)/BE$1,"")</calculatedColumnFormula>
    </tableColumn>
    <tableColumn id="56" xr3:uid="{00000000-0010-0000-0700-000038000000}" name="BLK2_INV24" dataDxfId="452">
      <calculatedColumnFormula>IFERROR(VLOOKUP($B4,RD[#All],BF$2,0)/BF$1,"")</calculatedColumnFormula>
    </tableColumn>
    <tableColumn id="57" xr3:uid="{00000000-0010-0000-0700-000039000000}" name="BLK2_INV25" dataDxfId="451">
      <calculatedColumnFormula>IFERROR(VLOOKUP($B4,RD[#All],BG$2,0)/BG$1,"")</calculatedColumnFormula>
    </tableColumn>
    <tableColumn id="58" xr3:uid="{00000000-0010-0000-0700-00003A000000}" name="BLK2_INV26" dataDxfId="450">
      <calculatedColumnFormula>IFERROR(VLOOKUP($B4,RD[#All],BH$2,0)/BH$1,"")</calculatedColumnFormula>
    </tableColumn>
    <tableColumn id="59" xr3:uid="{00000000-0010-0000-0700-00003B000000}" name="BLK2_INV27" dataDxfId="449">
      <calculatedColumnFormula>IFERROR(VLOOKUP($B4,RD[#All],BI$2,0)/BI$1,"")</calculatedColumnFormula>
    </tableColumn>
    <tableColumn id="60" xr3:uid="{00000000-0010-0000-0700-00003C000000}" name="BLK2_INV28" dataDxfId="448">
      <calculatedColumnFormula>IFERROR(VLOOKUP($B4,RD[#All],BJ$2,0)/BJ$1,"")</calculatedColumnFormula>
    </tableColumn>
    <tableColumn id="61" xr3:uid="{00000000-0010-0000-0700-00003D000000}" name="BLK2_INV29" dataDxfId="447">
      <calculatedColumnFormula>IFERROR(VLOOKUP($B4,RD[#All],BK$2,0)/BK$1,"")</calculatedColumnFormula>
    </tableColumn>
    <tableColumn id="62" xr3:uid="{00000000-0010-0000-0700-00003E000000}" name="BLK2_INV30" dataDxfId="446">
      <calculatedColumnFormula>IFERROR(VLOOKUP($B4,RD[#All],BL$2,0)/BL$1,"")</calculatedColumnFormula>
    </tableColumn>
    <tableColumn id="63" xr3:uid="{00000000-0010-0000-0700-00003F000000}" name="BLK2_INV31" dataDxfId="445">
      <calculatedColumnFormula>IFERROR(VLOOKUP($B4,RD[#All],BM$2,0)/BM$1,"")</calculatedColumnFormula>
    </tableColumn>
    <tableColumn id="245" xr3:uid="{1FDB18A3-A28F-4A50-9093-0C0098A24873}" name="BLK2_INV32" dataDxfId="444">
      <calculatedColumnFormula>IFERROR(VLOOKUP($B4,RD[#All],BN$2,0)/BN$1,"")</calculatedColumnFormula>
    </tableColumn>
    <tableColumn id="64" xr3:uid="{00000000-0010-0000-0700-000040000000}" name="BLK3_INV1" dataDxfId="443">
      <calculatedColumnFormula>IFERROR(VLOOKUP($B4,RD[#All],BO$2,0)/BO$1,"")</calculatedColumnFormula>
    </tableColumn>
    <tableColumn id="65" xr3:uid="{00000000-0010-0000-0700-000041000000}" name="BLK3_INV2" dataDxfId="442">
      <calculatedColumnFormula>IFERROR(VLOOKUP($B4,RD[#All],BP$2,0)/BP$1,"")</calculatedColumnFormula>
    </tableColumn>
    <tableColumn id="66" xr3:uid="{00000000-0010-0000-0700-000042000000}" name="BLK3_INV3" dataDxfId="441">
      <calculatedColumnFormula>IFERROR(VLOOKUP($B4,RD[#All],BQ$2,0)/BQ$1,"")</calculatedColumnFormula>
    </tableColumn>
    <tableColumn id="67" xr3:uid="{00000000-0010-0000-0700-000043000000}" name="BLK3_INV4" dataDxfId="440">
      <calculatedColumnFormula>IFERROR(VLOOKUP($B4,RD[#All],BR$2,0)/BR$1,"")</calculatedColumnFormula>
    </tableColumn>
    <tableColumn id="68" xr3:uid="{00000000-0010-0000-0700-000044000000}" name="BLK3_INV5" dataDxfId="439">
      <calculatedColumnFormula>IFERROR(VLOOKUP($B4,RD[#All],BS$2,0)/BS$1,"")</calculatedColumnFormula>
    </tableColumn>
    <tableColumn id="69" xr3:uid="{00000000-0010-0000-0700-000045000000}" name="BLK3_INV6" dataDxfId="438">
      <calculatedColumnFormula>IFERROR(VLOOKUP($B4,RD[#All],BT$2,0)/BT$1,"")</calculatedColumnFormula>
    </tableColumn>
    <tableColumn id="70" xr3:uid="{00000000-0010-0000-0700-000046000000}" name="BLK3_INV7" dataDxfId="437">
      <calculatedColumnFormula>IFERROR(VLOOKUP($B4,RD[#All],BU$2,0)/BU$1,"")</calculatedColumnFormula>
    </tableColumn>
    <tableColumn id="71" xr3:uid="{00000000-0010-0000-0700-000047000000}" name="BLK3_INV8" dataDxfId="436">
      <calculatedColumnFormula>IFERROR(VLOOKUP($B4,RD[#All],BV$2,0)/BV$1,"")</calculatedColumnFormula>
    </tableColumn>
    <tableColumn id="72" xr3:uid="{00000000-0010-0000-0700-000048000000}" name="BLK3_INV9" dataDxfId="435">
      <calculatedColumnFormula>IFERROR(VLOOKUP($B4,RD[#All],BW$2,0)/BW$1,"")</calculatedColumnFormula>
    </tableColumn>
    <tableColumn id="73" xr3:uid="{00000000-0010-0000-0700-000049000000}" name="BLK3_INV10" dataDxfId="434">
      <calculatedColumnFormula>IFERROR(VLOOKUP($B4,RD[#All],BX$2,0)/BX$1,"")</calculatedColumnFormula>
    </tableColumn>
    <tableColumn id="74" xr3:uid="{00000000-0010-0000-0700-00004A000000}" name="BLK3_INV11" dataDxfId="433">
      <calculatedColumnFormula>IFERROR(VLOOKUP($B4,RD[#All],BY$2,0)/BY$1,"")</calculatedColumnFormula>
    </tableColumn>
    <tableColumn id="75" xr3:uid="{00000000-0010-0000-0700-00004B000000}" name="BLK3_INV12" dataDxfId="432">
      <calculatedColumnFormula>IFERROR(VLOOKUP($B4,RD[#All],BZ$2,0)/BZ$1,"")</calculatedColumnFormula>
    </tableColumn>
    <tableColumn id="76" xr3:uid="{00000000-0010-0000-0700-00004C000000}" name="BLK3_INV13" dataDxfId="431">
      <calculatedColumnFormula>IFERROR(VLOOKUP($B4,RD[#All],CA$2,0)/CA$1,"")</calculatedColumnFormula>
    </tableColumn>
    <tableColumn id="77" xr3:uid="{00000000-0010-0000-0700-00004D000000}" name="BLK3_INV14" dataDxfId="430">
      <calculatedColumnFormula>IFERROR(VLOOKUP($B4,RD[#All],CB$2,0)/CB$1,"")</calculatedColumnFormula>
    </tableColumn>
    <tableColumn id="78" xr3:uid="{00000000-0010-0000-0700-00004E000000}" name="BLK3_INV15" dataDxfId="429">
      <calculatedColumnFormula>IFERROR(VLOOKUP($B4,RD[#All],CC$2,0)/CC$1,"")</calculatedColumnFormula>
    </tableColumn>
    <tableColumn id="79" xr3:uid="{00000000-0010-0000-0700-00004F000000}" name="BLK3_INV16" dataDxfId="428">
      <calculatedColumnFormula>IFERROR(VLOOKUP($B4,RD[#All],CD$2,0)/CD$1,"")</calculatedColumnFormula>
    </tableColumn>
    <tableColumn id="80" xr3:uid="{00000000-0010-0000-0700-000050000000}" name="BLK3_INV17" dataDxfId="427">
      <calculatedColumnFormula>IFERROR(VLOOKUP($B4,RD[#All],CE$2,0)/CE$1,"")</calculatedColumnFormula>
    </tableColumn>
    <tableColumn id="81" xr3:uid="{00000000-0010-0000-0700-000051000000}" name="BLK3_INV18" dataDxfId="426">
      <calculatedColumnFormula>IFERROR(VLOOKUP($B4,RD[#All],CF$2,0)/CF$1,"")</calculatedColumnFormula>
    </tableColumn>
    <tableColumn id="82" xr3:uid="{00000000-0010-0000-0700-000052000000}" name="BLK3_INV19" dataDxfId="425">
      <calculatedColumnFormula>IFERROR(VLOOKUP($B4,RD[#All],CG$2,0)/CG$1,"")</calculatedColumnFormula>
    </tableColumn>
    <tableColumn id="83" xr3:uid="{00000000-0010-0000-0700-000053000000}" name="BLK3_INV20" dataDxfId="424">
      <calculatedColumnFormula>IFERROR(VLOOKUP($B4,RD[#All],CH$2,0)/CH$1,"")</calculatedColumnFormula>
    </tableColumn>
    <tableColumn id="84" xr3:uid="{00000000-0010-0000-0700-000054000000}" name="BLK3_INV21" dataDxfId="423">
      <calculatedColumnFormula>IFERROR(VLOOKUP($B4,RD[#All],CI$2,0)/CI$1,"")</calculatedColumnFormula>
    </tableColumn>
    <tableColumn id="85" xr3:uid="{00000000-0010-0000-0700-000055000000}" name="BLK3_INV22" dataDxfId="422">
      <calculatedColumnFormula>IFERROR(VLOOKUP($B4,RD[#All],CJ$2,0)/CJ$1,"")</calculatedColumnFormula>
    </tableColumn>
    <tableColumn id="86" xr3:uid="{00000000-0010-0000-0700-000056000000}" name="BLK3_INV23" dataDxfId="421">
      <calculatedColumnFormula>IFERROR(VLOOKUP($B4,RD[#All],CK$2,0)/CK$1,"")</calculatedColumnFormula>
    </tableColumn>
    <tableColumn id="87" xr3:uid="{00000000-0010-0000-0700-000057000000}" name="BLK3_INV24" dataDxfId="420">
      <calculatedColumnFormula>IFERROR(VLOOKUP($B4,RD[#All],CL$2,0)/CL$1,"")</calculatedColumnFormula>
    </tableColumn>
    <tableColumn id="88" xr3:uid="{00000000-0010-0000-0700-000058000000}" name="BLK3_INV25" dataDxfId="419">
      <calculatedColumnFormula>IFERROR(VLOOKUP($B4,RD[#All],CM$2,0)/CM$1,"")</calculatedColumnFormula>
    </tableColumn>
    <tableColumn id="89" xr3:uid="{00000000-0010-0000-0700-000059000000}" name="BLK3_INV26" dataDxfId="418">
      <calculatedColumnFormula>IFERROR(VLOOKUP($B4,RD[#All],CN$2,0)/CN$1,"")</calculatedColumnFormula>
    </tableColumn>
    <tableColumn id="90" xr3:uid="{00000000-0010-0000-0700-00005A000000}" name="BLK3_INV27" dataDxfId="417">
      <calculatedColumnFormula>IFERROR(VLOOKUP($B4,RD[#All],CO$2,0)/CO$1,"")</calculatedColumnFormula>
    </tableColumn>
    <tableColumn id="91" xr3:uid="{00000000-0010-0000-0700-00005B000000}" name="BLK3_INV28" dataDxfId="416">
      <calculatedColumnFormula>IFERROR(VLOOKUP($B4,RD[#All],CP$2,0)/CP$1,"")</calculatedColumnFormula>
    </tableColumn>
    <tableColumn id="92" xr3:uid="{00000000-0010-0000-0700-00005C000000}" name="BLK3_INV29" dataDxfId="415">
      <calculatedColumnFormula>IFERROR(VLOOKUP($B4,RD[#All],CQ$2,0)/CQ$1,"")</calculatedColumnFormula>
    </tableColumn>
    <tableColumn id="93" xr3:uid="{00000000-0010-0000-0700-00005D000000}" name="BLK3_INV30" dataDxfId="414">
      <calculatedColumnFormula>IFERROR(VLOOKUP($B4,RD[#All],CR$2,0)/CR$1,"")</calculatedColumnFormula>
    </tableColumn>
    <tableColumn id="94" xr3:uid="{00000000-0010-0000-0700-00005E000000}" name="BLK3_INV31" dataDxfId="413">
      <calculatedColumnFormula>IFERROR(VLOOKUP($B4,RD[#All],CS$2,0)/CS$1,"")</calculatedColumnFormula>
    </tableColumn>
    <tableColumn id="95" xr3:uid="{00000000-0010-0000-0700-00005F000000}" name="BLK4_INV1" dataDxfId="412">
      <calculatedColumnFormula>IFERROR(VLOOKUP($B4,RD[#All],CT$2,0)/CT$1,"")</calculatedColumnFormula>
    </tableColumn>
    <tableColumn id="96" xr3:uid="{00000000-0010-0000-0700-000060000000}" name="BLK4_INV2" dataDxfId="411">
      <calculatedColumnFormula>IFERROR(VLOOKUP($B4,RD[#All],CU$2,0)/CU$1,"")</calculatedColumnFormula>
    </tableColumn>
    <tableColumn id="97" xr3:uid="{00000000-0010-0000-0700-000061000000}" name="BLK4_INV3" dataDxfId="410">
      <calculatedColumnFormula>IFERROR(VLOOKUP($B4,RD[#All],CV$2,0)/CV$1,"")</calculatedColumnFormula>
    </tableColumn>
    <tableColumn id="98" xr3:uid="{00000000-0010-0000-0700-000062000000}" name="BLK4_INV4" dataDxfId="409">
      <calculatedColumnFormula>IFERROR(VLOOKUP($B4,RD[#All],CW$2,0)/CW$1,"")</calculatedColumnFormula>
    </tableColumn>
    <tableColumn id="99" xr3:uid="{00000000-0010-0000-0700-000063000000}" name="BLK4_INV5" dataDxfId="408">
      <calculatedColumnFormula>IFERROR(VLOOKUP($B4,RD[#All],CX$2,0)/CX$1,"")</calculatedColumnFormula>
    </tableColumn>
    <tableColumn id="100" xr3:uid="{00000000-0010-0000-0700-000064000000}" name="BLK4_INV6" dataDxfId="407">
      <calculatedColumnFormula>IFERROR(VLOOKUP($B4,RD[#All],CY$2,0)/CY$1,"")</calculatedColumnFormula>
    </tableColumn>
    <tableColumn id="101" xr3:uid="{00000000-0010-0000-0700-000065000000}" name="BLK4_INV7" dataDxfId="406">
      <calculatedColumnFormula>IFERROR(VLOOKUP($B4,RD[#All],CZ$2,0)/CZ$1,"")</calculatedColumnFormula>
    </tableColumn>
    <tableColumn id="102" xr3:uid="{00000000-0010-0000-0700-000066000000}" name="BLK4_INV8" dataDxfId="405">
      <calculatedColumnFormula>IFERROR(VLOOKUP($B4,RD[#All],DA$2,0)/DA$1,"")</calculatedColumnFormula>
    </tableColumn>
    <tableColumn id="103" xr3:uid="{00000000-0010-0000-0700-000067000000}" name="BLK4_INV9" dataDxfId="404">
      <calculatedColumnFormula>IFERROR(VLOOKUP($B4,RD[#All],DB$2,0)/DB$1,"")</calculatedColumnFormula>
    </tableColumn>
    <tableColumn id="104" xr3:uid="{00000000-0010-0000-0700-000068000000}" name="BLK4_INV10" dataDxfId="403">
      <calculatedColumnFormula>IFERROR(VLOOKUP($B4,RD[#All],DC$2,0)/DC$1,"")</calculatedColumnFormula>
    </tableColumn>
    <tableColumn id="105" xr3:uid="{00000000-0010-0000-0700-000069000000}" name="BLK4_INV11" dataDxfId="402">
      <calculatedColumnFormula>IFERROR(VLOOKUP($B4,RD[#All],DD$2,0)/DD$1,"")</calculatedColumnFormula>
    </tableColumn>
    <tableColumn id="106" xr3:uid="{00000000-0010-0000-0700-00006A000000}" name="BLK4_INV12" dataDxfId="401">
      <calculatedColumnFormula>IFERROR(VLOOKUP($B4,RD[#All],DE$2,0)/DE$1,"")</calculatedColumnFormula>
    </tableColumn>
    <tableColumn id="107" xr3:uid="{00000000-0010-0000-0700-00006B000000}" name="BLK4_INV13" dataDxfId="400">
      <calculatedColumnFormula>IFERROR(VLOOKUP($B4,RD[#All],DF$2,0)/DF$1,"")</calculatedColumnFormula>
    </tableColumn>
    <tableColumn id="108" xr3:uid="{00000000-0010-0000-0700-00006C000000}" name="BLK4_INV14" dataDxfId="399">
      <calculatedColumnFormula>IFERROR(VLOOKUP($B4,RD[#All],DG$2,0)/DG$1,"")</calculatedColumnFormula>
    </tableColumn>
    <tableColumn id="109" xr3:uid="{00000000-0010-0000-0700-00006D000000}" name="BLK4_INV15" dataDxfId="398">
      <calculatedColumnFormula>IFERROR(VLOOKUP($B4,RD[#All],DH$2,0)/DH$1,"")</calculatedColumnFormula>
    </tableColumn>
    <tableColumn id="110" xr3:uid="{00000000-0010-0000-0700-00006E000000}" name="BLK4_INV16" dataDxfId="397">
      <calculatedColumnFormula>IFERROR(VLOOKUP($B4,RD[#All],DI$2,0)/DI$1,"")</calculatedColumnFormula>
    </tableColumn>
    <tableColumn id="111" xr3:uid="{00000000-0010-0000-0700-00006F000000}" name="BLK4_INV17" dataDxfId="396">
      <calculatedColumnFormula>IFERROR(VLOOKUP($B4,RD[#All],DJ$2,0)/DJ$1,"")</calculatedColumnFormula>
    </tableColumn>
    <tableColumn id="112" xr3:uid="{00000000-0010-0000-0700-000070000000}" name="BLK4_INV18" dataDxfId="395">
      <calculatedColumnFormula>IFERROR(VLOOKUP($B4,RD[#All],DK$2,0)/DK$1,"")</calculatedColumnFormula>
    </tableColumn>
    <tableColumn id="113" xr3:uid="{00000000-0010-0000-0700-000071000000}" name="BLK4_INV19" dataDxfId="394">
      <calculatedColumnFormula>IFERROR(VLOOKUP($B4,RD[#All],DL$2,0)/DL$1,"")</calculatedColumnFormula>
    </tableColumn>
    <tableColumn id="114" xr3:uid="{00000000-0010-0000-0700-000072000000}" name="BLK4_INV20" dataDxfId="393">
      <calculatedColumnFormula>IFERROR(VLOOKUP($B4,RD[#All],DM$2,0)/DM$1,"")</calculatedColumnFormula>
    </tableColumn>
    <tableColumn id="115" xr3:uid="{00000000-0010-0000-0700-000073000000}" name="BLK4_INV21" dataDxfId="392">
      <calculatedColumnFormula>IFERROR(VLOOKUP($B4,RD[#All],DN$2,0)/DN$1,"")</calculatedColumnFormula>
    </tableColumn>
    <tableColumn id="116" xr3:uid="{00000000-0010-0000-0700-000074000000}" name="BLK4_INV22" dataDxfId="391">
      <calculatedColumnFormula>IFERROR(VLOOKUP($B4,RD[#All],DO$2,0)/DO$1,"")</calculatedColumnFormula>
    </tableColumn>
    <tableColumn id="117" xr3:uid="{00000000-0010-0000-0700-000075000000}" name="BLK4_INV23" dataDxfId="390">
      <calculatedColumnFormula>IFERROR(VLOOKUP($B4,RD[#All],DP$2,0)/DP$1,"")</calculatedColumnFormula>
    </tableColumn>
    <tableColumn id="118" xr3:uid="{00000000-0010-0000-0700-000076000000}" name="BLK4_INV24" dataDxfId="389">
      <calculatedColumnFormula>IFERROR(VLOOKUP($B4,RD[#All],DQ$2,0)/DQ$1,"")</calculatedColumnFormula>
    </tableColumn>
    <tableColumn id="119" xr3:uid="{00000000-0010-0000-0700-000077000000}" name="BLK4_INV25" dataDxfId="388">
      <calculatedColumnFormula>IFERROR(VLOOKUP($B4,RD[#All],DR$2,0)/DR$1,"")</calculatedColumnFormula>
    </tableColumn>
    <tableColumn id="120" xr3:uid="{00000000-0010-0000-0700-000078000000}" name="BLK4_INV26" dataDxfId="387">
      <calculatedColumnFormula>IFERROR(VLOOKUP($B4,RD[#All],DS$2,0)/DS$1,"")</calculatedColumnFormula>
    </tableColumn>
    <tableColumn id="121" xr3:uid="{00000000-0010-0000-0700-000079000000}" name="BLK4_INV27" dataDxfId="386">
      <calculatedColumnFormula>IFERROR(VLOOKUP($B4,RD[#All],DT$2,0)/DT$1,"")</calculatedColumnFormula>
    </tableColumn>
    <tableColumn id="122" xr3:uid="{00000000-0010-0000-0700-00007A000000}" name="BLK4_INV28" dataDxfId="385">
      <calculatedColumnFormula>IFERROR(VLOOKUP($B4,RD[#All],DU$2,0)/DU$1,"")</calculatedColumnFormula>
    </tableColumn>
    <tableColumn id="123" xr3:uid="{00000000-0010-0000-0700-00007B000000}" name="BLK4_INV29" dataDxfId="384">
      <calculatedColumnFormula>IFERROR(VLOOKUP($B4,RD[#All],DV$2,0)/DV$1,"")</calculatedColumnFormula>
    </tableColumn>
    <tableColumn id="124" xr3:uid="{00000000-0010-0000-0700-00007C000000}" name="BLK4_INV30" dataDxfId="383">
      <calculatedColumnFormula>IFERROR(VLOOKUP($B4,RD[#All],DW$2,0)/DW$1,"")</calculatedColumnFormula>
    </tableColumn>
    <tableColumn id="125" xr3:uid="{00000000-0010-0000-0700-00007D000000}" name="BLK4_INV31" dataDxfId="382">
      <calculatedColumnFormula>IFERROR(VLOOKUP($B4,RD[#All],DX$2,0)/DX$1,"")</calculatedColumnFormula>
    </tableColumn>
    <tableColumn id="126" xr3:uid="{00000000-0010-0000-0700-00007E000000}" name="BLK5_INV1" dataDxfId="381">
      <calculatedColumnFormula>IFERROR(VLOOKUP($B4,RD[#All],DY$2,0)/DY$1,"")</calculatedColumnFormula>
    </tableColumn>
    <tableColumn id="127" xr3:uid="{00000000-0010-0000-0700-00007F000000}" name="BLK5_INV2" dataDxfId="380">
      <calculatedColumnFormula>IFERROR(VLOOKUP($B4,RD[#All],DZ$2,0)/DZ$1,"")</calculatedColumnFormula>
    </tableColumn>
    <tableColumn id="128" xr3:uid="{00000000-0010-0000-0700-000080000000}" name="BLK5_INV3" dataDxfId="379">
      <calculatedColumnFormula>IFERROR(VLOOKUP($B4,RD[#All],EA$2,0)/EA$1,"")</calculatedColumnFormula>
    </tableColumn>
    <tableColumn id="129" xr3:uid="{00000000-0010-0000-0700-000081000000}" name="BLK5_INV4" dataDxfId="378">
      <calculatedColumnFormula>IFERROR(VLOOKUP($B4,RD[#All],EB$2,0)/EB$1,"")</calculatedColumnFormula>
    </tableColumn>
    <tableColumn id="130" xr3:uid="{00000000-0010-0000-0700-000082000000}" name="BLK5_INV5" dataDxfId="377">
      <calculatedColumnFormula>IFERROR(VLOOKUP($B4,RD[#All],EC$2,0)/EC$1,"")</calculatedColumnFormula>
    </tableColumn>
    <tableColumn id="131" xr3:uid="{00000000-0010-0000-0700-000083000000}" name="BLK5_INV6" dataDxfId="376">
      <calculatedColumnFormula>IFERROR(VLOOKUP($B4,RD[#All],ED$2,0)/ED$1,"")</calculatedColumnFormula>
    </tableColumn>
    <tableColumn id="132" xr3:uid="{00000000-0010-0000-0700-000084000000}" name="BLK5_INV7" dataDxfId="375">
      <calculatedColumnFormula>IFERROR(VLOOKUP($B4,RD[#All],EE$2,0)/EE$1,"")</calculatedColumnFormula>
    </tableColumn>
    <tableColumn id="133" xr3:uid="{00000000-0010-0000-0700-000085000000}" name="BLK5_INV8" dataDxfId="374">
      <calculatedColumnFormula>IFERROR(VLOOKUP($B4,RD[#All],EF$2,0)/EF$1,"")</calculatedColumnFormula>
    </tableColumn>
    <tableColumn id="134" xr3:uid="{00000000-0010-0000-0700-000086000000}" name="BLK5_INV9" dataDxfId="373">
      <calculatedColumnFormula>IFERROR(VLOOKUP($B4,RD[#All],EG$2,0)/EG$1,"")</calculatedColumnFormula>
    </tableColumn>
    <tableColumn id="135" xr3:uid="{00000000-0010-0000-0700-000087000000}" name="BLK5_INV10" dataDxfId="372">
      <calculatedColumnFormula>IFERROR(VLOOKUP($B4,RD[#All],EH$2,0)/EH$1,"")</calculatedColumnFormula>
    </tableColumn>
    <tableColumn id="136" xr3:uid="{00000000-0010-0000-0700-000088000000}" name="BLK5_INV11" dataDxfId="371">
      <calculatedColumnFormula>IFERROR(VLOOKUP($B4,RD[#All],EI$2,0)/EI$1,"")</calculatedColumnFormula>
    </tableColumn>
    <tableColumn id="137" xr3:uid="{00000000-0010-0000-0700-000089000000}" name="BLK5_INV12" dataDxfId="370">
      <calculatedColumnFormula>IFERROR(VLOOKUP($B4,RD[#All],EJ$2,0)/EJ$1,"")</calculatedColumnFormula>
    </tableColumn>
    <tableColumn id="138" xr3:uid="{00000000-0010-0000-0700-00008A000000}" name="BLK5_INV13" dataDxfId="369">
      <calculatedColumnFormula>IFERROR(VLOOKUP($B4,RD[#All],EK$2,0)/EK$1,"")</calculatedColumnFormula>
    </tableColumn>
    <tableColumn id="139" xr3:uid="{00000000-0010-0000-0700-00008B000000}" name="BLK5_INV14" dataDxfId="368">
      <calculatedColumnFormula>IFERROR(VLOOKUP($B4,RD[#All],EL$2,0)/EL$1,"")</calculatedColumnFormula>
    </tableColumn>
    <tableColumn id="140" xr3:uid="{00000000-0010-0000-0700-00008C000000}" name="BLK5_INV15" dataDxfId="367">
      <calculatedColumnFormula>IFERROR(VLOOKUP($B4,RD[#All],EM$2,0)/EM$1,"")</calculatedColumnFormula>
    </tableColumn>
    <tableColumn id="141" xr3:uid="{00000000-0010-0000-0700-00008D000000}" name="BLK5_INV16" dataDxfId="366">
      <calculatedColumnFormula>IFERROR(VLOOKUP($B4,RD[#All],EN$2,0)/EN$1,"")</calculatedColumnFormula>
    </tableColumn>
    <tableColumn id="142" xr3:uid="{00000000-0010-0000-0700-00008E000000}" name="BLK5_INV17" dataDxfId="365">
      <calculatedColumnFormula>IFERROR(VLOOKUP($B4,RD[#All],EO$2,0)/EO$1,"")</calculatedColumnFormula>
    </tableColumn>
    <tableColumn id="143" xr3:uid="{00000000-0010-0000-0700-00008F000000}" name="BLK5_INV18" dataDxfId="364">
      <calculatedColumnFormula>IFERROR(VLOOKUP($B4,RD[#All],EP$2,0)/EP$1,"")</calculatedColumnFormula>
    </tableColumn>
    <tableColumn id="144" xr3:uid="{00000000-0010-0000-0700-000090000000}" name="BLK5_INV19" dataDxfId="363">
      <calculatedColumnFormula>IFERROR(VLOOKUP($B4,RD[#All],EQ$2,0)/EQ$1,"")</calculatedColumnFormula>
    </tableColumn>
    <tableColumn id="145" xr3:uid="{00000000-0010-0000-0700-000091000000}" name="BLK5_INV20" dataDxfId="362">
      <calculatedColumnFormula>IFERROR(VLOOKUP($B4,RD[#All],ER$2,0)/ER$1,"")</calculatedColumnFormula>
    </tableColumn>
    <tableColumn id="146" xr3:uid="{00000000-0010-0000-0700-000092000000}" name="BLK5_INV21" dataDxfId="361">
      <calculatedColumnFormula>IFERROR(VLOOKUP($B4,RD[#All],ES$2,0)/ES$1,"")</calculatedColumnFormula>
    </tableColumn>
    <tableColumn id="147" xr3:uid="{00000000-0010-0000-0700-000093000000}" name="BLK5_INV22" dataDxfId="360">
      <calculatedColumnFormula>IFERROR(VLOOKUP($B4,RD[#All],ET$2,0)/ET$1,"")</calculatedColumnFormula>
    </tableColumn>
    <tableColumn id="148" xr3:uid="{00000000-0010-0000-0700-000094000000}" name="BLK5_INV23" dataDxfId="359">
      <calculatedColumnFormula>IFERROR(VLOOKUP($B4,RD[#All],EU$2,0)/EU$1,"")</calculatedColumnFormula>
    </tableColumn>
    <tableColumn id="149" xr3:uid="{00000000-0010-0000-0700-000095000000}" name="BLK5_INV24" dataDxfId="358">
      <calculatedColumnFormula>IFERROR(VLOOKUP($B4,RD[#All],EV$2,0)/EV$1,"")</calculatedColumnFormula>
    </tableColumn>
    <tableColumn id="150" xr3:uid="{00000000-0010-0000-0700-000096000000}" name="BLK5_INV25" dataDxfId="357">
      <calculatedColumnFormula>IFERROR(VLOOKUP($B4,RD[#All],EW$2,0)/EW$1,"")</calculatedColumnFormula>
    </tableColumn>
    <tableColumn id="151" xr3:uid="{00000000-0010-0000-0700-000097000000}" name="BLK5_INV26" dataDxfId="356">
      <calculatedColumnFormula>IFERROR(VLOOKUP($B4,RD[#All],EX$2,0)/EX$1,"")</calculatedColumnFormula>
    </tableColumn>
    <tableColumn id="152" xr3:uid="{00000000-0010-0000-0700-000098000000}" name="BLK5_INV27" dataDxfId="355">
      <calculatedColumnFormula>IFERROR(VLOOKUP($B4,RD[#All],EY$2,0)/EY$1,"")</calculatedColumnFormula>
    </tableColumn>
    <tableColumn id="153" xr3:uid="{00000000-0010-0000-0700-000099000000}" name="BLK5_INV28" dataDxfId="354">
      <calculatedColumnFormula>IFERROR(VLOOKUP($B4,RD[#All],EZ$2,0)/EZ$1,"")</calculatedColumnFormula>
    </tableColumn>
    <tableColumn id="154" xr3:uid="{00000000-0010-0000-0700-00009A000000}" name="BLK5_INV29" dataDxfId="353">
      <calculatedColumnFormula>IFERROR(VLOOKUP($B4,RD[#All],FA$2,0)/FA$1,"")</calculatedColumnFormula>
    </tableColumn>
    <tableColumn id="155" xr3:uid="{00000000-0010-0000-0700-00009B000000}" name="BLK5_INV30" dataDxfId="352">
      <calculatedColumnFormula>IFERROR(VLOOKUP($B4,RD[#All],FB$2,0)/FB$1,"")</calculatedColumnFormula>
    </tableColumn>
    <tableColumn id="156" xr3:uid="{00000000-0010-0000-0700-00009C000000}" name="BLK5_INV31" dataDxfId="351">
      <calculatedColumnFormula>IFERROR(VLOOKUP($B4,RD[#All],FC$2,0)/FC$1,"")</calculatedColumnFormula>
    </tableColumn>
    <tableColumn id="157" xr3:uid="{00000000-0010-0000-0700-00009D000000}" name="BLK5_INV32" dataDxfId="350">
      <calculatedColumnFormula>IFERROR(VLOOKUP($B4,RD[#All],FD$2,0)/FD$1,"")</calculatedColumnFormula>
    </tableColumn>
    <tableColumn id="158" xr3:uid="{00000000-0010-0000-0700-00009E000000}" name="BLK6_INV1" dataDxfId="349">
      <calculatedColumnFormula>IFERROR(VLOOKUP($B4,RD[#All],FE$2,0)/FE$1,"")</calculatedColumnFormula>
    </tableColumn>
    <tableColumn id="159" xr3:uid="{00000000-0010-0000-0700-00009F000000}" name="BLK6_INV2" dataDxfId="348">
      <calculatedColumnFormula>IFERROR(VLOOKUP($B4,RD[#All],FF$2,0)/FF$1,"")</calculatedColumnFormula>
    </tableColumn>
    <tableColumn id="160" xr3:uid="{00000000-0010-0000-0700-0000A0000000}" name="BLK6_INV3" dataDxfId="347">
      <calculatedColumnFormula>IFERROR(VLOOKUP($B4,RD[#All],FG$2,0)/FG$1,"")</calculatedColumnFormula>
    </tableColumn>
    <tableColumn id="161" xr3:uid="{00000000-0010-0000-0700-0000A1000000}" name="BLK6_INV4" dataDxfId="346">
      <calculatedColumnFormula>IFERROR(VLOOKUP($B4,RD[#All],FH$2,0)/FH$1,"")</calculatedColumnFormula>
    </tableColumn>
    <tableColumn id="162" xr3:uid="{00000000-0010-0000-0700-0000A2000000}" name="BLK6_INV5" dataDxfId="345">
      <calculatedColumnFormula>IFERROR(VLOOKUP($B4,RD[#All],FI$2,0)/FI$1,"")</calculatedColumnFormula>
    </tableColumn>
    <tableColumn id="163" xr3:uid="{00000000-0010-0000-0700-0000A3000000}" name="BLK6_INV6" dataDxfId="344">
      <calculatedColumnFormula>IFERROR(VLOOKUP($B4,RD[#All],FJ$2,0)/FJ$1,"")</calculatedColumnFormula>
    </tableColumn>
    <tableColumn id="164" xr3:uid="{00000000-0010-0000-0700-0000A4000000}" name="BLK6_INV7" dataDxfId="343">
      <calculatedColumnFormula>IFERROR(VLOOKUP($B4,RD[#All],FK$2,0)/FK$1,"")</calculatedColumnFormula>
    </tableColumn>
    <tableColumn id="165" xr3:uid="{00000000-0010-0000-0700-0000A5000000}" name="BLK6_INV8" dataDxfId="342">
      <calculatedColumnFormula>IFERROR(VLOOKUP($B4,RD[#All],FL$2,0)/FL$1,"")</calculatedColumnFormula>
    </tableColumn>
    <tableColumn id="166" xr3:uid="{00000000-0010-0000-0700-0000A6000000}" name="BLK6_INV9" dataDxfId="341">
      <calculatedColumnFormula>IFERROR(VLOOKUP($B4,RD[#All],FM$2,0)/FM$1,"")</calculatedColumnFormula>
    </tableColumn>
    <tableColumn id="167" xr3:uid="{00000000-0010-0000-0700-0000A7000000}" name="BLK6_INV10" dataDxfId="340">
      <calculatedColumnFormula>IFERROR(VLOOKUP($B4,RD[#All],FN$2,0)/FN$1,"")</calculatedColumnFormula>
    </tableColumn>
    <tableColumn id="168" xr3:uid="{00000000-0010-0000-0700-0000A8000000}" name="BLK6_INV11" dataDxfId="339">
      <calculatedColumnFormula>IFERROR(VLOOKUP($B4,RD[#All],FO$2,0)/FO$1,"")</calculatedColumnFormula>
    </tableColumn>
    <tableColumn id="169" xr3:uid="{00000000-0010-0000-0700-0000A9000000}" name="BLK6_INV12" dataDxfId="338">
      <calculatedColumnFormula>IFERROR(VLOOKUP($B4,RD[#All],FP$2,0)/FP$1,"")</calculatedColumnFormula>
    </tableColumn>
    <tableColumn id="170" xr3:uid="{00000000-0010-0000-0700-0000AA000000}" name="BLK6_INV13" dataDxfId="337">
      <calculatedColumnFormula>IFERROR(VLOOKUP($B4,RD[#All],FQ$2,0)/FQ$1,"")</calculatedColumnFormula>
    </tableColumn>
    <tableColumn id="171" xr3:uid="{00000000-0010-0000-0700-0000AB000000}" name="BLK6_INV14" dataDxfId="336">
      <calculatedColumnFormula>IFERROR(VLOOKUP($B4,RD[#All],FR$2,0)/FR$1,"")</calculatedColumnFormula>
    </tableColumn>
    <tableColumn id="172" xr3:uid="{00000000-0010-0000-0700-0000AC000000}" name="BLK6_INV15" dataDxfId="335">
      <calculatedColumnFormula>IFERROR(VLOOKUP($B4,RD[#All],FS$2,0)/FS$1,"")</calculatedColumnFormula>
    </tableColumn>
    <tableColumn id="173" xr3:uid="{00000000-0010-0000-0700-0000AD000000}" name="BLK6_INV16" dataDxfId="334">
      <calculatedColumnFormula>IFERROR(VLOOKUP($B4,RD[#All],FT$2,0)/FT$1,"")</calculatedColumnFormula>
    </tableColumn>
    <tableColumn id="174" xr3:uid="{00000000-0010-0000-0700-0000AE000000}" name="BLK6_INV17" dataDxfId="333">
      <calculatedColumnFormula>IFERROR(VLOOKUP($B4,RD[#All],FU$2,0)/FU$1,"")</calculatedColumnFormula>
    </tableColumn>
    <tableColumn id="175" xr3:uid="{00000000-0010-0000-0700-0000AF000000}" name="BLK6_INV18" dataDxfId="332">
      <calculatedColumnFormula>IFERROR(VLOOKUP($B4,RD[#All],FV$2,0)/FV$1,"")</calculatedColumnFormula>
    </tableColumn>
    <tableColumn id="176" xr3:uid="{00000000-0010-0000-0700-0000B0000000}" name="BLK6_INV19" dataDxfId="331">
      <calculatedColumnFormula>IFERROR(VLOOKUP($B4,RD[#All],FW$2,0)/FW$1,"")</calculatedColumnFormula>
    </tableColumn>
    <tableColumn id="177" xr3:uid="{00000000-0010-0000-0700-0000B1000000}" name="BLK6_INV20" dataDxfId="330">
      <calculatedColumnFormula>IFERROR(VLOOKUP($B4,RD[#All],FX$2,0)/FX$1,"")</calculatedColumnFormula>
    </tableColumn>
    <tableColumn id="178" xr3:uid="{00000000-0010-0000-0700-0000B2000000}" name="BLK6_INV21" dataDxfId="329">
      <calculatedColumnFormula>IFERROR(VLOOKUP($B4,RD[#All],FY$2,0)/FY$1,"")</calculatedColumnFormula>
    </tableColumn>
    <tableColumn id="179" xr3:uid="{00000000-0010-0000-0700-0000B3000000}" name="BLK6_INV22" dataDxfId="328">
      <calculatedColumnFormula>IFERROR(VLOOKUP($B4,RD[#All],FZ$2,0)/FZ$1,"")</calculatedColumnFormula>
    </tableColumn>
    <tableColumn id="180" xr3:uid="{00000000-0010-0000-0700-0000B4000000}" name="BLK6_INV23" dataDxfId="327">
      <calculatedColumnFormula>IFERROR(VLOOKUP($B4,RD[#All],GA$2,0)/GA$1,"")</calculatedColumnFormula>
    </tableColumn>
    <tableColumn id="181" xr3:uid="{00000000-0010-0000-0700-0000B5000000}" name="BLK6_INV24" dataDxfId="326">
      <calculatedColumnFormula>IFERROR(VLOOKUP($B4,RD[#All],GB$2,0)/GB$1,"")</calculatedColumnFormula>
    </tableColumn>
    <tableColumn id="182" xr3:uid="{00000000-0010-0000-0700-0000B6000000}" name="BLK6_INV25" dataDxfId="325">
      <calculatedColumnFormula>IFERROR(VLOOKUP($B4,RD[#All],GC$2,0)/GC$1,"")</calculatedColumnFormula>
    </tableColumn>
    <tableColumn id="183" xr3:uid="{00000000-0010-0000-0700-0000B7000000}" name="BLK6_INV26" dataDxfId="324">
      <calculatedColumnFormula>IFERROR(VLOOKUP($B4,RD[#All],GD$2,0)/GD$1,"")</calculatedColumnFormula>
    </tableColumn>
    <tableColumn id="184" xr3:uid="{00000000-0010-0000-0700-0000B8000000}" name="BLK6_INV27" dataDxfId="323">
      <calculatedColumnFormula>IFERROR(VLOOKUP($B4,RD[#All],GE$2,0)/GE$1,"")</calculatedColumnFormula>
    </tableColumn>
    <tableColumn id="185" xr3:uid="{00000000-0010-0000-0700-0000B9000000}" name="BLK6_INV28" dataDxfId="322">
      <calculatedColumnFormula>IFERROR(VLOOKUP($B4,RD[#All],GF$2,0)/GF$1,"")</calculatedColumnFormula>
    </tableColumn>
    <tableColumn id="186" xr3:uid="{00000000-0010-0000-0700-0000BA000000}" name="BLK6_INV29" dataDxfId="321">
      <calculatedColumnFormula>IFERROR(VLOOKUP($B4,RD[#All],GG$2,0)/GG$1,"")</calculatedColumnFormula>
    </tableColumn>
    <tableColumn id="187" xr3:uid="{00000000-0010-0000-0700-0000BB000000}" name="BLK6_INV30" dataDxfId="320">
      <calculatedColumnFormula>IFERROR(VLOOKUP($B4,RD[#All],GH$2,0)/GH$1,"")</calculatedColumnFormula>
    </tableColumn>
    <tableColumn id="188" xr3:uid="{00000000-0010-0000-0700-0000BC000000}" name="BLK6_INV31" dataDxfId="319">
      <calculatedColumnFormula>IFERROR(VLOOKUP($B4,RD[#All],GI$2,0)/GI$1,"")</calculatedColumnFormula>
    </tableColumn>
    <tableColumn id="189" xr3:uid="{00000000-0010-0000-0700-0000BD000000}" name="BLK6_INV32" dataDxfId="318">
      <calculatedColumnFormula>IFERROR(VLOOKUP($B4,RD[#All],GJ$2,0)/GJ$1,"")</calculatedColumnFormula>
    </tableColumn>
    <tableColumn id="190" xr3:uid="{00000000-0010-0000-0700-0000BE000000}" name="BLK7_INV1" dataDxfId="317">
      <calculatedColumnFormula>IFERROR(VLOOKUP($B4,RD[#All],GK$2,0)/GK$1,"")</calculatedColumnFormula>
    </tableColumn>
    <tableColumn id="191" xr3:uid="{00000000-0010-0000-0700-0000BF000000}" name="BLK7_INV2" dataDxfId="316">
      <calculatedColumnFormula>IFERROR(VLOOKUP($B4,RD[#All],GL$2,0)/GL$1,"")</calculatedColumnFormula>
    </tableColumn>
    <tableColumn id="192" xr3:uid="{00000000-0010-0000-0700-0000C0000000}" name="BLK7_INV3" dataDxfId="315">
      <calculatedColumnFormula>IFERROR(VLOOKUP($B4,RD[#All],GM$2,0)/GM$1,"")</calculatedColumnFormula>
    </tableColumn>
    <tableColumn id="193" xr3:uid="{00000000-0010-0000-0700-0000C1000000}" name="BLK7_INV4" dataDxfId="314">
      <calculatedColumnFormula>IFERROR(VLOOKUP($B4,RD[#All],GN$2,0)/GN$1,"")</calculatedColumnFormula>
    </tableColumn>
    <tableColumn id="194" xr3:uid="{00000000-0010-0000-0700-0000C2000000}" name="BLK7_INV5" dataDxfId="313">
      <calculatedColumnFormula>IFERROR(VLOOKUP($B4,RD[#All],GO$2,0)/GO$1,"")</calculatedColumnFormula>
    </tableColumn>
    <tableColumn id="195" xr3:uid="{00000000-0010-0000-0700-0000C3000000}" name="BLK7_INV6" dataDxfId="312">
      <calculatedColumnFormula>IFERROR(VLOOKUP($B4,RD[#All],GP$2,0)/GP$1,"")</calculatedColumnFormula>
    </tableColumn>
    <tableColumn id="196" xr3:uid="{00000000-0010-0000-0700-0000C4000000}" name="BLK7_INV7" dataDxfId="311">
      <calculatedColumnFormula>IFERROR(VLOOKUP($B4,RD[#All],GQ$2,0)/GQ$1,"")</calculatedColumnFormula>
    </tableColumn>
    <tableColumn id="197" xr3:uid="{00000000-0010-0000-0700-0000C5000000}" name="BLK7_INV8" dataDxfId="310">
      <calculatedColumnFormula>IFERROR(VLOOKUP($B4,RD[#All],GR$2,0)/GR$1,"")</calculatedColumnFormula>
    </tableColumn>
    <tableColumn id="198" xr3:uid="{00000000-0010-0000-0700-0000C6000000}" name="BLK7_INV9" dataDxfId="309">
      <calculatedColumnFormula>IFERROR(VLOOKUP($B4,RD[#All],GS$2,0)/GS$1,"")</calculatedColumnFormula>
    </tableColumn>
    <tableColumn id="199" xr3:uid="{00000000-0010-0000-0700-0000C7000000}" name="BLK7_INV10" dataDxfId="308">
      <calculatedColumnFormula>IFERROR(VLOOKUP($B4,RD[#All],GT$2,0)/GT$1,"")</calculatedColumnFormula>
    </tableColumn>
    <tableColumn id="200" xr3:uid="{00000000-0010-0000-0700-0000C8000000}" name="BLK7_INV11" dataDxfId="307">
      <calculatedColumnFormula>IFERROR(VLOOKUP($B4,RD[#All],GU$2,0)/GU$1,"")</calculatedColumnFormula>
    </tableColumn>
    <tableColumn id="201" xr3:uid="{00000000-0010-0000-0700-0000C9000000}" name="BLK7_INV12" dataDxfId="306">
      <calculatedColumnFormula>IFERROR(VLOOKUP($B4,RD[#All],GV$2,0)/GV$1,"")</calculatedColumnFormula>
    </tableColumn>
    <tableColumn id="202" xr3:uid="{00000000-0010-0000-0700-0000CA000000}" name="BLK7_INV13" dataDxfId="305">
      <calculatedColumnFormula>IFERROR(VLOOKUP($B4,RD[#All],GW$2,0)/GW$1,"")</calculatedColumnFormula>
    </tableColumn>
    <tableColumn id="203" xr3:uid="{00000000-0010-0000-0700-0000CB000000}" name="BLK7_INV14" dataDxfId="304">
      <calculatedColumnFormula>IFERROR(VLOOKUP($B4,RD[#All],GX$2,0)/GX$1,"")</calculatedColumnFormula>
    </tableColumn>
    <tableColumn id="204" xr3:uid="{00000000-0010-0000-0700-0000CC000000}" name="BLK7_INV15" dataDxfId="303">
      <calculatedColumnFormula>IFERROR(VLOOKUP($B4,RD[#All],GY$2,0)/GY$1,"")</calculatedColumnFormula>
    </tableColumn>
    <tableColumn id="205" xr3:uid="{00000000-0010-0000-0700-0000CD000000}" name="BLK7_INV16" dataDxfId="302">
      <calculatedColumnFormula>IFERROR(VLOOKUP($B4,RD[#All],GZ$2,0)/GZ$1,"")</calculatedColumnFormula>
    </tableColumn>
    <tableColumn id="206" xr3:uid="{00000000-0010-0000-0700-0000CE000000}" name="BLK7_INV17" dataDxfId="301">
      <calculatedColumnFormula>IFERROR(VLOOKUP($B4,RD[#All],HA$2,0)/HA$1,"")</calculatedColumnFormula>
    </tableColumn>
    <tableColumn id="207" xr3:uid="{00000000-0010-0000-0700-0000CF000000}" name="BLK7_INV18" dataDxfId="300">
      <calculatedColumnFormula>IFERROR(VLOOKUP($B4,RD[#All],HB$2,0)/HB$1,"")</calculatedColumnFormula>
    </tableColumn>
    <tableColumn id="208" xr3:uid="{00000000-0010-0000-0700-0000D0000000}" name="BLK7_INV19" dataDxfId="299">
      <calculatedColumnFormula>IFERROR(VLOOKUP($B4,RD[#All],HC$2,0)/HC$1,"")</calculatedColumnFormula>
    </tableColumn>
    <tableColumn id="209" xr3:uid="{00000000-0010-0000-0700-0000D1000000}" name="BLK7_INV20" dataDxfId="298">
      <calculatedColumnFormula>IFERROR(VLOOKUP($B4,RD[#All],HD$2,0)/HD$1,"")</calculatedColumnFormula>
    </tableColumn>
    <tableColumn id="210" xr3:uid="{00000000-0010-0000-0700-0000D2000000}" name="BLK7_INV21" dataDxfId="297">
      <calculatedColumnFormula>IFERROR(VLOOKUP($B4,RD[#All],HE$2,0)/HE$1,"")</calculatedColumnFormula>
    </tableColumn>
    <tableColumn id="211" xr3:uid="{00000000-0010-0000-0700-0000D3000000}" name="BLK7_INV22" dataDxfId="296">
      <calculatedColumnFormula>IFERROR(VLOOKUP($B4,RD[#All],HF$2,0)/HF$1,"")</calculatedColumnFormula>
    </tableColumn>
    <tableColumn id="212" xr3:uid="{00000000-0010-0000-0700-0000D4000000}" name="BLK7_INV23" dataDxfId="295">
      <calculatedColumnFormula>IFERROR(VLOOKUP($B4,RD[#All],HG$2,0)/HG$1,"")</calculatedColumnFormula>
    </tableColumn>
    <tableColumn id="213" xr3:uid="{00000000-0010-0000-0700-0000D5000000}" name="BLK7_INV24" dataDxfId="294">
      <calculatedColumnFormula>IFERROR(VLOOKUP($B4,RD[#All],HH$2,0)/HH$1,"")</calculatedColumnFormula>
    </tableColumn>
    <tableColumn id="214" xr3:uid="{00000000-0010-0000-0700-0000D6000000}" name="BLK7_INV25" dataDxfId="293">
      <calculatedColumnFormula>IFERROR(VLOOKUP($B4,RD[#All],HI$2,0)/HI$1,"")</calculatedColumnFormula>
    </tableColumn>
    <tableColumn id="215" xr3:uid="{00000000-0010-0000-0700-0000D7000000}" name="BLK7_INV26" dataDxfId="292">
      <calculatedColumnFormula>IFERROR(VLOOKUP($B4,RD[#All],HJ$2,0)/HJ$1,"")</calculatedColumnFormula>
    </tableColumn>
    <tableColumn id="216" xr3:uid="{00000000-0010-0000-0700-0000D8000000}" name="BLK7_INV27" dataDxfId="291">
      <calculatedColumnFormula>IFERROR(VLOOKUP($B4,RD[#All],HK$2,0)/HK$1,"")</calculatedColumnFormula>
    </tableColumn>
    <tableColumn id="217" xr3:uid="{00000000-0010-0000-0700-0000D9000000}" name="BLK7_INV28" dataDxfId="290">
      <calculatedColumnFormula>IFERROR(VLOOKUP($B4,RD[#All],HL$2,0)/HL$1,"")</calculatedColumnFormula>
    </tableColumn>
    <tableColumn id="247" xr3:uid="{00000000-0010-0000-0700-0000F7000000}" name="BLK7_INV29" dataDxfId="289">
      <calculatedColumnFormula>IFERROR(VLOOKUP($B4,RD[#All],HM$2,0)/HM$1,"")</calculatedColumnFormula>
    </tableColumn>
    <tableColumn id="248" xr3:uid="{00000000-0010-0000-0700-0000F8000000}" name="BLK7_INV30" dataDxfId="288">
      <calculatedColumnFormula>IFERROR(VLOOKUP($B4,RD[#All],HN$2,0)/HN$1,"")</calculatedColumnFormula>
    </tableColumn>
    <tableColumn id="249" xr3:uid="{00000000-0010-0000-0700-0000F9000000}" name="BLK7_INV31" dataDxfId="287">
      <calculatedColumnFormula>IFERROR(VLOOKUP($B4,RD[#All],HO$2,0)/HO$1,"")</calculatedColumnFormula>
    </tableColumn>
    <tableColumn id="251" xr3:uid="{0CCA5337-94F5-4DBB-A31F-2424D18CEF08}" name="BLK7_INV32" dataDxfId="286">
      <calculatedColumnFormula>IFERROR(VLOOKUP($B4,RD[#All],HP$2,0)/HP$1,"")</calculatedColumnFormula>
    </tableColumn>
    <tableColumn id="218" xr3:uid="{00000000-0010-0000-0700-0000DA000000}" name="BLK8_INV1" dataDxfId="285">
      <calculatedColumnFormula>IFERROR(VLOOKUP($B4,RD[#All],HQ$2,0)/HQ$1,"")</calculatedColumnFormula>
    </tableColumn>
    <tableColumn id="219" xr3:uid="{00000000-0010-0000-0700-0000DB000000}" name="BLK8_INV2" dataDxfId="284">
      <calculatedColumnFormula>IFERROR(VLOOKUP($B4,RD[#All],HR$2,0)/HR$1,"")</calculatedColumnFormula>
    </tableColumn>
    <tableColumn id="220" xr3:uid="{00000000-0010-0000-0700-0000DC000000}" name="BLK8_INV3" dataDxfId="283">
      <calculatedColumnFormula>IFERROR(VLOOKUP($B4,RD[#All],HS$2,0)/HS$1,"")</calculatedColumnFormula>
    </tableColumn>
    <tableColumn id="221" xr3:uid="{00000000-0010-0000-0700-0000DD000000}" name="BLK8_INV4" dataDxfId="282">
      <calculatedColumnFormula>IFERROR(VLOOKUP($B4,RD[#All],HT$2,0)/HT$1,"")</calculatedColumnFormula>
    </tableColumn>
    <tableColumn id="222" xr3:uid="{00000000-0010-0000-0700-0000DE000000}" name="BLK8_INV5" dataDxfId="281">
      <calculatedColumnFormula>IFERROR(VLOOKUP($B4,RD[#All],HU$2,0)/HU$1,"")</calculatedColumnFormula>
    </tableColumn>
    <tableColumn id="223" xr3:uid="{00000000-0010-0000-0700-0000DF000000}" name="BLK8_INV6" dataDxfId="280">
      <calculatedColumnFormula>IFERROR(VLOOKUP($B4,RD[#All],HV$2,0)/HV$1,"")</calculatedColumnFormula>
    </tableColumn>
    <tableColumn id="224" xr3:uid="{00000000-0010-0000-0700-0000E0000000}" name="BLK8_INV7" dataDxfId="279">
      <calculatedColumnFormula>IFERROR(VLOOKUP($B4,RD[#All],HW$2,0)/HW$1,"")</calculatedColumnFormula>
    </tableColumn>
    <tableColumn id="225" xr3:uid="{00000000-0010-0000-0700-0000E1000000}" name="BLK8_INV8" dataDxfId="278">
      <calculatedColumnFormula>IFERROR(VLOOKUP($B4,RD[#All],HX$2,0)/HX$1,"")</calculatedColumnFormula>
    </tableColumn>
    <tableColumn id="226" xr3:uid="{00000000-0010-0000-0700-0000E2000000}" name="BLK8_INV9" dataDxfId="277">
      <calculatedColumnFormula>IFERROR(VLOOKUP($B4,RD[#All],HY$2,0)/HY$1,"")</calculatedColumnFormula>
    </tableColumn>
    <tableColumn id="227" xr3:uid="{00000000-0010-0000-0700-0000E3000000}" name="BLK8_INV10" dataDxfId="276">
      <calculatedColumnFormula>IFERROR(VLOOKUP($B4,RD[#All],HZ$2,0)/HZ$1,"")</calculatedColumnFormula>
    </tableColumn>
    <tableColumn id="228" xr3:uid="{00000000-0010-0000-0700-0000E4000000}" name="BLK8_INV11" dataDxfId="275">
      <calculatedColumnFormula>IFERROR(VLOOKUP($B4,RD[#All],IA$2,0)/IA$1,"")</calculatedColumnFormula>
    </tableColumn>
    <tableColumn id="229" xr3:uid="{00000000-0010-0000-0700-0000E5000000}" name="BLK8_INV12" dataDxfId="274">
      <calculatedColumnFormula>IFERROR(VLOOKUP($B4,RD[#All],IB$2,0)/IB$1,"")</calculatedColumnFormula>
    </tableColumn>
    <tableColumn id="230" xr3:uid="{00000000-0010-0000-0700-0000E6000000}" name="BLK8_INV13" dataDxfId="273">
      <calculatedColumnFormula>IFERROR(VLOOKUP($B4,RD[#All],IC$2,0)/IC$1,"")</calculatedColumnFormula>
    </tableColumn>
    <tableColumn id="231" xr3:uid="{00000000-0010-0000-0700-0000E7000000}" name="BLK8_INV14" dataDxfId="272">
      <calculatedColumnFormula>IFERROR(VLOOKUP($B4,RD[#All],ID$2,0)/ID$1,"")</calculatedColumnFormula>
    </tableColumn>
    <tableColumn id="232" xr3:uid="{00000000-0010-0000-0700-0000E8000000}" name="BLK8_INV15" dataDxfId="271">
      <calculatedColumnFormula>IFERROR(VLOOKUP($B4,RD[#All],IE$2,0)/IE$1,"")</calculatedColumnFormula>
    </tableColumn>
    <tableColumn id="233" xr3:uid="{00000000-0010-0000-0700-0000E9000000}" name="BLK8_INV16" dataDxfId="270">
      <calculatedColumnFormula>IFERROR(VLOOKUP($B4,RD[#All],IF$2,0)/IF$1,"")</calculatedColumnFormula>
    </tableColumn>
    <tableColumn id="234" xr3:uid="{00000000-0010-0000-0700-0000EA000000}" name="BLK8_INV17" dataDxfId="269">
      <calculatedColumnFormula>IFERROR(VLOOKUP($B4,RD[#All],IG$2,0)/IG$1,"")</calculatedColumnFormula>
    </tableColumn>
    <tableColumn id="235" xr3:uid="{00000000-0010-0000-0700-0000EB000000}" name="BLK8_INV18" dataDxfId="268">
      <calculatedColumnFormula>IFERROR(VLOOKUP($B4,RD[#All],IH$2,0)/IH$1,"")</calculatedColumnFormula>
    </tableColumn>
    <tableColumn id="236" xr3:uid="{00000000-0010-0000-0700-0000EC000000}" name="BLK8_INV19" dataDxfId="267">
      <calculatedColumnFormula>IFERROR(VLOOKUP($B4,RD[#All],II$2,0)/II$1,"")</calculatedColumnFormula>
    </tableColumn>
    <tableColumn id="237" xr3:uid="{00000000-0010-0000-0700-0000ED000000}" name="BLK8_INV20" dataDxfId="266">
      <calculatedColumnFormula>IFERROR(VLOOKUP($B4,RD[#All],IJ$2,0)/IJ$1,"")</calculatedColumnFormula>
    </tableColumn>
    <tableColumn id="238" xr3:uid="{00000000-0010-0000-0700-0000EE000000}" name="BLK8_INV21" dataDxfId="265">
      <calculatedColumnFormula>IFERROR(VLOOKUP($B4,RD[#All],IK$2,0)/IK$1,"")</calculatedColumnFormula>
    </tableColumn>
    <tableColumn id="239" xr3:uid="{00000000-0010-0000-0700-0000EF000000}" name="BLK8_INV22" dataDxfId="264">
      <calculatedColumnFormula>IFERROR(VLOOKUP($B4,RD[#All],IL$2,0)/IL$1,"")</calculatedColumnFormula>
    </tableColumn>
    <tableColumn id="240" xr3:uid="{00000000-0010-0000-0700-0000F0000000}" name="BLK8_INV23" dataDxfId="263">
      <calculatedColumnFormula>IFERROR(VLOOKUP($B4,RD[#All],IM$2,0)/IM$1,"")</calculatedColumnFormula>
    </tableColumn>
    <tableColumn id="241" xr3:uid="{00000000-0010-0000-0700-0000F1000000}" name="BLK8_INV24" dataDxfId="262">
      <calculatedColumnFormula>IFERROR(VLOOKUP($B4,RD[#All],IN$2,0)/IN$1,"")</calculatedColumnFormula>
    </tableColumn>
    <tableColumn id="242" xr3:uid="{00000000-0010-0000-0700-0000F2000000}" name="BLK8_INV25" dataDxfId="261">
      <calculatedColumnFormula>IFERROR(VLOOKUP($B4,RD[#All],IO$2,0)/IO$1,"")</calculatedColumnFormula>
    </tableColumn>
    <tableColumn id="243" xr3:uid="{00000000-0010-0000-0700-0000F3000000}" name="BLK8_INV26" dataDxfId="260">
      <calculatedColumnFormula>IFERROR(VLOOKUP($B4,RD[#All],IP$2,0)/IP$1,"")</calculatedColumnFormula>
    </tableColumn>
    <tableColumn id="244" xr3:uid="{00000000-0010-0000-0700-0000F4000000}" name="BLK8_INV27" dataDxfId="259">
      <calculatedColumnFormula>IFERROR(VLOOKUP($B4,RD[#All],IQ$2,0)/IQ$1,"")</calculatedColumnFormula>
    </tableColumn>
    <tableColumn id="252" xr3:uid="{2B1C56FE-7A93-430A-A0A6-4E280E7325D8}" name="BLK8_INV28" dataDxfId="258">
      <calculatedColumnFormula>IFERROR(VLOOKUP($B4,RD[#All],IR$2,0)/IR$1,"")</calculatedColumnFormula>
    </tableColumn>
    <tableColumn id="246" xr3:uid="{00000000-0010-0000-0700-0000F6000000}" name="Plnat" dataDxfId="257">
      <calculatedColumnFormula>IFERROR(AVERAGEIF(Inv_SY_B[[#This Row],[BLK1_INV1]:[BLK8_INV27]],"&gt;"&amp;0.1,Inv_SY_B[[#This Row],[BLK1_INV1]:[BLK8_INV27]]),"")</calculatedColumn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Inv_SY" displayName="Inv_SY" ref="B3:IR62" totalsRowShown="0" headerRowDxfId="256" dataDxfId="254" headerRowBorderDxfId="255" tableBorderDxfId="253" totalsRowBorderDxfId="252" headerRowCellStyle="Normal 26">
  <autoFilter ref="B3:IR62" xr:uid="{00000000-0009-0000-0100-000009000000}"/>
  <tableColumns count="251">
    <tableColumn id="1" xr3:uid="{00000000-0010-0000-0800-000001000000}" name="Date" dataDxfId="251">
      <calculatedColumnFormula>B3+1</calculatedColumnFormula>
    </tableColumn>
    <tableColumn id="2" xr3:uid="{00000000-0010-0000-0800-000002000000}" name="BLK1_INV1" dataDxfId="250">
      <calculatedColumnFormula>IFERROR(Inv_SY_B!C4/Inv_SY_B!$IS4-1,"")</calculatedColumnFormula>
    </tableColumn>
    <tableColumn id="3" xr3:uid="{00000000-0010-0000-0800-000003000000}" name="BLK1_INV2" dataDxfId="249" dataCellStyle="Percent">
      <calculatedColumnFormula>IFERROR(Inv_SY_B!D4/Inv_SY_B!$IS4-1,"")</calculatedColumnFormula>
    </tableColumn>
    <tableColumn id="4" xr3:uid="{00000000-0010-0000-0800-000004000000}" name="BLK1_INV3" dataDxfId="248" dataCellStyle="Percent">
      <calculatedColumnFormula>IFERROR(Inv_SY_B!E4/Inv_SY_B!$IS4-1,"")</calculatedColumnFormula>
    </tableColumn>
    <tableColumn id="5" xr3:uid="{00000000-0010-0000-0800-000005000000}" name="BLK1_INV4" dataDxfId="247" dataCellStyle="Percent">
      <calculatedColumnFormula>IFERROR(Inv_SY_B!F4/Inv_SY_B!$IS4-1,"")</calculatedColumnFormula>
    </tableColumn>
    <tableColumn id="6" xr3:uid="{00000000-0010-0000-0800-000006000000}" name="BLK1_INV5" dataDxfId="246" dataCellStyle="Percent">
      <calculatedColumnFormula>IFERROR(Inv_SY_B!G4/Inv_SY_B!$IS4-1,"")</calculatedColumnFormula>
    </tableColumn>
    <tableColumn id="7" xr3:uid="{00000000-0010-0000-0800-000007000000}" name="BLK1_INV6" dataDxfId="245" dataCellStyle="Percent">
      <calculatedColumnFormula>IFERROR(Inv_SY_B!H4/Inv_SY_B!$IS4-1,"")</calculatedColumnFormula>
    </tableColumn>
    <tableColumn id="8" xr3:uid="{00000000-0010-0000-0800-000008000000}" name="BLK1_INV7" dataDxfId="244" dataCellStyle="Percent">
      <calculatedColumnFormula>IFERROR(Inv_SY_B!I4/Inv_SY_B!$IS4-1,"")</calculatedColumnFormula>
    </tableColumn>
    <tableColumn id="9" xr3:uid="{00000000-0010-0000-0800-000009000000}" name="BLK1_INV8" dataDxfId="243" dataCellStyle="Percent">
      <calculatedColumnFormula>IFERROR(Inv_SY_B!J4/Inv_SY_B!$IS4-1,"")</calculatedColumnFormula>
    </tableColumn>
    <tableColumn id="10" xr3:uid="{00000000-0010-0000-0800-00000A000000}" name="BLK1_INV9" dataDxfId="242" dataCellStyle="Percent">
      <calculatedColumnFormula>IFERROR(Inv_SY_B!K4/Inv_SY_B!$IS4-1,"")</calculatedColumnFormula>
    </tableColumn>
    <tableColumn id="11" xr3:uid="{00000000-0010-0000-0800-00000B000000}" name="BLK1_INV10" dataDxfId="241" dataCellStyle="Percent">
      <calculatedColumnFormula>IFERROR(Inv_SY_B!L4/Inv_SY_B!$IS4-1,"")</calculatedColumnFormula>
    </tableColumn>
    <tableColumn id="12" xr3:uid="{00000000-0010-0000-0800-00000C000000}" name="BLK1_INV11" dataDxfId="240" dataCellStyle="Percent">
      <calculatedColumnFormula>IFERROR(Inv_SY_B!M4/Inv_SY_B!$IS4-1,"")</calculatedColumnFormula>
    </tableColumn>
    <tableColumn id="13" xr3:uid="{00000000-0010-0000-0800-00000D000000}" name="BLK1_INV12" dataDxfId="239" dataCellStyle="Percent">
      <calculatedColumnFormula>IFERROR(Inv_SY_B!N4/Inv_SY_B!$IS4-1,"")</calculatedColumnFormula>
    </tableColumn>
    <tableColumn id="14" xr3:uid="{00000000-0010-0000-0800-00000E000000}" name="BLK1_INV13" dataDxfId="238" dataCellStyle="Percent">
      <calculatedColumnFormula>IFERROR(Inv_SY_B!O4/Inv_SY_B!$IS4-1,"")</calculatedColumnFormula>
    </tableColumn>
    <tableColumn id="15" xr3:uid="{00000000-0010-0000-0800-00000F000000}" name="BLK1_INV14" dataDxfId="237" dataCellStyle="Percent">
      <calculatedColumnFormula>IFERROR(Inv_SY_B!P4/Inv_SY_B!$IS4-1,"")</calculatedColumnFormula>
    </tableColumn>
    <tableColumn id="16" xr3:uid="{00000000-0010-0000-0800-000010000000}" name="BLK1_INV15" dataDxfId="236" dataCellStyle="Percent">
      <calculatedColumnFormula>IFERROR(Inv_SY_B!Q4/Inv_SY_B!$IS4-1,"")</calculatedColumnFormula>
    </tableColumn>
    <tableColumn id="17" xr3:uid="{00000000-0010-0000-0800-000011000000}" name="BLK1_INV16" dataDxfId="235" dataCellStyle="Percent">
      <calculatedColumnFormula>IFERROR(Inv_SY_B!R4/Inv_SY_B!$IS4-1,"")</calculatedColumnFormula>
    </tableColumn>
    <tableColumn id="18" xr3:uid="{00000000-0010-0000-0800-000012000000}" name="BLK1_INV17" dataDxfId="234" dataCellStyle="Percent">
      <calculatedColumnFormula>IFERROR(Inv_SY_B!S4/Inv_SY_B!$IS4-1,"")</calculatedColumnFormula>
    </tableColumn>
    <tableColumn id="19" xr3:uid="{00000000-0010-0000-0800-000013000000}" name="BLK1_INV18" dataDxfId="233" dataCellStyle="Percent">
      <calculatedColumnFormula>IFERROR(Inv_SY_B!T4/Inv_SY_B!$IS4-1,"")</calculatedColumnFormula>
    </tableColumn>
    <tableColumn id="20" xr3:uid="{00000000-0010-0000-0800-000014000000}" name="BLK1_INV19" dataDxfId="232" dataCellStyle="Percent">
      <calculatedColumnFormula>IFERROR(Inv_SY_B!U4/Inv_SY_B!$IS4-1,"")</calculatedColumnFormula>
    </tableColumn>
    <tableColumn id="21" xr3:uid="{00000000-0010-0000-0800-000015000000}" name="BLK1_INV20" dataDxfId="231" dataCellStyle="Percent">
      <calculatedColumnFormula>IFERROR(Inv_SY_B!V4/Inv_SY_B!$IS4-1,"")</calculatedColumnFormula>
    </tableColumn>
    <tableColumn id="22" xr3:uid="{00000000-0010-0000-0800-000016000000}" name="BLK1_INV21" dataDxfId="230" dataCellStyle="Percent">
      <calculatedColumnFormula>IFERROR(Inv_SY_B!W4/Inv_SY_B!$IS4-1,"")</calculatedColumnFormula>
    </tableColumn>
    <tableColumn id="23" xr3:uid="{00000000-0010-0000-0800-000017000000}" name="BLK1_INV22" dataDxfId="229" dataCellStyle="Percent">
      <calculatedColumnFormula>IFERROR(Inv_SY_B!X4/Inv_SY_B!$IS4-1,"")</calculatedColumnFormula>
    </tableColumn>
    <tableColumn id="24" xr3:uid="{00000000-0010-0000-0800-000018000000}" name="BLK1_INV23" dataDxfId="228" dataCellStyle="Percent">
      <calculatedColumnFormula>IFERROR(Inv_SY_B!Y4/Inv_SY_B!$IS4-1,"")</calculatedColumnFormula>
    </tableColumn>
    <tableColumn id="25" xr3:uid="{00000000-0010-0000-0800-000019000000}" name="BLK1_INV24" dataDxfId="227" dataCellStyle="Percent">
      <calculatedColumnFormula>IFERROR(Inv_SY_B!Z4/Inv_SY_B!$IS4-1,"")</calculatedColumnFormula>
    </tableColumn>
    <tableColumn id="26" xr3:uid="{00000000-0010-0000-0800-00001A000000}" name="BLK1_INV25" dataDxfId="226" dataCellStyle="Percent">
      <calculatedColumnFormula>IFERROR(Inv_SY_B!AA4/Inv_SY_B!$IS4-1,"")</calculatedColumnFormula>
    </tableColumn>
    <tableColumn id="27" xr3:uid="{00000000-0010-0000-0800-00001B000000}" name="BLK1_INV26" dataDxfId="225" dataCellStyle="Percent">
      <calculatedColumnFormula>IFERROR(Inv_SY_B!AB4/Inv_SY_B!$IS4-1,"")</calculatedColumnFormula>
    </tableColumn>
    <tableColumn id="28" xr3:uid="{00000000-0010-0000-0800-00001C000000}" name="BLK1_INV27" dataDxfId="224" dataCellStyle="Percent">
      <calculatedColumnFormula>IFERROR(Inv_SY_B!AC4/Inv_SY_B!$IS4-1,"")</calculatedColumnFormula>
    </tableColumn>
    <tableColumn id="29" xr3:uid="{00000000-0010-0000-0800-00001D000000}" name="BLK1_INV28" dataDxfId="223" dataCellStyle="Percent">
      <calculatedColumnFormula>IFERROR(Inv_SY_B!AD4/Inv_SY_B!$IS4-1,"")</calculatedColumnFormula>
    </tableColumn>
    <tableColumn id="30" xr3:uid="{00000000-0010-0000-0800-00001E000000}" name="BLK1_INV29" dataDxfId="222" dataCellStyle="Percent">
      <calculatedColumnFormula>IFERROR(Inv_SY_B!AE4/Inv_SY_B!$IS4-1,"")</calculatedColumnFormula>
    </tableColumn>
    <tableColumn id="31" xr3:uid="{00000000-0010-0000-0800-00001F000000}" name="BLK1_INV30" dataDxfId="221" dataCellStyle="Percent">
      <calculatedColumnFormula>IFERROR(Inv_SY_B!AF4/Inv_SY_B!$IS4-1,"")</calculatedColumnFormula>
    </tableColumn>
    <tableColumn id="32" xr3:uid="{00000000-0010-0000-0800-000020000000}" name="BLK1_INV31" dataDxfId="220" dataCellStyle="Percent">
      <calculatedColumnFormula>IFERROR(Inv_SY_B!AG4/Inv_SY_B!$IS4-1,"")</calculatedColumnFormula>
    </tableColumn>
    <tableColumn id="246" xr3:uid="{00000000-0010-0000-0800-0000F6000000}" name="BLK1_INV32" dataDxfId="219" dataCellStyle="Percent">
      <calculatedColumnFormula>IFERROR(Inv_SY_B!AH4/Inv_SY_B!$IS4-1,"")</calculatedColumnFormula>
    </tableColumn>
    <tableColumn id="33" xr3:uid="{00000000-0010-0000-0800-000021000000}" name="BLK2_INV1" dataDxfId="218" dataCellStyle="Percent">
      <calculatedColumnFormula>IFERROR(Inv_SY_B!AI4/Inv_SY_B!$IS4-1,"")</calculatedColumnFormula>
    </tableColumn>
    <tableColumn id="34" xr3:uid="{00000000-0010-0000-0800-000022000000}" name="BLK2_INV2" dataDxfId="217" dataCellStyle="Percent">
      <calculatedColumnFormula>IFERROR(Inv_SY_B!AJ4/Inv_SY_B!$IS4-1,"")</calculatedColumnFormula>
    </tableColumn>
    <tableColumn id="35" xr3:uid="{00000000-0010-0000-0800-000023000000}" name="BLK2_INV3" dataDxfId="216" dataCellStyle="Percent">
      <calculatedColumnFormula>IFERROR(Inv_SY_B!AK4/Inv_SY_B!$IS4-1,"")</calculatedColumnFormula>
    </tableColumn>
    <tableColumn id="36" xr3:uid="{00000000-0010-0000-0800-000024000000}" name="BLK2_INV4" dataDxfId="215" dataCellStyle="Percent">
      <calculatedColumnFormula>IFERROR(Inv_SY_B!AL4/Inv_SY_B!$IS4-1,"")</calculatedColumnFormula>
    </tableColumn>
    <tableColumn id="37" xr3:uid="{00000000-0010-0000-0800-000025000000}" name="BLK2_INV5" dataDxfId="214" dataCellStyle="Percent">
      <calculatedColumnFormula>IFERROR(Inv_SY_B!AM4/Inv_SY_B!$IS4-1,"")</calculatedColumnFormula>
    </tableColumn>
    <tableColumn id="38" xr3:uid="{00000000-0010-0000-0800-000026000000}" name="BLK2_INV6" dataDxfId="213" dataCellStyle="Percent">
      <calculatedColumnFormula>IFERROR(Inv_SY_B!AN4/Inv_SY_B!$IS4-1,"")</calculatedColumnFormula>
    </tableColumn>
    <tableColumn id="39" xr3:uid="{00000000-0010-0000-0800-000027000000}" name="BLK2_INV7" dataDxfId="212" dataCellStyle="Percent">
      <calculatedColumnFormula>IFERROR(Inv_SY_B!AO4/Inv_SY_B!$IS4-1,"")</calculatedColumnFormula>
    </tableColumn>
    <tableColumn id="40" xr3:uid="{00000000-0010-0000-0800-000028000000}" name="BLK2_INV8" dataDxfId="211" dataCellStyle="Percent">
      <calculatedColumnFormula>IFERROR(Inv_SY_B!AP4/Inv_SY_B!$IS4-1,"")</calculatedColumnFormula>
    </tableColumn>
    <tableColumn id="41" xr3:uid="{00000000-0010-0000-0800-000029000000}" name="BLK2_INV9" dataDxfId="210" dataCellStyle="Percent">
      <calculatedColumnFormula>IFERROR(Inv_SY_B!AQ4/Inv_SY_B!$IS4-1,"")</calculatedColumnFormula>
    </tableColumn>
    <tableColumn id="42" xr3:uid="{00000000-0010-0000-0800-00002A000000}" name="BLK2_INV10" dataDxfId="209" dataCellStyle="Percent">
      <calculatedColumnFormula>IFERROR(Inv_SY_B!AR4/Inv_SY_B!$IS4-1,"")</calculatedColumnFormula>
    </tableColumn>
    <tableColumn id="43" xr3:uid="{00000000-0010-0000-0800-00002B000000}" name="BLK2_INV11" dataDxfId="208" dataCellStyle="Percent">
      <calculatedColumnFormula>IFERROR(Inv_SY_B!AS4/Inv_SY_B!$IS4-1,"")</calculatedColumnFormula>
    </tableColumn>
    <tableColumn id="44" xr3:uid="{00000000-0010-0000-0800-00002C000000}" name="BLK2_INV12" dataDxfId="207" dataCellStyle="Percent">
      <calculatedColumnFormula>IFERROR(Inv_SY_B!AT4/Inv_SY_B!$IS4-1,"")</calculatedColumnFormula>
    </tableColumn>
    <tableColumn id="45" xr3:uid="{00000000-0010-0000-0800-00002D000000}" name="BLK2_INV13" dataDxfId="206" dataCellStyle="Percent">
      <calculatedColumnFormula>IFERROR(Inv_SY_B!AU4/Inv_SY_B!$IS4-1,"")</calculatedColumnFormula>
    </tableColumn>
    <tableColumn id="46" xr3:uid="{00000000-0010-0000-0800-00002E000000}" name="BLK2_INV14" dataDxfId="205" dataCellStyle="Percent">
      <calculatedColumnFormula>IFERROR(Inv_SY_B!AV4/Inv_SY_B!$IS4-1,"")</calculatedColumnFormula>
    </tableColumn>
    <tableColumn id="47" xr3:uid="{00000000-0010-0000-0800-00002F000000}" name="BLK2_INV15" dataDxfId="204" dataCellStyle="Percent">
      <calculatedColumnFormula>IFERROR(Inv_SY_B!AW4/Inv_SY_B!$IS4-1,"")</calculatedColumnFormula>
    </tableColumn>
    <tableColumn id="48" xr3:uid="{00000000-0010-0000-0800-000030000000}" name="BLK2_INV16" dataDxfId="203" dataCellStyle="Percent">
      <calculatedColumnFormula>IFERROR(Inv_SY_B!AX4/Inv_SY_B!$IS4-1,"")</calculatedColumnFormula>
    </tableColumn>
    <tableColumn id="49" xr3:uid="{00000000-0010-0000-0800-000031000000}" name="BLK2_INV17" dataDxfId="202" dataCellStyle="Percent">
      <calculatedColumnFormula>IFERROR(Inv_SY_B!AY4/Inv_SY_B!$IS4-1,"")</calculatedColumnFormula>
    </tableColumn>
    <tableColumn id="50" xr3:uid="{00000000-0010-0000-0800-000032000000}" name="BLK2_INV18" dataDxfId="201" dataCellStyle="Percent">
      <calculatedColumnFormula>IFERROR(Inv_SY_B!AZ4/Inv_SY_B!$IS4-1,"")</calculatedColumnFormula>
    </tableColumn>
    <tableColumn id="51" xr3:uid="{00000000-0010-0000-0800-000033000000}" name="BLK2_INV19" dataDxfId="200" dataCellStyle="Percent">
      <calculatedColumnFormula>IFERROR(Inv_SY_B!BA4/Inv_SY_B!$IS4-1,"")</calculatedColumnFormula>
    </tableColumn>
    <tableColumn id="52" xr3:uid="{00000000-0010-0000-0800-000034000000}" name="BLK2_INV20" dataDxfId="199" dataCellStyle="Percent">
      <calculatedColumnFormula>IFERROR(Inv_SY_B!BB4/Inv_SY_B!$IS4-1,"")</calculatedColumnFormula>
    </tableColumn>
    <tableColumn id="53" xr3:uid="{00000000-0010-0000-0800-000035000000}" name="BLK2_INV21" dataDxfId="198" dataCellStyle="Percent">
      <calculatedColumnFormula>IFERROR(Inv_SY_B!BC4/Inv_SY_B!$IS4-1,"")</calculatedColumnFormula>
    </tableColumn>
    <tableColumn id="54" xr3:uid="{00000000-0010-0000-0800-000036000000}" name="BLK2_INV22" dataDxfId="197" dataCellStyle="Percent">
      <calculatedColumnFormula>IFERROR(Inv_SY_B!BD4/Inv_SY_B!$IS4-1,"")</calculatedColumnFormula>
    </tableColumn>
    <tableColumn id="55" xr3:uid="{00000000-0010-0000-0800-000037000000}" name="BLK2_INV23" dataDxfId="196" dataCellStyle="Percent">
      <calculatedColumnFormula>IFERROR(Inv_SY_B!BE4/Inv_SY_B!$IS4-1,"")</calculatedColumnFormula>
    </tableColumn>
    <tableColumn id="56" xr3:uid="{00000000-0010-0000-0800-000038000000}" name="BLK2_INV24" dataDxfId="195" dataCellStyle="Percent">
      <calculatedColumnFormula>IFERROR(Inv_SY_B!BF4/Inv_SY_B!$IS4-1,"")</calculatedColumnFormula>
    </tableColumn>
    <tableColumn id="57" xr3:uid="{00000000-0010-0000-0800-000039000000}" name="BLK2_INV25" dataDxfId="194" dataCellStyle="Percent">
      <calculatedColumnFormula>IFERROR(Inv_SY_B!BG4/Inv_SY_B!$IS4-1,"")</calculatedColumnFormula>
    </tableColumn>
    <tableColumn id="58" xr3:uid="{00000000-0010-0000-0800-00003A000000}" name="BLK2_INV26" dataDxfId="193" dataCellStyle="Percent">
      <calculatedColumnFormula>IFERROR(Inv_SY_B!BH4/Inv_SY_B!$IS4-1,"")</calculatedColumnFormula>
    </tableColumn>
    <tableColumn id="59" xr3:uid="{00000000-0010-0000-0800-00003B000000}" name="BLK2_INV27" dataDxfId="192" dataCellStyle="Percent">
      <calculatedColumnFormula>IFERROR(Inv_SY_B!BI4/Inv_SY_B!$IS4-1,"")</calculatedColumnFormula>
    </tableColumn>
    <tableColumn id="60" xr3:uid="{00000000-0010-0000-0800-00003C000000}" name="BLK2_INV28" dataDxfId="191" dataCellStyle="Percent">
      <calculatedColumnFormula>IFERROR(Inv_SY_B!BJ4/Inv_SY_B!$IS4-1,"")</calculatedColumnFormula>
    </tableColumn>
    <tableColumn id="61" xr3:uid="{00000000-0010-0000-0800-00003D000000}" name="BLK2_INV29" dataDxfId="190" dataCellStyle="Percent">
      <calculatedColumnFormula>IFERROR(Inv_SY_B!BK4/Inv_SY_B!$IS4-1,"")</calculatedColumnFormula>
    </tableColumn>
    <tableColumn id="62" xr3:uid="{00000000-0010-0000-0800-00003E000000}" name="BLK2_INV30" dataDxfId="189" dataCellStyle="Percent">
      <calculatedColumnFormula>IFERROR(Inv_SY_B!BL4/Inv_SY_B!$IS4-1,"")</calculatedColumnFormula>
    </tableColumn>
    <tableColumn id="63" xr3:uid="{00000000-0010-0000-0800-00003F000000}" name="BLK2_INV31" dataDxfId="188" dataCellStyle="Percent">
      <calculatedColumnFormula>IFERROR(Inv_SY_B!BM4/Inv_SY_B!$IS4-1,"")</calculatedColumnFormula>
    </tableColumn>
    <tableColumn id="245" xr3:uid="{14AC78DD-1243-4444-9BDF-1F911EFB2913}" name="BLK2_INV32" dataDxfId="187" dataCellStyle="Percent">
      <calculatedColumnFormula>IFERROR(Inv_SY_B!BN4/Inv_SY_B!$IS4-1,"")</calculatedColumnFormula>
    </tableColumn>
    <tableColumn id="64" xr3:uid="{00000000-0010-0000-0800-000040000000}" name="BLK3_INV1" dataDxfId="186" dataCellStyle="Percent">
      <calculatedColumnFormula>IFERROR(Inv_SY_B!BO4/Inv_SY_B!$IS4-1,"")</calculatedColumnFormula>
    </tableColumn>
    <tableColumn id="65" xr3:uid="{00000000-0010-0000-0800-000041000000}" name="BLK3_INV2" dataDxfId="185" dataCellStyle="Percent">
      <calculatedColumnFormula>IFERROR(Inv_SY_B!BP4/Inv_SY_B!$IS4-1,"")</calculatedColumnFormula>
    </tableColumn>
    <tableColumn id="66" xr3:uid="{00000000-0010-0000-0800-000042000000}" name="BLK3_INV3" dataDxfId="184" dataCellStyle="Percent">
      <calculatedColumnFormula>IFERROR(Inv_SY_B!BQ4/Inv_SY_B!$IS4-1,"")</calculatedColumnFormula>
    </tableColumn>
    <tableColumn id="67" xr3:uid="{00000000-0010-0000-0800-000043000000}" name="BLK3_INV4" dataDxfId="183" dataCellStyle="Percent">
      <calculatedColumnFormula>IFERROR(Inv_SY_B!BR4/Inv_SY_B!$IS4-1,"")</calculatedColumnFormula>
    </tableColumn>
    <tableColumn id="68" xr3:uid="{00000000-0010-0000-0800-000044000000}" name="BLK3_INV5" dataDxfId="182" dataCellStyle="Percent">
      <calculatedColumnFormula>IFERROR(Inv_SY_B!BS4/Inv_SY_B!$IS4-1,"")</calculatedColumnFormula>
    </tableColumn>
    <tableColumn id="69" xr3:uid="{00000000-0010-0000-0800-000045000000}" name="BLK3_INV6" dataDxfId="181" dataCellStyle="Percent">
      <calculatedColumnFormula>IFERROR(Inv_SY_B!BT4/Inv_SY_B!$IS4-1,"")</calculatedColumnFormula>
    </tableColumn>
    <tableColumn id="70" xr3:uid="{00000000-0010-0000-0800-000046000000}" name="BLK3_INV7" dataDxfId="180" dataCellStyle="Percent">
      <calculatedColumnFormula>IFERROR(Inv_SY_B!BU4/Inv_SY_B!$IS4-1,"")</calculatedColumnFormula>
    </tableColumn>
    <tableColumn id="71" xr3:uid="{00000000-0010-0000-0800-000047000000}" name="BLK3_INV8" dataDxfId="179" dataCellStyle="Percent">
      <calculatedColumnFormula>IFERROR(Inv_SY_B!BV4/Inv_SY_B!$IS4-1,"")</calculatedColumnFormula>
    </tableColumn>
    <tableColumn id="72" xr3:uid="{00000000-0010-0000-0800-000048000000}" name="BLK3_INV9" dataDxfId="178" dataCellStyle="Percent">
      <calculatedColumnFormula>IFERROR(Inv_SY_B!BW4/Inv_SY_B!$IS4-1,"")</calculatedColumnFormula>
    </tableColumn>
    <tableColumn id="73" xr3:uid="{00000000-0010-0000-0800-000049000000}" name="BLK3_INV10" dataDxfId="177" dataCellStyle="Percent">
      <calculatedColumnFormula>IFERROR(Inv_SY_B!BX4/Inv_SY_B!$IS4-1,"")</calculatedColumnFormula>
    </tableColumn>
    <tableColumn id="74" xr3:uid="{00000000-0010-0000-0800-00004A000000}" name="BLK3_INV11" dataDxfId="176" dataCellStyle="Percent">
      <calculatedColumnFormula>IFERROR(Inv_SY_B!BY4/Inv_SY_B!$IS4-1,"")</calculatedColumnFormula>
    </tableColumn>
    <tableColumn id="75" xr3:uid="{00000000-0010-0000-0800-00004B000000}" name="BLK3_INV12" dataDxfId="175" dataCellStyle="Percent">
      <calculatedColumnFormula>IFERROR(Inv_SY_B!BZ4/Inv_SY_B!$IS4-1,"")</calculatedColumnFormula>
    </tableColumn>
    <tableColumn id="76" xr3:uid="{00000000-0010-0000-0800-00004C000000}" name="BLK3_INV13" dataDxfId="174" dataCellStyle="Percent">
      <calculatedColumnFormula>IFERROR(Inv_SY_B!CA4/Inv_SY_B!$IS4-1,"")</calculatedColumnFormula>
    </tableColumn>
    <tableColumn id="77" xr3:uid="{00000000-0010-0000-0800-00004D000000}" name="BLK3_INV14" dataDxfId="173" dataCellStyle="Percent">
      <calculatedColumnFormula>IFERROR(Inv_SY_B!CB4/Inv_SY_B!$IS4-1,"")</calculatedColumnFormula>
    </tableColumn>
    <tableColumn id="78" xr3:uid="{00000000-0010-0000-0800-00004E000000}" name="BLK3_INV15" dataDxfId="172" dataCellStyle="Percent">
      <calculatedColumnFormula>IFERROR(Inv_SY_B!CC4/Inv_SY_B!$IS4-1,"")</calculatedColumnFormula>
    </tableColumn>
    <tableColumn id="79" xr3:uid="{00000000-0010-0000-0800-00004F000000}" name="BLK3_INV16" dataDxfId="171" dataCellStyle="Percent">
      <calculatedColumnFormula>IFERROR(Inv_SY_B!CD4/Inv_SY_B!$IS4-1,"")</calculatedColumnFormula>
    </tableColumn>
    <tableColumn id="80" xr3:uid="{00000000-0010-0000-0800-000050000000}" name="BLK3_INV17" dataDxfId="170" dataCellStyle="Percent">
      <calculatedColumnFormula>IFERROR(Inv_SY_B!CE4/Inv_SY_B!$IS4-1,"")</calculatedColumnFormula>
    </tableColumn>
    <tableColumn id="81" xr3:uid="{00000000-0010-0000-0800-000051000000}" name="BLK3_INV18" dataDxfId="169" dataCellStyle="Percent">
      <calculatedColumnFormula>IFERROR(Inv_SY_B!CF4/Inv_SY_B!$IS4-1,"")</calculatedColumnFormula>
    </tableColumn>
    <tableColumn id="82" xr3:uid="{00000000-0010-0000-0800-000052000000}" name="BLK3_INV19" dataDxfId="168" dataCellStyle="Percent">
      <calculatedColumnFormula>IFERROR(Inv_SY_B!CG4/Inv_SY_B!$IS4-1,"")</calculatedColumnFormula>
    </tableColumn>
    <tableColumn id="83" xr3:uid="{00000000-0010-0000-0800-000053000000}" name="BLK3_INV20" dataDxfId="167" dataCellStyle="Percent">
      <calculatedColumnFormula>IFERROR(Inv_SY_B!CH4/Inv_SY_B!$IS4-1,"")</calculatedColumnFormula>
    </tableColumn>
    <tableColumn id="84" xr3:uid="{00000000-0010-0000-0800-000054000000}" name="BLK3_INV21" dataDxfId="166" dataCellStyle="Percent">
      <calculatedColumnFormula>IFERROR(Inv_SY_B!CI4/Inv_SY_B!$IS4-1,"")</calculatedColumnFormula>
    </tableColumn>
    <tableColumn id="85" xr3:uid="{00000000-0010-0000-0800-000055000000}" name="BLK3_INV22" dataDxfId="165" dataCellStyle="Percent">
      <calculatedColumnFormula>IFERROR(Inv_SY_B!CJ4/Inv_SY_B!$IS4-1,"")</calculatedColumnFormula>
    </tableColumn>
    <tableColumn id="86" xr3:uid="{00000000-0010-0000-0800-000056000000}" name="BLK3_INV23" dataDxfId="164" dataCellStyle="Percent">
      <calculatedColumnFormula>IFERROR(Inv_SY_B!CK4/Inv_SY_B!$IS4-1,"")</calculatedColumnFormula>
    </tableColumn>
    <tableColumn id="87" xr3:uid="{00000000-0010-0000-0800-000057000000}" name="BLK3_INV24" dataDxfId="163" dataCellStyle="Percent">
      <calculatedColumnFormula>IFERROR(Inv_SY_B!CL4/Inv_SY_B!$IS4-1,"")</calculatedColumnFormula>
    </tableColumn>
    <tableColumn id="88" xr3:uid="{00000000-0010-0000-0800-000058000000}" name="BLK3_INV25" dataDxfId="162" dataCellStyle="Percent">
      <calculatedColumnFormula>IFERROR(Inv_SY_B!CM4/Inv_SY_B!$IS4-1,"")</calculatedColumnFormula>
    </tableColumn>
    <tableColumn id="89" xr3:uid="{00000000-0010-0000-0800-000059000000}" name="BLK3_INV26" dataDxfId="161" dataCellStyle="Percent">
      <calculatedColumnFormula>IFERROR(Inv_SY_B!CN4/Inv_SY_B!$IS4-1,"")</calculatedColumnFormula>
    </tableColumn>
    <tableColumn id="90" xr3:uid="{00000000-0010-0000-0800-00005A000000}" name="BLK3_INV27" dataDxfId="160" dataCellStyle="Percent">
      <calculatedColumnFormula>IFERROR(Inv_SY_B!CO4/Inv_SY_B!$IS4-1,"")</calculatedColumnFormula>
    </tableColumn>
    <tableColumn id="91" xr3:uid="{00000000-0010-0000-0800-00005B000000}" name="BLK3_INV28" dataDxfId="159" dataCellStyle="Percent">
      <calculatedColumnFormula>IFERROR(Inv_SY_B!CP4/Inv_SY_B!$IS4-1,"")</calculatedColumnFormula>
    </tableColumn>
    <tableColumn id="92" xr3:uid="{00000000-0010-0000-0800-00005C000000}" name="BLK3_INV29" dataDxfId="158" dataCellStyle="Percent">
      <calculatedColumnFormula>IFERROR(Inv_SY_B!CQ4/Inv_SY_B!$IS4-1,"")</calculatedColumnFormula>
    </tableColumn>
    <tableColumn id="93" xr3:uid="{00000000-0010-0000-0800-00005D000000}" name="BLK3_INV30" dataDxfId="157" dataCellStyle="Percent">
      <calculatedColumnFormula>IFERROR(Inv_SY_B!CR4/Inv_SY_B!$IS4-1,"")</calculatedColumnFormula>
    </tableColumn>
    <tableColumn id="94" xr3:uid="{00000000-0010-0000-0800-00005E000000}" name="BLK3_INV31" dataDxfId="156" dataCellStyle="Percent">
      <calculatedColumnFormula>IFERROR(Inv_SY_B!CS4/Inv_SY_B!$IS4-1,"")</calculatedColumnFormula>
    </tableColumn>
    <tableColumn id="95" xr3:uid="{00000000-0010-0000-0800-00005F000000}" name="BLK4_INV1" dataDxfId="155" dataCellStyle="Percent">
      <calculatedColumnFormula>IFERROR(Inv_SY_B!CT4/Inv_SY_B!$IS4-1,"")</calculatedColumnFormula>
    </tableColumn>
    <tableColumn id="96" xr3:uid="{00000000-0010-0000-0800-000060000000}" name="BLK4_INV2" dataDxfId="154" dataCellStyle="Percent">
      <calculatedColumnFormula>IFERROR(Inv_SY_B!CU4/Inv_SY_B!$IS4-1,"")</calculatedColumnFormula>
    </tableColumn>
    <tableColumn id="97" xr3:uid="{00000000-0010-0000-0800-000061000000}" name="BLK4_INV3" dataDxfId="153" dataCellStyle="Percent">
      <calculatedColumnFormula>IFERROR(Inv_SY_B!CV4/Inv_SY_B!$IS4-1,"")</calculatedColumnFormula>
    </tableColumn>
    <tableColumn id="98" xr3:uid="{00000000-0010-0000-0800-000062000000}" name="BLK4_INV4" dataDxfId="152" dataCellStyle="Percent">
      <calculatedColumnFormula>IFERROR(Inv_SY_B!CW4/Inv_SY_B!$IS4-1,"")</calculatedColumnFormula>
    </tableColumn>
    <tableColumn id="99" xr3:uid="{00000000-0010-0000-0800-000063000000}" name="BLK4_INV5" dataDxfId="151" dataCellStyle="Percent">
      <calculatedColumnFormula>IFERROR(Inv_SY_B!CX4/Inv_SY_B!$IS4-1,"")</calculatedColumnFormula>
    </tableColumn>
    <tableColumn id="100" xr3:uid="{00000000-0010-0000-0800-000064000000}" name="BLK4_INV6" dataDxfId="150" dataCellStyle="Percent">
      <calculatedColumnFormula>IFERROR(Inv_SY_B!CY4/Inv_SY_B!$IS4-1,"")</calculatedColumnFormula>
    </tableColumn>
    <tableColumn id="101" xr3:uid="{00000000-0010-0000-0800-000065000000}" name="BLK4_INV7" dataDxfId="149" dataCellStyle="Percent">
      <calculatedColumnFormula>IFERROR(Inv_SY_B!CZ4/Inv_SY_B!$IS4-1,"")</calculatedColumnFormula>
    </tableColumn>
    <tableColumn id="102" xr3:uid="{00000000-0010-0000-0800-000066000000}" name="BLK4_INV8" dataDxfId="148" dataCellStyle="Percent">
      <calculatedColumnFormula>IFERROR(Inv_SY_B!DA4/Inv_SY_B!$IS4-1,"")</calculatedColumnFormula>
    </tableColumn>
    <tableColumn id="103" xr3:uid="{00000000-0010-0000-0800-000067000000}" name="BLK4_INV9" dataDxfId="147" dataCellStyle="Percent">
      <calculatedColumnFormula>IFERROR(Inv_SY_B!DB4/Inv_SY_B!$IS4-1,"")</calculatedColumnFormula>
    </tableColumn>
    <tableColumn id="104" xr3:uid="{00000000-0010-0000-0800-000068000000}" name="BLK4_INV10" dataDxfId="146" dataCellStyle="Percent">
      <calculatedColumnFormula>IFERROR(Inv_SY_B!DC4/Inv_SY_B!$IS4-1,"")</calculatedColumnFormula>
    </tableColumn>
    <tableColumn id="105" xr3:uid="{00000000-0010-0000-0800-000069000000}" name="BLK4_INV11" dataDxfId="145" dataCellStyle="Percent">
      <calculatedColumnFormula>IFERROR(Inv_SY_B!DD4/Inv_SY_B!$IS4-1,"")</calculatedColumnFormula>
    </tableColumn>
    <tableColumn id="106" xr3:uid="{00000000-0010-0000-0800-00006A000000}" name="BLK4_INV12" dataDxfId="144" dataCellStyle="Percent">
      <calculatedColumnFormula>IFERROR(Inv_SY_B!DE4/Inv_SY_B!$IS4-1,"")</calculatedColumnFormula>
    </tableColumn>
    <tableColumn id="107" xr3:uid="{00000000-0010-0000-0800-00006B000000}" name="BLK4_INV13" dataDxfId="143" dataCellStyle="Percent">
      <calculatedColumnFormula>IFERROR(Inv_SY_B!DF4/Inv_SY_B!$IS4-1,"")</calculatedColumnFormula>
    </tableColumn>
    <tableColumn id="108" xr3:uid="{00000000-0010-0000-0800-00006C000000}" name="BLK4_INV14" dataDxfId="142" dataCellStyle="Percent">
      <calculatedColumnFormula>IFERROR(Inv_SY_B!DG4/Inv_SY_B!$IS4-1,"")</calculatedColumnFormula>
    </tableColumn>
    <tableColumn id="109" xr3:uid="{00000000-0010-0000-0800-00006D000000}" name="BLK4_INV15" dataDxfId="141" dataCellStyle="Percent">
      <calculatedColumnFormula>IFERROR(Inv_SY_B!DH4/Inv_SY_B!$IS4-1,"")</calculatedColumnFormula>
    </tableColumn>
    <tableColumn id="110" xr3:uid="{00000000-0010-0000-0800-00006E000000}" name="BLK4_INV16" dataDxfId="140" dataCellStyle="Percent">
      <calculatedColumnFormula>IFERROR(Inv_SY_B!DI4/Inv_SY_B!$IS4-1,"")</calculatedColumnFormula>
    </tableColumn>
    <tableColumn id="111" xr3:uid="{00000000-0010-0000-0800-00006F000000}" name="BLK4_INV17" dataDxfId="139" dataCellStyle="Percent">
      <calculatedColumnFormula>IFERROR(Inv_SY_B!DJ4/Inv_SY_B!$IS4-1,"")</calculatedColumnFormula>
    </tableColumn>
    <tableColumn id="112" xr3:uid="{00000000-0010-0000-0800-000070000000}" name="BLK4_INV18" dataDxfId="138" dataCellStyle="Percent">
      <calculatedColumnFormula>IFERROR(Inv_SY_B!DK4/Inv_SY_B!$IS4-1,"")</calculatedColumnFormula>
    </tableColumn>
    <tableColumn id="113" xr3:uid="{00000000-0010-0000-0800-000071000000}" name="BLK4_INV19" dataDxfId="137" dataCellStyle="Percent">
      <calculatedColumnFormula>IFERROR(Inv_SY_B!DL4/Inv_SY_B!$IS4-1,"")</calculatedColumnFormula>
    </tableColumn>
    <tableColumn id="114" xr3:uid="{00000000-0010-0000-0800-000072000000}" name="BLK4_INV20" dataDxfId="136" dataCellStyle="Percent">
      <calculatedColumnFormula>IFERROR(Inv_SY_B!DM4/Inv_SY_B!$IS4-1,"")</calculatedColumnFormula>
    </tableColumn>
    <tableColumn id="115" xr3:uid="{00000000-0010-0000-0800-000073000000}" name="BLK4_INV21" dataDxfId="135" dataCellStyle="Percent">
      <calculatedColumnFormula>IFERROR(Inv_SY_B!DN4/Inv_SY_B!$IS4-1,"")</calculatedColumnFormula>
    </tableColumn>
    <tableColumn id="116" xr3:uid="{00000000-0010-0000-0800-000074000000}" name="BLK4_INV22" dataDxfId="134" dataCellStyle="Percent">
      <calculatedColumnFormula>IFERROR(Inv_SY_B!DO4/Inv_SY_B!$IS4-1,"")</calculatedColumnFormula>
    </tableColumn>
    <tableColumn id="117" xr3:uid="{00000000-0010-0000-0800-000075000000}" name="BLK4_INV23" dataDxfId="133" dataCellStyle="Percent">
      <calculatedColumnFormula>IFERROR(Inv_SY_B!DP4/Inv_SY_B!$IS4-1,"")</calculatedColumnFormula>
    </tableColumn>
    <tableColumn id="118" xr3:uid="{00000000-0010-0000-0800-000076000000}" name="BLK4_INV24" dataDxfId="132" dataCellStyle="Percent">
      <calculatedColumnFormula>IFERROR(Inv_SY_B!DQ4/Inv_SY_B!$IS4-1,"")</calculatedColumnFormula>
    </tableColumn>
    <tableColumn id="119" xr3:uid="{00000000-0010-0000-0800-000077000000}" name="BLK4_INV25" dataDxfId="131" dataCellStyle="Percent">
      <calculatedColumnFormula>IFERROR(Inv_SY_B!DR4/Inv_SY_B!$IS4-1,"")</calculatedColumnFormula>
    </tableColumn>
    <tableColumn id="120" xr3:uid="{00000000-0010-0000-0800-000078000000}" name="BLK4_INV26" dataDxfId="130" dataCellStyle="Percent">
      <calculatedColumnFormula>IFERROR(Inv_SY_B!DS4/Inv_SY_B!$IS4-1,"")</calculatedColumnFormula>
    </tableColumn>
    <tableColumn id="121" xr3:uid="{00000000-0010-0000-0800-000079000000}" name="BLK4_INV27" dataDxfId="129" dataCellStyle="Percent">
      <calculatedColumnFormula>IFERROR(Inv_SY_B!DT4/Inv_SY_B!$IS4-1,"")</calculatedColumnFormula>
    </tableColumn>
    <tableColumn id="122" xr3:uid="{00000000-0010-0000-0800-00007A000000}" name="BLK4_INV28" dataDxfId="128" dataCellStyle="Percent">
      <calculatedColumnFormula>IFERROR(Inv_SY_B!DU4/Inv_SY_B!$IS4-1,"")</calculatedColumnFormula>
    </tableColumn>
    <tableColumn id="123" xr3:uid="{00000000-0010-0000-0800-00007B000000}" name="BLK4_INV29" dataDxfId="127" dataCellStyle="Percent">
      <calculatedColumnFormula>IFERROR(Inv_SY_B!DV4/Inv_SY_B!$IS4-1,"")</calculatedColumnFormula>
    </tableColumn>
    <tableColumn id="124" xr3:uid="{00000000-0010-0000-0800-00007C000000}" name="BLK4_INV30" dataDxfId="126" dataCellStyle="Percent">
      <calculatedColumnFormula>IFERROR(Inv_SY_B!DW4/Inv_SY_B!$IS4-1,"")</calculatedColumnFormula>
    </tableColumn>
    <tableColumn id="125" xr3:uid="{00000000-0010-0000-0800-00007D000000}" name="BLK4_INV31" dataDxfId="125" dataCellStyle="Percent">
      <calculatedColumnFormula>IFERROR(Inv_SY_B!DX4/Inv_SY_B!$IS4-1,"")</calculatedColumnFormula>
    </tableColumn>
    <tableColumn id="126" xr3:uid="{00000000-0010-0000-0800-00007E000000}" name="BLK5_INV1" dataDxfId="124" dataCellStyle="Percent">
      <calculatedColumnFormula>IFERROR(Inv_SY_B!DY4/Inv_SY_B!$IS4-1,"")</calculatedColumnFormula>
    </tableColumn>
    <tableColumn id="127" xr3:uid="{00000000-0010-0000-0800-00007F000000}" name="BLK5_INV2" dataDxfId="123" dataCellStyle="Percent">
      <calculatedColumnFormula>IFERROR(Inv_SY_B!DZ4/Inv_SY_B!$IS4-1,"")</calculatedColumnFormula>
    </tableColumn>
    <tableColumn id="128" xr3:uid="{00000000-0010-0000-0800-000080000000}" name="BLK5_INV3" dataDxfId="122" dataCellStyle="Percent">
      <calculatedColumnFormula>IFERROR(Inv_SY_B!EA4/Inv_SY_B!$IS4-1,"")</calculatedColumnFormula>
    </tableColumn>
    <tableColumn id="129" xr3:uid="{00000000-0010-0000-0800-000081000000}" name="BLK5_INV4" dataDxfId="121" dataCellStyle="Percent">
      <calculatedColumnFormula>IFERROR(Inv_SY_B!EB4/Inv_SY_B!$IS4-1,"")</calculatedColumnFormula>
    </tableColumn>
    <tableColumn id="130" xr3:uid="{00000000-0010-0000-0800-000082000000}" name="BLK5_INV5" dataDxfId="120" dataCellStyle="Percent">
      <calculatedColumnFormula>IFERROR(Inv_SY_B!EC4/Inv_SY_B!$IS4-1,"")</calculatedColumnFormula>
    </tableColumn>
    <tableColumn id="131" xr3:uid="{00000000-0010-0000-0800-000083000000}" name="BLK5_INV6" dataDxfId="119" dataCellStyle="Percent">
      <calculatedColumnFormula>IFERROR(Inv_SY_B!ED4/Inv_SY_B!$IS4-1,"")</calculatedColumnFormula>
    </tableColumn>
    <tableColumn id="132" xr3:uid="{00000000-0010-0000-0800-000084000000}" name="BLK5_INV7" dataDxfId="118" dataCellStyle="Percent">
      <calculatedColumnFormula>IFERROR(Inv_SY_B!EE4/Inv_SY_B!$IS4-1,"")</calculatedColumnFormula>
    </tableColumn>
    <tableColumn id="133" xr3:uid="{00000000-0010-0000-0800-000085000000}" name="BLK5_INV8" dataDxfId="117" dataCellStyle="Percent">
      <calculatedColumnFormula>IFERROR(Inv_SY_B!EF4/Inv_SY_B!$IS4-1,"")</calculatedColumnFormula>
    </tableColumn>
    <tableColumn id="134" xr3:uid="{00000000-0010-0000-0800-000086000000}" name="BLK5_INV9" dataDxfId="116" dataCellStyle="Percent">
      <calculatedColumnFormula>IFERROR(Inv_SY_B!EG4/Inv_SY_B!$IS4-1,"")</calculatedColumnFormula>
    </tableColumn>
    <tableColumn id="135" xr3:uid="{00000000-0010-0000-0800-000087000000}" name="BLK5_INV10" dataDxfId="115" dataCellStyle="Percent">
      <calculatedColumnFormula>IFERROR(Inv_SY_B!EH4/Inv_SY_B!$IS4-1,"")</calculatedColumnFormula>
    </tableColumn>
    <tableColumn id="136" xr3:uid="{00000000-0010-0000-0800-000088000000}" name="BLK5_INV11" dataDxfId="114" dataCellStyle="Percent">
      <calculatedColumnFormula>IFERROR(Inv_SY_B!EI4/Inv_SY_B!$IS4-1,"")</calculatedColumnFormula>
    </tableColumn>
    <tableColumn id="137" xr3:uid="{00000000-0010-0000-0800-000089000000}" name="BLK5_INV12" dataDxfId="113" dataCellStyle="Percent">
      <calculatedColumnFormula>IFERROR(Inv_SY_B!EJ4/Inv_SY_B!$IS4-1,"")</calculatedColumnFormula>
    </tableColumn>
    <tableColumn id="138" xr3:uid="{00000000-0010-0000-0800-00008A000000}" name="BLK5_INV13" dataDxfId="112" dataCellStyle="Percent">
      <calculatedColumnFormula>IFERROR(Inv_SY_B!EK4/Inv_SY_B!$IS4-1,"")</calculatedColumnFormula>
    </tableColumn>
    <tableColumn id="139" xr3:uid="{00000000-0010-0000-0800-00008B000000}" name="BLK5_INV14" dataDxfId="111" dataCellStyle="Percent">
      <calculatedColumnFormula>IFERROR(Inv_SY_B!EL4/Inv_SY_B!$IS4-1,"")</calculatedColumnFormula>
    </tableColumn>
    <tableColumn id="140" xr3:uid="{00000000-0010-0000-0800-00008C000000}" name="BLK5_INV15" dataDxfId="110" dataCellStyle="Percent">
      <calculatedColumnFormula>IFERROR(Inv_SY_B!EM4/Inv_SY_B!$IS4-1,"")</calculatedColumnFormula>
    </tableColumn>
    <tableColumn id="141" xr3:uid="{00000000-0010-0000-0800-00008D000000}" name="BLK5_INV16" dataDxfId="109" dataCellStyle="Percent">
      <calculatedColumnFormula>IFERROR(Inv_SY_B!EN4/Inv_SY_B!$IS4-1,"")</calculatedColumnFormula>
    </tableColumn>
    <tableColumn id="142" xr3:uid="{00000000-0010-0000-0800-00008E000000}" name="BLK5_INV17" dataDxfId="108" dataCellStyle="Percent">
      <calculatedColumnFormula>IFERROR(Inv_SY_B!EO4/Inv_SY_B!$IS4-1,"")</calculatedColumnFormula>
    </tableColumn>
    <tableColumn id="143" xr3:uid="{00000000-0010-0000-0800-00008F000000}" name="BLK5_INV18" dataDxfId="107" dataCellStyle="Percent">
      <calculatedColumnFormula>IFERROR(Inv_SY_B!EP4/Inv_SY_B!$IS4-1,"")</calculatedColumnFormula>
    </tableColumn>
    <tableColumn id="144" xr3:uid="{00000000-0010-0000-0800-000090000000}" name="BLK5_INV19" dataDxfId="106" dataCellStyle="Percent">
      <calculatedColumnFormula>IFERROR(Inv_SY_B!EQ4/Inv_SY_B!$IS4-1,"")</calculatedColumnFormula>
    </tableColumn>
    <tableColumn id="145" xr3:uid="{00000000-0010-0000-0800-000091000000}" name="BLK5_INV20" dataDxfId="105" dataCellStyle="Percent">
      <calculatedColumnFormula>IFERROR(Inv_SY_B!ER4/Inv_SY_B!$IS4-1,"")</calculatedColumnFormula>
    </tableColumn>
    <tableColumn id="146" xr3:uid="{00000000-0010-0000-0800-000092000000}" name="BLK5_INV21" dataDxfId="104" dataCellStyle="Percent">
      <calculatedColumnFormula>IFERROR(Inv_SY_B!ES4/Inv_SY_B!$IS4-1,"")</calculatedColumnFormula>
    </tableColumn>
    <tableColumn id="147" xr3:uid="{00000000-0010-0000-0800-000093000000}" name="BLK5_INV22" dataDxfId="103" dataCellStyle="Percent">
      <calculatedColumnFormula>IFERROR(Inv_SY_B!ET4/Inv_SY_B!$IS4-1,"")</calculatedColumnFormula>
    </tableColumn>
    <tableColumn id="148" xr3:uid="{00000000-0010-0000-0800-000094000000}" name="BLK5_INV23" dataDxfId="102" dataCellStyle="Percent">
      <calculatedColumnFormula>IFERROR(Inv_SY_B!EU4/Inv_SY_B!$IS4-1,"")</calculatedColumnFormula>
    </tableColumn>
    <tableColumn id="149" xr3:uid="{00000000-0010-0000-0800-000095000000}" name="BLK5_INV24" dataDxfId="101" dataCellStyle="Percent">
      <calculatedColumnFormula>IFERROR(Inv_SY_B!EV4/Inv_SY_B!$IS4-1,"")</calculatedColumnFormula>
    </tableColumn>
    <tableColumn id="150" xr3:uid="{00000000-0010-0000-0800-000096000000}" name="BLK5_INV25" dataDxfId="100" dataCellStyle="Percent">
      <calculatedColumnFormula>IFERROR(Inv_SY_B!EW4/Inv_SY_B!$IS4-1,"")</calculatedColumnFormula>
    </tableColumn>
    <tableColumn id="151" xr3:uid="{00000000-0010-0000-0800-000097000000}" name="BLK5_INV26" dataDxfId="99" dataCellStyle="Percent">
      <calculatedColumnFormula>IFERROR(Inv_SY_B!EX4/Inv_SY_B!$IS4-1,"")</calculatedColumnFormula>
    </tableColumn>
    <tableColumn id="152" xr3:uid="{00000000-0010-0000-0800-000098000000}" name="BLK5_INV27" dataDxfId="98" dataCellStyle="Percent">
      <calculatedColumnFormula>IFERROR(Inv_SY_B!EY4/Inv_SY_B!$IS4-1,"")</calculatedColumnFormula>
    </tableColumn>
    <tableColumn id="153" xr3:uid="{00000000-0010-0000-0800-000099000000}" name="BLK5_INV28" dataDxfId="97" dataCellStyle="Percent">
      <calculatedColumnFormula>IFERROR(Inv_SY_B!EZ4/Inv_SY_B!$IS4-1,"")</calculatedColumnFormula>
    </tableColumn>
    <tableColumn id="154" xr3:uid="{00000000-0010-0000-0800-00009A000000}" name="BLK5_INV29" dataDxfId="96" dataCellStyle="Percent">
      <calculatedColumnFormula>IFERROR(Inv_SY_B!FA4/Inv_SY_B!$IS4-1,"")</calculatedColumnFormula>
    </tableColumn>
    <tableColumn id="155" xr3:uid="{00000000-0010-0000-0800-00009B000000}" name="BLK5_INV30" dataDxfId="95" dataCellStyle="Percent">
      <calculatedColumnFormula>IFERROR(Inv_SY_B!FB4/Inv_SY_B!$IS4-1,"")</calculatedColumnFormula>
    </tableColumn>
    <tableColumn id="156" xr3:uid="{00000000-0010-0000-0800-00009C000000}" name="BLK5_INV31" dataDxfId="94" dataCellStyle="Percent">
      <calculatedColumnFormula>IFERROR(Inv_SY_B!FC4/Inv_SY_B!$IS4-1,"")</calculatedColumnFormula>
    </tableColumn>
    <tableColumn id="157" xr3:uid="{00000000-0010-0000-0800-00009D000000}" name="BLK5_INV32" dataDxfId="93" dataCellStyle="Percent">
      <calculatedColumnFormula>IFERROR(Inv_SY_B!FD4/Inv_SY_B!$IS4-1,"")</calculatedColumnFormula>
    </tableColumn>
    <tableColumn id="158" xr3:uid="{00000000-0010-0000-0800-00009E000000}" name="BLK6_INV1" dataDxfId="92" dataCellStyle="Percent">
      <calculatedColumnFormula>IFERROR(Inv_SY_B!FE4/Inv_SY_B!$IS4-1,"")</calculatedColumnFormula>
    </tableColumn>
    <tableColumn id="159" xr3:uid="{00000000-0010-0000-0800-00009F000000}" name="BLK6_INV2" dataDxfId="91" dataCellStyle="Percent">
      <calculatedColumnFormula>IFERROR(Inv_SY_B!FF4/Inv_SY_B!$IS4-1,"")</calculatedColumnFormula>
    </tableColumn>
    <tableColumn id="160" xr3:uid="{00000000-0010-0000-0800-0000A0000000}" name="BLK6_INV3" dataDxfId="90" dataCellStyle="Percent">
      <calculatedColumnFormula>IFERROR(Inv_SY_B!FG4/Inv_SY_B!$IS4-1,"")</calculatedColumnFormula>
    </tableColumn>
    <tableColumn id="161" xr3:uid="{00000000-0010-0000-0800-0000A1000000}" name="BLK6_INV4" dataDxfId="89" dataCellStyle="Percent">
      <calculatedColumnFormula>IFERROR(Inv_SY_B!FH4/Inv_SY_B!$IS4-1,"")</calculatedColumnFormula>
    </tableColumn>
    <tableColumn id="162" xr3:uid="{00000000-0010-0000-0800-0000A2000000}" name="BLK6_INV5" dataDxfId="88" dataCellStyle="Percent">
      <calculatedColumnFormula>IFERROR(Inv_SY_B!FI4/Inv_SY_B!$IS4-1,"")</calculatedColumnFormula>
    </tableColumn>
    <tableColumn id="163" xr3:uid="{00000000-0010-0000-0800-0000A3000000}" name="BLK6_INV6" dataDxfId="87" dataCellStyle="Percent">
      <calculatedColumnFormula>IFERROR(Inv_SY_B!FJ4/Inv_SY_B!$IS4-1,"")</calculatedColumnFormula>
    </tableColumn>
    <tableColumn id="164" xr3:uid="{00000000-0010-0000-0800-0000A4000000}" name="BLK6_INV7" dataDxfId="86" dataCellStyle="Percent">
      <calculatedColumnFormula>IFERROR(Inv_SY_B!FK4/Inv_SY_B!$IS4-1,"")</calculatedColumnFormula>
    </tableColumn>
    <tableColumn id="165" xr3:uid="{00000000-0010-0000-0800-0000A5000000}" name="BLK6_INV8" dataDxfId="85" dataCellStyle="Percent">
      <calculatedColumnFormula>IFERROR(Inv_SY_B!FL4/Inv_SY_B!$IS4-1,"")</calculatedColumnFormula>
    </tableColumn>
    <tableColumn id="166" xr3:uid="{00000000-0010-0000-0800-0000A6000000}" name="BLK6_INV9" dataDxfId="84" dataCellStyle="Percent">
      <calculatedColumnFormula>IFERROR(Inv_SY_B!FM4/Inv_SY_B!$IS4-1,"")</calculatedColumnFormula>
    </tableColumn>
    <tableColumn id="167" xr3:uid="{00000000-0010-0000-0800-0000A7000000}" name="BLK6_INV10" dataDxfId="83" dataCellStyle="Percent">
      <calculatedColumnFormula>IFERROR(Inv_SY_B!FN4/Inv_SY_B!$IS4-1,"")</calculatedColumnFormula>
    </tableColumn>
    <tableColumn id="168" xr3:uid="{00000000-0010-0000-0800-0000A8000000}" name="BLK6_INV11" dataDxfId="82" dataCellStyle="Percent">
      <calculatedColumnFormula>IFERROR(Inv_SY_B!FO4/Inv_SY_B!$IS4-1,"")</calculatedColumnFormula>
    </tableColumn>
    <tableColumn id="169" xr3:uid="{00000000-0010-0000-0800-0000A9000000}" name="BLK6_INV12" dataDxfId="81" dataCellStyle="Percent">
      <calculatedColumnFormula>IFERROR(Inv_SY_B!FP4/Inv_SY_B!$IS4-1,"")</calculatedColumnFormula>
    </tableColumn>
    <tableColumn id="170" xr3:uid="{00000000-0010-0000-0800-0000AA000000}" name="BLK6_INV13" dataDxfId="80" dataCellStyle="Percent">
      <calculatedColumnFormula>IFERROR(Inv_SY_B!FQ4/Inv_SY_B!$IS4-1,"")</calculatedColumnFormula>
    </tableColumn>
    <tableColumn id="171" xr3:uid="{00000000-0010-0000-0800-0000AB000000}" name="BLK6_INV14" dataDxfId="79" dataCellStyle="Percent">
      <calculatedColumnFormula>IFERROR(Inv_SY_B!FR4/Inv_SY_B!$IS4-1,"")</calculatedColumnFormula>
    </tableColumn>
    <tableColumn id="172" xr3:uid="{00000000-0010-0000-0800-0000AC000000}" name="BLK6_INV15" dataDxfId="78" dataCellStyle="Percent">
      <calculatedColumnFormula>IFERROR(Inv_SY_B!FS4/Inv_SY_B!$IS4-1,"")</calculatedColumnFormula>
    </tableColumn>
    <tableColumn id="173" xr3:uid="{00000000-0010-0000-0800-0000AD000000}" name="BLK6_INV16" dataDxfId="77" dataCellStyle="Percent">
      <calculatedColumnFormula>IFERROR(Inv_SY_B!FT4/Inv_SY_B!$IS4-1,"")</calculatedColumnFormula>
    </tableColumn>
    <tableColumn id="174" xr3:uid="{00000000-0010-0000-0800-0000AE000000}" name="BLK6_INV17" dataDxfId="76" dataCellStyle="Percent">
      <calculatedColumnFormula>IFERROR(Inv_SY_B!FU4/Inv_SY_B!$IS4-1,"")</calculatedColumnFormula>
    </tableColumn>
    <tableColumn id="175" xr3:uid="{00000000-0010-0000-0800-0000AF000000}" name="BLK6_INV18" dataDxfId="75" dataCellStyle="Percent">
      <calculatedColumnFormula>IFERROR(Inv_SY_B!FV4/Inv_SY_B!$IS4-1,"")</calculatedColumnFormula>
    </tableColumn>
    <tableColumn id="176" xr3:uid="{00000000-0010-0000-0800-0000B0000000}" name="BLK6_INV19" dataDxfId="74" dataCellStyle="Percent">
      <calculatedColumnFormula>IFERROR(Inv_SY_B!FW4/Inv_SY_B!$IS4-1,"")</calculatedColumnFormula>
    </tableColumn>
    <tableColumn id="177" xr3:uid="{00000000-0010-0000-0800-0000B1000000}" name="BLK6_INV20" dataDxfId="73" dataCellStyle="Percent">
      <calculatedColumnFormula>IFERROR(Inv_SY_B!FX4/Inv_SY_B!$IS4-1,"")</calculatedColumnFormula>
    </tableColumn>
    <tableColumn id="178" xr3:uid="{00000000-0010-0000-0800-0000B2000000}" name="BLK6_INV21" dataDxfId="72" dataCellStyle="Percent">
      <calculatedColumnFormula>IFERROR(Inv_SY_B!FY4/Inv_SY_B!$IS4-1,"")</calculatedColumnFormula>
    </tableColumn>
    <tableColumn id="179" xr3:uid="{00000000-0010-0000-0800-0000B3000000}" name="BLK6_INV22" dataDxfId="71" dataCellStyle="Percent">
      <calculatedColumnFormula>IFERROR(Inv_SY_B!FZ4/Inv_SY_B!$IS4-1,"")</calculatedColumnFormula>
    </tableColumn>
    <tableColumn id="180" xr3:uid="{00000000-0010-0000-0800-0000B4000000}" name="BLK6_INV23" dataDxfId="70" dataCellStyle="Percent">
      <calculatedColumnFormula>IFERROR(Inv_SY_B!GA4/Inv_SY_B!$IS4-1,"")</calculatedColumnFormula>
    </tableColumn>
    <tableColumn id="181" xr3:uid="{00000000-0010-0000-0800-0000B5000000}" name="BLK6_INV24" dataDxfId="69" dataCellStyle="Percent">
      <calculatedColumnFormula>IFERROR(Inv_SY_B!GB4/Inv_SY_B!$IS4-1,"")</calculatedColumnFormula>
    </tableColumn>
    <tableColumn id="182" xr3:uid="{00000000-0010-0000-0800-0000B6000000}" name="BLK6_INV25" dataDxfId="68" dataCellStyle="Percent">
      <calculatedColumnFormula>IFERROR(Inv_SY_B!GC4/Inv_SY_B!$IS4-1,"")</calculatedColumnFormula>
    </tableColumn>
    <tableColumn id="183" xr3:uid="{00000000-0010-0000-0800-0000B7000000}" name="BLK6_INV26" dataDxfId="67" dataCellStyle="Percent">
      <calculatedColumnFormula>IFERROR(Inv_SY_B!GD4/Inv_SY_B!$IS4-1,"")</calculatedColumnFormula>
    </tableColumn>
    <tableColumn id="184" xr3:uid="{00000000-0010-0000-0800-0000B8000000}" name="BLK6_INV27" dataDxfId="66" dataCellStyle="Percent">
      <calculatedColumnFormula>IFERROR(Inv_SY_B!GE4/Inv_SY_B!$IS4-1,"")</calculatedColumnFormula>
    </tableColumn>
    <tableColumn id="185" xr3:uid="{00000000-0010-0000-0800-0000B9000000}" name="BLK6_INV28" dataDxfId="65" dataCellStyle="Percent">
      <calculatedColumnFormula>IFERROR(Inv_SY_B!GF4/Inv_SY_B!$IS4-1,"")</calculatedColumnFormula>
    </tableColumn>
    <tableColumn id="186" xr3:uid="{00000000-0010-0000-0800-0000BA000000}" name="BLK6_INV29" dataDxfId="64" dataCellStyle="Percent">
      <calculatedColumnFormula>IFERROR(Inv_SY_B!GG4/Inv_SY_B!$IS4-1,"")</calculatedColumnFormula>
    </tableColumn>
    <tableColumn id="187" xr3:uid="{00000000-0010-0000-0800-0000BB000000}" name="BLK6_INV30" dataDxfId="63" dataCellStyle="Percent">
      <calculatedColumnFormula>IFERROR(Inv_SY_B!GH4/Inv_SY_B!$IS4-1,"")</calculatedColumnFormula>
    </tableColumn>
    <tableColumn id="188" xr3:uid="{00000000-0010-0000-0800-0000BC000000}" name="BLK6_INV31" dataDxfId="62" dataCellStyle="Percent">
      <calculatedColumnFormula>IFERROR(Inv_SY_B!GI4/Inv_SY_B!$IS4-1,"")</calculatedColumnFormula>
    </tableColumn>
    <tableColumn id="189" xr3:uid="{00000000-0010-0000-0800-0000BD000000}" name="BLK6_INV32" dataDxfId="61" dataCellStyle="Percent">
      <calculatedColumnFormula>IFERROR(Inv_SY_B!GJ4/Inv_SY_B!$IS4-1,"")</calculatedColumnFormula>
    </tableColumn>
    <tableColumn id="190" xr3:uid="{00000000-0010-0000-0800-0000BE000000}" name="BLK7_INV1" dataDxfId="60" dataCellStyle="Percent">
      <calculatedColumnFormula>IFERROR(Inv_SY_B!GK4/Inv_SY_B!$IS4-1,"")</calculatedColumnFormula>
    </tableColumn>
    <tableColumn id="191" xr3:uid="{00000000-0010-0000-0800-0000BF000000}" name="BLK7_INV2" dataDxfId="59" dataCellStyle="Percent">
      <calculatedColumnFormula>IFERROR(Inv_SY_B!GL4/Inv_SY_B!$IS4-1,"")</calculatedColumnFormula>
    </tableColumn>
    <tableColumn id="192" xr3:uid="{00000000-0010-0000-0800-0000C0000000}" name="BLK7_INV3" dataDxfId="58" dataCellStyle="Percent">
      <calculatedColumnFormula>IFERROR(Inv_SY_B!GM4/Inv_SY_B!$IS4-1,"")</calculatedColumnFormula>
    </tableColumn>
    <tableColumn id="193" xr3:uid="{00000000-0010-0000-0800-0000C1000000}" name="BLK7_INV4" dataDxfId="57" dataCellStyle="Percent">
      <calculatedColumnFormula>IFERROR(Inv_SY_B!GN4/Inv_SY_B!$IS4-1,"")</calculatedColumnFormula>
    </tableColumn>
    <tableColumn id="194" xr3:uid="{00000000-0010-0000-0800-0000C2000000}" name="BLK7_INV5" dataDxfId="56" dataCellStyle="Percent">
      <calculatedColumnFormula>IFERROR(Inv_SY_B!GO4/Inv_SY_B!$IS4-1,"")</calculatedColumnFormula>
    </tableColumn>
    <tableColumn id="195" xr3:uid="{00000000-0010-0000-0800-0000C3000000}" name="BLK7_INV6" dataDxfId="55" dataCellStyle="Percent">
      <calculatedColumnFormula>IFERROR(Inv_SY_B!GP4/Inv_SY_B!$IS4-1,"")</calculatedColumnFormula>
    </tableColumn>
    <tableColumn id="196" xr3:uid="{00000000-0010-0000-0800-0000C4000000}" name="BLK7_INV7" dataDxfId="54" dataCellStyle="Percent">
      <calculatedColumnFormula>IFERROR(Inv_SY_B!GQ4/Inv_SY_B!$IS4-1,"")</calculatedColumnFormula>
    </tableColumn>
    <tableColumn id="197" xr3:uid="{00000000-0010-0000-0800-0000C5000000}" name="BLK7_INV8" dataDxfId="53" dataCellStyle="Percent">
      <calculatedColumnFormula>IFERROR(Inv_SY_B!GR4/Inv_SY_B!$IS4-1,"")</calculatedColumnFormula>
    </tableColumn>
    <tableColumn id="198" xr3:uid="{00000000-0010-0000-0800-0000C6000000}" name="BLK7_INV9" dataDxfId="52" dataCellStyle="Percent">
      <calculatedColumnFormula>IFERROR(Inv_SY_B!GS4/Inv_SY_B!$IS4-1,"")</calculatedColumnFormula>
    </tableColumn>
    <tableColumn id="199" xr3:uid="{00000000-0010-0000-0800-0000C7000000}" name="BLK7_INV10" dataDxfId="51" dataCellStyle="Percent">
      <calculatedColumnFormula>IFERROR(Inv_SY_B!GT4/Inv_SY_B!$IS4-1,"")</calculatedColumnFormula>
    </tableColumn>
    <tableColumn id="200" xr3:uid="{00000000-0010-0000-0800-0000C8000000}" name="BLK7_INV11" dataDxfId="50" dataCellStyle="Percent">
      <calculatedColumnFormula>IFERROR(Inv_SY_B!GU4/Inv_SY_B!$IS4-1,"")</calculatedColumnFormula>
    </tableColumn>
    <tableColumn id="201" xr3:uid="{00000000-0010-0000-0800-0000C9000000}" name="BLK7_INV12" dataDxfId="49" dataCellStyle="Percent">
      <calculatedColumnFormula>IFERROR(Inv_SY_B!GV4/Inv_SY_B!$IS4-1,"")</calculatedColumnFormula>
    </tableColumn>
    <tableColumn id="202" xr3:uid="{00000000-0010-0000-0800-0000CA000000}" name="BLK7_INV13" dataDxfId="48" dataCellStyle="Percent">
      <calculatedColumnFormula>IFERROR(Inv_SY_B!GW4/Inv_SY_B!$IS4-1,"")</calculatedColumnFormula>
    </tableColumn>
    <tableColumn id="203" xr3:uid="{00000000-0010-0000-0800-0000CB000000}" name="BLK7_INV14" dataDxfId="47" dataCellStyle="Percent">
      <calculatedColumnFormula>IFERROR(Inv_SY_B!GX4/Inv_SY_B!$IS4-1,"")</calculatedColumnFormula>
    </tableColumn>
    <tableColumn id="204" xr3:uid="{00000000-0010-0000-0800-0000CC000000}" name="BLK7_INV15" dataDxfId="46" dataCellStyle="Percent">
      <calculatedColumnFormula>IFERROR(Inv_SY_B!GY4/Inv_SY_B!$IS4-1,"")</calculatedColumnFormula>
    </tableColumn>
    <tableColumn id="205" xr3:uid="{00000000-0010-0000-0800-0000CD000000}" name="BLK7_INV16" dataDxfId="45" dataCellStyle="Percent">
      <calculatedColumnFormula>IFERROR(Inv_SY_B!GZ4/Inv_SY_B!$IS4-1,"")</calculatedColumnFormula>
    </tableColumn>
    <tableColumn id="206" xr3:uid="{00000000-0010-0000-0800-0000CE000000}" name="BLK7_INV17" dataDxfId="44" dataCellStyle="Percent">
      <calculatedColumnFormula>IFERROR(Inv_SY_B!HA4/Inv_SY_B!$IS4-1,"")</calculatedColumnFormula>
    </tableColumn>
    <tableColumn id="207" xr3:uid="{00000000-0010-0000-0800-0000CF000000}" name="BLK7_INV18" dataDxfId="43" dataCellStyle="Percent">
      <calculatedColumnFormula>IFERROR(Inv_SY_B!HB4/Inv_SY_B!$IS4-1,"")</calculatedColumnFormula>
    </tableColumn>
    <tableColumn id="208" xr3:uid="{00000000-0010-0000-0800-0000D0000000}" name="BLK7_INV19" dataDxfId="42" dataCellStyle="Percent">
      <calculatedColumnFormula>IFERROR(Inv_SY_B!HC4/Inv_SY_B!$IS4-1,"")</calculatedColumnFormula>
    </tableColumn>
    <tableColumn id="209" xr3:uid="{00000000-0010-0000-0800-0000D1000000}" name="BLK7_INV20" dataDxfId="41" dataCellStyle="Percent">
      <calculatedColumnFormula>IFERROR(Inv_SY_B!HD4/Inv_SY_B!$IS4-1,"")</calculatedColumnFormula>
    </tableColumn>
    <tableColumn id="210" xr3:uid="{00000000-0010-0000-0800-0000D2000000}" name="BLK7_INV21" dataDxfId="40" dataCellStyle="Percent">
      <calculatedColumnFormula>IFERROR(Inv_SY_B!HE4/Inv_SY_B!$IS4-1,"")</calculatedColumnFormula>
    </tableColumn>
    <tableColumn id="211" xr3:uid="{00000000-0010-0000-0800-0000D3000000}" name="BLK7_INV22" dataDxfId="39" dataCellStyle="Percent">
      <calculatedColumnFormula>IFERROR(Inv_SY_B!HF4/Inv_SY_B!$IS4-1,"")</calculatedColumnFormula>
    </tableColumn>
    <tableColumn id="212" xr3:uid="{00000000-0010-0000-0800-0000D4000000}" name="BLK7_INV23" dataDxfId="38" dataCellStyle="Percent">
      <calculatedColumnFormula>IFERROR(Inv_SY_B!HG4/Inv_SY_B!$IS4-1,"")</calculatedColumnFormula>
    </tableColumn>
    <tableColumn id="213" xr3:uid="{00000000-0010-0000-0800-0000D5000000}" name="BLK7_INV24" dataDxfId="37" dataCellStyle="Percent">
      <calculatedColumnFormula>IFERROR(Inv_SY_B!HH4/Inv_SY_B!$IS4-1,"")</calculatedColumnFormula>
    </tableColumn>
    <tableColumn id="214" xr3:uid="{00000000-0010-0000-0800-0000D6000000}" name="BLK7_INV25" dataDxfId="36" dataCellStyle="Percent">
      <calculatedColumnFormula>IFERROR(Inv_SY_B!HI4/Inv_SY_B!$IS4-1,"")</calculatedColumnFormula>
    </tableColumn>
    <tableColumn id="215" xr3:uid="{00000000-0010-0000-0800-0000D7000000}" name="BLK7_INV26" dataDxfId="35" dataCellStyle="Percent">
      <calculatedColumnFormula>IFERROR(Inv_SY_B!HJ4/Inv_SY_B!$IS4-1,"")</calculatedColumnFormula>
    </tableColumn>
    <tableColumn id="216" xr3:uid="{00000000-0010-0000-0800-0000D8000000}" name="BLK7_INV27" dataDxfId="34" dataCellStyle="Percent">
      <calculatedColumnFormula>IFERROR(Inv_SY_B!HK4/Inv_SY_B!$IS4-1,"")</calculatedColumnFormula>
    </tableColumn>
    <tableColumn id="217" xr3:uid="{00000000-0010-0000-0800-0000D9000000}" name="BLK7_INV28" dataDxfId="33" dataCellStyle="Percent">
      <calculatedColumnFormula>IFERROR(Inv_SY_B!HL4/Inv_SY_B!$IS4-1,"")</calculatedColumnFormula>
    </tableColumn>
    <tableColumn id="247" xr3:uid="{00000000-0010-0000-0800-0000F7000000}" name="BLK7_INV29" dataDxfId="32" dataCellStyle="Percent">
      <calculatedColumnFormula>IFERROR(Inv_SY_B!HM4/Inv_SY_B!$IS4-1,"")</calculatedColumnFormula>
    </tableColumn>
    <tableColumn id="248" xr3:uid="{00000000-0010-0000-0800-0000F8000000}" name="BLK7_INV30" dataDxfId="31" dataCellStyle="Percent">
      <calculatedColumnFormula>IFERROR(Inv_SY_B!HN4/Inv_SY_B!$IS4-1,"")</calculatedColumnFormula>
    </tableColumn>
    <tableColumn id="249" xr3:uid="{00000000-0010-0000-0800-0000F9000000}" name="BLK7_INV31" dataDxfId="30" dataCellStyle="Percent">
      <calculatedColumnFormula>IFERROR(Inv_SY_B!HO4/Inv_SY_B!$IS4-1,"")</calculatedColumnFormula>
    </tableColumn>
    <tableColumn id="250" xr3:uid="{E16D115E-10AA-477E-9E45-BB36153EB32C}" name="BLK7_INV32" dataDxfId="29" dataCellStyle="Percent">
      <calculatedColumnFormula>IFERROR(Inv_SY_B!HP4/Inv_SY_B!$IS4-1,"")</calculatedColumnFormula>
    </tableColumn>
    <tableColumn id="218" xr3:uid="{00000000-0010-0000-0800-0000DA000000}" name="BLK8_INV1" dataDxfId="28" dataCellStyle="Percent">
      <calculatedColumnFormula>IFERROR(Inv_SY_B!HQ4/Inv_SY_B!$IS4-1,"")</calculatedColumnFormula>
    </tableColumn>
    <tableColumn id="219" xr3:uid="{00000000-0010-0000-0800-0000DB000000}" name="BLK8_INV2" dataDxfId="27" dataCellStyle="Percent">
      <calculatedColumnFormula>IFERROR(Inv_SY_B!HR4/Inv_SY_B!$IS4-1,"")</calculatedColumnFormula>
    </tableColumn>
    <tableColumn id="220" xr3:uid="{00000000-0010-0000-0800-0000DC000000}" name="BLK8_INV3" dataDxfId="26" dataCellStyle="Percent">
      <calculatedColumnFormula>IFERROR(Inv_SY_B!HS4/Inv_SY_B!$IS4-1,"")</calculatedColumnFormula>
    </tableColumn>
    <tableColumn id="221" xr3:uid="{00000000-0010-0000-0800-0000DD000000}" name="BLK8_INV4" dataDxfId="25" dataCellStyle="Percent">
      <calculatedColumnFormula>IFERROR(Inv_SY_B!HT4/Inv_SY_B!$IS4-1,"")</calculatedColumnFormula>
    </tableColumn>
    <tableColumn id="222" xr3:uid="{00000000-0010-0000-0800-0000DE000000}" name="BLK8_INV5" dataDxfId="24" dataCellStyle="Percent">
      <calculatedColumnFormula>IFERROR(Inv_SY_B!HU4/Inv_SY_B!$IS4-1,"")</calculatedColumnFormula>
    </tableColumn>
    <tableColumn id="223" xr3:uid="{00000000-0010-0000-0800-0000DF000000}" name="BLK8_INV6" dataDxfId="23" dataCellStyle="Percent">
      <calculatedColumnFormula>IFERROR(Inv_SY_B!HV4/Inv_SY_B!$IS4-1,"")</calculatedColumnFormula>
    </tableColumn>
    <tableColumn id="224" xr3:uid="{00000000-0010-0000-0800-0000E0000000}" name="BLK8_INV7" dataDxfId="22" dataCellStyle="Percent">
      <calculatedColumnFormula>IFERROR(Inv_SY_B!HW4/Inv_SY_B!$IS4-1,"")</calculatedColumnFormula>
    </tableColumn>
    <tableColumn id="225" xr3:uid="{00000000-0010-0000-0800-0000E1000000}" name="BLK8_INV8" dataDxfId="21" dataCellStyle="Percent">
      <calculatedColumnFormula>IFERROR(Inv_SY_B!HX4/Inv_SY_B!$IS4-1,"")</calculatedColumnFormula>
    </tableColumn>
    <tableColumn id="226" xr3:uid="{00000000-0010-0000-0800-0000E2000000}" name="BLK8_INV9" dataDxfId="20" dataCellStyle="Percent">
      <calculatedColumnFormula>IFERROR(Inv_SY_B!HY4/Inv_SY_B!$IS4-1,"")</calculatedColumnFormula>
    </tableColumn>
    <tableColumn id="227" xr3:uid="{00000000-0010-0000-0800-0000E3000000}" name="BLK8_INV10" dataDxfId="19" dataCellStyle="Percent">
      <calculatedColumnFormula>IFERROR(Inv_SY_B!HZ4/Inv_SY_B!$IS4-1,"")</calculatedColumnFormula>
    </tableColumn>
    <tableColumn id="228" xr3:uid="{00000000-0010-0000-0800-0000E4000000}" name="BLK8_INV11" dataDxfId="18" dataCellStyle="Percent">
      <calculatedColumnFormula>IFERROR(Inv_SY_B!IA4/Inv_SY_B!$IS4-1,"")</calculatedColumnFormula>
    </tableColumn>
    <tableColumn id="229" xr3:uid="{00000000-0010-0000-0800-0000E5000000}" name="BLK8_INV12" dataDxfId="17" dataCellStyle="Percent">
      <calculatedColumnFormula>IFERROR(Inv_SY_B!IB4/Inv_SY_B!$IS4-1,"")</calculatedColumnFormula>
    </tableColumn>
    <tableColumn id="230" xr3:uid="{00000000-0010-0000-0800-0000E6000000}" name="BLK8_INV13" dataDxfId="16" dataCellStyle="Percent">
      <calculatedColumnFormula>IFERROR(Inv_SY_B!IC4/Inv_SY_B!$IS4-1,"")</calculatedColumnFormula>
    </tableColumn>
    <tableColumn id="231" xr3:uid="{00000000-0010-0000-0800-0000E7000000}" name="BLK8_INV14" dataDxfId="15" dataCellStyle="Percent">
      <calculatedColumnFormula>IFERROR(Inv_SY_B!ID4/Inv_SY_B!$IS4-1,"")</calculatedColumnFormula>
    </tableColumn>
    <tableColumn id="232" xr3:uid="{00000000-0010-0000-0800-0000E8000000}" name="BLK8_INV15" dataDxfId="14" dataCellStyle="Percent">
      <calculatedColumnFormula>IFERROR(Inv_SY_B!IE4/Inv_SY_B!$IS4-1,"")</calculatedColumnFormula>
    </tableColumn>
    <tableColumn id="233" xr3:uid="{00000000-0010-0000-0800-0000E9000000}" name="BLK8_INV16" dataDxfId="13" dataCellStyle="Percent">
      <calculatedColumnFormula>IFERROR(Inv_SY_B!IF4/Inv_SY_B!$IS4-1,"")</calculatedColumnFormula>
    </tableColumn>
    <tableColumn id="234" xr3:uid="{00000000-0010-0000-0800-0000EA000000}" name="BLK8_INV17" dataDxfId="12" dataCellStyle="Percent">
      <calculatedColumnFormula>IFERROR(Inv_SY_B!IG4/Inv_SY_B!$IS4-1,"")</calculatedColumnFormula>
    </tableColumn>
    <tableColumn id="235" xr3:uid="{00000000-0010-0000-0800-0000EB000000}" name="BLK8_INV18" dataDxfId="11" dataCellStyle="Percent">
      <calculatedColumnFormula>IFERROR(Inv_SY_B!IH4/Inv_SY_B!$IS4-1,"")</calculatedColumnFormula>
    </tableColumn>
    <tableColumn id="236" xr3:uid="{00000000-0010-0000-0800-0000EC000000}" name="BLK8_INV19" dataDxfId="10" dataCellStyle="Percent">
      <calculatedColumnFormula>IFERROR(Inv_SY_B!II4/Inv_SY_B!$IS4-1,"")</calculatedColumnFormula>
    </tableColumn>
    <tableColumn id="237" xr3:uid="{00000000-0010-0000-0800-0000ED000000}" name="BLK8_INV20" dataDxfId="9" dataCellStyle="Percent">
      <calculatedColumnFormula>IFERROR(Inv_SY_B!IJ4/Inv_SY_B!$IS4-1,"")</calculatedColumnFormula>
    </tableColumn>
    <tableColumn id="238" xr3:uid="{00000000-0010-0000-0800-0000EE000000}" name="BLK8_INV21" dataDxfId="8" dataCellStyle="Percent">
      <calculatedColumnFormula>IFERROR(Inv_SY_B!IK4/Inv_SY_B!$IS4-1,"")</calculatedColumnFormula>
    </tableColumn>
    <tableColumn id="239" xr3:uid="{00000000-0010-0000-0800-0000EF000000}" name="BLK8_INV22" dataDxfId="7" dataCellStyle="Percent">
      <calculatedColumnFormula>IFERROR(Inv_SY_B!IL4/Inv_SY_B!$IS4-1,"")</calculatedColumnFormula>
    </tableColumn>
    <tableColumn id="240" xr3:uid="{00000000-0010-0000-0800-0000F0000000}" name="BLK8_INV23" dataDxfId="6" dataCellStyle="Percent">
      <calculatedColumnFormula>IFERROR(Inv_SY_B!IM4/Inv_SY_B!$IS4-1,"")</calculatedColumnFormula>
    </tableColumn>
    <tableColumn id="241" xr3:uid="{00000000-0010-0000-0800-0000F1000000}" name="BLK8_INV24" dataDxfId="5" dataCellStyle="Percent">
      <calculatedColumnFormula>IFERROR(Inv_SY_B!IN4/Inv_SY_B!$IS4-1,"")</calculatedColumnFormula>
    </tableColumn>
    <tableColumn id="242" xr3:uid="{00000000-0010-0000-0800-0000F2000000}" name="BLK8_INV25" dataDxfId="4" dataCellStyle="Percent">
      <calculatedColumnFormula>IFERROR(Inv_SY_B!IO4/Inv_SY_B!$IS4-1,"")</calculatedColumnFormula>
    </tableColumn>
    <tableColumn id="243" xr3:uid="{00000000-0010-0000-0800-0000F3000000}" name="BLK8_INV26" dataDxfId="3" dataCellStyle="Percent">
      <calculatedColumnFormula>IFERROR(Inv_SY_B!IP4/Inv_SY_B!$IS4-1,"")</calculatedColumnFormula>
    </tableColumn>
    <tableColumn id="244" xr3:uid="{00000000-0010-0000-0800-0000F4000000}" name="BLK8_INV27" dataDxfId="2" dataCellStyle="Percent">
      <calculatedColumnFormula>IFERROR(Inv_SY_B!IQ4/Inv_SY_B!$IS4-1,"")</calculatedColumnFormula>
    </tableColumn>
    <tableColumn id="251" xr3:uid="{40859422-EA0A-4572-866B-DE80509A2056}" name="BLK8_INV28" dataDxfId="1" dataCellStyle="Percent">
      <calculatedColumnFormula>IFERROR(Inv_SY_B!IR4/Inv_SY_B!$IS4-1,"")</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zoomScale="90" zoomScaleNormal="90" workbookViewId="0">
      <selection activeCell="B4" sqref="B4:F4"/>
    </sheetView>
  </sheetViews>
  <sheetFormatPr defaultColWidth="8.42578125" defaultRowHeight="15" x14ac:dyDescent="0.25"/>
  <cols>
    <col min="1" max="1" width="14.42578125" style="41" customWidth="1"/>
    <col min="2" max="2" width="17.42578125" style="41" bestFit="1" customWidth="1"/>
    <col min="3" max="4" width="13.85546875" style="41" customWidth="1"/>
    <col min="5" max="5" width="18.85546875" style="41" customWidth="1"/>
    <col min="6" max="6" width="23.42578125" style="41" customWidth="1"/>
    <col min="7" max="16384" width="8.42578125" style="41"/>
  </cols>
  <sheetData>
    <row r="1" spans="1:9" ht="15.75" x14ac:dyDescent="0.25">
      <c r="A1" s="388" t="s">
        <v>0</v>
      </c>
      <c r="B1" s="389"/>
      <c r="C1" s="389"/>
      <c r="D1" s="389"/>
      <c r="E1" s="389"/>
      <c r="F1" s="390"/>
    </row>
    <row r="2" spans="1:9" x14ac:dyDescent="0.25">
      <c r="A2" s="71" t="s">
        <v>1</v>
      </c>
      <c r="B2" s="391">
        <v>45839</v>
      </c>
      <c r="C2" s="392"/>
      <c r="D2" s="392"/>
      <c r="E2" s="392"/>
      <c r="F2" s="393"/>
    </row>
    <row r="3" spans="1:9" x14ac:dyDescent="0.25">
      <c r="A3" s="71" t="s">
        <v>2</v>
      </c>
      <c r="B3" s="394">
        <v>45861</v>
      </c>
      <c r="C3" s="395"/>
      <c r="D3" s="395"/>
      <c r="E3" s="395"/>
      <c r="F3" s="396"/>
    </row>
    <row r="4" spans="1:9" x14ac:dyDescent="0.25">
      <c r="A4" s="71" t="s">
        <v>3</v>
      </c>
      <c r="B4" s="397" t="s">
        <v>4</v>
      </c>
      <c r="C4" s="398"/>
      <c r="D4" s="398"/>
      <c r="E4" s="398"/>
      <c r="F4" s="399"/>
    </row>
    <row r="5" spans="1:9" x14ac:dyDescent="0.25">
      <c r="A5" s="71" t="s">
        <v>5</v>
      </c>
      <c r="B5" s="385">
        <v>45748</v>
      </c>
      <c r="C5" s="386"/>
      <c r="D5" s="386"/>
      <c r="E5" s="386"/>
      <c r="F5" s="387"/>
    </row>
    <row r="6" spans="1:9" x14ac:dyDescent="0.25">
      <c r="A6" s="71" t="s">
        <v>6</v>
      </c>
      <c r="B6" s="385">
        <v>46112</v>
      </c>
      <c r="C6" s="386"/>
      <c r="D6" s="386"/>
      <c r="E6" s="386"/>
      <c r="F6" s="387"/>
    </row>
    <row r="7" spans="1:9" ht="2.1" customHeight="1" x14ac:dyDescent="0.25">
      <c r="A7" s="72"/>
      <c r="B7" s="73"/>
      <c r="C7" s="73"/>
      <c r="D7" s="73"/>
      <c r="E7" s="73"/>
      <c r="F7" s="73"/>
    </row>
    <row r="8" spans="1:9" x14ac:dyDescent="0.25">
      <c r="A8" s="74" t="s">
        <v>7</v>
      </c>
      <c r="B8" s="74" t="s">
        <v>8</v>
      </c>
      <c r="C8" s="74" t="s">
        <v>9</v>
      </c>
      <c r="D8" s="74" t="s">
        <v>10</v>
      </c>
      <c r="E8" s="74" t="s">
        <v>11</v>
      </c>
      <c r="F8" s="74" t="s">
        <v>12</v>
      </c>
    </row>
    <row r="9" spans="1:9" x14ac:dyDescent="0.25">
      <c r="A9" s="382">
        <v>1</v>
      </c>
      <c r="B9" s="72" t="s">
        <v>13</v>
      </c>
      <c r="C9" s="75">
        <f>_xlfn.XLOOKUP($B$3,'Daily KPI'!$A:$A,'Daily KPI'!$AD:$AD,0)/1000</f>
        <v>224.11206615792483</v>
      </c>
      <c r="D9" s="76">
        <f>_xlfn.XLOOKUP(B3,'Daily KPI'!$A:$A,'Daily KPI'!$AA:$AA,0)/1000</f>
        <v>110.75432800000333</v>
      </c>
      <c r="E9" s="77">
        <f>-(C9-D9)/C9</f>
        <v>-0.50580827753398072</v>
      </c>
      <c r="F9" s="234"/>
    </row>
    <row r="10" spans="1:9" x14ac:dyDescent="0.25">
      <c r="A10" s="383"/>
      <c r="B10" s="72" t="s">
        <v>14</v>
      </c>
      <c r="C10" s="75">
        <f>Monthly_KPI!E4</f>
        <v>5154.5775216322709</v>
      </c>
      <c r="D10" s="78">
        <f>Monthly_KPI!F4</f>
        <v>4981.0177070000072</v>
      </c>
      <c r="E10" s="77">
        <f t="shared" ref="E10:E26" si="0">-(C10-D10)/C10</f>
        <v>-3.367100677094937E-2</v>
      </c>
      <c r="F10" s="234"/>
      <c r="I10" s="91"/>
    </row>
    <row r="11" spans="1:9" x14ac:dyDescent="0.25">
      <c r="A11" s="384"/>
      <c r="B11" s="72" t="s">
        <v>15</v>
      </c>
      <c r="C11" s="75">
        <f>Annual_KPI!E4</f>
        <v>33310.431992508726</v>
      </c>
      <c r="D11" s="78">
        <f>Annual_KPI!F4</f>
        <v>31524.436151285536</v>
      </c>
      <c r="E11" s="77">
        <f t="shared" si="0"/>
        <v>-5.3616712074609163E-2</v>
      </c>
      <c r="F11" s="234"/>
    </row>
    <row r="12" spans="1:9" x14ac:dyDescent="0.25">
      <c r="A12" s="382">
        <v>2</v>
      </c>
      <c r="B12" s="72" t="s">
        <v>16</v>
      </c>
      <c r="C12" s="79">
        <f>_xlfn.XLOOKUP($B$3,'Daily KPI'!$A:$A,'Daily KPI'!$AF:$AF,0)</f>
        <v>0.13988469412898213</v>
      </c>
      <c r="D12" s="80">
        <f>_xlfn.XLOOKUP($B$3,'Daily KPI'!$A:$A,'Daily KPI'!$W:$W,0)</f>
        <v>6.9135036204746148E-2</v>
      </c>
      <c r="E12" s="77">
        <f t="shared" si="0"/>
        <v>-0.50577125942742907</v>
      </c>
      <c r="F12" s="235"/>
    </row>
    <row r="13" spans="1:9" x14ac:dyDescent="0.25">
      <c r="A13" s="383"/>
      <c r="B13" s="72" t="s">
        <v>17</v>
      </c>
      <c r="C13" s="79">
        <f>Monthly_KPI!I4</f>
        <v>0.13988469412898213</v>
      </c>
      <c r="D13" s="80">
        <f>Monthly_KPI!J4</f>
        <v>0.135174635645813</v>
      </c>
      <c r="E13" s="77">
        <f t="shared" si="0"/>
        <v>-3.3671006770949329E-2</v>
      </c>
      <c r="F13" s="234"/>
    </row>
    <row r="14" spans="1:9" x14ac:dyDescent="0.25">
      <c r="A14" s="384"/>
      <c r="B14" s="72" t="s">
        <v>18</v>
      </c>
      <c r="C14" s="79">
        <f>Annual_KPI!I4</f>
        <v>0.18238132715658731</v>
      </c>
      <c r="D14" s="80">
        <f>Annual_KPI!J4</f>
        <v>0.17260264005064746</v>
      </c>
      <c r="E14" s="77">
        <f t="shared" si="0"/>
        <v>-5.3616712074609219E-2</v>
      </c>
      <c r="F14" s="234"/>
    </row>
    <row r="15" spans="1:9" x14ac:dyDescent="0.25">
      <c r="A15" s="382">
        <v>3</v>
      </c>
      <c r="B15" s="72" t="s">
        <v>19</v>
      </c>
      <c r="C15" s="230">
        <f>_xlfn.XLOOKUP($B$3,'Daily KPI'!$A:$A,'Daily KPI'!$AE:$AE,0)</f>
        <v>0.77092009208861256</v>
      </c>
      <c r="D15" s="80">
        <f>_xlfn.XLOOKUP($B$3,'Daily KPI'!$A:$A,'Daily KPI'!$U:$U,0)</f>
        <v>0.7901146994828131</v>
      </c>
      <c r="E15" s="98">
        <f t="shared" si="0"/>
        <v>2.4898309943119541E-2</v>
      </c>
      <c r="F15" s="236"/>
    </row>
    <row r="16" spans="1:9" x14ac:dyDescent="0.25">
      <c r="A16" s="383"/>
      <c r="B16" s="72" t="s">
        <v>20</v>
      </c>
      <c r="C16" s="79">
        <f>Monthly_KPI!G4</f>
        <v>0.77092009208861256</v>
      </c>
      <c r="D16" s="80">
        <f>Monthly_KPI!H4</f>
        <v>0.7765261616868433</v>
      </c>
      <c r="E16" s="77">
        <f t="shared" si="0"/>
        <v>7.2719204697889112E-3</v>
      </c>
      <c r="F16" s="234"/>
    </row>
    <row r="17" spans="1:6" x14ac:dyDescent="0.25">
      <c r="A17" s="384"/>
      <c r="B17" s="72" t="s">
        <v>21</v>
      </c>
      <c r="C17" s="79">
        <f>Annual_KPI!G4</f>
        <v>0.76117262941941455</v>
      </c>
      <c r="D17" s="80">
        <f>Annual_KPI!H4</f>
        <v>0.76143281654364336</v>
      </c>
      <c r="E17" s="77">
        <f t="shared" si="0"/>
        <v>3.4182406746190391E-4</v>
      </c>
      <c r="F17" s="234"/>
    </row>
    <row r="18" spans="1:6" x14ac:dyDescent="0.25">
      <c r="A18" s="382">
        <v>4</v>
      </c>
      <c r="B18" s="72" t="s">
        <v>22</v>
      </c>
      <c r="C18" s="213">
        <f>_xlfn.XLOOKUP($B$3,'Daily KPI'!$A:$A,'Daily KPI'!$AC:$AC,0)</f>
        <v>4.354838709677419</v>
      </c>
      <c r="D18" s="214">
        <f>_xlfn.XLOOKUP($B$3,'Daily KPI'!$A:$A,'Daily KPI'!$I:$I,0)</f>
        <v>2.1</v>
      </c>
      <c r="E18" s="77">
        <f t="shared" si="0"/>
        <v>-0.51777777777777767</v>
      </c>
      <c r="F18" s="234"/>
    </row>
    <row r="19" spans="1:6" x14ac:dyDescent="0.25">
      <c r="A19" s="383"/>
      <c r="B19" s="72" t="s">
        <v>23</v>
      </c>
      <c r="C19" s="213">
        <f>Monthly_KPI!C4</f>
        <v>100.16129032258064</v>
      </c>
      <c r="D19" s="214">
        <f>Monthly_KPI!D4</f>
        <v>96.089999999999989</v>
      </c>
      <c r="E19" s="77">
        <f t="shared" si="0"/>
        <v>-4.0647342995169145E-2</v>
      </c>
      <c r="F19" s="236"/>
    </row>
    <row r="20" spans="1:6" x14ac:dyDescent="0.25">
      <c r="A20" s="384"/>
      <c r="B20" s="72" t="s">
        <v>24</v>
      </c>
      <c r="C20" s="213">
        <f>Annual_KPI!C4</f>
        <v>655.56129032258059</v>
      </c>
      <c r="D20" s="214">
        <f>Annual_KPI!D4</f>
        <v>620.20024999999964</v>
      </c>
      <c r="E20" s="77">
        <f t="shared" si="0"/>
        <v>-5.3940098118332946E-2</v>
      </c>
      <c r="F20" s="236"/>
    </row>
    <row r="21" spans="1:6" x14ac:dyDescent="0.25">
      <c r="A21" s="382">
        <v>5</v>
      </c>
      <c r="B21" s="72" t="s">
        <v>25</v>
      </c>
      <c r="C21" s="81">
        <f>_xlfn.XLOOKUP($B$3,'Daily KPI'!$A:$A,'Daily KPI'!$AG:$AG)</f>
        <v>0.995</v>
      </c>
      <c r="D21" s="80">
        <f>_xlfn.XLOOKUP($B$3,'Daily KPI'!$A:$A,'Daily KPI'!$O:$O,0)</f>
        <v>0.99866902663646762</v>
      </c>
      <c r="E21" s="77">
        <f t="shared" si="0"/>
        <v>3.687463956248865E-3</v>
      </c>
      <c r="F21" s="236"/>
    </row>
    <row r="22" spans="1:6" x14ac:dyDescent="0.25">
      <c r="A22" s="383"/>
      <c r="B22" s="72" t="s">
        <v>26</v>
      </c>
      <c r="C22" s="81">
        <f>_xlfn.XLOOKUP($B$2,'Modelling New'!$D:$D,'Modelling New'!$AE:$AE)</f>
        <v>0.995</v>
      </c>
      <c r="D22" s="80">
        <f>Monthly_KPI!N4</f>
        <v>0.99739877786939946</v>
      </c>
      <c r="E22" s="77">
        <f t="shared" si="0"/>
        <v>2.4108320295471958E-3</v>
      </c>
      <c r="F22" s="236"/>
    </row>
    <row r="23" spans="1:6" x14ac:dyDescent="0.25">
      <c r="A23" s="384"/>
      <c r="B23" s="72" t="s">
        <v>27</v>
      </c>
      <c r="C23" s="81">
        <f>_xlfn.XLOOKUP($B$2,'Modelling New'!$D:$D,'Modelling New'!$AE:$AE)</f>
        <v>0.995</v>
      </c>
      <c r="D23" s="80">
        <f>Annual_KPI!N4</f>
        <v>0.98911737505292385</v>
      </c>
      <c r="E23" s="77">
        <f t="shared" si="0"/>
        <v>-5.9121858764584348E-3</v>
      </c>
      <c r="F23" s="234"/>
    </row>
    <row r="24" spans="1:6" x14ac:dyDescent="0.25">
      <c r="A24" s="382">
        <v>6</v>
      </c>
      <c r="B24" s="72" t="s">
        <v>28</v>
      </c>
      <c r="C24" s="81">
        <f>_xlfn.XLOOKUP($B$3,'Daily KPI'!$A:$A,'Daily KPI'!$AH:$AH)</f>
        <v>0.995</v>
      </c>
      <c r="D24" s="80">
        <f>_xlfn.XLOOKUP($B$3,'Daily KPI'!$A:$A,'Daily KPI'!$R:$R,0)</f>
        <v>1</v>
      </c>
      <c r="E24" s="77">
        <f t="shared" si="0"/>
        <v>5.0251256281407079E-3</v>
      </c>
      <c r="F24" s="234"/>
    </row>
    <row r="25" spans="1:6" x14ac:dyDescent="0.25">
      <c r="A25" s="383"/>
      <c r="B25" s="72" t="s">
        <v>29</v>
      </c>
      <c r="C25" s="81">
        <f>_xlfn.XLOOKUP($B$2,'Modelling New'!$D:$D,'Modelling New'!$AF:$AF)</f>
        <v>0.995</v>
      </c>
      <c r="D25" s="80">
        <f>Monthly_KPI!L4</f>
        <v>1</v>
      </c>
      <c r="E25" s="77">
        <f t="shared" si="0"/>
        <v>5.0251256281407079E-3</v>
      </c>
      <c r="F25" s="234"/>
    </row>
    <row r="26" spans="1:6" x14ac:dyDescent="0.25">
      <c r="A26" s="384"/>
      <c r="B26" s="72" t="s">
        <v>30</v>
      </c>
      <c r="C26" s="81">
        <f>_xlfn.XLOOKUP($B$2,'Modelling New'!$D:$D,'Modelling New'!$AF:$AF)</f>
        <v>0.995</v>
      </c>
      <c r="D26" s="80">
        <f>Annual_KPI!L4</f>
        <v>1</v>
      </c>
      <c r="E26" s="77">
        <f t="shared" si="0"/>
        <v>5.0251256281407079E-3</v>
      </c>
      <c r="F26" s="234"/>
    </row>
  </sheetData>
  <sheetProtection algorithmName="SHA-512" hashValue="G8B+C0gJOxEu+ZfIQcbbX6fsG5lw+m6eVU94pRQ7jd7DZx9gCFwZ1+q/Gt9u7eyfVqsEawMMKMpGBR1q+1hlow==" saltValue="tZBTDdXXlcM+7CbqwF8/KA==" spinCount="100000" sheet="1" objects="1" scenarios="1"/>
  <protectedRanges>
    <protectedRange sqref="A5:B5" name="Range1"/>
    <protectedRange sqref="B2:B3" name="Range1_1"/>
  </protectedRanges>
  <mergeCells count="12">
    <mergeCell ref="B6:F6"/>
    <mergeCell ref="A1:F1"/>
    <mergeCell ref="B2:F2"/>
    <mergeCell ref="B3:F3"/>
    <mergeCell ref="B4:F4"/>
    <mergeCell ref="B5:F5"/>
    <mergeCell ref="A24:A26"/>
    <mergeCell ref="A9:A11"/>
    <mergeCell ref="A12:A14"/>
    <mergeCell ref="A15:A17"/>
    <mergeCell ref="A18:A20"/>
    <mergeCell ref="A21:A23"/>
  </mergeCells>
  <conditionalFormatting sqref="E9:E26">
    <cfRule type="dataBar" priority="3">
      <dataBar>
        <cfvo type="min"/>
        <cfvo type="max"/>
        <color rgb="FF638EC6"/>
      </dataBar>
      <extLst>
        <ext xmlns:x14="http://schemas.microsoft.com/office/spreadsheetml/2009/9/main" uri="{B025F937-C7B1-47D3-B67F-A62EFF666E3E}">
          <x14:id>{F416D020-F69C-42B4-A3C3-DCB55DD60191}</x14:id>
        </ext>
      </extLst>
    </cfRule>
    <cfRule type="iconSet" priority="4">
      <iconSet iconSet="3Arrows">
        <cfvo type="percent" val="0"/>
        <cfvo type="num" val="-5.0000000000000001E-3"/>
        <cfvo type="num" val="0"/>
      </iconSe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F416D020-F69C-42B4-A3C3-DCB55DD60191}">
            <x14:dataBar minLength="0" maxLength="100">
              <x14:cfvo type="autoMin"/>
              <x14:cfvo type="autoMax"/>
              <x14:negativeFillColor rgb="FFDE787A"/>
              <x14:axisColor rgb="FF000000"/>
            </x14:dataBar>
          </x14:cfRule>
          <xm:sqref>E9:E26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1"/>
  <sheetViews>
    <sheetView workbookViewId="0">
      <selection activeCell="N10" sqref="N10"/>
    </sheetView>
  </sheetViews>
  <sheetFormatPr defaultColWidth="8.85546875" defaultRowHeight="15" customHeight="1" x14ac:dyDescent="0.25"/>
  <cols>
    <col min="1" max="1" width="11" customWidth="1"/>
    <col min="2" max="2" width="10.42578125" customWidth="1"/>
    <col min="3" max="5" width="13.42578125" customWidth="1"/>
    <col min="6" max="6" width="14" customWidth="1"/>
    <col min="8" max="8" width="9.42578125" customWidth="1"/>
    <col min="9" max="9" width="9.85546875" customWidth="1"/>
    <col min="10" max="10" width="10.42578125" customWidth="1"/>
    <col min="12" max="12" width="9.42578125" customWidth="1"/>
    <col min="13" max="13" width="9" customWidth="1"/>
    <col min="14" max="14" width="9.42578125" customWidth="1"/>
    <col min="15" max="15" width="12.85546875" bestFit="1" customWidth="1"/>
    <col min="16" max="16" width="11.85546875" customWidth="1"/>
  </cols>
  <sheetData>
    <row r="1" spans="1:16" ht="21.95" customHeight="1" x14ac:dyDescent="0.25">
      <c r="A1" s="29" t="s">
        <v>31</v>
      </c>
      <c r="B1" s="30">
        <f>Dashboard!B3</f>
        <v>45861</v>
      </c>
      <c r="C1" s="40">
        <f>Dashboard!B2</f>
        <v>45839</v>
      </c>
    </row>
    <row r="2" spans="1:16" ht="21" x14ac:dyDescent="0.25">
      <c r="A2" s="400" t="s">
        <v>32</v>
      </c>
      <c r="B2" s="400"/>
      <c r="C2" s="400"/>
      <c r="D2" s="400"/>
      <c r="E2" s="400"/>
      <c r="F2" s="400"/>
      <c r="G2" s="400"/>
      <c r="H2" s="400"/>
      <c r="I2" s="400"/>
      <c r="J2" s="400"/>
      <c r="K2" s="400"/>
      <c r="L2" s="400"/>
      <c r="M2" s="400"/>
      <c r="N2" s="400"/>
      <c r="O2" s="400"/>
      <c r="P2" s="400"/>
    </row>
    <row r="3" spans="1:16" ht="45" x14ac:dyDescent="0.25">
      <c r="A3" s="42" t="s">
        <v>33</v>
      </c>
      <c r="B3" s="42" t="s">
        <v>34</v>
      </c>
      <c r="C3" s="32" t="s">
        <v>35</v>
      </c>
      <c r="D3" s="32" t="s">
        <v>36</v>
      </c>
      <c r="E3" s="32" t="s">
        <v>37</v>
      </c>
      <c r="F3" s="32" t="s">
        <v>38</v>
      </c>
      <c r="G3" s="32" t="s">
        <v>39</v>
      </c>
      <c r="H3" s="32" t="s">
        <v>40</v>
      </c>
      <c r="I3" s="32" t="s">
        <v>41</v>
      </c>
      <c r="J3" s="32" t="s">
        <v>42</v>
      </c>
      <c r="K3" s="32" t="s">
        <v>43</v>
      </c>
      <c r="L3" s="32" t="s">
        <v>44</v>
      </c>
      <c r="M3" s="32" t="s">
        <v>45</v>
      </c>
      <c r="N3" s="32" t="s">
        <v>46</v>
      </c>
      <c r="O3" s="32" t="s">
        <v>47</v>
      </c>
      <c r="P3" s="32" t="s">
        <v>48</v>
      </c>
    </row>
    <row r="4" spans="1:16" s="20" customFormat="1" ht="18.600000000000001" customHeight="1" x14ac:dyDescent="0.25">
      <c r="A4" s="212">
        <f>YEAR($B$1)+IF(MONTH($B$1)&gt;=4,1,0)</f>
        <v>2026</v>
      </c>
      <c r="B4" s="43">
        <f>($B$1-Dashboard!$B$5)+1</f>
        <v>114</v>
      </c>
      <c r="C4" s="43">
        <f>_xlfn.XLOOKUP($C$1,'Modelling New'!$D:$D,'Modelling New'!$S:$S,0)</f>
        <v>655.56129032258059</v>
      </c>
      <c r="D4" s="44">
        <f>IFERROR(SUMIFS('Daily KPI'!$I:$I,'Daily KPI'!$B:$B,$A$4),"")</f>
        <v>620.20024999999964</v>
      </c>
      <c r="E4" s="43">
        <f>_xlfn.XLOOKUP($C$1,'Modelling New'!$D:$D,'Modelling New'!$V:$V,0)</f>
        <v>33310.431992508726</v>
      </c>
      <c r="F4" s="44">
        <f>IFERROR(SUMIFS('Daily KPI'!$AA:$AA,'Daily KPI'!$B:$B,$A$4)/1000,"")</f>
        <v>31524.436151285536</v>
      </c>
      <c r="G4" s="45">
        <f>IFERROR(E4/C4/'Modelling New'!$AQ$1,"")</f>
        <v>0.76117262941941455</v>
      </c>
      <c r="H4" s="46">
        <f>IFERROR(F4/D4/'Modelling New'!$AQ$1,"")</f>
        <v>0.76143281654364336</v>
      </c>
      <c r="I4" s="45">
        <f>IFERROR(E4/(B4*24*'Modelling New'!$AQ$1),"")</f>
        <v>0.18238132715658731</v>
      </c>
      <c r="J4" s="46">
        <f>IFERROR(F4/(B4*24*'Modelling New'!$AQ$1),"")</f>
        <v>0.17260264005064746</v>
      </c>
      <c r="K4" s="45">
        <f>_xlfn.XLOOKUP($C$1,'Modelling New'!$D:$D,'Modelling New'!$AF:$AF)</f>
        <v>0.995</v>
      </c>
      <c r="L4" s="47">
        <f>IFERROR(AVERAGEIFS('Daily KPI'!$R:$R,'Daily KPI'!$B:$B,$A4),"")</f>
        <v>1</v>
      </c>
      <c r="M4" s="45">
        <f>_xlfn.XLOOKUP($C$1,'Modelling New'!$D:$D,'Modelling New'!$AE:$AE)</f>
        <v>0.995</v>
      </c>
      <c r="N4" s="47">
        <f>IFERROR(AVERAGEIFS('Daily KPI'!$O:$O,'Daily KPI'!$B:$B,$A4,'Daily KPI'!$A:$A,"&lt;="&amp;$B$1),"")</f>
        <v>0.98911737505292385</v>
      </c>
      <c r="O4" s="50">
        <f>SUMIFS(Raw_Data!$KO:$KO,Raw_Data!$C:$C,$A$4,Raw_Data!$B:$B,"&lt;="&amp;$B$1,Raw_Data!$B:$B,"&gt;="&amp;Dashboard!$B$5)/1000</f>
        <v>0</v>
      </c>
      <c r="P4" s="50">
        <f>SUMIFS(Raw_Data!$KP:$KP,Raw_Data!$C:$C,$A$4,Raw_Data!$B:$B,"&lt;="&amp;$B$1,Raw_Data!$B:$B,"&gt;="&amp;Dashboard!$B$5)/1000</f>
        <v>0</v>
      </c>
    </row>
    <row r="6" spans="1:16" ht="30.75" hidden="1" customHeight="1" x14ac:dyDescent="0.25"/>
    <row r="7" spans="1:16" ht="27" customHeight="1" x14ac:dyDescent="0.25">
      <c r="A7" s="400" t="s">
        <v>49</v>
      </c>
      <c r="B7" s="400"/>
      <c r="C7" s="400"/>
      <c r="D7" s="400"/>
      <c r="E7" s="400"/>
      <c r="F7" s="400"/>
      <c r="G7" s="400"/>
      <c r="H7" s="400"/>
      <c r="I7" s="400"/>
      <c r="J7" s="400"/>
      <c r="K7" s="400"/>
      <c r="L7" s="400"/>
      <c r="M7" s="400"/>
      <c r="N7" s="400"/>
      <c r="O7" s="400"/>
      <c r="P7" s="400"/>
    </row>
    <row r="8" spans="1:16" ht="18.75" hidden="1" customHeight="1" x14ac:dyDescent="0.25"/>
    <row r="9" spans="1:16" ht="61.5" customHeight="1" x14ac:dyDescent="0.25">
      <c r="A9" s="42" t="s">
        <v>33</v>
      </c>
      <c r="B9" s="31" t="s">
        <v>34</v>
      </c>
      <c r="C9" s="32" t="s">
        <v>35</v>
      </c>
      <c r="D9" s="32" t="s">
        <v>36</v>
      </c>
      <c r="E9" s="32" t="s">
        <v>37</v>
      </c>
      <c r="F9" s="32" t="s">
        <v>38</v>
      </c>
      <c r="G9" s="32" t="s">
        <v>39</v>
      </c>
      <c r="H9" s="32" t="s">
        <v>40</v>
      </c>
      <c r="I9" s="32" t="s">
        <v>41</v>
      </c>
      <c r="J9" s="32" t="s">
        <v>42</v>
      </c>
      <c r="K9" s="32" t="s">
        <v>43</v>
      </c>
      <c r="L9" s="32" t="s">
        <v>44</v>
      </c>
      <c r="M9" s="32" t="s">
        <v>45</v>
      </c>
      <c r="N9" s="32" t="s">
        <v>46</v>
      </c>
      <c r="O9" s="32" t="s">
        <v>47</v>
      </c>
      <c r="P9" s="32" t="s">
        <v>48</v>
      </c>
    </row>
    <row r="10" spans="1:16" x14ac:dyDescent="0.25">
      <c r="A10" s="33">
        <v>45748</v>
      </c>
      <c r="B10" s="34">
        <f>_xlfn.XLOOKUP($A10,'Modelling New'!$D:$D,'Modelling New'!$Q:$Q)</f>
        <v>30</v>
      </c>
      <c r="C10" s="34">
        <f>_xlfn.XLOOKUP($A10,'Modelling New'!$D:$D,'Modelling New'!$R:$R)</f>
        <v>206.6</v>
      </c>
      <c r="D10" s="35">
        <f>SUMIF('Daily KPI'!$D:$D,$A10,'Daily KPI'!$I:$I)</f>
        <v>181.39025000000001</v>
      </c>
      <c r="E10" s="34">
        <f>_xlfn.XLOOKUP($A10,'Modelling New'!$D:$D,'Modelling New'!$U:$U)</f>
        <v>10495.262683955169</v>
      </c>
      <c r="F10" s="35">
        <f>SUMIF('Daily KPI'!$D:$D,A10,'Daily KPI'!$AA:$AA)/1000</f>
        <v>9324.4649582856619</v>
      </c>
      <c r="G10" s="36">
        <f>IFERROR(E10/C10/'Modelling New'!$AQ$1,"")</f>
        <v>0.76099043046437598</v>
      </c>
      <c r="H10" s="37">
        <f>IFERROR(F10/D10/'Modelling New'!$AQ$1,"")</f>
        <v>0.77006286645653466</v>
      </c>
      <c r="I10" s="36">
        <f>IFERROR(E10/(B10*24*'Modelling New'!$AQ$1),"")</f>
        <v>0.21836197629713897</v>
      </c>
      <c r="J10" s="37">
        <f>IFERROR(F10/(B10*24*'Modelling New'!$AQ$1),"")</f>
        <v>0.19400263314203808</v>
      </c>
      <c r="K10" s="36">
        <f>_xlfn.XLOOKUP($A10,'Modelling New'!$D:$D,'Modelling New'!$AF:$AF)</f>
        <v>0.995</v>
      </c>
      <c r="L10" s="37">
        <f>IFERROR(AVERAGEIF('Daily KPI'!$D:$D,$A10,'Daily KPI'!$R:$R),"")</f>
        <v>1</v>
      </c>
      <c r="M10" s="36">
        <f>_xlfn.XLOOKUP($A10,'Modelling New'!$D:$D,'Modelling New'!$AE:$AE)</f>
        <v>0.995</v>
      </c>
      <c r="N10" s="37">
        <f>IFERROR(AVERAGEIF('Daily KPI'!$D:$D,$A10,'Daily KPI'!$O:$O),"")</f>
        <v>0.99686748994817209</v>
      </c>
      <c r="O10" s="48">
        <f>SUMIF(RD[Month Year],A10,RD[WPR_Eac])/1000</f>
        <v>0</v>
      </c>
      <c r="P10" s="49">
        <f>SUMIF(RD[Month Year],A10,RD[WPR_Edc])/1000</f>
        <v>0</v>
      </c>
    </row>
    <row r="11" spans="1:16" x14ac:dyDescent="0.25">
      <c r="A11" s="33">
        <v>45778</v>
      </c>
      <c r="B11" s="34">
        <f>_xlfn.XLOOKUP($A11,'Modelling New'!$D:$D,'Modelling New'!$Q:$Q)</f>
        <v>31</v>
      </c>
      <c r="C11" s="34">
        <f>_xlfn.XLOOKUP($A11,'Modelling New'!$D:$D,'Modelling New'!$R:$R)</f>
        <v>191.7</v>
      </c>
      <c r="D11" s="35">
        <f>SUMIF('Daily KPI'!$D:$D,$A11,'Daily KPI'!$I:$I)</f>
        <v>182.72</v>
      </c>
      <c r="E11" s="34">
        <f>_xlfn.XLOOKUP($A11,'Modelling New'!$D:$D,'Modelling New'!$U:$U)</f>
        <v>9688.8167894487815</v>
      </c>
      <c r="F11" s="35">
        <f>SUMIF('Daily KPI'!$D:$D,A11,'Daily KPI'!$AA:$AA)/1000</f>
        <v>8998.9707539999708</v>
      </c>
      <c r="G11" s="36">
        <f>IFERROR(E11/C11/'Modelling New'!$AQ$1,"")</f>
        <v>0.75712019519744966</v>
      </c>
      <c r="H11" s="37">
        <f>IFERROR(F11/D11/'Modelling New'!$AQ$1,"")</f>
        <v>0.73777333315974314</v>
      </c>
      <c r="I11" s="36">
        <f>IFERROR(E11/(B11*24*'Modelling New'!$AQ$1),"")</f>
        <v>0.19508056642385901</v>
      </c>
      <c r="J11" s="37">
        <f>IFERROR(F11/(B11*24*'Modelling New'!$AQ$1),"")</f>
        <v>0.18119078418675844</v>
      </c>
      <c r="K11" s="36">
        <f>_xlfn.XLOOKUP($A11,'Modelling New'!$D:$D,'Modelling New'!$AF:$AF)</f>
        <v>0.995</v>
      </c>
      <c r="L11" s="37">
        <f>IFERROR(AVERAGEIF('Daily KPI'!$D:$D,$A11,'Daily KPI'!$R:$R),"")</f>
        <v>1</v>
      </c>
      <c r="M11" s="36">
        <f>_xlfn.XLOOKUP($A11,'Modelling New'!$D:$D,'Modelling New'!$AE:$AE)</f>
        <v>0.995</v>
      </c>
      <c r="N11" s="37">
        <f>IFERROR(AVERAGEIF('Daily KPI'!$D:$D,$A11,'Daily KPI'!$O:$O),"")</f>
        <v>0.97376066380678383</v>
      </c>
      <c r="O11" s="48">
        <f>SUMIF(RD[Month Year],A11,RD[WPR_Eac])/1000</f>
        <v>0</v>
      </c>
      <c r="P11" s="49">
        <f>SUMIF(RD[Month Year],A11,RD[WPR_Edc])/1000</f>
        <v>0</v>
      </c>
    </row>
    <row r="12" spans="1:16" x14ac:dyDescent="0.25">
      <c r="A12" s="33">
        <v>45809</v>
      </c>
      <c r="B12" s="34">
        <f>_xlfn.XLOOKUP($A12,'Modelling New'!$D:$D,'Modelling New'!$Q:$Q)</f>
        <v>30</v>
      </c>
      <c r="C12" s="34">
        <f>_xlfn.XLOOKUP($A12,'Modelling New'!$D:$D,'Modelling New'!$R:$R)</f>
        <v>157.1</v>
      </c>
      <c r="D12" s="35">
        <f>SUMIF('Daily KPI'!$D:$D,$A12,'Daily KPI'!$I:$I)</f>
        <v>160</v>
      </c>
      <c r="E12" s="34">
        <f>_xlfn.XLOOKUP($A12,'Modelling New'!$D:$D,'Modelling New'!$U:$U)</f>
        <v>7971.7749974725039</v>
      </c>
      <c r="F12" s="35">
        <f>SUMIF('Daily KPI'!$D:$D,A12,'Daily KPI'!$AA:$AA)/1000</f>
        <v>8219.9827319999713</v>
      </c>
      <c r="G12" s="36">
        <f>IFERROR(E12/C12/'Modelling New'!$AQ$1,"")</f>
        <v>0.7601425562567381</v>
      </c>
      <c r="H12" s="37">
        <f>IFERROR(F12/D12/'Modelling New'!$AQ$1,"")</f>
        <v>0.76960365628042582</v>
      </c>
      <c r="I12" s="36">
        <f>IFERROR(E12/(B12*24*'Modelling New'!$AQ$1),"")</f>
        <v>0.16585888276101882</v>
      </c>
      <c r="J12" s="37">
        <f>IFERROR(F12/(B12*24*'Modelling New'!$AQ$1),"")</f>
        <v>0.1710230347289835</v>
      </c>
      <c r="K12" s="36">
        <f>_xlfn.XLOOKUP($A12,'Modelling New'!$D:$D,'Modelling New'!$AF:$AF)</f>
        <v>0.995</v>
      </c>
      <c r="L12" s="37">
        <f>IFERROR(AVERAGEIF('Daily KPI'!$D:$D,$A12,'Daily KPI'!$R:$R),"")</f>
        <v>1</v>
      </c>
      <c r="M12" s="36">
        <f>_xlfn.XLOOKUP($A12,'Modelling New'!$D:$D,'Modelling New'!$AE:$AE)</f>
        <v>0.995</v>
      </c>
      <c r="N12" s="37">
        <f>IFERROR(AVERAGEIF('Daily KPI'!$D:$D,$A12,'Daily KPI'!$O:$O),"")</f>
        <v>0.99088678628605753</v>
      </c>
      <c r="O12" s="48">
        <f>SUMIF(RD[Month Year],A12,RD[WPR_Eac])/1000</f>
        <v>0</v>
      </c>
      <c r="P12" s="49">
        <f>SUMIF(RD[Month Year],A12,RD[WPR_Edc])/1000</f>
        <v>0</v>
      </c>
    </row>
    <row r="13" spans="1:16" x14ac:dyDescent="0.25">
      <c r="A13" s="33">
        <v>45839</v>
      </c>
      <c r="B13" s="34">
        <f>_xlfn.XLOOKUP($A13,'Modelling New'!$D:$D,'Modelling New'!$Q:$Q)</f>
        <v>23</v>
      </c>
      <c r="C13" s="34">
        <f>_xlfn.XLOOKUP($A13,'Modelling New'!$D:$D,'Modelling New'!$R:$R)</f>
        <v>100.16129032258064</v>
      </c>
      <c r="D13" s="35">
        <f>SUMIF('Daily KPI'!$D:$D,$A13,'Daily KPI'!$I:$I)</f>
        <v>96.089999999999989</v>
      </c>
      <c r="E13" s="34">
        <f>_xlfn.XLOOKUP($A13,'Modelling New'!$D:$D,'Modelling New'!$U:$U)</f>
        <v>5154.5775216322709</v>
      </c>
      <c r="F13" s="35">
        <f>SUMIF('Daily KPI'!$D:$D,A13,'Daily KPI'!$AA:$AA)/1000</f>
        <v>4981.0177070000072</v>
      </c>
      <c r="G13" s="36">
        <f>IFERROR(E13/C13/'Modelling New'!$AQ$1,"")</f>
        <v>0.77092009208861256</v>
      </c>
      <c r="H13" s="37">
        <f>IFERROR(F13/D13/'Modelling New'!$AQ$1,"")</f>
        <v>0.7765261616868433</v>
      </c>
      <c r="I13" s="36">
        <f>IFERROR(E13/(B13*24*'Modelling New'!$AQ$1),"")</f>
        <v>0.13988469412898213</v>
      </c>
      <c r="J13" s="37">
        <f>IFERROR(F13/(B13*24*'Modelling New'!$AQ$1),"")</f>
        <v>0.135174635645813</v>
      </c>
      <c r="K13" s="36">
        <f>_xlfn.XLOOKUP($A13,'Modelling New'!$D:$D,'Modelling New'!$AF:$AF)</f>
        <v>0.995</v>
      </c>
      <c r="L13" s="37">
        <f>IFERROR(AVERAGEIF('Daily KPI'!$D:$D,$A13,'Daily KPI'!$R:$R),"")</f>
        <v>1</v>
      </c>
      <c r="M13" s="36">
        <f>_xlfn.XLOOKUP($A13,'Modelling New'!$D:$D,'Modelling New'!$AE:$AE)</f>
        <v>0.995</v>
      </c>
      <c r="N13" s="37">
        <f>IFERROR(AVERAGEIF('Daily KPI'!$D:$D,$A13,'Daily KPI'!$O:$O),"")</f>
        <v>0.99739877786939946</v>
      </c>
      <c r="O13" s="48">
        <f>SUMIF(RD[Month Year],A13,RD[WPR_Eac])/1000</f>
        <v>0</v>
      </c>
      <c r="P13" s="49">
        <f>SUMIF(RD[Month Year],A13,RD[WPR_Edc])/1000</f>
        <v>0</v>
      </c>
    </row>
    <row r="14" spans="1:16" x14ac:dyDescent="0.25">
      <c r="A14" s="33">
        <v>45870</v>
      </c>
      <c r="B14" s="34">
        <f>_xlfn.XLOOKUP($A14,'Modelling New'!$D:$D,'Modelling New'!$Q:$Q)</f>
        <v>0</v>
      </c>
      <c r="C14" s="34">
        <f>_xlfn.XLOOKUP($A14,'Modelling New'!$D:$D,'Modelling New'!$R:$R)</f>
        <v>0</v>
      </c>
      <c r="D14" s="35">
        <f>SUMIF('Daily KPI'!$D:$D,$A14,'Daily KPI'!$I:$I)</f>
        <v>0</v>
      </c>
      <c r="E14" s="34">
        <f>_xlfn.XLOOKUP($A14,'Modelling New'!$D:$D,'Modelling New'!$U:$U)</f>
        <v>0</v>
      </c>
      <c r="F14" s="35">
        <f>SUMIF('Daily KPI'!$D:$D,A14,'Daily KPI'!$AA:$AA)/1000</f>
        <v>0</v>
      </c>
      <c r="G14" s="36" t="str">
        <f>IFERROR(E14/C14/'Modelling New'!$AQ$1,"")</f>
        <v/>
      </c>
      <c r="H14" s="37" t="str">
        <f>IFERROR(F14/D14/'Modelling New'!$AQ$1,"")</f>
        <v/>
      </c>
      <c r="I14" s="36" t="str">
        <f>IFERROR(E14/(B14*24*'Modelling New'!$AQ$1),"")</f>
        <v/>
      </c>
      <c r="J14" s="37" t="str">
        <f>IFERROR(F14/(B14*24*'Modelling New'!$AQ$1),"")</f>
        <v/>
      </c>
      <c r="K14" s="36">
        <f>_xlfn.XLOOKUP($A14,'Modelling New'!$D:$D,'Modelling New'!$AF:$AF)</f>
        <v>0.995</v>
      </c>
      <c r="L14" s="37" t="str">
        <f>IFERROR(AVERAGEIF('Daily KPI'!$D:$D,$A14,'Daily KPI'!$R:$R),"")</f>
        <v/>
      </c>
      <c r="M14" s="36">
        <f>_xlfn.XLOOKUP($A14,'Modelling New'!$D:$D,'Modelling New'!$AE:$AE)</f>
        <v>0.995</v>
      </c>
      <c r="N14" s="37" t="str">
        <f>IFERROR(AVERAGEIF('Daily KPI'!$D:$D,$A14,'Daily KPI'!$O:$O),"")</f>
        <v/>
      </c>
      <c r="O14" s="48">
        <f>SUMIF(RD[Month Year],A14,RD[WPR_Eac])/1000</f>
        <v>0</v>
      </c>
      <c r="P14" s="49">
        <f>SUMIF(RD[Month Year],A14,RD[WPR_Edc])/1000</f>
        <v>0</v>
      </c>
    </row>
    <row r="15" spans="1:16" x14ac:dyDescent="0.25">
      <c r="A15" s="33">
        <v>45901</v>
      </c>
      <c r="B15" s="34">
        <f>_xlfn.XLOOKUP($A15,'Modelling New'!$D:$D,'Modelling New'!$Q:$Q)</f>
        <v>0</v>
      </c>
      <c r="C15" s="34">
        <f>_xlfn.XLOOKUP($A15,'Modelling New'!$D:$D,'Modelling New'!$R:$R)</f>
        <v>0</v>
      </c>
      <c r="D15" s="35">
        <f>SUMIF('Daily KPI'!$D:$D,$A15,'Daily KPI'!$I:$I)</f>
        <v>0</v>
      </c>
      <c r="E15" s="34">
        <f>_xlfn.XLOOKUP($A15,'Modelling New'!$D:$D,'Modelling New'!$U:$U)</f>
        <v>0</v>
      </c>
      <c r="F15" s="35">
        <f>SUMIF('Daily KPI'!$D:$D,A15,'Daily KPI'!$AA:$AA)/1000</f>
        <v>0</v>
      </c>
      <c r="G15" s="36" t="str">
        <f>IFERROR(E15/C15/'Modelling New'!$AQ$1,"")</f>
        <v/>
      </c>
      <c r="H15" s="37" t="str">
        <f>IFERROR(F15/D15/'Modelling New'!$AQ$1,"")</f>
        <v/>
      </c>
      <c r="I15" s="36" t="str">
        <f>IFERROR(E15/(B15*24*'Modelling New'!$AQ$1),"")</f>
        <v/>
      </c>
      <c r="J15" s="37" t="str">
        <f>IFERROR(F15/(B15*24*'Modelling New'!$AQ$1),"")</f>
        <v/>
      </c>
      <c r="K15" s="36">
        <f>_xlfn.XLOOKUP($A15,'Modelling New'!$D:$D,'Modelling New'!$AF:$AF)</f>
        <v>0.995</v>
      </c>
      <c r="L15" s="37" t="str">
        <f>IFERROR(AVERAGEIF('Daily KPI'!$D:$D,$A15,'Daily KPI'!$R:$R),"")</f>
        <v/>
      </c>
      <c r="M15" s="36">
        <f>_xlfn.XLOOKUP($A15,'Modelling New'!$D:$D,'Modelling New'!$AE:$AE)</f>
        <v>0.995</v>
      </c>
      <c r="N15" s="37" t="str">
        <f>IFERROR(AVERAGEIF('Daily KPI'!$D:$D,$A15,'Daily KPI'!$O:$O),"")</f>
        <v/>
      </c>
      <c r="O15" s="48">
        <f>SUMIF(RD[Month Year],A15,RD[WPR_Eac])/1000</f>
        <v>0</v>
      </c>
      <c r="P15" s="49">
        <f>SUMIF(RD[Month Year],A15,RD[WPR_Edc])/1000</f>
        <v>0</v>
      </c>
    </row>
    <row r="16" spans="1:16" ht="15" customHeight="1" x14ac:dyDescent="0.25">
      <c r="A16" s="33">
        <v>45931</v>
      </c>
      <c r="B16" s="34">
        <f>_xlfn.XLOOKUP($A16,'Modelling New'!$D:$D,'Modelling New'!$Q:$Q)</f>
        <v>0</v>
      </c>
      <c r="C16" s="34">
        <f>_xlfn.XLOOKUP($A16,'Modelling New'!$D:$D,'Modelling New'!$R:$R)</f>
        <v>0</v>
      </c>
      <c r="D16" s="35">
        <f>SUMIF('Daily KPI'!$D:$D,$A16,'Daily KPI'!$I:$I)</f>
        <v>0</v>
      </c>
      <c r="E16" s="34">
        <f>_xlfn.XLOOKUP($A16,'Modelling New'!$D:$D,'Modelling New'!$U:$U)</f>
        <v>0</v>
      </c>
      <c r="F16" s="35">
        <f>SUMIF('Daily KPI'!$D:$D,A16,'Daily KPI'!$AA:$AA)/1000</f>
        <v>0</v>
      </c>
      <c r="G16" s="36" t="str">
        <f>IFERROR(E16/C16/'Modelling New'!$AQ$1,"")</f>
        <v/>
      </c>
      <c r="H16" s="37" t="str">
        <f>IFERROR(F16/D16/'Modelling New'!$AQ$1,"")</f>
        <v/>
      </c>
      <c r="I16" s="36" t="str">
        <f>IFERROR(E16/(B16*24*'Modelling New'!$AQ$1),"")</f>
        <v/>
      </c>
      <c r="J16" s="37" t="str">
        <f>IFERROR(F16/(B16*24*'Modelling New'!$AQ$1),"")</f>
        <v/>
      </c>
      <c r="K16" s="36">
        <f>_xlfn.XLOOKUP($A16,'Modelling New'!$D:$D,'Modelling New'!$AF:$AF)</f>
        <v>0.995</v>
      </c>
      <c r="L16" s="37" t="str">
        <f>IFERROR(AVERAGEIF('Daily KPI'!$D:$D,$A16,'Daily KPI'!$R:$R),"")</f>
        <v/>
      </c>
      <c r="M16" s="36">
        <f>_xlfn.XLOOKUP($A16,'Modelling New'!$D:$D,'Modelling New'!$AE:$AE)</f>
        <v>0.995</v>
      </c>
      <c r="N16" s="37" t="str">
        <f>IFERROR(AVERAGEIF('Daily KPI'!$D:$D,$A16,'Daily KPI'!$O:$O),"")</f>
        <v/>
      </c>
      <c r="O16" s="48">
        <f>SUMIF(RD[Month Year],A16,RD[WPR_Eac])/1000</f>
        <v>0</v>
      </c>
      <c r="P16" s="49">
        <f>SUMIF(RD[Month Year],A16,RD[WPR_Edc])/1000</f>
        <v>0</v>
      </c>
    </row>
    <row r="17" spans="1:16" ht="15" customHeight="1" x14ac:dyDescent="0.25">
      <c r="A17" s="33">
        <v>45962</v>
      </c>
      <c r="B17" s="34">
        <f>_xlfn.XLOOKUP($A17,'Modelling New'!$D:$D,'Modelling New'!$Q:$Q)</f>
        <v>0</v>
      </c>
      <c r="C17" s="34">
        <f>_xlfn.XLOOKUP($A17,'Modelling New'!$D:$D,'Modelling New'!$R:$R)</f>
        <v>0</v>
      </c>
      <c r="D17" s="35">
        <f>SUMIF('Daily KPI'!$D:$D,$A17,'Daily KPI'!$I:$I)</f>
        <v>0</v>
      </c>
      <c r="E17" s="34">
        <f>_xlfn.XLOOKUP($A17,'Modelling New'!$D:$D,'Modelling New'!$U:$U)</f>
        <v>0</v>
      </c>
      <c r="F17" s="35">
        <f>SUMIF('Daily KPI'!$D:$D,A17,'Daily KPI'!$AA:$AA)/1000</f>
        <v>0</v>
      </c>
      <c r="G17" s="36" t="str">
        <f>IFERROR(E17/C17/'Modelling New'!$AQ$1,"")</f>
        <v/>
      </c>
      <c r="H17" s="37" t="str">
        <f>IFERROR(F17/D17/'Modelling New'!$AQ$1,"")</f>
        <v/>
      </c>
      <c r="I17" s="36" t="str">
        <f>IFERROR(E17/(B17*24*'Modelling New'!$AQ$1),"")</f>
        <v/>
      </c>
      <c r="J17" s="37" t="str">
        <f>IFERROR(F17/(B17*24*'Modelling New'!$AQ$1),"")</f>
        <v/>
      </c>
      <c r="K17" s="36">
        <f>_xlfn.XLOOKUP($A17,'Modelling New'!$D:$D,'Modelling New'!$AF:$AF)</f>
        <v>0.995</v>
      </c>
      <c r="L17" s="37" t="str">
        <f>IFERROR(AVERAGEIF('Daily KPI'!$D:$D,$A17,'Daily KPI'!$R:$R),"")</f>
        <v/>
      </c>
      <c r="M17" s="36">
        <f>_xlfn.XLOOKUP($A17,'Modelling New'!$D:$D,'Modelling New'!$AE:$AE)</f>
        <v>0.995</v>
      </c>
      <c r="N17" s="37" t="str">
        <f>IFERROR(AVERAGEIF('Daily KPI'!$D:$D,$A17,'Daily KPI'!$O:$O),"")</f>
        <v/>
      </c>
      <c r="O17" s="48">
        <f>SUMIF(RD[Month Year],A17,RD[WPR_Eac])/1000</f>
        <v>0</v>
      </c>
      <c r="P17" s="49">
        <f>SUMIF(RD[Month Year],A17,RD[WPR_Edc])/1000</f>
        <v>0</v>
      </c>
    </row>
    <row r="18" spans="1:16" ht="15" customHeight="1" x14ac:dyDescent="0.25">
      <c r="A18" s="33">
        <v>45992</v>
      </c>
      <c r="B18" s="34">
        <f>_xlfn.XLOOKUP($A18,'Modelling New'!$D:$D,'Modelling New'!$Q:$Q)</f>
        <v>0</v>
      </c>
      <c r="C18" s="34">
        <f>_xlfn.XLOOKUP($A18,'Modelling New'!$D:$D,'Modelling New'!$R:$R)</f>
        <v>0</v>
      </c>
      <c r="D18" s="35">
        <f>SUMIF('Daily KPI'!$D:$D,$A18,'Daily KPI'!$I:$I)</f>
        <v>0</v>
      </c>
      <c r="E18" s="34">
        <f>_xlfn.XLOOKUP($A18,'Modelling New'!$D:$D,'Modelling New'!$U:$U)</f>
        <v>0</v>
      </c>
      <c r="F18" s="35">
        <f>SUMIF('Daily KPI'!$D:$D,A18,'Daily KPI'!$AA:$AA)/1000</f>
        <v>0</v>
      </c>
      <c r="G18" s="36" t="str">
        <f>IFERROR(E18/C18/'Modelling New'!$AQ$1,"")</f>
        <v/>
      </c>
      <c r="H18" s="37" t="str">
        <f>IFERROR(F18/D18/'Modelling New'!$AQ$1,"")</f>
        <v/>
      </c>
      <c r="I18" s="36" t="str">
        <f>IFERROR(E18/(B18*24*'Modelling New'!$AQ$1),"")</f>
        <v/>
      </c>
      <c r="J18" s="37" t="str">
        <f>IFERROR(F18/(B18*24*'Modelling New'!$AQ$1),"")</f>
        <v/>
      </c>
      <c r="K18" s="36">
        <f>_xlfn.XLOOKUP($A18,'Modelling New'!$D:$D,'Modelling New'!$AF:$AF)</f>
        <v>0.995</v>
      </c>
      <c r="L18" s="37" t="str">
        <f>IFERROR(AVERAGEIF('Daily KPI'!$D:$D,$A18,'Daily KPI'!$R:$R),"")</f>
        <v/>
      </c>
      <c r="M18" s="36">
        <f>_xlfn.XLOOKUP($A18,'Modelling New'!$D:$D,'Modelling New'!$AE:$AE)</f>
        <v>0.995</v>
      </c>
      <c r="N18" s="37" t="str">
        <f>IFERROR(AVERAGEIF('Daily KPI'!$D:$D,$A18,'Daily KPI'!$O:$O),"")</f>
        <v/>
      </c>
      <c r="O18" s="48">
        <f>SUMIF(RD[Month Year],A18,RD[WPR_Eac])/1000</f>
        <v>0</v>
      </c>
      <c r="P18" s="49">
        <f>SUMIF(RD[Month Year],A18,RD[WPR_Edc])/1000</f>
        <v>0</v>
      </c>
    </row>
    <row r="19" spans="1:16" ht="15" customHeight="1" x14ac:dyDescent="0.25">
      <c r="A19" s="33">
        <v>46023</v>
      </c>
      <c r="B19" s="34">
        <f>_xlfn.XLOOKUP($A19,'Modelling New'!$D:$D,'Modelling New'!$Q:$Q)</f>
        <v>0</v>
      </c>
      <c r="C19" s="34">
        <f>_xlfn.XLOOKUP($A19,'Modelling New'!$D:$D,'Modelling New'!$R:$R)</f>
        <v>0</v>
      </c>
      <c r="D19" s="35">
        <f>SUMIF('Daily KPI'!$D:$D,$A19,'Daily KPI'!$I:$I)</f>
        <v>0</v>
      </c>
      <c r="E19" s="34">
        <f>_xlfn.XLOOKUP($A19,'Modelling New'!$D:$D,'Modelling New'!$U:$U)</f>
        <v>0</v>
      </c>
      <c r="F19" s="35">
        <f>SUMIF('Daily KPI'!$D:$D,A19,'Daily KPI'!$AA:$AA)/1000</f>
        <v>0</v>
      </c>
      <c r="G19" s="36" t="str">
        <f>IFERROR(E19/C19/'Modelling New'!$AQ$1,"")</f>
        <v/>
      </c>
      <c r="H19" s="37" t="str">
        <f>IFERROR(F19/D19/'Modelling New'!$AQ$1,"")</f>
        <v/>
      </c>
      <c r="I19" s="36" t="str">
        <f>IFERROR(E19/(B19*24*'Modelling New'!$AQ$1),"")</f>
        <v/>
      </c>
      <c r="J19" s="37" t="str">
        <f>IFERROR(F19/(B19*24*'Modelling New'!$AQ$1),"")</f>
        <v/>
      </c>
      <c r="K19" s="36">
        <f>_xlfn.XLOOKUP($A19,'Modelling New'!$D:$D,'Modelling New'!$AF:$AF)</f>
        <v>0.995</v>
      </c>
      <c r="L19" s="37" t="str">
        <f>IFERROR(AVERAGEIF('Daily KPI'!$D:$D,$A19,'Daily KPI'!$R:$R),"")</f>
        <v/>
      </c>
      <c r="M19" s="36">
        <f>_xlfn.XLOOKUP($A19,'Modelling New'!$D:$D,'Modelling New'!$AE:$AE)</f>
        <v>0.995</v>
      </c>
      <c r="N19" s="37" t="str">
        <f>IFERROR(AVERAGEIF('Daily KPI'!$D:$D,$A19,'Daily KPI'!$O:$O),"")</f>
        <v/>
      </c>
      <c r="O19" s="48">
        <f>SUMIF(RD[Month Year],A19,RD[WPR_Eac])/1000</f>
        <v>0</v>
      </c>
      <c r="P19" s="49">
        <f>SUMIF(RD[Month Year],A19,RD[WPR_Edc])/1000</f>
        <v>0</v>
      </c>
    </row>
    <row r="20" spans="1:16" ht="15" customHeight="1" x14ac:dyDescent="0.25">
      <c r="A20" s="33">
        <v>46054</v>
      </c>
      <c r="B20" s="34">
        <f>_xlfn.XLOOKUP($A20,'Modelling New'!$D:$D,'Modelling New'!$Q:$Q)</f>
        <v>0</v>
      </c>
      <c r="C20" s="34">
        <f>_xlfn.XLOOKUP($A20,'Modelling New'!$D:$D,'Modelling New'!$R:$R)</f>
        <v>0</v>
      </c>
      <c r="D20" s="35">
        <f>SUMIF('Daily KPI'!$D:$D,$A20,'Daily KPI'!$I:$I)</f>
        <v>0</v>
      </c>
      <c r="E20" s="34">
        <f>_xlfn.XLOOKUP($A20,'Modelling New'!$D:$D,'Modelling New'!$U:$U)</f>
        <v>0</v>
      </c>
      <c r="F20" s="35">
        <f>SUMIF('Daily KPI'!$D:$D,A20,'Daily KPI'!$AA:$AA)/1000</f>
        <v>0</v>
      </c>
      <c r="G20" s="36" t="str">
        <f>IFERROR(E20/C20/'Modelling New'!$AQ$1,"")</f>
        <v/>
      </c>
      <c r="H20" s="37" t="str">
        <f>IFERROR(F20/D20/'Modelling New'!$AQ$1,"")</f>
        <v/>
      </c>
      <c r="I20" s="36" t="str">
        <f>IFERROR(E20/(B20*24*'Modelling New'!$AQ$1),"")</f>
        <v/>
      </c>
      <c r="J20" s="37" t="str">
        <f>IFERROR(F20/(B20*24*'Modelling New'!$AQ$1),"")</f>
        <v/>
      </c>
      <c r="K20" s="36">
        <f>_xlfn.XLOOKUP($A20,'Modelling New'!$D:$D,'Modelling New'!$AF:$AF)</f>
        <v>0.995</v>
      </c>
      <c r="L20" s="37" t="str">
        <f>IFERROR(AVERAGEIF('Daily KPI'!$D:$D,$A20,'Daily KPI'!$R:$R),"")</f>
        <v/>
      </c>
      <c r="M20" s="36">
        <f>_xlfn.XLOOKUP($A20,'Modelling New'!$D:$D,'Modelling New'!$AE:$AE)</f>
        <v>0.995</v>
      </c>
      <c r="N20" s="37" t="str">
        <f>IFERROR(AVERAGEIF('Daily KPI'!$D:$D,$A20,'Daily KPI'!$O:$O),"")</f>
        <v/>
      </c>
      <c r="O20" s="48">
        <f>SUMIF(RD[Month Year],A20,RD[WPR_Eac])/1000</f>
        <v>0</v>
      </c>
      <c r="P20" s="49">
        <f>SUMIF(RD[Month Year],A20,RD[WPR_Edc])/1000</f>
        <v>0</v>
      </c>
    </row>
    <row r="21" spans="1:16" ht="15" customHeight="1" x14ac:dyDescent="0.25">
      <c r="A21" s="33">
        <v>46082</v>
      </c>
      <c r="B21" s="34">
        <f>_xlfn.XLOOKUP($A21,'Modelling New'!$D:$D,'Modelling New'!$Q:$Q)</f>
        <v>0</v>
      </c>
      <c r="C21" s="34">
        <f>_xlfn.XLOOKUP($A21,'Modelling New'!$D:$D,'Modelling New'!$R:$R)</f>
        <v>0</v>
      </c>
      <c r="D21" s="35">
        <f>SUMIF('Daily KPI'!$D:$D,$A21,'Daily KPI'!$I:$I)</f>
        <v>0</v>
      </c>
      <c r="E21" s="34">
        <f>_xlfn.XLOOKUP($A21,'Modelling New'!$D:$D,'Modelling New'!$U:$U)</f>
        <v>0</v>
      </c>
      <c r="F21" s="35">
        <f>SUMIF('Daily KPI'!$D:$D,A21,'Daily KPI'!$AA:$AA)/1000</f>
        <v>0</v>
      </c>
      <c r="G21" s="36" t="str">
        <f>IFERROR(E21/C21/'Modelling New'!$AQ$1,"")</f>
        <v/>
      </c>
      <c r="H21" s="37" t="str">
        <f>IFERROR(F21/D21/'Modelling New'!$AQ$1,"")</f>
        <v/>
      </c>
      <c r="I21" s="36" t="str">
        <f>IFERROR(E21/(B21*24*'Modelling New'!$AQ$1),"")</f>
        <v/>
      </c>
      <c r="J21" s="37" t="str">
        <f>IFERROR(F21/(B21*24*'Modelling New'!$AQ$1),"")</f>
        <v/>
      </c>
      <c r="K21" s="36">
        <f>_xlfn.XLOOKUP($A21,'Modelling New'!$D:$D,'Modelling New'!$AF:$AF)</f>
        <v>0.995</v>
      </c>
      <c r="L21" s="37" t="str">
        <f>IFERROR(AVERAGEIF('Daily KPI'!$D:$D,$A21,'Daily KPI'!$R:$R),"")</f>
        <v/>
      </c>
      <c r="M21" s="36">
        <f>_xlfn.XLOOKUP($A21,'Modelling New'!$D:$D,'Modelling New'!$AE:$AE)</f>
        <v>0.995</v>
      </c>
      <c r="N21" s="37" t="str">
        <f>IFERROR(AVERAGEIF('Daily KPI'!$D:$D,$A21,'Daily KPI'!$O:$O),"")</f>
        <v/>
      </c>
      <c r="O21" s="48">
        <f>SUMIF(RD[Month Year],A21,RD[WPR_Eac])/1000</f>
        <v>0</v>
      </c>
      <c r="P21" s="49">
        <f>SUMIF(RD[Month Year],A21,RD[WPR_Edc])/1000</f>
        <v>0</v>
      </c>
    </row>
  </sheetData>
  <sheetProtection algorithmName="SHA-512" hashValue="1oVYM4xepoV/6Gt8N5b6XRGqH7s/hQ2RaWKVkrQQJhtNlgya6uRPqgxC66RJagyqEmmTUcqHGbv1EJdLVvvZjw==" saltValue="VaNVnFJVfUVGJqqYqPhI1w==" spinCount="100000" sheet="1" objects="1" scenarios="1"/>
  <mergeCells count="2">
    <mergeCell ref="A2:P2"/>
    <mergeCell ref="A7:P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1"/>
  <sheetViews>
    <sheetView workbookViewId="0">
      <selection activeCell="B7" sqref="B7"/>
    </sheetView>
  </sheetViews>
  <sheetFormatPr defaultColWidth="8.85546875" defaultRowHeight="15" x14ac:dyDescent="0.25"/>
  <cols>
    <col min="2" max="2" width="10.140625" bestFit="1" customWidth="1"/>
    <col min="3" max="3" width="13.42578125" customWidth="1"/>
    <col min="4" max="4" width="12" customWidth="1"/>
    <col min="5" max="5" width="12.42578125" customWidth="1"/>
    <col min="6" max="6" width="13.42578125" customWidth="1"/>
    <col min="8" max="8" width="11.85546875" bestFit="1" customWidth="1"/>
    <col min="9" max="9" width="10.42578125" customWidth="1"/>
    <col min="10" max="10" width="11.140625" customWidth="1"/>
    <col min="12" max="12" width="9.42578125" customWidth="1"/>
    <col min="14" max="14" width="9.42578125" customWidth="1"/>
    <col min="15" max="16" width="12.85546875" bestFit="1" customWidth="1"/>
  </cols>
  <sheetData>
    <row r="1" spans="1:16" x14ac:dyDescent="0.25">
      <c r="A1" s="29" t="s">
        <v>31</v>
      </c>
      <c r="B1" s="30">
        <f>Dashboard!B3</f>
        <v>45861</v>
      </c>
    </row>
    <row r="2" spans="1:16" ht="21" x14ac:dyDescent="0.25">
      <c r="A2" s="400" t="s">
        <v>50</v>
      </c>
      <c r="B2" s="400"/>
      <c r="C2" s="400"/>
      <c r="D2" s="400"/>
      <c r="E2" s="400"/>
      <c r="F2" s="400"/>
      <c r="G2" s="400"/>
      <c r="H2" s="400"/>
      <c r="I2" s="400"/>
      <c r="J2" s="400"/>
      <c r="K2" s="400"/>
      <c r="L2" s="400"/>
      <c r="M2" s="400"/>
      <c r="N2" s="400"/>
      <c r="O2" s="400"/>
      <c r="P2" s="400"/>
    </row>
    <row r="3" spans="1:16" ht="45" x14ac:dyDescent="0.25">
      <c r="A3" s="38" t="s">
        <v>33</v>
      </c>
      <c r="B3" s="38" t="s">
        <v>34</v>
      </c>
      <c r="C3" s="39" t="s">
        <v>35</v>
      </c>
      <c r="D3" s="39" t="s">
        <v>36</v>
      </c>
      <c r="E3" s="39" t="s">
        <v>37</v>
      </c>
      <c r="F3" s="39" t="s">
        <v>38</v>
      </c>
      <c r="G3" s="39" t="s">
        <v>39</v>
      </c>
      <c r="H3" s="39" t="s">
        <v>40</v>
      </c>
      <c r="I3" s="39" t="s">
        <v>41</v>
      </c>
      <c r="J3" s="39" t="s">
        <v>42</v>
      </c>
      <c r="K3" s="39" t="s">
        <v>43</v>
      </c>
      <c r="L3" s="39" t="s">
        <v>44</v>
      </c>
      <c r="M3" s="39" t="s">
        <v>45</v>
      </c>
      <c r="N3" s="39" t="s">
        <v>46</v>
      </c>
      <c r="O3" s="39" t="s">
        <v>47</v>
      </c>
      <c r="P3" s="39" t="s">
        <v>48</v>
      </c>
    </row>
    <row r="4" spans="1:16" x14ac:dyDescent="0.25">
      <c r="A4" s="40">
        <f>Dashboard!B2</f>
        <v>45839</v>
      </c>
      <c r="B4" s="34">
        <f>DAY(B1)</f>
        <v>23</v>
      </c>
      <c r="C4" s="34">
        <f>_xlfn.XLOOKUP($A$4,'Modelling New'!$D:$D,'Modelling New'!$R:$R,0)</f>
        <v>100.16129032258064</v>
      </c>
      <c r="D4" s="35">
        <f>SUMIF('Daily KPI'!$D:$D,$A4,'Daily KPI'!$I:$I)</f>
        <v>96.089999999999989</v>
      </c>
      <c r="E4" s="34">
        <f>_xlfn.XLOOKUP($A$4,'Modelling New'!$D:$D,'Modelling New'!$U:$U,0)</f>
        <v>5154.5775216322709</v>
      </c>
      <c r="F4" s="35">
        <f>SUMIF('Daily KPI'!$D:$D,$A4,'Daily KPI'!$AA:$AA)/1000</f>
        <v>4981.0177070000072</v>
      </c>
      <c r="G4" s="36">
        <f>IFERROR(E4/C4/'Modelling New'!$AQ$1,"")</f>
        <v>0.77092009208861256</v>
      </c>
      <c r="H4" s="37">
        <f>IFERROR(F4/D4/'Modelling New'!$AQ$1,"")</f>
        <v>0.7765261616868433</v>
      </c>
      <c r="I4" s="36">
        <f>IFERROR(E4/(B4*24*'Modelling New'!$AQ$1),"")</f>
        <v>0.13988469412898213</v>
      </c>
      <c r="J4" s="37">
        <f>IFERROR(F4/(B4*24*'Modelling New'!$AQ$1),"")</f>
        <v>0.135174635645813</v>
      </c>
      <c r="K4" s="36">
        <f>_xlfn.XLOOKUP($A$4,'Modelling New'!$D:$D,'Modelling New'!$AF:$AF)</f>
        <v>0.995</v>
      </c>
      <c r="L4" s="37">
        <f>IFERROR(AVERAGEIF('Daily KPI'!$D:$D,$A4,'Daily KPI'!$R:$R),"")</f>
        <v>1</v>
      </c>
      <c r="M4" s="36">
        <f>_xlfn.XLOOKUP($A$4,'Modelling New'!$D:$D,'Modelling New'!$AE:$AE)</f>
        <v>0.995</v>
      </c>
      <c r="N4" s="37">
        <f>IFERROR(AVERAGEIF('Daily KPI'!$D:$D,$A4,'Daily KPI'!$O:$O),"")</f>
        <v>0.99739877786939946</v>
      </c>
      <c r="O4" s="48">
        <f>SUMIF(RD[Month Year],$A4,RD[WPR_Eac])</f>
        <v>0</v>
      </c>
      <c r="P4" s="49">
        <f>SUMIF(RD[Month Year],$A4,RD[WPR_Edc])</f>
        <v>0</v>
      </c>
    </row>
    <row r="7" spans="1:16" x14ac:dyDescent="0.25">
      <c r="A7" s="29" t="s">
        <v>51</v>
      </c>
      <c r="B7" s="30">
        <f>B8-6</f>
        <v>45855</v>
      </c>
      <c r="D7" s="27"/>
      <c r="F7" s="27"/>
    </row>
    <row r="8" spans="1:16" x14ac:dyDescent="0.25">
      <c r="A8" s="29" t="s">
        <v>52</v>
      </c>
      <c r="B8" s="30">
        <f>B1</f>
        <v>45861</v>
      </c>
    </row>
    <row r="9" spans="1:16" ht="21" x14ac:dyDescent="0.25">
      <c r="A9" s="400" t="s">
        <v>53</v>
      </c>
      <c r="B9" s="400"/>
      <c r="C9" s="400"/>
      <c r="D9" s="400"/>
      <c r="E9" s="400"/>
      <c r="F9" s="400"/>
      <c r="G9" s="400"/>
      <c r="H9" s="400"/>
      <c r="I9" s="400"/>
      <c r="J9" s="400"/>
      <c r="K9" s="400"/>
      <c r="L9" s="400"/>
      <c r="M9" s="400"/>
      <c r="N9" s="400"/>
      <c r="O9" s="400"/>
      <c r="P9" s="400"/>
    </row>
    <row r="10" spans="1:16" ht="45" x14ac:dyDescent="0.25">
      <c r="A10" s="38" t="s">
        <v>33</v>
      </c>
      <c r="B10" s="38" t="s">
        <v>34</v>
      </c>
      <c r="C10" s="39" t="s">
        <v>35</v>
      </c>
      <c r="D10" s="39" t="s">
        <v>36</v>
      </c>
      <c r="E10" s="39" t="s">
        <v>37</v>
      </c>
      <c r="F10" s="39" t="s">
        <v>38</v>
      </c>
      <c r="G10" s="39" t="s">
        <v>39</v>
      </c>
      <c r="H10" s="39" t="s">
        <v>40</v>
      </c>
      <c r="I10" s="39" t="s">
        <v>41</v>
      </c>
      <c r="J10" s="39" t="s">
        <v>42</v>
      </c>
      <c r="K10" s="39" t="s">
        <v>43</v>
      </c>
      <c r="L10" s="39" t="s">
        <v>44</v>
      </c>
      <c r="M10" s="39" t="s">
        <v>45</v>
      </c>
      <c r="N10" s="39" t="s">
        <v>46</v>
      </c>
      <c r="O10" s="39" t="s">
        <v>47</v>
      </c>
      <c r="P10" s="39" t="s">
        <v>48</v>
      </c>
    </row>
    <row r="11" spans="1:16" x14ac:dyDescent="0.25">
      <c r="A11" s="40">
        <f>A4</f>
        <v>45839</v>
      </c>
      <c r="B11" s="34">
        <f>(B8-B7)+1</f>
        <v>7</v>
      </c>
      <c r="C11" s="34">
        <f>IFERROR(SUMIFS('Daily KPI'!$AC:$AC,'Daily KPI'!$A:$A,"&gt;="&amp;$B$7,'Daily KPI'!$A:$A,"&lt;="&amp;$B$8),"")</f>
        <v>30.483870967741936</v>
      </c>
      <c r="D11" s="35">
        <f>SUMIFS('Daily KPI'!$I:$I,'Daily KPI'!$A:$A,"&gt;="&amp;$B$7,'Daily KPI'!$A:$A,"&lt;="&amp;$B$8)</f>
        <v>28.27</v>
      </c>
      <c r="E11" s="34">
        <f>IFERROR(SUMIFS('Daily KPI'!$AD:$AD,'Daily KPI'!$A:$A,"&gt;="&amp;$B$7,'Daily KPI'!$A:$A,"&lt;="&amp;$B$8),"")/1000</f>
        <v>1568.7844631054741</v>
      </c>
      <c r="F11" s="35">
        <f>SUMIFS('Daily KPI'!$AA:$AA,'Daily KPI'!$A:$A,"&gt;="&amp;$B$7,'Daily KPI'!$A:$A,"&lt;="&amp;$B$8)/1000</f>
        <v>1475.4414539999564</v>
      </c>
      <c r="G11" s="36">
        <f>IFERROR(E11/C11/'Modelling New'!$AQ$1,"")</f>
        <v>0.77092009208861267</v>
      </c>
      <c r="H11" s="37">
        <f>IFERROR(F11/D11/'Modelling New'!$AQ$1,"")</f>
        <v>0.78183007479713884</v>
      </c>
      <c r="I11" s="36">
        <f>IFERROR(E11/($B$11*24*'Modelling New'!$AQ$1),"")</f>
        <v>0.13988469412898213</v>
      </c>
      <c r="J11" s="37">
        <f>IFERROR(F11/($B$11*24*'Modelling New'!$AQ$1),"")</f>
        <v>0.13156152508639948</v>
      </c>
      <c r="K11" s="36">
        <f>_xlfn.XLOOKUP($A$11,'Modelling New'!$D:$D,'Modelling New'!$AF:$AF)</f>
        <v>0.995</v>
      </c>
      <c r="L11" s="37">
        <f>AVERAGEIFS('Daily KPI'!$R:$R,'Daily KPI'!$A:$A,"&gt;="&amp;$B$7,'Daily KPI'!$A:$A,"&lt;="&amp;$B$8)</f>
        <v>1</v>
      </c>
      <c r="M11" s="36">
        <f>_xlfn.XLOOKUP($A$11,'Modelling New'!$D:$D,'Modelling New'!$AE:$AE)</f>
        <v>0.995</v>
      </c>
      <c r="N11" s="37">
        <f>AVERAGEIFS('Daily KPI'!$O:$O,'Daily KPI'!$A:$A,"&gt;="&amp;$B$7,'Daily KPI'!$A:$A,"&lt;="&amp;$B$8)</f>
        <v>0.99883132064414692</v>
      </c>
      <c r="O11" s="48">
        <f>SUMIFS(RD[WPR_Eac],RD[Date],"&gt;="&amp;$B$7,RD[Date],"&lt;="&amp;$B$8)</f>
        <v>0</v>
      </c>
      <c r="P11" s="49">
        <f>SUMIFS(RD[WPR_Edc],RD[Date],"&gt;="&amp;$B$7,RD[Date],"&lt;="&amp;$B$8)</f>
        <v>0</v>
      </c>
    </row>
  </sheetData>
  <sheetProtection algorithmName="SHA-512" hashValue="6Pha/3c/yaUBgHeFiSDXV1Nkz1eDgreRwWFz8QPe8/NKFP3UeSVZl+u5efZGaDE192PSObui4YyMwE8232T1ZA==" saltValue="kvqLBMsn2yhhpNl1JH9IGQ==" spinCount="100000" sheet="1" objects="1" scenarios="1"/>
  <mergeCells count="2">
    <mergeCell ref="A2:P2"/>
    <mergeCell ref="A9:P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643"/>
  <sheetViews>
    <sheetView topLeftCell="A2" zoomScale="96" workbookViewId="0">
      <pane xSplit="2" ySplit="1" topLeftCell="P570" activePane="bottomRight" state="frozen"/>
      <selection pane="topRight" activeCell="C2" sqref="C2"/>
      <selection pane="bottomLeft" activeCell="A3" sqref="A3"/>
      <selection pane="bottomRight" activeCell="N576" sqref="N576"/>
    </sheetView>
  </sheetViews>
  <sheetFormatPr defaultColWidth="8.85546875" defaultRowHeight="15" x14ac:dyDescent="0.25"/>
  <cols>
    <col min="1" max="1" width="13.42578125" customWidth="1"/>
    <col min="2" max="2" width="11.42578125" customWidth="1"/>
    <col min="3" max="6" width="13.42578125" customWidth="1"/>
    <col min="7" max="7" width="10.7109375" style="1" customWidth="1"/>
    <col min="8" max="8" width="8.7109375" style="1"/>
    <col min="9" max="9" width="13.140625" customWidth="1"/>
    <col min="10" max="10" width="21.140625" bestFit="1" customWidth="1"/>
    <col min="11" max="11" width="13.42578125" customWidth="1"/>
    <col min="12" max="13" width="11.42578125" bestFit="1" customWidth="1"/>
    <col min="14" max="19" width="13.42578125" customWidth="1"/>
    <col min="20" max="20" width="22.42578125" bestFit="1" customWidth="1"/>
    <col min="21" max="21" width="16.42578125" customWidth="1"/>
    <col min="22" max="22" width="48.42578125" customWidth="1"/>
  </cols>
  <sheetData>
    <row r="1" spans="1:21" hidden="1" x14ac:dyDescent="0.25">
      <c r="S1" s="1"/>
    </row>
    <row r="2" spans="1:21" s="20" customFormat="1" ht="25.5" x14ac:dyDescent="0.25">
      <c r="A2" s="99" t="s">
        <v>7</v>
      </c>
      <c r="B2" s="100" t="s">
        <v>54</v>
      </c>
      <c r="C2" s="99" t="s">
        <v>55</v>
      </c>
      <c r="D2" s="99" t="s">
        <v>56</v>
      </c>
      <c r="E2" s="99" t="s">
        <v>57</v>
      </c>
      <c r="F2" s="99" t="s">
        <v>58</v>
      </c>
      <c r="G2" s="99" t="s">
        <v>59</v>
      </c>
      <c r="H2" s="99" t="s">
        <v>34</v>
      </c>
      <c r="I2" s="99" t="s">
        <v>60</v>
      </c>
      <c r="J2" s="99" t="s">
        <v>61</v>
      </c>
      <c r="K2" s="99" t="s">
        <v>62</v>
      </c>
      <c r="L2" s="99" t="s">
        <v>63</v>
      </c>
      <c r="M2" s="99" t="s">
        <v>64</v>
      </c>
      <c r="N2" s="99" t="s">
        <v>65</v>
      </c>
      <c r="O2" s="99" t="s">
        <v>66</v>
      </c>
      <c r="P2" s="99" t="s">
        <v>67</v>
      </c>
      <c r="Q2" s="99" t="s">
        <v>68</v>
      </c>
      <c r="R2" s="99" t="s">
        <v>69</v>
      </c>
      <c r="S2" s="99" t="s">
        <v>70</v>
      </c>
      <c r="T2" s="99" t="s">
        <v>71</v>
      </c>
      <c r="U2" s="99" t="s">
        <v>72</v>
      </c>
    </row>
    <row r="3" spans="1:21" x14ac:dyDescent="0.25">
      <c r="A3" s="101">
        <v>1</v>
      </c>
      <c r="B3" s="103">
        <v>45200</v>
      </c>
      <c r="C3" s="109">
        <f>YEAR(GC[[#This Row],[Date]])+IF(MONTH(GC[[#This Row],[Date]])&gt;=4,1,0)</f>
        <v>2024</v>
      </c>
      <c r="D3" s="110">
        <f>YEAR(GC[[#This Row],[Date]])</f>
        <v>2023</v>
      </c>
      <c r="E3" s="101" t="s">
        <v>73</v>
      </c>
      <c r="F3" s="101" t="s">
        <v>73</v>
      </c>
      <c r="G3" s="102" t="str">
        <f>TEXT(GC[[#This Row],[Date]],"mmm-yy")</f>
        <v>Oct-23</v>
      </c>
      <c r="H3" s="102">
        <f>DAY(EOMONTH(GC[[#This Row],[Month Year]],0))</f>
        <v>31</v>
      </c>
      <c r="I3" s="101"/>
      <c r="J3" s="101"/>
      <c r="K3" s="101"/>
      <c r="L3" s="101"/>
      <c r="M3" s="101"/>
      <c r="N3" s="101"/>
      <c r="O3" s="101"/>
      <c r="P3" s="101"/>
      <c r="Q3" s="101"/>
      <c r="R3" s="101"/>
      <c r="S3" s="1">
        <f>SUM(GC[[#This Row],[Blk1]:[Blk8]])</f>
        <v>0</v>
      </c>
      <c r="T3" s="101" t="str">
        <f>PROPER(GC[[#This Row],[Resources]])</f>
        <v/>
      </c>
      <c r="U3" s="105"/>
    </row>
    <row r="4" spans="1:21" x14ac:dyDescent="0.25">
      <c r="A4" s="106">
        <v>2</v>
      </c>
      <c r="B4" s="103">
        <f>B3+1</f>
        <v>45201</v>
      </c>
      <c r="C4" s="109">
        <f>YEAR(GC[[#This Row],[Date]])+IF(MONTH(GC[[#This Row],[Date]])&gt;=4,1,0)</f>
        <v>2024</v>
      </c>
      <c r="D4" s="110">
        <f>YEAR(GC[[#This Row],[Date]])</f>
        <v>2023</v>
      </c>
      <c r="E4" s="101" t="s">
        <v>73</v>
      </c>
      <c r="F4" s="101" t="s">
        <v>73</v>
      </c>
      <c r="G4" s="102" t="str">
        <f>TEXT(GC[[#This Row],[Date]],"mmm-yy")</f>
        <v>Oct-23</v>
      </c>
      <c r="H4" s="102">
        <f>DAY(EOMONTH(GC[[#This Row],[Month Year]],0))</f>
        <v>31</v>
      </c>
      <c r="I4" s="106"/>
      <c r="J4" s="106"/>
      <c r="K4" s="106"/>
      <c r="L4" s="106"/>
      <c r="M4" s="106"/>
      <c r="N4" s="106"/>
      <c r="O4" s="106"/>
      <c r="P4" s="106"/>
      <c r="Q4" s="106"/>
      <c r="R4" s="106"/>
      <c r="S4" s="1">
        <f>SUM(GC[[#This Row],[Blk1]:[Blk8]])</f>
        <v>0</v>
      </c>
      <c r="T4" s="106" t="str">
        <f>PROPER(GC[[#This Row],[Resources]])</f>
        <v/>
      </c>
      <c r="U4" s="105"/>
    </row>
    <row r="5" spans="1:21" x14ac:dyDescent="0.25">
      <c r="A5" s="106">
        <v>3</v>
      </c>
      <c r="B5" s="103">
        <f t="shared" ref="B5:B68" si="0">B4+1</f>
        <v>45202</v>
      </c>
      <c r="C5" s="109">
        <f>YEAR(GC[[#This Row],[Date]])+IF(MONTH(GC[[#This Row],[Date]])&gt;=4,1,0)</f>
        <v>2024</v>
      </c>
      <c r="D5" s="110">
        <f>YEAR(GC[[#This Row],[Date]])</f>
        <v>2023</v>
      </c>
      <c r="E5" s="101" t="s">
        <v>73</v>
      </c>
      <c r="F5" s="101" t="s">
        <v>73</v>
      </c>
      <c r="G5" s="102" t="str">
        <f>TEXT(GC[[#This Row],[Date]],"mmm-yy")</f>
        <v>Oct-23</v>
      </c>
      <c r="H5" s="102">
        <f>DAY(EOMONTH(GC[[#This Row],[Month Year]],0))</f>
        <v>31</v>
      </c>
      <c r="I5" s="106"/>
      <c r="J5" s="106"/>
      <c r="K5" s="106"/>
      <c r="L5" s="106"/>
      <c r="M5" s="106"/>
      <c r="N5" s="106"/>
      <c r="O5" s="106"/>
      <c r="P5" s="106"/>
      <c r="Q5" s="106"/>
      <c r="R5" s="106"/>
      <c r="S5" s="1">
        <f>SUM(GC[[#This Row],[Blk1]:[Blk8]])</f>
        <v>0</v>
      </c>
      <c r="T5" s="106" t="str">
        <f>PROPER(GC[[#This Row],[Resources]])</f>
        <v/>
      </c>
      <c r="U5" s="106"/>
    </row>
    <row r="6" spans="1:21" x14ac:dyDescent="0.25">
      <c r="A6" s="106">
        <v>4</v>
      </c>
      <c r="B6" s="103">
        <f t="shared" si="0"/>
        <v>45203</v>
      </c>
      <c r="C6" s="109">
        <f>YEAR(GC[[#This Row],[Date]])+IF(MONTH(GC[[#This Row],[Date]])&gt;=4,1,0)</f>
        <v>2024</v>
      </c>
      <c r="D6" s="110">
        <f>YEAR(GC[[#This Row],[Date]])</f>
        <v>2023</v>
      </c>
      <c r="E6" s="101" t="s">
        <v>73</v>
      </c>
      <c r="F6" s="101" t="s">
        <v>73</v>
      </c>
      <c r="G6" s="102" t="str">
        <f>TEXT(GC[[#This Row],[Date]],"mmm-yy")</f>
        <v>Oct-23</v>
      </c>
      <c r="H6" s="102">
        <f>DAY(EOMONTH(GC[[#This Row],[Month Year]],0))</f>
        <v>31</v>
      </c>
      <c r="I6" s="106"/>
      <c r="J6" s="106"/>
      <c r="K6" s="106"/>
      <c r="L6" s="106"/>
      <c r="M6" s="106"/>
      <c r="N6" s="106"/>
      <c r="O6" s="106"/>
      <c r="P6" s="106"/>
      <c r="Q6" s="106"/>
      <c r="R6" s="106"/>
      <c r="S6" s="1">
        <f>SUM(GC[[#This Row],[Blk1]:[Blk8]])</f>
        <v>0</v>
      </c>
      <c r="T6" s="106" t="str">
        <f>PROPER(GC[[#This Row],[Resources]])</f>
        <v/>
      </c>
      <c r="U6" s="106"/>
    </row>
    <row r="7" spans="1:21" x14ac:dyDescent="0.25">
      <c r="A7" s="106">
        <v>5</v>
      </c>
      <c r="B7" s="103">
        <f t="shared" si="0"/>
        <v>45204</v>
      </c>
      <c r="C7" s="109">
        <f>YEAR(GC[[#This Row],[Date]])+IF(MONTH(GC[[#This Row],[Date]])&gt;=4,1,0)</f>
        <v>2024</v>
      </c>
      <c r="D7" s="110">
        <f>YEAR(GC[[#This Row],[Date]])</f>
        <v>2023</v>
      </c>
      <c r="E7" s="101" t="s">
        <v>73</v>
      </c>
      <c r="F7" s="101" t="s">
        <v>73</v>
      </c>
      <c r="G7" s="102" t="str">
        <f>TEXT(GC[[#This Row],[Date]],"mmm-yy")</f>
        <v>Oct-23</v>
      </c>
      <c r="H7" s="102">
        <f>DAY(EOMONTH(GC[[#This Row],[Month Year]],0))</f>
        <v>31</v>
      </c>
      <c r="I7" s="106"/>
      <c r="J7" s="106"/>
      <c r="K7" s="106"/>
      <c r="L7" s="106"/>
      <c r="M7" s="106"/>
      <c r="N7" s="106"/>
      <c r="O7" s="106"/>
      <c r="P7" s="106"/>
      <c r="Q7" s="106"/>
      <c r="R7" s="106"/>
      <c r="S7" s="1">
        <f>SUM(GC[[#This Row],[Blk1]:[Blk8]])</f>
        <v>0</v>
      </c>
      <c r="T7" s="106" t="str">
        <f>PROPER(GC[[#This Row],[Resources]])</f>
        <v/>
      </c>
      <c r="U7" s="106"/>
    </row>
    <row r="8" spans="1:21" x14ac:dyDescent="0.25">
      <c r="A8" s="106">
        <v>6</v>
      </c>
      <c r="B8" s="103">
        <f t="shared" si="0"/>
        <v>45205</v>
      </c>
      <c r="C8" s="109">
        <f>YEAR(GC[[#This Row],[Date]])+IF(MONTH(GC[[#This Row],[Date]])&gt;=4,1,0)</f>
        <v>2024</v>
      </c>
      <c r="D8" s="110">
        <f>YEAR(GC[[#This Row],[Date]])</f>
        <v>2023</v>
      </c>
      <c r="E8" s="101" t="s">
        <v>73</v>
      </c>
      <c r="F8" s="101" t="s">
        <v>73</v>
      </c>
      <c r="G8" s="102" t="str">
        <f>TEXT(GC[[#This Row],[Date]],"mmm-yy")</f>
        <v>Oct-23</v>
      </c>
      <c r="H8" s="102">
        <f>DAY(EOMONTH(GC[[#This Row],[Month Year]],0))</f>
        <v>31</v>
      </c>
      <c r="I8" s="106"/>
      <c r="J8" s="106"/>
      <c r="K8" s="106"/>
      <c r="L8" s="106"/>
      <c r="M8" s="106"/>
      <c r="N8" s="106"/>
      <c r="O8" s="106"/>
      <c r="P8" s="106"/>
      <c r="Q8" s="106"/>
      <c r="R8" s="106"/>
      <c r="S8" s="1">
        <f>SUM(GC[[#This Row],[Blk1]:[Blk8]])</f>
        <v>0</v>
      </c>
      <c r="T8" s="106" t="str">
        <f>PROPER(GC[[#This Row],[Resources]])</f>
        <v/>
      </c>
      <c r="U8" s="106"/>
    </row>
    <row r="9" spans="1:21" x14ac:dyDescent="0.25">
      <c r="A9" s="106">
        <v>7</v>
      </c>
      <c r="B9" s="103">
        <f t="shared" si="0"/>
        <v>45206</v>
      </c>
      <c r="C9" s="109">
        <f>YEAR(GC[[#This Row],[Date]])+IF(MONTH(GC[[#This Row],[Date]])&gt;=4,1,0)</f>
        <v>2024</v>
      </c>
      <c r="D9" s="110">
        <f>YEAR(GC[[#This Row],[Date]])</f>
        <v>2023</v>
      </c>
      <c r="E9" s="101" t="s">
        <v>73</v>
      </c>
      <c r="F9" s="101" t="s">
        <v>73</v>
      </c>
      <c r="G9" s="102" t="str">
        <f>TEXT(GC[[#This Row],[Date]],"mmm-yy")</f>
        <v>Oct-23</v>
      </c>
      <c r="H9" s="102">
        <f>DAY(EOMONTH(GC[[#This Row],[Month Year]],0))</f>
        <v>31</v>
      </c>
      <c r="I9" s="106"/>
      <c r="J9" s="106"/>
      <c r="K9" s="106"/>
      <c r="L9" s="106"/>
      <c r="M9" s="106"/>
      <c r="N9" s="106"/>
      <c r="O9" s="106"/>
      <c r="P9" s="106"/>
      <c r="Q9" s="106"/>
      <c r="R9" s="106"/>
      <c r="S9" s="1">
        <f>SUM(GC[[#This Row],[Blk1]:[Blk8]])</f>
        <v>0</v>
      </c>
      <c r="T9" s="106" t="str">
        <f>PROPER(GC[[#This Row],[Resources]])</f>
        <v/>
      </c>
      <c r="U9" s="106"/>
    </row>
    <row r="10" spans="1:21" x14ac:dyDescent="0.25">
      <c r="A10" s="106">
        <v>8</v>
      </c>
      <c r="B10" s="103">
        <f t="shared" si="0"/>
        <v>45207</v>
      </c>
      <c r="C10" s="109">
        <f>YEAR(GC[[#This Row],[Date]])+IF(MONTH(GC[[#This Row],[Date]])&gt;=4,1,0)</f>
        <v>2024</v>
      </c>
      <c r="D10" s="110">
        <f>YEAR(GC[[#This Row],[Date]])</f>
        <v>2023</v>
      </c>
      <c r="E10" s="101" t="s">
        <v>73</v>
      </c>
      <c r="F10" s="101" t="s">
        <v>73</v>
      </c>
      <c r="G10" s="102" t="str">
        <f>TEXT(GC[[#This Row],[Date]],"mmm-yy")</f>
        <v>Oct-23</v>
      </c>
      <c r="H10" s="102">
        <f>DAY(EOMONTH(GC[[#This Row],[Month Year]],0))</f>
        <v>31</v>
      </c>
      <c r="I10" s="106"/>
      <c r="J10" s="106"/>
      <c r="K10" s="106"/>
      <c r="L10" s="106"/>
      <c r="M10" s="106"/>
      <c r="N10" s="106"/>
      <c r="O10" s="106"/>
      <c r="P10" s="106"/>
      <c r="Q10" s="106"/>
      <c r="R10" s="106"/>
      <c r="S10" s="1">
        <f>SUM(GC[[#This Row],[Blk1]:[Blk8]])</f>
        <v>0</v>
      </c>
      <c r="T10" s="106" t="str">
        <f>PROPER(GC[[#This Row],[Resources]])</f>
        <v/>
      </c>
      <c r="U10" s="106"/>
    </row>
    <row r="11" spans="1:21" x14ac:dyDescent="0.25">
      <c r="A11" s="106">
        <v>9</v>
      </c>
      <c r="B11" s="103">
        <f t="shared" si="0"/>
        <v>45208</v>
      </c>
      <c r="C11" s="109">
        <f>YEAR(GC[[#This Row],[Date]])+IF(MONTH(GC[[#This Row],[Date]])&gt;=4,1,0)</f>
        <v>2024</v>
      </c>
      <c r="D11" s="110">
        <f>YEAR(GC[[#This Row],[Date]])</f>
        <v>2023</v>
      </c>
      <c r="E11" s="101" t="s">
        <v>73</v>
      </c>
      <c r="F11" s="101" t="s">
        <v>73</v>
      </c>
      <c r="G11" s="102" t="str">
        <f>TEXT(GC[[#This Row],[Date]],"mmm-yy")</f>
        <v>Oct-23</v>
      </c>
      <c r="H11" s="102">
        <f>DAY(EOMONTH(GC[[#This Row],[Month Year]],0))</f>
        <v>31</v>
      </c>
      <c r="I11" s="106"/>
      <c r="J11" s="106"/>
      <c r="K11" s="106"/>
      <c r="L11" s="106"/>
      <c r="M11" s="106"/>
      <c r="N11" s="106"/>
      <c r="O11" s="106"/>
      <c r="P11" s="106"/>
      <c r="Q11" s="106"/>
      <c r="R11" s="106"/>
      <c r="S11" s="1">
        <f>SUM(GC[[#This Row],[Blk1]:[Blk8]])</f>
        <v>0</v>
      </c>
      <c r="T11" s="106" t="str">
        <f>PROPER(GC[[#This Row],[Resources]])</f>
        <v/>
      </c>
      <c r="U11" s="106"/>
    </row>
    <row r="12" spans="1:21" x14ac:dyDescent="0.25">
      <c r="A12" s="106">
        <v>10</v>
      </c>
      <c r="B12" s="103">
        <f t="shared" si="0"/>
        <v>45209</v>
      </c>
      <c r="C12" s="109">
        <f>YEAR(GC[[#This Row],[Date]])+IF(MONTH(GC[[#This Row],[Date]])&gt;=4,1,0)</f>
        <v>2024</v>
      </c>
      <c r="D12" s="110">
        <f>YEAR(GC[[#This Row],[Date]])</f>
        <v>2023</v>
      </c>
      <c r="E12" s="101" t="s">
        <v>73</v>
      </c>
      <c r="F12" s="101" t="s">
        <v>73</v>
      </c>
      <c r="G12" s="102" t="str">
        <f>TEXT(GC[[#This Row],[Date]],"mmm-yy")</f>
        <v>Oct-23</v>
      </c>
      <c r="H12" s="102">
        <f>DAY(EOMONTH(GC[[#This Row],[Month Year]],0))</f>
        <v>31</v>
      </c>
      <c r="I12" s="106"/>
      <c r="J12" s="106"/>
      <c r="K12" s="106"/>
      <c r="L12" s="106"/>
      <c r="M12" s="106"/>
      <c r="N12" s="106"/>
      <c r="O12" s="106"/>
      <c r="P12" s="106"/>
      <c r="Q12" s="106"/>
      <c r="R12" s="106"/>
      <c r="S12" s="1">
        <f>SUM(GC[[#This Row],[Blk1]:[Blk8]])</f>
        <v>0</v>
      </c>
      <c r="T12" s="106" t="str">
        <f>PROPER(GC[[#This Row],[Resources]])</f>
        <v/>
      </c>
      <c r="U12" s="106"/>
    </row>
    <row r="13" spans="1:21" x14ac:dyDescent="0.25">
      <c r="A13" s="106">
        <v>11</v>
      </c>
      <c r="B13" s="103">
        <f t="shared" si="0"/>
        <v>45210</v>
      </c>
      <c r="C13" s="109">
        <f>YEAR(GC[[#This Row],[Date]])+IF(MONTH(GC[[#This Row],[Date]])&gt;=4,1,0)</f>
        <v>2024</v>
      </c>
      <c r="D13" s="110">
        <f>YEAR(GC[[#This Row],[Date]])</f>
        <v>2023</v>
      </c>
      <c r="E13" s="101" t="s">
        <v>73</v>
      </c>
      <c r="F13" s="101" t="s">
        <v>73</v>
      </c>
      <c r="G13" s="102" t="str">
        <f>TEXT(GC[[#This Row],[Date]],"mmm-yy")</f>
        <v>Oct-23</v>
      </c>
      <c r="H13" s="102">
        <f>DAY(EOMONTH(GC[[#This Row],[Month Year]],0))</f>
        <v>31</v>
      </c>
      <c r="I13" s="106"/>
      <c r="J13" s="106"/>
      <c r="K13" s="106"/>
      <c r="L13" s="106"/>
      <c r="M13" s="106"/>
      <c r="N13" s="106"/>
      <c r="O13" s="106"/>
      <c r="P13" s="106"/>
      <c r="Q13" s="106"/>
      <c r="R13" s="106"/>
      <c r="S13" s="1">
        <f>SUM(GC[[#This Row],[Blk1]:[Blk8]])</f>
        <v>0</v>
      </c>
      <c r="T13" s="106" t="str">
        <f>PROPER(GC[[#This Row],[Resources]])</f>
        <v/>
      </c>
      <c r="U13" s="106"/>
    </row>
    <row r="14" spans="1:21" x14ac:dyDescent="0.25">
      <c r="A14" s="106">
        <v>12</v>
      </c>
      <c r="B14" s="103">
        <f t="shared" si="0"/>
        <v>45211</v>
      </c>
      <c r="C14" s="109">
        <f>YEAR(GC[[#This Row],[Date]])+IF(MONTH(GC[[#This Row],[Date]])&gt;=4,1,0)</f>
        <v>2024</v>
      </c>
      <c r="D14" s="110">
        <f>YEAR(GC[[#This Row],[Date]])</f>
        <v>2023</v>
      </c>
      <c r="E14" s="101" t="s">
        <v>73</v>
      </c>
      <c r="F14" s="101" t="s">
        <v>73</v>
      </c>
      <c r="G14" s="102" t="str">
        <f>TEXT(GC[[#This Row],[Date]],"mmm-yy")</f>
        <v>Oct-23</v>
      </c>
      <c r="H14" s="102">
        <f>DAY(EOMONTH(GC[[#This Row],[Month Year]],0))</f>
        <v>31</v>
      </c>
      <c r="I14" s="106"/>
      <c r="J14" s="106"/>
      <c r="K14" s="106"/>
      <c r="L14" s="106"/>
      <c r="M14" s="106"/>
      <c r="N14" s="106"/>
      <c r="O14" s="106"/>
      <c r="P14" s="106"/>
      <c r="Q14" s="106"/>
      <c r="R14" s="106"/>
      <c r="S14" s="1">
        <f>SUM(GC[[#This Row],[Blk1]:[Blk8]])</f>
        <v>0</v>
      </c>
      <c r="T14" s="106" t="str">
        <f>PROPER(GC[[#This Row],[Resources]])</f>
        <v/>
      </c>
      <c r="U14" s="106"/>
    </row>
    <row r="15" spans="1:21" x14ac:dyDescent="0.25">
      <c r="A15" s="106">
        <v>13</v>
      </c>
      <c r="B15" s="103">
        <f t="shared" si="0"/>
        <v>45212</v>
      </c>
      <c r="C15" s="109">
        <f>YEAR(GC[[#This Row],[Date]])+IF(MONTH(GC[[#This Row],[Date]])&gt;=4,1,0)</f>
        <v>2024</v>
      </c>
      <c r="D15" s="110">
        <f>YEAR(GC[[#This Row],[Date]])</f>
        <v>2023</v>
      </c>
      <c r="E15" s="101" t="s">
        <v>73</v>
      </c>
      <c r="F15" s="101" t="s">
        <v>73</v>
      </c>
      <c r="G15" s="102" t="str">
        <f>TEXT(GC[[#This Row],[Date]],"mmm-yy")</f>
        <v>Oct-23</v>
      </c>
      <c r="H15" s="102">
        <f>DAY(EOMONTH(GC[[#This Row],[Month Year]],0))</f>
        <v>31</v>
      </c>
      <c r="I15" s="106"/>
      <c r="J15" s="106"/>
      <c r="K15" s="106"/>
      <c r="L15" s="106"/>
      <c r="M15" s="106"/>
      <c r="N15" s="106"/>
      <c r="O15" s="106"/>
      <c r="P15" s="106"/>
      <c r="Q15" s="106"/>
      <c r="R15" s="106"/>
      <c r="S15" s="1">
        <f>SUM(GC[[#This Row],[Blk1]:[Blk8]])</f>
        <v>0</v>
      </c>
      <c r="T15" s="106" t="str">
        <f>PROPER(GC[[#This Row],[Resources]])</f>
        <v/>
      </c>
      <c r="U15" s="106"/>
    </row>
    <row r="16" spans="1:21" x14ac:dyDescent="0.25">
      <c r="A16" s="106">
        <v>14</v>
      </c>
      <c r="B16" s="103">
        <f t="shared" si="0"/>
        <v>45213</v>
      </c>
      <c r="C16" s="109">
        <f>YEAR(GC[[#This Row],[Date]])+IF(MONTH(GC[[#This Row],[Date]])&gt;=4,1,0)</f>
        <v>2024</v>
      </c>
      <c r="D16" s="110">
        <f>YEAR(GC[[#This Row],[Date]])</f>
        <v>2023</v>
      </c>
      <c r="E16" s="101" t="s">
        <v>73</v>
      </c>
      <c r="F16" s="101" t="s">
        <v>73</v>
      </c>
      <c r="G16" s="102" t="str">
        <f>TEXT(GC[[#This Row],[Date]],"mmm-yy")</f>
        <v>Oct-23</v>
      </c>
      <c r="H16" s="102">
        <f>DAY(EOMONTH(GC[[#This Row],[Month Year]],0))</f>
        <v>31</v>
      </c>
      <c r="I16" s="106"/>
      <c r="J16" s="106"/>
      <c r="K16" s="106"/>
      <c r="L16" s="106"/>
      <c r="M16" s="106"/>
      <c r="N16" s="106"/>
      <c r="O16" s="106"/>
      <c r="P16" s="106"/>
      <c r="Q16" s="106"/>
      <c r="R16" s="106"/>
      <c r="S16" s="1">
        <f>SUM(GC[[#This Row],[Blk1]:[Blk8]])</f>
        <v>0</v>
      </c>
      <c r="T16" s="106" t="str">
        <f>PROPER(GC[[#This Row],[Resources]])</f>
        <v/>
      </c>
      <c r="U16" s="106"/>
    </row>
    <row r="17" spans="1:21" x14ac:dyDescent="0.25">
      <c r="A17" s="106">
        <v>15</v>
      </c>
      <c r="B17" s="103">
        <f t="shared" si="0"/>
        <v>45214</v>
      </c>
      <c r="C17" s="109">
        <f>YEAR(GC[[#This Row],[Date]])+IF(MONTH(GC[[#This Row],[Date]])&gt;=4,1,0)</f>
        <v>2024</v>
      </c>
      <c r="D17" s="110">
        <f>YEAR(GC[[#This Row],[Date]])</f>
        <v>2023</v>
      </c>
      <c r="E17" s="101" t="s">
        <v>73</v>
      </c>
      <c r="F17" s="101" t="s">
        <v>73</v>
      </c>
      <c r="G17" s="102" t="str">
        <f>TEXT(GC[[#This Row],[Date]],"mmm-yy")</f>
        <v>Oct-23</v>
      </c>
      <c r="H17" s="102">
        <f>DAY(EOMONTH(GC[[#This Row],[Month Year]],0))</f>
        <v>31</v>
      </c>
      <c r="I17" s="106"/>
      <c r="J17" s="106"/>
      <c r="K17" s="106"/>
      <c r="L17" s="106"/>
      <c r="M17" s="106"/>
      <c r="N17" s="106"/>
      <c r="O17" s="106"/>
      <c r="P17" s="106"/>
      <c r="Q17" s="106"/>
      <c r="R17" s="106"/>
      <c r="S17" s="1">
        <f>SUM(GC[[#This Row],[Blk1]:[Blk8]])</f>
        <v>0</v>
      </c>
      <c r="T17" s="106" t="str">
        <f>PROPER(GC[[#This Row],[Resources]])</f>
        <v/>
      </c>
      <c r="U17" s="106"/>
    </row>
    <row r="18" spans="1:21" x14ac:dyDescent="0.25">
      <c r="A18" s="106">
        <v>16</v>
      </c>
      <c r="B18" s="103">
        <f t="shared" si="0"/>
        <v>45215</v>
      </c>
      <c r="C18" s="109">
        <f>YEAR(GC[[#This Row],[Date]])+IF(MONTH(GC[[#This Row],[Date]])&gt;=4,1,0)</f>
        <v>2024</v>
      </c>
      <c r="D18" s="110">
        <f>YEAR(GC[[#This Row],[Date]])</f>
        <v>2023</v>
      </c>
      <c r="E18" s="101" t="s">
        <v>73</v>
      </c>
      <c r="F18" s="101" t="s">
        <v>73</v>
      </c>
      <c r="G18" s="102" t="str">
        <f>TEXT(GC[[#This Row],[Date]],"mmm-yy")</f>
        <v>Oct-23</v>
      </c>
      <c r="H18" s="102">
        <f>DAY(EOMONTH(GC[[#This Row],[Month Year]],0))</f>
        <v>31</v>
      </c>
      <c r="I18" s="106"/>
      <c r="J18" s="106"/>
      <c r="K18" s="106"/>
      <c r="L18" s="106"/>
      <c r="M18" s="106"/>
      <c r="N18" s="106"/>
      <c r="O18" s="106"/>
      <c r="P18" s="106"/>
      <c r="Q18" s="106"/>
      <c r="R18" s="106"/>
      <c r="S18" s="1">
        <f>SUM(GC[[#This Row],[Blk1]:[Blk8]])</f>
        <v>0</v>
      </c>
      <c r="T18" s="106" t="str">
        <f>PROPER(GC[[#This Row],[Resources]])</f>
        <v/>
      </c>
      <c r="U18" s="106"/>
    </row>
    <row r="19" spans="1:21" x14ac:dyDescent="0.25">
      <c r="A19" s="106">
        <v>17</v>
      </c>
      <c r="B19" s="103">
        <f t="shared" si="0"/>
        <v>45216</v>
      </c>
      <c r="C19" s="109">
        <f>YEAR(GC[[#This Row],[Date]])+IF(MONTH(GC[[#This Row],[Date]])&gt;=4,1,0)</f>
        <v>2024</v>
      </c>
      <c r="D19" s="110">
        <f>YEAR(GC[[#This Row],[Date]])</f>
        <v>2023</v>
      </c>
      <c r="E19" s="101" t="s">
        <v>73</v>
      </c>
      <c r="F19" s="101" t="s">
        <v>73</v>
      </c>
      <c r="G19" s="102" t="str">
        <f>TEXT(GC[[#This Row],[Date]],"mmm-yy")</f>
        <v>Oct-23</v>
      </c>
      <c r="H19" s="102">
        <f>DAY(EOMONTH(GC[[#This Row],[Month Year]],0))</f>
        <v>31</v>
      </c>
      <c r="I19" s="106"/>
      <c r="J19" s="106"/>
      <c r="K19" s="106"/>
      <c r="L19" s="106"/>
      <c r="M19" s="106"/>
      <c r="N19" s="106"/>
      <c r="O19" s="106"/>
      <c r="P19" s="106"/>
      <c r="Q19" s="106"/>
      <c r="R19" s="106"/>
      <c r="S19" s="1">
        <f>SUM(GC[[#This Row],[Blk1]:[Blk8]])</f>
        <v>0</v>
      </c>
      <c r="T19" s="106" t="str">
        <f>PROPER(GC[[#This Row],[Resources]])</f>
        <v/>
      </c>
      <c r="U19" s="106"/>
    </row>
    <row r="20" spans="1:21" x14ac:dyDescent="0.25">
      <c r="A20" s="106">
        <v>18</v>
      </c>
      <c r="B20" s="103">
        <f t="shared" si="0"/>
        <v>45217</v>
      </c>
      <c r="C20" s="109">
        <f>YEAR(GC[[#This Row],[Date]])+IF(MONTH(GC[[#This Row],[Date]])&gt;=4,1,0)</f>
        <v>2024</v>
      </c>
      <c r="D20" s="110">
        <f>YEAR(GC[[#This Row],[Date]])</f>
        <v>2023</v>
      </c>
      <c r="E20" s="101" t="s">
        <v>73</v>
      </c>
      <c r="F20" s="101" t="s">
        <v>73</v>
      </c>
      <c r="G20" s="102" t="str">
        <f>TEXT(GC[[#This Row],[Date]],"mmm-yy")</f>
        <v>Oct-23</v>
      </c>
      <c r="H20" s="102">
        <f>DAY(EOMONTH(GC[[#This Row],[Month Year]],0))</f>
        <v>31</v>
      </c>
      <c r="I20" s="106"/>
      <c r="J20" s="106"/>
      <c r="K20" s="106"/>
      <c r="L20" s="106"/>
      <c r="M20" s="106"/>
      <c r="N20" s="106"/>
      <c r="O20" s="106"/>
      <c r="P20" s="106"/>
      <c r="Q20" s="106"/>
      <c r="R20" s="106"/>
      <c r="S20" s="1">
        <f>SUM(GC[[#This Row],[Blk1]:[Blk8]])</f>
        <v>0</v>
      </c>
      <c r="T20" s="106" t="str">
        <f>PROPER(GC[[#This Row],[Resources]])</f>
        <v/>
      </c>
      <c r="U20" s="106"/>
    </row>
    <row r="21" spans="1:21" x14ac:dyDescent="0.25">
      <c r="A21" s="106">
        <v>19</v>
      </c>
      <c r="B21" s="103">
        <f t="shared" si="0"/>
        <v>45218</v>
      </c>
      <c r="C21" s="109">
        <f>YEAR(GC[[#This Row],[Date]])+IF(MONTH(GC[[#This Row],[Date]])&gt;=4,1,0)</f>
        <v>2024</v>
      </c>
      <c r="D21" s="110">
        <f>YEAR(GC[[#This Row],[Date]])</f>
        <v>2023</v>
      </c>
      <c r="E21" s="101" t="s">
        <v>73</v>
      </c>
      <c r="F21" s="101" t="s">
        <v>73</v>
      </c>
      <c r="G21" s="102" t="str">
        <f>TEXT(GC[[#This Row],[Date]],"mmm-yy")</f>
        <v>Oct-23</v>
      </c>
      <c r="H21" s="102">
        <f>DAY(EOMONTH(GC[[#This Row],[Month Year]],0))</f>
        <v>31</v>
      </c>
      <c r="I21" s="106"/>
      <c r="J21" s="106"/>
      <c r="K21" s="106"/>
      <c r="L21" s="106"/>
      <c r="M21" s="106"/>
      <c r="N21" s="106"/>
      <c r="O21" s="106"/>
      <c r="P21" s="106"/>
      <c r="Q21" s="106"/>
      <c r="R21" s="106"/>
      <c r="S21" s="1">
        <f>SUM(GC[[#This Row],[Blk1]:[Blk8]])</f>
        <v>0</v>
      </c>
      <c r="T21" s="106" t="str">
        <f>PROPER(GC[[#This Row],[Resources]])</f>
        <v/>
      </c>
      <c r="U21" s="106"/>
    </row>
    <row r="22" spans="1:21" x14ac:dyDescent="0.25">
      <c r="A22" s="106">
        <v>20</v>
      </c>
      <c r="B22" s="103">
        <f t="shared" si="0"/>
        <v>45219</v>
      </c>
      <c r="C22" s="109">
        <f>YEAR(GC[[#This Row],[Date]])+IF(MONTH(GC[[#This Row],[Date]])&gt;=4,1,0)</f>
        <v>2024</v>
      </c>
      <c r="D22" s="110">
        <f>YEAR(GC[[#This Row],[Date]])</f>
        <v>2023</v>
      </c>
      <c r="E22" s="101" t="s">
        <v>73</v>
      </c>
      <c r="F22" s="101" t="s">
        <v>73</v>
      </c>
      <c r="G22" s="102" t="str">
        <f>TEXT(GC[[#This Row],[Date]],"mmm-yy")</f>
        <v>Oct-23</v>
      </c>
      <c r="H22" s="102">
        <f>DAY(EOMONTH(GC[[#This Row],[Month Year]],0))</f>
        <v>31</v>
      </c>
      <c r="I22" s="106"/>
      <c r="J22" s="106"/>
      <c r="K22" s="106"/>
      <c r="L22" s="106"/>
      <c r="M22" s="106"/>
      <c r="N22" s="106"/>
      <c r="O22" s="106"/>
      <c r="P22" s="106"/>
      <c r="Q22" s="106"/>
      <c r="R22" s="106"/>
      <c r="S22" s="1">
        <f>SUM(GC[[#This Row],[Blk1]:[Blk8]])</f>
        <v>0</v>
      </c>
      <c r="T22" s="106" t="str">
        <f>PROPER(GC[[#This Row],[Resources]])</f>
        <v/>
      </c>
      <c r="U22" s="106"/>
    </row>
    <row r="23" spans="1:21" x14ac:dyDescent="0.25">
      <c r="A23" s="106">
        <v>21</v>
      </c>
      <c r="B23" s="103">
        <f t="shared" si="0"/>
        <v>45220</v>
      </c>
      <c r="C23" s="109">
        <f>YEAR(GC[[#This Row],[Date]])+IF(MONTH(GC[[#This Row],[Date]])&gt;=4,1,0)</f>
        <v>2024</v>
      </c>
      <c r="D23" s="110">
        <f>YEAR(GC[[#This Row],[Date]])</f>
        <v>2023</v>
      </c>
      <c r="E23" s="101" t="s">
        <v>73</v>
      </c>
      <c r="F23" s="101" t="s">
        <v>73</v>
      </c>
      <c r="G23" s="102" t="str">
        <f>TEXT(GC[[#This Row],[Date]],"mmm-yy")</f>
        <v>Oct-23</v>
      </c>
      <c r="H23" s="102">
        <f>DAY(EOMONTH(GC[[#This Row],[Month Year]],0))</f>
        <v>31</v>
      </c>
      <c r="I23" s="106"/>
      <c r="J23" s="106"/>
      <c r="K23" s="106"/>
      <c r="L23" s="106"/>
      <c r="M23" s="106"/>
      <c r="N23" s="106"/>
      <c r="O23" s="106"/>
      <c r="P23" s="106"/>
      <c r="Q23" s="106"/>
      <c r="R23" s="106"/>
      <c r="S23" s="1">
        <f>SUM(GC[[#This Row],[Blk1]:[Blk8]])</f>
        <v>0</v>
      </c>
      <c r="T23" s="106" t="str">
        <f>PROPER(GC[[#This Row],[Resources]])</f>
        <v/>
      </c>
      <c r="U23" s="106"/>
    </row>
    <row r="24" spans="1:21" x14ac:dyDescent="0.25">
      <c r="A24" s="106">
        <v>22</v>
      </c>
      <c r="B24" s="103">
        <f t="shared" si="0"/>
        <v>45221</v>
      </c>
      <c r="C24" s="109">
        <f>YEAR(GC[[#This Row],[Date]])+IF(MONTH(GC[[#This Row],[Date]])&gt;=4,1,0)</f>
        <v>2024</v>
      </c>
      <c r="D24" s="110">
        <f>YEAR(GC[[#This Row],[Date]])</f>
        <v>2023</v>
      </c>
      <c r="E24" s="101" t="s">
        <v>73</v>
      </c>
      <c r="F24" s="101" t="s">
        <v>73</v>
      </c>
      <c r="G24" s="102" t="str">
        <f>TEXT(GC[[#This Row],[Date]],"mmm-yy")</f>
        <v>Oct-23</v>
      </c>
      <c r="H24" s="102">
        <f>DAY(EOMONTH(GC[[#This Row],[Month Year]],0))</f>
        <v>31</v>
      </c>
      <c r="I24" s="106"/>
      <c r="J24" s="106"/>
      <c r="K24" s="106"/>
      <c r="L24" s="106"/>
      <c r="M24" s="106"/>
      <c r="N24" s="106"/>
      <c r="O24" s="106"/>
      <c r="P24" s="106"/>
      <c r="Q24" s="106"/>
      <c r="R24" s="106"/>
      <c r="S24" s="1">
        <f>SUM(GC[[#This Row],[Blk1]:[Blk8]])</f>
        <v>0</v>
      </c>
      <c r="T24" s="106" t="str">
        <f>PROPER(GC[[#This Row],[Resources]])</f>
        <v/>
      </c>
      <c r="U24" s="106"/>
    </row>
    <row r="25" spans="1:21" x14ac:dyDescent="0.25">
      <c r="A25" s="106">
        <v>23</v>
      </c>
      <c r="B25" s="103">
        <f t="shared" si="0"/>
        <v>45222</v>
      </c>
      <c r="C25" s="109">
        <f>YEAR(GC[[#This Row],[Date]])+IF(MONTH(GC[[#This Row],[Date]])&gt;=4,1,0)</f>
        <v>2024</v>
      </c>
      <c r="D25" s="110">
        <f>YEAR(GC[[#This Row],[Date]])</f>
        <v>2023</v>
      </c>
      <c r="E25" s="101" t="s">
        <v>73</v>
      </c>
      <c r="F25" s="101" t="s">
        <v>73</v>
      </c>
      <c r="G25" s="102" t="str">
        <f>TEXT(GC[[#This Row],[Date]],"mmm-yy")</f>
        <v>Oct-23</v>
      </c>
      <c r="H25" s="102">
        <f>DAY(EOMONTH(GC[[#This Row],[Month Year]],0))</f>
        <v>31</v>
      </c>
      <c r="I25" s="106"/>
      <c r="J25" s="106"/>
      <c r="K25" s="106"/>
      <c r="L25" s="106"/>
      <c r="M25" s="106"/>
      <c r="N25" s="106"/>
      <c r="O25" s="106"/>
      <c r="P25" s="106"/>
      <c r="Q25" s="106"/>
      <c r="R25" s="106"/>
      <c r="S25" s="1">
        <f>SUM(GC[[#This Row],[Blk1]:[Blk8]])</f>
        <v>0</v>
      </c>
      <c r="T25" s="106" t="str">
        <f>PROPER(GC[[#This Row],[Resources]])</f>
        <v/>
      </c>
      <c r="U25" s="106"/>
    </row>
    <row r="26" spans="1:21" x14ac:dyDescent="0.25">
      <c r="A26" s="106">
        <v>24</v>
      </c>
      <c r="B26" s="103">
        <f t="shared" si="0"/>
        <v>45223</v>
      </c>
      <c r="C26" s="109">
        <f>YEAR(GC[[#This Row],[Date]])+IF(MONTH(GC[[#This Row],[Date]])&gt;=4,1,0)</f>
        <v>2024</v>
      </c>
      <c r="D26" s="110">
        <f>YEAR(GC[[#This Row],[Date]])</f>
        <v>2023</v>
      </c>
      <c r="E26" s="101" t="s">
        <v>73</v>
      </c>
      <c r="F26" s="101" t="s">
        <v>73</v>
      </c>
      <c r="G26" s="102" t="str">
        <f>TEXT(GC[[#This Row],[Date]],"mmm-yy")</f>
        <v>Oct-23</v>
      </c>
      <c r="H26" s="102">
        <f>DAY(EOMONTH(GC[[#This Row],[Month Year]],0))</f>
        <v>31</v>
      </c>
      <c r="I26" s="106"/>
      <c r="J26" s="106"/>
      <c r="K26" s="106"/>
      <c r="L26" s="106"/>
      <c r="M26" s="106"/>
      <c r="N26" s="106"/>
      <c r="O26" s="106"/>
      <c r="P26" s="106"/>
      <c r="Q26" s="106"/>
      <c r="R26" s="106"/>
      <c r="S26" s="1">
        <f>SUM(GC[[#This Row],[Blk1]:[Blk8]])</f>
        <v>0</v>
      </c>
      <c r="T26" s="106" t="str">
        <f>PROPER(GC[[#This Row],[Resources]])</f>
        <v/>
      </c>
      <c r="U26" s="106"/>
    </row>
    <row r="27" spans="1:21" x14ac:dyDescent="0.25">
      <c r="A27" s="106">
        <v>25</v>
      </c>
      <c r="B27" s="103">
        <f t="shared" si="0"/>
        <v>45224</v>
      </c>
      <c r="C27" s="109">
        <f>YEAR(GC[[#This Row],[Date]])+IF(MONTH(GC[[#This Row],[Date]])&gt;=4,1,0)</f>
        <v>2024</v>
      </c>
      <c r="D27" s="110">
        <f>YEAR(GC[[#This Row],[Date]])</f>
        <v>2023</v>
      </c>
      <c r="E27" s="101" t="s">
        <v>73</v>
      </c>
      <c r="F27" s="101" t="s">
        <v>73</v>
      </c>
      <c r="G27" s="102" t="str">
        <f>TEXT(GC[[#This Row],[Date]],"mmm-yy")</f>
        <v>Oct-23</v>
      </c>
      <c r="H27" s="102">
        <f>DAY(EOMONTH(GC[[#This Row],[Month Year]],0))</f>
        <v>31</v>
      </c>
      <c r="I27" s="106"/>
      <c r="J27" s="106"/>
      <c r="K27" s="106"/>
      <c r="L27" s="106"/>
      <c r="M27" s="106"/>
      <c r="N27" s="106"/>
      <c r="O27" s="106"/>
      <c r="P27" s="106"/>
      <c r="Q27" s="106"/>
      <c r="R27" s="106"/>
      <c r="S27" s="1">
        <f>SUM(GC[[#This Row],[Blk1]:[Blk8]])</f>
        <v>0</v>
      </c>
      <c r="T27" s="106" t="str">
        <f>PROPER(GC[[#This Row],[Resources]])</f>
        <v/>
      </c>
      <c r="U27" s="106"/>
    </row>
    <row r="28" spans="1:21" x14ac:dyDescent="0.25">
      <c r="A28" s="106">
        <v>26</v>
      </c>
      <c r="B28" s="103">
        <f t="shared" si="0"/>
        <v>45225</v>
      </c>
      <c r="C28" s="109">
        <f>YEAR(GC[[#This Row],[Date]])+IF(MONTH(GC[[#This Row],[Date]])&gt;=4,1,0)</f>
        <v>2024</v>
      </c>
      <c r="D28" s="110">
        <f>YEAR(GC[[#This Row],[Date]])</f>
        <v>2023</v>
      </c>
      <c r="E28" s="101" t="s">
        <v>73</v>
      </c>
      <c r="F28" s="101" t="s">
        <v>73</v>
      </c>
      <c r="G28" s="102" t="str">
        <f>TEXT(GC[[#This Row],[Date]],"mmm-yy")</f>
        <v>Oct-23</v>
      </c>
      <c r="H28" s="102">
        <f>DAY(EOMONTH(GC[[#This Row],[Month Year]],0))</f>
        <v>31</v>
      </c>
      <c r="I28" s="106"/>
      <c r="J28" s="106"/>
      <c r="K28" s="106"/>
      <c r="L28" s="106"/>
      <c r="M28" s="106"/>
      <c r="N28" s="106"/>
      <c r="O28" s="106"/>
      <c r="P28" s="106"/>
      <c r="Q28" s="106"/>
      <c r="R28" s="106"/>
      <c r="S28" s="1">
        <f>SUM(GC[[#This Row],[Blk1]:[Blk8]])</f>
        <v>0</v>
      </c>
      <c r="T28" s="106" t="str">
        <f>PROPER(GC[[#This Row],[Resources]])</f>
        <v/>
      </c>
      <c r="U28" s="106"/>
    </row>
    <row r="29" spans="1:21" x14ac:dyDescent="0.25">
      <c r="A29" s="106">
        <v>27</v>
      </c>
      <c r="B29" s="103">
        <f t="shared" si="0"/>
        <v>45226</v>
      </c>
      <c r="C29" s="109">
        <f>YEAR(GC[[#This Row],[Date]])+IF(MONTH(GC[[#This Row],[Date]])&gt;=4,1,0)</f>
        <v>2024</v>
      </c>
      <c r="D29" s="110">
        <f>YEAR(GC[[#This Row],[Date]])</f>
        <v>2023</v>
      </c>
      <c r="E29" s="101" t="s">
        <v>73</v>
      </c>
      <c r="F29" s="101" t="s">
        <v>73</v>
      </c>
      <c r="G29" s="102" t="str">
        <f>TEXT(GC[[#This Row],[Date]],"mmm-yy")</f>
        <v>Oct-23</v>
      </c>
      <c r="H29" s="102">
        <f>DAY(EOMONTH(GC[[#This Row],[Month Year]],0))</f>
        <v>31</v>
      </c>
      <c r="I29" s="106"/>
      <c r="J29" s="106"/>
      <c r="K29" s="106"/>
      <c r="L29" s="106"/>
      <c r="M29" s="106"/>
      <c r="N29" s="106"/>
      <c r="O29" s="106"/>
      <c r="P29" s="106"/>
      <c r="Q29" s="106"/>
      <c r="R29" s="106"/>
      <c r="S29" s="1">
        <f>SUM(GC[[#This Row],[Blk1]:[Blk8]])</f>
        <v>0</v>
      </c>
      <c r="T29" s="106" t="str">
        <f>PROPER(GC[[#This Row],[Resources]])</f>
        <v/>
      </c>
      <c r="U29" s="106"/>
    </row>
    <row r="30" spans="1:21" x14ac:dyDescent="0.25">
      <c r="A30" s="106">
        <v>28</v>
      </c>
      <c r="B30" s="103">
        <f t="shared" si="0"/>
        <v>45227</v>
      </c>
      <c r="C30" s="109">
        <f>YEAR(GC[[#This Row],[Date]])+IF(MONTH(GC[[#This Row],[Date]])&gt;=4,1,0)</f>
        <v>2024</v>
      </c>
      <c r="D30" s="110">
        <f>YEAR(GC[[#This Row],[Date]])</f>
        <v>2023</v>
      </c>
      <c r="E30" s="101" t="s">
        <v>73</v>
      </c>
      <c r="F30" s="101" t="s">
        <v>73</v>
      </c>
      <c r="G30" s="102" t="str">
        <f>TEXT(GC[[#This Row],[Date]],"mmm-yy")</f>
        <v>Oct-23</v>
      </c>
      <c r="H30" s="102">
        <f>DAY(EOMONTH(GC[[#This Row],[Month Year]],0))</f>
        <v>31</v>
      </c>
      <c r="I30" s="106"/>
      <c r="J30" s="106"/>
      <c r="K30" s="106"/>
      <c r="L30" s="106"/>
      <c r="M30" s="106"/>
      <c r="N30" s="106"/>
      <c r="O30" s="106"/>
      <c r="P30" s="106"/>
      <c r="Q30" s="106"/>
      <c r="R30" s="106"/>
      <c r="S30" s="1">
        <f>SUM(GC[[#This Row],[Blk1]:[Blk8]])</f>
        <v>0</v>
      </c>
      <c r="T30" s="106" t="str">
        <f>PROPER(GC[[#This Row],[Resources]])</f>
        <v/>
      </c>
      <c r="U30" s="106"/>
    </row>
    <row r="31" spans="1:21" x14ac:dyDescent="0.25">
      <c r="A31" s="106">
        <v>29</v>
      </c>
      <c r="B31" s="103">
        <f t="shared" si="0"/>
        <v>45228</v>
      </c>
      <c r="C31" s="109">
        <f>YEAR(GC[[#This Row],[Date]])+IF(MONTH(GC[[#This Row],[Date]])&gt;=4,1,0)</f>
        <v>2024</v>
      </c>
      <c r="D31" s="110">
        <f>YEAR(GC[[#This Row],[Date]])</f>
        <v>2023</v>
      </c>
      <c r="E31" s="101" t="s">
        <v>73</v>
      </c>
      <c r="F31" s="101" t="s">
        <v>73</v>
      </c>
      <c r="G31" s="102" t="str">
        <f>TEXT(GC[[#This Row],[Date]],"mmm-yy")</f>
        <v>Oct-23</v>
      </c>
      <c r="H31" s="102">
        <f>DAY(EOMONTH(GC[[#This Row],[Month Year]],0))</f>
        <v>31</v>
      </c>
      <c r="I31" s="106"/>
      <c r="J31" s="106"/>
      <c r="K31" s="106"/>
      <c r="L31" s="106"/>
      <c r="M31" s="106"/>
      <c r="N31" s="106"/>
      <c r="O31" s="106"/>
      <c r="P31" s="106"/>
      <c r="Q31" s="106"/>
      <c r="R31" s="106"/>
      <c r="S31" s="1">
        <f>SUM(GC[[#This Row],[Blk1]:[Blk8]])</f>
        <v>0</v>
      </c>
      <c r="T31" s="106" t="str">
        <f>PROPER(GC[[#This Row],[Resources]])</f>
        <v/>
      </c>
      <c r="U31" s="106"/>
    </row>
    <row r="32" spans="1:21" x14ac:dyDescent="0.25">
      <c r="A32" s="106">
        <v>30</v>
      </c>
      <c r="B32" s="103">
        <f t="shared" si="0"/>
        <v>45229</v>
      </c>
      <c r="C32" s="109">
        <f>YEAR(GC[[#This Row],[Date]])+IF(MONTH(GC[[#This Row],[Date]])&gt;=4,1,0)</f>
        <v>2024</v>
      </c>
      <c r="D32" s="110">
        <f>YEAR(GC[[#This Row],[Date]])</f>
        <v>2023</v>
      </c>
      <c r="E32" s="101" t="s">
        <v>73</v>
      </c>
      <c r="F32" s="101" t="s">
        <v>73</v>
      </c>
      <c r="G32" s="102" t="str">
        <f>TEXT(GC[[#This Row],[Date]],"mmm-yy")</f>
        <v>Oct-23</v>
      </c>
      <c r="H32" s="102">
        <f>DAY(EOMONTH(GC[[#This Row],[Month Year]],0))</f>
        <v>31</v>
      </c>
      <c r="I32" s="106"/>
      <c r="J32" s="106"/>
      <c r="K32" s="106"/>
      <c r="L32" s="106"/>
      <c r="M32" s="106"/>
      <c r="N32" s="106"/>
      <c r="O32" s="106"/>
      <c r="P32" s="106"/>
      <c r="Q32" s="106"/>
      <c r="R32" s="106"/>
      <c r="S32" s="1">
        <f>SUM(GC[[#This Row],[Blk1]:[Blk8]])</f>
        <v>0</v>
      </c>
      <c r="T32" s="106" t="str">
        <f>PROPER(GC[[#This Row],[Resources]])</f>
        <v/>
      </c>
      <c r="U32" s="106"/>
    </row>
    <row r="33" spans="1:21" x14ac:dyDescent="0.25">
      <c r="A33" s="106">
        <v>31</v>
      </c>
      <c r="B33" s="103">
        <f t="shared" si="0"/>
        <v>45230</v>
      </c>
      <c r="C33" s="109">
        <f>YEAR(GC[[#This Row],[Date]])+IF(MONTH(GC[[#This Row],[Date]])&gt;=4,1,0)</f>
        <v>2024</v>
      </c>
      <c r="D33" s="110">
        <f>YEAR(GC[[#This Row],[Date]])</f>
        <v>2023</v>
      </c>
      <c r="E33" s="101" t="s">
        <v>73</v>
      </c>
      <c r="F33" s="101" t="s">
        <v>73</v>
      </c>
      <c r="G33" s="102" t="str">
        <f>TEXT(GC[[#This Row],[Date]],"mmm-yy")</f>
        <v>Oct-23</v>
      </c>
      <c r="H33" s="102">
        <f>DAY(EOMONTH(GC[[#This Row],[Month Year]],0))</f>
        <v>31</v>
      </c>
      <c r="I33" s="106"/>
      <c r="J33" s="106"/>
      <c r="K33" s="106"/>
      <c r="L33" s="106"/>
      <c r="M33" s="106"/>
      <c r="N33" s="106"/>
      <c r="O33" s="106"/>
      <c r="P33" s="106"/>
      <c r="Q33" s="106"/>
      <c r="R33" s="106"/>
      <c r="S33" s="1">
        <f>SUM(GC[[#This Row],[Blk1]:[Blk8]])</f>
        <v>0</v>
      </c>
      <c r="T33" s="106" t="str">
        <f>PROPER(GC[[#This Row],[Resources]])</f>
        <v/>
      </c>
      <c r="U33" s="106"/>
    </row>
    <row r="34" spans="1:21" x14ac:dyDescent="0.25">
      <c r="A34" s="106">
        <v>32</v>
      </c>
      <c r="B34" s="103">
        <f t="shared" si="0"/>
        <v>45231</v>
      </c>
      <c r="C34" s="109">
        <f>YEAR(GC[[#This Row],[Date]])+IF(MONTH(GC[[#This Row],[Date]])&gt;=4,1,0)</f>
        <v>2024</v>
      </c>
      <c r="D34" s="110">
        <f>YEAR(GC[[#This Row],[Date]])</f>
        <v>2023</v>
      </c>
      <c r="E34" s="101" t="s">
        <v>73</v>
      </c>
      <c r="F34" s="101" t="s">
        <v>73</v>
      </c>
      <c r="G34" s="102" t="str">
        <f>TEXT(GC[[#This Row],[Date]],"mmm-yy")</f>
        <v>Nov-23</v>
      </c>
      <c r="H34" s="102">
        <f>DAY(EOMONTH(GC[[#This Row],[Month Year]],0))</f>
        <v>30</v>
      </c>
      <c r="I34" s="106"/>
      <c r="J34" s="106"/>
      <c r="K34" s="106"/>
      <c r="L34" s="106"/>
      <c r="M34" s="106"/>
      <c r="N34" s="106"/>
      <c r="O34" s="106"/>
      <c r="P34" s="106"/>
      <c r="Q34" s="106"/>
      <c r="R34" s="106"/>
      <c r="S34" s="1">
        <f>SUM(GC[[#This Row],[Blk1]:[Blk8]])</f>
        <v>0</v>
      </c>
      <c r="T34" s="106" t="str">
        <f>PROPER(GC[[#This Row],[Resources]])</f>
        <v/>
      </c>
      <c r="U34" s="106"/>
    </row>
    <row r="35" spans="1:21" x14ac:dyDescent="0.25">
      <c r="A35" s="106">
        <v>33</v>
      </c>
      <c r="B35" s="103">
        <f t="shared" si="0"/>
        <v>45232</v>
      </c>
      <c r="C35" s="109">
        <f>YEAR(GC[[#This Row],[Date]])+IF(MONTH(GC[[#This Row],[Date]])&gt;=4,1,0)</f>
        <v>2024</v>
      </c>
      <c r="D35" s="110">
        <f>YEAR(GC[[#This Row],[Date]])</f>
        <v>2023</v>
      </c>
      <c r="E35" s="101" t="s">
        <v>73</v>
      </c>
      <c r="F35" s="101" t="s">
        <v>73</v>
      </c>
      <c r="G35" s="102" t="str">
        <f>TEXT(GC[[#This Row],[Date]],"mmm-yy")</f>
        <v>Nov-23</v>
      </c>
      <c r="H35" s="102">
        <f>DAY(EOMONTH(GC[[#This Row],[Month Year]],0))</f>
        <v>30</v>
      </c>
      <c r="I35" s="106"/>
      <c r="J35" s="106"/>
      <c r="K35" s="106"/>
      <c r="L35" s="106"/>
      <c r="M35" s="106"/>
      <c r="N35" s="106"/>
      <c r="O35" s="106"/>
      <c r="P35" s="106"/>
      <c r="Q35" s="106"/>
      <c r="R35" s="106"/>
      <c r="S35" s="1">
        <f>SUM(GC[[#This Row],[Blk1]:[Blk8]])</f>
        <v>0</v>
      </c>
      <c r="T35" s="106" t="str">
        <f>PROPER(GC[[#This Row],[Resources]])</f>
        <v/>
      </c>
      <c r="U35" s="106"/>
    </row>
    <row r="36" spans="1:21" x14ac:dyDescent="0.25">
      <c r="A36" s="106">
        <v>34</v>
      </c>
      <c r="B36" s="103">
        <f t="shared" si="0"/>
        <v>45233</v>
      </c>
      <c r="C36" s="109">
        <f>YEAR(GC[[#This Row],[Date]])+IF(MONTH(GC[[#This Row],[Date]])&gt;=4,1,0)</f>
        <v>2024</v>
      </c>
      <c r="D36" s="110">
        <f>YEAR(GC[[#This Row],[Date]])</f>
        <v>2023</v>
      </c>
      <c r="E36" s="101" t="s">
        <v>73</v>
      </c>
      <c r="F36" s="101" t="s">
        <v>73</v>
      </c>
      <c r="G36" s="102" t="str">
        <f>TEXT(GC[[#This Row],[Date]],"mmm-yy")</f>
        <v>Nov-23</v>
      </c>
      <c r="H36" s="102">
        <f>DAY(EOMONTH(GC[[#This Row],[Month Year]],0))</f>
        <v>30</v>
      </c>
      <c r="I36" s="106"/>
      <c r="J36" s="106"/>
      <c r="K36" s="106"/>
      <c r="L36" s="106"/>
      <c r="M36" s="106"/>
      <c r="N36" s="106"/>
      <c r="O36" s="106"/>
      <c r="P36" s="106"/>
      <c r="Q36" s="106"/>
      <c r="R36" s="106"/>
      <c r="S36" s="1">
        <f>SUM(GC[[#This Row],[Blk1]:[Blk8]])</f>
        <v>0</v>
      </c>
      <c r="T36" s="106" t="str">
        <f>PROPER(GC[[#This Row],[Resources]])</f>
        <v/>
      </c>
      <c r="U36" s="106"/>
    </row>
    <row r="37" spans="1:21" x14ac:dyDescent="0.25">
      <c r="A37" s="106">
        <v>35</v>
      </c>
      <c r="B37" s="103">
        <f t="shared" si="0"/>
        <v>45234</v>
      </c>
      <c r="C37" s="109">
        <f>YEAR(GC[[#This Row],[Date]])+IF(MONTH(GC[[#This Row],[Date]])&gt;=4,1,0)</f>
        <v>2024</v>
      </c>
      <c r="D37" s="110">
        <f>YEAR(GC[[#This Row],[Date]])</f>
        <v>2023</v>
      </c>
      <c r="E37" s="101" t="s">
        <v>73</v>
      </c>
      <c r="F37" s="101" t="s">
        <v>73</v>
      </c>
      <c r="G37" s="102" t="str">
        <f>TEXT(GC[[#This Row],[Date]],"mmm-yy")</f>
        <v>Nov-23</v>
      </c>
      <c r="H37" s="102">
        <f>DAY(EOMONTH(GC[[#This Row],[Month Year]],0))</f>
        <v>30</v>
      </c>
      <c r="I37" s="106"/>
      <c r="J37" s="106"/>
      <c r="K37" s="106"/>
      <c r="L37" s="106"/>
      <c r="M37" s="106"/>
      <c r="N37" s="106"/>
      <c r="O37" s="106"/>
      <c r="P37" s="106"/>
      <c r="Q37" s="106"/>
      <c r="R37" s="106"/>
      <c r="S37" s="1">
        <f>SUM(GC[[#This Row],[Blk1]:[Blk8]])</f>
        <v>0</v>
      </c>
      <c r="T37" s="106" t="str">
        <f>PROPER(GC[[#This Row],[Resources]])</f>
        <v/>
      </c>
      <c r="U37" s="106"/>
    </row>
    <row r="38" spans="1:21" x14ac:dyDescent="0.25">
      <c r="A38" s="106">
        <v>36</v>
      </c>
      <c r="B38" s="103">
        <f t="shared" si="0"/>
        <v>45235</v>
      </c>
      <c r="C38" s="109">
        <f>YEAR(GC[[#This Row],[Date]])+IF(MONTH(GC[[#This Row],[Date]])&gt;=4,1,0)</f>
        <v>2024</v>
      </c>
      <c r="D38" s="110">
        <f>YEAR(GC[[#This Row],[Date]])</f>
        <v>2023</v>
      </c>
      <c r="E38" s="101" t="s">
        <v>73</v>
      </c>
      <c r="F38" s="101" t="s">
        <v>73</v>
      </c>
      <c r="G38" s="102" t="str">
        <f>TEXT(GC[[#This Row],[Date]],"mmm-yy")</f>
        <v>Nov-23</v>
      </c>
      <c r="H38" s="102">
        <f>DAY(EOMONTH(GC[[#This Row],[Month Year]],0))</f>
        <v>30</v>
      </c>
      <c r="I38" s="106"/>
      <c r="J38" s="106"/>
      <c r="K38" s="106"/>
      <c r="L38" s="106"/>
      <c r="M38" s="106"/>
      <c r="N38" s="106"/>
      <c r="O38" s="106"/>
      <c r="P38" s="106"/>
      <c r="Q38" s="106"/>
      <c r="R38" s="106"/>
      <c r="S38" s="1">
        <f>SUM(GC[[#This Row],[Blk1]:[Blk8]])</f>
        <v>0</v>
      </c>
      <c r="T38" s="106" t="str">
        <f>PROPER(GC[[#This Row],[Resources]])</f>
        <v/>
      </c>
      <c r="U38" s="106"/>
    </row>
    <row r="39" spans="1:21" x14ac:dyDescent="0.25">
      <c r="A39" s="106">
        <v>37</v>
      </c>
      <c r="B39" s="103">
        <f t="shared" si="0"/>
        <v>45236</v>
      </c>
      <c r="C39" s="109">
        <f>YEAR(GC[[#This Row],[Date]])+IF(MONTH(GC[[#This Row],[Date]])&gt;=4,1,0)</f>
        <v>2024</v>
      </c>
      <c r="D39" s="110">
        <f>YEAR(GC[[#This Row],[Date]])</f>
        <v>2023</v>
      </c>
      <c r="E39" s="101" t="s">
        <v>73</v>
      </c>
      <c r="F39" s="101" t="s">
        <v>73</v>
      </c>
      <c r="G39" s="102" t="str">
        <f>TEXT(GC[[#This Row],[Date]],"mmm-yy")</f>
        <v>Nov-23</v>
      </c>
      <c r="H39" s="102">
        <f>DAY(EOMONTH(GC[[#This Row],[Month Year]],0))</f>
        <v>30</v>
      </c>
      <c r="I39" s="106"/>
      <c r="J39" s="106"/>
      <c r="K39" s="106"/>
      <c r="L39" s="106"/>
      <c r="M39" s="106"/>
      <c r="N39" s="106"/>
      <c r="O39" s="106"/>
      <c r="P39" s="106"/>
      <c r="Q39" s="106"/>
      <c r="R39" s="106"/>
      <c r="S39" s="1">
        <f>SUM(GC[[#This Row],[Blk1]:[Blk8]])</f>
        <v>0</v>
      </c>
      <c r="T39" s="106" t="str">
        <f>PROPER(GC[[#This Row],[Resources]])</f>
        <v/>
      </c>
      <c r="U39" s="106"/>
    </row>
    <row r="40" spans="1:21" x14ac:dyDescent="0.25">
      <c r="A40" s="106">
        <v>38</v>
      </c>
      <c r="B40" s="103">
        <f t="shared" si="0"/>
        <v>45237</v>
      </c>
      <c r="C40" s="109">
        <f>YEAR(GC[[#This Row],[Date]])+IF(MONTH(GC[[#This Row],[Date]])&gt;=4,1,0)</f>
        <v>2024</v>
      </c>
      <c r="D40" s="110">
        <f>YEAR(GC[[#This Row],[Date]])</f>
        <v>2023</v>
      </c>
      <c r="E40" s="101" t="s">
        <v>73</v>
      </c>
      <c r="F40" s="101" t="s">
        <v>73</v>
      </c>
      <c r="G40" s="102" t="str">
        <f>TEXT(GC[[#This Row],[Date]],"mmm-yy")</f>
        <v>Nov-23</v>
      </c>
      <c r="H40" s="102">
        <f>DAY(EOMONTH(GC[[#This Row],[Month Year]],0))</f>
        <v>30</v>
      </c>
      <c r="I40" s="106"/>
      <c r="J40" s="106"/>
      <c r="K40" s="106"/>
      <c r="L40" s="106"/>
      <c r="M40" s="106"/>
      <c r="N40" s="106"/>
      <c r="O40" s="106"/>
      <c r="P40" s="106"/>
      <c r="Q40" s="106"/>
      <c r="R40" s="106"/>
      <c r="S40" s="1">
        <f>SUM(GC[[#This Row],[Blk1]:[Blk8]])</f>
        <v>0</v>
      </c>
      <c r="T40" s="106" t="str">
        <f>PROPER(GC[[#This Row],[Resources]])</f>
        <v/>
      </c>
      <c r="U40" s="106"/>
    </row>
    <row r="41" spans="1:21" x14ac:dyDescent="0.25">
      <c r="A41" s="106">
        <v>39</v>
      </c>
      <c r="B41" s="103">
        <f t="shared" si="0"/>
        <v>45238</v>
      </c>
      <c r="C41" s="109">
        <f>YEAR(GC[[#This Row],[Date]])+IF(MONTH(GC[[#This Row],[Date]])&gt;=4,1,0)</f>
        <v>2024</v>
      </c>
      <c r="D41" s="110">
        <f>YEAR(GC[[#This Row],[Date]])</f>
        <v>2023</v>
      </c>
      <c r="E41" s="101" t="s">
        <v>73</v>
      </c>
      <c r="F41" s="101" t="s">
        <v>73</v>
      </c>
      <c r="G41" s="102" t="str">
        <f>TEXT(GC[[#This Row],[Date]],"mmm-yy")</f>
        <v>Nov-23</v>
      </c>
      <c r="H41" s="102">
        <f>DAY(EOMONTH(GC[[#This Row],[Month Year]],0))</f>
        <v>30</v>
      </c>
      <c r="I41" s="106"/>
      <c r="J41" s="106"/>
      <c r="K41" s="106"/>
      <c r="L41" s="106"/>
      <c r="M41" s="106"/>
      <c r="N41" s="106"/>
      <c r="O41" s="106"/>
      <c r="P41" s="106"/>
      <c r="Q41" s="106"/>
      <c r="R41" s="106"/>
      <c r="S41" s="1">
        <f>SUM(GC[[#This Row],[Blk1]:[Blk8]])</f>
        <v>0</v>
      </c>
      <c r="T41" s="106" t="str">
        <f>PROPER(GC[[#This Row],[Resources]])</f>
        <v/>
      </c>
      <c r="U41" s="106"/>
    </row>
    <row r="42" spans="1:21" x14ac:dyDescent="0.25">
      <c r="A42" s="106">
        <v>40</v>
      </c>
      <c r="B42" s="103">
        <f t="shared" si="0"/>
        <v>45239</v>
      </c>
      <c r="C42" s="109">
        <f>YEAR(GC[[#This Row],[Date]])+IF(MONTH(GC[[#This Row],[Date]])&gt;=4,1,0)</f>
        <v>2024</v>
      </c>
      <c r="D42" s="110">
        <f>YEAR(GC[[#This Row],[Date]])</f>
        <v>2023</v>
      </c>
      <c r="E42" s="101" t="s">
        <v>73</v>
      </c>
      <c r="F42" s="101" t="s">
        <v>73</v>
      </c>
      <c r="G42" s="102" t="str">
        <f>TEXT(GC[[#This Row],[Date]],"mmm-yy")</f>
        <v>Nov-23</v>
      </c>
      <c r="H42" s="102">
        <f>DAY(EOMONTH(GC[[#This Row],[Month Year]],0))</f>
        <v>30</v>
      </c>
      <c r="I42" s="106"/>
      <c r="J42" s="106"/>
      <c r="K42" s="106"/>
      <c r="L42" s="106"/>
      <c r="M42" s="106"/>
      <c r="N42" s="106"/>
      <c r="O42" s="106"/>
      <c r="P42" s="106"/>
      <c r="Q42" s="106"/>
      <c r="R42" s="106"/>
      <c r="S42" s="1">
        <f>SUM(GC[[#This Row],[Blk1]:[Blk8]])</f>
        <v>0</v>
      </c>
      <c r="T42" s="106" t="str">
        <f>PROPER(GC[[#This Row],[Resources]])</f>
        <v/>
      </c>
      <c r="U42" s="106"/>
    </row>
    <row r="43" spans="1:21" x14ac:dyDescent="0.25">
      <c r="A43" s="106">
        <v>41</v>
      </c>
      <c r="B43" s="103">
        <f t="shared" si="0"/>
        <v>45240</v>
      </c>
      <c r="C43" s="109">
        <f>YEAR(GC[[#This Row],[Date]])+IF(MONTH(GC[[#This Row],[Date]])&gt;=4,1,0)</f>
        <v>2024</v>
      </c>
      <c r="D43" s="110">
        <f>YEAR(GC[[#This Row],[Date]])</f>
        <v>2023</v>
      </c>
      <c r="E43" s="101" t="s">
        <v>73</v>
      </c>
      <c r="F43" s="101" t="s">
        <v>73</v>
      </c>
      <c r="G43" s="102" t="str">
        <f>TEXT(GC[[#This Row],[Date]],"mmm-yy")</f>
        <v>Nov-23</v>
      </c>
      <c r="H43" s="102">
        <f>DAY(EOMONTH(GC[[#This Row],[Month Year]],0))</f>
        <v>30</v>
      </c>
      <c r="I43" s="106"/>
      <c r="J43" s="106"/>
      <c r="K43" s="106"/>
      <c r="L43" s="106"/>
      <c r="M43" s="106"/>
      <c r="N43" s="106"/>
      <c r="O43" s="106"/>
      <c r="P43" s="106"/>
      <c r="Q43" s="106"/>
      <c r="R43" s="106"/>
      <c r="S43" s="1">
        <f>SUM(GC[[#This Row],[Blk1]:[Blk8]])</f>
        <v>0</v>
      </c>
      <c r="T43" s="106" t="str">
        <f>PROPER(GC[[#This Row],[Resources]])</f>
        <v/>
      </c>
      <c r="U43" s="106"/>
    </row>
    <row r="44" spans="1:21" x14ac:dyDescent="0.25">
      <c r="A44" s="106">
        <v>42</v>
      </c>
      <c r="B44" s="103">
        <f t="shared" si="0"/>
        <v>45241</v>
      </c>
      <c r="C44" s="109">
        <f>YEAR(GC[[#This Row],[Date]])+IF(MONTH(GC[[#This Row],[Date]])&gt;=4,1,0)</f>
        <v>2024</v>
      </c>
      <c r="D44" s="110">
        <f>YEAR(GC[[#This Row],[Date]])</f>
        <v>2023</v>
      </c>
      <c r="E44" s="101" t="s">
        <v>73</v>
      </c>
      <c r="F44" s="101" t="s">
        <v>73</v>
      </c>
      <c r="G44" s="102" t="str">
        <f>TEXT(GC[[#This Row],[Date]],"mmm-yy")</f>
        <v>Nov-23</v>
      </c>
      <c r="H44" s="102">
        <f>DAY(EOMONTH(GC[[#This Row],[Month Year]],0))</f>
        <v>30</v>
      </c>
      <c r="I44" s="106"/>
      <c r="J44" s="106"/>
      <c r="K44" s="106"/>
      <c r="L44" s="106"/>
      <c r="M44" s="106"/>
      <c r="N44" s="106"/>
      <c r="O44" s="106"/>
      <c r="P44" s="106"/>
      <c r="Q44" s="106"/>
      <c r="R44" s="106"/>
      <c r="S44" s="1">
        <f>SUM(GC[[#This Row],[Blk1]:[Blk8]])</f>
        <v>0</v>
      </c>
      <c r="T44" s="106" t="str">
        <f>PROPER(GC[[#This Row],[Resources]])</f>
        <v/>
      </c>
      <c r="U44" s="106"/>
    </row>
    <row r="45" spans="1:21" x14ac:dyDescent="0.25">
      <c r="A45" s="106">
        <v>43</v>
      </c>
      <c r="B45" s="103">
        <f t="shared" si="0"/>
        <v>45242</v>
      </c>
      <c r="C45" s="109">
        <f>YEAR(GC[[#This Row],[Date]])+IF(MONTH(GC[[#This Row],[Date]])&gt;=4,1,0)</f>
        <v>2024</v>
      </c>
      <c r="D45" s="110">
        <f>YEAR(GC[[#This Row],[Date]])</f>
        <v>2023</v>
      </c>
      <c r="E45" s="101" t="s">
        <v>73</v>
      </c>
      <c r="F45" s="101" t="s">
        <v>73</v>
      </c>
      <c r="G45" s="102" t="str">
        <f>TEXT(GC[[#This Row],[Date]],"mmm-yy")</f>
        <v>Nov-23</v>
      </c>
      <c r="H45" s="102">
        <f>DAY(EOMONTH(GC[[#This Row],[Month Year]],0))</f>
        <v>30</v>
      </c>
      <c r="I45" s="106"/>
      <c r="J45" s="106"/>
      <c r="K45" s="106"/>
      <c r="L45" s="106"/>
      <c r="M45" s="106"/>
      <c r="N45" s="106"/>
      <c r="O45" s="106"/>
      <c r="P45" s="106"/>
      <c r="Q45" s="106"/>
      <c r="R45" s="106"/>
      <c r="S45" s="1">
        <f>SUM(GC[[#This Row],[Blk1]:[Blk8]])</f>
        <v>0</v>
      </c>
      <c r="T45" s="106" t="str">
        <f>PROPER(GC[[#This Row],[Resources]])</f>
        <v/>
      </c>
      <c r="U45" s="106"/>
    </row>
    <row r="46" spans="1:21" x14ac:dyDescent="0.25">
      <c r="A46" s="106">
        <v>44</v>
      </c>
      <c r="B46" s="103">
        <f t="shared" si="0"/>
        <v>45243</v>
      </c>
      <c r="C46" s="109">
        <f>YEAR(GC[[#This Row],[Date]])+IF(MONTH(GC[[#This Row],[Date]])&gt;=4,1,0)</f>
        <v>2024</v>
      </c>
      <c r="D46" s="110">
        <f>YEAR(GC[[#This Row],[Date]])</f>
        <v>2023</v>
      </c>
      <c r="E46" s="101" t="s">
        <v>73</v>
      </c>
      <c r="F46" s="101" t="s">
        <v>73</v>
      </c>
      <c r="G46" s="102" t="str">
        <f>TEXT(GC[[#This Row],[Date]],"mmm-yy")</f>
        <v>Nov-23</v>
      </c>
      <c r="H46" s="102">
        <f>DAY(EOMONTH(GC[[#This Row],[Month Year]],0))</f>
        <v>30</v>
      </c>
      <c r="I46" s="106"/>
      <c r="J46" s="106"/>
      <c r="K46" s="106"/>
      <c r="L46" s="106"/>
      <c r="M46" s="106"/>
      <c r="N46" s="106"/>
      <c r="O46" s="106"/>
      <c r="P46" s="106"/>
      <c r="Q46" s="106"/>
      <c r="R46" s="106"/>
      <c r="S46" s="1">
        <f>SUM(GC[[#This Row],[Blk1]:[Blk8]])</f>
        <v>0</v>
      </c>
      <c r="T46" s="106" t="str">
        <f>PROPER(GC[[#This Row],[Resources]])</f>
        <v/>
      </c>
      <c r="U46" s="106"/>
    </row>
    <row r="47" spans="1:21" x14ac:dyDescent="0.25">
      <c r="A47" s="106">
        <v>45</v>
      </c>
      <c r="B47" s="103">
        <f t="shared" si="0"/>
        <v>45244</v>
      </c>
      <c r="C47" s="109">
        <f>YEAR(GC[[#This Row],[Date]])+IF(MONTH(GC[[#This Row],[Date]])&gt;=4,1,0)</f>
        <v>2024</v>
      </c>
      <c r="D47" s="110">
        <f>YEAR(GC[[#This Row],[Date]])</f>
        <v>2023</v>
      </c>
      <c r="E47" s="101" t="s">
        <v>73</v>
      </c>
      <c r="F47" s="101" t="s">
        <v>73</v>
      </c>
      <c r="G47" s="102" t="str">
        <f>TEXT(GC[[#This Row],[Date]],"mmm-yy")</f>
        <v>Nov-23</v>
      </c>
      <c r="H47" s="102">
        <f>DAY(EOMONTH(GC[[#This Row],[Month Year]],0))</f>
        <v>30</v>
      </c>
      <c r="I47" s="106"/>
      <c r="J47" s="106"/>
      <c r="K47" s="106"/>
      <c r="L47" s="106"/>
      <c r="M47" s="106"/>
      <c r="N47" s="106"/>
      <c r="O47" s="106"/>
      <c r="P47" s="106"/>
      <c r="Q47" s="106"/>
      <c r="R47" s="106"/>
      <c r="S47" s="1">
        <f>SUM(GC[[#This Row],[Blk1]:[Blk8]])</f>
        <v>0</v>
      </c>
      <c r="T47" s="106" t="str">
        <f>PROPER(GC[[#This Row],[Resources]])</f>
        <v/>
      </c>
      <c r="U47" s="106"/>
    </row>
    <row r="48" spans="1:21" x14ac:dyDescent="0.25">
      <c r="A48" s="106">
        <v>46</v>
      </c>
      <c r="B48" s="103">
        <f t="shared" si="0"/>
        <v>45245</v>
      </c>
      <c r="C48" s="109">
        <f>YEAR(GC[[#This Row],[Date]])+IF(MONTH(GC[[#This Row],[Date]])&gt;=4,1,0)</f>
        <v>2024</v>
      </c>
      <c r="D48" s="110">
        <f>YEAR(GC[[#This Row],[Date]])</f>
        <v>2023</v>
      </c>
      <c r="E48" s="101" t="s">
        <v>73</v>
      </c>
      <c r="F48" s="101" t="s">
        <v>73</v>
      </c>
      <c r="G48" s="102" t="str">
        <f>TEXT(GC[[#This Row],[Date]],"mmm-yy")</f>
        <v>Nov-23</v>
      </c>
      <c r="H48" s="102">
        <f>DAY(EOMONTH(GC[[#This Row],[Month Year]],0))</f>
        <v>30</v>
      </c>
      <c r="I48" s="106"/>
      <c r="J48" s="106"/>
      <c r="K48" s="106"/>
      <c r="L48" s="106"/>
      <c r="M48" s="106"/>
      <c r="N48" s="106"/>
      <c r="O48" s="106"/>
      <c r="P48" s="106"/>
      <c r="Q48" s="106"/>
      <c r="R48" s="106"/>
      <c r="S48" s="1">
        <f>SUM(GC[[#This Row],[Blk1]:[Blk8]])</f>
        <v>0</v>
      </c>
      <c r="T48" s="106" t="str">
        <f>PROPER(GC[[#This Row],[Resources]])</f>
        <v/>
      </c>
      <c r="U48" s="106"/>
    </row>
    <row r="49" spans="1:21" x14ac:dyDescent="0.25">
      <c r="A49" s="106">
        <v>47</v>
      </c>
      <c r="B49" s="103">
        <f t="shared" si="0"/>
        <v>45246</v>
      </c>
      <c r="C49" s="109">
        <f>YEAR(GC[[#This Row],[Date]])+IF(MONTH(GC[[#This Row],[Date]])&gt;=4,1,0)</f>
        <v>2024</v>
      </c>
      <c r="D49" s="110">
        <f>YEAR(GC[[#This Row],[Date]])</f>
        <v>2023</v>
      </c>
      <c r="E49" s="101" t="s">
        <v>73</v>
      </c>
      <c r="F49" s="101" t="s">
        <v>73</v>
      </c>
      <c r="G49" s="102" t="str">
        <f>TEXT(GC[[#This Row],[Date]],"mmm-yy")</f>
        <v>Nov-23</v>
      </c>
      <c r="H49" s="102">
        <f>DAY(EOMONTH(GC[[#This Row],[Month Year]],0))</f>
        <v>30</v>
      </c>
      <c r="I49" s="106"/>
      <c r="J49" s="106"/>
      <c r="K49" s="106"/>
      <c r="L49" s="106"/>
      <c r="M49" s="106"/>
      <c r="N49" s="106"/>
      <c r="O49" s="106"/>
      <c r="P49" s="106"/>
      <c r="Q49" s="106"/>
      <c r="R49" s="106"/>
      <c r="S49" s="1">
        <f>SUM(GC[[#This Row],[Blk1]:[Blk8]])</f>
        <v>0</v>
      </c>
      <c r="T49" s="106" t="str">
        <f>PROPER(GC[[#This Row],[Resources]])</f>
        <v/>
      </c>
      <c r="U49" s="106"/>
    </row>
    <row r="50" spans="1:21" x14ac:dyDescent="0.25">
      <c r="A50" s="106">
        <v>48</v>
      </c>
      <c r="B50" s="103">
        <f t="shared" si="0"/>
        <v>45247</v>
      </c>
      <c r="C50" s="109">
        <f>YEAR(GC[[#This Row],[Date]])+IF(MONTH(GC[[#This Row],[Date]])&gt;=4,1,0)</f>
        <v>2024</v>
      </c>
      <c r="D50" s="110">
        <f>YEAR(GC[[#This Row],[Date]])</f>
        <v>2023</v>
      </c>
      <c r="E50" s="101" t="s">
        <v>73</v>
      </c>
      <c r="F50" s="101" t="s">
        <v>73</v>
      </c>
      <c r="G50" s="102" t="str">
        <f>TEXT(GC[[#This Row],[Date]],"mmm-yy")</f>
        <v>Nov-23</v>
      </c>
      <c r="H50" s="102">
        <f>DAY(EOMONTH(GC[[#This Row],[Month Year]],0))</f>
        <v>30</v>
      </c>
      <c r="I50" s="106"/>
      <c r="J50" s="106"/>
      <c r="K50" s="106"/>
      <c r="L50" s="106"/>
      <c r="M50" s="106"/>
      <c r="N50" s="106"/>
      <c r="O50" s="106"/>
      <c r="P50" s="106"/>
      <c r="Q50" s="106"/>
      <c r="R50" s="106"/>
      <c r="S50" s="1">
        <f>SUM(GC[[#This Row],[Blk1]:[Blk8]])</f>
        <v>0</v>
      </c>
      <c r="T50" s="106" t="str">
        <f>PROPER(GC[[#This Row],[Resources]])</f>
        <v/>
      </c>
      <c r="U50" s="106"/>
    </row>
    <row r="51" spans="1:21" x14ac:dyDescent="0.25">
      <c r="A51" s="106">
        <v>49</v>
      </c>
      <c r="B51" s="103">
        <f t="shared" si="0"/>
        <v>45248</v>
      </c>
      <c r="C51" s="109">
        <f>YEAR(GC[[#This Row],[Date]])+IF(MONTH(GC[[#This Row],[Date]])&gt;=4,1,0)</f>
        <v>2024</v>
      </c>
      <c r="D51" s="110">
        <f>YEAR(GC[[#This Row],[Date]])</f>
        <v>2023</v>
      </c>
      <c r="E51" s="101" t="s">
        <v>73</v>
      </c>
      <c r="F51" s="101" t="s">
        <v>73</v>
      </c>
      <c r="G51" s="102" t="str">
        <f>TEXT(GC[[#This Row],[Date]],"mmm-yy")</f>
        <v>Nov-23</v>
      </c>
      <c r="H51" s="102">
        <f>DAY(EOMONTH(GC[[#This Row],[Month Year]],0))</f>
        <v>30</v>
      </c>
      <c r="I51" s="106"/>
      <c r="J51" s="106"/>
      <c r="K51" s="106"/>
      <c r="L51" s="106"/>
      <c r="M51" s="106"/>
      <c r="N51" s="106"/>
      <c r="O51" s="106"/>
      <c r="P51" s="106"/>
      <c r="Q51" s="106"/>
      <c r="R51" s="106"/>
      <c r="S51" s="1">
        <f>SUM(GC[[#This Row],[Blk1]:[Blk8]])</f>
        <v>0</v>
      </c>
      <c r="T51" s="106" t="str">
        <f>PROPER(GC[[#This Row],[Resources]])</f>
        <v/>
      </c>
      <c r="U51" s="106"/>
    </row>
    <row r="52" spans="1:21" x14ac:dyDescent="0.25">
      <c r="A52" s="106">
        <v>50</v>
      </c>
      <c r="B52" s="103">
        <f t="shared" si="0"/>
        <v>45249</v>
      </c>
      <c r="C52" s="109">
        <f>YEAR(GC[[#This Row],[Date]])+IF(MONTH(GC[[#This Row],[Date]])&gt;=4,1,0)</f>
        <v>2024</v>
      </c>
      <c r="D52" s="110">
        <f>YEAR(GC[[#This Row],[Date]])</f>
        <v>2023</v>
      </c>
      <c r="E52" s="101" t="s">
        <v>73</v>
      </c>
      <c r="F52" s="101" t="s">
        <v>73</v>
      </c>
      <c r="G52" s="102" t="str">
        <f>TEXT(GC[[#This Row],[Date]],"mmm-yy")</f>
        <v>Nov-23</v>
      </c>
      <c r="H52" s="102">
        <f>DAY(EOMONTH(GC[[#This Row],[Month Year]],0))</f>
        <v>30</v>
      </c>
      <c r="I52" s="106"/>
      <c r="J52" s="106"/>
      <c r="K52" s="106"/>
      <c r="L52" s="106"/>
      <c r="M52" s="106"/>
      <c r="N52" s="106"/>
      <c r="O52" s="106"/>
      <c r="P52" s="106"/>
      <c r="Q52" s="106"/>
      <c r="R52" s="106"/>
      <c r="S52" s="1">
        <f>SUM(GC[[#This Row],[Blk1]:[Blk8]])</f>
        <v>0</v>
      </c>
      <c r="T52" s="106" t="str">
        <f>PROPER(GC[[#This Row],[Resources]])</f>
        <v/>
      </c>
      <c r="U52" s="106"/>
    </row>
    <row r="53" spans="1:21" x14ac:dyDescent="0.25">
      <c r="A53" s="106">
        <v>51</v>
      </c>
      <c r="B53" s="103">
        <f t="shared" si="0"/>
        <v>45250</v>
      </c>
      <c r="C53" s="109">
        <f>YEAR(GC[[#This Row],[Date]])+IF(MONTH(GC[[#This Row],[Date]])&gt;=4,1,0)</f>
        <v>2024</v>
      </c>
      <c r="D53" s="110">
        <f>YEAR(GC[[#This Row],[Date]])</f>
        <v>2023</v>
      </c>
      <c r="E53" s="101" t="s">
        <v>73</v>
      </c>
      <c r="F53" s="101" t="s">
        <v>73</v>
      </c>
      <c r="G53" s="102" t="str">
        <f>TEXT(GC[[#This Row],[Date]],"mmm-yy")</f>
        <v>Nov-23</v>
      </c>
      <c r="H53" s="102">
        <f>DAY(EOMONTH(GC[[#This Row],[Month Year]],0))</f>
        <v>30</v>
      </c>
      <c r="I53" s="106"/>
      <c r="J53" s="106"/>
      <c r="K53" s="106"/>
      <c r="L53" s="106"/>
      <c r="M53" s="106"/>
      <c r="N53" s="106"/>
      <c r="O53" s="106"/>
      <c r="P53" s="106"/>
      <c r="Q53" s="106"/>
      <c r="R53" s="106"/>
      <c r="S53" s="1">
        <f>SUM(GC[[#This Row],[Blk1]:[Blk8]])</f>
        <v>0</v>
      </c>
      <c r="T53" s="106" t="str">
        <f>PROPER(GC[[#This Row],[Resources]])</f>
        <v/>
      </c>
      <c r="U53" s="106"/>
    </row>
    <row r="54" spans="1:21" x14ac:dyDescent="0.25">
      <c r="A54" s="106">
        <v>52</v>
      </c>
      <c r="B54" s="103">
        <f t="shared" si="0"/>
        <v>45251</v>
      </c>
      <c r="C54" s="109">
        <f>YEAR(GC[[#This Row],[Date]])+IF(MONTH(GC[[#This Row],[Date]])&gt;=4,1,0)</f>
        <v>2024</v>
      </c>
      <c r="D54" s="110">
        <f>YEAR(GC[[#This Row],[Date]])</f>
        <v>2023</v>
      </c>
      <c r="E54" s="101" t="s">
        <v>73</v>
      </c>
      <c r="F54" s="101" t="s">
        <v>73</v>
      </c>
      <c r="G54" s="102" t="str">
        <f>TEXT(GC[[#This Row],[Date]],"mmm-yy")</f>
        <v>Nov-23</v>
      </c>
      <c r="H54" s="102">
        <f>DAY(EOMONTH(GC[[#This Row],[Month Year]],0))</f>
        <v>30</v>
      </c>
      <c r="I54" s="106"/>
      <c r="J54" s="106"/>
      <c r="K54" s="106"/>
      <c r="L54" s="106"/>
      <c r="M54" s="106"/>
      <c r="N54" s="106"/>
      <c r="O54" s="106"/>
      <c r="P54" s="106"/>
      <c r="Q54" s="106"/>
      <c r="R54" s="106"/>
      <c r="S54" s="1">
        <f>SUM(GC[[#This Row],[Blk1]:[Blk8]])</f>
        <v>0</v>
      </c>
      <c r="T54" s="106" t="str">
        <f>PROPER(GC[[#This Row],[Resources]])</f>
        <v/>
      </c>
      <c r="U54" s="106"/>
    </row>
    <row r="55" spans="1:21" x14ac:dyDescent="0.25">
      <c r="A55" s="106">
        <v>53</v>
      </c>
      <c r="B55" s="103">
        <f t="shared" si="0"/>
        <v>45252</v>
      </c>
      <c r="C55" s="109">
        <f>YEAR(GC[[#This Row],[Date]])+IF(MONTH(GC[[#This Row],[Date]])&gt;=4,1,0)</f>
        <v>2024</v>
      </c>
      <c r="D55" s="110">
        <f>YEAR(GC[[#This Row],[Date]])</f>
        <v>2023</v>
      </c>
      <c r="E55" s="101" t="s">
        <v>73</v>
      </c>
      <c r="F55" s="101" t="s">
        <v>73</v>
      </c>
      <c r="G55" s="102" t="str">
        <f>TEXT(GC[[#This Row],[Date]],"mmm-yy")</f>
        <v>Nov-23</v>
      </c>
      <c r="H55" s="102">
        <f>DAY(EOMONTH(GC[[#This Row],[Month Year]],0))</f>
        <v>30</v>
      </c>
      <c r="I55" s="106"/>
      <c r="J55" s="106"/>
      <c r="K55" s="106"/>
      <c r="L55" s="106"/>
      <c r="M55" s="106"/>
      <c r="N55" s="106"/>
      <c r="O55" s="106"/>
      <c r="P55" s="106"/>
      <c r="Q55" s="106"/>
      <c r="R55" s="106"/>
      <c r="S55" s="1">
        <f>SUM(GC[[#This Row],[Blk1]:[Blk8]])</f>
        <v>0</v>
      </c>
      <c r="T55" s="106" t="str">
        <f>PROPER(GC[[#This Row],[Resources]])</f>
        <v/>
      </c>
      <c r="U55" s="106"/>
    </row>
    <row r="56" spans="1:21" x14ac:dyDescent="0.25">
      <c r="A56" s="106">
        <v>54</v>
      </c>
      <c r="B56" s="103">
        <f t="shared" si="0"/>
        <v>45253</v>
      </c>
      <c r="C56" s="109">
        <f>YEAR(GC[[#This Row],[Date]])+IF(MONTH(GC[[#This Row],[Date]])&gt;=4,1,0)</f>
        <v>2024</v>
      </c>
      <c r="D56" s="110">
        <f>YEAR(GC[[#This Row],[Date]])</f>
        <v>2023</v>
      </c>
      <c r="E56" s="101" t="s">
        <v>73</v>
      </c>
      <c r="F56" s="101" t="s">
        <v>73</v>
      </c>
      <c r="G56" s="102" t="str">
        <f>TEXT(GC[[#This Row],[Date]],"mmm-yy")</f>
        <v>Nov-23</v>
      </c>
      <c r="H56" s="102">
        <f>DAY(EOMONTH(GC[[#This Row],[Month Year]],0))</f>
        <v>30</v>
      </c>
      <c r="I56" s="106"/>
      <c r="J56" s="106"/>
      <c r="K56" s="106"/>
      <c r="L56" s="106"/>
      <c r="M56" s="106"/>
      <c r="N56" s="106"/>
      <c r="O56" s="106"/>
      <c r="P56" s="106"/>
      <c r="Q56" s="106"/>
      <c r="R56" s="106"/>
      <c r="S56" s="1">
        <f>SUM(GC[[#This Row],[Blk1]:[Blk8]])</f>
        <v>0</v>
      </c>
      <c r="T56" s="106" t="str">
        <f>PROPER(GC[[#This Row],[Resources]])</f>
        <v/>
      </c>
      <c r="U56" s="106"/>
    </row>
    <row r="57" spans="1:21" x14ac:dyDescent="0.25">
      <c r="A57" s="106">
        <v>55</v>
      </c>
      <c r="B57" s="103">
        <f t="shared" si="0"/>
        <v>45254</v>
      </c>
      <c r="C57" s="109">
        <f>YEAR(GC[[#This Row],[Date]])+IF(MONTH(GC[[#This Row],[Date]])&gt;=4,1,0)</f>
        <v>2024</v>
      </c>
      <c r="D57" s="110">
        <f>YEAR(GC[[#This Row],[Date]])</f>
        <v>2023</v>
      </c>
      <c r="E57" s="101" t="s">
        <v>73</v>
      </c>
      <c r="F57" s="101" t="s">
        <v>73</v>
      </c>
      <c r="G57" s="102" t="str">
        <f>TEXT(GC[[#This Row],[Date]],"mmm-yy")</f>
        <v>Nov-23</v>
      </c>
      <c r="H57" s="102">
        <f>DAY(EOMONTH(GC[[#This Row],[Month Year]],0))</f>
        <v>30</v>
      </c>
      <c r="I57" s="106"/>
      <c r="J57" s="106"/>
      <c r="K57" s="106"/>
      <c r="L57" s="106"/>
      <c r="M57" s="106"/>
      <c r="N57" s="106"/>
      <c r="O57" s="106"/>
      <c r="P57" s="106"/>
      <c r="Q57" s="106"/>
      <c r="R57" s="106"/>
      <c r="S57" s="1">
        <f>SUM(GC[[#This Row],[Blk1]:[Blk8]])</f>
        <v>0</v>
      </c>
      <c r="T57" s="106" t="str">
        <f>PROPER(GC[[#This Row],[Resources]])</f>
        <v/>
      </c>
      <c r="U57" s="106"/>
    </row>
    <row r="58" spans="1:21" x14ac:dyDescent="0.25">
      <c r="A58" s="106">
        <v>56</v>
      </c>
      <c r="B58" s="103">
        <f t="shared" si="0"/>
        <v>45255</v>
      </c>
      <c r="C58" s="109">
        <f>YEAR(GC[[#This Row],[Date]])+IF(MONTH(GC[[#This Row],[Date]])&gt;=4,1,0)</f>
        <v>2024</v>
      </c>
      <c r="D58" s="110">
        <f>YEAR(GC[[#This Row],[Date]])</f>
        <v>2023</v>
      </c>
      <c r="E58" s="101" t="s">
        <v>73</v>
      </c>
      <c r="F58" s="101" t="s">
        <v>73</v>
      </c>
      <c r="G58" s="102" t="str">
        <f>TEXT(GC[[#This Row],[Date]],"mmm-yy")</f>
        <v>Nov-23</v>
      </c>
      <c r="H58" s="102">
        <f>DAY(EOMONTH(GC[[#This Row],[Month Year]],0))</f>
        <v>30</v>
      </c>
      <c r="I58" s="106"/>
      <c r="J58" s="106"/>
      <c r="K58" s="106"/>
      <c r="L58" s="106"/>
      <c r="M58" s="106"/>
      <c r="N58" s="106"/>
      <c r="O58" s="106"/>
      <c r="P58" s="106"/>
      <c r="Q58" s="106"/>
      <c r="R58" s="106"/>
      <c r="S58" s="1">
        <f>SUM(GC[[#This Row],[Blk1]:[Blk8]])</f>
        <v>0</v>
      </c>
      <c r="T58" s="106" t="str">
        <f>PROPER(GC[[#This Row],[Resources]])</f>
        <v/>
      </c>
      <c r="U58" s="106"/>
    </row>
    <row r="59" spans="1:21" x14ac:dyDescent="0.25">
      <c r="A59" s="106">
        <v>57</v>
      </c>
      <c r="B59" s="103">
        <f t="shared" si="0"/>
        <v>45256</v>
      </c>
      <c r="C59" s="109">
        <f>YEAR(GC[[#This Row],[Date]])+IF(MONTH(GC[[#This Row],[Date]])&gt;=4,1,0)</f>
        <v>2024</v>
      </c>
      <c r="D59" s="110">
        <f>YEAR(GC[[#This Row],[Date]])</f>
        <v>2023</v>
      </c>
      <c r="E59" s="101" t="s">
        <v>73</v>
      </c>
      <c r="F59" s="101" t="s">
        <v>73</v>
      </c>
      <c r="G59" s="102" t="str">
        <f>TEXT(GC[[#This Row],[Date]],"mmm-yy")</f>
        <v>Nov-23</v>
      </c>
      <c r="H59" s="102">
        <f>DAY(EOMONTH(GC[[#This Row],[Month Year]],0))</f>
        <v>30</v>
      </c>
      <c r="I59" s="106"/>
      <c r="J59" s="106"/>
      <c r="K59" s="106"/>
      <c r="L59" s="106"/>
      <c r="M59" s="106"/>
      <c r="N59" s="106"/>
      <c r="O59" s="106"/>
      <c r="P59" s="106"/>
      <c r="Q59" s="106"/>
      <c r="R59" s="106"/>
      <c r="S59" s="1">
        <f>SUM(GC[[#This Row],[Blk1]:[Blk8]])</f>
        <v>0</v>
      </c>
      <c r="T59" s="106" t="str">
        <f>PROPER(GC[[#This Row],[Resources]])</f>
        <v/>
      </c>
      <c r="U59" s="106"/>
    </row>
    <row r="60" spans="1:21" x14ac:dyDescent="0.25">
      <c r="A60" s="106">
        <v>58</v>
      </c>
      <c r="B60" s="103">
        <f t="shared" si="0"/>
        <v>45257</v>
      </c>
      <c r="C60" s="109">
        <f>YEAR(GC[[#This Row],[Date]])+IF(MONTH(GC[[#This Row],[Date]])&gt;=4,1,0)</f>
        <v>2024</v>
      </c>
      <c r="D60" s="110">
        <f>YEAR(GC[[#This Row],[Date]])</f>
        <v>2023</v>
      </c>
      <c r="E60" s="101" t="s">
        <v>73</v>
      </c>
      <c r="F60" s="101" t="s">
        <v>73</v>
      </c>
      <c r="G60" s="102" t="str">
        <f>TEXT(GC[[#This Row],[Date]],"mmm-yy")</f>
        <v>Nov-23</v>
      </c>
      <c r="H60" s="102">
        <f>DAY(EOMONTH(GC[[#This Row],[Month Year]],0))</f>
        <v>30</v>
      </c>
      <c r="I60" s="106"/>
      <c r="J60" s="106"/>
      <c r="K60" s="106"/>
      <c r="L60" s="106"/>
      <c r="M60" s="106"/>
      <c r="N60" s="106"/>
      <c r="O60" s="106"/>
      <c r="P60" s="106"/>
      <c r="Q60" s="106"/>
      <c r="R60" s="106"/>
      <c r="S60" s="1">
        <f>SUM(GC[[#This Row],[Blk1]:[Blk8]])</f>
        <v>0</v>
      </c>
      <c r="T60" s="106" t="str">
        <f>PROPER(GC[[#This Row],[Resources]])</f>
        <v/>
      </c>
      <c r="U60" s="106"/>
    </row>
    <row r="61" spans="1:21" x14ac:dyDescent="0.25">
      <c r="A61" s="106">
        <v>59</v>
      </c>
      <c r="B61" s="103">
        <f t="shared" si="0"/>
        <v>45258</v>
      </c>
      <c r="C61" s="109">
        <f>YEAR(GC[[#This Row],[Date]])+IF(MONTH(GC[[#This Row],[Date]])&gt;=4,1,0)</f>
        <v>2024</v>
      </c>
      <c r="D61" s="110">
        <f>YEAR(GC[[#This Row],[Date]])</f>
        <v>2023</v>
      </c>
      <c r="E61" s="101" t="s">
        <v>73</v>
      </c>
      <c r="F61" s="101" t="s">
        <v>73</v>
      </c>
      <c r="G61" s="102" t="str">
        <f>TEXT(GC[[#This Row],[Date]],"mmm-yy")</f>
        <v>Nov-23</v>
      </c>
      <c r="H61" s="102">
        <f>DAY(EOMONTH(GC[[#This Row],[Month Year]],0))</f>
        <v>30</v>
      </c>
      <c r="I61" s="106"/>
      <c r="J61" s="106"/>
      <c r="K61" s="106"/>
      <c r="L61" s="106"/>
      <c r="M61" s="106"/>
      <c r="N61" s="106"/>
      <c r="O61" s="106"/>
      <c r="P61" s="106"/>
      <c r="Q61" s="106"/>
      <c r="R61" s="106"/>
      <c r="S61" s="1">
        <f>SUM(GC[[#This Row],[Blk1]:[Blk8]])</f>
        <v>0</v>
      </c>
      <c r="T61" s="106" t="str">
        <f>PROPER(GC[[#This Row],[Resources]])</f>
        <v/>
      </c>
      <c r="U61" s="106"/>
    </row>
    <row r="62" spans="1:21" x14ac:dyDescent="0.25">
      <c r="A62" s="106">
        <v>60</v>
      </c>
      <c r="B62" s="103">
        <f t="shared" si="0"/>
        <v>45259</v>
      </c>
      <c r="C62" s="109">
        <f>YEAR(GC[[#This Row],[Date]])+IF(MONTH(GC[[#This Row],[Date]])&gt;=4,1,0)</f>
        <v>2024</v>
      </c>
      <c r="D62" s="110">
        <f>YEAR(GC[[#This Row],[Date]])</f>
        <v>2023</v>
      </c>
      <c r="E62" s="101" t="s">
        <v>73</v>
      </c>
      <c r="F62" s="101" t="s">
        <v>73</v>
      </c>
      <c r="G62" s="102" t="str">
        <f>TEXT(GC[[#This Row],[Date]],"mmm-yy")</f>
        <v>Nov-23</v>
      </c>
      <c r="H62" s="102">
        <f>DAY(EOMONTH(GC[[#This Row],[Month Year]],0))</f>
        <v>30</v>
      </c>
      <c r="I62" s="106"/>
      <c r="J62" s="106"/>
      <c r="K62" s="106"/>
      <c r="L62" s="106"/>
      <c r="M62" s="106"/>
      <c r="N62" s="106"/>
      <c r="O62" s="106"/>
      <c r="P62" s="106"/>
      <c r="Q62" s="106"/>
      <c r="R62" s="106"/>
      <c r="S62" s="1">
        <f>SUM(GC[[#This Row],[Blk1]:[Blk8]])</f>
        <v>0</v>
      </c>
      <c r="T62" s="106" t="str">
        <f>PROPER(GC[[#This Row],[Resources]])</f>
        <v/>
      </c>
      <c r="U62" s="106"/>
    </row>
    <row r="63" spans="1:21" x14ac:dyDescent="0.25">
      <c r="A63" s="106">
        <v>61</v>
      </c>
      <c r="B63" s="103">
        <f t="shared" si="0"/>
        <v>45260</v>
      </c>
      <c r="C63" s="109">
        <f>YEAR(GC[[#This Row],[Date]])+IF(MONTH(GC[[#This Row],[Date]])&gt;=4,1,0)</f>
        <v>2024</v>
      </c>
      <c r="D63" s="110">
        <f>YEAR(GC[[#This Row],[Date]])</f>
        <v>2023</v>
      </c>
      <c r="E63" s="101" t="s">
        <v>73</v>
      </c>
      <c r="F63" s="101" t="s">
        <v>73</v>
      </c>
      <c r="G63" s="102" t="str">
        <f>TEXT(GC[[#This Row],[Date]],"mmm-yy")</f>
        <v>Nov-23</v>
      </c>
      <c r="H63" s="102">
        <f>DAY(EOMONTH(GC[[#This Row],[Month Year]],0))</f>
        <v>30</v>
      </c>
      <c r="I63" s="106"/>
      <c r="J63" s="106"/>
      <c r="K63" s="106"/>
      <c r="L63" s="106"/>
      <c r="M63" s="106"/>
      <c r="N63" s="106"/>
      <c r="O63" s="106"/>
      <c r="P63" s="106"/>
      <c r="Q63" s="106"/>
      <c r="R63" s="106"/>
      <c r="S63" s="1">
        <f>SUM(GC[[#This Row],[Blk1]:[Blk8]])</f>
        <v>0</v>
      </c>
      <c r="T63" s="106" t="str">
        <f>PROPER(GC[[#This Row],[Resources]])</f>
        <v/>
      </c>
      <c r="U63" s="106"/>
    </row>
    <row r="64" spans="1:21" x14ac:dyDescent="0.25">
      <c r="A64" s="106">
        <v>62</v>
      </c>
      <c r="B64" s="103">
        <f t="shared" si="0"/>
        <v>45261</v>
      </c>
      <c r="C64" s="109">
        <f>YEAR(GC[[#This Row],[Date]])+IF(MONTH(GC[[#This Row],[Date]])&gt;=4,1,0)</f>
        <v>2024</v>
      </c>
      <c r="D64" s="110">
        <f>YEAR(GC[[#This Row],[Date]])</f>
        <v>2023</v>
      </c>
      <c r="E64" s="101" t="s">
        <v>73</v>
      </c>
      <c r="F64" s="101" t="s">
        <v>73</v>
      </c>
      <c r="G64" s="102" t="str">
        <f>TEXT(GC[[#This Row],[Date]],"mmm-yy")</f>
        <v>Dec-23</v>
      </c>
      <c r="H64" s="102">
        <f>DAY(EOMONTH(GC[[#This Row],[Month Year]],0))</f>
        <v>31</v>
      </c>
      <c r="I64" s="106"/>
      <c r="J64" s="106"/>
      <c r="K64" s="106"/>
      <c r="L64" s="106"/>
      <c r="M64" s="106"/>
      <c r="N64" s="106"/>
      <c r="O64" s="106"/>
      <c r="P64" s="106"/>
      <c r="Q64" s="106"/>
      <c r="R64" s="106"/>
      <c r="S64" s="1">
        <f>SUM(GC[[#This Row],[Blk1]:[Blk8]])</f>
        <v>0</v>
      </c>
      <c r="T64" s="106" t="str">
        <f>PROPER(GC[[#This Row],[Resources]])</f>
        <v/>
      </c>
      <c r="U64" s="106"/>
    </row>
    <row r="65" spans="1:21" x14ac:dyDescent="0.25">
      <c r="A65" s="106">
        <v>63</v>
      </c>
      <c r="B65" s="103">
        <f t="shared" si="0"/>
        <v>45262</v>
      </c>
      <c r="C65" s="109">
        <f>YEAR(GC[[#This Row],[Date]])+IF(MONTH(GC[[#This Row],[Date]])&gt;=4,1,0)</f>
        <v>2024</v>
      </c>
      <c r="D65" s="110">
        <f>YEAR(GC[[#This Row],[Date]])</f>
        <v>2023</v>
      </c>
      <c r="E65" s="101" t="s">
        <v>73</v>
      </c>
      <c r="F65" s="101" t="s">
        <v>73</v>
      </c>
      <c r="G65" s="102" t="str">
        <f>TEXT(GC[[#This Row],[Date]],"mmm-yy")</f>
        <v>Dec-23</v>
      </c>
      <c r="H65" s="102">
        <f>DAY(EOMONTH(GC[[#This Row],[Month Year]],0))</f>
        <v>31</v>
      </c>
      <c r="I65" s="106"/>
      <c r="J65" s="106"/>
      <c r="K65" s="106"/>
      <c r="L65" s="106"/>
      <c r="M65" s="106"/>
      <c r="N65" s="106"/>
      <c r="O65" s="106"/>
      <c r="P65" s="106"/>
      <c r="Q65" s="106"/>
      <c r="R65" s="106"/>
      <c r="S65" s="1">
        <f>SUM(GC[[#This Row],[Blk1]:[Blk8]])</f>
        <v>0</v>
      </c>
      <c r="T65" s="106" t="str">
        <f>PROPER(GC[[#This Row],[Resources]])</f>
        <v/>
      </c>
      <c r="U65" s="106"/>
    </row>
    <row r="66" spans="1:21" x14ac:dyDescent="0.25">
      <c r="A66" s="106">
        <v>64</v>
      </c>
      <c r="B66" s="103">
        <f t="shared" si="0"/>
        <v>45263</v>
      </c>
      <c r="C66" s="109">
        <f>YEAR(GC[[#This Row],[Date]])+IF(MONTH(GC[[#This Row],[Date]])&gt;=4,1,0)</f>
        <v>2024</v>
      </c>
      <c r="D66" s="110">
        <f>YEAR(GC[[#This Row],[Date]])</f>
        <v>2023</v>
      </c>
      <c r="E66" s="101" t="s">
        <v>73</v>
      </c>
      <c r="F66" s="101" t="s">
        <v>73</v>
      </c>
      <c r="G66" s="102" t="str">
        <f>TEXT(GC[[#This Row],[Date]],"mmm-yy")</f>
        <v>Dec-23</v>
      </c>
      <c r="H66" s="102">
        <f>DAY(EOMONTH(GC[[#This Row],[Month Year]],0))</f>
        <v>31</v>
      </c>
      <c r="I66" s="106"/>
      <c r="J66" s="106"/>
      <c r="K66" s="106"/>
      <c r="L66" s="106"/>
      <c r="M66" s="106"/>
      <c r="N66" s="106"/>
      <c r="O66" s="106"/>
      <c r="P66" s="106"/>
      <c r="Q66" s="106"/>
      <c r="R66" s="106"/>
      <c r="S66" s="1">
        <f>SUM(GC[[#This Row],[Blk1]:[Blk8]])</f>
        <v>0</v>
      </c>
      <c r="T66" s="106" t="str">
        <f>PROPER(GC[[#This Row],[Resources]])</f>
        <v/>
      </c>
      <c r="U66" s="106"/>
    </row>
    <row r="67" spans="1:21" x14ac:dyDescent="0.25">
      <c r="A67" s="106">
        <v>65</v>
      </c>
      <c r="B67" s="103">
        <f t="shared" si="0"/>
        <v>45264</v>
      </c>
      <c r="C67" s="109">
        <f>YEAR(GC[[#This Row],[Date]])+IF(MONTH(GC[[#This Row],[Date]])&gt;=4,1,0)</f>
        <v>2024</v>
      </c>
      <c r="D67" s="110">
        <f>YEAR(GC[[#This Row],[Date]])</f>
        <v>2023</v>
      </c>
      <c r="E67" s="101" t="s">
        <v>73</v>
      </c>
      <c r="F67" s="101" t="s">
        <v>73</v>
      </c>
      <c r="G67" s="102" t="str">
        <f>TEXT(GC[[#This Row],[Date]],"mmm-yy")</f>
        <v>Dec-23</v>
      </c>
      <c r="H67" s="102">
        <f>DAY(EOMONTH(GC[[#This Row],[Month Year]],0))</f>
        <v>31</v>
      </c>
      <c r="I67" s="106"/>
      <c r="J67" s="106"/>
      <c r="K67" s="106"/>
      <c r="L67" s="106"/>
      <c r="M67" s="106"/>
      <c r="N67" s="106"/>
      <c r="O67" s="106"/>
      <c r="P67" s="106"/>
      <c r="Q67" s="106"/>
      <c r="R67" s="106"/>
      <c r="S67" s="1">
        <f>SUM(GC[[#This Row],[Blk1]:[Blk8]])</f>
        <v>0</v>
      </c>
      <c r="T67" s="106" t="str">
        <f>PROPER(GC[[#This Row],[Resources]])</f>
        <v/>
      </c>
      <c r="U67" s="106"/>
    </row>
    <row r="68" spans="1:21" x14ac:dyDescent="0.25">
      <c r="A68" s="106">
        <v>66</v>
      </c>
      <c r="B68" s="103">
        <f t="shared" si="0"/>
        <v>45265</v>
      </c>
      <c r="C68" s="109">
        <f>YEAR(GC[[#This Row],[Date]])+IF(MONTH(GC[[#This Row],[Date]])&gt;=4,1,0)</f>
        <v>2024</v>
      </c>
      <c r="D68" s="110">
        <f>YEAR(GC[[#This Row],[Date]])</f>
        <v>2023</v>
      </c>
      <c r="E68" s="101" t="s">
        <v>73</v>
      </c>
      <c r="F68" s="101" t="s">
        <v>73</v>
      </c>
      <c r="G68" s="102" t="str">
        <f>TEXT(GC[[#This Row],[Date]],"mmm-yy")</f>
        <v>Dec-23</v>
      </c>
      <c r="H68" s="102">
        <f>DAY(EOMONTH(GC[[#This Row],[Month Year]],0))</f>
        <v>31</v>
      </c>
      <c r="I68" s="106"/>
      <c r="J68" s="106"/>
      <c r="K68" s="106"/>
      <c r="L68" s="106"/>
      <c r="M68" s="106"/>
      <c r="N68" s="106"/>
      <c r="O68" s="106"/>
      <c r="P68" s="106"/>
      <c r="Q68" s="106"/>
      <c r="R68" s="106"/>
      <c r="S68" s="1">
        <f>SUM(GC[[#This Row],[Blk1]:[Blk8]])</f>
        <v>0</v>
      </c>
      <c r="T68" s="106" t="str">
        <f>PROPER(GC[[#This Row],[Resources]])</f>
        <v/>
      </c>
      <c r="U68" s="106"/>
    </row>
    <row r="69" spans="1:21" x14ac:dyDescent="0.25">
      <c r="A69" s="106">
        <v>67</v>
      </c>
      <c r="B69" s="103">
        <f t="shared" ref="B69:B132" si="1">B68+1</f>
        <v>45266</v>
      </c>
      <c r="C69" s="109">
        <f>YEAR(GC[[#This Row],[Date]])+IF(MONTH(GC[[#This Row],[Date]])&gt;=4,1,0)</f>
        <v>2024</v>
      </c>
      <c r="D69" s="110">
        <f>YEAR(GC[[#This Row],[Date]])</f>
        <v>2023</v>
      </c>
      <c r="E69" s="101" t="s">
        <v>73</v>
      </c>
      <c r="F69" s="101" t="s">
        <v>73</v>
      </c>
      <c r="G69" s="102" t="str">
        <f>TEXT(GC[[#This Row],[Date]],"mmm-yy")</f>
        <v>Dec-23</v>
      </c>
      <c r="H69" s="102">
        <f>DAY(EOMONTH(GC[[#This Row],[Month Year]],0))</f>
        <v>31</v>
      </c>
      <c r="I69" s="106"/>
      <c r="J69" s="106"/>
      <c r="K69" s="106"/>
      <c r="L69" s="106"/>
      <c r="M69" s="106"/>
      <c r="N69" s="106"/>
      <c r="O69" s="106"/>
      <c r="P69" s="106"/>
      <c r="Q69" s="106"/>
      <c r="R69" s="106"/>
      <c r="S69" s="1">
        <f>SUM(GC[[#This Row],[Blk1]:[Blk8]])</f>
        <v>0</v>
      </c>
      <c r="T69" s="106" t="str">
        <f>PROPER(GC[[#This Row],[Resources]])</f>
        <v/>
      </c>
      <c r="U69" s="106"/>
    </row>
    <row r="70" spans="1:21" x14ac:dyDescent="0.25">
      <c r="A70" s="106">
        <v>68</v>
      </c>
      <c r="B70" s="103">
        <f t="shared" si="1"/>
        <v>45267</v>
      </c>
      <c r="C70" s="109">
        <f>YEAR(GC[[#This Row],[Date]])+IF(MONTH(GC[[#This Row],[Date]])&gt;=4,1,0)</f>
        <v>2024</v>
      </c>
      <c r="D70" s="110">
        <f>YEAR(GC[[#This Row],[Date]])</f>
        <v>2023</v>
      </c>
      <c r="E70" s="101" t="s">
        <v>73</v>
      </c>
      <c r="F70" s="101" t="s">
        <v>73</v>
      </c>
      <c r="G70" s="102" t="str">
        <f>TEXT(GC[[#This Row],[Date]],"mmm-yy")</f>
        <v>Dec-23</v>
      </c>
      <c r="H70" s="102">
        <f>DAY(EOMONTH(GC[[#This Row],[Month Year]],0))</f>
        <v>31</v>
      </c>
      <c r="I70" s="106"/>
      <c r="J70" s="106"/>
      <c r="K70" s="106"/>
      <c r="L70" s="106"/>
      <c r="M70" s="106"/>
      <c r="N70" s="106"/>
      <c r="O70" s="106"/>
      <c r="P70" s="106"/>
      <c r="Q70" s="106"/>
      <c r="R70" s="106"/>
      <c r="S70" s="1">
        <f>SUM(GC[[#This Row],[Blk1]:[Blk8]])</f>
        <v>0</v>
      </c>
      <c r="T70" s="106" t="str">
        <f>PROPER(GC[[#This Row],[Resources]])</f>
        <v/>
      </c>
      <c r="U70" s="106"/>
    </row>
    <row r="71" spans="1:21" x14ac:dyDescent="0.25">
      <c r="A71" s="106">
        <v>69</v>
      </c>
      <c r="B71" s="103">
        <f t="shared" si="1"/>
        <v>45268</v>
      </c>
      <c r="C71" s="109">
        <f>YEAR(GC[[#This Row],[Date]])+IF(MONTH(GC[[#This Row],[Date]])&gt;=4,1,0)</f>
        <v>2024</v>
      </c>
      <c r="D71" s="110">
        <f>YEAR(GC[[#This Row],[Date]])</f>
        <v>2023</v>
      </c>
      <c r="E71" s="101" t="s">
        <v>73</v>
      </c>
      <c r="F71" s="101" t="s">
        <v>73</v>
      </c>
      <c r="G71" s="102" t="str">
        <f>TEXT(GC[[#This Row],[Date]],"mmm-yy")</f>
        <v>Dec-23</v>
      </c>
      <c r="H71" s="102">
        <f>DAY(EOMONTH(GC[[#This Row],[Month Year]],0))</f>
        <v>31</v>
      </c>
      <c r="I71" s="106"/>
      <c r="J71" s="106"/>
      <c r="K71" s="106"/>
      <c r="L71" s="106"/>
      <c r="M71" s="106"/>
      <c r="N71" s="106"/>
      <c r="O71" s="106"/>
      <c r="P71" s="106"/>
      <c r="Q71" s="106"/>
      <c r="R71" s="106"/>
      <c r="S71" s="1">
        <f>SUM(GC[[#This Row],[Blk1]:[Blk8]])</f>
        <v>0</v>
      </c>
      <c r="T71" s="106" t="str">
        <f>PROPER(GC[[#This Row],[Resources]])</f>
        <v/>
      </c>
      <c r="U71" s="106"/>
    </row>
    <row r="72" spans="1:21" x14ac:dyDescent="0.25">
      <c r="A72" s="106">
        <v>70</v>
      </c>
      <c r="B72" s="103">
        <f t="shared" si="1"/>
        <v>45269</v>
      </c>
      <c r="C72" s="109">
        <f>YEAR(GC[[#This Row],[Date]])+IF(MONTH(GC[[#This Row],[Date]])&gt;=4,1,0)</f>
        <v>2024</v>
      </c>
      <c r="D72" s="110">
        <f>YEAR(GC[[#This Row],[Date]])</f>
        <v>2023</v>
      </c>
      <c r="E72" s="101" t="s">
        <v>73</v>
      </c>
      <c r="F72" s="101" t="s">
        <v>73</v>
      </c>
      <c r="G72" s="102" t="str">
        <f>TEXT(GC[[#This Row],[Date]],"mmm-yy")</f>
        <v>Dec-23</v>
      </c>
      <c r="H72" s="102">
        <f>DAY(EOMONTH(GC[[#This Row],[Month Year]],0))</f>
        <v>31</v>
      </c>
      <c r="I72" s="106"/>
      <c r="J72" s="106"/>
      <c r="K72" s="106"/>
      <c r="L72" s="106"/>
      <c r="M72" s="106"/>
      <c r="N72" s="106"/>
      <c r="O72" s="106"/>
      <c r="P72" s="106"/>
      <c r="Q72" s="106"/>
      <c r="R72" s="106"/>
      <c r="S72" s="1">
        <f>SUM(GC[[#This Row],[Blk1]:[Blk8]])</f>
        <v>0</v>
      </c>
      <c r="T72" s="106" t="str">
        <f>PROPER(GC[[#This Row],[Resources]])</f>
        <v/>
      </c>
      <c r="U72" s="106"/>
    </row>
    <row r="73" spans="1:21" x14ac:dyDescent="0.25">
      <c r="A73" s="106">
        <v>71</v>
      </c>
      <c r="B73" s="103">
        <f t="shared" si="1"/>
        <v>45270</v>
      </c>
      <c r="C73" s="109">
        <f>YEAR(GC[[#This Row],[Date]])+IF(MONTH(GC[[#This Row],[Date]])&gt;=4,1,0)</f>
        <v>2024</v>
      </c>
      <c r="D73" s="110">
        <f>YEAR(GC[[#This Row],[Date]])</f>
        <v>2023</v>
      </c>
      <c r="E73" s="101" t="s">
        <v>73</v>
      </c>
      <c r="F73" s="101" t="s">
        <v>73</v>
      </c>
      <c r="G73" s="102" t="str">
        <f>TEXT(GC[[#This Row],[Date]],"mmm-yy")</f>
        <v>Dec-23</v>
      </c>
      <c r="H73" s="102">
        <f>DAY(EOMONTH(GC[[#This Row],[Month Year]],0))</f>
        <v>31</v>
      </c>
      <c r="I73" s="106"/>
      <c r="J73" s="106"/>
      <c r="K73" s="106"/>
      <c r="L73" s="106"/>
      <c r="M73" s="106"/>
      <c r="N73" s="106"/>
      <c r="O73" s="106"/>
      <c r="P73" s="106"/>
      <c r="Q73" s="106"/>
      <c r="R73" s="106"/>
      <c r="S73" s="1">
        <f>SUM(GC[[#This Row],[Blk1]:[Blk8]])</f>
        <v>0</v>
      </c>
      <c r="T73" s="106" t="str">
        <f>PROPER(GC[[#This Row],[Resources]])</f>
        <v/>
      </c>
      <c r="U73" s="106"/>
    </row>
    <row r="74" spans="1:21" x14ac:dyDescent="0.25">
      <c r="A74" s="106">
        <v>72</v>
      </c>
      <c r="B74" s="103">
        <f t="shared" si="1"/>
        <v>45271</v>
      </c>
      <c r="C74" s="109">
        <f>YEAR(GC[[#This Row],[Date]])+IF(MONTH(GC[[#This Row],[Date]])&gt;=4,1,0)</f>
        <v>2024</v>
      </c>
      <c r="D74" s="110">
        <f>YEAR(GC[[#This Row],[Date]])</f>
        <v>2023</v>
      </c>
      <c r="E74" s="101" t="s">
        <v>73</v>
      </c>
      <c r="F74" s="101" t="s">
        <v>73</v>
      </c>
      <c r="G74" s="102" t="str">
        <f>TEXT(GC[[#This Row],[Date]],"mmm-yy")</f>
        <v>Dec-23</v>
      </c>
      <c r="H74" s="102">
        <f>DAY(EOMONTH(GC[[#This Row],[Month Year]],0))</f>
        <v>31</v>
      </c>
      <c r="I74" s="106"/>
      <c r="J74" s="106"/>
      <c r="K74" s="106"/>
      <c r="L74" s="106"/>
      <c r="M74" s="106"/>
      <c r="N74" s="106"/>
      <c r="O74" s="106"/>
      <c r="P74" s="106"/>
      <c r="Q74" s="106"/>
      <c r="R74" s="106"/>
      <c r="S74" s="1">
        <f>SUM(GC[[#This Row],[Blk1]:[Blk8]])</f>
        <v>0</v>
      </c>
      <c r="T74" s="106" t="str">
        <f>PROPER(GC[[#This Row],[Resources]])</f>
        <v/>
      </c>
      <c r="U74" s="106"/>
    </row>
    <row r="75" spans="1:21" x14ac:dyDescent="0.25">
      <c r="A75" s="106">
        <v>73</v>
      </c>
      <c r="B75" s="103">
        <f t="shared" si="1"/>
        <v>45272</v>
      </c>
      <c r="C75" s="109">
        <f>YEAR(GC[[#This Row],[Date]])+IF(MONTH(GC[[#This Row],[Date]])&gt;=4,1,0)</f>
        <v>2024</v>
      </c>
      <c r="D75" s="110">
        <f>YEAR(GC[[#This Row],[Date]])</f>
        <v>2023</v>
      </c>
      <c r="E75" s="101" t="s">
        <v>73</v>
      </c>
      <c r="F75" s="101" t="s">
        <v>73</v>
      </c>
      <c r="G75" s="102" t="str">
        <f>TEXT(GC[[#This Row],[Date]],"mmm-yy")</f>
        <v>Dec-23</v>
      </c>
      <c r="H75" s="102">
        <f>DAY(EOMONTH(GC[[#This Row],[Month Year]],0))</f>
        <v>31</v>
      </c>
      <c r="I75" s="106"/>
      <c r="J75" s="106"/>
      <c r="K75" s="106"/>
      <c r="L75" s="106"/>
      <c r="M75" s="106"/>
      <c r="N75" s="106"/>
      <c r="O75" s="106"/>
      <c r="P75" s="106"/>
      <c r="Q75" s="106"/>
      <c r="R75" s="106"/>
      <c r="S75" s="1">
        <f>SUM(GC[[#This Row],[Blk1]:[Blk8]])</f>
        <v>0</v>
      </c>
      <c r="T75" s="106" t="str">
        <f>PROPER(GC[[#This Row],[Resources]])</f>
        <v/>
      </c>
      <c r="U75" s="106"/>
    </row>
    <row r="76" spans="1:21" x14ac:dyDescent="0.25">
      <c r="A76" s="106">
        <v>74</v>
      </c>
      <c r="B76" s="103">
        <f t="shared" si="1"/>
        <v>45273</v>
      </c>
      <c r="C76" s="109">
        <f>YEAR(GC[[#This Row],[Date]])+IF(MONTH(GC[[#This Row],[Date]])&gt;=4,1,0)</f>
        <v>2024</v>
      </c>
      <c r="D76" s="110">
        <f>YEAR(GC[[#This Row],[Date]])</f>
        <v>2023</v>
      </c>
      <c r="E76" s="101" t="s">
        <v>73</v>
      </c>
      <c r="F76" s="101" t="s">
        <v>73</v>
      </c>
      <c r="G76" s="102" t="str">
        <f>TEXT(GC[[#This Row],[Date]],"mmm-yy")</f>
        <v>Dec-23</v>
      </c>
      <c r="H76" s="102">
        <f>DAY(EOMONTH(GC[[#This Row],[Month Year]],0))</f>
        <v>31</v>
      </c>
      <c r="I76" s="106"/>
      <c r="J76" s="106"/>
      <c r="K76" s="106"/>
      <c r="L76" s="106"/>
      <c r="M76" s="106"/>
      <c r="N76" s="106"/>
      <c r="O76" s="106"/>
      <c r="P76" s="106"/>
      <c r="Q76" s="106"/>
      <c r="R76" s="106"/>
      <c r="S76" s="1">
        <f>SUM(GC[[#This Row],[Blk1]:[Blk8]])</f>
        <v>0</v>
      </c>
      <c r="T76" s="106" t="str">
        <f>PROPER(GC[[#This Row],[Resources]])</f>
        <v/>
      </c>
      <c r="U76" s="106"/>
    </row>
    <row r="77" spans="1:21" x14ac:dyDescent="0.25">
      <c r="A77" s="106">
        <v>75</v>
      </c>
      <c r="B77" s="103">
        <f t="shared" si="1"/>
        <v>45274</v>
      </c>
      <c r="C77" s="109">
        <f>YEAR(GC[[#This Row],[Date]])+IF(MONTH(GC[[#This Row],[Date]])&gt;=4,1,0)</f>
        <v>2024</v>
      </c>
      <c r="D77" s="110">
        <f>YEAR(GC[[#This Row],[Date]])</f>
        <v>2023</v>
      </c>
      <c r="E77" s="101" t="s">
        <v>73</v>
      </c>
      <c r="F77" s="101" t="s">
        <v>73</v>
      </c>
      <c r="G77" s="102" t="str">
        <f>TEXT(GC[[#This Row],[Date]],"mmm-yy")</f>
        <v>Dec-23</v>
      </c>
      <c r="H77" s="102">
        <f>DAY(EOMONTH(GC[[#This Row],[Month Year]],0))</f>
        <v>31</v>
      </c>
      <c r="I77" s="106"/>
      <c r="J77" s="106"/>
      <c r="K77" s="106"/>
      <c r="L77" s="106"/>
      <c r="M77" s="106"/>
      <c r="N77" s="106"/>
      <c r="O77" s="106"/>
      <c r="P77" s="106"/>
      <c r="Q77" s="106"/>
      <c r="R77" s="106"/>
      <c r="S77" s="1">
        <f>SUM(GC[[#This Row],[Blk1]:[Blk8]])</f>
        <v>0</v>
      </c>
      <c r="T77" s="106" t="str">
        <f>PROPER(GC[[#This Row],[Resources]])</f>
        <v/>
      </c>
      <c r="U77" s="106"/>
    </row>
    <row r="78" spans="1:21" x14ac:dyDescent="0.25">
      <c r="A78" s="106">
        <v>76</v>
      </c>
      <c r="B78" s="103">
        <f t="shared" si="1"/>
        <v>45275</v>
      </c>
      <c r="C78" s="109">
        <f>YEAR(GC[[#This Row],[Date]])+IF(MONTH(GC[[#This Row],[Date]])&gt;=4,1,0)</f>
        <v>2024</v>
      </c>
      <c r="D78" s="110">
        <f>YEAR(GC[[#This Row],[Date]])</f>
        <v>2023</v>
      </c>
      <c r="E78" s="101" t="s">
        <v>73</v>
      </c>
      <c r="F78" s="101" t="s">
        <v>73</v>
      </c>
      <c r="G78" s="102" t="str">
        <f>TEXT(GC[[#This Row],[Date]],"mmm-yy")</f>
        <v>Dec-23</v>
      </c>
      <c r="H78" s="102">
        <f>DAY(EOMONTH(GC[[#This Row],[Month Year]],0))</f>
        <v>31</v>
      </c>
      <c r="I78" s="106"/>
      <c r="J78" s="106"/>
      <c r="K78" s="106"/>
      <c r="L78" s="106"/>
      <c r="M78" s="106"/>
      <c r="N78" s="106"/>
      <c r="O78" s="106"/>
      <c r="P78" s="106"/>
      <c r="Q78" s="106"/>
      <c r="R78" s="106"/>
      <c r="S78" s="1">
        <f>SUM(GC[[#This Row],[Blk1]:[Blk8]])</f>
        <v>0</v>
      </c>
      <c r="T78" s="106" t="str">
        <f>PROPER(GC[[#This Row],[Resources]])</f>
        <v/>
      </c>
      <c r="U78" s="106"/>
    </row>
    <row r="79" spans="1:21" x14ac:dyDescent="0.25">
      <c r="A79" s="106">
        <v>77</v>
      </c>
      <c r="B79" s="103">
        <f t="shared" si="1"/>
        <v>45276</v>
      </c>
      <c r="C79" s="109">
        <f>YEAR(GC[[#This Row],[Date]])+IF(MONTH(GC[[#This Row],[Date]])&gt;=4,1,0)</f>
        <v>2024</v>
      </c>
      <c r="D79" s="110">
        <f>YEAR(GC[[#This Row],[Date]])</f>
        <v>2023</v>
      </c>
      <c r="E79" s="101" t="s">
        <v>73</v>
      </c>
      <c r="F79" s="101" t="s">
        <v>73</v>
      </c>
      <c r="G79" s="102" t="str">
        <f>TEXT(GC[[#This Row],[Date]],"mmm-yy")</f>
        <v>Dec-23</v>
      </c>
      <c r="H79" s="102">
        <f>DAY(EOMONTH(GC[[#This Row],[Month Year]],0))</f>
        <v>31</v>
      </c>
      <c r="I79" s="106"/>
      <c r="J79" s="106"/>
      <c r="K79" s="106"/>
      <c r="L79" s="106"/>
      <c r="M79" s="106"/>
      <c r="N79" s="106"/>
      <c r="O79" s="106"/>
      <c r="P79" s="106"/>
      <c r="Q79" s="106"/>
      <c r="R79" s="106"/>
      <c r="S79" s="1">
        <f>SUM(GC[[#This Row],[Blk1]:[Blk8]])</f>
        <v>0</v>
      </c>
      <c r="T79" s="106" t="str">
        <f>PROPER(GC[[#This Row],[Resources]])</f>
        <v/>
      </c>
      <c r="U79" s="106"/>
    </row>
    <row r="80" spans="1:21" x14ac:dyDescent="0.25">
      <c r="A80" s="106">
        <v>78</v>
      </c>
      <c r="B80" s="103">
        <f t="shared" si="1"/>
        <v>45277</v>
      </c>
      <c r="C80" s="109">
        <f>YEAR(GC[[#This Row],[Date]])+IF(MONTH(GC[[#This Row],[Date]])&gt;=4,1,0)</f>
        <v>2024</v>
      </c>
      <c r="D80" s="110">
        <f>YEAR(GC[[#This Row],[Date]])</f>
        <v>2023</v>
      </c>
      <c r="E80" s="101" t="s">
        <v>73</v>
      </c>
      <c r="F80" s="101" t="s">
        <v>73</v>
      </c>
      <c r="G80" s="102" t="str">
        <f>TEXT(GC[[#This Row],[Date]],"mmm-yy")</f>
        <v>Dec-23</v>
      </c>
      <c r="H80" s="102">
        <f>DAY(EOMONTH(GC[[#This Row],[Month Year]],0))</f>
        <v>31</v>
      </c>
      <c r="I80" s="106"/>
      <c r="J80" s="106"/>
      <c r="K80" s="106"/>
      <c r="L80" s="106"/>
      <c r="M80" s="106"/>
      <c r="N80" s="106"/>
      <c r="O80" s="106"/>
      <c r="P80" s="106"/>
      <c r="Q80" s="106"/>
      <c r="R80" s="106"/>
      <c r="S80" s="1">
        <f>SUM(GC[[#This Row],[Blk1]:[Blk8]])</f>
        <v>0</v>
      </c>
      <c r="T80" s="106" t="str">
        <f>PROPER(GC[[#This Row],[Resources]])</f>
        <v/>
      </c>
      <c r="U80" s="106"/>
    </row>
    <row r="81" spans="1:21" x14ac:dyDescent="0.25">
      <c r="A81" s="106">
        <v>79</v>
      </c>
      <c r="B81" s="103">
        <f t="shared" si="1"/>
        <v>45278</v>
      </c>
      <c r="C81" s="109">
        <f>YEAR(GC[[#This Row],[Date]])+IF(MONTH(GC[[#This Row],[Date]])&gt;=4,1,0)</f>
        <v>2024</v>
      </c>
      <c r="D81" s="110">
        <f>YEAR(GC[[#This Row],[Date]])</f>
        <v>2023</v>
      </c>
      <c r="E81" s="101" t="s">
        <v>73</v>
      </c>
      <c r="F81" s="101" t="s">
        <v>73</v>
      </c>
      <c r="G81" s="102" t="str">
        <f>TEXT(GC[[#This Row],[Date]],"mmm-yy")</f>
        <v>Dec-23</v>
      </c>
      <c r="H81" s="102">
        <f>DAY(EOMONTH(GC[[#This Row],[Month Year]],0))</f>
        <v>31</v>
      </c>
      <c r="I81" s="106"/>
      <c r="J81" s="106"/>
      <c r="K81" s="106"/>
      <c r="L81" s="106"/>
      <c r="M81" s="106"/>
      <c r="N81" s="106"/>
      <c r="O81" s="106"/>
      <c r="P81" s="106"/>
      <c r="Q81" s="106"/>
      <c r="R81" s="106"/>
      <c r="S81" s="1">
        <f>SUM(GC[[#This Row],[Blk1]:[Blk8]])</f>
        <v>0</v>
      </c>
      <c r="T81" s="106" t="str">
        <f>PROPER(GC[[#This Row],[Resources]])</f>
        <v/>
      </c>
      <c r="U81" s="106"/>
    </row>
    <row r="82" spans="1:21" x14ac:dyDescent="0.25">
      <c r="A82" s="106">
        <v>80</v>
      </c>
      <c r="B82" s="103">
        <f t="shared" si="1"/>
        <v>45279</v>
      </c>
      <c r="C82" s="109">
        <f>YEAR(GC[[#This Row],[Date]])+IF(MONTH(GC[[#This Row],[Date]])&gt;=4,1,0)</f>
        <v>2024</v>
      </c>
      <c r="D82" s="110">
        <f>YEAR(GC[[#This Row],[Date]])</f>
        <v>2023</v>
      </c>
      <c r="E82" s="101" t="s">
        <v>73</v>
      </c>
      <c r="F82" s="101" t="s">
        <v>73</v>
      </c>
      <c r="G82" s="102" t="str">
        <f>TEXT(GC[[#This Row],[Date]],"mmm-yy")</f>
        <v>Dec-23</v>
      </c>
      <c r="H82" s="102">
        <f>DAY(EOMONTH(GC[[#This Row],[Month Year]],0))</f>
        <v>31</v>
      </c>
      <c r="I82" s="106"/>
      <c r="J82" s="106"/>
      <c r="K82" s="106"/>
      <c r="L82" s="106"/>
      <c r="M82" s="106"/>
      <c r="N82" s="106"/>
      <c r="O82" s="106"/>
      <c r="P82" s="106"/>
      <c r="Q82" s="106"/>
      <c r="R82" s="106"/>
      <c r="S82" s="1">
        <f>SUM(GC[[#This Row],[Blk1]:[Blk8]])</f>
        <v>0</v>
      </c>
      <c r="T82" s="106" t="str">
        <f>PROPER(GC[[#This Row],[Resources]])</f>
        <v/>
      </c>
      <c r="U82" s="106"/>
    </row>
    <row r="83" spans="1:21" x14ac:dyDescent="0.25">
      <c r="A83" s="106">
        <v>81</v>
      </c>
      <c r="B83" s="103">
        <f t="shared" si="1"/>
        <v>45280</v>
      </c>
      <c r="C83" s="109">
        <f>YEAR(GC[[#This Row],[Date]])+IF(MONTH(GC[[#This Row],[Date]])&gt;=4,1,0)</f>
        <v>2024</v>
      </c>
      <c r="D83" s="110">
        <f>YEAR(GC[[#This Row],[Date]])</f>
        <v>2023</v>
      </c>
      <c r="E83" s="101" t="s">
        <v>73</v>
      </c>
      <c r="F83" s="101" t="s">
        <v>73</v>
      </c>
      <c r="G83" s="102" t="str">
        <f>TEXT(GC[[#This Row],[Date]],"mmm-yy")</f>
        <v>Dec-23</v>
      </c>
      <c r="H83" s="102">
        <f>DAY(EOMONTH(GC[[#This Row],[Month Year]],0))</f>
        <v>31</v>
      </c>
      <c r="I83" s="106"/>
      <c r="J83" s="106"/>
      <c r="K83" s="106"/>
      <c r="L83" s="106"/>
      <c r="M83" s="106"/>
      <c r="N83" s="106"/>
      <c r="O83" s="106"/>
      <c r="P83" s="106"/>
      <c r="Q83" s="106"/>
      <c r="R83" s="106"/>
      <c r="S83" s="1">
        <f>SUM(GC[[#This Row],[Blk1]:[Blk8]])</f>
        <v>0</v>
      </c>
      <c r="T83" s="106" t="str">
        <f>PROPER(GC[[#This Row],[Resources]])</f>
        <v/>
      </c>
      <c r="U83" s="106"/>
    </row>
    <row r="84" spans="1:21" x14ac:dyDescent="0.25">
      <c r="A84" s="106">
        <v>82</v>
      </c>
      <c r="B84" s="103">
        <f t="shared" si="1"/>
        <v>45281</v>
      </c>
      <c r="C84" s="109">
        <f>YEAR(GC[[#This Row],[Date]])+IF(MONTH(GC[[#This Row],[Date]])&gt;=4,1,0)</f>
        <v>2024</v>
      </c>
      <c r="D84" s="110">
        <f>YEAR(GC[[#This Row],[Date]])</f>
        <v>2023</v>
      </c>
      <c r="E84" s="101" t="s">
        <v>73</v>
      </c>
      <c r="F84" s="101" t="s">
        <v>73</v>
      </c>
      <c r="G84" s="102" t="str">
        <f>TEXT(GC[[#This Row],[Date]],"mmm-yy")</f>
        <v>Dec-23</v>
      </c>
      <c r="H84" s="102">
        <f>DAY(EOMONTH(GC[[#This Row],[Month Year]],0))</f>
        <v>31</v>
      </c>
      <c r="I84" s="106"/>
      <c r="J84" s="106"/>
      <c r="K84" s="106"/>
      <c r="L84" s="106"/>
      <c r="M84" s="106"/>
      <c r="N84" s="106"/>
      <c r="O84" s="106"/>
      <c r="P84" s="106"/>
      <c r="Q84" s="106"/>
      <c r="R84" s="106"/>
      <c r="S84" s="1">
        <f>SUM(GC[[#This Row],[Blk1]:[Blk8]])</f>
        <v>0</v>
      </c>
      <c r="T84" s="106" t="str">
        <f>PROPER(GC[[#This Row],[Resources]])</f>
        <v/>
      </c>
      <c r="U84" s="106"/>
    </row>
    <row r="85" spans="1:21" x14ac:dyDescent="0.25">
      <c r="A85" s="106">
        <v>83</v>
      </c>
      <c r="B85" s="103">
        <f t="shared" si="1"/>
        <v>45282</v>
      </c>
      <c r="C85" s="109">
        <f>YEAR(GC[[#This Row],[Date]])+IF(MONTH(GC[[#This Row],[Date]])&gt;=4,1,0)</f>
        <v>2024</v>
      </c>
      <c r="D85" s="110">
        <f>YEAR(GC[[#This Row],[Date]])</f>
        <v>2023</v>
      </c>
      <c r="E85" s="101" t="s">
        <v>73</v>
      </c>
      <c r="F85" s="101" t="s">
        <v>73</v>
      </c>
      <c r="G85" s="102" t="str">
        <f>TEXT(GC[[#This Row],[Date]],"mmm-yy")</f>
        <v>Dec-23</v>
      </c>
      <c r="H85" s="102">
        <f>DAY(EOMONTH(GC[[#This Row],[Month Year]],0))</f>
        <v>31</v>
      </c>
      <c r="I85" s="106"/>
      <c r="J85" s="106"/>
      <c r="K85" s="106"/>
      <c r="L85" s="106"/>
      <c r="M85" s="106"/>
      <c r="N85" s="106"/>
      <c r="O85" s="106"/>
      <c r="P85" s="106"/>
      <c r="Q85" s="106"/>
      <c r="R85" s="106"/>
      <c r="S85" s="1">
        <f>SUM(GC[[#This Row],[Blk1]:[Blk8]])</f>
        <v>0</v>
      </c>
      <c r="T85" s="106" t="str">
        <f>PROPER(GC[[#This Row],[Resources]])</f>
        <v/>
      </c>
      <c r="U85" s="106"/>
    </row>
    <row r="86" spans="1:21" x14ac:dyDescent="0.25">
      <c r="A86" s="106">
        <v>84</v>
      </c>
      <c r="B86" s="103">
        <f t="shared" si="1"/>
        <v>45283</v>
      </c>
      <c r="C86" s="109">
        <f>YEAR(GC[[#This Row],[Date]])+IF(MONTH(GC[[#This Row],[Date]])&gt;=4,1,0)</f>
        <v>2024</v>
      </c>
      <c r="D86" s="110">
        <f>YEAR(GC[[#This Row],[Date]])</f>
        <v>2023</v>
      </c>
      <c r="E86" s="101" t="s">
        <v>73</v>
      </c>
      <c r="F86" s="101" t="s">
        <v>73</v>
      </c>
      <c r="G86" s="102" t="str">
        <f>TEXT(GC[[#This Row],[Date]],"mmm-yy")</f>
        <v>Dec-23</v>
      </c>
      <c r="H86" s="102">
        <f>DAY(EOMONTH(GC[[#This Row],[Month Year]],0))</f>
        <v>31</v>
      </c>
      <c r="I86" s="106"/>
      <c r="J86" s="106"/>
      <c r="K86" s="106"/>
      <c r="L86" s="106"/>
      <c r="M86" s="106"/>
      <c r="N86" s="106"/>
      <c r="O86" s="106"/>
      <c r="P86" s="106"/>
      <c r="Q86" s="106"/>
      <c r="R86" s="106"/>
      <c r="S86" s="1">
        <f>SUM(GC[[#This Row],[Blk1]:[Blk8]])</f>
        <v>0</v>
      </c>
      <c r="T86" s="106" t="str">
        <f>PROPER(GC[[#This Row],[Resources]])</f>
        <v/>
      </c>
      <c r="U86" s="106"/>
    </row>
    <row r="87" spans="1:21" x14ac:dyDescent="0.25">
      <c r="A87" s="106">
        <v>85</v>
      </c>
      <c r="B87" s="103">
        <f t="shared" si="1"/>
        <v>45284</v>
      </c>
      <c r="C87" s="109">
        <f>YEAR(GC[[#This Row],[Date]])+IF(MONTH(GC[[#This Row],[Date]])&gt;=4,1,0)</f>
        <v>2024</v>
      </c>
      <c r="D87" s="110">
        <f>YEAR(GC[[#This Row],[Date]])</f>
        <v>2023</v>
      </c>
      <c r="E87" s="101" t="s">
        <v>73</v>
      </c>
      <c r="F87" s="101" t="s">
        <v>73</v>
      </c>
      <c r="G87" s="102" t="str">
        <f>TEXT(GC[[#This Row],[Date]],"mmm-yy")</f>
        <v>Dec-23</v>
      </c>
      <c r="H87" s="102">
        <f>DAY(EOMONTH(GC[[#This Row],[Month Year]],0))</f>
        <v>31</v>
      </c>
      <c r="I87" s="106"/>
      <c r="J87" s="106"/>
      <c r="K87" s="106"/>
      <c r="L87" s="106"/>
      <c r="M87" s="106"/>
      <c r="N87" s="106"/>
      <c r="O87" s="106"/>
      <c r="P87" s="106"/>
      <c r="Q87" s="106"/>
      <c r="R87" s="106"/>
      <c r="S87" s="1">
        <f>SUM(GC[[#This Row],[Blk1]:[Blk8]])</f>
        <v>0</v>
      </c>
      <c r="T87" s="106" t="str">
        <f>PROPER(GC[[#This Row],[Resources]])</f>
        <v/>
      </c>
      <c r="U87" s="106"/>
    </row>
    <row r="88" spans="1:21" x14ac:dyDescent="0.25">
      <c r="A88" s="106">
        <v>86</v>
      </c>
      <c r="B88" s="103">
        <f t="shared" si="1"/>
        <v>45285</v>
      </c>
      <c r="C88" s="109">
        <f>YEAR(GC[[#This Row],[Date]])+IF(MONTH(GC[[#This Row],[Date]])&gt;=4,1,0)</f>
        <v>2024</v>
      </c>
      <c r="D88" s="110">
        <f>YEAR(GC[[#This Row],[Date]])</f>
        <v>2023</v>
      </c>
      <c r="E88" s="101" t="s">
        <v>73</v>
      </c>
      <c r="F88" s="101" t="s">
        <v>73</v>
      </c>
      <c r="G88" s="102" t="str">
        <f>TEXT(GC[[#This Row],[Date]],"mmm-yy")</f>
        <v>Dec-23</v>
      </c>
      <c r="H88" s="102">
        <f>DAY(EOMONTH(GC[[#This Row],[Month Year]],0))</f>
        <v>31</v>
      </c>
      <c r="I88" s="106"/>
      <c r="J88" s="106"/>
      <c r="K88" s="106"/>
      <c r="L88" s="106"/>
      <c r="M88" s="106"/>
      <c r="N88" s="106"/>
      <c r="O88" s="106"/>
      <c r="P88" s="106"/>
      <c r="Q88" s="106"/>
      <c r="R88" s="106"/>
      <c r="S88" s="1">
        <f>SUM(GC[[#This Row],[Blk1]:[Blk8]])</f>
        <v>0</v>
      </c>
      <c r="T88" s="106" t="str">
        <f>PROPER(GC[[#This Row],[Resources]])</f>
        <v/>
      </c>
      <c r="U88" s="106"/>
    </row>
    <row r="89" spans="1:21" x14ac:dyDescent="0.25">
      <c r="A89" s="106">
        <v>87</v>
      </c>
      <c r="B89" s="103">
        <f t="shared" si="1"/>
        <v>45286</v>
      </c>
      <c r="C89" s="109">
        <f>YEAR(GC[[#This Row],[Date]])+IF(MONTH(GC[[#This Row],[Date]])&gt;=4,1,0)</f>
        <v>2024</v>
      </c>
      <c r="D89" s="110">
        <f>YEAR(GC[[#This Row],[Date]])</f>
        <v>2023</v>
      </c>
      <c r="E89" s="101" t="s">
        <v>73</v>
      </c>
      <c r="F89" s="101" t="s">
        <v>73</v>
      </c>
      <c r="G89" s="102" t="str">
        <f>TEXT(GC[[#This Row],[Date]],"mmm-yy")</f>
        <v>Dec-23</v>
      </c>
      <c r="H89" s="102">
        <f>DAY(EOMONTH(GC[[#This Row],[Month Year]],0))</f>
        <v>31</v>
      </c>
      <c r="I89" s="106"/>
      <c r="J89" s="106"/>
      <c r="K89" s="106"/>
      <c r="L89" s="106"/>
      <c r="M89" s="106"/>
      <c r="N89" s="106"/>
      <c r="O89" s="106"/>
      <c r="P89" s="106"/>
      <c r="Q89" s="106"/>
      <c r="R89" s="106"/>
      <c r="S89" s="1">
        <f>SUM(GC[[#This Row],[Blk1]:[Blk8]])</f>
        <v>0</v>
      </c>
      <c r="T89" s="106" t="str">
        <f>PROPER(GC[[#This Row],[Resources]])</f>
        <v/>
      </c>
      <c r="U89" s="106"/>
    </row>
    <row r="90" spans="1:21" x14ac:dyDescent="0.25">
      <c r="A90" s="106">
        <v>88</v>
      </c>
      <c r="B90" s="103">
        <f t="shared" si="1"/>
        <v>45287</v>
      </c>
      <c r="C90" s="109">
        <f>YEAR(GC[[#This Row],[Date]])+IF(MONTH(GC[[#This Row],[Date]])&gt;=4,1,0)</f>
        <v>2024</v>
      </c>
      <c r="D90" s="110">
        <f>YEAR(GC[[#This Row],[Date]])</f>
        <v>2023</v>
      </c>
      <c r="E90" s="101" t="s">
        <v>73</v>
      </c>
      <c r="F90" s="101" t="s">
        <v>73</v>
      </c>
      <c r="G90" s="102" t="str">
        <f>TEXT(GC[[#This Row],[Date]],"mmm-yy")</f>
        <v>Dec-23</v>
      </c>
      <c r="H90" s="102">
        <f>DAY(EOMONTH(GC[[#This Row],[Month Year]],0))</f>
        <v>31</v>
      </c>
      <c r="I90" s="106"/>
      <c r="J90" s="106"/>
      <c r="K90" s="106"/>
      <c r="L90" s="106"/>
      <c r="M90" s="106"/>
      <c r="N90" s="106"/>
      <c r="O90" s="106"/>
      <c r="P90" s="106"/>
      <c r="Q90" s="106"/>
      <c r="R90" s="106"/>
      <c r="S90" s="1">
        <f>SUM(GC[[#This Row],[Blk1]:[Blk8]])</f>
        <v>0</v>
      </c>
      <c r="T90" s="106" t="str">
        <f>PROPER(GC[[#This Row],[Resources]])</f>
        <v/>
      </c>
      <c r="U90" s="106"/>
    </row>
    <row r="91" spans="1:21" x14ac:dyDescent="0.25">
      <c r="A91" s="106">
        <v>89</v>
      </c>
      <c r="B91" s="103">
        <f t="shared" si="1"/>
        <v>45288</v>
      </c>
      <c r="C91" s="109">
        <f>YEAR(GC[[#This Row],[Date]])+IF(MONTH(GC[[#This Row],[Date]])&gt;=4,1,0)</f>
        <v>2024</v>
      </c>
      <c r="D91" s="110">
        <f>YEAR(GC[[#This Row],[Date]])</f>
        <v>2023</v>
      </c>
      <c r="E91" s="101" t="s">
        <v>73</v>
      </c>
      <c r="F91" s="101" t="s">
        <v>73</v>
      </c>
      <c r="G91" s="102" t="str">
        <f>TEXT(GC[[#This Row],[Date]],"mmm-yy")</f>
        <v>Dec-23</v>
      </c>
      <c r="H91" s="102">
        <f>DAY(EOMONTH(GC[[#This Row],[Month Year]],0))</f>
        <v>31</v>
      </c>
      <c r="I91" s="106"/>
      <c r="J91" s="106"/>
      <c r="K91" s="106"/>
      <c r="L91" s="106"/>
      <c r="M91" s="106"/>
      <c r="N91" s="106"/>
      <c r="O91" s="106"/>
      <c r="P91" s="106"/>
      <c r="Q91" s="106"/>
      <c r="R91" s="106"/>
      <c r="S91" s="1">
        <f>SUM(GC[[#This Row],[Blk1]:[Blk8]])</f>
        <v>0</v>
      </c>
      <c r="T91" s="106" t="str">
        <f>PROPER(GC[[#This Row],[Resources]])</f>
        <v/>
      </c>
      <c r="U91" s="106"/>
    </row>
    <row r="92" spans="1:21" x14ac:dyDescent="0.25">
      <c r="A92" s="106">
        <v>90</v>
      </c>
      <c r="B92" s="103">
        <f t="shared" si="1"/>
        <v>45289</v>
      </c>
      <c r="C92" s="109">
        <f>YEAR(GC[[#This Row],[Date]])+IF(MONTH(GC[[#This Row],[Date]])&gt;=4,1,0)</f>
        <v>2024</v>
      </c>
      <c r="D92" s="110">
        <f>YEAR(GC[[#This Row],[Date]])</f>
        <v>2023</v>
      </c>
      <c r="E92" s="101" t="s">
        <v>73</v>
      </c>
      <c r="F92" s="101" t="s">
        <v>73</v>
      </c>
      <c r="G92" s="102" t="str">
        <f>TEXT(GC[[#This Row],[Date]],"mmm-yy")</f>
        <v>Dec-23</v>
      </c>
      <c r="H92" s="102">
        <f>DAY(EOMONTH(GC[[#This Row],[Month Year]],0))</f>
        <v>31</v>
      </c>
      <c r="I92" s="106"/>
      <c r="J92" s="106"/>
      <c r="K92" s="106"/>
      <c r="L92" s="106"/>
      <c r="M92" s="106"/>
      <c r="N92" s="106"/>
      <c r="O92" s="106"/>
      <c r="P92" s="106"/>
      <c r="Q92" s="106"/>
      <c r="R92" s="106"/>
      <c r="S92" s="1">
        <f>SUM(GC[[#This Row],[Blk1]:[Blk8]])</f>
        <v>0</v>
      </c>
      <c r="T92" s="106" t="str">
        <f>PROPER(GC[[#This Row],[Resources]])</f>
        <v/>
      </c>
      <c r="U92" s="106"/>
    </row>
    <row r="93" spans="1:21" x14ac:dyDescent="0.25">
      <c r="A93" s="106">
        <v>91</v>
      </c>
      <c r="B93" s="103">
        <f t="shared" si="1"/>
        <v>45290</v>
      </c>
      <c r="C93" s="109">
        <f>YEAR(GC[[#This Row],[Date]])+IF(MONTH(GC[[#This Row],[Date]])&gt;=4,1,0)</f>
        <v>2024</v>
      </c>
      <c r="D93" s="110">
        <f>YEAR(GC[[#This Row],[Date]])</f>
        <v>2023</v>
      </c>
      <c r="E93" s="101" t="s">
        <v>73</v>
      </c>
      <c r="F93" s="101" t="s">
        <v>73</v>
      </c>
      <c r="G93" s="102" t="str">
        <f>TEXT(GC[[#This Row],[Date]],"mmm-yy")</f>
        <v>Dec-23</v>
      </c>
      <c r="H93" s="102">
        <f>DAY(EOMONTH(GC[[#This Row],[Month Year]],0))</f>
        <v>31</v>
      </c>
      <c r="I93" s="106"/>
      <c r="J93" s="106"/>
      <c r="K93" s="106"/>
      <c r="L93" s="106"/>
      <c r="M93" s="106"/>
      <c r="N93" s="106"/>
      <c r="O93" s="106"/>
      <c r="P93" s="106"/>
      <c r="Q93" s="106"/>
      <c r="R93" s="106"/>
      <c r="S93" s="1">
        <f>SUM(GC[[#This Row],[Blk1]:[Blk8]])</f>
        <v>0</v>
      </c>
      <c r="T93" s="106" t="str">
        <f>PROPER(GC[[#This Row],[Resources]])</f>
        <v/>
      </c>
      <c r="U93" s="106"/>
    </row>
    <row r="94" spans="1:21" x14ac:dyDescent="0.25">
      <c r="A94" s="106">
        <v>92</v>
      </c>
      <c r="B94" s="103">
        <f t="shared" si="1"/>
        <v>45291</v>
      </c>
      <c r="C94" s="109">
        <f>YEAR(GC[[#This Row],[Date]])+IF(MONTH(GC[[#This Row],[Date]])&gt;=4,1,0)</f>
        <v>2024</v>
      </c>
      <c r="D94" s="110">
        <f>YEAR(GC[[#This Row],[Date]])</f>
        <v>2023</v>
      </c>
      <c r="E94" s="101" t="s">
        <v>73</v>
      </c>
      <c r="F94" s="101" t="s">
        <v>73</v>
      </c>
      <c r="G94" s="102" t="str">
        <f>TEXT(GC[[#This Row],[Date]],"mmm-yy")</f>
        <v>Dec-23</v>
      </c>
      <c r="H94" s="102">
        <f>DAY(EOMONTH(GC[[#This Row],[Month Year]],0))</f>
        <v>31</v>
      </c>
      <c r="I94" s="106"/>
      <c r="J94" s="106"/>
      <c r="K94" s="106"/>
      <c r="L94" s="106"/>
      <c r="M94" s="106"/>
      <c r="N94" s="106"/>
      <c r="O94" s="106"/>
      <c r="P94" s="106"/>
      <c r="Q94" s="106"/>
      <c r="R94" s="106"/>
      <c r="S94" s="1">
        <f>SUM(GC[[#This Row],[Blk1]:[Blk8]])</f>
        <v>0</v>
      </c>
      <c r="T94" s="106" t="str">
        <f>PROPER(GC[[#This Row],[Resources]])</f>
        <v/>
      </c>
      <c r="U94" s="106"/>
    </row>
    <row r="95" spans="1:21" x14ac:dyDescent="0.25">
      <c r="A95" s="106">
        <v>93</v>
      </c>
      <c r="B95" s="103">
        <f t="shared" si="1"/>
        <v>45292</v>
      </c>
      <c r="C95" s="109">
        <f>YEAR(GC[[#This Row],[Date]])+IF(MONTH(GC[[#This Row],[Date]])&gt;=4,1,0)</f>
        <v>2024</v>
      </c>
      <c r="D95" s="110">
        <f>YEAR(GC[[#This Row],[Date]])</f>
        <v>2024</v>
      </c>
      <c r="E95" s="101" t="s">
        <v>73</v>
      </c>
      <c r="F95" s="101" t="s">
        <v>73</v>
      </c>
      <c r="G95" s="102" t="str">
        <f>TEXT(GC[[#This Row],[Date]],"mmm-yy")</f>
        <v>Jan-24</v>
      </c>
      <c r="H95" s="102">
        <f>DAY(EOMONTH(GC[[#This Row],[Month Year]],0))</f>
        <v>31</v>
      </c>
      <c r="I95" s="106"/>
      <c r="J95" s="106"/>
      <c r="K95" s="106"/>
      <c r="L95" s="106"/>
      <c r="M95" s="106"/>
      <c r="N95" s="106"/>
      <c r="O95" s="106"/>
      <c r="P95" s="106"/>
      <c r="Q95" s="106"/>
      <c r="R95" s="106"/>
      <c r="S95" s="1">
        <f>SUM(GC[[#This Row],[Blk1]:[Blk8]])</f>
        <v>0</v>
      </c>
      <c r="T95" s="106" t="str">
        <f>PROPER(GC[[#This Row],[Resources]])</f>
        <v/>
      </c>
      <c r="U95" s="106"/>
    </row>
    <row r="96" spans="1:21" x14ac:dyDescent="0.25">
      <c r="A96" s="106">
        <v>94</v>
      </c>
      <c r="B96" s="103">
        <f t="shared" si="1"/>
        <v>45293</v>
      </c>
      <c r="C96" s="109">
        <f>YEAR(GC[[#This Row],[Date]])+IF(MONTH(GC[[#This Row],[Date]])&gt;=4,1,0)</f>
        <v>2024</v>
      </c>
      <c r="D96" s="110">
        <f>YEAR(GC[[#This Row],[Date]])</f>
        <v>2024</v>
      </c>
      <c r="E96" s="101" t="s">
        <v>73</v>
      </c>
      <c r="F96" s="101" t="s">
        <v>73</v>
      </c>
      <c r="G96" s="102" t="str">
        <f>TEXT(GC[[#This Row],[Date]],"mmm-yy")</f>
        <v>Jan-24</v>
      </c>
      <c r="H96" s="102">
        <f>DAY(EOMONTH(GC[[#This Row],[Month Year]],0))</f>
        <v>31</v>
      </c>
      <c r="I96" s="106"/>
      <c r="J96" s="106"/>
      <c r="K96" s="106"/>
      <c r="L96" s="106"/>
      <c r="M96" s="106"/>
      <c r="N96" s="106"/>
      <c r="O96" s="106"/>
      <c r="P96" s="106"/>
      <c r="Q96" s="106"/>
      <c r="R96" s="106"/>
      <c r="S96" s="1">
        <f>SUM(GC[[#This Row],[Blk1]:[Blk8]])</f>
        <v>0</v>
      </c>
      <c r="T96" s="106" t="str">
        <f>PROPER(GC[[#This Row],[Resources]])</f>
        <v/>
      </c>
      <c r="U96" s="106"/>
    </row>
    <row r="97" spans="1:21" x14ac:dyDescent="0.25">
      <c r="A97" s="106">
        <v>95</v>
      </c>
      <c r="B97" s="103">
        <f t="shared" si="1"/>
        <v>45294</v>
      </c>
      <c r="C97" s="109">
        <f>YEAR(GC[[#This Row],[Date]])+IF(MONTH(GC[[#This Row],[Date]])&gt;=4,1,0)</f>
        <v>2024</v>
      </c>
      <c r="D97" s="110">
        <f>YEAR(GC[[#This Row],[Date]])</f>
        <v>2024</v>
      </c>
      <c r="E97" s="101" t="s">
        <v>73</v>
      </c>
      <c r="F97" s="101" t="s">
        <v>73</v>
      </c>
      <c r="G97" s="102" t="str">
        <f>TEXT(GC[[#This Row],[Date]],"mmm-yy")</f>
        <v>Jan-24</v>
      </c>
      <c r="H97" s="102">
        <f>DAY(EOMONTH(GC[[#This Row],[Month Year]],0))</f>
        <v>31</v>
      </c>
      <c r="I97" s="106"/>
      <c r="J97" s="106"/>
      <c r="K97" s="106"/>
      <c r="L97" s="106"/>
      <c r="M97" s="106"/>
      <c r="N97" s="106"/>
      <c r="O97" s="106"/>
      <c r="P97" s="106"/>
      <c r="Q97" s="106"/>
      <c r="R97" s="106"/>
      <c r="S97" s="1">
        <f>SUM(GC[[#This Row],[Blk1]:[Blk8]])</f>
        <v>0</v>
      </c>
      <c r="T97" s="106" t="str">
        <f>PROPER(GC[[#This Row],[Resources]])</f>
        <v/>
      </c>
      <c r="U97" s="106"/>
    </row>
    <row r="98" spans="1:21" x14ac:dyDescent="0.25">
      <c r="A98" s="106">
        <v>96</v>
      </c>
      <c r="B98" s="103">
        <f t="shared" si="1"/>
        <v>45295</v>
      </c>
      <c r="C98" s="109">
        <f>YEAR(GC[[#This Row],[Date]])+IF(MONTH(GC[[#This Row],[Date]])&gt;=4,1,0)</f>
        <v>2024</v>
      </c>
      <c r="D98" s="110">
        <f>YEAR(GC[[#This Row],[Date]])</f>
        <v>2024</v>
      </c>
      <c r="E98" s="101" t="s">
        <v>73</v>
      </c>
      <c r="F98" s="101" t="s">
        <v>73</v>
      </c>
      <c r="G98" s="102" t="str">
        <f>TEXT(GC[[#This Row],[Date]],"mmm-yy")</f>
        <v>Jan-24</v>
      </c>
      <c r="H98" s="102">
        <f>DAY(EOMONTH(GC[[#This Row],[Month Year]],0))</f>
        <v>31</v>
      </c>
      <c r="I98" s="106"/>
      <c r="J98" s="106"/>
      <c r="K98" s="106"/>
      <c r="L98" s="106"/>
      <c r="M98" s="106"/>
      <c r="N98" s="106"/>
      <c r="O98" s="106"/>
      <c r="P98" s="106"/>
      <c r="Q98" s="106"/>
      <c r="R98" s="106"/>
      <c r="S98" s="1">
        <f>SUM(GC[[#This Row],[Blk1]:[Blk8]])</f>
        <v>0</v>
      </c>
      <c r="T98" s="106" t="str">
        <f>PROPER(GC[[#This Row],[Resources]])</f>
        <v/>
      </c>
      <c r="U98" s="106"/>
    </row>
    <row r="99" spans="1:21" x14ac:dyDescent="0.25">
      <c r="A99" s="106">
        <v>97</v>
      </c>
      <c r="B99" s="103">
        <f t="shared" si="1"/>
        <v>45296</v>
      </c>
      <c r="C99" s="109">
        <f>YEAR(GC[[#This Row],[Date]])+IF(MONTH(GC[[#This Row],[Date]])&gt;=4,1,0)</f>
        <v>2024</v>
      </c>
      <c r="D99" s="110">
        <f>YEAR(GC[[#This Row],[Date]])</f>
        <v>2024</v>
      </c>
      <c r="E99" s="101" t="s">
        <v>73</v>
      </c>
      <c r="F99" s="101" t="s">
        <v>73</v>
      </c>
      <c r="G99" s="102" t="str">
        <f>TEXT(GC[[#This Row],[Date]],"mmm-yy")</f>
        <v>Jan-24</v>
      </c>
      <c r="H99" s="102">
        <f>DAY(EOMONTH(GC[[#This Row],[Month Year]],0))</f>
        <v>31</v>
      </c>
      <c r="I99" s="106"/>
      <c r="J99" s="106"/>
      <c r="K99" s="106"/>
      <c r="L99" s="106"/>
      <c r="M99" s="106"/>
      <c r="N99" s="106"/>
      <c r="O99" s="106"/>
      <c r="P99" s="106"/>
      <c r="Q99" s="106"/>
      <c r="R99" s="106"/>
      <c r="S99" s="1">
        <f>SUM(GC[[#This Row],[Blk1]:[Blk8]])</f>
        <v>0</v>
      </c>
      <c r="T99" s="106" t="str">
        <f>PROPER(GC[[#This Row],[Resources]])</f>
        <v/>
      </c>
      <c r="U99" s="106"/>
    </row>
    <row r="100" spans="1:21" x14ac:dyDescent="0.25">
      <c r="A100" s="106">
        <v>98</v>
      </c>
      <c r="B100" s="103">
        <f t="shared" si="1"/>
        <v>45297</v>
      </c>
      <c r="C100" s="109">
        <f>YEAR(GC[[#This Row],[Date]])+IF(MONTH(GC[[#This Row],[Date]])&gt;=4,1,0)</f>
        <v>2024</v>
      </c>
      <c r="D100" s="110">
        <f>YEAR(GC[[#This Row],[Date]])</f>
        <v>2024</v>
      </c>
      <c r="E100" s="101" t="s">
        <v>73</v>
      </c>
      <c r="F100" s="101" t="s">
        <v>73</v>
      </c>
      <c r="G100" s="102" t="str">
        <f>TEXT(GC[[#This Row],[Date]],"mmm-yy")</f>
        <v>Jan-24</v>
      </c>
      <c r="H100" s="102">
        <f>DAY(EOMONTH(GC[[#This Row],[Month Year]],0))</f>
        <v>31</v>
      </c>
      <c r="I100" s="106"/>
      <c r="J100" s="106"/>
      <c r="K100" s="106"/>
      <c r="L100" s="106"/>
      <c r="M100" s="106"/>
      <c r="N100" s="106"/>
      <c r="O100" s="106"/>
      <c r="P100" s="106"/>
      <c r="Q100" s="106"/>
      <c r="R100" s="106"/>
      <c r="S100" s="1">
        <f>SUM(GC[[#This Row],[Blk1]:[Blk8]])</f>
        <v>0</v>
      </c>
      <c r="T100" s="106" t="str">
        <f>PROPER(GC[[#This Row],[Resources]])</f>
        <v/>
      </c>
      <c r="U100" s="106"/>
    </row>
    <row r="101" spans="1:21" x14ac:dyDescent="0.25">
      <c r="A101" s="106">
        <v>99</v>
      </c>
      <c r="B101" s="103">
        <f t="shared" si="1"/>
        <v>45298</v>
      </c>
      <c r="C101" s="109">
        <f>YEAR(GC[[#This Row],[Date]])+IF(MONTH(GC[[#This Row],[Date]])&gt;=4,1,0)</f>
        <v>2024</v>
      </c>
      <c r="D101" s="110">
        <f>YEAR(GC[[#This Row],[Date]])</f>
        <v>2024</v>
      </c>
      <c r="E101" s="101" t="s">
        <v>73</v>
      </c>
      <c r="F101" s="101" t="s">
        <v>73</v>
      </c>
      <c r="G101" s="102" t="str">
        <f>TEXT(GC[[#This Row],[Date]],"mmm-yy")</f>
        <v>Jan-24</v>
      </c>
      <c r="H101" s="102">
        <f>DAY(EOMONTH(GC[[#This Row],[Month Year]],0))</f>
        <v>31</v>
      </c>
      <c r="I101" s="106"/>
      <c r="J101" s="106"/>
      <c r="K101" s="106"/>
      <c r="L101" s="106"/>
      <c r="M101" s="106"/>
      <c r="N101" s="106"/>
      <c r="O101" s="106"/>
      <c r="P101" s="106"/>
      <c r="Q101" s="106"/>
      <c r="R101" s="106"/>
      <c r="S101" s="1">
        <f>SUM(GC[[#This Row],[Blk1]:[Blk8]])</f>
        <v>0</v>
      </c>
      <c r="T101" s="106" t="str">
        <f>PROPER(GC[[#This Row],[Resources]])</f>
        <v/>
      </c>
      <c r="U101" s="106"/>
    </row>
    <row r="102" spans="1:21" x14ac:dyDescent="0.25">
      <c r="A102" s="106">
        <v>100</v>
      </c>
      <c r="B102" s="103">
        <f t="shared" si="1"/>
        <v>45299</v>
      </c>
      <c r="C102" s="109">
        <f>YEAR(GC[[#This Row],[Date]])+IF(MONTH(GC[[#This Row],[Date]])&gt;=4,1,0)</f>
        <v>2024</v>
      </c>
      <c r="D102" s="110">
        <f>YEAR(GC[[#This Row],[Date]])</f>
        <v>2024</v>
      </c>
      <c r="E102" s="101" t="s">
        <v>73</v>
      </c>
      <c r="F102" s="101" t="s">
        <v>73</v>
      </c>
      <c r="G102" s="102" t="str">
        <f>TEXT(GC[[#This Row],[Date]],"mmm-yy")</f>
        <v>Jan-24</v>
      </c>
      <c r="H102" s="102">
        <f>DAY(EOMONTH(GC[[#This Row],[Month Year]],0))</f>
        <v>31</v>
      </c>
      <c r="I102" s="106"/>
      <c r="J102" s="106"/>
      <c r="K102" s="106"/>
      <c r="L102" s="106"/>
      <c r="M102" s="106"/>
      <c r="N102" s="106"/>
      <c r="O102" s="106"/>
      <c r="P102" s="106"/>
      <c r="Q102" s="106"/>
      <c r="R102" s="106"/>
      <c r="S102" s="1">
        <f>SUM(GC[[#This Row],[Blk1]:[Blk8]])</f>
        <v>0</v>
      </c>
      <c r="T102" s="106" t="str">
        <f>PROPER(GC[[#This Row],[Resources]])</f>
        <v/>
      </c>
      <c r="U102" s="106"/>
    </row>
    <row r="103" spans="1:21" x14ac:dyDescent="0.25">
      <c r="A103" s="106">
        <v>101</v>
      </c>
      <c r="B103" s="103">
        <f t="shared" si="1"/>
        <v>45300</v>
      </c>
      <c r="C103" s="109">
        <f>YEAR(GC[[#This Row],[Date]])+IF(MONTH(GC[[#This Row],[Date]])&gt;=4,1,0)</f>
        <v>2024</v>
      </c>
      <c r="D103" s="110">
        <f>YEAR(GC[[#This Row],[Date]])</f>
        <v>2024</v>
      </c>
      <c r="E103" s="101" t="s">
        <v>73</v>
      </c>
      <c r="F103" s="101" t="s">
        <v>73</v>
      </c>
      <c r="G103" s="102" t="str">
        <f>TEXT(GC[[#This Row],[Date]],"mmm-yy")</f>
        <v>Jan-24</v>
      </c>
      <c r="H103" s="102">
        <f>DAY(EOMONTH(GC[[#This Row],[Month Year]],0))</f>
        <v>31</v>
      </c>
      <c r="I103" s="106"/>
      <c r="J103" s="106"/>
      <c r="K103" s="106"/>
      <c r="L103" s="106"/>
      <c r="M103" s="106"/>
      <c r="N103" s="106"/>
      <c r="O103" s="106"/>
      <c r="P103" s="106"/>
      <c r="Q103" s="106"/>
      <c r="R103" s="106"/>
      <c r="S103" s="1">
        <f>SUM(GC[[#This Row],[Blk1]:[Blk8]])</f>
        <v>0</v>
      </c>
      <c r="T103" s="106" t="str">
        <f>PROPER(GC[[#This Row],[Resources]])</f>
        <v/>
      </c>
      <c r="U103" s="106"/>
    </row>
    <row r="104" spans="1:21" x14ac:dyDescent="0.25">
      <c r="A104" s="106">
        <v>102</v>
      </c>
      <c r="B104" s="103">
        <f t="shared" si="1"/>
        <v>45301</v>
      </c>
      <c r="C104" s="109">
        <f>YEAR(GC[[#This Row],[Date]])+IF(MONTH(GC[[#This Row],[Date]])&gt;=4,1,0)</f>
        <v>2024</v>
      </c>
      <c r="D104" s="110">
        <f>YEAR(GC[[#This Row],[Date]])</f>
        <v>2024</v>
      </c>
      <c r="E104" s="101" t="s">
        <v>73</v>
      </c>
      <c r="F104" s="101" t="s">
        <v>73</v>
      </c>
      <c r="G104" s="102" t="str">
        <f>TEXT(GC[[#This Row],[Date]],"mmm-yy")</f>
        <v>Jan-24</v>
      </c>
      <c r="H104" s="102">
        <f>DAY(EOMONTH(GC[[#This Row],[Month Year]],0))</f>
        <v>31</v>
      </c>
      <c r="I104" s="106"/>
      <c r="J104" s="106"/>
      <c r="K104" s="106"/>
      <c r="L104" s="106"/>
      <c r="M104" s="106"/>
      <c r="N104" s="106"/>
      <c r="O104" s="106"/>
      <c r="P104" s="106"/>
      <c r="Q104" s="106"/>
      <c r="R104" s="106"/>
      <c r="S104" s="1">
        <f>SUM(GC[[#This Row],[Blk1]:[Blk8]])</f>
        <v>0</v>
      </c>
      <c r="T104" s="106" t="str">
        <f>PROPER(GC[[#This Row],[Resources]])</f>
        <v/>
      </c>
      <c r="U104" s="106"/>
    </row>
    <row r="105" spans="1:21" x14ac:dyDescent="0.25">
      <c r="A105" s="106">
        <v>103</v>
      </c>
      <c r="B105" s="103">
        <f t="shared" si="1"/>
        <v>45302</v>
      </c>
      <c r="C105" s="109">
        <f>YEAR(GC[[#This Row],[Date]])+IF(MONTH(GC[[#This Row],[Date]])&gt;=4,1,0)</f>
        <v>2024</v>
      </c>
      <c r="D105" s="110">
        <f>YEAR(GC[[#This Row],[Date]])</f>
        <v>2024</v>
      </c>
      <c r="E105" s="101" t="s">
        <v>73</v>
      </c>
      <c r="F105" s="101" t="s">
        <v>73</v>
      </c>
      <c r="G105" s="102" t="str">
        <f>TEXT(GC[[#This Row],[Date]],"mmm-yy")</f>
        <v>Jan-24</v>
      </c>
      <c r="H105" s="102">
        <f>DAY(EOMONTH(GC[[#This Row],[Month Year]],0))</f>
        <v>31</v>
      </c>
      <c r="I105" s="106"/>
      <c r="J105" s="106"/>
      <c r="K105" s="106"/>
      <c r="L105" s="106"/>
      <c r="M105" s="106"/>
      <c r="N105" s="106"/>
      <c r="O105" s="106"/>
      <c r="P105" s="106"/>
      <c r="Q105" s="106"/>
      <c r="R105" s="106"/>
      <c r="S105" s="1">
        <f>SUM(GC[[#This Row],[Blk1]:[Blk8]])</f>
        <v>0</v>
      </c>
      <c r="T105" s="106" t="str">
        <f>PROPER(GC[[#This Row],[Resources]])</f>
        <v/>
      </c>
      <c r="U105" s="106"/>
    </row>
    <row r="106" spans="1:21" x14ac:dyDescent="0.25">
      <c r="A106" s="106">
        <v>104</v>
      </c>
      <c r="B106" s="103">
        <f t="shared" si="1"/>
        <v>45303</v>
      </c>
      <c r="C106" s="109">
        <f>YEAR(GC[[#This Row],[Date]])+IF(MONTH(GC[[#This Row],[Date]])&gt;=4,1,0)</f>
        <v>2024</v>
      </c>
      <c r="D106" s="110">
        <f>YEAR(GC[[#This Row],[Date]])</f>
        <v>2024</v>
      </c>
      <c r="E106" s="101" t="s">
        <v>73</v>
      </c>
      <c r="F106" s="101" t="s">
        <v>73</v>
      </c>
      <c r="G106" s="102" t="str">
        <f>TEXT(GC[[#This Row],[Date]],"mmm-yy")</f>
        <v>Jan-24</v>
      </c>
      <c r="H106" s="102">
        <f>DAY(EOMONTH(GC[[#This Row],[Month Year]],0))</f>
        <v>31</v>
      </c>
      <c r="I106" s="106"/>
      <c r="J106" s="106"/>
      <c r="K106" s="106"/>
      <c r="L106" s="106"/>
      <c r="M106" s="106"/>
      <c r="N106" s="106"/>
      <c r="O106" s="106"/>
      <c r="P106" s="106"/>
      <c r="Q106" s="106"/>
      <c r="R106" s="106"/>
      <c r="S106" s="1">
        <f>SUM(GC[[#This Row],[Blk1]:[Blk8]])</f>
        <v>0</v>
      </c>
      <c r="T106" s="106" t="str">
        <f>PROPER(GC[[#This Row],[Resources]])</f>
        <v/>
      </c>
      <c r="U106" s="106"/>
    </row>
    <row r="107" spans="1:21" x14ac:dyDescent="0.25">
      <c r="A107" s="106">
        <v>105</v>
      </c>
      <c r="B107" s="103">
        <f t="shared" si="1"/>
        <v>45304</v>
      </c>
      <c r="C107" s="109">
        <f>YEAR(GC[[#This Row],[Date]])+IF(MONTH(GC[[#This Row],[Date]])&gt;=4,1,0)</f>
        <v>2024</v>
      </c>
      <c r="D107" s="110">
        <f>YEAR(GC[[#This Row],[Date]])</f>
        <v>2024</v>
      </c>
      <c r="E107" s="101" t="s">
        <v>73</v>
      </c>
      <c r="F107" s="101" t="s">
        <v>73</v>
      </c>
      <c r="G107" s="102" t="str">
        <f>TEXT(GC[[#This Row],[Date]],"mmm-yy")</f>
        <v>Jan-24</v>
      </c>
      <c r="H107" s="102">
        <f>DAY(EOMONTH(GC[[#This Row],[Month Year]],0))</f>
        <v>31</v>
      </c>
      <c r="I107" s="106"/>
      <c r="J107" s="106"/>
      <c r="K107" s="106"/>
      <c r="L107" s="106"/>
      <c r="M107" s="106"/>
      <c r="N107" s="106"/>
      <c r="O107" s="106"/>
      <c r="P107" s="106"/>
      <c r="Q107" s="106"/>
      <c r="R107" s="106"/>
      <c r="S107" s="1">
        <f>SUM(GC[[#This Row],[Blk1]:[Blk8]])</f>
        <v>0</v>
      </c>
      <c r="T107" s="106" t="str">
        <f>PROPER(GC[[#This Row],[Resources]])</f>
        <v/>
      </c>
      <c r="U107" s="106"/>
    </row>
    <row r="108" spans="1:21" x14ac:dyDescent="0.25">
      <c r="A108" s="106">
        <v>106</v>
      </c>
      <c r="B108" s="103">
        <f t="shared" si="1"/>
        <v>45305</v>
      </c>
      <c r="C108" s="109">
        <f>YEAR(GC[[#This Row],[Date]])+IF(MONTH(GC[[#This Row],[Date]])&gt;=4,1,0)</f>
        <v>2024</v>
      </c>
      <c r="D108" s="110">
        <f>YEAR(GC[[#This Row],[Date]])</f>
        <v>2024</v>
      </c>
      <c r="E108" s="101" t="s">
        <v>73</v>
      </c>
      <c r="F108" s="101" t="s">
        <v>73</v>
      </c>
      <c r="G108" s="102" t="str">
        <f>TEXT(GC[[#This Row],[Date]],"mmm-yy")</f>
        <v>Jan-24</v>
      </c>
      <c r="H108" s="102">
        <f>DAY(EOMONTH(GC[[#This Row],[Month Year]],0))</f>
        <v>31</v>
      </c>
      <c r="I108" s="106"/>
      <c r="J108" s="106"/>
      <c r="K108" s="106"/>
      <c r="L108" s="106"/>
      <c r="M108" s="106"/>
      <c r="N108" s="106"/>
      <c r="O108" s="106"/>
      <c r="P108" s="106"/>
      <c r="Q108" s="106"/>
      <c r="R108" s="106"/>
      <c r="S108" s="1">
        <f>SUM(GC[[#This Row],[Blk1]:[Blk8]])</f>
        <v>0</v>
      </c>
      <c r="T108" s="106" t="str">
        <f>PROPER(GC[[#This Row],[Resources]])</f>
        <v/>
      </c>
      <c r="U108" s="106"/>
    </row>
    <row r="109" spans="1:21" x14ac:dyDescent="0.25">
      <c r="A109" s="106">
        <v>107</v>
      </c>
      <c r="B109" s="103">
        <f t="shared" si="1"/>
        <v>45306</v>
      </c>
      <c r="C109" s="109">
        <f>YEAR(GC[[#This Row],[Date]])+IF(MONTH(GC[[#This Row],[Date]])&gt;=4,1,0)</f>
        <v>2024</v>
      </c>
      <c r="D109" s="110">
        <f>YEAR(GC[[#This Row],[Date]])</f>
        <v>2024</v>
      </c>
      <c r="E109" s="101" t="s">
        <v>73</v>
      </c>
      <c r="F109" s="101" t="s">
        <v>73</v>
      </c>
      <c r="G109" s="102" t="str">
        <f>TEXT(GC[[#This Row],[Date]],"mmm-yy")</f>
        <v>Jan-24</v>
      </c>
      <c r="H109" s="102">
        <f>DAY(EOMONTH(GC[[#This Row],[Month Year]],0))</f>
        <v>31</v>
      </c>
      <c r="I109" s="106"/>
      <c r="J109" s="106"/>
      <c r="K109" s="106"/>
      <c r="L109" s="106"/>
      <c r="M109" s="106"/>
      <c r="N109" s="106"/>
      <c r="O109" s="106"/>
      <c r="P109" s="106"/>
      <c r="Q109" s="106"/>
      <c r="R109" s="106"/>
      <c r="S109" s="1">
        <f>SUM(GC[[#This Row],[Blk1]:[Blk8]])</f>
        <v>0</v>
      </c>
      <c r="T109" s="106" t="str">
        <f>PROPER(GC[[#This Row],[Resources]])</f>
        <v/>
      </c>
      <c r="U109" s="106"/>
    </row>
    <row r="110" spans="1:21" x14ac:dyDescent="0.25">
      <c r="A110" s="106">
        <v>108</v>
      </c>
      <c r="B110" s="103">
        <f t="shared" si="1"/>
        <v>45307</v>
      </c>
      <c r="C110" s="109">
        <f>YEAR(GC[[#This Row],[Date]])+IF(MONTH(GC[[#This Row],[Date]])&gt;=4,1,0)</f>
        <v>2024</v>
      </c>
      <c r="D110" s="110">
        <f>YEAR(GC[[#This Row],[Date]])</f>
        <v>2024</v>
      </c>
      <c r="E110" s="101" t="s">
        <v>73</v>
      </c>
      <c r="F110" s="101" t="s">
        <v>73</v>
      </c>
      <c r="G110" s="102" t="str">
        <f>TEXT(GC[[#This Row],[Date]],"mmm-yy")</f>
        <v>Jan-24</v>
      </c>
      <c r="H110" s="102">
        <f>DAY(EOMONTH(GC[[#This Row],[Month Year]],0))</f>
        <v>31</v>
      </c>
      <c r="I110" s="106"/>
      <c r="J110" s="106"/>
      <c r="K110" s="106"/>
      <c r="L110" s="106"/>
      <c r="M110" s="106"/>
      <c r="N110" s="106"/>
      <c r="O110" s="106"/>
      <c r="P110" s="106"/>
      <c r="Q110" s="106"/>
      <c r="R110" s="106"/>
      <c r="S110" s="1">
        <f>SUM(GC[[#This Row],[Blk1]:[Blk8]])</f>
        <v>0</v>
      </c>
      <c r="T110" s="106" t="str">
        <f>PROPER(GC[[#This Row],[Resources]])</f>
        <v/>
      </c>
      <c r="U110" s="106"/>
    </row>
    <row r="111" spans="1:21" x14ac:dyDescent="0.25">
      <c r="A111" s="106">
        <v>109</v>
      </c>
      <c r="B111" s="103">
        <f t="shared" si="1"/>
        <v>45308</v>
      </c>
      <c r="C111" s="109">
        <f>YEAR(GC[[#This Row],[Date]])+IF(MONTH(GC[[#This Row],[Date]])&gt;=4,1,0)</f>
        <v>2024</v>
      </c>
      <c r="D111" s="110">
        <f>YEAR(GC[[#This Row],[Date]])</f>
        <v>2024</v>
      </c>
      <c r="E111" s="101" t="s">
        <v>73</v>
      </c>
      <c r="F111" s="101" t="s">
        <v>73</v>
      </c>
      <c r="G111" s="102" t="str">
        <f>TEXT(GC[[#This Row],[Date]],"mmm-yy")</f>
        <v>Jan-24</v>
      </c>
      <c r="H111" s="102">
        <f>DAY(EOMONTH(GC[[#This Row],[Month Year]],0))</f>
        <v>31</v>
      </c>
      <c r="I111" s="106"/>
      <c r="J111" s="106"/>
      <c r="K111" s="106"/>
      <c r="L111" s="106"/>
      <c r="M111" s="106"/>
      <c r="N111" s="106"/>
      <c r="O111" s="106"/>
      <c r="P111" s="106"/>
      <c r="Q111" s="106"/>
      <c r="R111" s="106"/>
      <c r="S111" s="1">
        <f>SUM(GC[[#This Row],[Blk1]:[Blk8]])</f>
        <v>0</v>
      </c>
      <c r="T111" s="106" t="str">
        <f>PROPER(GC[[#This Row],[Resources]])</f>
        <v/>
      </c>
      <c r="U111" s="106"/>
    </row>
    <row r="112" spans="1:21" x14ac:dyDescent="0.25">
      <c r="A112" s="106">
        <v>110</v>
      </c>
      <c r="B112" s="103">
        <f t="shared" si="1"/>
        <v>45309</v>
      </c>
      <c r="C112" s="109">
        <f>YEAR(GC[[#This Row],[Date]])+IF(MONTH(GC[[#This Row],[Date]])&gt;=4,1,0)</f>
        <v>2024</v>
      </c>
      <c r="D112" s="110">
        <f>YEAR(GC[[#This Row],[Date]])</f>
        <v>2024</v>
      </c>
      <c r="E112" s="101" t="s">
        <v>73</v>
      </c>
      <c r="F112" s="101" t="s">
        <v>73</v>
      </c>
      <c r="G112" s="102" t="str">
        <f>TEXT(GC[[#This Row],[Date]],"mmm-yy")</f>
        <v>Jan-24</v>
      </c>
      <c r="H112" s="102">
        <f>DAY(EOMONTH(GC[[#This Row],[Month Year]],0))</f>
        <v>31</v>
      </c>
      <c r="I112" s="106"/>
      <c r="J112" s="106"/>
      <c r="K112" s="106"/>
      <c r="L112" s="106"/>
      <c r="M112" s="106"/>
      <c r="N112" s="106"/>
      <c r="O112" s="106"/>
      <c r="P112" s="106"/>
      <c r="Q112" s="106"/>
      <c r="R112" s="106"/>
      <c r="S112" s="1">
        <f>SUM(GC[[#This Row],[Blk1]:[Blk8]])</f>
        <v>0</v>
      </c>
      <c r="T112" s="106" t="str">
        <f>PROPER(GC[[#This Row],[Resources]])</f>
        <v/>
      </c>
      <c r="U112" s="106"/>
    </row>
    <row r="113" spans="1:21" x14ac:dyDescent="0.25">
      <c r="A113" s="106">
        <v>111</v>
      </c>
      <c r="B113" s="103">
        <f t="shared" si="1"/>
        <v>45310</v>
      </c>
      <c r="C113" s="109">
        <f>YEAR(GC[[#This Row],[Date]])+IF(MONTH(GC[[#This Row],[Date]])&gt;=4,1,0)</f>
        <v>2024</v>
      </c>
      <c r="D113" s="110">
        <f>YEAR(GC[[#This Row],[Date]])</f>
        <v>2024</v>
      </c>
      <c r="E113" s="101" t="s">
        <v>73</v>
      </c>
      <c r="F113" s="101" t="s">
        <v>73</v>
      </c>
      <c r="G113" s="102" t="str">
        <f>TEXT(GC[[#This Row],[Date]],"mmm-yy")</f>
        <v>Jan-24</v>
      </c>
      <c r="H113" s="102">
        <f>DAY(EOMONTH(GC[[#This Row],[Month Year]],0))</f>
        <v>31</v>
      </c>
      <c r="I113" s="106"/>
      <c r="J113" s="106"/>
      <c r="K113" s="106"/>
      <c r="L113" s="106"/>
      <c r="M113" s="106"/>
      <c r="N113" s="106"/>
      <c r="O113" s="106"/>
      <c r="P113" s="106"/>
      <c r="Q113" s="106"/>
      <c r="R113" s="106"/>
      <c r="S113" s="1">
        <f>SUM(GC[[#This Row],[Blk1]:[Blk8]])</f>
        <v>0</v>
      </c>
      <c r="T113" s="106" t="str">
        <f>PROPER(GC[[#This Row],[Resources]])</f>
        <v/>
      </c>
      <c r="U113" s="106"/>
    </row>
    <row r="114" spans="1:21" x14ac:dyDescent="0.25">
      <c r="A114" s="106">
        <v>112</v>
      </c>
      <c r="B114" s="103">
        <f t="shared" si="1"/>
        <v>45311</v>
      </c>
      <c r="C114" s="109">
        <f>YEAR(GC[[#This Row],[Date]])+IF(MONTH(GC[[#This Row],[Date]])&gt;=4,1,0)</f>
        <v>2024</v>
      </c>
      <c r="D114" s="110">
        <f>YEAR(GC[[#This Row],[Date]])</f>
        <v>2024</v>
      </c>
      <c r="E114" s="101" t="s">
        <v>73</v>
      </c>
      <c r="F114" s="101" t="s">
        <v>73</v>
      </c>
      <c r="G114" s="102" t="str">
        <f>TEXT(GC[[#This Row],[Date]],"mmm-yy")</f>
        <v>Jan-24</v>
      </c>
      <c r="H114" s="102">
        <f>DAY(EOMONTH(GC[[#This Row],[Month Year]],0))</f>
        <v>31</v>
      </c>
      <c r="I114" s="106"/>
      <c r="J114" s="106"/>
      <c r="K114" s="106"/>
      <c r="L114" s="106"/>
      <c r="M114" s="106"/>
      <c r="N114" s="106"/>
      <c r="O114" s="106"/>
      <c r="P114" s="106"/>
      <c r="Q114" s="106"/>
      <c r="R114" s="106"/>
      <c r="S114" s="1">
        <f>SUM(GC[[#This Row],[Blk1]:[Blk8]])</f>
        <v>0</v>
      </c>
      <c r="T114" s="106" t="str">
        <f>PROPER(GC[[#This Row],[Resources]])</f>
        <v/>
      </c>
      <c r="U114" s="106"/>
    </row>
    <row r="115" spans="1:21" x14ac:dyDescent="0.25">
      <c r="A115" s="106">
        <v>113</v>
      </c>
      <c r="B115" s="103">
        <f t="shared" si="1"/>
        <v>45312</v>
      </c>
      <c r="C115" s="109">
        <f>YEAR(GC[[#This Row],[Date]])+IF(MONTH(GC[[#This Row],[Date]])&gt;=4,1,0)</f>
        <v>2024</v>
      </c>
      <c r="D115" s="110">
        <f>YEAR(GC[[#This Row],[Date]])</f>
        <v>2024</v>
      </c>
      <c r="E115" s="101" t="s">
        <v>73</v>
      </c>
      <c r="F115" s="101" t="s">
        <v>73</v>
      </c>
      <c r="G115" s="102" t="str">
        <f>TEXT(GC[[#This Row],[Date]],"mmm-yy")</f>
        <v>Jan-24</v>
      </c>
      <c r="H115" s="102">
        <f>DAY(EOMONTH(GC[[#This Row],[Month Year]],0))</f>
        <v>31</v>
      </c>
      <c r="I115" s="106"/>
      <c r="J115" s="106"/>
      <c r="K115" s="106"/>
      <c r="L115" s="106"/>
      <c r="M115" s="106"/>
      <c r="N115" s="106"/>
      <c r="O115" s="106"/>
      <c r="P115" s="106"/>
      <c r="Q115" s="106"/>
      <c r="R115" s="106"/>
      <c r="S115" s="1">
        <f>SUM(GC[[#This Row],[Blk1]:[Blk8]])</f>
        <v>0</v>
      </c>
      <c r="T115" s="106" t="str">
        <f>PROPER(GC[[#This Row],[Resources]])</f>
        <v/>
      </c>
      <c r="U115" s="106"/>
    </row>
    <row r="116" spans="1:21" x14ac:dyDescent="0.25">
      <c r="A116" s="106">
        <v>114</v>
      </c>
      <c r="B116" s="103">
        <f t="shared" si="1"/>
        <v>45313</v>
      </c>
      <c r="C116" s="109">
        <f>YEAR(GC[[#This Row],[Date]])+IF(MONTH(GC[[#This Row],[Date]])&gt;=4,1,0)</f>
        <v>2024</v>
      </c>
      <c r="D116" s="110">
        <f>YEAR(GC[[#This Row],[Date]])</f>
        <v>2024</v>
      </c>
      <c r="E116" s="101" t="s">
        <v>73</v>
      </c>
      <c r="F116" s="101" t="s">
        <v>73</v>
      </c>
      <c r="G116" s="102" t="str">
        <f>TEXT(GC[[#This Row],[Date]],"mmm-yy")</f>
        <v>Jan-24</v>
      </c>
      <c r="H116" s="102">
        <f>DAY(EOMONTH(GC[[#This Row],[Month Year]],0))</f>
        <v>31</v>
      </c>
      <c r="I116" s="106"/>
      <c r="J116" s="106"/>
      <c r="K116" s="106"/>
      <c r="L116" s="106"/>
      <c r="M116" s="106"/>
      <c r="N116" s="106"/>
      <c r="O116" s="106"/>
      <c r="P116" s="106"/>
      <c r="Q116" s="106"/>
      <c r="R116" s="106"/>
      <c r="S116" s="1">
        <f>SUM(GC[[#This Row],[Blk1]:[Blk8]])</f>
        <v>0</v>
      </c>
      <c r="T116" s="106" t="str">
        <f>PROPER(GC[[#This Row],[Resources]])</f>
        <v/>
      </c>
      <c r="U116" s="106"/>
    </row>
    <row r="117" spans="1:21" x14ac:dyDescent="0.25">
      <c r="A117" s="106">
        <v>115</v>
      </c>
      <c r="B117" s="103">
        <f t="shared" si="1"/>
        <v>45314</v>
      </c>
      <c r="C117" s="109">
        <f>YEAR(GC[[#This Row],[Date]])+IF(MONTH(GC[[#This Row],[Date]])&gt;=4,1,0)</f>
        <v>2024</v>
      </c>
      <c r="D117" s="110">
        <f>YEAR(GC[[#This Row],[Date]])</f>
        <v>2024</v>
      </c>
      <c r="E117" s="101" t="s">
        <v>73</v>
      </c>
      <c r="F117" s="101" t="s">
        <v>73</v>
      </c>
      <c r="G117" s="102" t="str">
        <f>TEXT(GC[[#This Row],[Date]],"mmm-yy")</f>
        <v>Jan-24</v>
      </c>
      <c r="H117" s="102">
        <f>DAY(EOMONTH(GC[[#This Row],[Month Year]],0))</f>
        <v>31</v>
      </c>
      <c r="I117" s="106"/>
      <c r="J117" s="106"/>
      <c r="K117" s="106"/>
      <c r="L117" s="106"/>
      <c r="M117" s="106"/>
      <c r="N117" s="106"/>
      <c r="O117" s="106"/>
      <c r="P117" s="106"/>
      <c r="Q117" s="106"/>
      <c r="R117" s="106"/>
      <c r="S117" s="1">
        <f>SUM(GC[[#This Row],[Blk1]:[Blk8]])</f>
        <v>0</v>
      </c>
      <c r="T117" s="106" t="str">
        <f>PROPER(GC[[#This Row],[Resources]])</f>
        <v/>
      </c>
      <c r="U117" s="106"/>
    </row>
    <row r="118" spans="1:21" x14ac:dyDescent="0.25">
      <c r="A118" s="106">
        <v>116</v>
      </c>
      <c r="B118" s="103">
        <f t="shared" si="1"/>
        <v>45315</v>
      </c>
      <c r="C118" s="109">
        <f>YEAR(GC[[#This Row],[Date]])+IF(MONTH(GC[[#This Row],[Date]])&gt;=4,1,0)</f>
        <v>2024</v>
      </c>
      <c r="D118" s="110">
        <f>YEAR(GC[[#This Row],[Date]])</f>
        <v>2024</v>
      </c>
      <c r="E118" s="101" t="s">
        <v>73</v>
      </c>
      <c r="F118" s="101" t="s">
        <v>73</v>
      </c>
      <c r="G118" s="102" t="str">
        <f>TEXT(GC[[#This Row],[Date]],"mmm-yy")</f>
        <v>Jan-24</v>
      </c>
      <c r="H118" s="102">
        <f>DAY(EOMONTH(GC[[#This Row],[Month Year]],0))</f>
        <v>31</v>
      </c>
      <c r="I118" s="106"/>
      <c r="J118" s="106"/>
      <c r="K118" s="106"/>
      <c r="L118" s="106"/>
      <c r="M118" s="106"/>
      <c r="N118" s="106"/>
      <c r="O118" s="106"/>
      <c r="P118" s="106"/>
      <c r="Q118" s="106"/>
      <c r="R118" s="106"/>
      <c r="S118" s="1">
        <f>SUM(GC[[#This Row],[Blk1]:[Blk8]])</f>
        <v>0</v>
      </c>
      <c r="T118" s="106" t="str">
        <f>PROPER(GC[[#This Row],[Resources]])</f>
        <v/>
      </c>
      <c r="U118" s="106"/>
    </row>
    <row r="119" spans="1:21" x14ac:dyDescent="0.25">
      <c r="A119" s="106">
        <v>117</v>
      </c>
      <c r="B119" s="103">
        <f t="shared" si="1"/>
        <v>45316</v>
      </c>
      <c r="C119" s="109">
        <f>YEAR(GC[[#This Row],[Date]])+IF(MONTH(GC[[#This Row],[Date]])&gt;=4,1,0)</f>
        <v>2024</v>
      </c>
      <c r="D119" s="110">
        <f>YEAR(GC[[#This Row],[Date]])</f>
        <v>2024</v>
      </c>
      <c r="E119" s="101" t="s">
        <v>73</v>
      </c>
      <c r="F119" s="101" t="s">
        <v>73</v>
      </c>
      <c r="G119" s="102" t="str">
        <f>TEXT(GC[[#This Row],[Date]],"mmm-yy")</f>
        <v>Jan-24</v>
      </c>
      <c r="H119" s="102">
        <f>DAY(EOMONTH(GC[[#This Row],[Month Year]],0))</f>
        <v>31</v>
      </c>
      <c r="I119" s="106"/>
      <c r="J119" s="106"/>
      <c r="K119" s="106"/>
      <c r="L119" s="106"/>
      <c r="M119" s="106"/>
      <c r="N119" s="106"/>
      <c r="O119" s="106"/>
      <c r="P119" s="106"/>
      <c r="Q119" s="106"/>
      <c r="R119" s="106"/>
      <c r="S119" s="1">
        <f>SUM(GC[[#This Row],[Blk1]:[Blk8]])</f>
        <v>0</v>
      </c>
      <c r="T119" s="106" t="str">
        <f>PROPER(GC[[#This Row],[Resources]])</f>
        <v/>
      </c>
      <c r="U119" s="106"/>
    </row>
    <row r="120" spans="1:21" x14ac:dyDescent="0.25">
      <c r="A120" s="106">
        <v>118</v>
      </c>
      <c r="B120" s="103">
        <f t="shared" si="1"/>
        <v>45317</v>
      </c>
      <c r="C120" s="109">
        <f>YEAR(GC[[#This Row],[Date]])+IF(MONTH(GC[[#This Row],[Date]])&gt;=4,1,0)</f>
        <v>2024</v>
      </c>
      <c r="D120" s="110">
        <f>YEAR(GC[[#This Row],[Date]])</f>
        <v>2024</v>
      </c>
      <c r="E120" s="101" t="s">
        <v>73</v>
      </c>
      <c r="F120" s="101" t="s">
        <v>73</v>
      </c>
      <c r="G120" s="102" t="str">
        <f>TEXT(GC[[#This Row],[Date]],"mmm-yy")</f>
        <v>Jan-24</v>
      </c>
      <c r="H120" s="102">
        <f>DAY(EOMONTH(GC[[#This Row],[Month Year]],0))</f>
        <v>31</v>
      </c>
      <c r="I120" s="106"/>
      <c r="J120" s="106"/>
      <c r="K120" s="106"/>
      <c r="L120" s="106"/>
      <c r="M120" s="106"/>
      <c r="N120" s="106"/>
      <c r="O120" s="106"/>
      <c r="P120" s="106"/>
      <c r="Q120" s="106"/>
      <c r="R120" s="106"/>
      <c r="S120" s="1">
        <f>SUM(GC[[#This Row],[Blk1]:[Blk8]])</f>
        <v>0</v>
      </c>
      <c r="T120" s="106" t="str">
        <f>PROPER(GC[[#This Row],[Resources]])</f>
        <v/>
      </c>
      <c r="U120" s="106"/>
    </row>
    <row r="121" spans="1:21" x14ac:dyDescent="0.25">
      <c r="A121" s="106">
        <v>119</v>
      </c>
      <c r="B121" s="103">
        <f t="shared" si="1"/>
        <v>45318</v>
      </c>
      <c r="C121" s="109">
        <f>YEAR(GC[[#This Row],[Date]])+IF(MONTH(GC[[#This Row],[Date]])&gt;=4,1,0)</f>
        <v>2024</v>
      </c>
      <c r="D121" s="110">
        <f>YEAR(GC[[#This Row],[Date]])</f>
        <v>2024</v>
      </c>
      <c r="E121" s="101" t="s">
        <v>73</v>
      </c>
      <c r="F121" s="101" t="s">
        <v>73</v>
      </c>
      <c r="G121" s="102" t="str">
        <f>TEXT(GC[[#This Row],[Date]],"mmm-yy")</f>
        <v>Jan-24</v>
      </c>
      <c r="H121" s="102">
        <f>DAY(EOMONTH(GC[[#This Row],[Month Year]],0))</f>
        <v>31</v>
      </c>
      <c r="I121" s="106"/>
      <c r="J121" s="106"/>
      <c r="K121" s="106"/>
      <c r="L121" s="106"/>
      <c r="M121" s="106"/>
      <c r="N121" s="106"/>
      <c r="O121" s="106"/>
      <c r="P121" s="106"/>
      <c r="Q121" s="106"/>
      <c r="R121" s="106"/>
      <c r="S121" s="1">
        <f>SUM(GC[[#This Row],[Blk1]:[Blk8]])</f>
        <v>0</v>
      </c>
      <c r="T121" s="106" t="str">
        <f>PROPER(GC[[#This Row],[Resources]])</f>
        <v/>
      </c>
      <c r="U121" s="106"/>
    </row>
    <row r="122" spans="1:21" x14ac:dyDescent="0.25">
      <c r="A122" s="106">
        <v>120</v>
      </c>
      <c r="B122" s="103">
        <f t="shared" si="1"/>
        <v>45319</v>
      </c>
      <c r="C122" s="109">
        <f>YEAR(GC[[#This Row],[Date]])+IF(MONTH(GC[[#This Row],[Date]])&gt;=4,1,0)</f>
        <v>2024</v>
      </c>
      <c r="D122" s="110">
        <f>YEAR(GC[[#This Row],[Date]])</f>
        <v>2024</v>
      </c>
      <c r="E122" s="101" t="s">
        <v>73</v>
      </c>
      <c r="F122" s="101" t="s">
        <v>73</v>
      </c>
      <c r="G122" s="102" t="str">
        <f>TEXT(GC[[#This Row],[Date]],"mmm-yy")</f>
        <v>Jan-24</v>
      </c>
      <c r="H122" s="102">
        <f>DAY(EOMONTH(GC[[#This Row],[Month Year]],0))</f>
        <v>31</v>
      </c>
      <c r="I122" s="106"/>
      <c r="J122" s="106"/>
      <c r="K122" s="106"/>
      <c r="L122" s="106"/>
      <c r="M122" s="106"/>
      <c r="N122" s="106"/>
      <c r="O122" s="106"/>
      <c r="P122" s="106"/>
      <c r="Q122" s="106"/>
      <c r="R122" s="106"/>
      <c r="S122" s="1">
        <f>SUM(GC[[#This Row],[Blk1]:[Blk8]])</f>
        <v>0</v>
      </c>
      <c r="T122" s="106" t="str">
        <f>PROPER(GC[[#This Row],[Resources]])</f>
        <v/>
      </c>
      <c r="U122" s="106"/>
    </row>
    <row r="123" spans="1:21" x14ac:dyDescent="0.25">
      <c r="A123" s="106">
        <v>120</v>
      </c>
      <c r="B123" s="103">
        <f t="shared" si="1"/>
        <v>45320</v>
      </c>
      <c r="C123" s="109">
        <f>YEAR(GC[[#This Row],[Date]])+IF(MONTH(GC[[#This Row],[Date]])&gt;=4,1,0)</f>
        <v>2024</v>
      </c>
      <c r="D123" s="110">
        <f>YEAR(GC[[#This Row],[Date]])</f>
        <v>2024</v>
      </c>
      <c r="E123" s="101" t="s">
        <v>73</v>
      </c>
      <c r="F123" s="101" t="s">
        <v>73</v>
      </c>
      <c r="G123" s="102" t="str">
        <f>TEXT(GC[[#This Row],[Date]],"mmm-yy")</f>
        <v>Jan-24</v>
      </c>
      <c r="H123" s="102">
        <f>DAY(EOMONTH(GC[[#This Row],[Month Year]],0))</f>
        <v>31</v>
      </c>
      <c r="I123" s="106"/>
      <c r="J123" s="106"/>
      <c r="K123" s="106"/>
      <c r="L123" s="106"/>
      <c r="M123" s="106"/>
      <c r="N123" s="106"/>
      <c r="O123" s="106"/>
      <c r="P123" s="106"/>
      <c r="Q123" s="106"/>
      <c r="R123" s="106"/>
      <c r="S123" s="1">
        <f>SUM(GC[[#This Row],[Blk1]:[Blk8]])</f>
        <v>0</v>
      </c>
      <c r="T123" s="106" t="str">
        <f>PROPER(GC[[#This Row],[Resources]])</f>
        <v/>
      </c>
      <c r="U123" s="106"/>
    </row>
    <row r="124" spans="1:21" x14ac:dyDescent="0.25">
      <c r="A124" s="106">
        <v>122</v>
      </c>
      <c r="B124" s="103">
        <f t="shared" si="1"/>
        <v>45321</v>
      </c>
      <c r="C124" s="109">
        <f>YEAR(GC[[#This Row],[Date]])+IF(MONTH(GC[[#This Row],[Date]])&gt;=4,1,0)</f>
        <v>2024</v>
      </c>
      <c r="D124" s="110">
        <f>YEAR(GC[[#This Row],[Date]])</f>
        <v>2024</v>
      </c>
      <c r="E124" s="101" t="s">
        <v>73</v>
      </c>
      <c r="F124" s="101" t="s">
        <v>73</v>
      </c>
      <c r="G124" s="102" t="str">
        <f>TEXT(GC[[#This Row],[Date]],"mmm-yy")</f>
        <v>Jan-24</v>
      </c>
      <c r="H124" s="102">
        <f>DAY(EOMONTH(GC[[#This Row],[Month Year]],0))</f>
        <v>31</v>
      </c>
      <c r="I124" s="106"/>
      <c r="J124" s="106"/>
      <c r="K124" s="106"/>
      <c r="L124" s="106"/>
      <c r="M124" s="106"/>
      <c r="N124" s="106"/>
      <c r="O124" s="106"/>
      <c r="P124" s="106"/>
      <c r="Q124" s="106"/>
      <c r="R124" s="106"/>
      <c r="S124" s="1">
        <f>SUM(GC[[#This Row],[Blk1]:[Blk8]])</f>
        <v>0</v>
      </c>
      <c r="T124" s="106" t="str">
        <f>PROPER(GC[[#This Row],[Resources]])</f>
        <v/>
      </c>
      <c r="U124" s="106"/>
    </row>
    <row r="125" spans="1:21" x14ac:dyDescent="0.25">
      <c r="A125" s="106">
        <v>123</v>
      </c>
      <c r="B125" s="103">
        <f t="shared" si="1"/>
        <v>45322</v>
      </c>
      <c r="C125" s="109">
        <f>YEAR(GC[[#This Row],[Date]])+IF(MONTH(GC[[#This Row],[Date]])&gt;=4,1,0)</f>
        <v>2024</v>
      </c>
      <c r="D125" s="110">
        <f>YEAR(GC[[#This Row],[Date]])</f>
        <v>2024</v>
      </c>
      <c r="E125" s="101" t="s">
        <v>73</v>
      </c>
      <c r="F125" s="101" t="s">
        <v>73</v>
      </c>
      <c r="G125" s="102" t="str">
        <f>TEXT(GC[[#This Row],[Date]],"mmm-yy")</f>
        <v>Jan-24</v>
      </c>
      <c r="H125" s="102">
        <f>DAY(EOMONTH(GC[[#This Row],[Month Year]],0))</f>
        <v>31</v>
      </c>
      <c r="I125" s="106"/>
      <c r="J125" s="106"/>
      <c r="K125" s="106"/>
      <c r="L125" s="106"/>
      <c r="M125" s="106"/>
      <c r="N125" s="106"/>
      <c r="O125" s="106"/>
      <c r="P125" s="106"/>
      <c r="Q125" s="106"/>
      <c r="R125" s="106"/>
      <c r="S125" s="1">
        <f>SUM(GC[[#This Row],[Blk1]:[Blk8]])</f>
        <v>0</v>
      </c>
      <c r="T125" s="106" t="str">
        <f>PROPER(GC[[#This Row],[Resources]])</f>
        <v/>
      </c>
      <c r="U125" s="106"/>
    </row>
    <row r="126" spans="1:21" x14ac:dyDescent="0.25">
      <c r="A126" s="106">
        <v>124</v>
      </c>
      <c r="B126" s="103">
        <f t="shared" si="1"/>
        <v>45323</v>
      </c>
      <c r="C126" s="109">
        <f>YEAR(GC[[#This Row],[Date]])+IF(MONTH(GC[[#This Row],[Date]])&gt;=4,1,0)</f>
        <v>2024</v>
      </c>
      <c r="D126" s="110">
        <f>YEAR(GC[[#This Row],[Date]])</f>
        <v>2024</v>
      </c>
      <c r="E126" s="101" t="s">
        <v>73</v>
      </c>
      <c r="F126" s="101" t="s">
        <v>73</v>
      </c>
      <c r="G126" s="102" t="str">
        <f>TEXT(GC[[#This Row],[Date]],"mmm-yy")</f>
        <v>Feb-24</v>
      </c>
      <c r="H126" s="102">
        <f>DAY(EOMONTH(GC[[#This Row],[Month Year]],0))</f>
        <v>29</v>
      </c>
      <c r="I126" s="106"/>
      <c r="J126" s="106"/>
      <c r="K126" s="106"/>
      <c r="L126" s="106"/>
      <c r="M126" s="106"/>
      <c r="N126" s="106"/>
      <c r="O126" s="106"/>
      <c r="P126" s="106"/>
      <c r="Q126" s="106"/>
      <c r="R126" s="106"/>
      <c r="S126" s="1">
        <f>SUM(GC[[#This Row],[Blk1]:[Blk8]])</f>
        <v>0</v>
      </c>
      <c r="T126" s="106" t="str">
        <f>PROPER(GC[[#This Row],[Resources]])</f>
        <v/>
      </c>
      <c r="U126" s="106"/>
    </row>
    <row r="127" spans="1:21" x14ac:dyDescent="0.25">
      <c r="A127" s="106">
        <v>125</v>
      </c>
      <c r="B127" s="103">
        <f t="shared" si="1"/>
        <v>45324</v>
      </c>
      <c r="C127" s="109">
        <f>YEAR(GC[[#This Row],[Date]])+IF(MONTH(GC[[#This Row],[Date]])&gt;=4,1,0)</f>
        <v>2024</v>
      </c>
      <c r="D127" s="110">
        <f>YEAR(GC[[#This Row],[Date]])</f>
        <v>2024</v>
      </c>
      <c r="E127" s="101" t="s">
        <v>73</v>
      </c>
      <c r="F127" s="101" t="s">
        <v>73</v>
      </c>
      <c r="G127" s="102" t="str">
        <f>TEXT(GC[[#This Row],[Date]],"mmm-yy")</f>
        <v>Feb-24</v>
      </c>
      <c r="H127" s="102">
        <f>DAY(EOMONTH(GC[[#This Row],[Month Year]],0))</f>
        <v>29</v>
      </c>
      <c r="I127" s="106"/>
      <c r="J127" s="106"/>
      <c r="K127" s="106"/>
      <c r="L127" s="106"/>
      <c r="M127" s="106"/>
      <c r="N127" s="106"/>
      <c r="O127" s="106"/>
      <c r="P127" s="106"/>
      <c r="Q127" s="106"/>
      <c r="R127" s="106"/>
      <c r="S127" s="1">
        <f>SUM(GC[[#This Row],[Blk1]:[Blk8]])</f>
        <v>0</v>
      </c>
      <c r="T127" s="106" t="str">
        <f>PROPER(GC[[#This Row],[Resources]])</f>
        <v/>
      </c>
      <c r="U127" s="106"/>
    </row>
    <row r="128" spans="1:21" x14ac:dyDescent="0.25">
      <c r="A128" s="106">
        <v>126</v>
      </c>
      <c r="B128" s="103">
        <f t="shared" si="1"/>
        <v>45325</v>
      </c>
      <c r="C128" s="109">
        <f>YEAR(GC[[#This Row],[Date]])+IF(MONTH(GC[[#This Row],[Date]])&gt;=4,1,0)</f>
        <v>2024</v>
      </c>
      <c r="D128" s="110">
        <f>YEAR(GC[[#This Row],[Date]])</f>
        <v>2024</v>
      </c>
      <c r="E128" s="101" t="s">
        <v>73</v>
      </c>
      <c r="F128" s="101" t="s">
        <v>73</v>
      </c>
      <c r="G128" s="102" t="str">
        <f>TEXT(GC[[#This Row],[Date]],"mmm-yy")</f>
        <v>Feb-24</v>
      </c>
      <c r="H128" s="102">
        <f>DAY(EOMONTH(GC[[#This Row],[Month Year]],0))</f>
        <v>29</v>
      </c>
      <c r="I128" s="106"/>
      <c r="J128" s="106"/>
      <c r="K128" s="106"/>
      <c r="L128" s="106"/>
      <c r="M128" s="106"/>
      <c r="N128" s="106"/>
      <c r="O128" s="106"/>
      <c r="P128" s="106"/>
      <c r="Q128" s="106"/>
      <c r="R128" s="106"/>
      <c r="S128" s="1">
        <f>SUM(GC[[#This Row],[Blk1]:[Blk8]])</f>
        <v>0</v>
      </c>
      <c r="T128" s="106" t="str">
        <f>PROPER(GC[[#This Row],[Resources]])</f>
        <v/>
      </c>
      <c r="U128" s="106"/>
    </row>
    <row r="129" spans="1:21" x14ac:dyDescent="0.25">
      <c r="A129" s="106">
        <v>127</v>
      </c>
      <c r="B129" s="103">
        <f t="shared" si="1"/>
        <v>45326</v>
      </c>
      <c r="C129" s="109">
        <f>YEAR(GC[[#This Row],[Date]])+IF(MONTH(GC[[#This Row],[Date]])&gt;=4,1,0)</f>
        <v>2024</v>
      </c>
      <c r="D129" s="110">
        <f>YEAR(GC[[#This Row],[Date]])</f>
        <v>2024</v>
      </c>
      <c r="E129" s="101" t="s">
        <v>73</v>
      </c>
      <c r="F129" s="101" t="s">
        <v>73</v>
      </c>
      <c r="G129" s="102" t="str">
        <f>TEXT(GC[[#This Row],[Date]],"mmm-yy")</f>
        <v>Feb-24</v>
      </c>
      <c r="H129" s="102">
        <f>DAY(EOMONTH(GC[[#This Row],[Month Year]],0))</f>
        <v>29</v>
      </c>
      <c r="I129" s="106"/>
      <c r="J129" s="106"/>
      <c r="K129" s="106"/>
      <c r="L129" s="106"/>
      <c r="M129" s="106"/>
      <c r="N129" s="106"/>
      <c r="O129" s="106"/>
      <c r="P129" s="106"/>
      <c r="Q129" s="106"/>
      <c r="R129" s="106"/>
      <c r="S129" s="1">
        <f>SUM(GC[[#This Row],[Blk1]:[Blk8]])</f>
        <v>0</v>
      </c>
      <c r="T129" s="106" t="str">
        <f>PROPER(GC[[#This Row],[Resources]])</f>
        <v/>
      </c>
      <c r="U129" s="106"/>
    </row>
    <row r="130" spans="1:21" x14ac:dyDescent="0.25">
      <c r="A130" s="106">
        <v>127</v>
      </c>
      <c r="B130" s="103">
        <f t="shared" si="1"/>
        <v>45327</v>
      </c>
      <c r="C130" s="109">
        <f>YEAR(GC[[#This Row],[Date]])+IF(MONTH(GC[[#This Row],[Date]])&gt;=4,1,0)</f>
        <v>2024</v>
      </c>
      <c r="D130" s="110">
        <f>YEAR(GC[[#This Row],[Date]])</f>
        <v>2024</v>
      </c>
      <c r="E130" s="101" t="s">
        <v>73</v>
      </c>
      <c r="F130" s="101" t="s">
        <v>73</v>
      </c>
      <c r="G130" s="102" t="str">
        <f>TEXT(GC[[#This Row],[Date]],"mmm-yy")</f>
        <v>Feb-24</v>
      </c>
      <c r="H130" s="102">
        <f>DAY(EOMONTH(GC[[#This Row],[Month Year]],0))</f>
        <v>29</v>
      </c>
      <c r="I130" s="106"/>
      <c r="J130" s="106"/>
      <c r="K130" s="106"/>
      <c r="L130" s="106"/>
      <c r="M130" s="106"/>
      <c r="N130" s="106"/>
      <c r="O130" s="106"/>
      <c r="P130" s="106"/>
      <c r="Q130" s="106"/>
      <c r="R130" s="106"/>
      <c r="S130" s="1">
        <f>SUM(GC[[#This Row],[Blk1]:[Blk8]])</f>
        <v>0</v>
      </c>
      <c r="T130" s="106" t="str">
        <f>PROPER(GC[[#This Row],[Resources]])</f>
        <v/>
      </c>
      <c r="U130" s="106"/>
    </row>
    <row r="131" spans="1:21" x14ac:dyDescent="0.25">
      <c r="A131" s="106">
        <v>127</v>
      </c>
      <c r="B131" s="103">
        <f t="shared" si="1"/>
        <v>45328</v>
      </c>
      <c r="C131" s="109">
        <f>YEAR(GC[[#This Row],[Date]])+IF(MONTH(GC[[#This Row],[Date]])&gt;=4,1,0)</f>
        <v>2024</v>
      </c>
      <c r="D131" s="110">
        <f>YEAR(GC[[#This Row],[Date]])</f>
        <v>2024</v>
      </c>
      <c r="E131" s="101" t="s">
        <v>73</v>
      </c>
      <c r="F131" s="101" t="s">
        <v>73</v>
      </c>
      <c r="G131" s="102" t="str">
        <f>TEXT(GC[[#This Row],[Date]],"mmm-yy")</f>
        <v>Feb-24</v>
      </c>
      <c r="H131" s="102">
        <f>DAY(EOMONTH(GC[[#This Row],[Month Year]],0))</f>
        <v>29</v>
      </c>
      <c r="I131" s="106"/>
      <c r="J131" s="106"/>
      <c r="K131" s="106"/>
      <c r="L131" s="106"/>
      <c r="M131" s="106"/>
      <c r="N131" s="106"/>
      <c r="O131" s="106"/>
      <c r="P131" s="106"/>
      <c r="Q131" s="106"/>
      <c r="R131" s="106"/>
      <c r="S131" s="1">
        <f>SUM(GC[[#This Row],[Blk1]:[Blk8]])</f>
        <v>0</v>
      </c>
      <c r="T131" s="106" t="str">
        <f>PROPER(GC[[#This Row],[Resources]])</f>
        <v/>
      </c>
      <c r="U131" s="106"/>
    </row>
    <row r="132" spans="1:21" x14ac:dyDescent="0.25">
      <c r="A132" s="106">
        <v>127</v>
      </c>
      <c r="B132" s="103">
        <f t="shared" si="1"/>
        <v>45329</v>
      </c>
      <c r="C132" s="109">
        <f>YEAR(GC[[#This Row],[Date]])+IF(MONTH(GC[[#This Row],[Date]])&gt;=4,1,0)</f>
        <v>2024</v>
      </c>
      <c r="D132" s="110">
        <f>YEAR(GC[[#This Row],[Date]])</f>
        <v>2024</v>
      </c>
      <c r="E132" s="101" t="s">
        <v>73</v>
      </c>
      <c r="F132" s="101" t="s">
        <v>73</v>
      </c>
      <c r="G132" s="102" t="str">
        <f>TEXT(GC[[#This Row],[Date]],"mmm-yy")</f>
        <v>Feb-24</v>
      </c>
      <c r="H132" s="102">
        <f>DAY(EOMONTH(GC[[#This Row],[Month Year]],0))</f>
        <v>29</v>
      </c>
      <c r="I132" s="106"/>
      <c r="J132" s="106"/>
      <c r="K132" s="106"/>
      <c r="L132" s="106"/>
      <c r="M132" s="106"/>
      <c r="N132" s="106"/>
      <c r="O132" s="106"/>
      <c r="P132" s="106"/>
      <c r="Q132" s="106"/>
      <c r="R132" s="106"/>
      <c r="S132" s="1">
        <f>SUM(GC[[#This Row],[Blk1]:[Blk8]])</f>
        <v>0</v>
      </c>
      <c r="T132" s="106" t="str">
        <f>PROPER(GC[[#This Row],[Resources]])</f>
        <v/>
      </c>
      <c r="U132" s="106"/>
    </row>
    <row r="133" spans="1:21" x14ac:dyDescent="0.25">
      <c r="A133" s="106">
        <v>127</v>
      </c>
      <c r="B133" s="103">
        <f t="shared" ref="B133:B196" si="2">B132+1</f>
        <v>45330</v>
      </c>
      <c r="C133" s="109">
        <f>YEAR(GC[[#This Row],[Date]])+IF(MONTH(GC[[#This Row],[Date]])&gt;=4,1,0)</f>
        <v>2024</v>
      </c>
      <c r="D133" s="110">
        <f>YEAR(GC[[#This Row],[Date]])</f>
        <v>2024</v>
      </c>
      <c r="E133" s="101" t="s">
        <v>73</v>
      </c>
      <c r="F133" s="101" t="s">
        <v>73</v>
      </c>
      <c r="G133" s="102" t="str">
        <f>TEXT(GC[[#This Row],[Date]],"mmm-yy")</f>
        <v>Feb-24</v>
      </c>
      <c r="H133" s="102">
        <f>DAY(EOMONTH(GC[[#This Row],[Month Year]],0))</f>
        <v>29</v>
      </c>
      <c r="I133" s="106"/>
      <c r="J133" s="106"/>
      <c r="K133" s="106"/>
      <c r="L133" s="106"/>
      <c r="M133" s="106"/>
      <c r="N133" s="106"/>
      <c r="O133" s="106"/>
      <c r="P133" s="106"/>
      <c r="Q133" s="106"/>
      <c r="R133" s="106"/>
      <c r="S133" s="1">
        <f>SUM(GC[[#This Row],[Blk1]:[Blk8]])</f>
        <v>0</v>
      </c>
      <c r="T133" s="106" t="str">
        <f>PROPER(GC[[#This Row],[Resources]])</f>
        <v/>
      </c>
      <c r="U133" s="106"/>
    </row>
    <row r="134" spans="1:21" x14ac:dyDescent="0.25">
      <c r="A134" s="106">
        <v>127</v>
      </c>
      <c r="B134" s="103">
        <f t="shared" si="2"/>
        <v>45331</v>
      </c>
      <c r="C134" s="109">
        <f>YEAR(GC[[#This Row],[Date]])+IF(MONTH(GC[[#This Row],[Date]])&gt;=4,1,0)</f>
        <v>2024</v>
      </c>
      <c r="D134" s="110">
        <f>YEAR(GC[[#This Row],[Date]])</f>
        <v>2024</v>
      </c>
      <c r="E134" s="101" t="s">
        <v>73</v>
      </c>
      <c r="F134" s="101" t="s">
        <v>73</v>
      </c>
      <c r="G134" s="102" t="str">
        <f>TEXT(GC[[#This Row],[Date]],"mmm-yy")</f>
        <v>Feb-24</v>
      </c>
      <c r="H134" s="102">
        <f>DAY(EOMONTH(GC[[#This Row],[Month Year]],0))</f>
        <v>29</v>
      </c>
      <c r="I134" s="106"/>
      <c r="J134" s="106"/>
      <c r="K134" s="106"/>
      <c r="L134" s="106"/>
      <c r="M134" s="106"/>
      <c r="N134" s="106"/>
      <c r="O134" s="106"/>
      <c r="P134" s="106"/>
      <c r="Q134" s="106"/>
      <c r="R134" s="106"/>
      <c r="S134" s="1">
        <f>SUM(GC[[#This Row],[Blk1]:[Blk8]])</f>
        <v>0</v>
      </c>
      <c r="T134" s="106" t="str">
        <f>PROPER(GC[[#This Row],[Resources]])</f>
        <v/>
      </c>
      <c r="U134" s="106"/>
    </row>
    <row r="135" spans="1:21" x14ac:dyDescent="0.25">
      <c r="A135" s="106">
        <v>127</v>
      </c>
      <c r="B135" s="103">
        <f t="shared" si="2"/>
        <v>45332</v>
      </c>
      <c r="C135" s="109">
        <f>YEAR(GC[[#This Row],[Date]])+IF(MONTH(GC[[#This Row],[Date]])&gt;=4,1,0)</f>
        <v>2024</v>
      </c>
      <c r="D135" s="110">
        <f>YEAR(GC[[#This Row],[Date]])</f>
        <v>2024</v>
      </c>
      <c r="E135" s="101" t="s">
        <v>73</v>
      </c>
      <c r="F135" s="101" t="s">
        <v>73</v>
      </c>
      <c r="G135" s="102" t="str">
        <f>TEXT(GC[[#This Row],[Date]],"mmm-yy")</f>
        <v>Feb-24</v>
      </c>
      <c r="H135" s="102">
        <f>DAY(EOMONTH(GC[[#This Row],[Month Year]],0))</f>
        <v>29</v>
      </c>
      <c r="I135" s="106"/>
      <c r="J135" s="106"/>
      <c r="K135" s="106"/>
      <c r="L135" s="106"/>
      <c r="M135" s="106"/>
      <c r="N135" s="106"/>
      <c r="O135" s="106"/>
      <c r="P135" s="106"/>
      <c r="Q135" s="106"/>
      <c r="R135" s="106"/>
      <c r="S135" s="1">
        <f>SUM(GC[[#This Row],[Blk1]:[Blk8]])</f>
        <v>0</v>
      </c>
      <c r="T135" s="106" t="str">
        <f>PROPER(GC[[#This Row],[Resources]])</f>
        <v/>
      </c>
      <c r="U135" s="106"/>
    </row>
    <row r="136" spans="1:21" x14ac:dyDescent="0.25">
      <c r="A136" s="106">
        <v>127</v>
      </c>
      <c r="B136" s="103">
        <f t="shared" si="2"/>
        <v>45333</v>
      </c>
      <c r="C136" s="109">
        <f>YEAR(GC[[#This Row],[Date]])+IF(MONTH(GC[[#This Row],[Date]])&gt;=4,1,0)</f>
        <v>2024</v>
      </c>
      <c r="D136" s="110">
        <f>YEAR(GC[[#This Row],[Date]])</f>
        <v>2024</v>
      </c>
      <c r="E136" s="101" t="s">
        <v>73</v>
      </c>
      <c r="F136" s="101" t="s">
        <v>73</v>
      </c>
      <c r="G136" s="102" t="str">
        <f>TEXT(GC[[#This Row],[Date]],"mmm-yy")</f>
        <v>Feb-24</v>
      </c>
      <c r="H136" s="102">
        <f>DAY(EOMONTH(GC[[#This Row],[Month Year]],0))</f>
        <v>29</v>
      </c>
      <c r="I136" s="106"/>
      <c r="J136" s="106"/>
      <c r="K136" s="106"/>
      <c r="L136" s="106"/>
      <c r="M136" s="106"/>
      <c r="N136" s="106"/>
      <c r="O136" s="106"/>
      <c r="P136" s="106"/>
      <c r="Q136" s="106"/>
      <c r="R136" s="106"/>
      <c r="S136" s="1">
        <f>SUM(GC[[#This Row],[Blk1]:[Blk8]])</f>
        <v>0</v>
      </c>
      <c r="T136" s="106" t="str">
        <f>PROPER(GC[[#This Row],[Resources]])</f>
        <v/>
      </c>
      <c r="U136" s="106"/>
    </row>
    <row r="137" spans="1:21" x14ac:dyDescent="0.25">
      <c r="A137" s="106">
        <v>127</v>
      </c>
      <c r="B137" s="103">
        <f t="shared" si="2"/>
        <v>45334</v>
      </c>
      <c r="C137" s="109">
        <f>YEAR(GC[[#This Row],[Date]])+IF(MONTH(GC[[#This Row],[Date]])&gt;=4,1,0)</f>
        <v>2024</v>
      </c>
      <c r="D137" s="110">
        <f>YEAR(GC[[#This Row],[Date]])</f>
        <v>2024</v>
      </c>
      <c r="E137" s="101" t="s">
        <v>73</v>
      </c>
      <c r="F137" s="101" t="s">
        <v>73</v>
      </c>
      <c r="G137" s="102" t="str">
        <f>TEXT(GC[[#This Row],[Date]],"mmm-yy")</f>
        <v>Feb-24</v>
      </c>
      <c r="H137" s="102">
        <f>DAY(EOMONTH(GC[[#This Row],[Month Year]],0))</f>
        <v>29</v>
      </c>
      <c r="I137" s="106"/>
      <c r="J137" s="106"/>
      <c r="K137" s="106"/>
      <c r="L137" s="106"/>
      <c r="M137" s="106"/>
      <c r="N137" s="106"/>
      <c r="O137" s="106"/>
      <c r="P137" s="106"/>
      <c r="Q137" s="106"/>
      <c r="R137" s="106"/>
      <c r="S137" s="1">
        <f>SUM(GC[[#This Row],[Blk1]:[Blk8]])</f>
        <v>0</v>
      </c>
      <c r="T137" s="106" t="str">
        <f>PROPER(GC[[#This Row],[Resources]])</f>
        <v/>
      </c>
      <c r="U137" s="106"/>
    </row>
    <row r="138" spans="1:21" x14ac:dyDescent="0.25">
      <c r="A138" s="106">
        <v>127</v>
      </c>
      <c r="B138" s="103">
        <f t="shared" si="2"/>
        <v>45335</v>
      </c>
      <c r="C138" s="109">
        <f>YEAR(GC[[#This Row],[Date]])+IF(MONTH(GC[[#This Row],[Date]])&gt;=4,1,0)</f>
        <v>2024</v>
      </c>
      <c r="D138" s="110">
        <f>YEAR(GC[[#This Row],[Date]])</f>
        <v>2024</v>
      </c>
      <c r="E138" s="101" t="s">
        <v>73</v>
      </c>
      <c r="F138" s="101" t="s">
        <v>73</v>
      </c>
      <c r="G138" s="102" t="str">
        <f>TEXT(GC[[#This Row],[Date]],"mmm-yy")</f>
        <v>Feb-24</v>
      </c>
      <c r="H138" s="102">
        <f>DAY(EOMONTH(GC[[#This Row],[Month Year]],0))</f>
        <v>29</v>
      </c>
      <c r="I138" s="106"/>
      <c r="J138" s="106"/>
      <c r="K138" s="106"/>
      <c r="L138" s="106"/>
      <c r="M138" s="106"/>
      <c r="N138" s="106"/>
      <c r="O138" s="106"/>
      <c r="P138" s="106"/>
      <c r="Q138" s="106"/>
      <c r="R138" s="106"/>
      <c r="S138" s="1">
        <f>SUM(GC[[#This Row],[Blk1]:[Blk8]])</f>
        <v>0</v>
      </c>
      <c r="T138" s="106" t="str">
        <f>PROPER(GC[[#This Row],[Resources]])</f>
        <v/>
      </c>
      <c r="U138" s="106"/>
    </row>
    <row r="139" spans="1:21" x14ac:dyDescent="0.25">
      <c r="A139" s="106">
        <v>127</v>
      </c>
      <c r="B139" s="103">
        <f t="shared" si="2"/>
        <v>45336</v>
      </c>
      <c r="C139" s="109">
        <f>YEAR(GC[[#This Row],[Date]])+IF(MONTH(GC[[#This Row],[Date]])&gt;=4,1,0)</f>
        <v>2024</v>
      </c>
      <c r="D139" s="110">
        <f>YEAR(GC[[#This Row],[Date]])</f>
        <v>2024</v>
      </c>
      <c r="E139" s="101" t="s">
        <v>73</v>
      </c>
      <c r="F139" s="101" t="s">
        <v>73</v>
      </c>
      <c r="G139" s="102" t="str">
        <f>TEXT(GC[[#This Row],[Date]],"mmm-yy")</f>
        <v>Feb-24</v>
      </c>
      <c r="H139" s="102">
        <f>DAY(EOMONTH(GC[[#This Row],[Month Year]],0))</f>
        <v>29</v>
      </c>
      <c r="I139" s="106"/>
      <c r="J139" s="106"/>
      <c r="K139" s="106"/>
      <c r="L139" s="106"/>
      <c r="M139" s="106"/>
      <c r="N139" s="106"/>
      <c r="O139" s="106"/>
      <c r="P139" s="106"/>
      <c r="Q139" s="106"/>
      <c r="R139" s="106"/>
      <c r="S139" s="1">
        <f>SUM(GC[[#This Row],[Blk1]:[Blk8]])</f>
        <v>0</v>
      </c>
      <c r="T139" s="106" t="str">
        <f>PROPER(GC[[#This Row],[Resources]])</f>
        <v/>
      </c>
      <c r="U139" s="106"/>
    </row>
    <row r="140" spans="1:21" x14ac:dyDescent="0.25">
      <c r="A140" s="106">
        <v>127</v>
      </c>
      <c r="B140" s="103">
        <f t="shared" si="2"/>
        <v>45337</v>
      </c>
      <c r="C140" s="109">
        <f>YEAR(GC[[#This Row],[Date]])+IF(MONTH(GC[[#This Row],[Date]])&gt;=4,1,0)</f>
        <v>2024</v>
      </c>
      <c r="D140" s="110">
        <f>YEAR(GC[[#This Row],[Date]])</f>
        <v>2024</v>
      </c>
      <c r="E140" s="101" t="s">
        <v>73</v>
      </c>
      <c r="F140" s="101" t="s">
        <v>73</v>
      </c>
      <c r="G140" s="102" t="str">
        <f>TEXT(GC[[#This Row],[Date]],"mmm-yy")</f>
        <v>Feb-24</v>
      </c>
      <c r="H140" s="102">
        <f>DAY(EOMONTH(GC[[#This Row],[Month Year]],0))</f>
        <v>29</v>
      </c>
      <c r="I140" s="106"/>
      <c r="J140" s="106"/>
      <c r="K140" s="106"/>
      <c r="L140" s="106"/>
      <c r="M140" s="106"/>
      <c r="N140" s="106"/>
      <c r="O140" s="106"/>
      <c r="P140" s="106"/>
      <c r="Q140" s="106"/>
      <c r="R140" s="106"/>
      <c r="S140" s="1">
        <f>SUM(GC[[#This Row],[Blk1]:[Blk8]])</f>
        <v>0</v>
      </c>
      <c r="T140" s="106" t="str">
        <f>PROPER(GC[[#This Row],[Resources]])</f>
        <v/>
      </c>
      <c r="U140" s="106"/>
    </row>
    <row r="141" spans="1:21" x14ac:dyDescent="0.25">
      <c r="A141" s="106">
        <v>139</v>
      </c>
      <c r="B141" s="103">
        <f t="shared" si="2"/>
        <v>45338</v>
      </c>
      <c r="C141" s="109">
        <f>YEAR(GC[[#This Row],[Date]])+IF(MONTH(GC[[#This Row],[Date]])&gt;=4,1,0)</f>
        <v>2024</v>
      </c>
      <c r="D141" s="110">
        <f>YEAR(GC[[#This Row],[Date]])</f>
        <v>2024</v>
      </c>
      <c r="E141" s="101" t="s">
        <v>73</v>
      </c>
      <c r="F141" s="101" t="s">
        <v>73</v>
      </c>
      <c r="G141" s="102" t="str">
        <f>TEXT(GC[[#This Row],[Date]],"mmm-yy")</f>
        <v>Feb-24</v>
      </c>
      <c r="H141" s="102">
        <f>DAY(EOMONTH(GC[[#This Row],[Month Year]],0))</f>
        <v>29</v>
      </c>
      <c r="I141" s="106"/>
      <c r="J141" s="106"/>
      <c r="K141" s="106"/>
      <c r="L141" s="106"/>
      <c r="M141" s="106"/>
      <c r="N141" s="106"/>
      <c r="O141" s="106"/>
      <c r="P141" s="106"/>
      <c r="Q141" s="106"/>
      <c r="R141" s="106"/>
      <c r="S141" s="1">
        <f>SUM(GC[[#This Row],[Blk1]:[Blk8]])</f>
        <v>0</v>
      </c>
      <c r="T141" s="106" t="str">
        <f>PROPER(GC[[#This Row],[Resources]])</f>
        <v/>
      </c>
      <c r="U141" s="106"/>
    </row>
    <row r="142" spans="1:21" x14ac:dyDescent="0.25">
      <c r="A142" s="106">
        <v>140</v>
      </c>
      <c r="B142" s="103">
        <f t="shared" si="2"/>
        <v>45339</v>
      </c>
      <c r="C142" s="109">
        <f>YEAR(GC[[#This Row],[Date]])+IF(MONTH(GC[[#This Row],[Date]])&gt;=4,1,0)</f>
        <v>2024</v>
      </c>
      <c r="D142" s="110">
        <f>YEAR(GC[[#This Row],[Date]])</f>
        <v>2024</v>
      </c>
      <c r="E142" s="101" t="s">
        <v>73</v>
      </c>
      <c r="F142" s="101" t="s">
        <v>73</v>
      </c>
      <c r="G142" s="102" t="str">
        <f>TEXT(GC[[#This Row],[Date]],"mmm-yy")</f>
        <v>Feb-24</v>
      </c>
      <c r="H142" s="102">
        <f>DAY(EOMONTH(GC[[#This Row],[Month Year]],0))</f>
        <v>29</v>
      </c>
      <c r="I142" s="106"/>
      <c r="J142" s="106"/>
      <c r="K142" s="106"/>
      <c r="L142" s="106"/>
      <c r="M142" s="106"/>
      <c r="N142" s="106"/>
      <c r="O142" s="106"/>
      <c r="P142" s="106"/>
      <c r="Q142" s="106"/>
      <c r="R142" s="106"/>
      <c r="S142" s="1">
        <f>SUM(GC[[#This Row],[Blk1]:[Blk8]])</f>
        <v>0</v>
      </c>
      <c r="T142" s="106" t="str">
        <f>PROPER(GC[[#This Row],[Resources]])</f>
        <v/>
      </c>
      <c r="U142" s="106"/>
    </row>
    <row r="143" spans="1:21" x14ac:dyDescent="0.25">
      <c r="A143" s="106">
        <v>141</v>
      </c>
      <c r="B143" s="103">
        <f t="shared" si="2"/>
        <v>45340</v>
      </c>
      <c r="C143" s="109">
        <f>YEAR(GC[[#This Row],[Date]])+IF(MONTH(GC[[#This Row],[Date]])&gt;=4,1,0)</f>
        <v>2024</v>
      </c>
      <c r="D143" s="110">
        <f>YEAR(GC[[#This Row],[Date]])</f>
        <v>2024</v>
      </c>
      <c r="E143" s="101" t="s">
        <v>73</v>
      </c>
      <c r="F143" s="101" t="s">
        <v>73</v>
      </c>
      <c r="G143" s="102" t="str">
        <f>TEXT(GC[[#This Row],[Date]],"mmm-yy")</f>
        <v>Feb-24</v>
      </c>
      <c r="H143" s="102">
        <f>DAY(EOMONTH(GC[[#This Row],[Month Year]],0))</f>
        <v>29</v>
      </c>
      <c r="I143" s="106"/>
      <c r="J143" s="106"/>
      <c r="K143" s="106"/>
      <c r="L143" s="106"/>
      <c r="M143" s="106"/>
      <c r="N143" s="106"/>
      <c r="O143" s="106"/>
      <c r="P143" s="106"/>
      <c r="Q143" s="106"/>
      <c r="R143" s="106"/>
      <c r="S143" s="1">
        <f>SUM(GC[[#This Row],[Blk1]:[Blk8]])</f>
        <v>0</v>
      </c>
      <c r="T143" s="106" t="str">
        <f>PROPER(GC[[#This Row],[Resources]])</f>
        <v/>
      </c>
      <c r="U143" s="106"/>
    </row>
    <row r="144" spans="1:21" x14ac:dyDescent="0.25">
      <c r="A144" s="106">
        <v>142</v>
      </c>
      <c r="B144" s="103">
        <f t="shared" si="2"/>
        <v>45341</v>
      </c>
      <c r="C144" s="109">
        <f>YEAR(GC[[#This Row],[Date]])+IF(MONTH(GC[[#This Row],[Date]])&gt;=4,1,0)</f>
        <v>2024</v>
      </c>
      <c r="D144" s="110">
        <f>YEAR(GC[[#This Row],[Date]])</f>
        <v>2024</v>
      </c>
      <c r="E144" s="101" t="s">
        <v>73</v>
      </c>
      <c r="F144" s="101" t="s">
        <v>73</v>
      </c>
      <c r="G144" s="102" t="str">
        <f>TEXT(GC[[#This Row],[Date]],"mmm-yy")</f>
        <v>Feb-24</v>
      </c>
      <c r="H144" s="102">
        <f>DAY(EOMONTH(GC[[#This Row],[Month Year]],0))</f>
        <v>29</v>
      </c>
      <c r="I144" s="106"/>
      <c r="J144" s="106"/>
      <c r="K144" s="106"/>
      <c r="L144" s="106"/>
      <c r="M144" s="106"/>
      <c r="N144" s="106"/>
      <c r="O144" s="106"/>
      <c r="P144" s="106"/>
      <c r="Q144" s="106"/>
      <c r="R144" s="106"/>
      <c r="S144" s="1">
        <f>SUM(GC[[#This Row],[Blk1]:[Blk8]])</f>
        <v>0</v>
      </c>
      <c r="T144" s="106" t="str">
        <f>PROPER(GC[[#This Row],[Resources]])</f>
        <v/>
      </c>
      <c r="U144" s="106"/>
    </row>
    <row r="145" spans="1:21" x14ac:dyDescent="0.25">
      <c r="A145" s="106">
        <v>143</v>
      </c>
      <c r="B145" s="103">
        <f t="shared" si="2"/>
        <v>45342</v>
      </c>
      <c r="C145" s="109">
        <f>YEAR(GC[[#This Row],[Date]])+IF(MONTH(GC[[#This Row],[Date]])&gt;=4,1,0)</f>
        <v>2024</v>
      </c>
      <c r="D145" s="110">
        <f>YEAR(GC[[#This Row],[Date]])</f>
        <v>2024</v>
      </c>
      <c r="E145" s="101" t="s">
        <v>73</v>
      </c>
      <c r="F145" s="101" t="s">
        <v>73</v>
      </c>
      <c r="G145" s="102" t="str">
        <f>TEXT(GC[[#This Row],[Date]],"mmm-yy")</f>
        <v>Feb-24</v>
      </c>
      <c r="H145" s="102">
        <f>DAY(EOMONTH(GC[[#This Row],[Month Year]],0))</f>
        <v>29</v>
      </c>
      <c r="I145" s="106"/>
      <c r="J145" s="115"/>
      <c r="K145" s="106"/>
      <c r="L145" s="106"/>
      <c r="M145" s="106"/>
      <c r="N145" s="106"/>
      <c r="O145" s="106"/>
      <c r="P145" s="106"/>
      <c r="Q145" s="106"/>
      <c r="R145" s="106"/>
      <c r="S145" s="1">
        <f>SUM(GC[[#This Row],[Blk1]:[Blk8]])</f>
        <v>0</v>
      </c>
      <c r="T145" s="116" t="str">
        <f>PROPER(GC[[#This Row],[Resources]])</f>
        <v/>
      </c>
      <c r="U145" s="106"/>
    </row>
    <row r="146" spans="1:21" x14ac:dyDescent="0.25">
      <c r="A146" s="106">
        <v>144</v>
      </c>
      <c r="B146" s="103">
        <f t="shared" si="2"/>
        <v>45343</v>
      </c>
      <c r="C146" s="109">
        <f>YEAR(GC[[#This Row],[Date]])+IF(MONTH(GC[[#This Row],[Date]])&gt;=4,1,0)</f>
        <v>2024</v>
      </c>
      <c r="D146" s="110">
        <f>YEAR(GC[[#This Row],[Date]])</f>
        <v>2024</v>
      </c>
      <c r="E146" s="101" t="s">
        <v>73</v>
      </c>
      <c r="F146" s="101" t="s">
        <v>73</v>
      </c>
      <c r="G146" s="102" t="str">
        <f>TEXT(GC[[#This Row],[Date]],"mmm-yy")</f>
        <v>Feb-24</v>
      </c>
      <c r="H146" s="102">
        <f>DAY(EOMONTH(GC[[#This Row],[Month Year]],0))</f>
        <v>29</v>
      </c>
      <c r="I146" s="106"/>
      <c r="J146" s="115"/>
      <c r="K146" s="106"/>
      <c r="L146" s="106"/>
      <c r="M146" s="106"/>
      <c r="N146" s="106"/>
      <c r="O146" s="106"/>
      <c r="P146" s="106"/>
      <c r="Q146" s="106"/>
      <c r="R146" s="106"/>
      <c r="S146" s="1">
        <f>SUM(GC[[#This Row],[Blk1]:[Blk8]])</f>
        <v>0</v>
      </c>
      <c r="T146" s="116" t="str">
        <f>PROPER(GC[[#This Row],[Resources]])</f>
        <v/>
      </c>
      <c r="U146" s="108"/>
    </row>
    <row r="147" spans="1:21" x14ac:dyDescent="0.25">
      <c r="A147" s="106">
        <v>145</v>
      </c>
      <c r="B147" s="103">
        <f t="shared" si="2"/>
        <v>45344</v>
      </c>
      <c r="C147" s="109">
        <f>YEAR(GC[[#This Row],[Date]])+IF(MONTH(GC[[#This Row],[Date]])&gt;=4,1,0)</f>
        <v>2024</v>
      </c>
      <c r="D147" s="110">
        <f>YEAR(GC[[#This Row],[Date]])</f>
        <v>2024</v>
      </c>
      <c r="E147" s="101" t="s">
        <v>73</v>
      </c>
      <c r="F147" s="101" t="s">
        <v>73</v>
      </c>
      <c r="G147" s="102" t="str">
        <f>TEXT(GC[[#This Row],[Date]],"mmm-yy")</f>
        <v>Feb-24</v>
      </c>
      <c r="H147" s="102">
        <f>DAY(EOMONTH(GC[[#This Row],[Month Year]],0))</f>
        <v>29</v>
      </c>
      <c r="I147" s="106"/>
      <c r="J147" s="115"/>
      <c r="K147" s="106"/>
      <c r="L147" s="106"/>
      <c r="M147" s="106"/>
      <c r="N147" s="106"/>
      <c r="O147" s="106"/>
      <c r="P147" s="106"/>
      <c r="Q147" s="106"/>
      <c r="R147" s="106"/>
      <c r="S147" s="1">
        <f>SUM(GC[[#This Row],[Blk1]:[Blk8]])</f>
        <v>0</v>
      </c>
      <c r="T147" s="116" t="str">
        <f>PROPER(GC[[#This Row],[Resources]])</f>
        <v/>
      </c>
      <c r="U147" s="108"/>
    </row>
    <row r="148" spans="1:21" x14ac:dyDescent="0.25">
      <c r="A148" s="106">
        <v>146</v>
      </c>
      <c r="B148" s="103">
        <f t="shared" si="2"/>
        <v>45345</v>
      </c>
      <c r="C148" s="109">
        <f>YEAR(GC[[#This Row],[Date]])+IF(MONTH(GC[[#This Row],[Date]])&gt;=4,1,0)</f>
        <v>2024</v>
      </c>
      <c r="D148" s="110">
        <f>YEAR(GC[[#This Row],[Date]])</f>
        <v>2024</v>
      </c>
      <c r="E148" s="101" t="s">
        <v>73</v>
      </c>
      <c r="F148" s="101" t="s">
        <v>73</v>
      </c>
      <c r="G148" s="102" t="str">
        <f>TEXT(GC[[#This Row],[Date]],"mmm-yy")</f>
        <v>Feb-24</v>
      </c>
      <c r="H148" s="102">
        <f>DAY(EOMONTH(GC[[#This Row],[Month Year]],0))</f>
        <v>29</v>
      </c>
      <c r="I148" s="106"/>
      <c r="J148" s="116"/>
      <c r="K148" s="106"/>
      <c r="L148" s="106"/>
      <c r="M148" s="106"/>
      <c r="N148" s="106"/>
      <c r="O148" s="106"/>
      <c r="P148" s="106"/>
      <c r="Q148" s="106"/>
      <c r="R148" s="106"/>
      <c r="S148" s="1">
        <f>SUM(GC[[#This Row],[Blk1]:[Blk8]])</f>
        <v>0</v>
      </c>
      <c r="T148" s="116" t="str">
        <f>PROPER(GC[[#This Row],[Resources]])</f>
        <v/>
      </c>
      <c r="U148" s="108"/>
    </row>
    <row r="149" spans="1:21" x14ac:dyDescent="0.25">
      <c r="A149" s="106">
        <v>147</v>
      </c>
      <c r="B149" s="103">
        <f t="shared" si="2"/>
        <v>45346</v>
      </c>
      <c r="C149" s="109">
        <f>YEAR(GC[[#This Row],[Date]])+IF(MONTH(GC[[#This Row],[Date]])&gt;=4,1,0)</f>
        <v>2024</v>
      </c>
      <c r="D149" s="110">
        <f>YEAR(GC[[#This Row],[Date]])</f>
        <v>2024</v>
      </c>
      <c r="E149" s="101" t="s">
        <v>73</v>
      </c>
      <c r="F149" s="101" t="s">
        <v>73</v>
      </c>
      <c r="G149" s="102" t="str">
        <f>TEXT(GC[[#This Row],[Date]],"mmm-yy")</f>
        <v>Feb-24</v>
      </c>
      <c r="H149" s="102">
        <f>DAY(EOMONTH(GC[[#This Row],[Month Year]],0))</f>
        <v>29</v>
      </c>
      <c r="I149" s="106"/>
      <c r="J149" s="116"/>
      <c r="K149" s="106"/>
      <c r="L149" s="106"/>
      <c r="M149" s="106"/>
      <c r="N149" s="106"/>
      <c r="O149" s="106"/>
      <c r="P149" s="106"/>
      <c r="Q149" s="106"/>
      <c r="R149" s="106"/>
      <c r="S149" s="1">
        <f>SUM(GC[[#This Row],[Blk1]:[Blk8]])</f>
        <v>0</v>
      </c>
      <c r="T149" s="116" t="str">
        <f>PROPER(GC[[#This Row],[Resources]])</f>
        <v/>
      </c>
      <c r="U149" s="106"/>
    </row>
    <row r="150" spans="1:21" x14ac:dyDescent="0.25">
      <c r="A150" s="106">
        <v>148</v>
      </c>
      <c r="B150" s="103">
        <f t="shared" si="2"/>
        <v>45347</v>
      </c>
      <c r="C150" s="109">
        <f>YEAR(GC[[#This Row],[Date]])+IF(MONTH(GC[[#This Row],[Date]])&gt;=4,1,0)</f>
        <v>2024</v>
      </c>
      <c r="D150" s="110">
        <f>YEAR(GC[[#This Row],[Date]])</f>
        <v>2024</v>
      </c>
      <c r="E150" s="101" t="s">
        <v>73</v>
      </c>
      <c r="F150" s="101" t="s">
        <v>73</v>
      </c>
      <c r="G150" s="102" t="str">
        <f>TEXT(GC[[#This Row],[Date]],"mmm-yy")</f>
        <v>Feb-24</v>
      </c>
      <c r="H150" s="102">
        <f>DAY(EOMONTH(GC[[#This Row],[Month Year]],0))</f>
        <v>29</v>
      </c>
      <c r="I150" s="106"/>
      <c r="J150" s="116"/>
      <c r="K150" s="106"/>
      <c r="L150" s="106"/>
      <c r="M150" s="106"/>
      <c r="N150" s="106"/>
      <c r="O150" s="106"/>
      <c r="P150" s="106"/>
      <c r="Q150" s="106"/>
      <c r="R150" s="106"/>
      <c r="S150" s="1">
        <f>SUM(GC[[#This Row],[Blk1]:[Blk8]])</f>
        <v>0</v>
      </c>
      <c r="T150" s="116" t="str">
        <f>PROPER(GC[[#This Row],[Resources]])</f>
        <v/>
      </c>
      <c r="U150" s="108"/>
    </row>
    <row r="151" spans="1:21" x14ac:dyDescent="0.25">
      <c r="A151" s="106">
        <v>149</v>
      </c>
      <c r="B151" s="103">
        <f t="shared" si="2"/>
        <v>45348</v>
      </c>
      <c r="C151" s="109">
        <f>YEAR(GC[[#This Row],[Date]])+IF(MONTH(GC[[#This Row],[Date]])&gt;=4,1,0)</f>
        <v>2024</v>
      </c>
      <c r="D151" s="110">
        <f>YEAR(GC[[#This Row],[Date]])</f>
        <v>2024</v>
      </c>
      <c r="E151" s="101" t="s">
        <v>73</v>
      </c>
      <c r="F151" s="101" t="s">
        <v>73</v>
      </c>
      <c r="G151" s="102" t="str">
        <f>TEXT(GC[[#This Row],[Date]],"mmm-yy")</f>
        <v>Feb-24</v>
      </c>
      <c r="H151" s="102">
        <f>DAY(EOMONTH(GC[[#This Row],[Month Year]],0))</f>
        <v>29</v>
      </c>
      <c r="I151" s="106"/>
      <c r="J151" s="116"/>
      <c r="K151" s="106"/>
      <c r="L151" s="106"/>
      <c r="M151" s="106"/>
      <c r="N151" s="106"/>
      <c r="O151" s="106"/>
      <c r="P151" s="106"/>
      <c r="Q151" s="106"/>
      <c r="R151" s="106"/>
      <c r="S151" s="1">
        <f>SUM(GC[[#This Row],[Blk1]:[Blk8]])</f>
        <v>0</v>
      </c>
      <c r="T151" s="116" t="str">
        <f>PROPER(GC[[#This Row],[Resources]])</f>
        <v/>
      </c>
      <c r="U151" s="108"/>
    </row>
    <row r="152" spans="1:21" x14ac:dyDescent="0.25">
      <c r="A152" s="106">
        <v>150</v>
      </c>
      <c r="B152" s="103">
        <f t="shared" si="2"/>
        <v>45349</v>
      </c>
      <c r="C152" s="109">
        <f>YEAR(GC[[#This Row],[Date]])+IF(MONTH(GC[[#This Row],[Date]])&gt;=4,1,0)</f>
        <v>2024</v>
      </c>
      <c r="D152" s="110">
        <f>YEAR(GC[[#This Row],[Date]])</f>
        <v>2024</v>
      </c>
      <c r="E152" s="101" t="s">
        <v>73</v>
      </c>
      <c r="F152" s="101" t="s">
        <v>73</v>
      </c>
      <c r="G152" s="102" t="str">
        <f>TEXT(GC[[#This Row],[Date]],"mmm-yy")</f>
        <v>Feb-24</v>
      </c>
      <c r="H152" s="102">
        <f>DAY(EOMONTH(GC[[#This Row],[Month Year]],0))</f>
        <v>29</v>
      </c>
      <c r="I152" s="106"/>
      <c r="J152" s="116"/>
      <c r="K152" s="106"/>
      <c r="L152" s="106"/>
      <c r="M152" s="106"/>
      <c r="N152" s="106"/>
      <c r="O152" s="106"/>
      <c r="P152" s="106"/>
      <c r="Q152" s="106"/>
      <c r="R152" s="106"/>
      <c r="S152" s="1">
        <f>SUM(GC[[#This Row],[Blk1]:[Blk8]])</f>
        <v>0</v>
      </c>
      <c r="T152" s="116" t="str">
        <f>PROPER(GC[[#This Row],[Resources]])</f>
        <v/>
      </c>
      <c r="U152" s="108"/>
    </row>
    <row r="153" spans="1:21" x14ac:dyDescent="0.25">
      <c r="A153" s="106">
        <v>151</v>
      </c>
      <c r="B153" s="103">
        <f t="shared" si="2"/>
        <v>45350</v>
      </c>
      <c r="C153" s="109">
        <f>YEAR(GC[[#This Row],[Date]])+IF(MONTH(GC[[#This Row],[Date]])&gt;=4,1,0)</f>
        <v>2024</v>
      </c>
      <c r="D153" s="110">
        <f>YEAR(GC[[#This Row],[Date]])</f>
        <v>2024</v>
      </c>
      <c r="E153" s="101" t="s">
        <v>73</v>
      </c>
      <c r="F153" s="101" t="s">
        <v>73</v>
      </c>
      <c r="G153" s="102" t="str">
        <f>TEXT(GC[[#This Row],[Date]],"mmm-yy")</f>
        <v>Feb-24</v>
      </c>
      <c r="H153" s="102">
        <f>DAY(EOMONTH(GC[[#This Row],[Month Year]],0))</f>
        <v>29</v>
      </c>
      <c r="I153" s="106"/>
      <c r="J153" s="116"/>
      <c r="K153" s="106"/>
      <c r="L153" s="106"/>
      <c r="M153" s="106"/>
      <c r="N153" s="106"/>
      <c r="O153" s="106"/>
      <c r="P153" s="106"/>
      <c r="Q153" s="106"/>
      <c r="R153" s="106"/>
      <c r="S153" s="1">
        <f>SUM(GC[[#This Row],[Blk1]:[Blk8]])</f>
        <v>0</v>
      </c>
      <c r="T153" s="116" t="str">
        <f>PROPER(GC[[#This Row],[Resources]])</f>
        <v/>
      </c>
      <c r="U153" s="108"/>
    </row>
    <row r="154" spans="1:21" x14ac:dyDescent="0.25">
      <c r="A154" s="106">
        <v>152</v>
      </c>
      <c r="B154" s="103">
        <f t="shared" si="2"/>
        <v>45351</v>
      </c>
      <c r="C154" s="109">
        <f>YEAR(GC[[#This Row],[Date]])+IF(MONTH(GC[[#This Row],[Date]])&gt;=4,1,0)</f>
        <v>2024</v>
      </c>
      <c r="D154" s="110">
        <f>YEAR(GC[[#This Row],[Date]])</f>
        <v>2024</v>
      </c>
      <c r="E154" s="101" t="s">
        <v>73</v>
      </c>
      <c r="F154" s="101" t="s">
        <v>73</v>
      </c>
      <c r="G154" s="102" t="str">
        <f>TEXT(GC[[#This Row],[Date]],"mmm-yy")</f>
        <v>Feb-24</v>
      </c>
      <c r="H154" s="102">
        <f>DAY(EOMONTH(GC[[#This Row],[Month Year]],0))</f>
        <v>29</v>
      </c>
      <c r="I154" s="106"/>
      <c r="J154" s="116"/>
      <c r="K154" s="106"/>
      <c r="L154" s="106"/>
      <c r="M154" s="106"/>
      <c r="N154" s="106"/>
      <c r="O154" s="106"/>
      <c r="P154" s="106"/>
      <c r="Q154" s="106"/>
      <c r="R154" s="106"/>
      <c r="S154" s="1">
        <f>SUM(GC[[#This Row],[Blk1]:[Blk8]])</f>
        <v>0</v>
      </c>
      <c r="T154" s="116" t="str">
        <f>PROPER(GC[[#This Row],[Resources]])</f>
        <v/>
      </c>
      <c r="U154" s="108"/>
    </row>
    <row r="155" spans="1:21" x14ac:dyDescent="0.25">
      <c r="A155" s="106">
        <v>153</v>
      </c>
      <c r="B155" s="103">
        <f t="shared" si="2"/>
        <v>45352</v>
      </c>
      <c r="C155" s="109">
        <f>YEAR(GC[[#This Row],[Date]])+IF(MONTH(GC[[#This Row],[Date]])&gt;=4,1,0)</f>
        <v>2024</v>
      </c>
      <c r="D155" s="110">
        <f>YEAR(GC[[#This Row],[Date]])</f>
        <v>2024</v>
      </c>
      <c r="E155" s="101" t="s">
        <v>73</v>
      </c>
      <c r="F155" s="101" t="s">
        <v>73</v>
      </c>
      <c r="G155" s="102" t="str">
        <f>TEXT(GC[[#This Row],[Date]],"mmm-yy")</f>
        <v>Mar-24</v>
      </c>
      <c r="H155" s="102">
        <f>DAY(EOMONTH(GC[[#This Row],[Month Year]],0))</f>
        <v>31</v>
      </c>
      <c r="I155" s="106"/>
      <c r="J155" s="116"/>
      <c r="K155" s="106"/>
      <c r="L155" s="106"/>
      <c r="M155" s="106"/>
      <c r="N155" s="106"/>
      <c r="O155" s="106"/>
      <c r="P155" s="106"/>
      <c r="Q155" s="106"/>
      <c r="R155" s="106"/>
      <c r="S155" s="1">
        <f>SUM(GC[[#This Row],[Blk1]:[Blk8]])</f>
        <v>0</v>
      </c>
      <c r="T155" s="116" t="str">
        <f>PROPER(GC[[#This Row],[Resources]])</f>
        <v/>
      </c>
      <c r="U155" s="108"/>
    </row>
    <row r="156" spans="1:21" x14ac:dyDescent="0.25">
      <c r="A156" s="106">
        <v>154</v>
      </c>
      <c r="B156" s="103">
        <f t="shared" si="2"/>
        <v>45353</v>
      </c>
      <c r="C156" s="109">
        <f>YEAR(GC[[#This Row],[Date]])+IF(MONTH(GC[[#This Row],[Date]])&gt;=4,1,0)</f>
        <v>2024</v>
      </c>
      <c r="D156" s="110">
        <f>YEAR(GC[[#This Row],[Date]])</f>
        <v>2024</v>
      </c>
      <c r="E156" s="101" t="s">
        <v>73</v>
      </c>
      <c r="F156" s="101" t="s">
        <v>73</v>
      </c>
      <c r="G156" s="102" t="str">
        <f>TEXT(GC[[#This Row],[Date]],"mmm-yy")</f>
        <v>Mar-24</v>
      </c>
      <c r="H156" s="102">
        <f>DAY(EOMONTH(GC[[#This Row],[Month Year]],0))</f>
        <v>31</v>
      </c>
      <c r="I156" s="106"/>
      <c r="J156" s="116"/>
      <c r="K156" s="106"/>
      <c r="L156" s="106"/>
      <c r="M156" s="106"/>
      <c r="N156" s="106"/>
      <c r="O156" s="106"/>
      <c r="P156" s="106"/>
      <c r="Q156" s="106"/>
      <c r="R156" s="106"/>
      <c r="S156" s="1">
        <f>SUM(GC[[#This Row],[Blk1]:[Blk8]])</f>
        <v>0</v>
      </c>
      <c r="T156" s="116" t="str">
        <f>PROPER(GC[[#This Row],[Resources]])</f>
        <v/>
      </c>
      <c r="U156" s="116" t="s">
        <v>74</v>
      </c>
    </row>
    <row r="157" spans="1:21" x14ac:dyDescent="0.25">
      <c r="A157" s="106">
        <v>155</v>
      </c>
      <c r="B157" s="103">
        <f t="shared" si="2"/>
        <v>45354</v>
      </c>
      <c r="C157" s="109">
        <f>YEAR(GC[[#This Row],[Date]])+IF(MONTH(GC[[#This Row],[Date]])&gt;=4,1,0)</f>
        <v>2024</v>
      </c>
      <c r="D157" s="110">
        <f>YEAR(GC[[#This Row],[Date]])</f>
        <v>2024</v>
      </c>
      <c r="E157" s="101" t="s">
        <v>73</v>
      </c>
      <c r="F157" s="101" t="s">
        <v>73</v>
      </c>
      <c r="G157" s="102" t="str">
        <f>TEXT(GC[[#This Row],[Date]],"mmm-yy")</f>
        <v>Mar-24</v>
      </c>
      <c r="H157" s="102">
        <f>DAY(EOMONTH(GC[[#This Row],[Month Year]],0))</f>
        <v>31</v>
      </c>
      <c r="I157" s="106"/>
      <c r="J157" s="116"/>
      <c r="K157" s="106"/>
      <c r="L157" s="106"/>
      <c r="M157" s="106"/>
      <c r="N157" s="106"/>
      <c r="O157" s="106"/>
      <c r="P157" s="106"/>
      <c r="Q157" s="106"/>
      <c r="R157" s="106"/>
      <c r="S157" s="1">
        <f>SUM(GC[[#This Row],[Blk1]:[Blk8]])</f>
        <v>0</v>
      </c>
      <c r="T157" s="116" t="str">
        <f>PROPER(GC[[#This Row],[Resources]])</f>
        <v/>
      </c>
      <c r="U157" s="116" t="s">
        <v>74</v>
      </c>
    </row>
    <row r="158" spans="1:21" x14ac:dyDescent="0.25">
      <c r="A158" s="106">
        <v>156</v>
      </c>
      <c r="B158" s="103">
        <f t="shared" si="2"/>
        <v>45355</v>
      </c>
      <c r="C158" s="109">
        <f>YEAR(GC[[#This Row],[Date]])+IF(MONTH(GC[[#This Row],[Date]])&gt;=4,1,0)</f>
        <v>2024</v>
      </c>
      <c r="D158" s="110">
        <f>YEAR(GC[[#This Row],[Date]])</f>
        <v>2024</v>
      </c>
      <c r="E158" s="101" t="s">
        <v>73</v>
      </c>
      <c r="F158" s="101" t="s">
        <v>73</v>
      </c>
      <c r="G158" s="102" t="str">
        <f>TEXT(GC[[#This Row],[Date]],"mmm-yy")</f>
        <v>Mar-24</v>
      </c>
      <c r="H158" s="102">
        <f>DAY(EOMONTH(GC[[#This Row],[Month Year]],0))</f>
        <v>31</v>
      </c>
      <c r="I158" s="106"/>
      <c r="J158" s="116"/>
      <c r="K158" s="106"/>
      <c r="L158" s="106"/>
      <c r="M158" s="106"/>
      <c r="N158" s="106"/>
      <c r="O158" s="106"/>
      <c r="P158" s="106"/>
      <c r="Q158" s="106"/>
      <c r="R158" s="106"/>
      <c r="S158" s="1">
        <f>SUM(GC[[#This Row],[Blk1]:[Blk8]])</f>
        <v>0</v>
      </c>
      <c r="T158" s="106" t="str">
        <f>PROPER(GC[[#This Row],[Resources]])</f>
        <v/>
      </c>
      <c r="U158" s="116" t="s">
        <v>74</v>
      </c>
    </row>
    <row r="159" spans="1:21" x14ac:dyDescent="0.25">
      <c r="A159" s="106">
        <v>157</v>
      </c>
      <c r="B159" s="103">
        <f t="shared" si="2"/>
        <v>45356</v>
      </c>
      <c r="C159" s="109">
        <f>YEAR(GC[[#This Row],[Date]])+IF(MONTH(GC[[#This Row],[Date]])&gt;=4,1,0)</f>
        <v>2024</v>
      </c>
      <c r="D159" s="110">
        <f>YEAR(GC[[#This Row],[Date]])</f>
        <v>2024</v>
      </c>
      <c r="E159" s="101" t="s">
        <v>73</v>
      </c>
      <c r="F159" s="101" t="s">
        <v>73</v>
      </c>
      <c r="G159" s="102" t="str">
        <f>TEXT(GC[[#This Row],[Date]],"mmm-yy")</f>
        <v>Mar-24</v>
      </c>
      <c r="H159" s="102">
        <f>DAY(EOMONTH(GC[[#This Row],[Month Year]],0))</f>
        <v>31</v>
      </c>
      <c r="I159" s="106"/>
      <c r="J159" s="116"/>
      <c r="K159" s="106"/>
      <c r="L159" s="106"/>
      <c r="M159" s="106"/>
      <c r="N159" s="106"/>
      <c r="O159" s="106"/>
      <c r="P159" s="106"/>
      <c r="Q159" s="106"/>
      <c r="R159" s="106"/>
      <c r="S159" s="1">
        <f>SUM(GC[[#This Row],[Blk1]:[Blk8]])</f>
        <v>0</v>
      </c>
      <c r="T159" s="106" t="str">
        <f>PROPER(GC[[#This Row],[Resources]])</f>
        <v/>
      </c>
      <c r="U159" s="116" t="s">
        <v>74</v>
      </c>
    </row>
    <row r="160" spans="1:21" x14ac:dyDescent="0.25">
      <c r="A160" s="106">
        <v>158</v>
      </c>
      <c r="B160" s="103">
        <f t="shared" si="2"/>
        <v>45357</v>
      </c>
      <c r="C160" s="109">
        <f>YEAR(GC[[#This Row],[Date]])+IF(MONTH(GC[[#This Row],[Date]])&gt;=4,1,0)</f>
        <v>2024</v>
      </c>
      <c r="D160" s="110">
        <f>YEAR(GC[[#This Row],[Date]])</f>
        <v>2024</v>
      </c>
      <c r="E160" s="101" t="s">
        <v>73</v>
      </c>
      <c r="F160" s="101" t="s">
        <v>73</v>
      </c>
      <c r="G160" s="102" t="str">
        <f>TEXT(GC[[#This Row],[Date]],"mmm-yy")</f>
        <v>Mar-24</v>
      </c>
      <c r="H160" s="102">
        <f>DAY(EOMONTH(GC[[#This Row],[Month Year]],0))</f>
        <v>31</v>
      </c>
      <c r="I160" s="106"/>
      <c r="J160" s="116"/>
      <c r="K160" s="106"/>
      <c r="L160" s="106"/>
      <c r="M160" s="106"/>
      <c r="N160" s="106"/>
      <c r="O160" s="106"/>
      <c r="P160" s="106"/>
      <c r="Q160" s="106"/>
      <c r="R160" s="106"/>
      <c r="S160" s="1">
        <f>SUM(GC[[#This Row],[Blk1]:[Blk8]])</f>
        <v>0</v>
      </c>
      <c r="T160" s="106" t="str">
        <f>PROPER(GC[[#This Row],[Resources]])</f>
        <v/>
      </c>
      <c r="U160" s="116" t="s">
        <v>74</v>
      </c>
    </row>
    <row r="161" spans="1:21" x14ac:dyDescent="0.25">
      <c r="A161" s="106">
        <v>159</v>
      </c>
      <c r="B161" s="103">
        <f t="shared" si="2"/>
        <v>45358</v>
      </c>
      <c r="C161" s="109">
        <f>YEAR(GC[[#This Row],[Date]])+IF(MONTH(GC[[#This Row],[Date]])&gt;=4,1,0)</f>
        <v>2024</v>
      </c>
      <c r="D161" s="110">
        <f>YEAR(GC[[#This Row],[Date]])</f>
        <v>2024</v>
      </c>
      <c r="E161" s="101" t="s">
        <v>73</v>
      </c>
      <c r="F161" s="101" t="s">
        <v>73</v>
      </c>
      <c r="G161" s="102" t="str">
        <f>TEXT(GC[[#This Row],[Date]],"mmm-yy")</f>
        <v>Mar-24</v>
      </c>
      <c r="H161" s="102">
        <f>DAY(EOMONTH(GC[[#This Row],[Month Year]],0))</f>
        <v>31</v>
      </c>
      <c r="I161" s="106"/>
      <c r="J161" s="116"/>
      <c r="K161" s="106"/>
      <c r="L161" s="106"/>
      <c r="M161" s="106"/>
      <c r="N161" s="106"/>
      <c r="O161" s="106"/>
      <c r="P161" s="106"/>
      <c r="Q161" s="106"/>
      <c r="R161" s="106"/>
      <c r="S161" s="1">
        <f>SUM(GC[[#This Row],[Blk1]:[Blk8]])</f>
        <v>0</v>
      </c>
      <c r="T161" s="106" t="str">
        <f>PROPER(GC[[#This Row],[Resources]])</f>
        <v/>
      </c>
      <c r="U161" s="116" t="s">
        <v>74</v>
      </c>
    </row>
    <row r="162" spans="1:21" x14ac:dyDescent="0.25">
      <c r="A162" s="106">
        <v>160</v>
      </c>
      <c r="B162" s="103">
        <f t="shared" si="2"/>
        <v>45359</v>
      </c>
      <c r="C162" s="109">
        <f>YEAR(GC[[#This Row],[Date]])+IF(MONTH(GC[[#This Row],[Date]])&gt;=4,1,0)</f>
        <v>2024</v>
      </c>
      <c r="D162" s="110">
        <f>YEAR(GC[[#This Row],[Date]])</f>
        <v>2024</v>
      </c>
      <c r="E162" s="101" t="s">
        <v>73</v>
      </c>
      <c r="F162" s="101" t="s">
        <v>73</v>
      </c>
      <c r="G162" s="102" t="str">
        <f>TEXT(GC[[#This Row],[Date]],"mmm-yy")</f>
        <v>Mar-24</v>
      </c>
      <c r="H162" s="102">
        <f>DAY(EOMONTH(GC[[#This Row],[Month Year]],0))</f>
        <v>31</v>
      </c>
      <c r="I162" s="106"/>
      <c r="J162" s="116"/>
      <c r="K162" s="106"/>
      <c r="L162" s="106"/>
      <c r="M162" s="106"/>
      <c r="N162" s="106"/>
      <c r="O162" s="106"/>
      <c r="P162" s="106"/>
      <c r="Q162" s="106"/>
      <c r="R162" s="106"/>
      <c r="S162" s="1">
        <f>SUM(GC[[#This Row],[Blk1]:[Blk8]])</f>
        <v>0</v>
      </c>
      <c r="T162" s="116" t="str">
        <f>PROPER(GC[[#This Row],[Resources]])</f>
        <v/>
      </c>
      <c r="U162" s="106"/>
    </row>
    <row r="163" spans="1:21" x14ac:dyDescent="0.25">
      <c r="A163" s="106">
        <v>161</v>
      </c>
      <c r="B163" s="103">
        <f t="shared" si="2"/>
        <v>45360</v>
      </c>
      <c r="C163" s="109">
        <f>YEAR(GC[[#This Row],[Date]])+IF(MONTH(GC[[#This Row],[Date]])&gt;=4,1,0)</f>
        <v>2024</v>
      </c>
      <c r="D163" s="110">
        <f>YEAR(GC[[#This Row],[Date]])</f>
        <v>2024</v>
      </c>
      <c r="E163" s="101" t="s">
        <v>73</v>
      </c>
      <c r="F163" s="101" t="s">
        <v>73</v>
      </c>
      <c r="G163" s="102" t="str">
        <f>TEXT(GC[[#This Row],[Date]],"mmm-yy")</f>
        <v>Mar-24</v>
      </c>
      <c r="H163" s="102">
        <f>DAY(EOMONTH(GC[[#This Row],[Month Year]],0))</f>
        <v>31</v>
      </c>
      <c r="I163" s="106"/>
      <c r="J163" s="116"/>
      <c r="K163" s="106"/>
      <c r="L163" s="106"/>
      <c r="M163" s="106"/>
      <c r="N163" s="106"/>
      <c r="O163" s="106"/>
      <c r="P163" s="106"/>
      <c r="Q163" s="106"/>
      <c r="R163" s="106"/>
      <c r="S163" s="1">
        <f>SUM(GC[[#This Row],[Blk1]:[Blk8]])</f>
        <v>0</v>
      </c>
      <c r="T163" s="116" t="str">
        <f>PROPER(GC[[#This Row],[Resources]])</f>
        <v/>
      </c>
      <c r="U163" s="106"/>
    </row>
    <row r="164" spans="1:21" x14ac:dyDescent="0.25">
      <c r="A164" s="106">
        <v>162</v>
      </c>
      <c r="B164" s="103">
        <f t="shared" si="2"/>
        <v>45361</v>
      </c>
      <c r="C164" s="109">
        <f>YEAR(GC[[#This Row],[Date]])+IF(MONTH(GC[[#This Row],[Date]])&gt;=4,1,0)</f>
        <v>2024</v>
      </c>
      <c r="D164" s="110">
        <f>YEAR(GC[[#This Row],[Date]])</f>
        <v>2024</v>
      </c>
      <c r="E164" s="101" t="s">
        <v>73</v>
      </c>
      <c r="F164" s="101" t="s">
        <v>73</v>
      </c>
      <c r="G164" s="102" t="str">
        <f>TEXT(GC[[#This Row],[Date]],"mmm-yy")</f>
        <v>Mar-24</v>
      </c>
      <c r="H164" s="102">
        <f>DAY(EOMONTH(GC[[#This Row],[Month Year]],0))</f>
        <v>31</v>
      </c>
      <c r="I164" s="106"/>
      <c r="J164" s="116"/>
      <c r="K164" s="106"/>
      <c r="L164" s="106"/>
      <c r="M164" s="106"/>
      <c r="N164" s="106"/>
      <c r="O164" s="106"/>
      <c r="P164" s="106"/>
      <c r="Q164" s="106"/>
      <c r="R164" s="106"/>
      <c r="S164" s="1">
        <f>SUM(GC[[#This Row],[Blk1]:[Blk8]])</f>
        <v>0</v>
      </c>
      <c r="T164" s="116" t="str">
        <f>PROPER(GC[[#This Row],[Resources]])</f>
        <v/>
      </c>
      <c r="U164" s="106"/>
    </row>
    <row r="165" spans="1:21" x14ac:dyDescent="0.25">
      <c r="A165" s="106">
        <v>163</v>
      </c>
      <c r="B165" s="103">
        <f t="shared" si="2"/>
        <v>45362</v>
      </c>
      <c r="C165" s="109">
        <f>YEAR(GC[[#This Row],[Date]])+IF(MONTH(GC[[#This Row],[Date]])&gt;=4,1,0)</f>
        <v>2024</v>
      </c>
      <c r="D165" s="110">
        <f>YEAR(GC[[#This Row],[Date]])</f>
        <v>2024</v>
      </c>
      <c r="E165" s="101" t="s">
        <v>73</v>
      </c>
      <c r="F165" s="101" t="s">
        <v>73</v>
      </c>
      <c r="G165" s="102" t="str">
        <f>TEXT(GC[[#This Row],[Date]],"mmm-yy")</f>
        <v>Mar-24</v>
      </c>
      <c r="H165" s="102">
        <f>DAY(EOMONTH(GC[[#This Row],[Month Year]],0))</f>
        <v>31</v>
      </c>
      <c r="I165" s="106"/>
      <c r="J165" s="116"/>
      <c r="K165" s="106"/>
      <c r="L165" s="106"/>
      <c r="M165" s="106"/>
      <c r="N165" s="106"/>
      <c r="O165" s="106"/>
      <c r="P165" s="106"/>
      <c r="Q165" s="106"/>
      <c r="R165" s="106"/>
      <c r="S165" s="1">
        <f>SUM(GC[[#This Row],[Blk1]:[Blk8]])</f>
        <v>0</v>
      </c>
      <c r="T165" s="116" t="str">
        <f>PROPER(GC[[#This Row],[Resources]])</f>
        <v/>
      </c>
      <c r="U165" s="106"/>
    </row>
    <row r="166" spans="1:21" x14ac:dyDescent="0.25">
      <c r="A166" s="106">
        <v>164</v>
      </c>
      <c r="B166" s="103">
        <f t="shared" si="2"/>
        <v>45363</v>
      </c>
      <c r="C166" s="109">
        <f>YEAR(GC[[#This Row],[Date]])+IF(MONTH(GC[[#This Row],[Date]])&gt;=4,1,0)</f>
        <v>2024</v>
      </c>
      <c r="D166" s="110">
        <f>YEAR(GC[[#This Row],[Date]])</f>
        <v>2024</v>
      </c>
      <c r="E166" s="101" t="s">
        <v>73</v>
      </c>
      <c r="F166" s="101" t="s">
        <v>73</v>
      </c>
      <c r="G166" s="102" t="str">
        <f>TEXT(GC[[#This Row],[Date]],"mmm-yy")</f>
        <v>Mar-24</v>
      </c>
      <c r="H166" s="102">
        <f>DAY(EOMONTH(GC[[#This Row],[Month Year]],0))</f>
        <v>31</v>
      </c>
      <c r="I166" s="106"/>
      <c r="J166" s="116"/>
      <c r="K166" s="106"/>
      <c r="L166" s="106"/>
      <c r="M166" s="106"/>
      <c r="N166" s="106"/>
      <c r="O166" s="106"/>
      <c r="P166" s="106"/>
      <c r="Q166" s="106"/>
      <c r="R166" s="106"/>
      <c r="S166" s="1">
        <f>SUM(GC[[#This Row],[Blk1]:[Blk8]])</f>
        <v>0</v>
      </c>
      <c r="T166" s="116" t="str">
        <f>PROPER(GC[[#This Row],[Resources]])</f>
        <v/>
      </c>
      <c r="U166" s="108"/>
    </row>
    <row r="167" spans="1:21" x14ac:dyDescent="0.25">
      <c r="A167" s="106">
        <v>165</v>
      </c>
      <c r="B167" s="103">
        <f t="shared" si="2"/>
        <v>45364</v>
      </c>
      <c r="C167" s="109">
        <f>YEAR(GC[[#This Row],[Date]])+IF(MONTH(GC[[#This Row],[Date]])&gt;=4,1,0)</f>
        <v>2024</v>
      </c>
      <c r="D167" s="110">
        <f>YEAR(GC[[#This Row],[Date]])</f>
        <v>2024</v>
      </c>
      <c r="E167" s="101" t="s">
        <v>73</v>
      </c>
      <c r="F167" s="101" t="s">
        <v>73</v>
      </c>
      <c r="G167" s="102" t="str">
        <f>TEXT(GC[[#This Row],[Date]],"mmm-yy")</f>
        <v>Mar-24</v>
      </c>
      <c r="H167" s="102">
        <f>DAY(EOMONTH(GC[[#This Row],[Month Year]],0))</f>
        <v>31</v>
      </c>
      <c r="I167" s="106"/>
      <c r="J167" s="116"/>
      <c r="K167" s="106"/>
      <c r="L167" s="106"/>
      <c r="M167" s="106"/>
      <c r="N167" s="106"/>
      <c r="O167" s="106"/>
      <c r="P167" s="106"/>
      <c r="Q167" s="106"/>
      <c r="R167" s="106"/>
      <c r="S167" s="1">
        <f>SUM(GC[[#This Row],[Blk1]:[Blk8]])</f>
        <v>0</v>
      </c>
      <c r="T167" s="116" t="str">
        <f>PROPER(GC[[#This Row],[Resources]])</f>
        <v/>
      </c>
      <c r="U167" s="108"/>
    </row>
    <row r="168" spans="1:21" x14ac:dyDescent="0.25">
      <c r="A168" s="106">
        <v>166</v>
      </c>
      <c r="B168" s="103">
        <f t="shared" si="2"/>
        <v>45365</v>
      </c>
      <c r="C168" s="109">
        <f>YEAR(GC[[#This Row],[Date]])+IF(MONTH(GC[[#This Row],[Date]])&gt;=4,1,0)</f>
        <v>2024</v>
      </c>
      <c r="D168" s="110">
        <f>YEAR(GC[[#This Row],[Date]])</f>
        <v>2024</v>
      </c>
      <c r="E168" s="101" t="s">
        <v>73</v>
      </c>
      <c r="F168" s="101" t="s">
        <v>73</v>
      </c>
      <c r="G168" s="102" t="str">
        <f>TEXT(GC[[#This Row],[Date]],"mmm-yy")</f>
        <v>Mar-24</v>
      </c>
      <c r="H168" s="102">
        <f>DAY(EOMONTH(GC[[#This Row],[Month Year]],0))</f>
        <v>31</v>
      </c>
      <c r="I168" s="106"/>
      <c r="J168" s="116"/>
      <c r="K168" s="106"/>
      <c r="L168" s="106"/>
      <c r="M168" s="106"/>
      <c r="N168" s="106"/>
      <c r="O168" s="106"/>
      <c r="P168" s="106"/>
      <c r="Q168" s="106"/>
      <c r="R168" s="106"/>
      <c r="S168" s="1">
        <f>SUM(GC[[#This Row],[Blk1]:[Blk8]])</f>
        <v>0</v>
      </c>
      <c r="T168" s="116" t="str">
        <f>PROPER(GC[[#This Row],[Resources]])</f>
        <v/>
      </c>
      <c r="U168" s="108"/>
    </row>
    <row r="169" spans="1:21" x14ac:dyDescent="0.25">
      <c r="A169" s="106">
        <v>167</v>
      </c>
      <c r="B169" s="103">
        <f t="shared" si="2"/>
        <v>45366</v>
      </c>
      <c r="C169" s="109">
        <f>YEAR(GC[[#This Row],[Date]])+IF(MONTH(GC[[#This Row],[Date]])&gt;=4,1,0)</f>
        <v>2024</v>
      </c>
      <c r="D169" s="110">
        <f>YEAR(GC[[#This Row],[Date]])</f>
        <v>2024</v>
      </c>
      <c r="E169" s="101" t="s">
        <v>73</v>
      </c>
      <c r="F169" s="101" t="s">
        <v>73</v>
      </c>
      <c r="G169" s="102" t="str">
        <f>TEXT(GC[[#This Row],[Date]],"mmm-yy")</f>
        <v>Mar-24</v>
      </c>
      <c r="H169" s="102">
        <f>DAY(EOMONTH(GC[[#This Row],[Month Year]],0))</f>
        <v>31</v>
      </c>
      <c r="I169" s="106"/>
      <c r="J169" s="116"/>
      <c r="K169" s="106"/>
      <c r="L169" s="106"/>
      <c r="M169" s="106"/>
      <c r="N169" s="106"/>
      <c r="O169" s="106"/>
      <c r="P169" s="106"/>
      <c r="Q169" s="106"/>
      <c r="R169" s="106"/>
      <c r="S169" s="1">
        <f>SUM(GC[[#This Row],[Blk1]:[Blk8]])</f>
        <v>0</v>
      </c>
      <c r="T169" s="116" t="str">
        <f>PROPER(GC[[#This Row],[Resources]])</f>
        <v/>
      </c>
      <c r="U169" s="108"/>
    </row>
    <row r="170" spans="1:21" x14ac:dyDescent="0.25">
      <c r="A170" s="106">
        <v>168</v>
      </c>
      <c r="B170" s="103">
        <f t="shared" si="2"/>
        <v>45367</v>
      </c>
      <c r="C170" s="109">
        <f>YEAR(GC[[#This Row],[Date]])+IF(MONTH(GC[[#This Row],[Date]])&gt;=4,1,0)</f>
        <v>2024</v>
      </c>
      <c r="D170" s="110">
        <f>YEAR(GC[[#This Row],[Date]])</f>
        <v>2024</v>
      </c>
      <c r="E170" s="101" t="s">
        <v>73</v>
      </c>
      <c r="F170" s="101" t="s">
        <v>73</v>
      </c>
      <c r="G170" s="102" t="str">
        <f>TEXT(GC[[#This Row],[Date]],"mmm-yy")</f>
        <v>Mar-24</v>
      </c>
      <c r="H170" s="102">
        <f>DAY(EOMONTH(GC[[#This Row],[Month Year]],0))</f>
        <v>31</v>
      </c>
      <c r="I170" s="106"/>
      <c r="J170" s="116"/>
      <c r="K170" s="106"/>
      <c r="L170" s="106"/>
      <c r="M170" s="106"/>
      <c r="N170" s="106"/>
      <c r="O170" s="106"/>
      <c r="P170" s="106"/>
      <c r="Q170" s="106"/>
      <c r="R170" s="106"/>
      <c r="S170" s="1">
        <f>SUM(GC[[#This Row],[Blk1]:[Blk8]])</f>
        <v>0</v>
      </c>
      <c r="T170" s="116" t="str">
        <f>PROPER(GC[[#This Row],[Resources]])</f>
        <v/>
      </c>
      <c r="U170" s="108"/>
    </row>
    <row r="171" spans="1:21" x14ac:dyDescent="0.25">
      <c r="A171" s="106">
        <v>169</v>
      </c>
      <c r="B171" s="103">
        <f t="shared" si="2"/>
        <v>45368</v>
      </c>
      <c r="C171" s="109">
        <f>YEAR(GC[[#This Row],[Date]])+IF(MONTH(GC[[#This Row],[Date]])&gt;=4,1,0)</f>
        <v>2024</v>
      </c>
      <c r="D171" s="110">
        <f>YEAR(GC[[#This Row],[Date]])</f>
        <v>2024</v>
      </c>
      <c r="E171" s="101" t="s">
        <v>73</v>
      </c>
      <c r="F171" s="101" t="s">
        <v>73</v>
      </c>
      <c r="G171" s="102" t="str">
        <f>TEXT(GC[[#This Row],[Date]],"mmm-yy")</f>
        <v>Mar-24</v>
      </c>
      <c r="H171" s="102">
        <f>DAY(EOMONTH(GC[[#This Row],[Month Year]],0))</f>
        <v>31</v>
      </c>
      <c r="I171" s="106"/>
      <c r="J171" s="116"/>
      <c r="K171" s="106"/>
      <c r="L171" s="106"/>
      <c r="M171" s="106"/>
      <c r="N171" s="106"/>
      <c r="O171" s="106"/>
      <c r="P171" s="106"/>
      <c r="Q171" s="106"/>
      <c r="R171" s="106"/>
      <c r="S171" s="1">
        <f>SUM(GC[[#This Row],[Blk1]:[Blk8]])</f>
        <v>0</v>
      </c>
      <c r="T171" s="116" t="str">
        <f>PROPER(GC[[#This Row],[Resources]])</f>
        <v/>
      </c>
      <c r="U171" s="108"/>
    </row>
    <row r="172" spans="1:21" x14ac:dyDescent="0.25">
      <c r="A172" s="106">
        <v>170</v>
      </c>
      <c r="B172" s="103">
        <f t="shared" si="2"/>
        <v>45369</v>
      </c>
      <c r="C172" s="109">
        <f>YEAR(GC[[#This Row],[Date]])+IF(MONTH(GC[[#This Row],[Date]])&gt;=4,1,0)</f>
        <v>2024</v>
      </c>
      <c r="D172" s="110">
        <f>YEAR(GC[[#This Row],[Date]])</f>
        <v>2024</v>
      </c>
      <c r="E172" s="101" t="s">
        <v>73</v>
      </c>
      <c r="F172" s="101" t="s">
        <v>73</v>
      </c>
      <c r="G172" s="102" t="str">
        <f>TEXT(GC[[#This Row],[Date]],"mmm-yy")</f>
        <v>Mar-24</v>
      </c>
      <c r="H172" s="102">
        <f>DAY(EOMONTH(GC[[#This Row],[Month Year]],0))</f>
        <v>31</v>
      </c>
      <c r="I172" s="106"/>
      <c r="J172" s="116"/>
      <c r="K172" s="106"/>
      <c r="L172" s="106"/>
      <c r="M172" s="106"/>
      <c r="N172" s="106"/>
      <c r="O172" s="106"/>
      <c r="P172" s="106"/>
      <c r="Q172" s="106"/>
      <c r="R172" s="106"/>
      <c r="S172" s="1">
        <f>SUM(GC[[#This Row],[Blk1]:[Blk8]])</f>
        <v>0</v>
      </c>
      <c r="T172" s="116" t="str">
        <f>PROPER(GC[[#This Row],[Resources]])</f>
        <v/>
      </c>
      <c r="U172" s="108"/>
    </row>
    <row r="173" spans="1:21" x14ac:dyDescent="0.25">
      <c r="A173" s="106">
        <v>171</v>
      </c>
      <c r="B173" s="103">
        <f t="shared" si="2"/>
        <v>45370</v>
      </c>
      <c r="C173" s="109">
        <f>YEAR(GC[[#This Row],[Date]])+IF(MONTH(GC[[#This Row],[Date]])&gt;=4,1,0)</f>
        <v>2024</v>
      </c>
      <c r="D173" s="110">
        <f>YEAR(GC[[#This Row],[Date]])</f>
        <v>2024</v>
      </c>
      <c r="E173" s="101" t="s">
        <v>73</v>
      </c>
      <c r="F173" s="101" t="s">
        <v>73</v>
      </c>
      <c r="G173" s="102" t="str">
        <f>TEXT(GC[[#This Row],[Date]],"mmm-yy")</f>
        <v>Mar-24</v>
      </c>
      <c r="H173" s="102">
        <f>DAY(EOMONTH(GC[[#This Row],[Month Year]],0))</f>
        <v>31</v>
      </c>
      <c r="I173" s="106"/>
      <c r="J173" s="116"/>
      <c r="K173" s="106"/>
      <c r="L173" s="106"/>
      <c r="M173" s="106"/>
      <c r="N173" s="106"/>
      <c r="O173" s="106"/>
      <c r="P173" s="106"/>
      <c r="Q173" s="106"/>
      <c r="R173" s="106"/>
      <c r="S173" s="1">
        <f>SUM(GC[[#This Row],[Blk1]:[Blk8]])</f>
        <v>0</v>
      </c>
      <c r="T173" s="116" t="str">
        <f>PROPER(GC[[#This Row],[Resources]])</f>
        <v/>
      </c>
      <c r="U173" s="108"/>
    </row>
    <row r="174" spans="1:21" x14ac:dyDescent="0.25">
      <c r="A174" s="106">
        <v>172</v>
      </c>
      <c r="B174" s="103">
        <f t="shared" si="2"/>
        <v>45371</v>
      </c>
      <c r="C174" s="109">
        <f>YEAR(GC[[#This Row],[Date]])+IF(MONTH(GC[[#This Row],[Date]])&gt;=4,1,0)</f>
        <v>2024</v>
      </c>
      <c r="D174" s="110">
        <f>YEAR(GC[[#This Row],[Date]])</f>
        <v>2024</v>
      </c>
      <c r="E174" s="101" t="s">
        <v>73</v>
      </c>
      <c r="F174" s="101" t="s">
        <v>73</v>
      </c>
      <c r="G174" s="102" t="str">
        <f>TEXT(GC[[#This Row],[Date]],"mmm-yy")</f>
        <v>Mar-24</v>
      </c>
      <c r="H174" s="102">
        <f>DAY(EOMONTH(GC[[#This Row],[Month Year]],0))</f>
        <v>31</v>
      </c>
      <c r="I174" s="106"/>
      <c r="J174" s="116"/>
      <c r="K174" s="106"/>
      <c r="L174" s="106"/>
      <c r="M174" s="106"/>
      <c r="N174" s="106"/>
      <c r="O174" s="106"/>
      <c r="P174" s="106"/>
      <c r="Q174" s="106"/>
      <c r="R174" s="106"/>
      <c r="S174" s="1">
        <f>SUM(GC[[#This Row],[Blk1]:[Blk8]])</f>
        <v>0</v>
      </c>
      <c r="T174" s="116" t="str">
        <f>PROPER(GC[[#This Row],[Resources]])</f>
        <v/>
      </c>
      <c r="U174" s="108"/>
    </row>
    <row r="175" spans="1:21" x14ac:dyDescent="0.25">
      <c r="A175" s="106">
        <v>173</v>
      </c>
      <c r="B175" s="103">
        <f t="shared" si="2"/>
        <v>45372</v>
      </c>
      <c r="C175" s="109">
        <f>YEAR(GC[[#This Row],[Date]])+IF(MONTH(GC[[#This Row],[Date]])&gt;=4,1,0)</f>
        <v>2024</v>
      </c>
      <c r="D175" s="110">
        <f>YEAR(GC[[#This Row],[Date]])</f>
        <v>2024</v>
      </c>
      <c r="E175" s="101" t="s">
        <v>73</v>
      </c>
      <c r="F175" s="101" t="s">
        <v>73</v>
      </c>
      <c r="G175" s="102" t="str">
        <f>TEXT(GC[[#This Row],[Date]],"mmm-yy")</f>
        <v>Mar-24</v>
      </c>
      <c r="H175" s="102">
        <f>DAY(EOMONTH(GC[[#This Row],[Month Year]],0))</f>
        <v>31</v>
      </c>
      <c r="I175" s="106"/>
      <c r="J175" s="116"/>
      <c r="K175" s="106"/>
      <c r="L175" s="106"/>
      <c r="M175" s="106"/>
      <c r="N175" s="106"/>
      <c r="O175" s="106"/>
      <c r="P175" s="106"/>
      <c r="Q175" s="106"/>
      <c r="R175" s="106"/>
      <c r="S175" s="1">
        <f>SUM(GC[[#This Row],[Blk1]:[Blk8]])</f>
        <v>0</v>
      </c>
      <c r="T175" s="116" t="str">
        <f>PROPER(GC[[#This Row],[Resources]])</f>
        <v/>
      </c>
      <c r="U175" s="108"/>
    </row>
    <row r="176" spans="1:21" x14ac:dyDescent="0.25">
      <c r="A176" s="106">
        <v>174</v>
      </c>
      <c r="B176" s="103">
        <f t="shared" si="2"/>
        <v>45373</v>
      </c>
      <c r="C176" s="109">
        <f>YEAR(GC[[#This Row],[Date]])+IF(MONTH(GC[[#This Row],[Date]])&gt;=4,1,0)</f>
        <v>2024</v>
      </c>
      <c r="D176" s="110">
        <f>YEAR(GC[[#This Row],[Date]])</f>
        <v>2024</v>
      </c>
      <c r="E176" s="101" t="s">
        <v>73</v>
      </c>
      <c r="F176" s="101" t="s">
        <v>73</v>
      </c>
      <c r="G176" s="102" t="str">
        <f>TEXT(GC[[#This Row],[Date]],"mmm-yy")</f>
        <v>Mar-24</v>
      </c>
      <c r="H176" s="102">
        <f>DAY(EOMONTH(GC[[#This Row],[Month Year]],0))</f>
        <v>31</v>
      </c>
      <c r="I176" s="106"/>
      <c r="J176" s="116"/>
      <c r="K176" s="106"/>
      <c r="L176" s="106"/>
      <c r="M176" s="106"/>
      <c r="N176" s="106"/>
      <c r="O176" s="106"/>
      <c r="P176" s="106"/>
      <c r="Q176" s="106"/>
      <c r="R176" s="106"/>
      <c r="S176" s="1">
        <f>SUM(GC[[#This Row],[Blk1]:[Blk8]])</f>
        <v>0</v>
      </c>
      <c r="T176" s="116" t="str">
        <f>PROPER(GC[[#This Row],[Resources]])</f>
        <v/>
      </c>
      <c r="U176" s="108"/>
    </row>
    <row r="177" spans="1:21" x14ac:dyDescent="0.25">
      <c r="A177" s="106">
        <v>175</v>
      </c>
      <c r="B177" s="103">
        <f t="shared" si="2"/>
        <v>45374</v>
      </c>
      <c r="C177" s="109">
        <f>YEAR(GC[[#This Row],[Date]])+IF(MONTH(GC[[#This Row],[Date]])&gt;=4,1,0)</f>
        <v>2024</v>
      </c>
      <c r="D177" s="110">
        <f>YEAR(GC[[#This Row],[Date]])</f>
        <v>2024</v>
      </c>
      <c r="E177" s="101" t="s">
        <v>73</v>
      </c>
      <c r="F177" s="101" t="s">
        <v>73</v>
      </c>
      <c r="G177" s="102" t="str">
        <f>TEXT(GC[[#This Row],[Date]],"mmm-yy")</f>
        <v>Mar-24</v>
      </c>
      <c r="H177" s="102">
        <f>DAY(EOMONTH(GC[[#This Row],[Month Year]],0))</f>
        <v>31</v>
      </c>
      <c r="I177" s="106"/>
      <c r="J177" s="116"/>
      <c r="K177" s="106"/>
      <c r="L177" s="106"/>
      <c r="M177" s="106"/>
      <c r="N177" s="106"/>
      <c r="O177" s="106"/>
      <c r="P177" s="106"/>
      <c r="Q177" s="106"/>
      <c r="R177" s="106"/>
      <c r="S177" s="1">
        <f>SUM(GC[[#This Row],[Blk1]:[Blk8]])</f>
        <v>0</v>
      </c>
      <c r="T177" s="116" t="str">
        <f>PROPER(GC[[#This Row],[Resources]])</f>
        <v/>
      </c>
      <c r="U177" s="108"/>
    </row>
    <row r="178" spans="1:21" x14ac:dyDescent="0.25">
      <c r="A178" s="106">
        <v>176</v>
      </c>
      <c r="B178" s="103">
        <f t="shared" si="2"/>
        <v>45375</v>
      </c>
      <c r="C178" s="109">
        <f>YEAR(GC[[#This Row],[Date]])+IF(MONTH(GC[[#This Row],[Date]])&gt;=4,1,0)</f>
        <v>2024</v>
      </c>
      <c r="D178" s="110">
        <f>YEAR(GC[[#This Row],[Date]])</f>
        <v>2024</v>
      </c>
      <c r="E178" s="101" t="s">
        <v>73</v>
      </c>
      <c r="F178" s="101" t="s">
        <v>73</v>
      </c>
      <c r="G178" s="102" t="str">
        <f>TEXT(GC[[#This Row],[Date]],"mmm-yy")</f>
        <v>Mar-24</v>
      </c>
      <c r="H178" s="102">
        <f>DAY(EOMONTH(GC[[#This Row],[Month Year]],0))</f>
        <v>31</v>
      </c>
      <c r="I178" s="106"/>
      <c r="J178" s="116"/>
      <c r="K178" s="106"/>
      <c r="L178" s="106"/>
      <c r="M178" s="106"/>
      <c r="N178" s="106"/>
      <c r="O178" s="106"/>
      <c r="P178" s="106"/>
      <c r="Q178" s="106"/>
      <c r="R178" s="106"/>
      <c r="S178" s="1">
        <f>SUM(GC[[#This Row],[Blk1]:[Blk8]])</f>
        <v>0</v>
      </c>
      <c r="T178" s="116" t="str">
        <f>PROPER(GC[[#This Row],[Resources]])</f>
        <v/>
      </c>
      <c r="U178" s="108"/>
    </row>
    <row r="179" spans="1:21" x14ac:dyDescent="0.25">
      <c r="A179" s="106">
        <v>177</v>
      </c>
      <c r="B179" s="103">
        <f t="shared" si="2"/>
        <v>45376</v>
      </c>
      <c r="C179" s="109">
        <f>YEAR(GC[[#This Row],[Date]])+IF(MONTH(GC[[#This Row],[Date]])&gt;=4,1,0)</f>
        <v>2024</v>
      </c>
      <c r="D179" s="110">
        <f>YEAR(GC[[#This Row],[Date]])</f>
        <v>2024</v>
      </c>
      <c r="E179" s="101" t="s">
        <v>73</v>
      </c>
      <c r="F179" s="101" t="s">
        <v>73</v>
      </c>
      <c r="G179" s="102" t="str">
        <f>TEXT(GC[[#This Row],[Date]],"mmm-yy")</f>
        <v>Mar-24</v>
      </c>
      <c r="H179" s="102">
        <f>DAY(EOMONTH(GC[[#This Row],[Month Year]],0))</f>
        <v>31</v>
      </c>
      <c r="I179" s="106"/>
      <c r="J179" s="116"/>
      <c r="K179" s="106"/>
      <c r="L179" s="106"/>
      <c r="M179" s="106"/>
      <c r="N179" s="106"/>
      <c r="O179" s="106"/>
      <c r="P179" s="106"/>
      <c r="Q179" s="106"/>
      <c r="R179" s="106"/>
      <c r="S179" s="1">
        <f>SUM(GC[[#This Row],[Blk1]:[Blk8]])</f>
        <v>0</v>
      </c>
      <c r="T179" s="116" t="str">
        <f>PROPER(GC[[#This Row],[Resources]])</f>
        <v/>
      </c>
      <c r="U179" s="108"/>
    </row>
    <row r="180" spans="1:21" x14ac:dyDescent="0.25">
      <c r="A180" s="106">
        <v>177</v>
      </c>
      <c r="B180" s="103">
        <f t="shared" si="2"/>
        <v>45377</v>
      </c>
      <c r="C180" s="109">
        <f>YEAR(GC[[#This Row],[Date]])+IF(MONTH(GC[[#This Row],[Date]])&gt;=4,1,0)</f>
        <v>2024</v>
      </c>
      <c r="D180" s="110">
        <f>YEAR(GC[[#This Row],[Date]])</f>
        <v>2024</v>
      </c>
      <c r="E180" s="101" t="s">
        <v>73</v>
      </c>
      <c r="F180" s="101" t="s">
        <v>73</v>
      </c>
      <c r="G180" s="102" t="str">
        <f>TEXT(GC[[#This Row],[Date]],"mmm-yy")</f>
        <v>Mar-24</v>
      </c>
      <c r="H180" s="102">
        <f>DAY(EOMONTH(GC[[#This Row],[Month Year]],0))</f>
        <v>31</v>
      </c>
      <c r="I180" s="106"/>
      <c r="J180" s="116"/>
      <c r="K180" s="106"/>
      <c r="L180" s="106"/>
      <c r="M180" s="106"/>
      <c r="N180" s="106"/>
      <c r="O180" s="106"/>
      <c r="P180" s="106"/>
      <c r="Q180" s="106"/>
      <c r="R180" s="106"/>
      <c r="S180" s="1">
        <f>SUM(GC[[#This Row],[Blk1]:[Blk8]])</f>
        <v>0</v>
      </c>
      <c r="T180" s="116" t="str">
        <f>PROPER(GC[[#This Row],[Resources]])</f>
        <v/>
      </c>
      <c r="U180" s="108"/>
    </row>
    <row r="181" spans="1:21" x14ac:dyDescent="0.25">
      <c r="A181" s="106">
        <v>179</v>
      </c>
      <c r="B181" s="103">
        <f t="shared" si="2"/>
        <v>45378</v>
      </c>
      <c r="C181" s="109">
        <f>YEAR(GC[[#This Row],[Date]])+IF(MONTH(GC[[#This Row],[Date]])&gt;=4,1,0)</f>
        <v>2024</v>
      </c>
      <c r="D181" s="110">
        <f>YEAR(GC[[#This Row],[Date]])</f>
        <v>2024</v>
      </c>
      <c r="E181" s="101" t="s">
        <v>73</v>
      </c>
      <c r="F181" s="101" t="s">
        <v>73</v>
      </c>
      <c r="G181" s="102" t="str">
        <f>TEXT(GC[[#This Row],[Date]],"mmm-yy")</f>
        <v>Mar-24</v>
      </c>
      <c r="H181" s="102">
        <f>DAY(EOMONTH(GC[[#This Row],[Month Year]],0))</f>
        <v>31</v>
      </c>
      <c r="I181" s="106"/>
      <c r="J181" s="116"/>
      <c r="K181" s="106"/>
      <c r="L181" s="106"/>
      <c r="M181" s="106"/>
      <c r="N181" s="106"/>
      <c r="O181" s="106"/>
      <c r="P181" s="106"/>
      <c r="Q181" s="106"/>
      <c r="R181" s="106"/>
      <c r="S181" s="1">
        <f>SUM(GC[[#This Row],[Blk1]:[Blk8]])</f>
        <v>0</v>
      </c>
      <c r="T181" s="116" t="str">
        <f>PROPER(GC[[#This Row],[Resources]])</f>
        <v/>
      </c>
      <c r="U181" s="108"/>
    </row>
    <row r="182" spans="1:21" x14ac:dyDescent="0.25">
      <c r="A182" s="106">
        <v>180</v>
      </c>
      <c r="B182" s="103">
        <f t="shared" si="2"/>
        <v>45379</v>
      </c>
      <c r="C182" s="109">
        <f>YEAR(GC[[#This Row],[Date]])+IF(MONTH(GC[[#This Row],[Date]])&gt;=4,1,0)</f>
        <v>2024</v>
      </c>
      <c r="D182" s="110">
        <f>YEAR(GC[[#This Row],[Date]])</f>
        <v>2024</v>
      </c>
      <c r="E182" s="101" t="s">
        <v>73</v>
      </c>
      <c r="F182" s="101" t="s">
        <v>73</v>
      </c>
      <c r="G182" s="102" t="str">
        <f>TEXT(GC[[#This Row],[Date]],"mmm-yy")</f>
        <v>Mar-24</v>
      </c>
      <c r="H182" s="102">
        <f>DAY(EOMONTH(GC[[#This Row],[Month Year]],0))</f>
        <v>31</v>
      </c>
      <c r="I182" s="106"/>
      <c r="J182" s="116"/>
      <c r="K182" s="106"/>
      <c r="L182" s="106"/>
      <c r="M182" s="106"/>
      <c r="N182" s="106"/>
      <c r="O182" s="106"/>
      <c r="P182" s="106"/>
      <c r="Q182" s="106"/>
      <c r="R182" s="106"/>
      <c r="S182" s="1">
        <f>SUM(GC[[#This Row],[Blk1]:[Blk8]])</f>
        <v>0</v>
      </c>
      <c r="T182" s="116" t="str">
        <f>PROPER(GC[[#This Row],[Resources]])</f>
        <v/>
      </c>
      <c r="U182" s="108"/>
    </row>
    <row r="183" spans="1:21" x14ac:dyDescent="0.25">
      <c r="A183" s="106">
        <v>181</v>
      </c>
      <c r="B183" s="103">
        <f t="shared" si="2"/>
        <v>45380</v>
      </c>
      <c r="C183" s="109">
        <f>YEAR(GC[[#This Row],[Date]])+IF(MONTH(GC[[#This Row],[Date]])&gt;=4,1,0)</f>
        <v>2024</v>
      </c>
      <c r="D183" s="110">
        <f>YEAR(GC[[#This Row],[Date]])</f>
        <v>2024</v>
      </c>
      <c r="E183" s="101" t="s">
        <v>73</v>
      </c>
      <c r="F183" s="101" t="s">
        <v>73</v>
      </c>
      <c r="G183" s="102" t="str">
        <f>TEXT(GC[[#This Row],[Date]],"mmm-yy")</f>
        <v>Mar-24</v>
      </c>
      <c r="H183" s="102">
        <f>DAY(EOMONTH(GC[[#This Row],[Month Year]],0))</f>
        <v>31</v>
      </c>
      <c r="I183" s="106"/>
      <c r="J183" s="116"/>
      <c r="K183" s="106"/>
      <c r="L183" s="106"/>
      <c r="M183" s="106"/>
      <c r="N183" s="106"/>
      <c r="O183" s="106"/>
      <c r="P183" s="106"/>
      <c r="Q183" s="106"/>
      <c r="R183" s="106"/>
      <c r="S183" s="1">
        <f>SUM(GC[[#This Row],[Blk1]:[Blk8]])</f>
        <v>0</v>
      </c>
      <c r="T183" s="116" t="str">
        <f>PROPER(GC[[#This Row],[Resources]])</f>
        <v/>
      </c>
      <c r="U183" s="108"/>
    </row>
    <row r="184" spans="1:21" x14ac:dyDescent="0.25">
      <c r="A184" s="106">
        <v>182</v>
      </c>
      <c r="B184" s="103">
        <f t="shared" si="2"/>
        <v>45381</v>
      </c>
      <c r="C184" s="109">
        <f>YEAR(GC[[#This Row],[Date]])+IF(MONTH(GC[[#This Row],[Date]])&gt;=4,1,0)</f>
        <v>2024</v>
      </c>
      <c r="D184" s="110">
        <f>YEAR(GC[[#This Row],[Date]])</f>
        <v>2024</v>
      </c>
      <c r="E184" s="101" t="s">
        <v>73</v>
      </c>
      <c r="F184" s="101" t="s">
        <v>73</v>
      </c>
      <c r="G184" s="102" t="str">
        <f>TEXT(GC[[#This Row],[Date]],"mmm-yy")</f>
        <v>Mar-24</v>
      </c>
      <c r="H184" s="102">
        <f>DAY(EOMONTH(GC[[#This Row],[Month Year]],0))</f>
        <v>31</v>
      </c>
      <c r="I184" s="106"/>
      <c r="J184" s="116"/>
      <c r="K184" s="106"/>
      <c r="L184" s="106"/>
      <c r="M184" s="106"/>
      <c r="N184" s="106"/>
      <c r="O184" s="106"/>
      <c r="P184" s="106"/>
      <c r="Q184" s="106"/>
      <c r="R184" s="106"/>
      <c r="S184" s="1">
        <f>SUM(GC[[#This Row],[Blk1]:[Blk8]])</f>
        <v>0</v>
      </c>
      <c r="T184" s="116" t="str">
        <f>PROPER(GC[[#This Row],[Resources]])</f>
        <v/>
      </c>
      <c r="U184" s="108"/>
    </row>
    <row r="185" spans="1:21" x14ac:dyDescent="0.25">
      <c r="A185" s="106">
        <v>183</v>
      </c>
      <c r="B185" s="103">
        <f t="shared" si="2"/>
        <v>45382</v>
      </c>
      <c r="C185" s="109">
        <f>YEAR(GC[[#This Row],[Date]])+IF(MONTH(GC[[#This Row],[Date]])&gt;=4,1,0)</f>
        <v>2024</v>
      </c>
      <c r="D185" s="110">
        <f>YEAR(GC[[#This Row],[Date]])</f>
        <v>2024</v>
      </c>
      <c r="E185" s="101" t="s">
        <v>73</v>
      </c>
      <c r="F185" s="101" t="s">
        <v>73</v>
      </c>
      <c r="G185" s="102" t="str">
        <f>TEXT(GC[[#This Row],[Date]],"mmm-yy")</f>
        <v>Mar-24</v>
      </c>
      <c r="H185" s="102">
        <f>DAY(EOMONTH(GC[[#This Row],[Month Year]],0))</f>
        <v>31</v>
      </c>
      <c r="I185" s="106"/>
      <c r="J185" s="116"/>
      <c r="K185" s="106"/>
      <c r="L185" s="106"/>
      <c r="M185" s="106"/>
      <c r="N185" s="106"/>
      <c r="O185" s="106"/>
      <c r="P185" s="106"/>
      <c r="Q185" s="106"/>
      <c r="R185" s="106"/>
      <c r="S185" s="1">
        <f>SUM(GC[[#This Row],[Blk1]:[Blk8]])</f>
        <v>0</v>
      </c>
      <c r="T185" s="116" t="str">
        <f>PROPER(GC[[#This Row],[Resources]])</f>
        <v/>
      </c>
      <c r="U185" s="108"/>
    </row>
    <row r="186" spans="1:21" x14ac:dyDescent="0.25">
      <c r="A186" s="106">
        <v>184</v>
      </c>
      <c r="B186" s="103">
        <f t="shared" si="2"/>
        <v>45383</v>
      </c>
      <c r="C186" s="109">
        <v>2024</v>
      </c>
      <c r="D186" s="110">
        <f>YEAR(GC[[#This Row],[Date]])</f>
        <v>2024</v>
      </c>
      <c r="E186" s="101" t="s">
        <v>73</v>
      </c>
      <c r="F186" s="101" t="s">
        <v>73</v>
      </c>
      <c r="G186" s="102" t="str">
        <f>TEXT(GC[[#This Row],[Date]],"mmm-yy")</f>
        <v>Apr-24</v>
      </c>
      <c r="H186" s="102">
        <f>DAY(EOMONTH(GC[[#This Row],[Month Year]],0))</f>
        <v>30</v>
      </c>
      <c r="I186" s="106"/>
      <c r="J186" s="116"/>
      <c r="K186" s="106"/>
      <c r="L186" s="106"/>
      <c r="M186" s="106"/>
      <c r="N186" s="106"/>
      <c r="O186" s="106"/>
      <c r="P186" s="106"/>
      <c r="Q186" s="106"/>
      <c r="R186" s="106"/>
      <c r="S186" s="1">
        <f>SUM(GC[[#This Row],[Blk1]:[Blk8]])</f>
        <v>0</v>
      </c>
      <c r="T186" s="116" t="str">
        <f>PROPER(GC[[#This Row],[Resources]])</f>
        <v/>
      </c>
      <c r="U186" s="106"/>
    </row>
    <row r="187" spans="1:21" x14ac:dyDescent="0.25">
      <c r="A187" s="106">
        <v>185</v>
      </c>
      <c r="B187" s="103">
        <f>B186+1</f>
        <v>45384</v>
      </c>
      <c r="C187" s="109">
        <v>2024</v>
      </c>
      <c r="D187" s="110">
        <f>YEAR(GC[[#This Row],[Date]])</f>
        <v>2024</v>
      </c>
      <c r="E187" s="101" t="s">
        <v>73</v>
      </c>
      <c r="F187" s="101" t="s">
        <v>73</v>
      </c>
      <c r="G187" s="102" t="str">
        <f>TEXT(GC[[#This Row],[Date]],"mmm-yy")</f>
        <v>Apr-24</v>
      </c>
      <c r="H187" s="102">
        <f>DAY(EOMONTH(GC[[#This Row],[Month Year]],0))</f>
        <v>30</v>
      </c>
      <c r="I187" s="106"/>
      <c r="J187" s="116"/>
      <c r="K187" s="106"/>
      <c r="L187" s="106"/>
      <c r="M187" s="106"/>
      <c r="N187" s="106"/>
      <c r="O187" s="106"/>
      <c r="P187" s="106"/>
      <c r="Q187" s="106"/>
      <c r="R187" s="106"/>
      <c r="S187" s="1">
        <f>SUM(GC[[#This Row],[Blk1]:[Blk8]])</f>
        <v>0</v>
      </c>
      <c r="T187" s="116" t="str">
        <f>PROPER(GC[[#This Row],[Resources]])</f>
        <v/>
      </c>
      <c r="U187" s="106"/>
    </row>
    <row r="188" spans="1:21" x14ac:dyDescent="0.25">
      <c r="A188" s="106">
        <v>186</v>
      </c>
      <c r="B188" s="103">
        <f t="shared" si="2"/>
        <v>45385</v>
      </c>
      <c r="C188" s="109">
        <v>2024</v>
      </c>
      <c r="D188" s="110">
        <f>YEAR(GC[[#This Row],[Date]])</f>
        <v>2024</v>
      </c>
      <c r="E188" s="101" t="s">
        <v>73</v>
      </c>
      <c r="F188" s="101" t="s">
        <v>73</v>
      </c>
      <c r="G188" s="102" t="str">
        <f>TEXT(GC[[#This Row],[Date]],"mmm-yy")</f>
        <v>Apr-24</v>
      </c>
      <c r="H188" s="102">
        <f>DAY(EOMONTH(GC[[#This Row],[Month Year]],0))</f>
        <v>30</v>
      </c>
      <c r="I188" s="106"/>
      <c r="J188" s="116"/>
      <c r="K188" s="106"/>
      <c r="L188" s="106"/>
      <c r="M188" s="106"/>
      <c r="N188" s="106"/>
      <c r="O188" s="106"/>
      <c r="P188" s="106"/>
      <c r="Q188" s="106"/>
      <c r="R188" s="106"/>
      <c r="S188" s="1">
        <f>SUM(GC[[#This Row],[Blk1]:[Blk8]])</f>
        <v>0</v>
      </c>
      <c r="T188" s="116" t="str">
        <f>PROPER(GC[[#This Row],[Resources]])</f>
        <v/>
      </c>
      <c r="U188" s="106"/>
    </row>
    <row r="189" spans="1:21" x14ac:dyDescent="0.25">
      <c r="A189" s="106">
        <v>187</v>
      </c>
      <c r="B189" s="103">
        <f t="shared" si="2"/>
        <v>45386</v>
      </c>
      <c r="C189" s="109">
        <v>2024</v>
      </c>
      <c r="D189" s="110">
        <f>YEAR(GC[[#This Row],[Date]])</f>
        <v>2024</v>
      </c>
      <c r="E189" s="101" t="s">
        <v>73</v>
      </c>
      <c r="F189" s="101" t="s">
        <v>73</v>
      </c>
      <c r="G189" s="102" t="str">
        <f>TEXT(GC[[#This Row],[Date]],"mmm-yy")</f>
        <v>Apr-24</v>
      </c>
      <c r="H189" s="102">
        <f>DAY(EOMONTH(GC[[#This Row],[Month Year]],0))</f>
        <v>30</v>
      </c>
      <c r="I189" s="106"/>
      <c r="J189" s="116"/>
      <c r="K189" s="106"/>
      <c r="L189" s="106"/>
      <c r="M189" s="106"/>
      <c r="N189" s="106"/>
      <c r="O189" s="106"/>
      <c r="P189" s="106"/>
      <c r="Q189" s="106"/>
      <c r="R189" s="106"/>
      <c r="S189" s="1">
        <f>SUM(GC[[#This Row],[Blk1]:[Blk8]])</f>
        <v>0</v>
      </c>
      <c r="T189" s="116" t="str">
        <f>PROPER(GC[[#This Row],[Resources]])</f>
        <v/>
      </c>
      <c r="U189" s="106"/>
    </row>
    <row r="190" spans="1:21" x14ac:dyDescent="0.25">
      <c r="A190" s="106">
        <v>188</v>
      </c>
      <c r="B190" s="103">
        <f t="shared" si="2"/>
        <v>45387</v>
      </c>
      <c r="C190" s="109">
        <v>2024</v>
      </c>
      <c r="D190" s="110">
        <f>YEAR(GC[[#This Row],[Date]])</f>
        <v>2024</v>
      </c>
      <c r="E190" s="101" t="s">
        <v>73</v>
      </c>
      <c r="F190" s="101" t="s">
        <v>73</v>
      </c>
      <c r="G190" s="102" t="str">
        <f>TEXT(GC[[#This Row],[Date]],"mmm-yy")</f>
        <v>Apr-24</v>
      </c>
      <c r="H190" s="102">
        <f>DAY(EOMONTH(GC[[#This Row],[Month Year]],0))</f>
        <v>30</v>
      </c>
      <c r="I190" s="106"/>
      <c r="J190" s="116"/>
      <c r="K190" s="106"/>
      <c r="L190" s="106"/>
      <c r="M190" s="106"/>
      <c r="N190" s="106"/>
      <c r="O190" s="106"/>
      <c r="P190" s="106"/>
      <c r="Q190" s="106"/>
      <c r="R190" s="106"/>
      <c r="S190" s="1">
        <f>SUM(GC[[#This Row],[Blk1]:[Blk8]])</f>
        <v>0</v>
      </c>
      <c r="T190" s="116" t="str">
        <f>PROPER(GC[[#This Row],[Resources]])</f>
        <v/>
      </c>
      <c r="U190" s="106"/>
    </row>
    <row r="191" spans="1:21" x14ac:dyDescent="0.25">
      <c r="A191" s="106">
        <v>189</v>
      </c>
      <c r="B191" s="103">
        <f t="shared" si="2"/>
        <v>45388</v>
      </c>
      <c r="C191" s="109">
        <v>2024</v>
      </c>
      <c r="D191" s="110">
        <f>YEAR(GC[[#This Row],[Date]])</f>
        <v>2024</v>
      </c>
      <c r="E191" s="101" t="s">
        <v>73</v>
      </c>
      <c r="F191" s="101" t="s">
        <v>73</v>
      </c>
      <c r="G191" s="102" t="str">
        <f>TEXT(GC[[#This Row],[Date]],"mmm-yy")</f>
        <v>Apr-24</v>
      </c>
      <c r="H191" s="102">
        <f>DAY(EOMONTH(GC[[#This Row],[Month Year]],0))</f>
        <v>30</v>
      </c>
      <c r="I191" s="106"/>
      <c r="J191" s="116"/>
      <c r="K191" s="106"/>
      <c r="L191" s="106"/>
      <c r="M191" s="106"/>
      <c r="N191" s="106"/>
      <c r="O191" s="106"/>
      <c r="P191" s="106"/>
      <c r="Q191" s="106"/>
      <c r="R191" s="106"/>
      <c r="S191" s="1">
        <f>SUM(GC[[#This Row],[Blk1]:[Blk8]])</f>
        <v>0</v>
      </c>
      <c r="T191" s="116" t="str">
        <f>PROPER(GC[[#This Row],[Resources]])</f>
        <v/>
      </c>
      <c r="U191" s="106"/>
    </row>
    <row r="192" spans="1:21" x14ac:dyDescent="0.25">
      <c r="A192" s="106">
        <v>190</v>
      </c>
      <c r="B192" s="103">
        <f t="shared" si="2"/>
        <v>45389</v>
      </c>
      <c r="C192" s="109">
        <v>2024</v>
      </c>
      <c r="D192" s="110">
        <f>YEAR(GC[[#This Row],[Date]])</f>
        <v>2024</v>
      </c>
      <c r="E192" s="101" t="s">
        <v>73</v>
      </c>
      <c r="F192" s="101" t="s">
        <v>73</v>
      </c>
      <c r="G192" s="102" t="str">
        <f>TEXT(GC[[#This Row],[Date]],"mmm-yy")</f>
        <v>Apr-24</v>
      </c>
      <c r="H192" s="102">
        <f>DAY(EOMONTH(GC[[#This Row],[Month Year]],0))</f>
        <v>30</v>
      </c>
      <c r="I192" s="106"/>
      <c r="J192" s="116"/>
      <c r="K192" s="106"/>
      <c r="L192" s="106"/>
      <c r="M192" s="106"/>
      <c r="N192" s="106"/>
      <c r="O192" s="106"/>
      <c r="P192" s="106"/>
      <c r="Q192" s="106"/>
      <c r="R192" s="106"/>
      <c r="S192" s="1">
        <f>SUM(GC[[#This Row],[Blk1]:[Blk8]])</f>
        <v>0</v>
      </c>
      <c r="T192" s="116" t="str">
        <f>PROPER(GC[[#This Row],[Resources]])</f>
        <v/>
      </c>
      <c r="U192" s="106"/>
    </row>
    <row r="193" spans="1:21" x14ac:dyDescent="0.25">
      <c r="A193" s="106">
        <v>191</v>
      </c>
      <c r="B193" s="103">
        <f t="shared" si="2"/>
        <v>45390</v>
      </c>
      <c r="C193" s="109">
        <v>2024</v>
      </c>
      <c r="D193" s="110">
        <f>YEAR(GC[[#This Row],[Date]])</f>
        <v>2024</v>
      </c>
      <c r="E193" s="101" t="s">
        <v>73</v>
      </c>
      <c r="F193" s="101" t="s">
        <v>73</v>
      </c>
      <c r="G193" s="102" t="str">
        <f>TEXT(GC[[#This Row],[Date]],"mmm-yy")</f>
        <v>Apr-24</v>
      </c>
      <c r="H193" s="102">
        <f>DAY(EOMONTH(GC[[#This Row],[Month Year]],0))</f>
        <v>30</v>
      </c>
      <c r="I193" s="106"/>
      <c r="J193" s="116"/>
      <c r="K193" s="106"/>
      <c r="L193" s="106"/>
      <c r="M193" s="106"/>
      <c r="N193" s="106"/>
      <c r="O193" s="106"/>
      <c r="P193" s="106"/>
      <c r="Q193" s="106"/>
      <c r="R193" s="106"/>
      <c r="S193" s="1">
        <f>SUM(GC[[#This Row],[Blk1]:[Blk8]])</f>
        <v>0</v>
      </c>
      <c r="T193" s="116" t="str">
        <f>PROPER(GC[[#This Row],[Resources]])</f>
        <v/>
      </c>
      <c r="U193" s="106"/>
    </row>
    <row r="194" spans="1:21" x14ac:dyDescent="0.25">
      <c r="A194" s="106">
        <v>192</v>
      </c>
      <c r="B194" s="103">
        <f t="shared" si="2"/>
        <v>45391</v>
      </c>
      <c r="C194" s="109">
        <v>2024</v>
      </c>
      <c r="D194" s="110">
        <f>YEAR(GC[[#This Row],[Date]])</f>
        <v>2024</v>
      </c>
      <c r="E194" s="101" t="s">
        <v>73</v>
      </c>
      <c r="F194" s="101" t="s">
        <v>73</v>
      </c>
      <c r="G194" s="102" t="str">
        <f>TEXT(GC[[#This Row],[Date]],"mmm-yy")</f>
        <v>Apr-24</v>
      </c>
      <c r="H194" s="102">
        <f>DAY(EOMONTH(GC[[#This Row],[Month Year]],0))</f>
        <v>30</v>
      </c>
      <c r="I194" s="106"/>
      <c r="J194" s="116"/>
      <c r="K194" s="106"/>
      <c r="L194" s="106"/>
      <c r="M194" s="106"/>
      <c r="N194" s="106"/>
      <c r="O194" s="106"/>
      <c r="P194" s="106"/>
      <c r="Q194" s="106"/>
      <c r="R194" s="106"/>
      <c r="S194" s="1">
        <f>SUM(GC[[#This Row],[Blk1]:[Blk8]])</f>
        <v>0</v>
      </c>
      <c r="T194" s="116" t="str">
        <f>PROPER(GC[[#This Row],[Resources]])</f>
        <v/>
      </c>
      <c r="U194" s="106"/>
    </row>
    <row r="195" spans="1:21" x14ac:dyDescent="0.25">
      <c r="A195" s="106">
        <v>193</v>
      </c>
      <c r="B195" s="103">
        <f t="shared" si="2"/>
        <v>45392</v>
      </c>
      <c r="C195" s="109">
        <v>2024</v>
      </c>
      <c r="D195" s="110">
        <f>YEAR(GC[[#This Row],[Date]])</f>
        <v>2024</v>
      </c>
      <c r="E195" s="101" t="s">
        <v>73</v>
      </c>
      <c r="F195" s="101" t="s">
        <v>73</v>
      </c>
      <c r="G195" s="102" t="str">
        <f>TEXT(GC[[#This Row],[Date]],"mmm-yy")</f>
        <v>Apr-24</v>
      </c>
      <c r="H195" s="102">
        <f>DAY(EOMONTH(GC[[#This Row],[Month Year]],0))</f>
        <v>30</v>
      </c>
      <c r="I195" s="106"/>
      <c r="J195" s="116"/>
      <c r="K195" s="106"/>
      <c r="L195" s="106"/>
      <c r="M195" s="106"/>
      <c r="N195" s="106"/>
      <c r="O195" s="106"/>
      <c r="P195" s="106"/>
      <c r="Q195" s="106"/>
      <c r="R195" s="106"/>
      <c r="S195" s="1">
        <f>SUM(GC[[#This Row],[Blk1]:[Blk8]])</f>
        <v>0</v>
      </c>
      <c r="T195" s="116" t="str">
        <f>PROPER(GC[[#This Row],[Resources]])</f>
        <v/>
      </c>
      <c r="U195" s="106"/>
    </row>
    <row r="196" spans="1:21" x14ac:dyDescent="0.25">
      <c r="A196" s="106">
        <v>194</v>
      </c>
      <c r="B196" s="103">
        <f t="shared" si="2"/>
        <v>45393</v>
      </c>
      <c r="C196" s="109">
        <v>2024</v>
      </c>
      <c r="D196" s="110">
        <f>YEAR(GC[[#This Row],[Date]])</f>
        <v>2024</v>
      </c>
      <c r="E196" s="101" t="s">
        <v>73</v>
      </c>
      <c r="F196" s="101" t="s">
        <v>73</v>
      </c>
      <c r="G196" s="102" t="str">
        <f>TEXT(GC[[#This Row],[Date]],"mmm-yy")</f>
        <v>Apr-24</v>
      </c>
      <c r="H196" s="102">
        <f>DAY(EOMONTH(GC[[#This Row],[Month Year]],0))</f>
        <v>30</v>
      </c>
      <c r="I196" s="106"/>
      <c r="J196" s="116"/>
      <c r="K196" s="106"/>
      <c r="L196" s="106"/>
      <c r="M196" s="106"/>
      <c r="N196" s="106"/>
      <c r="O196" s="106"/>
      <c r="P196" s="106"/>
      <c r="Q196" s="106"/>
      <c r="R196" s="106"/>
      <c r="S196" s="1">
        <f>SUM(GC[[#This Row],[Blk1]:[Blk8]])</f>
        <v>0</v>
      </c>
      <c r="T196" s="116" t="str">
        <f>PROPER(GC[[#This Row],[Resources]])</f>
        <v/>
      </c>
      <c r="U196" s="106"/>
    </row>
    <row r="197" spans="1:21" x14ac:dyDescent="0.25">
      <c r="A197" s="106">
        <v>195</v>
      </c>
      <c r="B197" s="103">
        <f t="shared" ref="B197:B203" si="3">B196+1</f>
        <v>45394</v>
      </c>
      <c r="C197" s="109">
        <v>2024</v>
      </c>
      <c r="D197" s="110">
        <f>YEAR(GC[[#This Row],[Date]])</f>
        <v>2024</v>
      </c>
      <c r="E197" s="101" t="s">
        <v>73</v>
      </c>
      <c r="F197" s="101" t="s">
        <v>73</v>
      </c>
      <c r="G197" s="102" t="str">
        <f>TEXT(GC[[#This Row],[Date]],"mmm-yy")</f>
        <v>Apr-24</v>
      </c>
      <c r="H197" s="102">
        <f>DAY(EOMONTH(GC[[#This Row],[Month Year]],0))</f>
        <v>30</v>
      </c>
      <c r="I197" s="106"/>
      <c r="J197" s="116"/>
      <c r="K197" s="106"/>
      <c r="L197" s="106"/>
      <c r="M197" s="106"/>
      <c r="N197" s="106"/>
      <c r="O197" s="106"/>
      <c r="P197" s="106"/>
      <c r="Q197" s="106"/>
      <c r="R197" s="106"/>
      <c r="S197" s="1">
        <f>SUM(GC[[#This Row],[Blk1]:[Blk8]])</f>
        <v>0</v>
      </c>
      <c r="T197" s="116" t="str">
        <f>PROPER(GC[[#This Row],[Resources]])</f>
        <v/>
      </c>
      <c r="U197" s="106"/>
    </row>
    <row r="198" spans="1:21" x14ac:dyDescent="0.25">
      <c r="A198" s="106">
        <v>196</v>
      </c>
      <c r="B198" s="103">
        <f t="shared" si="3"/>
        <v>45395</v>
      </c>
      <c r="C198" s="109">
        <v>2024</v>
      </c>
      <c r="D198" s="110">
        <f>YEAR(GC[[#This Row],[Date]])</f>
        <v>2024</v>
      </c>
      <c r="E198" s="101" t="s">
        <v>73</v>
      </c>
      <c r="F198" s="101" t="s">
        <v>73</v>
      </c>
      <c r="G198" s="102" t="str">
        <f>TEXT(GC[[#This Row],[Date]],"mmm-yy")</f>
        <v>Apr-24</v>
      </c>
      <c r="H198" s="102">
        <f>DAY(EOMONTH(GC[[#This Row],[Month Year]],0))</f>
        <v>30</v>
      </c>
      <c r="I198" s="106"/>
      <c r="J198" s="116"/>
      <c r="K198" s="106"/>
      <c r="L198" s="106"/>
      <c r="M198" s="106"/>
      <c r="N198" s="106"/>
      <c r="O198" s="106"/>
      <c r="P198" s="106"/>
      <c r="Q198" s="106"/>
      <c r="R198" s="106"/>
      <c r="S198" s="1">
        <f>SUM(GC[[#This Row],[Blk1]:[Blk8]])</f>
        <v>0</v>
      </c>
      <c r="T198" s="116" t="str">
        <f>PROPER(GC[[#This Row],[Resources]])</f>
        <v/>
      </c>
      <c r="U198" s="106"/>
    </row>
    <row r="199" spans="1:21" x14ac:dyDescent="0.25">
      <c r="A199" s="106">
        <v>197</v>
      </c>
      <c r="B199" s="103">
        <f t="shared" si="3"/>
        <v>45396</v>
      </c>
      <c r="C199" s="109">
        <v>2024</v>
      </c>
      <c r="D199" s="110">
        <f>YEAR(GC[[#This Row],[Date]])</f>
        <v>2024</v>
      </c>
      <c r="E199" s="101" t="s">
        <v>73</v>
      </c>
      <c r="F199" s="101" t="s">
        <v>73</v>
      </c>
      <c r="G199" s="102" t="str">
        <f>TEXT(GC[[#This Row],[Date]],"mmm-yy")</f>
        <v>Apr-24</v>
      </c>
      <c r="H199" s="102">
        <f>DAY(EOMONTH(GC[[#This Row],[Month Year]],0))</f>
        <v>30</v>
      </c>
      <c r="I199" s="106"/>
      <c r="J199" s="116"/>
      <c r="K199" s="106"/>
      <c r="L199" s="106"/>
      <c r="M199" s="106"/>
      <c r="N199" s="106"/>
      <c r="O199" s="106"/>
      <c r="P199" s="106"/>
      <c r="Q199" s="106"/>
      <c r="R199" s="106"/>
      <c r="S199" s="1">
        <f>SUM(GC[[#This Row],[Blk1]:[Blk8]])</f>
        <v>0</v>
      </c>
      <c r="T199" s="116" t="str">
        <f>PROPER(GC[[#This Row],[Resources]])</f>
        <v/>
      </c>
      <c r="U199" s="106"/>
    </row>
    <row r="200" spans="1:21" x14ac:dyDescent="0.25">
      <c r="A200" s="106">
        <v>198</v>
      </c>
      <c r="B200" s="103">
        <f t="shared" si="3"/>
        <v>45397</v>
      </c>
      <c r="C200" s="109">
        <v>2024</v>
      </c>
      <c r="D200" s="110">
        <f>YEAR(GC[[#This Row],[Date]])</f>
        <v>2024</v>
      </c>
      <c r="E200" s="101" t="s">
        <v>73</v>
      </c>
      <c r="F200" s="101" t="s">
        <v>73</v>
      </c>
      <c r="G200" s="102" t="str">
        <f>TEXT(GC[[#This Row],[Date]],"mmm-yy")</f>
        <v>Apr-24</v>
      </c>
      <c r="H200" s="102">
        <f>DAY(EOMONTH(GC[[#This Row],[Month Year]],0))</f>
        <v>30</v>
      </c>
      <c r="I200" s="106"/>
      <c r="J200" s="116"/>
      <c r="K200" s="106"/>
      <c r="L200" s="106"/>
      <c r="M200" s="106"/>
      <c r="N200" s="106"/>
      <c r="O200" s="106"/>
      <c r="P200" s="106"/>
      <c r="Q200" s="106"/>
      <c r="R200" s="106"/>
      <c r="S200" s="1">
        <f>SUM(GC[[#This Row],[Blk1]:[Blk8]])</f>
        <v>0</v>
      </c>
      <c r="T200" s="116" t="str">
        <f>PROPER(GC[[#This Row],[Resources]])</f>
        <v/>
      </c>
      <c r="U200" s="106"/>
    </row>
    <row r="201" spans="1:21" x14ac:dyDescent="0.25">
      <c r="A201" s="106">
        <v>199</v>
      </c>
      <c r="B201" s="103">
        <f t="shared" si="3"/>
        <v>45398</v>
      </c>
      <c r="C201" s="109">
        <v>2024</v>
      </c>
      <c r="D201" s="110">
        <f>YEAR(GC[[#This Row],[Date]])</f>
        <v>2024</v>
      </c>
      <c r="E201" s="101" t="s">
        <v>73</v>
      </c>
      <c r="F201" s="101" t="s">
        <v>73</v>
      </c>
      <c r="G201" s="102" t="str">
        <f>TEXT(GC[[#This Row],[Date]],"mmm-yy")</f>
        <v>Apr-24</v>
      </c>
      <c r="H201" s="102">
        <f>DAY(EOMONTH(GC[[#This Row],[Month Year]],0))</f>
        <v>30</v>
      </c>
      <c r="I201" s="106"/>
      <c r="J201" s="116"/>
      <c r="K201" s="106"/>
      <c r="L201" s="106"/>
      <c r="M201" s="106"/>
      <c r="N201" s="106"/>
      <c r="O201" s="106"/>
      <c r="P201" s="106"/>
      <c r="Q201" s="106"/>
      <c r="R201" s="106"/>
      <c r="S201" s="1">
        <f>SUM(GC[[#This Row],[Blk1]:[Blk8]])</f>
        <v>0</v>
      </c>
      <c r="T201" s="116" t="str">
        <f>PROPER(GC[[#This Row],[Resources]])</f>
        <v/>
      </c>
      <c r="U201" s="106"/>
    </row>
    <row r="202" spans="1:21" x14ac:dyDescent="0.25">
      <c r="A202" s="106">
        <v>200</v>
      </c>
      <c r="B202" s="103">
        <f t="shared" si="3"/>
        <v>45399</v>
      </c>
      <c r="C202" s="109">
        <v>2024</v>
      </c>
      <c r="D202" s="110">
        <f>YEAR(GC[[#This Row],[Date]])</f>
        <v>2024</v>
      </c>
      <c r="E202" s="101" t="s">
        <v>73</v>
      </c>
      <c r="F202" s="101" t="s">
        <v>73</v>
      </c>
      <c r="G202" s="102" t="str">
        <f>TEXT(GC[[#This Row],[Date]],"mmm-yy")</f>
        <v>Apr-24</v>
      </c>
      <c r="H202" s="102">
        <f>DAY(EOMONTH(GC[[#This Row],[Month Year]],0))</f>
        <v>30</v>
      </c>
      <c r="I202" s="106"/>
      <c r="J202" s="116"/>
      <c r="K202" s="106"/>
      <c r="L202" s="106"/>
      <c r="M202" s="106"/>
      <c r="N202" s="106"/>
      <c r="O202" s="106"/>
      <c r="P202" s="106"/>
      <c r="Q202" s="106"/>
      <c r="R202" s="106"/>
      <c r="S202" s="1">
        <f>SUM(GC[[#This Row],[Blk1]:[Blk8]])</f>
        <v>0</v>
      </c>
      <c r="T202" s="116" t="str">
        <f>PROPER(GC[[#This Row],[Resources]])</f>
        <v/>
      </c>
      <c r="U202" s="106"/>
    </row>
    <row r="203" spans="1:21" x14ac:dyDescent="0.25">
      <c r="A203" s="106">
        <v>201</v>
      </c>
      <c r="B203" s="103">
        <f t="shared" si="3"/>
        <v>45400</v>
      </c>
      <c r="C203" s="109">
        <v>2024</v>
      </c>
      <c r="D203" s="110">
        <f>YEAR(GC[[#This Row],[Date]])</f>
        <v>2024</v>
      </c>
      <c r="E203" s="101" t="s">
        <v>73</v>
      </c>
      <c r="F203" s="101" t="s">
        <v>73</v>
      </c>
      <c r="G203" s="102" t="str">
        <f>TEXT(GC[[#This Row],[Date]],"mmm-yy")</f>
        <v>Apr-24</v>
      </c>
      <c r="H203" s="102">
        <f>DAY(EOMONTH(GC[[#This Row],[Month Year]],0))</f>
        <v>30</v>
      </c>
      <c r="I203" s="106"/>
      <c r="J203" s="116"/>
      <c r="K203" s="106"/>
      <c r="L203" s="106"/>
      <c r="M203" s="106"/>
      <c r="N203" s="106"/>
      <c r="O203" s="106"/>
      <c r="P203" s="106"/>
      <c r="Q203" s="106"/>
      <c r="R203" s="106"/>
      <c r="S203" s="1">
        <f>SUM(GC[[#This Row],[Blk1]:[Blk8]])</f>
        <v>0</v>
      </c>
      <c r="T203" s="116" t="str">
        <f>PROPER(GC[[#This Row],[Resources]])</f>
        <v/>
      </c>
      <c r="U203" s="106"/>
    </row>
    <row r="204" spans="1:21" x14ac:dyDescent="0.25">
      <c r="A204" s="106">
        <v>202</v>
      </c>
      <c r="B204" s="103">
        <f>B203+1</f>
        <v>45401</v>
      </c>
      <c r="C204" s="109">
        <v>2024</v>
      </c>
      <c r="D204" s="110">
        <f>YEAR(GC[[#This Row],[Date]])</f>
        <v>2024</v>
      </c>
      <c r="E204" s="101" t="s">
        <v>73</v>
      </c>
      <c r="F204" s="101" t="s">
        <v>73</v>
      </c>
      <c r="G204" s="102" t="str">
        <f>TEXT(GC[[#This Row],[Date]],"mmm-yy")</f>
        <v>Apr-24</v>
      </c>
      <c r="H204" s="102">
        <f>DAY(EOMONTH(GC[[#This Row],[Month Year]],0))</f>
        <v>30</v>
      </c>
      <c r="I204" s="106"/>
      <c r="J204" s="116"/>
      <c r="K204" s="106"/>
      <c r="L204" s="106"/>
      <c r="M204" s="106"/>
      <c r="N204" s="106"/>
      <c r="O204" s="106"/>
      <c r="P204" s="106"/>
      <c r="Q204" s="106"/>
      <c r="R204" s="106"/>
      <c r="S204" s="1">
        <f>SUM(GC[[#This Row],[Blk1]:[Blk8]])</f>
        <v>0</v>
      </c>
      <c r="T204" s="116" t="str">
        <f>PROPER(GC[[#This Row],[Resources]])</f>
        <v/>
      </c>
      <c r="U204" s="106"/>
    </row>
    <row r="205" spans="1:21" x14ac:dyDescent="0.25">
      <c r="A205" s="106">
        <v>203</v>
      </c>
      <c r="B205" s="103">
        <f t="shared" ref="B205:B268" si="4">B204+1</f>
        <v>45402</v>
      </c>
      <c r="C205" s="109">
        <v>2024</v>
      </c>
      <c r="D205" s="110">
        <f>YEAR(GC[[#This Row],[Date]])</f>
        <v>2024</v>
      </c>
      <c r="E205" s="101" t="s">
        <v>73</v>
      </c>
      <c r="F205" s="101" t="s">
        <v>73</v>
      </c>
      <c r="G205" s="102" t="str">
        <f>TEXT(GC[[#This Row],[Date]],"mmm-yy")</f>
        <v>Apr-24</v>
      </c>
      <c r="H205" s="102">
        <f>DAY(EOMONTH(GC[[#This Row],[Month Year]],0))</f>
        <v>30</v>
      </c>
      <c r="I205" s="106"/>
      <c r="J205" s="116"/>
      <c r="K205" s="106"/>
      <c r="L205" s="106"/>
      <c r="M205" s="106"/>
      <c r="N205" s="106"/>
      <c r="O205" s="106"/>
      <c r="P205" s="106"/>
      <c r="Q205" s="106"/>
      <c r="R205" s="106"/>
      <c r="S205" s="1">
        <f>SUM(GC[[#This Row],[Blk1]:[Blk8]])</f>
        <v>0</v>
      </c>
      <c r="T205" s="116" t="str">
        <f>PROPER(GC[[#This Row],[Resources]])</f>
        <v/>
      </c>
      <c r="U205" s="106"/>
    </row>
    <row r="206" spans="1:21" x14ac:dyDescent="0.25">
      <c r="A206" s="106">
        <v>204</v>
      </c>
      <c r="B206" s="103">
        <f t="shared" si="4"/>
        <v>45403</v>
      </c>
      <c r="C206" s="109">
        <v>2024</v>
      </c>
      <c r="D206" s="110">
        <f>YEAR(GC[[#This Row],[Date]])</f>
        <v>2024</v>
      </c>
      <c r="E206" s="101" t="s">
        <v>73</v>
      </c>
      <c r="F206" s="101" t="s">
        <v>73</v>
      </c>
      <c r="G206" s="102" t="str">
        <f>TEXT(GC[[#This Row],[Date]],"mmm-yy")</f>
        <v>Apr-24</v>
      </c>
      <c r="H206" s="102">
        <f>DAY(EOMONTH(GC[[#This Row],[Month Year]],0))</f>
        <v>30</v>
      </c>
      <c r="I206" s="106"/>
      <c r="J206" s="116"/>
      <c r="K206" s="106"/>
      <c r="L206" s="106"/>
      <c r="M206" s="106"/>
      <c r="N206" s="106"/>
      <c r="O206" s="106"/>
      <c r="P206" s="106"/>
      <c r="Q206" s="106"/>
      <c r="R206" s="106"/>
      <c r="S206" s="1">
        <f>SUM(GC[[#This Row],[Blk1]:[Blk8]])</f>
        <v>0</v>
      </c>
      <c r="T206" s="116" t="str">
        <f>PROPER(GC[[#This Row],[Resources]])</f>
        <v/>
      </c>
      <c r="U206" s="106"/>
    </row>
    <row r="207" spans="1:21" x14ac:dyDescent="0.25">
      <c r="A207" s="106">
        <v>205</v>
      </c>
      <c r="B207" s="103">
        <f t="shared" si="4"/>
        <v>45404</v>
      </c>
      <c r="C207" s="109">
        <v>2024</v>
      </c>
      <c r="D207" s="110">
        <f>YEAR(GC[[#This Row],[Date]])</f>
        <v>2024</v>
      </c>
      <c r="E207" s="101" t="s">
        <v>73</v>
      </c>
      <c r="F207" s="101" t="s">
        <v>73</v>
      </c>
      <c r="G207" s="102" t="str">
        <f>TEXT(GC[[#This Row],[Date]],"mmm-yy")</f>
        <v>Apr-24</v>
      </c>
      <c r="H207" s="102">
        <f>DAY(EOMONTH(GC[[#This Row],[Month Year]],0))</f>
        <v>30</v>
      </c>
      <c r="I207" s="106"/>
      <c r="J207" s="116"/>
      <c r="K207" s="106"/>
      <c r="L207" s="106"/>
      <c r="M207" s="106"/>
      <c r="N207" s="106"/>
      <c r="O207" s="106"/>
      <c r="P207" s="106"/>
      <c r="Q207" s="106"/>
      <c r="R207" s="106"/>
      <c r="S207" s="1">
        <f>SUM(GC[[#This Row],[Blk1]:[Blk8]])</f>
        <v>0</v>
      </c>
      <c r="T207" s="116" t="str">
        <f>PROPER(GC[[#This Row],[Resources]])</f>
        <v/>
      </c>
      <c r="U207" s="106"/>
    </row>
    <row r="208" spans="1:21" x14ac:dyDescent="0.25">
      <c r="A208" s="106">
        <v>206</v>
      </c>
      <c r="B208" s="103">
        <f t="shared" si="4"/>
        <v>45405</v>
      </c>
      <c r="C208" s="109">
        <v>2024</v>
      </c>
      <c r="D208" s="110">
        <f>YEAR(GC[[#This Row],[Date]])</f>
        <v>2024</v>
      </c>
      <c r="E208" s="101" t="s">
        <v>73</v>
      </c>
      <c r="F208" s="101" t="s">
        <v>73</v>
      </c>
      <c r="G208" s="102" t="str">
        <f>TEXT(GC[[#This Row],[Date]],"mmm-yy")</f>
        <v>Apr-24</v>
      </c>
      <c r="H208" s="102">
        <f>DAY(EOMONTH(GC[[#This Row],[Month Year]],0))</f>
        <v>30</v>
      </c>
      <c r="I208" s="106"/>
      <c r="J208" s="116"/>
      <c r="K208" s="106"/>
      <c r="L208" s="106"/>
      <c r="M208" s="106"/>
      <c r="N208" s="106"/>
      <c r="O208" s="106"/>
      <c r="P208" s="106"/>
      <c r="Q208" s="106"/>
      <c r="R208" s="106"/>
      <c r="S208" s="1">
        <f>SUM(GC[[#This Row],[Blk1]:[Blk8]])</f>
        <v>0</v>
      </c>
      <c r="T208" s="116" t="str">
        <f>PROPER(GC[[#This Row],[Resources]])</f>
        <v/>
      </c>
      <c r="U208" s="106"/>
    </row>
    <row r="209" spans="1:21" x14ac:dyDescent="0.25">
      <c r="A209" s="106">
        <v>207</v>
      </c>
      <c r="B209" s="103">
        <f t="shared" si="4"/>
        <v>45406</v>
      </c>
      <c r="C209" s="109">
        <v>2024</v>
      </c>
      <c r="D209" s="110">
        <f>YEAR(GC[[#This Row],[Date]])</f>
        <v>2024</v>
      </c>
      <c r="E209" s="101" t="s">
        <v>73</v>
      </c>
      <c r="F209" s="101" t="s">
        <v>73</v>
      </c>
      <c r="G209" s="102" t="str">
        <f>TEXT(GC[[#This Row],[Date]],"mmm-yy")</f>
        <v>Apr-24</v>
      </c>
      <c r="H209" s="102">
        <f>DAY(EOMONTH(GC[[#This Row],[Month Year]],0))</f>
        <v>30</v>
      </c>
      <c r="I209" s="106"/>
      <c r="J209" s="116"/>
      <c r="K209" s="106"/>
      <c r="L209" s="106"/>
      <c r="M209" s="106"/>
      <c r="N209" s="106"/>
      <c r="O209" s="106"/>
      <c r="P209" s="106"/>
      <c r="Q209" s="106"/>
      <c r="R209" s="106"/>
      <c r="S209" s="1">
        <f>SUM(GC[[#This Row],[Blk1]:[Blk8]])</f>
        <v>0</v>
      </c>
      <c r="T209" s="116" t="str">
        <f>PROPER(GC[[#This Row],[Resources]])</f>
        <v/>
      </c>
      <c r="U209" s="106"/>
    </row>
    <row r="210" spans="1:21" x14ac:dyDescent="0.25">
      <c r="A210" s="106">
        <v>208</v>
      </c>
      <c r="B210" s="103">
        <f t="shared" si="4"/>
        <v>45407</v>
      </c>
      <c r="C210" s="109">
        <v>2024</v>
      </c>
      <c r="D210" s="110">
        <f>YEAR(GC[[#This Row],[Date]])</f>
        <v>2024</v>
      </c>
      <c r="E210" s="101" t="s">
        <v>73</v>
      </c>
      <c r="F210" s="101" t="s">
        <v>73</v>
      </c>
      <c r="G210" s="102" t="str">
        <f>TEXT(GC[[#This Row],[Date]],"mmm-yy")</f>
        <v>Apr-24</v>
      </c>
      <c r="H210" s="102">
        <f>DAY(EOMONTH(GC[[#This Row],[Month Year]],0))</f>
        <v>30</v>
      </c>
      <c r="I210" s="106"/>
      <c r="J210" s="116"/>
      <c r="K210" s="106"/>
      <c r="L210" s="106"/>
      <c r="M210" s="106"/>
      <c r="N210" s="106"/>
      <c r="O210" s="106"/>
      <c r="P210" s="106"/>
      <c r="Q210" s="106"/>
      <c r="R210" s="106"/>
      <c r="S210" s="1">
        <f>SUM(GC[[#This Row],[Blk1]:[Blk8]])</f>
        <v>0</v>
      </c>
      <c r="T210" s="116" t="str">
        <f>PROPER(GC[[#This Row],[Resources]])</f>
        <v/>
      </c>
      <c r="U210" s="106"/>
    </row>
    <row r="211" spans="1:21" x14ac:dyDescent="0.25">
      <c r="A211" s="106">
        <v>209</v>
      </c>
      <c r="B211" s="103">
        <f t="shared" si="4"/>
        <v>45408</v>
      </c>
      <c r="C211" s="109">
        <v>2024</v>
      </c>
      <c r="D211" s="110">
        <f>YEAR(GC[[#This Row],[Date]])</f>
        <v>2024</v>
      </c>
      <c r="E211" s="101" t="s">
        <v>73</v>
      </c>
      <c r="F211" s="101" t="s">
        <v>73</v>
      </c>
      <c r="G211" s="102" t="str">
        <f>TEXT(GC[[#This Row],[Date]],"mmm-yy")</f>
        <v>Apr-24</v>
      </c>
      <c r="H211" s="102">
        <f>DAY(EOMONTH(GC[[#This Row],[Month Year]],0))</f>
        <v>30</v>
      </c>
      <c r="I211" s="106"/>
      <c r="J211" s="116"/>
      <c r="K211" s="106"/>
      <c r="L211" s="106"/>
      <c r="M211" s="106"/>
      <c r="N211" s="106"/>
      <c r="O211" s="106"/>
      <c r="P211" s="106"/>
      <c r="Q211" s="106"/>
      <c r="R211" s="106"/>
      <c r="S211" s="1">
        <f>SUM(GC[[#This Row],[Blk1]:[Blk8]])</f>
        <v>0</v>
      </c>
      <c r="T211" s="116" t="str">
        <f>PROPER(GC[[#This Row],[Resources]])</f>
        <v/>
      </c>
      <c r="U211" s="106"/>
    </row>
    <row r="212" spans="1:21" x14ac:dyDescent="0.25">
      <c r="A212" s="106">
        <v>210</v>
      </c>
      <c r="B212" s="103">
        <f t="shared" si="4"/>
        <v>45409</v>
      </c>
      <c r="C212" s="109">
        <v>2024</v>
      </c>
      <c r="D212" s="110">
        <f>YEAR(GC[[#This Row],[Date]])</f>
        <v>2024</v>
      </c>
      <c r="E212" s="101" t="s">
        <v>73</v>
      </c>
      <c r="F212" s="101" t="s">
        <v>73</v>
      </c>
      <c r="G212" s="102" t="str">
        <f>TEXT(GC[[#This Row],[Date]],"mmm-yy")</f>
        <v>Apr-24</v>
      </c>
      <c r="H212" s="102">
        <f>DAY(EOMONTH(GC[[#This Row],[Month Year]],0))</f>
        <v>30</v>
      </c>
      <c r="I212" s="106"/>
      <c r="J212" s="116"/>
      <c r="K212" s="106"/>
      <c r="L212" s="106"/>
      <c r="M212" s="106"/>
      <c r="N212" s="106"/>
      <c r="O212" s="106"/>
      <c r="P212" s="106"/>
      <c r="Q212" s="106"/>
      <c r="R212" s="106"/>
      <c r="S212" s="1">
        <f>SUM(GC[[#This Row],[Blk1]:[Blk8]])</f>
        <v>0</v>
      </c>
      <c r="T212" s="116" t="str">
        <f>PROPER(GC[[#This Row],[Resources]])</f>
        <v/>
      </c>
      <c r="U212" s="106"/>
    </row>
    <row r="213" spans="1:21" x14ac:dyDescent="0.25">
      <c r="A213" s="106">
        <v>211</v>
      </c>
      <c r="B213" s="103">
        <f t="shared" si="4"/>
        <v>45410</v>
      </c>
      <c r="C213" s="109">
        <v>2024</v>
      </c>
      <c r="D213" s="110">
        <f>YEAR(GC[[#This Row],[Date]])</f>
        <v>2024</v>
      </c>
      <c r="E213" s="101" t="s">
        <v>73</v>
      </c>
      <c r="F213" s="101" t="s">
        <v>73</v>
      </c>
      <c r="G213" s="102" t="str">
        <f>TEXT(GC[[#This Row],[Date]],"mmm-yy")</f>
        <v>Apr-24</v>
      </c>
      <c r="H213" s="102">
        <f>DAY(EOMONTH(GC[[#This Row],[Month Year]],0))</f>
        <v>30</v>
      </c>
      <c r="I213" s="106"/>
      <c r="J213" s="116"/>
      <c r="K213" s="106"/>
      <c r="L213" s="106"/>
      <c r="M213" s="106"/>
      <c r="N213" s="106"/>
      <c r="O213" s="106"/>
      <c r="P213" s="106"/>
      <c r="Q213" s="106"/>
      <c r="R213" s="106"/>
      <c r="S213" s="1">
        <f>SUM(GC[[#This Row],[Blk1]:[Blk8]])</f>
        <v>0</v>
      </c>
      <c r="T213" s="116" t="str">
        <f>PROPER(GC[[#This Row],[Resources]])</f>
        <v/>
      </c>
      <c r="U213" s="106"/>
    </row>
    <row r="214" spans="1:21" x14ac:dyDescent="0.25">
      <c r="A214" s="106">
        <v>212</v>
      </c>
      <c r="B214" s="103">
        <f t="shared" si="4"/>
        <v>45411</v>
      </c>
      <c r="C214" s="109">
        <v>2024</v>
      </c>
      <c r="D214" s="110">
        <f>YEAR(GC[[#This Row],[Date]])</f>
        <v>2024</v>
      </c>
      <c r="E214" s="101" t="s">
        <v>73</v>
      </c>
      <c r="F214" s="101" t="s">
        <v>73</v>
      </c>
      <c r="G214" s="102" t="str">
        <f>TEXT(GC[[#This Row],[Date]],"mmm-yy")</f>
        <v>Apr-24</v>
      </c>
      <c r="H214" s="102">
        <f>DAY(EOMONTH(GC[[#This Row],[Month Year]],0))</f>
        <v>30</v>
      </c>
      <c r="I214" s="106"/>
      <c r="J214" s="116"/>
      <c r="K214" s="106"/>
      <c r="L214" s="106"/>
      <c r="M214" s="106"/>
      <c r="N214" s="106"/>
      <c r="O214" s="106"/>
      <c r="P214" s="106"/>
      <c r="Q214" s="106"/>
      <c r="R214" s="106"/>
      <c r="S214" s="1">
        <f>SUM(GC[[#This Row],[Blk1]:[Blk8]])</f>
        <v>0</v>
      </c>
      <c r="T214" s="123" t="str">
        <f>PROPER(GC[[#This Row],[Resources]])</f>
        <v/>
      </c>
      <c r="U214" s="106"/>
    </row>
    <row r="215" spans="1:21" x14ac:dyDescent="0.25">
      <c r="A215" s="106">
        <v>213</v>
      </c>
      <c r="B215" s="103">
        <f t="shared" si="4"/>
        <v>45412</v>
      </c>
      <c r="C215" s="109">
        <v>2024</v>
      </c>
      <c r="D215" s="110">
        <f>YEAR(GC[[#This Row],[Date]])</f>
        <v>2024</v>
      </c>
      <c r="E215" s="101" t="s">
        <v>73</v>
      </c>
      <c r="F215" s="101" t="s">
        <v>73</v>
      </c>
      <c r="G215" s="102" t="str">
        <f>TEXT(GC[[#This Row],[Date]],"mmm-yy")</f>
        <v>Apr-24</v>
      </c>
      <c r="H215" s="102">
        <f>DAY(EOMONTH(GC[[#This Row],[Month Year]],0))</f>
        <v>30</v>
      </c>
      <c r="I215" s="106"/>
      <c r="J215" s="116"/>
      <c r="K215" s="106"/>
      <c r="L215" s="106"/>
      <c r="M215" s="106"/>
      <c r="N215" s="106"/>
      <c r="O215" s="106"/>
      <c r="P215" s="106"/>
      <c r="Q215" s="106"/>
      <c r="R215" s="106"/>
      <c r="S215" s="1">
        <f>SUM(GC[[#This Row],[Blk1]:[Blk8]])</f>
        <v>0</v>
      </c>
      <c r="T215" s="123" t="str">
        <f>PROPER(GC[[#This Row],[Resources]])</f>
        <v/>
      </c>
      <c r="U215" s="106"/>
    </row>
    <row r="216" spans="1:21" x14ac:dyDescent="0.25">
      <c r="A216" s="106">
        <v>214</v>
      </c>
      <c r="B216" s="103">
        <f t="shared" si="4"/>
        <v>45413</v>
      </c>
      <c r="C216" s="109">
        <v>2024</v>
      </c>
      <c r="D216" s="110">
        <f>YEAR(GC[[#This Row],[Date]])</f>
        <v>2024</v>
      </c>
      <c r="E216" s="101" t="s">
        <v>73</v>
      </c>
      <c r="F216" s="101" t="s">
        <v>73</v>
      </c>
      <c r="G216" s="102" t="str">
        <f>TEXT(GC[[#This Row],[Date]],"mmm-yy")</f>
        <v>May-24</v>
      </c>
      <c r="H216" s="102">
        <f>DAY(EOMONTH(GC[[#This Row],[Month Year]],0))</f>
        <v>31</v>
      </c>
      <c r="I216" s="122"/>
      <c r="J216" s="124"/>
      <c r="K216" s="122"/>
      <c r="L216" s="122"/>
      <c r="M216" s="122"/>
      <c r="N216" s="122"/>
      <c r="O216" s="122"/>
      <c r="P216" s="122"/>
      <c r="Q216" s="122"/>
      <c r="R216" s="122"/>
      <c r="S216" s="1">
        <f>SUM(GC[[#This Row],[Blk1]:[Blk8]])</f>
        <v>0</v>
      </c>
      <c r="T216" s="124" t="str">
        <f>PROPER(GC[[#This Row],[Resources]])</f>
        <v/>
      </c>
      <c r="U216" s="122"/>
    </row>
    <row r="217" spans="1:21" x14ac:dyDescent="0.25">
      <c r="A217" s="106">
        <v>215</v>
      </c>
      <c r="B217" s="103">
        <f t="shared" si="4"/>
        <v>45414</v>
      </c>
      <c r="C217" s="109">
        <v>2024</v>
      </c>
      <c r="D217" s="110">
        <f>YEAR(GC[[#This Row],[Date]])</f>
        <v>2024</v>
      </c>
      <c r="E217" s="101" t="s">
        <v>73</v>
      </c>
      <c r="F217" s="101" t="s">
        <v>73</v>
      </c>
      <c r="G217" s="102" t="str">
        <f>TEXT(GC[[#This Row],[Date]],"mmm-yy")</f>
        <v>May-24</v>
      </c>
      <c r="H217" s="102">
        <f>DAY(EOMONTH(GC[[#This Row],[Month Year]],0))</f>
        <v>31</v>
      </c>
      <c r="I217" s="122"/>
      <c r="J217" s="124"/>
      <c r="K217" s="106"/>
      <c r="L217" s="106"/>
      <c r="M217" s="106"/>
      <c r="N217" s="106"/>
      <c r="O217" s="106"/>
      <c r="P217" s="106"/>
      <c r="Q217" s="106"/>
      <c r="R217" s="106"/>
      <c r="S217" s="1">
        <f>SUM(GC[[#This Row],[Blk1]:[Blk8]])</f>
        <v>0</v>
      </c>
      <c r="T217" s="116" t="str">
        <f>PROPER(GC[[#This Row],[Resources]])</f>
        <v/>
      </c>
      <c r="U217" s="106"/>
    </row>
    <row r="218" spans="1:21" x14ac:dyDescent="0.25">
      <c r="A218" s="106">
        <v>216</v>
      </c>
      <c r="B218" s="103">
        <f t="shared" si="4"/>
        <v>45415</v>
      </c>
      <c r="C218" s="109">
        <v>2024</v>
      </c>
      <c r="D218" s="110">
        <f>YEAR(GC[[#This Row],[Date]])</f>
        <v>2024</v>
      </c>
      <c r="E218" s="101" t="s">
        <v>73</v>
      </c>
      <c r="F218" s="101" t="s">
        <v>73</v>
      </c>
      <c r="G218" s="102" t="str">
        <f>TEXT(GC[[#This Row],[Date]],"mmm-yy")</f>
        <v>May-24</v>
      </c>
      <c r="H218" s="102">
        <f>DAY(EOMONTH(GC[[#This Row],[Month Year]],0))</f>
        <v>31</v>
      </c>
      <c r="I218" s="122"/>
      <c r="J218" s="124"/>
      <c r="K218" s="106"/>
      <c r="L218" s="106"/>
      <c r="M218" s="106"/>
      <c r="N218" s="106"/>
      <c r="O218" s="106"/>
      <c r="P218" s="106"/>
      <c r="Q218" s="106"/>
      <c r="R218" s="106"/>
      <c r="S218" s="1">
        <f>SUM(GC[[#This Row],[Blk1]:[Blk8]])</f>
        <v>0</v>
      </c>
      <c r="T218" s="116" t="str">
        <f>PROPER(GC[[#This Row],[Resources]])</f>
        <v/>
      </c>
      <c r="U218" s="106"/>
    </row>
    <row r="219" spans="1:21" x14ac:dyDescent="0.25">
      <c r="A219" s="106">
        <v>217</v>
      </c>
      <c r="B219" s="103">
        <f t="shared" si="4"/>
        <v>45416</v>
      </c>
      <c r="C219" s="109">
        <v>2024</v>
      </c>
      <c r="D219" s="110">
        <f>YEAR(GC[[#This Row],[Date]])</f>
        <v>2024</v>
      </c>
      <c r="E219" s="101" t="s">
        <v>73</v>
      </c>
      <c r="F219" s="101" t="s">
        <v>73</v>
      </c>
      <c r="G219" s="102" t="str">
        <f>TEXT(GC[[#This Row],[Date]],"mmm-yy")</f>
        <v>May-24</v>
      </c>
      <c r="H219" s="102">
        <f>DAY(EOMONTH(GC[[#This Row],[Month Year]],0))</f>
        <v>31</v>
      </c>
      <c r="I219" s="122"/>
      <c r="J219" s="124"/>
      <c r="K219" s="106"/>
      <c r="L219" s="106"/>
      <c r="M219" s="106"/>
      <c r="N219" s="106"/>
      <c r="O219" s="106"/>
      <c r="P219" s="106"/>
      <c r="Q219" s="106"/>
      <c r="R219" s="106"/>
      <c r="S219" s="1">
        <f>SUM(GC[[#This Row],[Blk1]:[Blk8]])</f>
        <v>0</v>
      </c>
      <c r="T219" s="116" t="str">
        <f>PROPER(GC[[#This Row],[Resources]])</f>
        <v/>
      </c>
      <c r="U219" s="106"/>
    </row>
    <row r="220" spans="1:21" x14ac:dyDescent="0.25">
      <c r="A220" s="106">
        <v>218</v>
      </c>
      <c r="B220" s="103">
        <f t="shared" si="4"/>
        <v>45417</v>
      </c>
      <c r="C220" s="109">
        <v>2024</v>
      </c>
      <c r="D220" s="110">
        <f>YEAR(GC[[#This Row],[Date]])</f>
        <v>2024</v>
      </c>
      <c r="E220" s="101" t="s">
        <v>73</v>
      </c>
      <c r="F220" s="101" t="s">
        <v>73</v>
      </c>
      <c r="G220" s="102" t="str">
        <f>TEXT(GC[[#This Row],[Date]],"mmm-yy")</f>
        <v>May-24</v>
      </c>
      <c r="H220" s="102">
        <f>DAY(EOMONTH(GC[[#This Row],[Month Year]],0))</f>
        <v>31</v>
      </c>
      <c r="I220" s="122"/>
      <c r="J220" s="124"/>
      <c r="K220" s="106"/>
      <c r="L220" s="106"/>
      <c r="M220" s="106"/>
      <c r="N220" s="106"/>
      <c r="O220" s="106"/>
      <c r="P220" s="106"/>
      <c r="Q220" s="106"/>
      <c r="R220" s="106"/>
      <c r="S220" s="1">
        <f>SUM(GC[[#This Row],[Blk1]:[Blk8]])</f>
        <v>0</v>
      </c>
      <c r="T220" s="116" t="str">
        <f>PROPER(GC[[#This Row],[Resources]])</f>
        <v/>
      </c>
      <c r="U220" s="106"/>
    </row>
    <row r="221" spans="1:21" x14ac:dyDescent="0.25">
      <c r="A221" s="106">
        <v>219</v>
      </c>
      <c r="B221" s="103">
        <f t="shared" si="4"/>
        <v>45418</v>
      </c>
      <c r="C221" s="109">
        <v>2024</v>
      </c>
      <c r="D221" s="110">
        <f>YEAR(GC[[#This Row],[Date]])</f>
        <v>2024</v>
      </c>
      <c r="E221" s="101" t="s">
        <v>73</v>
      </c>
      <c r="F221" s="101" t="s">
        <v>73</v>
      </c>
      <c r="G221" s="102" t="str">
        <f>TEXT(GC[[#This Row],[Date]],"mmm-yy")</f>
        <v>May-24</v>
      </c>
      <c r="H221" s="102">
        <f>DAY(EOMONTH(GC[[#This Row],[Month Year]],0))</f>
        <v>31</v>
      </c>
      <c r="I221" s="122"/>
      <c r="J221" s="124"/>
      <c r="K221" s="106"/>
      <c r="L221" s="106"/>
      <c r="M221" s="106"/>
      <c r="N221" s="106"/>
      <c r="O221" s="106"/>
      <c r="P221" s="106"/>
      <c r="Q221" s="106"/>
      <c r="R221" s="106"/>
      <c r="S221" s="1">
        <f>SUM(GC[[#This Row],[Blk1]:[Blk8]])</f>
        <v>0</v>
      </c>
      <c r="T221" s="116" t="str">
        <f>PROPER(GC[[#This Row],[Resources]])</f>
        <v/>
      </c>
      <c r="U221" s="106"/>
    </row>
    <row r="222" spans="1:21" x14ac:dyDescent="0.25">
      <c r="A222" s="106">
        <v>220</v>
      </c>
      <c r="B222" s="103">
        <f t="shared" si="4"/>
        <v>45419</v>
      </c>
      <c r="C222" s="109">
        <v>2024</v>
      </c>
      <c r="D222" s="110">
        <f>YEAR(GC[[#This Row],[Date]])</f>
        <v>2024</v>
      </c>
      <c r="E222" s="101" t="s">
        <v>73</v>
      </c>
      <c r="F222" s="101" t="s">
        <v>73</v>
      </c>
      <c r="G222" s="102" t="str">
        <f>TEXT(GC[[#This Row],[Date]],"mmm-yy")</f>
        <v>May-24</v>
      </c>
      <c r="H222" s="102">
        <f>DAY(EOMONTH(GC[[#This Row],[Month Year]],0))</f>
        <v>31</v>
      </c>
      <c r="I222" s="122"/>
      <c r="J222" s="124"/>
      <c r="K222" s="106"/>
      <c r="L222" s="106"/>
      <c r="M222" s="106"/>
      <c r="N222" s="106"/>
      <c r="O222" s="106"/>
      <c r="P222" s="106"/>
      <c r="Q222" s="106"/>
      <c r="R222" s="106"/>
      <c r="S222" s="1">
        <f>SUM(GC[[#This Row],[Blk1]:[Blk8]])</f>
        <v>0</v>
      </c>
      <c r="T222" s="116" t="str">
        <f>PROPER(GC[[#This Row],[Resources]])</f>
        <v/>
      </c>
      <c r="U222" s="106"/>
    </row>
    <row r="223" spans="1:21" x14ac:dyDescent="0.25">
      <c r="A223" s="106">
        <v>221</v>
      </c>
      <c r="B223" s="103">
        <f t="shared" si="4"/>
        <v>45420</v>
      </c>
      <c r="C223" s="109">
        <v>2024</v>
      </c>
      <c r="D223" s="110">
        <f>YEAR(GC[[#This Row],[Date]])</f>
        <v>2024</v>
      </c>
      <c r="E223" s="101" t="s">
        <v>73</v>
      </c>
      <c r="F223" s="101" t="s">
        <v>73</v>
      </c>
      <c r="G223" s="102" t="str">
        <f>TEXT(GC[[#This Row],[Date]],"mmm-yy")</f>
        <v>May-24</v>
      </c>
      <c r="H223" s="102">
        <f>DAY(EOMONTH(GC[[#This Row],[Month Year]],0))</f>
        <v>31</v>
      </c>
      <c r="I223" s="106"/>
      <c r="J223" s="116"/>
      <c r="K223" s="106"/>
      <c r="L223" s="106"/>
      <c r="M223" s="106"/>
      <c r="N223" s="106"/>
      <c r="O223" s="106"/>
      <c r="P223" s="106"/>
      <c r="Q223" s="106"/>
      <c r="R223" s="106"/>
      <c r="S223" s="1">
        <f>SUM(GC[[#This Row],[Blk1]:[Blk8]])</f>
        <v>0</v>
      </c>
      <c r="T223" s="116" t="str">
        <f>PROPER(GC[[#This Row],[Resources]])</f>
        <v/>
      </c>
      <c r="U223" s="106"/>
    </row>
    <row r="224" spans="1:21" x14ac:dyDescent="0.25">
      <c r="A224" s="106">
        <v>222</v>
      </c>
      <c r="B224" s="103">
        <f t="shared" si="4"/>
        <v>45421</v>
      </c>
      <c r="C224" s="109">
        <v>2024</v>
      </c>
      <c r="D224" s="110">
        <f>YEAR(GC[[#This Row],[Date]])</f>
        <v>2024</v>
      </c>
      <c r="E224" s="101" t="s">
        <v>73</v>
      </c>
      <c r="F224" s="101" t="s">
        <v>73</v>
      </c>
      <c r="G224" s="102" t="str">
        <f>TEXT(GC[[#This Row],[Date]],"mmm-yy")</f>
        <v>May-24</v>
      </c>
      <c r="H224" s="102">
        <f>DAY(EOMONTH(GC[[#This Row],[Month Year]],0))</f>
        <v>31</v>
      </c>
      <c r="I224" s="106"/>
      <c r="J224" s="116"/>
      <c r="K224" s="106"/>
      <c r="L224" s="106"/>
      <c r="M224" s="106"/>
      <c r="N224" s="106"/>
      <c r="O224" s="106"/>
      <c r="P224" s="106"/>
      <c r="Q224" s="106"/>
      <c r="R224" s="106"/>
      <c r="S224" s="1">
        <f>SUM(GC[[#This Row],[Blk1]:[Blk8]])</f>
        <v>0</v>
      </c>
      <c r="T224" s="116" t="str">
        <f>PROPER(GC[[#This Row],[Resources]])</f>
        <v/>
      </c>
      <c r="U224" s="106"/>
    </row>
    <row r="225" spans="1:21" x14ac:dyDescent="0.25">
      <c r="A225" s="106">
        <v>223</v>
      </c>
      <c r="B225" s="103">
        <f t="shared" si="4"/>
        <v>45422</v>
      </c>
      <c r="C225" s="109">
        <v>2024</v>
      </c>
      <c r="D225" s="110">
        <f>YEAR(GC[[#This Row],[Date]])</f>
        <v>2024</v>
      </c>
      <c r="E225" s="101" t="s">
        <v>73</v>
      </c>
      <c r="F225" s="101" t="s">
        <v>73</v>
      </c>
      <c r="G225" s="102" t="str">
        <f>TEXT(GC[[#This Row],[Date]],"mmm-yy")</f>
        <v>May-24</v>
      </c>
      <c r="H225" s="102">
        <f>DAY(EOMONTH(GC[[#This Row],[Month Year]],0))</f>
        <v>31</v>
      </c>
      <c r="I225" s="106"/>
      <c r="J225" s="116"/>
      <c r="K225" s="106"/>
      <c r="L225" s="106"/>
      <c r="M225" s="106"/>
      <c r="N225" s="106"/>
      <c r="O225" s="106"/>
      <c r="P225" s="106"/>
      <c r="Q225" s="106"/>
      <c r="R225" s="106"/>
      <c r="S225" s="1">
        <f>SUM(GC[[#This Row],[Blk1]:[Blk8]])</f>
        <v>0</v>
      </c>
      <c r="T225" s="116" t="str">
        <f>PROPER(GC[[#This Row],[Resources]])</f>
        <v/>
      </c>
      <c r="U225" s="106"/>
    </row>
    <row r="226" spans="1:21" x14ac:dyDescent="0.25">
      <c r="A226" s="106">
        <v>224</v>
      </c>
      <c r="B226" s="103">
        <f t="shared" si="4"/>
        <v>45423</v>
      </c>
      <c r="C226" s="109">
        <v>2024</v>
      </c>
      <c r="D226" s="110">
        <f>YEAR(GC[[#This Row],[Date]])</f>
        <v>2024</v>
      </c>
      <c r="E226" s="101" t="s">
        <v>73</v>
      </c>
      <c r="F226" s="101" t="s">
        <v>73</v>
      </c>
      <c r="G226" s="102" t="str">
        <f>TEXT(GC[[#This Row],[Date]],"mmm-yy")</f>
        <v>May-24</v>
      </c>
      <c r="H226" s="102">
        <f>DAY(EOMONTH(GC[[#This Row],[Month Year]],0))</f>
        <v>31</v>
      </c>
      <c r="I226" s="106"/>
      <c r="J226" s="116"/>
      <c r="K226" s="106"/>
      <c r="L226" s="106"/>
      <c r="M226" s="106"/>
      <c r="N226" s="106"/>
      <c r="O226" s="106"/>
      <c r="P226" s="106"/>
      <c r="Q226" s="106"/>
      <c r="R226" s="106"/>
      <c r="S226" s="1">
        <f>SUM(GC[[#This Row],[Blk1]:[Blk8]])</f>
        <v>0</v>
      </c>
      <c r="T226" s="125" t="str">
        <f>PROPER(GC[[#This Row],[Resources]])</f>
        <v/>
      </c>
      <c r="U226" s="106"/>
    </row>
    <row r="227" spans="1:21" x14ac:dyDescent="0.25">
      <c r="A227" s="106">
        <v>225</v>
      </c>
      <c r="B227" s="103">
        <f t="shared" si="4"/>
        <v>45424</v>
      </c>
      <c r="C227" s="109">
        <v>2024</v>
      </c>
      <c r="D227" s="110">
        <f>YEAR(GC[[#This Row],[Date]])</f>
        <v>2024</v>
      </c>
      <c r="E227" s="101" t="s">
        <v>73</v>
      </c>
      <c r="F227" s="101" t="s">
        <v>73</v>
      </c>
      <c r="G227" s="102" t="str">
        <f>TEXT(GC[[#This Row],[Date]],"mmm-yy")</f>
        <v>May-24</v>
      </c>
      <c r="H227" s="102">
        <f>DAY(EOMONTH(GC[[#This Row],[Month Year]],0))</f>
        <v>31</v>
      </c>
      <c r="I227" s="106"/>
      <c r="J227" s="116"/>
      <c r="K227" s="106"/>
      <c r="L227" s="106"/>
      <c r="M227" s="106"/>
      <c r="N227" s="106"/>
      <c r="O227" s="106"/>
      <c r="P227" s="106"/>
      <c r="Q227" s="106"/>
      <c r="R227" s="106"/>
      <c r="S227" s="1">
        <f>SUM(GC[[#This Row],[Blk1]:[Blk8]])</f>
        <v>0</v>
      </c>
      <c r="T227" s="125" t="str">
        <f>PROPER(GC[[#This Row],[Resources]])</f>
        <v/>
      </c>
      <c r="U227" s="106"/>
    </row>
    <row r="228" spans="1:21" x14ac:dyDescent="0.25">
      <c r="A228" s="106">
        <v>226</v>
      </c>
      <c r="B228" s="103">
        <f t="shared" si="4"/>
        <v>45425</v>
      </c>
      <c r="C228" s="109">
        <v>2024</v>
      </c>
      <c r="D228" s="110">
        <f>YEAR(GC[[#This Row],[Date]])</f>
        <v>2024</v>
      </c>
      <c r="E228" s="101" t="s">
        <v>73</v>
      </c>
      <c r="F228" s="101" t="s">
        <v>73</v>
      </c>
      <c r="G228" s="102" t="str">
        <f>TEXT(GC[[#This Row],[Date]],"mmm-yy")</f>
        <v>May-24</v>
      </c>
      <c r="H228" s="102">
        <f>DAY(EOMONTH(GC[[#This Row],[Month Year]],0))</f>
        <v>31</v>
      </c>
      <c r="I228" s="106"/>
      <c r="J228" s="116"/>
      <c r="K228" s="106"/>
      <c r="L228" s="106"/>
      <c r="M228" s="106"/>
      <c r="N228" s="106"/>
      <c r="O228" s="106"/>
      <c r="P228" s="106"/>
      <c r="Q228" s="106"/>
      <c r="R228" s="106"/>
      <c r="S228" s="1">
        <f>SUM(GC[[#This Row],[Blk1]:[Blk8]])</f>
        <v>0</v>
      </c>
      <c r="T228" s="116" t="str">
        <f>PROPER(GC[[#This Row],[Resources]])</f>
        <v/>
      </c>
      <c r="U228" s="106"/>
    </row>
    <row r="229" spans="1:21" x14ac:dyDescent="0.25">
      <c r="A229" s="106">
        <v>227</v>
      </c>
      <c r="B229" s="103">
        <f t="shared" si="4"/>
        <v>45426</v>
      </c>
      <c r="C229" s="109">
        <v>2024</v>
      </c>
      <c r="D229" s="110">
        <f>YEAR(GC[[#This Row],[Date]])</f>
        <v>2024</v>
      </c>
      <c r="E229" s="101" t="s">
        <v>73</v>
      </c>
      <c r="F229" s="101" t="s">
        <v>73</v>
      </c>
      <c r="G229" s="102" t="str">
        <f>TEXT(GC[[#This Row],[Date]],"mmm-yy")</f>
        <v>May-24</v>
      </c>
      <c r="H229" s="102">
        <f>DAY(EOMONTH(GC[[#This Row],[Month Year]],0))</f>
        <v>31</v>
      </c>
      <c r="I229" s="106"/>
      <c r="J229" s="116"/>
      <c r="K229" s="106"/>
      <c r="L229" s="106"/>
      <c r="M229" s="106"/>
      <c r="N229" s="106"/>
      <c r="O229" s="106"/>
      <c r="P229" s="106"/>
      <c r="Q229" s="106"/>
      <c r="R229" s="106"/>
      <c r="S229" s="1">
        <f>SUM(GC[[#This Row],[Blk1]:[Blk8]])</f>
        <v>0</v>
      </c>
      <c r="T229" s="116" t="str">
        <f>PROPER(GC[[#This Row],[Resources]])</f>
        <v/>
      </c>
      <c r="U229" s="106"/>
    </row>
    <row r="230" spans="1:21" x14ac:dyDescent="0.25">
      <c r="A230" s="106">
        <v>228</v>
      </c>
      <c r="B230" s="103">
        <f t="shared" si="4"/>
        <v>45427</v>
      </c>
      <c r="C230" s="109">
        <v>2024</v>
      </c>
      <c r="D230" s="110">
        <f>YEAR(GC[[#This Row],[Date]])</f>
        <v>2024</v>
      </c>
      <c r="E230" s="101" t="s">
        <v>73</v>
      </c>
      <c r="F230" s="101" t="s">
        <v>73</v>
      </c>
      <c r="G230" s="102" t="str">
        <f>TEXT(GC[[#This Row],[Date]],"mmm-yy")</f>
        <v>May-24</v>
      </c>
      <c r="H230" s="102">
        <f>DAY(EOMONTH(GC[[#This Row],[Month Year]],0))</f>
        <v>31</v>
      </c>
      <c r="I230" s="106"/>
      <c r="J230" s="116"/>
      <c r="K230" s="106"/>
      <c r="L230" s="106"/>
      <c r="M230" s="106"/>
      <c r="N230" s="106"/>
      <c r="O230" s="106"/>
      <c r="P230" s="106"/>
      <c r="Q230" s="106"/>
      <c r="R230" s="106"/>
      <c r="S230" s="1">
        <f>SUM(GC[[#This Row],[Blk1]:[Blk8]])</f>
        <v>0</v>
      </c>
      <c r="T230" s="116" t="str">
        <f>PROPER(GC[[#This Row],[Resources]])</f>
        <v/>
      </c>
      <c r="U230" s="106"/>
    </row>
    <row r="231" spans="1:21" x14ac:dyDescent="0.25">
      <c r="A231" s="106">
        <v>229</v>
      </c>
      <c r="B231" s="103">
        <f t="shared" si="4"/>
        <v>45428</v>
      </c>
      <c r="C231" s="109">
        <v>2024</v>
      </c>
      <c r="D231" s="110">
        <f>YEAR(GC[[#This Row],[Date]])</f>
        <v>2024</v>
      </c>
      <c r="E231" s="101" t="s">
        <v>73</v>
      </c>
      <c r="F231" s="101" t="s">
        <v>73</v>
      </c>
      <c r="G231" s="102" t="str">
        <f>TEXT(GC[[#This Row],[Date]],"mmm-yy")</f>
        <v>May-24</v>
      </c>
      <c r="H231" s="102">
        <f>DAY(EOMONTH(GC[[#This Row],[Month Year]],0))</f>
        <v>31</v>
      </c>
      <c r="I231" s="106"/>
      <c r="J231" s="116"/>
      <c r="K231" s="106"/>
      <c r="L231" s="106"/>
      <c r="M231" s="106"/>
      <c r="N231" s="106"/>
      <c r="O231" s="106"/>
      <c r="P231" s="106"/>
      <c r="Q231" s="106"/>
      <c r="R231" s="106"/>
      <c r="S231" s="1">
        <f>SUM(GC[[#This Row],[Blk1]:[Blk8]])</f>
        <v>0</v>
      </c>
      <c r="T231" s="116" t="str">
        <f>PROPER(GC[[#This Row],[Resources]])</f>
        <v/>
      </c>
      <c r="U231" s="106"/>
    </row>
    <row r="232" spans="1:21" x14ac:dyDescent="0.25">
      <c r="A232" s="106">
        <v>230</v>
      </c>
      <c r="B232" s="103">
        <f t="shared" si="4"/>
        <v>45429</v>
      </c>
      <c r="C232" s="109">
        <v>2024</v>
      </c>
      <c r="D232" s="110">
        <f>YEAR(GC[[#This Row],[Date]])</f>
        <v>2024</v>
      </c>
      <c r="E232" s="101" t="s">
        <v>73</v>
      </c>
      <c r="F232" s="101" t="s">
        <v>73</v>
      </c>
      <c r="G232" s="102" t="str">
        <f>TEXT(GC[[#This Row],[Date]],"mmm-yy")</f>
        <v>May-24</v>
      </c>
      <c r="H232" s="102">
        <f>DAY(EOMONTH(GC[[#This Row],[Month Year]],0))</f>
        <v>31</v>
      </c>
      <c r="I232" s="106"/>
      <c r="J232" s="116"/>
      <c r="K232" s="106"/>
      <c r="L232" s="106"/>
      <c r="M232" s="106"/>
      <c r="N232" s="106"/>
      <c r="O232" s="106"/>
      <c r="P232" s="106"/>
      <c r="Q232" s="106"/>
      <c r="R232" s="106"/>
      <c r="S232" s="1">
        <v>130</v>
      </c>
      <c r="T232" s="116" t="str">
        <f>PROPER(GC[[#This Row],[Resources]])</f>
        <v/>
      </c>
      <c r="U232" s="106"/>
    </row>
    <row r="233" spans="1:21" x14ac:dyDescent="0.25">
      <c r="A233" s="106">
        <v>231</v>
      </c>
      <c r="B233" s="103">
        <f t="shared" si="4"/>
        <v>45430</v>
      </c>
      <c r="C233" s="109">
        <v>2024</v>
      </c>
      <c r="D233" s="110">
        <f>YEAR(GC[[#This Row],[Date]])</f>
        <v>2024</v>
      </c>
      <c r="E233" s="101" t="s">
        <v>73</v>
      </c>
      <c r="F233" s="101" t="s">
        <v>73</v>
      </c>
      <c r="G233" s="102" t="str">
        <f>TEXT(GC[[#This Row],[Date]],"mmm-yy")</f>
        <v>May-24</v>
      </c>
      <c r="H233" s="102">
        <f>DAY(EOMONTH(GC[[#This Row],[Month Year]],0))</f>
        <v>31</v>
      </c>
      <c r="I233" s="106"/>
      <c r="J233" s="116"/>
      <c r="K233" s="106"/>
      <c r="L233" s="106"/>
      <c r="M233" s="106"/>
      <c r="N233" s="106"/>
      <c r="O233" s="106"/>
      <c r="P233" s="106"/>
      <c r="Q233" s="106"/>
      <c r="R233" s="106"/>
      <c r="S233" s="1">
        <f>SUM(GC[[#This Row],[Blk1]:[Blk8]])</f>
        <v>0</v>
      </c>
      <c r="T233" s="116" t="str">
        <f>PROPER(GC[[#This Row],[Resources]])</f>
        <v/>
      </c>
      <c r="U233" s="106"/>
    </row>
    <row r="234" spans="1:21" x14ac:dyDescent="0.25">
      <c r="A234" s="106">
        <v>232</v>
      </c>
      <c r="B234" s="103">
        <f t="shared" si="4"/>
        <v>45431</v>
      </c>
      <c r="C234" s="109">
        <v>2024</v>
      </c>
      <c r="D234" s="110">
        <f>YEAR(GC[[#This Row],[Date]])</f>
        <v>2024</v>
      </c>
      <c r="E234" s="101" t="s">
        <v>73</v>
      </c>
      <c r="F234" s="101" t="s">
        <v>73</v>
      </c>
      <c r="G234" s="102" t="str">
        <f>TEXT(GC[[#This Row],[Date]],"mmm-yy")</f>
        <v>May-24</v>
      </c>
      <c r="H234" s="102">
        <f>DAY(EOMONTH(GC[[#This Row],[Month Year]],0))</f>
        <v>31</v>
      </c>
      <c r="I234" s="106"/>
      <c r="J234" s="116"/>
      <c r="K234" s="106"/>
      <c r="L234" s="106"/>
      <c r="M234" s="106"/>
      <c r="N234" s="106"/>
      <c r="O234" s="106"/>
      <c r="P234" s="106"/>
      <c r="Q234" s="106"/>
      <c r="R234" s="106"/>
      <c r="S234" s="1">
        <f>SUM(GC[[#This Row],[Blk1]:[Blk8]])</f>
        <v>0</v>
      </c>
      <c r="T234" s="116" t="str">
        <f>PROPER(GC[[#This Row],[Resources]])</f>
        <v/>
      </c>
      <c r="U234" s="106"/>
    </row>
    <row r="235" spans="1:21" x14ac:dyDescent="0.25">
      <c r="A235" s="106">
        <v>233</v>
      </c>
      <c r="B235" s="103">
        <f t="shared" si="4"/>
        <v>45432</v>
      </c>
      <c r="C235" s="109">
        <v>2024</v>
      </c>
      <c r="D235" s="110">
        <f>YEAR(GC[[#This Row],[Date]])</f>
        <v>2024</v>
      </c>
      <c r="E235" s="101" t="s">
        <v>73</v>
      </c>
      <c r="F235" s="101" t="s">
        <v>73</v>
      </c>
      <c r="G235" s="102" t="str">
        <f>TEXT(GC[[#This Row],[Date]],"mmm-yy")</f>
        <v>May-24</v>
      </c>
      <c r="H235" s="102">
        <f>DAY(EOMONTH(GC[[#This Row],[Month Year]],0))</f>
        <v>31</v>
      </c>
      <c r="I235" s="106"/>
      <c r="J235" s="116"/>
      <c r="K235" s="106"/>
      <c r="L235" s="106"/>
      <c r="M235" s="106"/>
      <c r="N235" s="106"/>
      <c r="O235" s="106"/>
      <c r="P235" s="106"/>
      <c r="Q235" s="106"/>
      <c r="R235" s="106"/>
      <c r="S235" s="1">
        <f>SUM(GC[[#This Row],[Blk1]:[Blk8]])</f>
        <v>0</v>
      </c>
      <c r="T235" s="116" t="str">
        <f>PROPER(GC[[#This Row],[Resources]])</f>
        <v/>
      </c>
      <c r="U235" s="106"/>
    </row>
    <row r="236" spans="1:21" x14ac:dyDescent="0.25">
      <c r="A236" s="106">
        <v>234</v>
      </c>
      <c r="B236" s="103">
        <f t="shared" si="4"/>
        <v>45433</v>
      </c>
      <c r="C236" s="109">
        <v>2024</v>
      </c>
      <c r="D236" s="110">
        <f>YEAR(GC[[#This Row],[Date]])</f>
        <v>2024</v>
      </c>
      <c r="E236" s="101" t="s">
        <v>73</v>
      </c>
      <c r="F236" s="101" t="s">
        <v>73</v>
      </c>
      <c r="G236" s="102" t="str">
        <f>TEXT(GC[[#This Row],[Date]],"mmm-yy")</f>
        <v>May-24</v>
      </c>
      <c r="H236" s="102">
        <f>DAY(EOMONTH(GC[[#This Row],[Month Year]],0))</f>
        <v>31</v>
      </c>
      <c r="I236" s="106"/>
      <c r="J236" s="116"/>
      <c r="K236" s="106"/>
      <c r="L236" s="106"/>
      <c r="M236" s="106"/>
      <c r="N236" s="106"/>
      <c r="O236" s="106"/>
      <c r="P236" s="106"/>
      <c r="Q236" s="106"/>
      <c r="R236" s="106"/>
      <c r="S236" s="1">
        <f>SUM(GC[[#This Row],[Blk1]:[Blk8]])</f>
        <v>0</v>
      </c>
      <c r="T236" s="116" t="str">
        <f>PROPER(GC[[#This Row],[Resources]])</f>
        <v/>
      </c>
      <c r="U236" s="106"/>
    </row>
    <row r="237" spans="1:21" x14ac:dyDescent="0.25">
      <c r="A237" s="106">
        <v>235</v>
      </c>
      <c r="B237" s="103">
        <f t="shared" si="4"/>
        <v>45434</v>
      </c>
      <c r="C237" s="109">
        <v>2024</v>
      </c>
      <c r="D237" s="110">
        <f>YEAR(GC[[#This Row],[Date]])</f>
        <v>2024</v>
      </c>
      <c r="E237" s="101" t="s">
        <v>73</v>
      </c>
      <c r="F237" s="101" t="s">
        <v>73</v>
      </c>
      <c r="G237" s="102" t="str">
        <f>TEXT(GC[[#This Row],[Date]],"mmm-yy")</f>
        <v>May-24</v>
      </c>
      <c r="H237" s="102">
        <f>DAY(EOMONTH(GC[[#This Row],[Month Year]],0))</f>
        <v>31</v>
      </c>
      <c r="I237" s="106"/>
      <c r="J237" s="116"/>
      <c r="K237" s="106"/>
      <c r="L237" s="106"/>
      <c r="M237" s="106"/>
      <c r="N237" s="106"/>
      <c r="O237" s="106"/>
      <c r="P237" s="106"/>
      <c r="Q237" s="106"/>
      <c r="R237" s="106"/>
      <c r="S237" s="1">
        <f>SUM(GC[[#This Row],[Blk1]:[Blk8]])</f>
        <v>0</v>
      </c>
      <c r="T237" s="116" t="str">
        <f>PROPER(GC[[#This Row],[Resources]])</f>
        <v/>
      </c>
      <c r="U237" s="106"/>
    </row>
    <row r="238" spans="1:21" x14ac:dyDescent="0.25">
      <c r="A238" s="106">
        <v>236</v>
      </c>
      <c r="B238" s="103">
        <f t="shared" si="4"/>
        <v>45435</v>
      </c>
      <c r="C238" s="109">
        <v>2024</v>
      </c>
      <c r="D238" s="110">
        <f>YEAR(GC[[#This Row],[Date]])</f>
        <v>2024</v>
      </c>
      <c r="E238" s="101" t="s">
        <v>73</v>
      </c>
      <c r="F238" s="101" t="s">
        <v>73</v>
      </c>
      <c r="G238" s="102" t="str">
        <f>TEXT(GC[[#This Row],[Date]],"mmm-yy")</f>
        <v>May-24</v>
      </c>
      <c r="H238" s="102">
        <f>DAY(EOMONTH(GC[[#This Row],[Month Year]],0))</f>
        <v>31</v>
      </c>
      <c r="I238" s="106"/>
      <c r="J238" s="116"/>
      <c r="K238" s="106"/>
      <c r="L238" s="106"/>
      <c r="M238" s="106"/>
      <c r="N238" s="106"/>
      <c r="O238" s="106"/>
      <c r="P238" s="106"/>
      <c r="Q238" s="106"/>
      <c r="R238" s="106"/>
      <c r="S238" s="1">
        <f>SUM(GC[[#This Row],[Blk1]:[Blk8]])</f>
        <v>0</v>
      </c>
      <c r="T238" s="116" t="str">
        <f>PROPER(GC[[#This Row],[Resources]])</f>
        <v/>
      </c>
      <c r="U238" s="106"/>
    </row>
    <row r="239" spans="1:21" x14ac:dyDescent="0.25">
      <c r="A239" s="106">
        <v>237</v>
      </c>
      <c r="B239" s="103">
        <f t="shared" si="4"/>
        <v>45436</v>
      </c>
      <c r="C239" s="109">
        <v>2024</v>
      </c>
      <c r="D239" s="110">
        <f>YEAR(GC[[#This Row],[Date]])</f>
        <v>2024</v>
      </c>
      <c r="E239" s="101" t="s">
        <v>73</v>
      </c>
      <c r="F239" s="101" t="s">
        <v>73</v>
      </c>
      <c r="G239" s="102" t="str">
        <f>TEXT(GC[[#This Row],[Date]],"mmm-yy")</f>
        <v>May-24</v>
      </c>
      <c r="H239" s="102">
        <f>DAY(EOMONTH(GC[[#This Row],[Month Year]],0))</f>
        <v>31</v>
      </c>
      <c r="I239" s="106"/>
      <c r="J239" s="116"/>
      <c r="K239" s="106"/>
      <c r="L239" s="106"/>
      <c r="M239" s="106"/>
      <c r="N239" s="106"/>
      <c r="O239" s="106"/>
      <c r="P239" s="106"/>
      <c r="Q239" s="106"/>
      <c r="R239" s="106"/>
      <c r="S239" s="1">
        <f>SUM(GC[[#This Row],[Blk1]:[Blk8]])</f>
        <v>0</v>
      </c>
      <c r="T239" s="116" t="str">
        <f>PROPER(GC[[#This Row],[Resources]])</f>
        <v/>
      </c>
      <c r="U239" s="106"/>
    </row>
    <row r="240" spans="1:21" x14ac:dyDescent="0.25">
      <c r="A240" s="106">
        <v>238</v>
      </c>
      <c r="B240" s="103">
        <f t="shared" si="4"/>
        <v>45437</v>
      </c>
      <c r="C240" s="109">
        <v>2024</v>
      </c>
      <c r="D240" s="110">
        <f>YEAR(GC[[#This Row],[Date]])</f>
        <v>2024</v>
      </c>
      <c r="E240" s="101" t="s">
        <v>73</v>
      </c>
      <c r="F240" s="101" t="s">
        <v>73</v>
      </c>
      <c r="G240" s="102" t="str">
        <f>TEXT(GC[[#This Row],[Date]],"mmm-yy")</f>
        <v>May-24</v>
      </c>
      <c r="H240" s="102">
        <f>DAY(EOMONTH(GC[[#This Row],[Month Year]],0))</f>
        <v>31</v>
      </c>
      <c r="I240" s="106"/>
      <c r="J240" s="116"/>
      <c r="K240" s="106"/>
      <c r="L240" s="106"/>
      <c r="M240" s="106"/>
      <c r="N240" s="106"/>
      <c r="O240" s="106"/>
      <c r="P240" s="106"/>
      <c r="Q240" s="106"/>
      <c r="R240" s="106"/>
      <c r="S240" s="1">
        <f>SUM(GC[[#This Row],[Blk1]:[Blk8]])</f>
        <v>0</v>
      </c>
      <c r="T240" s="116" t="str">
        <f>PROPER(GC[[#This Row],[Resources]])</f>
        <v/>
      </c>
      <c r="U240" s="106"/>
    </row>
    <row r="241" spans="1:21" x14ac:dyDescent="0.25">
      <c r="A241" s="106">
        <v>239</v>
      </c>
      <c r="B241" s="103">
        <f t="shared" si="4"/>
        <v>45438</v>
      </c>
      <c r="C241" s="109">
        <v>2024</v>
      </c>
      <c r="D241" s="110">
        <f>YEAR(GC[[#This Row],[Date]])</f>
        <v>2024</v>
      </c>
      <c r="E241" s="101" t="s">
        <v>73</v>
      </c>
      <c r="F241" s="101" t="s">
        <v>73</v>
      </c>
      <c r="G241" s="102" t="str">
        <f>TEXT(GC[[#This Row],[Date]],"mmm-yy")</f>
        <v>May-24</v>
      </c>
      <c r="H241" s="102">
        <f>DAY(EOMONTH(GC[[#This Row],[Month Year]],0))</f>
        <v>31</v>
      </c>
      <c r="I241" s="106"/>
      <c r="J241" s="116"/>
      <c r="K241" s="106"/>
      <c r="L241" s="106"/>
      <c r="M241" s="106"/>
      <c r="N241" s="106"/>
      <c r="O241" s="106"/>
      <c r="P241" s="106"/>
      <c r="Q241" s="106"/>
      <c r="R241" s="106"/>
      <c r="S241" s="1">
        <f>SUM(GC[[#This Row],[Blk1]:[Blk8]])</f>
        <v>0</v>
      </c>
      <c r="T241" s="116" t="str">
        <f>PROPER(GC[[#This Row],[Resources]])</f>
        <v/>
      </c>
      <c r="U241" s="106"/>
    </row>
    <row r="242" spans="1:21" x14ac:dyDescent="0.25">
      <c r="A242" s="106">
        <v>240</v>
      </c>
      <c r="B242" s="103">
        <f t="shared" si="4"/>
        <v>45439</v>
      </c>
      <c r="C242" s="109">
        <v>2024</v>
      </c>
      <c r="D242" s="110">
        <f>YEAR(GC[[#This Row],[Date]])</f>
        <v>2024</v>
      </c>
      <c r="E242" s="101" t="s">
        <v>73</v>
      </c>
      <c r="F242" s="101" t="s">
        <v>73</v>
      </c>
      <c r="G242" s="102" t="str">
        <f>TEXT(GC[[#This Row],[Date]],"mmm-yy")</f>
        <v>May-24</v>
      </c>
      <c r="H242" s="102">
        <f>DAY(EOMONTH(GC[[#This Row],[Month Year]],0))</f>
        <v>31</v>
      </c>
      <c r="I242" s="106"/>
      <c r="J242" s="116"/>
      <c r="K242" s="106"/>
      <c r="L242" s="106"/>
      <c r="M242" s="106"/>
      <c r="N242" s="106"/>
      <c r="O242" s="106"/>
      <c r="P242" s="106"/>
      <c r="Q242" s="106"/>
      <c r="R242" s="106"/>
      <c r="S242" s="1">
        <f>SUM(GC[[#This Row],[Blk1]:[Blk8]])</f>
        <v>0</v>
      </c>
      <c r="T242" s="116" t="str">
        <f>PROPER(GC[[#This Row],[Resources]])</f>
        <v/>
      </c>
      <c r="U242" s="106"/>
    </row>
    <row r="243" spans="1:21" x14ac:dyDescent="0.25">
      <c r="A243" s="106">
        <v>241</v>
      </c>
      <c r="B243" s="103">
        <f t="shared" si="4"/>
        <v>45440</v>
      </c>
      <c r="C243" s="109">
        <v>2024</v>
      </c>
      <c r="D243" s="110">
        <f>YEAR(GC[[#This Row],[Date]])</f>
        <v>2024</v>
      </c>
      <c r="E243" s="101" t="s">
        <v>73</v>
      </c>
      <c r="F243" s="101" t="s">
        <v>73</v>
      </c>
      <c r="G243" s="102" t="str">
        <f>TEXT(GC[[#This Row],[Date]],"mmm-yy")</f>
        <v>May-24</v>
      </c>
      <c r="H243" s="102">
        <f>DAY(EOMONTH(GC[[#This Row],[Month Year]],0))</f>
        <v>31</v>
      </c>
      <c r="I243" s="106"/>
      <c r="J243" s="116"/>
      <c r="K243" s="106"/>
      <c r="L243" s="106"/>
      <c r="M243" s="106"/>
      <c r="N243" s="106"/>
      <c r="O243" s="106"/>
      <c r="P243" s="106"/>
      <c r="Q243" s="106"/>
      <c r="R243" s="106"/>
      <c r="S243" s="1">
        <f>SUM(GC[[#This Row],[Blk1]:[Blk8]])</f>
        <v>0</v>
      </c>
      <c r="T243" s="106" t="str">
        <f>PROPER(GC[[#This Row],[Resources]])</f>
        <v/>
      </c>
      <c r="U243" s="106"/>
    </row>
    <row r="244" spans="1:21" x14ac:dyDescent="0.25">
      <c r="A244" s="106">
        <v>242</v>
      </c>
      <c r="B244" s="103">
        <f t="shared" si="4"/>
        <v>45441</v>
      </c>
      <c r="C244" s="109">
        <v>2024</v>
      </c>
      <c r="D244" s="110">
        <f>YEAR(GC[[#This Row],[Date]])</f>
        <v>2024</v>
      </c>
      <c r="E244" s="101" t="s">
        <v>73</v>
      </c>
      <c r="F244" s="101" t="s">
        <v>73</v>
      </c>
      <c r="G244" s="102" t="str">
        <f>TEXT(GC[[#This Row],[Date]],"mmm-yy")</f>
        <v>May-24</v>
      </c>
      <c r="H244" s="102">
        <f>DAY(EOMONTH(GC[[#This Row],[Month Year]],0))</f>
        <v>31</v>
      </c>
      <c r="I244" s="106"/>
      <c r="J244" s="116"/>
      <c r="K244" s="106"/>
      <c r="L244" s="106"/>
      <c r="M244" s="106"/>
      <c r="N244" s="106"/>
      <c r="O244" s="106"/>
      <c r="P244" s="106"/>
      <c r="Q244" s="106"/>
      <c r="R244" s="106"/>
      <c r="S244" s="1">
        <f>SUM(GC[[#This Row],[Blk1]:[Blk8]])</f>
        <v>0</v>
      </c>
      <c r="T244" s="106" t="str">
        <f>PROPER(GC[[#This Row],[Resources]])</f>
        <v/>
      </c>
      <c r="U244" s="106"/>
    </row>
    <row r="245" spans="1:21" x14ac:dyDescent="0.25">
      <c r="A245" s="106">
        <v>243</v>
      </c>
      <c r="B245" s="103">
        <f t="shared" si="4"/>
        <v>45442</v>
      </c>
      <c r="C245" s="109">
        <v>2024</v>
      </c>
      <c r="D245" s="110">
        <f>YEAR(GC[[#This Row],[Date]])</f>
        <v>2024</v>
      </c>
      <c r="E245" s="101" t="s">
        <v>73</v>
      </c>
      <c r="F245" s="101" t="s">
        <v>73</v>
      </c>
      <c r="G245" s="102" t="str">
        <f>TEXT(GC[[#This Row],[Date]],"mmm-yy")</f>
        <v>May-24</v>
      </c>
      <c r="H245" s="102">
        <f>DAY(EOMONTH(GC[[#This Row],[Month Year]],0))</f>
        <v>31</v>
      </c>
      <c r="I245" s="106"/>
      <c r="J245" s="116"/>
      <c r="K245" s="106"/>
      <c r="L245" s="106"/>
      <c r="M245" s="106"/>
      <c r="N245" s="106"/>
      <c r="O245" s="106"/>
      <c r="P245" s="106"/>
      <c r="Q245" s="106"/>
      <c r="R245" s="106"/>
      <c r="S245" s="1">
        <f>SUM(GC[[#This Row],[Blk1]:[Blk8]])</f>
        <v>0</v>
      </c>
      <c r="T245" s="106" t="str">
        <f>PROPER(GC[[#This Row],[Resources]])</f>
        <v/>
      </c>
      <c r="U245" s="106"/>
    </row>
    <row r="246" spans="1:21" x14ac:dyDescent="0.25">
      <c r="A246" s="106">
        <v>244</v>
      </c>
      <c r="B246" s="103">
        <f t="shared" si="4"/>
        <v>45443</v>
      </c>
      <c r="C246" s="109">
        <v>2024</v>
      </c>
      <c r="D246" s="110">
        <f>YEAR(GC[[#This Row],[Date]])</f>
        <v>2024</v>
      </c>
      <c r="E246" s="101" t="s">
        <v>73</v>
      </c>
      <c r="F246" s="101" t="s">
        <v>73</v>
      </c>
      <c r="G246" s="102" t="str">
        <f>TEXT(GC[[#This Row],[Date]],"mmm-yy")</f>
        <v>May-24</v>
      </c>
      <c r="H246" s="102">
        <f>DAY(EOMONTH(GC[[#This Row],[Month Year]],0))</f>
        <v>31</v>
      </c>
      <c r="I246" s="106"/>
      <c r="J246" s="116"/>
      <c r="K246" s="106"/>
      <c r="L246" s="106"/>
      <c r="M246" s="106"/>
      <c r="N246" s="106"/>
      <c r="O246" s="106"/>
      <c r="P246" s="106"/>
      <c r="Q246" s="106"/>
      <c r="R246" s="106"/>
      <c r="S246" s="1">
        <f>SUM(GC[[#This Row],[Blk1]:[Blk8]])</f>
        <v>0</v>
      </c>
      <c r="T246" s="106" t="str">
        <f>PROPER(GC[[#This Row],[Resources]])</f>
        <v/>
      </c>
      <c r="U246" s="106"/>
    </row>
    <row r="247" spans="1:21" x14ac:dyDescent="0.25">
      <c r="A247" s="106">
        <v>245</v>
      </c>
      <c r="B247" s="103">
        <f t="shared" si="4"/>
        <v>45444</v>
      </c>
      <c r="C247" s="109">
        <v>2024</v>
      </c>
      <c r="D247" s="110">
        <f>YEAR(GC[[#This Row],[Date]])</f>
        <v>2024</v>
      </c>
      <c r="E247" s="101" t="s">
        <v>73</v>
      </c>
      <c r="F247" s="101" t="s">
        <v>73</v>
      </c>
      <c r="G247" s="102" t="str">
        <f>TEXT(GC[[#This Row],[Date]],"mmm-yy")</f>
        <v>Jun-24</v>
      </c>
      <c r="H247" s="102">
        <f>DAY(EOMONTH(GC[[#This Row],[Month Year]],0))</f>
        <v>30</v>
      </c>
      <c r="I247" s="106"/>
      <c r="J247" s="116"/>
      <c r="K247" s="106"/>
      <c r="L247" s="106"/>
      <c r="M247" s="106"/>
      <c r="N247" s="106"/>
      <c r="O247" s="106"/>
      <c r="P247" s="106"/>
      <c r="Q247" s="106"/>
      <c r="R247" s="106"/>
      <c r="S247" s="1">
        <f>SUM(GC[[#This Row],[Blk1]:[Blk8]])</f>
        <v>0</v>
      </c>
      <c r="T247" s="106" t="str">
        <f>PROPER(GC[[#This Row],[Resources]])</f>
        <v/>
      </c>
      <c r="U247" s="106"/>
    </row>
    <row r="248" spans="1:21" x14ac:dyDescent="0.25">
      <c r="A248" s="106">
        <v>246</v>
      </c>
      <c r="B248" s="103">
        <f t="shared" si="4"/>
        <v>45445</v>
      </c>
      <c r="C248" s="109">
        <v>2024</v>
      </c>
      <c r="D248" s="110">
        <f>YEAR(GC[[#This Row],[Date]])</f>
        <v>2024</v>
      </c>
      <c r="E248" s="101" t="s">
        <v>73</v>
      </c>
      <c r="F248" s="101" t="s">
        <v>73</v>
      </c>
      <c r="G248" s="102" t="str">
        <f>TEXT(GC[[#This Row],[Date]],"mmm-yy")</f>
        <v>Jun-24</v>
      </c>
      <c r="H248" s="102">
        <f>DAY(EOMONTH(GC[[#This Row],[Month Year]],0))</f>
        <v>30</v>
      </c>
      <c r="I248" s="106"/>
      <c r="J248" s="116"/>
      <c r="K248" s="101"/>
      <c r="L248" s="106"/>
      <c r="M248" s="106"/>
      <c r="N248" s="106"/>
      <c r="O248" s="106"/>
      <c r="P248" s="106"/>
      <c r="Q248" s="106"/>
      <c r="R248" s="106"/>
      <c r="S248" s="1">
        <f>SUM(GC[[#This Row],[Blk1]:[Blk8]])</f>
        <v>0</v>
      </c>
      <c r="T248" s="106" t="str">
        <f>PROPER(GC[[#This Row],[Resources]])</f>
        <v/>
      </c>
      <c r="U248" s="106"/>
    </row>
    <row r="249" spans="1:21" x14ac:dyDescent="0.25">
      <c r="A249" s="122">
        <v>247</v>
      </c>
      <c r="B249" s="103">
        <f t="shared" si="4"/>
        <v>45446</v>
      </c>
      <c r="C249" s="109">
        <v>2024</v>
      </c>
      <c r="D249" s="110">
        <f>YEAR(GC[[#This Row],[Date]])</f>
        <v>2024</v>
      </c>
      <c r="E249" s="101" t="s">
        <v>73</v>
      </c>
      <c r="F249" s="101" t="s">
        <v>73</v>
      </c>
      <c r="G249" s="102" t="str">
        <f>TEXT(GC[[#This Row],[Date]],"mmm-yy")</f>
        <v>Jun-24</v>
      </c>
      <c r="H249" s="102">
        <f>DAY(EOMONTH(GC[[#This Row],[Month Year]],0))</f>
        <v>30</v>
      </c>
      <c r="I249" s="106"/>
      <c r="J249" s="116"/>
      <c r="K249" s="122"/>
      <c r="L249" s="122"/>
      <c r="M249" s="122"/>
      <c r="N249" s="122"/>
      <c r="O249" s="122"/>
      <c r="P249" s="122"/>
      <c r="Q249" s="122"/>
      <c r="R249" s="122"/>
      <c r="S249" s="1">
        <f>SUM(GC[[#This Row],[Blk1]:[Blk8]])</f>
        <v>0</v>
      </c>
      <c r="T249" s="122" t="str">
        <f>PROPER(GC[[#This Row],[Resources]])</f>
        <v/>
      </c>
      <c r="U249" s="122"/>
    </row>
    <row r="250" spans="1:21" x14ac:dyDescent="0.25">
      <c r="A250" s="122">
        <v>248</v>
      </c>
      <c r="B250" s="103">
        <f t="shared" si="4"/>
        <v>45447</v>
      </c>
      <c r="C250" s="109">
        <v>2024</v>
      </c>
      <c r="D250" s="110">
        <f>YEAR(GC[[#This Row],[Date]])</f>
        <v>2024</v>
      </c>
      <c r="E250" s="101" t="s">
        <v>73</v>
      </c>
      <c r="F250" s="101" t="s">
        <v>73</v>
      </c>
      <c r="G250" s="102" t="str">
        <f>TEXT(GC[[#This Row],[Date]],"mmm-yy")</f>
        <v>Jun-24</v>
      </c>
      <c r="H250" s="102">
        <f>DAY(EOMONTH(GC[[#This Row],[Month Year]],0))</f>
        <v>30</v>
      </c>
      <c r="I250" s="106"/>
      <c r="J250" s="116"/>
      <c r="K250" s="106"/>
      <c r="L250" s="106"/>
      <c r="M250" s="106"/>
      <c r="N250" s="106"/>
      <c r="O250" s="106"/>
      <c r="P250" s="106"/>
      <c r="Q250" s="106"/>
      <c r="R250" s="106"/>
      <c r="S250" s="1">
        <f>SUM(GC[[#This Row],[Blk1]:[Blk8]])</f>
        <v>0</v>
      </c>
      <c r="T250" s="106" t="str">
        <f>PROPER(GC[[#This Row],[Resources]])</f>
        <v/>
      </c>
      <c r="U250" s="106"/>
    </row>
    <row r="251" spans="1:21" x14ac:dyDescent="0.25">
      <c r="A251" s="122">
        <v>249</v>
      </c>
      <c r="B251" s="103">
        <f t="shared" si="4"/>
        <v>45448</v>
      </c>
      <c r="C251" s="109">
        <v>2024</v>
      </c>
      <c r="D251" s="110">
        <f>YEAR(GC[[#This Row],[Date]])</f>
        <v>2024</v>
      </c>
      <c r="E251" s="101" t="s">
        <v>73</v>
      </c>
      <c r="F251" s="101" t="s">
        <v>73</v>
      </c>
      <c r="G251" s="102" t="str">
        <f>TEXT(GC[[#This Row],[Date]],"mmm-yy")</f>
        <v>Jun-24</v>
      </c>
      <c r="H251" s="102">
        <f>DAY(EOMONTH(GC[[#This Row],[Month Year]],0))</f>
        <v>30</v>
      </c>
      <c r="I251" s="106"/>
      <c r="J251" s="116"/>
      <c r="K251" s="106"/>
      <c r="L251" s="106"/>
      <c r="M251" s="106"/>
      <c r="N251" s="106"/>
      <c r="O251" s="106"/>
      <c r="P251" s="106"/>
      <c r="Q251" s="106"/>
      <c r="R251" s="106"/>
      <c r="S251" s="1">
        <f>SUM(GC[[#This Row],[Blk1]:[Blk8]])</f>
        <v>0</v>
      </c>
      <c r="T251" s="106" t="str">
        <f>PROPER(GC[[#This Row],[Resources]])</f>
        <v/>
      </c>
      <c r="U251" s="106"/>
    </row>
    <row r="252" spans="1:21" x14ac:dyDescent="0.25">
      <c r="A252" s="122">
        <v>250</v>
      </c>
      <c r="B252" s="103">
        <f t="shared" si="4"/>
        <v>45449</v>
      </c>
      <c r="C252" s="109">
        <v>2024</v>
      </c>
      <c r="D252" s="110">
        <f>YEAR(GC[[#This Row],[Date]])</f>
        <v>2024</v>
      </c>
      <c r="E252" s="101" t="s">
        <v>73</v>
      </c>
      <c r="F252" s="101" t="s">
        <v>73</v>
      </c>
      <c r="G252" s="102" t="str">
        <f>TEXT(GC[[#This Row],[Date]],"mmm-yy")</f>
        <v>Jun-24</v>
      </c>
      <c r="H252" s="102">
        <f>DAY(EOMONTH(GC[[#This Row],[Month Year]],0))</f>
        <v>30</v>
      </c>
      <c r="I252" s="106"/>
      <c r="J252" s="116"/>
      <c r="K252" s="106"/>
      <c r="L252" s="106"/>
      <c r="M252" s="106"/>
      <c r="N252" s="106"/>
      <c r="O252" s="106"/>
      <c r="P252" s="106"/>
      <c r="Q252" s="106"/>
      <c r="R252" s="106"/>
      <c r="S252" s="1">
        <f>SUM(GC[[#This Row],[Blk1]:[Blk8]])</f>
        <v>0</v>
      </c>
      <c r="T252" s="106" t="str">
        <f>PROPER(GC[[#This Row],[Resources]])</f>
        <v/>
      </c>
      <c r="U252" s="106"/>
    </row>
    <row r="253" spans="1:21" x14ac:dyDescent="0.25">
      <c r="A253" s="122">
        <v>251</v>
      </c>
      <c r="B253" s="103">
        <f t="shared" si="4"/>
        <v>45450</v>
      </c>
      <c r="C253" s="109">
        <v>2024</v>
      </c>
      <c r="D253" s="110">
        <f>YEAR(GC[[#This Row],[Date]])</f>
        <v>2024</v>
      </c>
      <c r="E253" s="101" t="s">
        <v>73</v>
      </c>
      <c r="F253" s="101" t="s">
        <v>73</v>
      </c>
      <c r="G253" s="102" t="str">
        <f>TEXT(GC[[#This Row],[Date]],"mmm-yy")</f>
        <v>Jun-24</v>
      </c>
      <c r="H253" s="102">
        <f>DAY(EOMONTH(GC[[#This Row],[Month Year]],0))</f>
        <v>30</v>
      </c>
      <c r="I253" s="106"/>
      <c r="J253" s="116"/>
      <c r="K253" s="106"/>
      <c r="L253" s="106"/>
      <c r="M253" s="106"/>
      <c r="N253" s="106"/>
      <c r="O253" s="106"/>
      <c r="P253" s="106"/>
      <c r="Q253" s="106"/>
      <c r="R253" s="106"/>
      <c r="S253" s="1">
        <f>SUM(GC[[#This Row],[Blk1]:[Blk8]])</f>
        <v>0</v>
      </c>
      <c r="T253" s="106" t="str">
        <f>PROPER(GC[[#This Row],[Resources]])</f>
        <v/>
      </c>
      <c r="U253" s="106"/>
    </row>
    <row r="254" spans="1:21" x14ac:dyDescent="0.25">
      <c r="A254" s="122">
        <v>252</v>
      </c>
      <c r="B254" s="103">
        <f t="shared" si="4"/>
        <v>45451</v>
      </c>
      <c r="C254" s="109">
        <v>2024</v>
      </c>
      <c r="D254" s="110">
        <f>YEAR(GC[[#This Row],[Date]])</f>
        <v>2024</v>
      </c>
      <c r="E254" s="101" t="s">
        <v>73</v>
      </c>
      <c r="F254" s="101" t="s">
        <v>73</v>
      </c>
      <c r="G254" s="102" t="str">
        <f>TEXT(GC[[#This Row],[Date]],"mmm-yy")</f>
        <v>Jun-24</v>
      </c>
      <c r="H254" s="102">
        <f>DAY(EOMONTH(GC[[#This Row],[Month Year]],0))</f>
        <v>30</v>
      </c>
      <c r="I254" s="106"/>
      <c r="J254" s="116"/>
      <c r="K254" s="106"/>
      <c r="L254" s="106"/>
      <c r="M254" s="106"/>
      <c r="N254" s="106"/>
      <c r="O254" s="106"/>
      <c r="P254" s="106"/>
      <c r="Q254" s="106"/>
      <c r="R254" s="106"/>
      <c r="S254" s="1">
        <f>SUM(GC[[#This Row],[Blk1]:[Blk8]])</f>
        <v>0</v>
      </c>
      <c r="T254" s="106" t="str">
        <f>PROPER(GC[[#This Row],[Resources]])</f>
        <v/>
      </c>
      <c r="U254" s="106"/>
    </row>
    <row r="255" spans="1:21" x14ac:dyDescent="0.25">
      <c r="A255" s="122">
        <v>253</v>
      </c>
      <c r="B255" s="103">
        <f t="shared" si="4"/>
        <v>45452</v>
      </c>
      <c r="C255" s="109">
        <v>2024</v>
      </c>
      <c r="D255" s="110">
        <f>YEAR(GC[[#This Row],[Date]])</f>
        <v>2024</v>
      </c>
      <c r="E255" s="101" t="s">
        <v>73</v>
      </c>
      <c r="F255" s="101" t="s">
        <v>73</v>
      </c>
      <c r="G255" s="102" t="str">
        <f>TEXT(GC[[#This Row],[Date]],"mmm-yy")</f>
        <v>Jun-24</v>
      </c>
      <c r="H255" s="102">
        <f>DAY(EOMONTH(GC[[#This Row],[Month Year]],0))</f>
        <v>30</v>
      </c>
      <c r="I255" s="106"/>
      <c r="J255" s="116"/>
      <c r="K255" s="106"/>
      <c r="L255" s="106"/>
      <c r="M255" s="106"/>
      <c r="N255" s="106"/>
      <c r="O255" s="106"/>
      <c r="P255" s="106"/>
      <c r="Q255" s="106"/>
      <c r="R255" s="106"/>
      <c r="S255" s="1">
        <f>SUM(GC[[#This Row],[Blk1]:[Blk8]])</f>
        <v>0</v>
      </c>
      <c r="T255" s="106" t="str">
        <f>PROPER(GC[[#This Row],[Resources]])</f>
        <v/>
      </c>
      <c r="U255" s="106"/>
    </row>
    <row r="256" spans="1:21" x14ac:dyDescent="0.25">
      <c r="A256" s="122">
        <v>254</v>
      </c>
      <c r="B256" s="103">
        <f t="shared" si="4"/>
        <v>45453</v>
      </c>
      <c r="C256" s="109">
        <v>2024</v>
      </c>
      <c r="D256" s="110">
        <f>YEAR(GC[[#This Row],[Date]])</f>
        <v>2024</v>
      </c>
      <c r="E256" s="101" t="s">
        <v>73</v>
      </c>
      <c r="F256" s="101" t="s">
        <v>73</v>
      </c>
      <c r="G256" s="102" t="str">
        <f>TEXT(GC[[#This Row],[Date]],"mmm-yy")</f>
        <v>Jun-24</v>
      </c>
      <c r="H256" s="102">
        <f>DAY(EOMONTH(GC[[#This Row],[Month Year]],0))</f>
        <v>30</v>
      </c>
      <c r="I256" s="106"/>
      <c r="J256" s="116"/>
      <c r="K256" s="106"/>
      <c r="L256" s="106"/>
      <c r="M256" s="106"/>
      <c r="N256" s="106"/>
      <c r="O256" s="106"/>
      <c r="P256" s="106"/>
      <c r="Q256" s="106"/>
      <c r="R256" s="106"/>
      <c r="S256" s="1">
        <f>SUM(GC[[#This Row],[Blk1]:[Blk8]])</f>
        <v>0</v>
      </c>
      <c r="T256" s="106" t="str">
        <f>PROPER(GC[[#This Row],[Resources]])</f>
        <v/>
      </c>
      <c r="U256" s="106"/>
    </row>
    <row r="257" spans="1:21" x14ac:dyDescent="0.25">
      <c r="A257" s="122">
        <v>255</v>
      </c>
      <c r="B257" s="103">
        <f t="shared" si="4"/>
        <v>45454</v>
      </c>
      <c r="C257" s="109">
        <v>2024</v>
      </c>
      <c r="D257" s="110">
        <f>YEAR(GC[[#This Row],[Date]])</f>
        <v>2024</v>
      </c>
      <c r="E257" s="101" t="s">
        <v>73</v>
      </c>
      <c r="F257" s="101" t="s">
        <v>73</v>
      </c>
      <c r="G257" s="102" t="str">
        <f>TEXT(GC[[#This Row],[Date]],"mmm-yy")</f>
        <v>Jun-24</v>
      </c>
      <c r="H257" s="102">
        <f>DAY(EOMONTH(GC[[#This Row],[Month Year]],0))</f>
        <v>30</v>
      </c>
      <c r="I257" s="106"/>
      <c r="J257" s="116"/>
      <c r="K257" s="106"/>
      <c r="L257" s="106"/>
      <c r="M257" s="106"/>
      <c r="N257" s="106"/>
      <c r="O257" s="106"/>
      <c r="P257" s="106"/>
      <c r="Q257" s="106"/>
      <c r="R257" s="106"/>
      <c r="S257" s="1">
        <f>SUM(GC[[#This Row],[Blk1]:[Blk8]])</f>
        <v>0</v>
      </c>
      <c r="T257" s="106" t="str">
        <f>PROPER(GC[[#This Row],[Resources]])</f>
        <v/>
      </c>
      <c r="U257" s="106"/>
    </row>
    <row r="258" spans="1:21" x14ac:dyDescent="0.25">
      <c r="A258" s="122">
        <v>256</v>
      </c>
      <c r="B258" s="103">
        <f t="shared" si="4"/>
        <v>45455</v>
      </c>
      <c r="C258" s="109">
        <v>2024</v>
      </c>
      <c r="D258" s="110">
        <f>YEAR(GC[[#This Row],[Date]])</f>
        <v>2024</v>
      </c>
      <c r="E258" s="101" t="s">
        <v>73</v>
      </c>
      <c r="F258" s="101" t="s">
        <v>73</v>
      </c>
      <c r="G258" s="102" t="str">
        <f>TEXT(GC[[#This Row],[Date]],"mmm-yy")</f>
        <v>Jun-24</v>
      </c>
      <c r="H258" s="102">
        <f>DAY(EOMONTH(GC[[#This Row],[Month Year]],0))</f>
        <v>30</v>
      </c>
      <c r="I258" s="106"/>
      <c r="J258" s="116"/>
      <c r="K258" s="106"/>
      <c r="L258" s="106"/>
      <c r="M258" s="106"/>
      <c r="N258" s="106"/>
      <c r="O258" s="106"/>
      <c r="P258" s="106"/>
      <c r="Q258" s="106"/>
      <c r="R258" s="106"/>
      <c r="S258" s="1">
        <f>SUM(GC[[#This Row],[Blk1]:[Blk8]])</f>
        <v>0</v>
      </c>
      <c r="T258" s="106" t="str">
        <f>PROPER(GC[[#This Row],[Resources]])</f>
        <v/>
      </c>
      <c r="U258" s="106"/>
    </row>
    <row r="259" spans="1:21" x14ac:dyDescent="0.25">
      <c r="A259" s="122">
        <v>257</v>
      </c>
      <c r="B259" s="103">
        <f t="shared" si="4"/>
        <v>45456</v>
      </c>
      <c r="C259" s="109">
        <v>2024</v>
      </c>
      <c r="D259" s="110">
        <f>YEAR(GC[[#This Row],[Date]])</f>
        <v>2024</v>
      </c>
      <c r="E259" s="101" t="s">
        <v>73</v>
      </c>
      <c r="F259" s="101" t="s">
        <v>73</v>
      </c>
      <c r="G259" s="102" t="str">
        <f>TEXT(GC[[#This Row],[Date]],"mmm-yy")</f>
        <v>Jun-24</v>
      </c>
      <c r="H259" s="102">
        <f>DAY(EOMONTH(GC[[#This Row],[Month Year]],0))</f>
        <v>30</v>
      </c>
      <c r="I259" s="106"/>
      <c r="J259" s="116"/>
      <c r="K259" s="106"/>
      <c r="L259" s="106"/>
      <c r="M259" s="106"/>
      <c r="N259" s="106"/>
      <c r="O259" s="106"/>
      <c r="P259" s="106"/>
      <c r="Q259" s="106"/>
      <c r="R259" s="106"/>
      <c r="S259" s="1">
        <f>SUM(GC[[#This Row],[Blk1]:[Blk8]])</f>
        <v>0</v>
      </c>
      <c r="T259" s="106" t="str">
        <f>PROPER(GC[[#This Row],[Resources]])</f>
        <v/>
      </c>
      <c r="U259" s="106"/>
    </row>
    <row r="260" spans="1:21" x14ac:dyDescent="0.25">
      <c r="A260" s="122">
        <v>258</v>
      </c>
      <c r="B260" s="103">
        <f t="shared" si="4"/>
        <v>45457</v>
      </c>
      <c r="C260" s="109">
        <v>2024</v>
      </c>
      <c r="D260" s="110">
        <f>YEAR(GC[[#This Row],[Date]])</f>
        <v>2024</v>
      </c>
      <c r="E260" s="101" t="s">
        <v>73</v>
      </c>
      <c r="F260" s="101" t="s">
        <v>73</v>
      </c>
      <c r="G260" s="102" t="str">
        <f>TEXT(GC[[#This Row],[Date]],"mmm-yy")</f>
        <v>Jun-24</v>
      </c>
      <c r="H260" s="102">
        <f>DAY(EOMONTH(GC[[#This Row],[Month Year]],0))</f>
        <v>30</v>
      </c>
      <c r="I260" s="106"/>
      <c r="J260" s="116"/>
      <c r="K260" s="106"/>
      <c r="L260" s="106"/>
      <c r="M260" s="106"/>
      <c r="N260" s="106"/>
      <c r="O260" s="106"/>
      <c r="P260" s="106"/>
      <c r="Q260" s="106"/>
      <c r="R260" s="106"/>
      <c r="S260" s="1">
        <f>SUM(GC[[#This Row],[Blk1]:[Blk8]])</f>
        <v>0</v>
      </c>
      <c r="T260" s="106" t="str">
        <f>PROPER(GC[[#This Row],[Resources]])</f>
        <v/>
      </c>
      <c r="U260" s="106"/>
    </row>
    <row r="261" spans="1:21" x14ac:dyDescent="0.25">
      <c r="A261" s="122">
        <v>259</v>
      </c>
      <c r="B261" s="103">
        <f t="shared" si="4"/>
        <v>45458</v>
      </c>
      <c r="C261" s="109">
        <v>2024</v>
      </c>
      <c r="D261" s="110">
        <f>YEAR(GC[[#This Row],[Date]])</f>
        <v>2024</v>
      </c>
      <c r="E261" s="101" t="s">
        <v>73</v>
      </c>
      <c r="F261" s="101" t="s">
        <v>73</v>
      </c>
      <c r="G261" s="102" t="str">
        <f>TEXT(GC[[#This Row],[Date]],"mmm-yy")</f>
        <v>Jun-24</v>
      </c>
      <c r="H261" s="102">
        <f>DAY(EOMONTH(GC[[#This Row],[Month Year]],0))</f>
        <v>30</v>
      </c>
      <c r="I261" s="106"/>
      <c r="J261" s="116"/>
      <c r="K261" s="106"/>
      <c r="L261" s="106"/>
      <c r="M261" s="106"/>
      <c r="N261" s="106"/>
      <c r="O261" s="106"/>
      <c r="P261" s="106"/>
      <c r="Q261" s="106"/>
      <c r="R261" s="106"/>
      <c r="S261" s="1">
        <f>SUM(GC[[#This Row],[Blk1]:[Blk8]])</f>
        <v>0</v>
      </c>
      <c r="T261" s="106" t="str">
        <f>PROPER(GC[[#This Row],[Resources]])</f>
        <v/>
      </c>
      <c r="U261" s="106"/>
    </row>
    <row r="262" spans="1:21" x14ac:dyDescent="0.25">
      <c r="A262" s="122">
        <v>260</v>
      </c>
      <c r="B262" s="103">
        <f t="shared" si="4"/>
        <v>45459</v>
      </c>
      <c r="C262" s="109">
        <v>2024</v>
      </c>
      <c r="D262" s="110">
        <f>YEAR(GC[[#This Row],[Date]])</f>
        <v>2024</v>
      </c>
      <c r="E262" s="101" t="s">
        <v>73</v>
      </c>
      <c r="F262" s="101" t="s">
        <v>73</v>
      </c>
      <c r="G262" s="102" t="str">
        <f>TEXT(GC[[#This Row],[Date]],"mmm-yy")</f>
        <v>Jun-24</v>
      </c>
      <c r="H262" s="102">
        <f>DAY(EOMONTH(GC[[#This Row],[Month Year]],0))</f>
        <v>30</v>
      </c>
      <c r="I262" s="106"/>
      <c r="J262" s="116"/>
      <c r="K262" s="106"/>
      <c r="L262" s="106"/>
      <c r="M262" s="106"/>
      <c r="N262" s="106"/>
      <c r="O262" s="106"/>
      <c r="P262" s="106"/>
      <c r="Q262" s="106"/>
      <c r="R262" s="106"/>
      <c r="S262" s="1">
        <f>SUM(GC[[#This Row],[Blk1]:[Blk8]])</f>
        <v>0</v>
      </c>
      <c r="T262" s="106" t="str">
        <f>PROPER(GC[[#This Row],[Resources]])</f>
        <v/>
      </c>
      <c r="U262" s="106"/>
    </row>
    <row r="263" spans="1:21" x14ac:dyDescent="0.25">
      <c r="A263" s="122">
        <v>261</v>
      </c>
      <c r="B263" s="103">
        <f t="shared" si="4"/>
        <v>45460</v>
      </c>
      <c r="C263" s="109">
        <v>2024</v>
      </c>
      <c r="D263" s="110">
        <f>YEAR(GC[[#This Row],[Date]])</f>
        <v>2024</v>
      </c>
      <c r="E263" s="101" t="s">
        <v>73</v>
      </c>
      <c r="F263" s="101" t="s">
        <v>73</v>
      </c>
      <c r="G263" s="102" t="str">
        <f>TEXT(GC[[#This Row],[Date]],"mmm-yy")</f>
        <v>Jun-24</v>
      </c>
      <c r="H263" s="102">
        <f>DAY(EOMONTH(GC[[#This Row],[Month Year]],0))</f>
        <v>30</v>
      </c>
      <c r="I263" s="106"/>
      <c r="J263" s="116"/>
      <c r="K263" s="106"/>
      <c r="L263" s="106"/>
      <c r="M263" s="106"/>
      <c r="N263" s="106"/>
      <c r="O263" s="106"/>
      <c r="P263" s="106"/>
      <c r="Q263" s="106"/>
      <c r="R263" s="106"/>
      <c r="S263" s="1">
        <f>SUM(GC[[#This Row],[Blk1]:[Blk8]])</f>
        <v>0</v>
      </c>
      <c r="T263" s="106" t="str">
        <f>PROPER(GC[[#This Row],[Resources]])</f>
        <v/>
      </c>
      <c r="U263" s="106"/>
    </row>
    <row r="264" spans="1:21" x14ac:dyDescent="0.25">
      <c r="A264" s="122">
        <v>262</v>
      </c>
      <c r="B264" s="103">
        <f t="shared" si="4"/>
        <v>45461</v>
      </c>
      <c r="C264" s="109">
        <v>2024</v>
      </c>
      <c r="D264" s="110">
        <f>YEAR(GC[[#This Row],[Date]])</f>
        <v>2024</v>
      </c>
      <c r="E264" s="101" t="s">
        <v>73</v>
      </c>
      <c r="F264" s="101" t="s">
        <v>73</v>
      </c>
      <c r="G264" s="102" t="str">
        <f>TEXT(GC[[#This Row],[Date]],"mmm-yy")</f>
        <v>Jun-24</v>
      </c>
      <c r="H264" s="102">
        <f>DAY(EOMONTH(GC[[#This Row],[Month Year]],0))</f>
        <v>30</v>
      </c>
      <c r="I264" s="106"/>
      <c r="J264" s="116"/>
      <c r="K264" s="106"/>
      <c r="L264" s="106"/>
      <c r="M264" s="106"/>
      <c r="N264" s="106"/>
      <c r="O264" s="106"/>
      <c r="P264" s="106"/>
      <c r="Q264" s="106"/>
      <c r="R264" s="106"/>
      <c r="S264" s="1">
        <f>SUM(GC[[#This Row],[Blk1]:[Blk8]])</f>
        <v>0</v>
      </c>
      <c r="T264" s="106" t="str">
        <f>PROPER(GC[[#This Row],[Resources]])</f>
        <v/>
      </c>
      <c r="U264" s="106"/>
    </row>
    <row r="265" spans="1:21" x14ac:dyDescent="0.25">
      <c r="A265" s="122">
        <v>263</v>
      </c>
      <c r="B265" s="103">
        <f t="shared" si="4"/>
        <v>45462</v>
      </c>
      <c r="C265" s="109">
        <v>2024</v>
      </c>
      <c r="D265" s="110">
        <f>YEAR(GC[[#This Row],[Date]])</f>
        <v>2024</v>
      </c>
      <c r="E265" s="101" t="s">
        <v>73</v>
      </c>
      <c r="F265" s="101" t="s">
        <v>73</v>
      </c>
      <c r="G265" s="102" t="str">
        <f>TEXT(GC[[#This Row],[Date]],"mmm-yy")</f>
        <v>Jun-24</v>
      </c>
      <c r="H265" s="102">
        <f>DAY(EOMONTH(GC[[#This Row],[Month Year]],0))</f>
        <v>30</v>
      </c>
      <c r="I265" s="106"/>
      <c r="J265" s="116"/>
      <c r="K265" s="106"/>
      <c r="L265" s="106"/>
      <c r="M265" s="106"/>
      <c r="N265" s="106"/>
      <c r="O265" s="106"/>
      <c r="P265" s="106"/>
      <c r="Q265" s="106"/>
      <c r="R265" s="106"/>
      <c r="S265" s="1">
        <f>SUM(GC[[#This Row],[Blk1]:[Blk8]])</f>
        <v>0</v>
      </c>
      <c r="T265" s="106" t="str">
        <f>PROPER(GC[[#This Row],[Resources]])</f>
        <v/>
      </c>
      <c r="U265" s="106"/>
    </row>
    <row r="266" spans="1:21" x14ac:dyDescent="0.25">
      <c r="A266" s="122">
        <v>264</v>
      </c>
      <c r="B266" s="103">
        <f t="shared" si="4"/>
        <v>45463</v>
      </c>
      <c r="C266" s="109">
        <v>2024</v>
      </c>
      <c r="D266" s="110">
        <f>YEAR(GC[[#This Row],[Date]])</f>
        <v>2024</v>
      </c>
      <c r="E266" s="101" t="s">
        <v>73</v>
      </c>
      <c r="F266" s="101" t="s">
        <v>73</v>
      </c>
      <c r="G266" s="102" t="str">
        <f>TEXT(GC[[#This Row],[Date]],"mmm-yy")</f>
        <v>Jun-24</v>
      </c>
      <c r="H266" s="102">
        <f>DAY(EOMONTH(GC[[#This Row],[Month Year]],0))</f>
        <v>30</v>
      </c>
      <c r="I266" s="106"/>
      <c r="J266" s="116"/>
      <c r="K266" s="106"/>
      <c r="L266" s="106"/>
      <c r="M266" s="106"/>
      <c r="N266" s="106"/>
      <c r="O266" s="106"/>
      <c r="P266" s="106"/>
      <c r="Q266" s="106"/>
      <c r="R266" s="106"/>
      <c r="S266" s="1">
        <f>SUM(GC[[#This Row],[Blk1]:[Blk8]])</f>
        <v>0</v>
      </c>
      <c r="T266" s="106" t="str">
        <f>PROPER(GC[[#This Row],[Resources]])</f>
        <v/>
      </c>
      <c r="U266" s="106"/>
    </row>
    <row r="267" spans="1:21" x14ac:dyDescent="0.25">
      <c r="A267" s="122">
        <v>265</v>
      </c>
      <c r="B267" s="103">
        <f t="shared" si="4"/>
        <v>45464</v>
      </c>
      <c r="C267" s="109">
        <v>2024</v>
      </c>
      <c r="D267" s="110">
        <f>YEAR(GC[[#This Row],[Date]])</f>
        <v>2024</v>
      </c>
      <c r="E267" s="101" t="s">
        <v>73</v>
      </c>
      <c r="F267" s="101" t="s">
        <v>73</v>
      </c>
      <c r="G267" s="102" t="str">
        <f>TEXT(GC[[#This Row],[Date]],"mmm-yy")</f>
        <v>Jun-24</v>
      </c>
      <c r="H267" s="102">
        <f>DAY(EOMONTH(GC[[#This Row],[Month Year]],0))</f>
        <v>30</v>
      </c>
      <c r="I267" s="106"/>
      <c r="J267" s="116"/>
      <c r="K267" s="106"/>
      <c r="L267" s="106"/>
      <c r="M267" s="106"/>
      <c r="N267" s="106"/>
      <c r="O267" s="106"/>
      <c r="P267" s="106"/>
      <c r="Q267" s="106"/>
      <c r="R267" s="106"/>
      <c r="S267" s="1">
        <f>SUM(GC[[#This Row],[Blk1]:[Blk8]])</f>
        <v>0</v>
      </c>
      <c r="T267" s="106" t="str">
        <f>PROPER(GC[[#This Row],[Resources]])</f>
        <v/>
      </c>
      <c r="U267" s="106"/>
    </row>
    <row r="268" spans="1:21" x14ac:dyDescent="0.25">
      <c r="A268" s="122">
        <v>266</v>
      </c>
      <c r="B268" s="103">
        <f t="shared" si="4"/>
        <v>45465</v>
      </c>
      <c r="C268" s="109">
        <v>2024</v>
      </c>
      <c r="D268" s="110">
        <f>YEAR(GC[[#This Row],[Date]])</f>
        <v>2024</v>
      </c>
      <c r="E268" s="101" t="s">
        <v>73</v>
      </c>
      <c r="F268" s="101" t="s">
        <v>73</v>
      </c>
      <c r="G268" s="102" t="str">
        <f>TEXT(GC[[#This Row],[Date]],"mmm-yy")</f>
        <v>Jun-24</v>
      </c>
      <c r="H268" s="102">
        <f>DAY(EOMONTH(GC[[#This Row],[Month Year]],0))</f>
        <v>30</v>
      </c>
      <c r="I268" s="106"/>
      <c r="J268" s="116"/>
      <c r="K268" s="106"/>
      <c r="L268" s="106"/>
      <c r="M268" s="106"/>
      <c r="N268" s="106"/>
      <c r="O268" s="106"/>
      <c r="P268" s="106"/>
      <c r="Q268" s="106"/>
      <c r="R268" s="106"/>
      <c r="S268" s="1">
        <f>SUM(GC[[#This Row],[Blk1]:[Blk8]])</f>
        <v>0</v>
      </c>
      <c r="T268" s="106" t="str">
        <f>PROPER(GC[[#This Row],[Resources]])</f>
        <v/>
      </c>
      <c r="U268" s="106"/>
    </row>
    <row r="269" spans="1:21" x14ac:dyDescent="0.25">
      <c r="A269" s="122">
        <v>267</v>
      </c>
      <c r="B269" s="103">
        <f t="shared" ref="B269:B332" si="5">B268+1</f>
        <v>45466</v>
      </c>
      <c r="C269" s="109">
        <v>2024</v>
      </c>
      <c r="D269" s="110">
        <f>YEAR(GC[[#This Row],[Date]])</f>
        <v>2024</v>
      </c>
      <c r="E269" s="101" t="s">
        <v>73</v>
      </c>
      <c r="F269" s="101" t="s">
        <v>73</v>
      </c>
      <c r="G269" s="102" t="str">
        <f>TEXT(GC[[#This Row],[Date]],"mmm-yy")</f>
        <v>Jun-24</v>
      </c>
      <c r="H269" s="102">
        <f>DAY(EOMONTH(GC[[#This Row],[Month Year]],0))</f>
        <v>30</v>
      </c>
      <c r="I269" s="106"/>
      <c r="J269" s="116"/>
      <c r="K269" s="106"/>
      <c r="L269" s="106"/>
      <c r="M269" s="106"/>
      <c r="N269" s="106"/>
      <c r="O269" s="106"/>
      <c r="P269" s="106"/>
      <c r="Q269" s="106"/>
      <c r="R269" s="106"/>
      <c r="S269" s="1">
        <f>SUM(GC[[#This Row],[Blk1]:[Blk8]])</f>
        <v>0</v>
      </c>
      <c r="T269" s="106" t="str">
        <f>PROPER(GC[[#This Row],[Resources]])</f>
        <v/>
      </c>
      <c r="U269" s="106"/>
    </row>
    <row r="270" spans="1:21" x14ac:dyDescent="0.25">
      <c r="A270" s="122">
        <v>268</v>
      </c>
      <c r="B270" s="103">
        <f t="shared" si="5"/>
        <v>45467</v>
      </c>
      <c r="C270" s="109">
        <v>2024</v>
      </c>
      <c r="D270" s="110">
        <f>YEAR(GC[[#This Row],[Date]])</f>
        <v>2024</v>
      </c>
      <c r="E270" s="101" t="s">
        <v>73</v>
      </c>
      <c r="F270" s="101" t="s">
        <v>73</v>
      </c>
      <c r="G270" s="102" t="str">
        <f>TEXT(GC[[#This Row],[Date]],"mmm-yy")</f>
        <v>Jun-24</v>
      </c>
      <c r="H270" s="102">
        <f>DAY(EOMONTH(GC[[#This Row],[Month Year]],0))</f>
        <v>30</v>
      </c>
      <c r="I270" s="106"/>
      <c r="J270" s="116"/>
      <c r="K270" s="106"/>
      <c r="L270" s="106"/>
      <c r="M270" s="106"/>
      <c r="N270" s="106"/>
      <c r="O270" s="106"/>
      <c r="P270" s="106"/>
      <c r="Q270" s="106"/>
      <c r="R270" s="106"/>
      <c r="S270" s="1">
        <f>SUM(GC[[#This Row],[Blk1]:[Blk8]])</f>
        <v>0</v>
      </c>
      <c r="T270" s="106" t="str">
        <f>PROPER(GC[[#This Row],[Resources]])</f>
        <v/>
      </c>
      <c r="U270" s="106"/>
    </row>
    <row r="271" spans="1:21" x14ac:dyDescent="0.25">
      <c r="A271" s="122">
        <v>269</v>
      </c>
      <c r="B271" s="103">
        <f t="shared" si="5"/>
        <v>45468</v>
      </c>
      <c r="C271" s="109">
        <v>2024</v>
      </c>
      <c r="D271" s="110">
        <f>YEAR(GC[[#This Row],[Date]])</f>
        <v>2024</v>
      </c>
      <c r="E271" s="101" t="s">
        <v>73</v>
      </c>
      <c r="F271" s="101" t="s">
        <v>73</v>
      </c>
      <c r="G271" s="102" t="str">
        <f>TEXT(GC[[#This Row],[Date]],"mmm-yy")</f>
        <v>Jun-24</v>
      </c>
      <c r="H271" s="102">
        <f>DAY(EOMONTH(GC[[#This Row],[Month Year]],0))</f>
        <v>30</v>
      </c>
      <c r="I271" s="106"/>
      <c r="J271" s="116"/>
      <c r="K271" s="106"/>
      <c r="L271" s="106"/>
      <c r="M271" s="106"/>
      <c r="N271" s="106"/>
      <c r="O271" s="106"/>
      <c r="P271" s="106"/>
      <c r="Q271" s="106"/>
      <c r="R271" s="106"/>
      <c r="S271" s="1">
        <f>SUM(GC[[#This Row],[Blk1]:[Blk8]])</f>
        <v>0</v>
      </c>
      <c r="T271" s="106" t="str">
        <f>PROPER(GC[[#This Row],[Resources]])</f>
        <v/>
      </c>
      <c r="U271" s="106"/>
    </row>
    <row r="272" spans="1:21" x14ac:dyDescent="0.25">
      <c r="A272" s="122">
        <v>270</v>
      </c>
      <c r="B272" s="103">
        <f t="shared" si="5"/>
        <v>45469</v>
      </c>
      <c r="C272" s="109">
        <v>2024</v>
      </c>
      <c r="D272" s="110">
        <f>YEAR(GC[[#This Row],[Date]])</f>
        <v>2024</v>
      </c>
      <c r="E272" s="101" t="s">
        <v>73</v>
      </c>
      <c r="F272" s="101" t="s">
        <v>73</v>
      </c>
      <c r="G272" s="102" t="str">
        <f>TEXT(GC[[#This Row],[Date]],"mmm-yy")</f>
        <v>Jun-24</v>
      </c>
      <c r="H272" s="102">
        <f>DAY(EOMONTH(GC[[#This Row],[Month Year]],0))</f>
        <v>30</v>
      </c>
      <c r="I272" s="106"/>
      <c r="J272" s="116"/>
      <c r="K272" s="106"/>
      <c r="L272" s="106"/>
      <c r="M272" s="106"/>
      <c r="N272" s="106"/>
      <c r="O272" s="106"/>
      <c r="P272" s="106"/>
      <c r="Q272" s="106"/>
      <c r="R272" s="106"/>
      <c r="S272" s="1">
        <f>SUM(GC[[#This Row],[Blk1]:[Blk8]])</f>
        <v>0</v>
      </c>
      <c r="T272" s="106" t="str">
        <f>PROPER(GC[[#This Row],[Resources]])</f>
        <v/>
      </c>
      <c r="U272" s="106"/>
    </row>
    <row r="273" spans="1:21" x14ac:dyDescent="0.25">
      <c r="A273" s="122">
        <v>271</v>
      </c>
      <c r="B273" s="103">
        <f t="shared" si="5"/>
        <v>45470</v>
      </c>
      <c r="C273" s="109">
        <v>2024</v>
      </c>
      <c r="D273" s="110">
        <f>YEAR(GC[[#This Row],[Date]])</f>
        <v>2024</v>
      </c>
      <c r="E273" s="101" t="s">
        <v>73</v>
      </c>
      <c r="F273" s="101" t="s">
        <v>73</v>
      </c>
      <c r="G273" s="102" t="str">
        <f>TEXT(GC[[#This Row],[Date]],"mmm-yy")</f>
        <v>Jun-24</v>
      </c>
      <c r="H273" s="102">
        <f>DAY(EOMONTH(GC[[#This Row],[Month Year]],0))</f>
        <v>30</v>
      </c>
      <c r="I273" s="106"/>
      <c r="J273" s="116"/>
      <c r="K273" s="106"/>
      <c r="L273" s="106"/>
      <c r="M273" s="106"/>
      <c r="N273" s="106"/>
      <c r="O273" s="106"/>
      <c r="P273" s="106"/>
      <c r="Q273" s="106"/>
      <c r="R273" s="106"/>
      <c r="S273" s="1">
        <f>SUM(GC[[#This Row],[Blk1]:[Blk8]])</f>
        <v>0</v>
      </c>
      <c r="T273" s="106" t="str">
        <f>PROPER(GC[[#This Row],[Resources]])</f>
        <v/>
      </c>
      <c r="U273" s="106"/>
    </row>
    <row r="274" spans="1:21" x14ac:dyDescent="0.25">
      <c r="A274" s="122">
        <v>272</v>
      </c>
      <c r="B274" s="103">
        <f t="shared" si="5"/>
        <v>45471</v>
      </c>
      <c r="C274" s="109">
        <v>2024</v>
      </c>
      <c r="D274" s="110">
        <f>YEAR(GC[[#This Row],[Date]])</f>
        <v>2024</v>
      </c>
      <c r="E274" s="101" t="s">
        <v>73</v>
      </c>
      <c r="F274" s="101" t="s">
        <v>73</v>
      </c>
      <c r="G274" s="102" t="str">
        <f>TEXT(GC[[#This Row],[Date]],"mmm-yy")</f>
        <v>Jun-24</v>
      </c>
      <c r="H274" s="102">
        <f>DAY(EOMONTH(GC[[#This Row],[Month Year]],0))</f>
        <v>30</v>
      </c>
      <c r="I274" s="106"/>
      <c r="J274" s="116"/>
      <c r="K274" s="106"/>
      <c r="L274" s="106"/>
      <c r="M274" s="106"/>
      <c r="N274" s="106"/>
      <c r="O274" s="106"/>
      <c r="P274" s="106"/>
      <c r="Q274" s="106"/>
      <c r="R274" s="106"/>
      <c r="S274" s="1">
        <f>SUM(GC[[#This Row],[Blk1]:[Blk8]])</f>
        <v>0</v>
      </c>
      <c r="T274" s="106" t="str">
        <f>PROPER(GC[[#This Row],[Resources]])</f>
        <v/>
      </c>
      <c r="U274" s="106"/>
    </row>
    <row r="275" spans="1:21" x14ac:dyDescent="0.25">
      <c r="A275" s="122">
        <v>273</v>
      </c>
      <c r="B275" s="103">
        <f t="shared" si="5"/>
        <v>45472</v>
      </c>
      <c r="C275" s="109">
        <v>2024</v>
      </c>
      <c r="D275" s="110">
        <f>YEAR(GC[[#This Row],[Date]])</f>
        <v>2024</v>
      </c>
      <c r="E275" s="101" t="s">
        <v>73</v>
      </c>
      <c r="F275" s="101" t="s">
        <v>73</v>
      </c>
      <c r="G275" s="102" t="str">
        <f>TEXT(GC[[#This Row],[Date]],"mmm-yy")</f>
        <v>Jun-24</v>
      </c>
      <c r="H275" s="102">
        <f>DAY(EOMONTH(GC[[#This Row],[Month Year]],0))</f>
        <v>30</v>
      </c>
      <c r="I275" s="106"/>
      <c r="J275" s="116"/>
      <c r="K275" s="106"/>
      <c r="L275" s="106"/>
      <c r="M275" s="106"/>
      <c r="N275" s="106"/>
      <c r="O275" s="106"/>
      <c r="P275" s="106"/>
      <c r="Q275" s="106"/>
      <c r="R275" s="106"/>
      <c r="S275" s="1">
        <f>SUM(GC[[#This Row],[Blk1]:[Blk8]])</f>
        <v>0</v>
      </c>
      <c r="T275" s="106" t="str">
        <f>PROPER(GC[[#This Row],[Resources]])</f>
        <v/>
      </c>
      <c r="U275" s="106"/>
    </row>
    <row r="276" spans="1:21" x14ac:dyDescent="0.25">
      <c r="A276" s="122">
        <v>274</v>
      </c>
      <c r="B276" s="103">
        <f t="shared" si="5"/>
        <v>45473</v>
      </c>
      <c r="C276" s="109">
        <v>2024</v>
      </c>
      <c r="D276" s="110">
        <f>YEAR(GC[[#This Row],[Date]])</f>
        <v>2024</v>
      </c>
      <c r="E276" s="101" t="s">
        <v>73</v>
      </c>
      <c r="F276" s="101" t="s">
        <v>73</v>
      </c>
      <c r="G276" s="102" t="str">
        <f>TEXT(GC[[#This Row],[Date]],"mmm-yy")</f>
        <v>Jun-24</v>
      </c>
      <c r="H276" s="102">
        <f>DAY(EOMONTH(GC[[#This Row],[Month Year]],0))</f>
        <v>30</v>
      </c>
      <c r="I276" s="106"/>
      <c r="J276" s="116"/>
      <c r="K276" s="106"/>
      <c r="L276" s="106"/>
      <c r="M276" s="106"/>
      <c r="N276" s="106"/>
      <c r="O276" s="106"/>
      <c r="P276" s="106"/>
      <c r="Q276" s="106"/>
      <c r="R276" s="106"/>
      <c r="S276" s="1">
        <f>SUM(GC[[#This Row],[Blk1]:[Blk8]])</f>
        <v>0</v>
      </c>
      <c r="T276" s="106" t="str">
        <f>PROPER(GC[[#This Row],[Resources]])</f>
        <v/>
      </c>
      <c r="U276" s="106"/>
    </row>
    <row r="277" spans="1:21" x14ac:dyDescent="0.25">
      <c r="A277" s="122">
        <v>275</v>
      </c>
      <c r="B277" s="103">
        <f t="shared" si="5"/>
        <v>45474</v>
      </c>
      <c r="C277" s="109">
        <v>2024</v>
      </c>
      <c r="D277" s="110">
        <f>YEAR(GC[[#This Row],[Date]])</f>
        <v>2024</v>
      </c>
      <c r="E277" s="101" t="s">
        <v>73</v>
      </c>
      <c r="F277" s="101" t="s">
        <v>73</v>
      </c>
      <c r="G277" s="1" t="str">
        <f>TEXT(GC[[#This Row],[Date]],"mmm-yy")</f>
        <v>Jul-24</v>
      </c>
      <c r="H277" s="1">
        <f>DAY(EOMONTH(GC[[#This Row],[Month Year]],0))</f>
        <v>31</v>
      </c>
      <c r="I277" s="106"/>
      <c r="J277" s="116"/>
      <c r="K277" s="106"/>
      <c r="L277" s="106"/>
      <c r="M277" s="106"/>
      <c r="N277" s="106"/>
      <c r="O277" s="106"/>
      <c r="P277" s="106"/>
      <c r="Q277" s="106"/>
      <c r="R277" s="106"/>
      <c r="S277" s="1">
        <f>SUM(GC[[#This Row],[Blk1]:[Blk8]])</f>
        <v>0</v>
      </c>
      <c r="T277" s="106" t="str">
        <f>PROPER(GC[[#This Row],[Resources]])</f>
        <v/>
      </c>
      <c r="U277" s="106"/>
    </row>
    <row r="278" spans="1:21" x14ac:dyDescent="0.25">
      <c r="A278" s="122">
        <v>276</v>
      </c>
      <c r="B278" s="103">
        <f t="shared" si="5"/>
        <v>45475</v>
      </c>
      <c r="C278" s="109">
        <v>2024</v>
      </c>
      <c r="D278" s="110">
        <f>YEAR(GC[[#This Row],[Date]])</f>
        <v>2024</v>
      </c>
      <c r="E278" s="101" t="s">
        <v>73</v>
      </c>
      <c r="F278" s="101" t="s">
        <v>73</v>
      </c>
      <c r="G278" s="1" t="str">
        <f>TEXT(GC[[#This Row],[Date]],"mmm-yy")</f>
        <v>Jul-24</v>
      </c>
      <c r="H278" s="1">
        <f>DAY(EOMONTH(GC[[#This Row],[Month Year]],0))</f>
        <v>31</v>
      </c>
      <c r="I278" s="106"/>
      <c r="J278" s="116"/>
      <c r="K278" s="106"/>
      <c r="L278" s="106"/>
      <c r="M278" s="106"/>
      <c r="N278" s="106"/>
      <c r="O278" s="106"/>
      <c r="P278" s="106"/>
      <c r="Q278" s="106"/>
      <c r="R278" s="106"/>
      <c r="S278" s="1">
        <f>SUM(GC[[#This Row],[Blk1]:[Blk8]])</f>
        <v>0</v>
      </c>
      <c r="T278" s="106" t="str">
        <f>PROPER(GC[[#This Row],[Resources]])</f>
        <v/>
      </c>
      <c r="U278" s="106"/>
    </row>
    <row r="279" spans="1:21" x14ac:dyDescent="0.25">
      <c r="A279" s="122">
        <v>277</v>
      </c>
      <c r="B279" s="103">
        <f t="shared" si="5"/>
        <v>45476</v>
      </c>
      <c r="C279" s="109">
        <v>2024</v>
      </c>
      <c r="D279" s="110">
        <f>YEAR(GC[[#This Row],[Date]])</f>
        <v>2024</v>
      </c>
      <c r="E279" s="101" t="s">
        <v>73</v>
      </c>
      <c r="F279" s="101" t="s">
        <v>73</v>
      </c>
      <c r="G279" s="1" t="str">
        <f>TEXT(GC[[#This Row],[Date]],"mmm-yy")</f>
        <v>Jul-24</v>
      </c>
      <c r="H279" s="1">
        <f>DAY(EOMONTH(GC[[#This Row],[Month Year]],0))</f>
        <v>31</v>
      </c>
      <c r="I279" s="106"/>
      <c r="J279" s="116"/>
      <c r="K279" s="106"/>
      <c r="L279" s="106"/>
      <c r="M279" s="106"/>
      <c r="N279" s="106"/>
      <c r="O279" s="106"/>
      <c r="P279" s="106"/>
      <c r="Q279" s="106"/>
      <c r="R279" s="106"/>
      <c r="S279" s="1">
        <f>SUM(GC[[#This Row],[Blk1]:[Blk8]])</f>
        <v>0</v>
      </c>
      <c r="T279" s="106" t="str">
        <f>PROPER(GC[[#This Row],[Resources]])</f>
        <v/>
      </c>
      <c r="U279" s="106"/>
    </row>
    <row r="280" spans="1:21" x14ac:dyDescent="0.25">
      <c r="A280" s="122">
        <v>278</v>
      </c>
      <c r="B280" s="103">
        <f t="shared" si="5"/>
        <v>45477</v>
      </c>
      <c r="C280" s="109">
        <v>2024</v>
      </c>
      <c r="D280" s="110">
        <f>YEAR(GC[[#This Row],[Date]])</f>
        <v>2024</v>
      </c>
      <c r="E280" s="101" t="s">
        <v>73</v>
      </c>
      <c r="F280" s="101" t="s">
        <v>73</v>
      </c>
      <c r="G280" s="1" t="str">
        <f>TEXT(GC[[#This Row],[Date]],"mmm-yy")</f>
        <v>Jul-24</v>
      </c>
      <c r="H280" s="1">
        <f>DAY(EOMONTH(GC[[#This Row],[Month Year]],0))</f>
        <v>31</v>
      </c>
      <c r="I280" s="106"/>
      <c r="J280" s="116"/>
      <c r="K280" s="106"/>
      <c r="L280" s="106"/>
      <c r="M280" s="106"/>
      <c r="N280" s="106"/>
      <c r="O280" s="106"/>
      <c r="P280" s="106"/>
      <c r="Q280" s="106"/>
      <c r="R280" s="106"/>
      <c r="S280" s="1">
        <f>SUM(GC[[#This Row],[Blk1]:[Blk8]])</f>
        <v>0</v>
      </c>
      <c r="T280" s="106" t="str">
        <f>PROPER(GC[[#This Row],[Resources]])</f>
        <v/>
      </c>
      <c r="U280" s="106"/>
    </row>
    <row r="281" spans="1:21" x14ac:dyDescent="0.25">
      <c r="A281" s="122">
        <v>279</v>
      </c>
      <c r="B281" s="103">
        <f t="shared" si="5"/>
        <v>45478</v>
      </c>
      <c r="C281" s="109">
        <v>2024</v>
      </c>
      <c r="D281" s="110">
        <f>YEAR(GC[[#This Row],[Date]])</f>
        <v>2024</v>
      </c>
      <c r="E281" s="101" t="s">
        <v>73</v>
      </c>
      <c r="F281" s="101" t="s">
        <v>73</v>
      </c>
      <c r="G281" s="1" t="str">
        <f>TEXT(GC[[#This Row],[Date]],"mmm-yy")</f>
        <v>Jul-24</v>
      </c>
      <c r="H281" s="1">
        <f>DAY(EOMONTH(GC[[#This Row],[Month Year]],0))</f>
        <v>31</v>
      </c>
      <c r="I281" s="106"/>
      <c r="J281" s="116"/>
      <c r="K281" s="106"/>
      <c r="L281" s="106"/>
      <c r="M281" s="106"/>
      <c r="N281" s="106"/>
      <c r="O281" s="106"/>
      <c r="P281" s="106"/>
      <c r="Q281" s="106"/>
      <c r="R281" s="106"/>
      <c r="S281" s="1">
        <f>SUM(GC[[#This Row],[Blk1]:[Blk8]])</f>
        <v>0</v>
      </c>
      <c r="T281" s="106" t="str">
        <f>PROPER(GC[[#This Row],[Resources]])</f>
        <v/>
      </c>
      <c r="U281" s="106"/>
    </row>
    <row r="282" spans="1:21" x14ac:dyDescent="0.25">
      <c r="A282" s="122">
        <v>280</v>
      </c>
      <c r="B282" s="103">
        <f t="shared" si="5"/>
        <v>45479</v>
      </c>
      <c r="C282" s="109">
        <v>2024</v>
      </c>
      <c r="D282" s="110">
        <f>YEAR(GC[[#This Row],[Date]])</f>
        <v>2024</v>
      </c>
      <c r="E282" s="101" t="s">
        <v>73</v>
      </c>
      <c r="F282" s="101" t="s">
        <v>73</v>
      </c>
      <c r="G282" s="1" t="str">
        <f>TEXT(GC[[#This Row],[Date]],"mmm-yy")</f>
        <v>Jul-24</v>
      </c>
      <c r="H282" s="1">
        <f>DAY(EOMONTH(GC[[#This Row],[Month Year]],0))</f>
        <v>31</v>
      </c>
      <c r="I282" s="106"/>
      <c r="J282" s="106"/>
      <c r="K282" s="106"/>
      <c r="L282" s="106"/>
      <c r="M282" s="106"/>
      <c r="N282" s="106"/>
      <c r="O282" s="106"/>
      <c r="P282" s="106"/>
      <c r="Q282" s="106"/>
      <c r="R282" s="106"/>
      <c r="S282" s="1">
        <f>SUM(GC[[#This Row],[Blk1]:[Blk8]])</f>
        <v>0</v>
      </c>
      <c r="T282" s="106"/>
      <c r="U282" s="116" t="s">
        <v>75</v>
      </c>
    </row>
    <row r="283" spans="1:21" x14ac:dyDescent="0.25">
      <c r="A283" s="122">
        <v>281</v>
      </c>
      <c r="B283" s="103">
        <f t="shared" si="5"/>
        <v>45480</v>
      </c>
      <c r="C283" s="109">
        <v>2024</v>
      </c>
      <c r="D283" s="110">
        <f>YEAR(GC[[#This Row],[Date]])</f>
        <v>2024</v>
      </c>
      <c r="E283" s="101" t="s">
        <v>73</v>
      </c>
      <c r="F283" s="101" t="s">
        <v>73</v>
      </c>
      <c r="G283" s="1" t="str">
        <f>TEXT(GC[[#This Row],[Date]],"mmm-yy")</f>
        <v>Jul-24</v>
      </c>
      <c r="H283" s="1">
        <f>DAY(EOMONTH(GC[[#This Row],[Month Year]],0))</f>
        <v>31</v>
      </c>
      <c r="I283" s="106"/>
      <c r="J283" s="106"/>
      <c r="K283" s="106"/>
      <c r="L283" s="106"/>
      <c r="M283" s="106"/>
      <c r="N283" s="106"/>
      <c r="O283" s="106"/>
      <c r="P283" s="106"/>
      <c r="Q283" s="106"/>
      <c r="R283" s="106"/>
      <c r="S283" s="1">
        <f>SUM(GC[[#This Row],[Blk1]:[Blk8]])</f>
        <v>0</v>
      </c>
      <c r="T283" s="106" t="str">
        <f>PROPER(GC[[#This Row],[Resources]])</f>
        <v/>
      </c>
      <c r="U283" s="116" t="s">
        <v>75</v>
      </c>
    </row>
    <row r="284" spans="1:21" x14ac:dyDescent="0.25">
      <c r="A284" s="122">
        <v>282</v>
      </c>
      <c r="B284" s="103">
        <f t="shared" si="5"/>
        <v>45481</v>
      </c>
      <c r="C284" s="109">
        <v>2024</v>
      </c>
      <c r="D284" s="110">
        <f>YEAR(GC[[#This Row],[Date]])</f>
        <v>2024</v>
      </c>
      <c r="E284" s="101" t="s">
        <v>73</v>
      </c>
      <c r="F284" s="101" t="s">
        <v>73</v>
      </c>
      <c r="G284" s="1" t="str">
        <f>TEXT(GC[[#This Row],[Date]],"mmm-yy")</f>
        <v>Jul-24</v>
      </c>
      <c r="H284" s="1">
        <f>DAY(EOMONTH(GC[[#This Row],[Month Year]],0))</f>
        <v>31</v>
      </c>
      <c r="I284" s="106"/>
      <c r="J284" s="106"/>
      <c r="K284" s="106"/>
      <c r="L284" s="106"/>
      <c r="M284" s="106"/>
      <c r="N284" s="106"/>
      <c r="O284" s="106"/>
      <c r="P284" s="106"/>
      <c r="Q284" s="106"/>
      <c r="R284" s="106"/>
      <c r="S284" s="1">
        <f>SUM(GC[[#This Row],[Blk1]:[Blk8]])</f>
        <v>0</v>
      </c>
      <c r="T284" s="106" t="str">
        <f>PROPER(GC[[#This Row],[Resources]])</f>
        <v/>
      </c>
      <c r="U284" s="116" t="s">
        <v>75</v>
      </c>
    </row>
    <row r="285" spans="1:21" x14ac:dyDescent="0.25">
      <c r="A285" s="122">
        <v>283</v>
      </c>
      <c r="B285" s="103">
        <f t="shared" si="5"/>
        <v>45482</v>
      </c>
      <c r="C285" s="109">
        <v>2024</v>
      </c>
      <c r="D285" s="110">
        <f>YEAR(GC[[#This Row],[Date]])</f>
        <v>2024</v>
      </c>
      <c r="E285" s="101" t="s">
        <v>73</v>
      </c>
      <c r="F285" s="101" t="s">
        <v>73</v>
      </c>
      <c r="G285" s="1" t="str">
        <f>TEXT(GC[[#This Row],[Date]],"mmm-yy")</f>
        <v>Jul-24</v>
      </c>
      <c r="H285" s="1">
        <f>DAY(EOMONTH(GC[[#This Row],[Month Year]],0))</f>
        <v>31</v>
      </c>
      <c r="I285" s="106"/>
      <c r="J285" s="116"/>
      <c r="K285" s="106"/>
      <c r="L285" s="106"/>
      <c r="M285" s="106"/>
      <c r="N285" s="106"/>
      <c r="O285" s="106"/>
      <c r="P285" s="106"/>
      <c r="Q285" s="106"/>
      <c r="R285" s="106"/>
      <c r="S285" s="1">
        <f>SUM(GC[[#This Row],[Blk1]:[Blk8]])</f>
        <v>0</v>
      </c>
      <c r="T285" s="106" t="str">
        <f>PROPER(GC[[#This Row],[Resources]])</f>
        <v/>
      </c>
      <c r="U285" s="106"/>
    </row>
    <row r="286" spans="1:21" x14ac:dyDescent="0.25">
      <c r="A286" s="122">
        <v>284</v>
      </c>
      <c r="B286" s="103">
        <f t="shared" si="5"/>
        <v>45483</v>
      </c>
      <c r="C286" s="109">
        <v>2024</v>
      </c>
      <c r="D286" s="110">
        <f>YEAR(GC[[#This Row],[Date]])</f>
        <v>2024</v>
      </c>
      <c r="E286" s="101" t="s">
        <v>73</v>
      </c>
      <c r="F286" s="101" t="s">
        <v>73</v>
      </c>
      <c r="G286" s="1" t="str">
        <f>TEXT(GC[[#This Row],[Date]],"mmm-yy")</f>
        <v>Jul-24</v>
      </c>
      <c r="H286" s="1">
        <f>DAY(EOMONTH(GC[[#This Row],[Month Year]],0))</f>
        <v>31</v>
      </c>
      <c r="I286" s="106"/>
      <c r="J286" s="116"/>
      <c r="K286" s="106"/>
      <c r="L286" s="106"/>
      <c r="M286" s="106"/>
      <c r="N286" s="106"/>
      <c r="O286" s="106"/>
      <c r="P286" s="106"/>
      <c r="Q286" s="106"/>
      <c r="R286" s="106"/>
      <c r="S286" s="1">
        <f>SUM(GC[[#This Row],[Blk1]:[Blk8]])</f>
        <v>0</v>
      </c>
      <c r="T286" s="106" t="str">
        <f>PROPER(GC[[#This Row],[Resources]])</f>
        <v/>
      </c>
      <c r="U286" s="106"/>
    </row>
    <row r="287" spans="1:21" x14ac:dyDescent="0.25">
      <c r="A287" s="122">
        <v>285</v>
      </c>
      <c r="B287" s="103">
        <f t="shared" si="5"/>
        <v>45484</v>
      </c>
      <c r="C287" s="109">
        <v>2024</v>
      </c>
      <c r="D287" s="110">
        <f>YEAR(GC[[#This Row],[Date]])</f>
        <v>2024</v>
      </c>
      <c r="E287" s="101" t="s">
        <v>73</v>
      </c>
      <c r="F287" s="101" t="s">
        <v>73</v>
      </c>
      <c r="G287" s="1" t="str">
        <f>TEXT(GC[[#This Row],[Date]],"mmm-yy")</f>
        <v>Jul-24</v>
      </c>
      <c r="H287" s="1">
        <f>DAY(EOMONTH(GC[[#This Row],[Month Year]],0))</f>
        <v>31</v>
      </c>
      <c r="I287" s="106"/>
      <c r="J287" s="116"/>
      <c r="K287" s="106"/>
      <c r="L287" s="106"/>
      <c r="M287" s="106"/>
      <c r="N287" s="106"/>
      <c r="O287" s="106"/>
      <c r="P287" s="106"/>
      <c r="Q287" s="106"/>
      <c r="R287" s="106"/>
      <c r="S287" s="1">
        <f>SUM(GC[[#This Row],[Blk1]:[Blk8]])</f>
        <v>0</v>
      </c>
      <c r="T287" s="106" t="str">
        <f>PROPER(GC[[#This Row],[Resources]])</f>
        <v/>
      </c>
      <c r="U287" s="106"/>
    </row>
    <row r="288" spans="1:21" x14ac:dyDescent="0.25">
      <c r="A288" s="122">
        <v>286</v>
      </c>
      <c r="B288" s="103">
        <f t="shared" si="5"/>
        <v>45485</v>
      </c>
      <c r="C288" s="109">
        <v>2024</v>
      </c>
      <c r="D288" s="110">
        <f>YEAR(GC[[#This Row],[Date]])</f>
        <v>2024</v>
      </c>
      <c r="E288" s="101" t="s">
        <v>73</v>
      </c>
      <c r="F288" s="101" t="s">
        <v>73</v>
      </c>
      <c r="G288" s="1" t="str">
        <f>TEXT(GC[[#This Row],[Date]],"mmm-yy")</f>
        <v>Jul-24</v>
      </c>
      <c r="H288" s="1">
        <f>DAY(EOMONTH(GC[[#This Row],[Month Year]],0))</f>
        <v>31</v>
      </c>
      <c r="I288" s="106"/>
      <c r="J288" s="116"/>
      <c r="K288" s="106"/>
      <c r="L288" s="106"/>
      <c r="M288" s="106"/>
      <c r="N288" s="106"/>
      <c r="O288" s="106"/>
      <c r="P288" s="106"/>
      <c r="Q288" s="106"/>
      <c r="R288" s="106"/>
      <c r="S288" s="1">
        <f>SUM(GC[[#This Row],[Blk1]:[Blk8]])</f>
        <v>0</v>
      </c>
      <c r="T288" s="106" t="str">
        <f>PROPER(GC[[#This Row],[Resources]])</f>
        <v/>
      </c>
      <c r="U288" s="106"/>
    </row>
    <row r="289" spans="1:21" x14ac:dyDescent="0.25">
      <c r="A289" s="122">
        <v>287</v>
      </c>
      <c r="B289" s="103">
        <f t="shared" si="5"/>
        <v>45486</v>
      </c>
      <c r="C289" s="109">
        <v>2024</v>
      </c>
      <c r="D289" s="110">
        <f>YEAR(GC[[#This Row],[Date]])</f>
        <v>2024</v>
      </c>
      <c r="E289" s="101" t="s">
        <v>73</v>
      </c>
      <c r="F289" s="101" t="s">
        <v>73</v>
      </c>
      <c r="G289" s="1" t="str">
        <f>TEXT(GC[[#This Row],[Date]],"mmm-yy")</f>
        <v>Jul-24</v>
      </c>
      <c r="H289" s="1">
        <f>DAY(EOMONTH(GC[[#This Row],[Month Year]],0))</f>
        <v>31</v>
      </c>
      <c r="I289" s="106"/>
      <c r="J289" s="116"/>
      <c r="K289" s="106"/>
      <c r="L289" s="106"/>
      <c r="M289" s="106"/>
      <c r="N289" s="106"/>
      <c r="O289" s="106"/>
      <c r="P289" s="106"/>
      <c r="Q289" s="106"/>
      <c r="R289" s="106"/>
      <c r="S289" s="1">
        <f>SUM(GC[[#This Row],[Blk1]:[Blk8]])</f>
        <v>0</v>
      </c>
      <c r="T289" s="106" t="str">
        <f>PROPER(GC[[#This Row],[Resources]])</f>
        <v/>
      </c>
      <c r="U289" s="106"/>
    </row>
    <row r="290" spans="1:21" x14ac:dyDescent="0.25">
      <c r="A290" s="122">
        <v>288</v>
      </c>
      <c r="B290" s="103">
        <f t="shared" si="5"/>
        <v>45487</v>
      </c>
      <c r="C290" s="109">
        <v>2024</v>
      </c>
      <c r="D290" s="110">
        <f>YEAR(GC[[#This Row],[Date]])</f>
        <v>2024</v>
      </c>
      <c r="E290" s="101" t="s">
        <v>73</v>
      </c>
      <c r="F290" s="101" t="s">
        <v>73</v>
      </c>
      <c r="G290" s="1" t="str">
        <f>TEXT(GC[[#This Row],[Date]],"mmm-yy")</f>
        <v>Jul-24</v>
      </c>
      <c r="H290" s="1">
        <f>DAY(EOMONTH(GC[[#This Row],[Month Year]],0))</f>
        <v>31</v>
      </c>
      <c r="I290" s="106"/>
      <c r="J290" s="116"/>
      <c r="K290" s="106"/>
      <c r="L290" s="106"/>
      <c r="M290" s="106"/>
      <c r="N290" s="106"/>
      <c r="O290" s="106"/>
      <c r="P290" s="106"/>
      <c r="Q290" s="106"/>
      <c r="R290" s="106"/>
      <c r="S290" s="1">
        <f>SUM(GC[[#This Row],[Blk1]:[Blk8]])</f>
        <v>0</v>
      </c>
      <c r="T290" s="106" t="str">
        <f>PROPER(GC[[#This Row],[Resources]])</f>
        <v/>
      </c>
      <c r="U290" s="106"/>
    </row>
    <row r="291" spans="1:21" x14ac:dyDescent="0.25">
      <c r="A291" s="122">
        <v>289</v>
      </c>
      <c r="B291" s="103">
        <f t="shared" si="5"/>
        <v>45488</v>
      </c>
      <c r="C291" s="109">
        <v>2024</v>
      </c>
      <c r="D291" s="110">
        <f>YEAR(GC[[#This Row],[Date]])</f>
        <v>2024</v>
      </c>
      <c r="E291" s="101" t="s">
        <v>73</v>
      </c>
      <c r="F291" s="101" t="s">
        <v>73</v>
      </c>
      <c r="G291" s="1" t="str">
        <f>TEXT(GC[[#This Row],[Date]],"mmm-yy")</f>
        <v>Jul-24</v>
      </c>
      <c r="H291" s="1">
        <f>DAY(EOMONTH(GC[[#This Row],[Month Year]],0))</f>
        <v>31</v>
      </c>
      <c r="I291" s="106"/>
      <c r="J291" s="116"/>
      <c r="K291" s="106"/>
      <c r="L291" s="106"/>
      <c r="M291" s="106"/>
      <c r="N291" s="106"/>
      <c r="O291" s="106"/>
      <c r="P291" s="106"/>
      <c r="Q291" s="106"/>
      <c r="R291" s="106"/>
      <c r="S291" s="1">
        <f>SUM(GC[[#This Row],[Blk1]:[Blk8]])</f>
        <v>0</v>
      </c>
      <c r="T291" s="106" t="str">
        <f>PROPER(GC[[#This Row],[Resources]])</f>
        <v/>
      </c>
      <c r="U291" s="106"/>
    </row>
    <row r="292" spans="1:21" x14ac:dyDescent="0.25">
      <c r="A292" s="122">
        <v>290</v>
      </c>
      <c r="B292" s="103">
        <f t="shared" si="5"/>
        <v>45489</v>
      </c>
      <c r="C292" s="109">
        <v>2024</v>
      </c>
      <c r="D292" s="110">
        <f>YEAR(GC[[#This Row],[Date]])</f>
        <v>2024</v>
      </c>
      <c r="E292" s="101" t="s">
        <v>73</v>
      </c>
      <c r="F292" s="101" t="s">
        <v>73</v>
      </c>
      <c r="G292" s="1" t="str">
        <f>TEXT(GC[[#This Row],[Date]],"mmm-yy")</f>
        <v>Jul-24</v>
      </c>
      <c r="H292" s="1">
        <f>DAY(EOMONTH(GC[[#This Row],[Month Year]],0))</f>
        <v>31</v>
      </c>
      <c r="I292" s="106"/>
      <c r="J292" s="116"/>
      <c r="K292" s="106"/>
      <c r="L292" s="106"/>
      <c r="M292" s="106"/>
      <c r="N292" s="106"/>
      <c r="O292" s="106"/>
      <c r="P292" s="106"/>
      <c r="Q292" s="106"/>
      <c r="R292" s="106"/>
      <c r="S292" s="1">
        <f>SUM(GC[[#This Row],[Blk1]:[Blk8]])</f>
        <v>0</v>
      </c>
      <c r="T292" s="106" t="str">
        <f>PROPER(GC[[#This Row],[Resources]])</f>
        <v/>
      </c>
      <c r="U292" s="106"/>
    </row>
    <row r="293" spans="1:21" x14ac:dyDescent="0.25">
      <c r="A293" s="122">
        <v>291</v>
      </c>
      <c r="B293" s="103">
        <f t="shared" si="5"/>
        <v>45490</v>
      </c>
      <c r="C293" s="109">
        <v>2024</v>
      </c>
      <c r="D293" s="110">
        <f>YEAR(GC[[#This Row],[Date]])</f>
        <v>2024</v>
      </c>
      <c r="E293" s="101" t="s">
        <v>73</v>
      </c>
      <c r="F293" s="101" t="s">
        <v>73</v>
      </c>
      <c r="G293" s="1" t="str">
        <f>TEXT(GC[[#This Row],[Date]],"mmm-yy")</f>
        <v>Jul-24</v>
      </c>
      <c r="H293" s="1">
        <f>DAY(EOMONTH(GC[[#This Row],[Month Year]],0))</f>
        <v>31</v>
      </c>
      <c r="I293" s="106"/>
      <c r="J293" s="116"/>
      <c r="K293" s="106"/>
      <c r="L293" s="106"/>
      <c r="M293" s="106"/>
      <c r="N293" s="106"/>
      <c r="O293" s="106"/>
      <c r="P293" s="106"/>
      <c r="Q293" s="106"/>
      <c r="R293" s="106"/>
      <c r="S293" s="1">
        <f>SUM(GC[[#This Row],[Blk1]:[Blk8]])</f>
        <v>0</v>
      </c>
      <c r="T293" s="106" t="str">
        <f>PROPER(GC[[#This Row],[Resources]])</f>
        <v/>
      </c>
      <c r="U293" s="106"/>
    </row>
    <row r="294" spans="1:21" x14ac:dyDescent="0.25">
      <c r="A294" s="122">
        <v>292</v>
      </c>
      <c r="B294" s="103">
        <f t="shared" si="5"/>
        <v>45491</v>
      </c>
      <c r="C294" s="109">
        <v>2024</v>
      </c>
      <c r="D294" s="110">
        <f>YEAR(GC[[#This Row],[Date]])</f>
        <v>2024</v>
      </c>
      <c r="E294" s="101" t="s">
        <v>73</v>
      </c>
      <c r="F294" s="101" t="s">
        <v>73</v>
      </c>
      <c r="G294" s="1" t="str">
        <f>TEXT(GC[[#This Row],[Date]],"mmm-yy")</f>
        <v>Jul-24</v>
      </c>
      <c r="H294" s="1">
        <f>DAY(EOMONTH(GC[[#This Row],[Month Year]],0))</f>
        <v>31</v>
      </c>
      <c r="I294" s="106"/>
      <c r="J294" s="116"/>
      <c r="K294" s="106"/>
      <c r="L294" s="106"/>
      <c r="M294" s="106"/>
      <c r="N294" s="106"/>
      <c r="O294" s="106"/>
      <c r="P294" s="106"/>
      <c r="Q294" s="106"/>
      <c r="R294" s="106"/>
      <c r="S294" s="1">
        <f>SUM(GC[[#This Row],[Blk1]:[Blk8]])</f>
        <v>0</v>
      </c>
      <c r="T294" s="106" t="str">
        <f>PROPER(GC[[#This Row],[Resources]])</f>
        <v/>
      </c>
      <c r="U294" s="106"/>
    </row>
    <row r="295" spans="1:21" x14ac:dyDescent="0.25">
      <c r="A295" s="122">
        <v>293</v>
      </c>
      <c r="B295" s="103">
        <f t="shared" si="5"/>
        <v>45492</v>
      </c>
      <c r="C295" s="109">
        <v>2024</v>
      </c>
      <c r="D295" s="110">
        <f>YEAR(GC[[#This Row],[Date]])</f>
        <v>2024</v>
      </c>
      <c r="E295" s="101" t="s">
        <v>73</v>
      </c>
      <c r="F295" s="101" t="s">
        <v>73</v>
      </c>
      <c r="G295" s="1" t="str">
        <f>TEXT(GC[[#This Row],[Date]],"mmm-yy")</f>
        <v>Jul-24</v>
      </c>
      <c r="H295" s="1">
        <f>DAY(EOMONTH(GC[[#This Row],[Month Year]],0))</f>
        <v>31</v>
      </c>
      <c r="I295" s="106"/>
      <c r="J295" s="116"/>
      <c r="K295" s="106"/>
      <c r="L295" s="106"/>
      <c r="M295" s="106"/>
      <c r="N295" s="106"/>
      <c r="O295" s="106"/>
      <c r="P295" s="106"/>
      <c r="Q295" s="106"/>
      <c r="R295" s="106"/>
      <c r="S295" s="1">
        <f>SUM(GC[[#This Row],[Blk1]:[Blk8]])</f>
        <v>0</v>
      </c>
      <c r="T295" s="106" t="str">
        <f>PROPER(GC[[#This Row],[Resources]])</f>
        <v/>
      </c>
      <c r="U295" s="106"/>
    </row>
    <row r="296" spans="1:21" x14ac:dyDescent="0.25">
      <c r="A296" s="122">
        <v>294</v>
      </c>
      <c r="B296" s="103">
        <f t="shared" si="5"/>
        <v>45493</v>
      </c>
      <c r="C296" s="109">
        <v>2024</v>
      </c>
      <c r="D296" s="110">
        <f>YEAR(GC[[#This Row],[Date]])</f>
        <v>2024</v>
      </c>
      <c r="E296" s="101" t="s">
        <v>73</v>
      </c>
      <c r="F296" s="101" t="s">
        <v>73</v>
      </c>
      <c r="G296" s="1" t="str">
        <f>TEXT(GC[[#This Row],[Date]],"mmm-yy")</f>
        <v>Jul-24</v>
      </c>
      <c r="H296" s="1">
        <f>DAY(EOMONTH(GC[[#This Row],[Month Year]],0))</f>
        <v>31</v>
      </c>
      <c r="I296" s="106"/>
      <c r="J296" s="116"/>
      <c r="K296" s="106"/>
      <c r="L296" s="106"/>
      <c r="M296" s="106"/>
      <c r="N296" s="106"/>
      <c r="O296" s="106"/>
      <c r="P296" s="106"/>
      <c r="Q296" s="106"/>
      <c r="R296" s="106"/>
      <c r="S296" s="1">
        <f>SUM(GC[[#This Row],[Blk1]:[Blk8]])</f>
        <v>0</v>
      </c>
      <c r="T296" s="106" t="str">
        <f>PROPER(GC[[#This Row],[Resources]])</f>
        <v/>
      </c>
      <c r="U296" s="106"/>
    </row>
    <row r="297" spans="1:21" x14ac:dyDescent="0.25">
      <c r="A297" s="122">
        <v>295</v>
      </c>
      <c r="B297" s="103">
        <f t="shared" si="5"/>
        <v>45494</v>
      </c>
      <c r="C297" s="109">
        <v>2024</v>
      </c>
      <c r="D297" s="110">
        <f>YEAR(GC[[#This Row],[Date]])</f>
        <v>2024</v>
      </c>
      <c r="E297" s="101" t="s">
        <v>73</v>
      </c>
      <c r="F297" s="101" t="s">
        <v>73</v>
      </c>
      <c r="G297" s="1" t="str">
        <f>TEXT(GC[[#This Row],[Date]],"mmm-yy")</f>
        <v>Jul-24</v>
      </c>
      <c r="H297" s="1">
        <f>DAY(EOMONTH(GC[[#This Row],[Month Year]],0))</f>
        <v>31</v>
      </c>
      <c r="I297" s="106"/>
      <c r="J297" s="116"/>
      <c r="K297" s="106"/>
      <c r="L297" s="106"/>
      <c r="M297" s="106"/>
      <c r="N297" s="106"/>
      <c r="O297" s="106"/>
      <c r="P297" s="106"/>
      <c r="Q297" s="106"/>
      <c r="R297" s="106"/>
      <c r="S297" s="1">
        <f>SUM(GC[[#This Row],[Blk1]:[Blk8]])</f>
        <v>0</v>
      </c>
      <c r="T297" s="106" t="str">
        <f>PROPER(GC[[#This Row],[Resources]])</f>
        <v/>
      </c>
      <c r="U297" s="106"/>
    </row>
    <row r="298" spans="1:21" x14ac:dyDescent="0.25">
      <c r="A298" s="122">
        <v>296</v>
      </c>
      <c r="B298" s="103">
        <f t="shared" si="5"/>
        <v>45495</v>
      </c>
      <c r="C298" s="109">
        <v>2024</v>
      </c>
      <c r="D298" s="110">
        <f>YEAR(GC[[#This Row],[Date]])</f>
        <v>2024</v>
      </c>
      <c r="E298" s="101" t="s">
        <v>73</v>
      </c>
      <c r="F298" s="101" t="s">
        <v>73</v>
      </c>
      <c r="G298" s="1" t="str">
        <f>TEXT(GC[[#This Row],[Date]],"mmm-yy")</f>
        <v>Jul-24</v>
      </c>
      <c r="H298" s="1">
        <f>DAY(EOMONTH(GC[[#This Row],[Month Year]],0))</f>
        <v>31</v>
      </c>
      <c r="I298" s="106"/>
      <c r="J298" s="116"/>
      <c r="K298" s="106"/>
      <c r="L298" s="106"/>
      <c r="M298" s="106"/>
      <c r="N298" s="106"/>
      <c r="O298" s="106"/>
      <c r="P298" s="106"/>
      <c r="Q298" s="106"/>
      <c r="R298" s="106"/>
      <c r="S298" s="1">
        <f>SUM(GC[[#This Row],[Blk1]:[Blk8]])</f>
        <v>0</v>
      </c>
      <c r="T298" s="106" t="str">
        <f>PROPER(GC[[#This Row],[Resources]])</f>
        <v/>
      </c>
      <c r="U298" s="106"/>
    </row>
    <row r="299" spans="1:21" x14ac:dyDescent="0.25">
      <c r="A299" s="122">
        <v>297</v>
      </c>
      <c r="B299" s="103">
        <f t="shared" si="5"/>
        <v>45496</v>
      </c>
      <c r="C299" s="109">
        <v>2024</v>
      </c>
      <c r="D299" s="110">
        <f>YEAR(GC[[#This Row],[Date]])</f>
        <v>2024</v>
      </c>
      <c r="E299" s="101" t="s">
        <v>73</v>
      </c>
      <c r="F299" s="101" t="s">
        <v>73</v>
      </c>
      <c r="G299" s="1" t="str">
        <f>TEXT(GC[[#This Row],[Date]],"mmm-yy")</f>
        <v>Jul-24</v>
      </c>
      <c r="H299" s="1">
        <f>DAY(EOMONTH(GC[[#This Row],[Month Year]],0))</f>
        <v>31</v>
      </c>
      <c r="I299" s="106"/>
      <c r="J299" s="116"/>
      <c r="K299" s="106"/>
      <c r="L299" s="106"/>
      <c r="M299" s="106"/>
      <c r="N299" s="106"/>
      <c r="O299" s="106"/>
      <c r="P299" s="106"/>
      <c r="Q299" s="106"/>
      <c r="R299" s="106"/>
      <c r="S299" s="1">
        <f>SUM(GC[[#This Row],[Blk1]:[Blk8]])</f>
        <v>0</v>
      </c>
      <c r="T299" s="106" t="str">
        <f>PROPER(GC[[#This Row],[Resources]])</f>
        <v/>
      </c>
      <c r="U299" s="106"/>
    </row>
    <row r="300" spans="1:21" x14ac:dyDescent="0.25">
      <c r="A300" s="122">
        <v>298</v>
      </c>
      <c r="B300" s="103">
        <f t="shared" si="5"/>
        <v>45497</v>
      </c>
      <c r="C300" s="109">
        <v>2024</v>
      </c>
      <c r="D300" s="110">
        <f>YEAR(GC[[#This Row],[Date]])</f>
        <v>2024</v>
      </c>
      <c r="E300" s="101" t="s">
        <v>73</v>
      </c>
      <c r="F300" s="101" t="s">
        <v>73</v>
      </c>
      <c r="G300" s="1" t="str">
        <f>TEXT(GC[[#This Row],[Date]],"mmm-yy")</f>
        <v>Jul-24</v>
      </c>
      <c r="H300" s="1">
        <f>DAY(EOMONTH(GC[[#This Row],[Month Year]],0))</f>
        <v>31</v>
      </c>
      <c r="I300" s="106"/>
      <c r="J300" s="116"/>
      <c r="K300" s="106"/>
      <c r="L300" s="106"/>
      <c r="M300" s="106"/>
      <c r="N300" s="106"/>
      <c r="O300" s="106"/>
      <c r="P300" s="106"/>
      <c r="Q300" s="106"/>
      <c r="R300" s="106"/>
      <c r="S300" s="1">
        <f>SUM(GC[[#This Row],[Blk1]:[Blk8]])</f>
        <v>0</v>
      </c>
      <c r="T300" s="106" t="str">
        <f>PROPER(GC[[#This Row],[Resources]])</f>
        <v/>
      </c>
      <c r="U300" s="106"/>
    </row>
    <row r="301" spans="1:21" x14ac:dyDescent="0.25">
      <c r="A301" s="122">
        <v>299</v>
      </c>
      <c r="B301" s="103">
        <f t="shared" si="5"/>
        <v>45498</v>
      </c>
      <c r="C301" s="109">
        <v>2024</v>
      </c>
      <c r="D301" s="110">
        <f>YEAR(GC[[#This Row],[Date]])</f>
        <v>2024</v>
      </c>
      <c r="E301" s="101" t="s">
        <v>73</v>
      </c>
      <c r="F301" s="101" t="s">
        <v>73</v>
      </c>
      <c r="G301" s="1" t="str">
        <f>TEXT(GC[[#This Row],[Date]],"mmm-yy")</f>
        <v>Jul-24</v>
      </c>
      <c r="H301" s="1">
        <f>DAY(EOMONTH(GC[[#This Row],[Month Year]],0))</f>
        <v>31</v>
      </c>
      <c r="I301" s="106"/>
      <c r="J301" s="116"/>
      <c r="K301" s="106"/>
      <c r="L301" s="106"/>
      <c r="M301" s="106"/>
      <c r="N301" s="106"/>
      <c r="O301" s="106"/>
      <c r="P301" s="106"/>
      <c r="Q301" s="106"/>
      <c r="R301" s="106"/>
      <c r="S301" s="1">
        <f>SUM(GC[[#This Row],[Blk1]:[Blk8]])</f>
        <v>0</v>
      </c>
      <c r="T301" s="106" t="str">
        <f>PROPER(GC[[#This Row],[Resources]])</f>
        <v/>
      </c>
      <c r="U301" s="106"/>
    </row>
    <row r="302" spans="1:21" x14ac:dyDescent="0.25">
      <c r="A302" s="122">
        <v>300</v>
      </c>
      <c r="B302" s="103">
        <f t="shared" si="5"/>
        <v>45499</v>
      </c>
      <c r="C302" s="109">
        <v>2024</v>
      </c>
      <c r="D302" s="110">
        <f>YEAR(GC[[#This Row],[Date]])</f>
        <v>2024</v>
      </c>
      <c r="E302" s="101" t="s">
        <v>73</v>
      </c>
      <c r="F302" s="101" t="s">
        <v>73</v>
      </c>
      <c r="G302" s="1" t="str">
        <f>TEXT(GC[[#This Row],[Date]],"mmm-yy")</f>
        <v>Jul-24</v>
      </c>
      <c r="H302" s="1">
        <f>DAY(EOMONTH(GC[[#This Row],[Month Year]],0))</f>
        <v>31</v>
      </c>
      <c r="I302" s="106"/>
      <c r="J302" s="116"/>
      <c r="K302" s="106"/>
      <c r="L302" s="106"/>
      <c r="M302" s="106"/>
      <c r="N302" s="106"/>
      <c r="O302" s="106"/>
      <c r="P302" s="106"/>
      <c r="Q302" s="106"/>
      <c r="R302" s="106"/>
      <c r="S302" s="1">
        <f>SUM(GC[[#This Row],[Blk1]:[Blk8]])</f>
        <v>0</v>
      </c>
      <c r="T302" s="106" t="str">
        <f>PROPER(GC[[#This Row],[Resources]])</f>
        <v/>
      </c>
      <c r="U302" s="106"/>
    </row>
    <row r="303" spans="1:21" x14ac:dyDescent="0.25">
      <c r="A303" s="122">
        <v>301</v>
      </c>
      <c r="B303" s="103">
        <f t="shared" si="5"/>
        <v>45500</v>
      </c>
      <c r="C303" s="109">
        <v>2024</v>
      </c>
      <c r="D303" s="110">
        <f>YEAR(GC[[#This Row],[Date]])</f>
        <v>2024</v>
      </c>
      <c r="E303" s="101" t="s">
        <v>73</v>
      </c>
      <c r="F303" s="101" t="s">
        <v>73</v>
      </c>
      <c r="G303" s="1" t="str">
        <f>TEXT(GC[[#This Row],[Date]],"mmm-yy")</f>
        <v>Jul-24</v>
      </c>
      <c r="H303" s="1">
        <f>DAY(EOMONTH(GC[[#This Row],[Month Year]],0))</f>
        <v>31</v>
      </c>
      <c r="I303" s="106"/>
      <c r="J303" s="116"/>
      <c r="K303" s="106"/>
      <c r="L303" s="106"/>
      <c r="M303" s="106"/>
      <c r="N303" s="106"/>
      <c r="O303" s="106"/>
      <c r="P303" s="106"/>
      <c r="Q303" s="106"/>
      <c r="R303" s="106"/>
      <c r="S303" s="1">
        <f>SUM(GC[[#This Row],[Blk1]:[Blk8]])</f>
        <v>0</v>
      </c>
      <c r="T303" s="106" t="str">
        <f>PROPER(GC[[#This Row],[Resources]])</f>
        <v/>
      </c>
      <c r="U303" s="106"/>
    </row>
    <row r="304" spans="1:21" x14ac:dyDescent="0.25">
      <c r="A304" s="122">
        <v>302</v>
      </c>
      <c r="B304" s="103">
        <f t="shared" si="5"/>
        <v>45501</v>
      </c>
      <c r="C304" s="109">
        <v>2024</v>
      </c>
      <c r="D304" s="110">
        <f>YEAR(GC[[#This Row],[Date]])</f>
        <v>2024</v>
      </c>
      <c r="E304" s="101" t="s">
        <v>73</v>
      </c>
      <c r="F304" s="101" t="s">
        <v>73</v>
      </c>
      <c r="G304" s="1" t="str">
        <f>TEXT(GC[[#This Row],[Date]],"mmm-yy")</f>
        <v>Jul-24</v>
      </c>
      <c r="H304" s="1">
        <f>DAY(EOMONTH(GC[[#This Row],[Month Year]],0))</f>
        <v>31</v>
      </c>
      <c r="I304" s="106"/>
      <c r="J304" s="116"/>
      <c r="K304" s="106"/>
      <c r="L304" s="106"/>
      <c r="M304" s="106"/>
      <c r="N304" s="106"/>
      <c r="O304" s="106"/>
      <c r="P304" s="106"/>
      <c r="Q304" s="106"/>
      <c r="R304" s="106"/>
      <c r="S304" s="1">
        <f>SUM(GC[[#This Row],[Blk1]:[Blk8]])</f>
        <v>0</v>
      </c>
      <c r="T304" s="106" t="str">
        <f>PROPER(GC[[#This Row],[Resources]])</f>
        <v/>
      </c>
      <c r="U304" s="106"/>
    </row>
    <row r="305" spans="1:21" x14ac:dyDescent="0.25">
      <c r="A305" s="122">
        <v>303</v>
      </c>
      <c r="B305" s="103">
        <f t="shared" si="5"/>
        <v>45502</v>
      </c>
      <c r="C305" s="109">
        <v>2024</v>
      </c>
      <c r="D305" s="110">
        <f>YEAR(GC[[#This Row],[Date]])</f>
        <v>2024</v>
      </c>
      <c r="E305" s="101" t="s">
        <v>73</v>
      </c>
      <c r="F305" s="101" t="s">
        <v>73</v>
      </c>
      <c r="G305" s="1" t="str">
        <f>TEXT(GC[[#This Row],[Date]],"mmm-yy")</f>
        <v>Jul-24</v>
      </c>
      <c r="H305" s="1">
        <f>DAY(EOMONTH(GC[[#This Row],[Month Year]],0))</f>
        <v>31</v>
      </c>
      <c r="I305" s="106"/>
      <c r="J305" s="116"/>
      <c r="K305" s="106"/>
      <c r="L305" s="106"/>
      <c r="M305" s="106"/>
      <c r="N305" s="106"/>
      <c r="O305" s="106"/>
      <c r="P305" s="106"/>
      <c r="Q305" s="106"/>
      <c r="R305" s="106"/>
      <c r="S305" s="1">
        <f>SUM(GC[[#This Row],[Blk1]:[Blk8]])</f>
        <v>0</v>
      </c>
      <c r="T305" s="106" t="str">
        <f>PROPER(GC[[#This Row],[Resources]])</f>
        <v/>
      </c>
      <c r="U305" s="106"/>
    </row>
    <row r="306" spans="1:21" x14ac:dyDescent="0.25">
      <c r="A306" s="122">
        <v>304</v>
      </c>
      <c r="B306" s="103">
        <f t="shared" si="5"/>
        <v>45503</v>
      </c>
      <c r="C306" s="109">
        <v>2024</v>
      </c>
      <c r="D306" s="110">
        <f>YEAR(GC[[#This Row],[Date]])</f>
        <v>2024</v>
      </c>
      <c r="E306" s="101" t="s">
        <v>73</v>
      </c>
      <c r="F306" s="101" t="s">
        <v>73</v>
      </c>
      <c r="G306" s="1" t="str">
        <f>TEXT(GC[[#This Row],[Date]],"mmm-yy")</f>
        <v>Jul-24</v>
      </c>
      <c r="H306" s="1">
        <f>DAY(EOMONTH(GC[[#This Row],[Month Year]],0))</f>
        <v>31</v>
      </c>
      <c r="I306" s="106"/>
      <c r="J306" s="116"/>
      <c r="K306" s="106"/>
      <c r="L306" s="106"/>
      <c r="M306" s="106"/>
      <c r="N306" s="106"/>
      <c r="O306" s="106"/>
      <c r="P306" s="106"/>
      <c r="Q306" s="106"/>
      <c r="R306" s="106"/>
      <c r="S306" s="1">
        <f>SUM(GC[[#This Row],[Blk1]:[Blk8]])</f>
        <v>0</v>
      </c>
      <c r="T306" s="106" t="str">
        <f>PROPER(GC[[#This Row],[Resources]])</f>
        <v/>
      </c>
      <c r="U306" s="106"/>
    </row>
    <row r="307" spans="1:21" x14ac:dyDescent="0.25">
      <c r="A307" s="122">
        <v>305</v>
      </c>
      <c r="B307" s="103">
        <f t="shared" si="5"/>
        <v>45504</v>
      </c>
      <c r="C307" s="109">
        <v>2024</v>
      </c>
      <c r="D307" s="110">
        <f>YEAR(GC[[#This Row],[Date]])</f>
        <v>2024</v>
      </c>
      <c r="E307" s="101" t="s">
        <v>73</v>
      </c>
      <c r="F307" s="101" t="s">
        <v>73</v>
      </c>
      <c r="G307" s="1" t="str">
        <f>TEXT(GC[[#This Row],[Date]],"mmm-yy")</f>
        <v>Jul-24</v>
      </c>
      <c r="H307" s="1">
        <f>DAY(EOMONTH(GC[[#This Row],[Month Year]],0))</f>
        <v>31</v>
      </c>
      <c r="I307" s="106"/>
      <c r="J307" s="116"/>
      <c r="K307" s="106"/>
      <c r="L307" s="106"/>
      <c r="M307" s="106"/>
      <c r="N307" s="106"/>
      <c r="O307" s="106"/>
      <c r="P307" s="106"/>
      <c r="Q307" s="106"/>
      <c r="R307" s="106"/>
      <c r="S307" s="1">
        <f>SUM(GC[[#This Row],[Blk1]:[Blk8]])</f>
        <v>0</v>
      </c>
      <c r="T307" s="106" t="str">
        <f>PROPER(GC[[#This Row],[Resources]])</f>
        <v/>
      </c>
      <c r="U307" s="106"/>
    </row>
    <row r="308" spans="1:21" x14ac:dyDescent="0.25">
      <c r="A308" s="122">
        <v>306</v>
      </c>
      <c r="B308" s="103">
        <f t="shared" si="5"/>
        <v>45505</v>
      </c>
      <c r="C308" s="109">
        <v>2024</v>
      </c>
      <c r="D308" s="110">
        <f>YEAR(GC[[#This Row],[Date]])</f>
        <v>2024</v>
      </c>
      <c r="E308" s="101" t="s">
        <v>73</v>
      </c>
      <c r="F308" s="101" t="s">
        <v>73</v>
      </c>
      <c r="G308" s="1" t="str">
        <f>TEXT(GC[[#This Row],[Date]],"mmm-yy")</f>
        <v>Aug-24</v>
      </c>
      <c r="H308" s="1">
        <f>DAY(EOMONTH(GC[[#This Row],[Month Year]],0))</f>
        <v>31</v>
      </c>
      <c r="I308" s="106"/>
      <c r="J308" s="116"/>
      <c r="K308" s="106"/>
      <c r="L308" s="106"/>
      <c r="M308" s="106"/>
      <c r="N308" s="106"/>
      <c r="O308" s="106"/>
      <c r="P308" s="106"/>
      <c r="Q308" s="106"/>
      <c r="R308" s="106"/>
      <c r="S308" s="1">
        <f>SUM(GC[[#This Row],[Blk1]:[Blk8]])</f>
        <v>0</v>
      </c>
      <c r="T308" s="106" t="str">
        <f>PROPER(GC[[#This Row],[Resources]])</f>
        <v/>
      </c>
      <c r="U308" s="106"/>
    </row>
    <row r="309" spans="1:21" x14ac:dyDescent="0.25">
      <c r="A309" s="122">
        <v>307</v>
      </c>
      <c r="B309" s="103">
        <f t="shared" si="5"/>
        <v>45506</v>
      </c>
      <c r="C309" s="109">
        <v>2024</v>
      </c>
      <c r="D309" s="110">
        <f>YEAR(GC[[#This Row],[Date]])</f>
        <v>2024</v>
      </c>
      <c r="E309" s="101" t="s">
        <v>73</v>
      </c>
      <c r="F309" s="101" t="s">
        <v>73</v>
      </c>
      <c r="G309" s="1" t="str">
        <f>TEXT(GC[[#This Row],[Date]],"mmm-yy")</f>
        <v>Aug-24</v>
      </c>
      <c r="H309" s="1">
        <f>DAY(EOMONTH(GC[[#This Row],[Month Year]],0))</f>
        <v>31</v>
      </c>
      <c r="I309" s="106"/>
      <c r="J309" s="116"/>
      <c r="K309" s="106"/>
      <c r="L309" s="106"/>
      <c r="M309" s="106"/>
      <c r="N309" s="106"/>
      <c r="O309" s="106"/>
      <c r="P309" s="106"/>
      <c r="Q309" s="106"/>
      <c r="R309" s="106"/>
      <c r="S309" s="1">
        <f>SUM(GC[[#This Row],[Blk1]:[Blk8]])</f>
        <v>0</v>
      </c>
      <c r="T309" s="106" t="str">
        <f>PROPER(GC[[#This Row],[Resources]])</f>
        <v/>
      </c>
      <c r="U309" s="106"/>
    </row>
    <row r="310" spans="1:21" x14ac:dyDescent="0.25">
      <c r="A310" s="122">
        <v>308</v>
      </c>
      <c r="B310" s="103">
        <f t="shared" si="5"/>
        <v>45507</v>
      </c>
      <c r="C310" s="109">
        <v>2024</v>
      </c>
      <c r="D310" s="110">
        <f>YEAR(GC[[#This Row],[Date]])</f>
        <v>2024</v>
      </c>
      <c r="E310" s="101" t="s">
        <v>73</v>
      </c>
      <c r="F310" s="101" t="s">
        <v>73</v>
      </c>
      <c r="G310" s="1" t="str">
        <f>TEXT(GC[[#This Row],[Date]],"mmm-yy")</f>
        <v>Aug-24</v>
      </c>
      <c r="H310" s="1">
        <f>DAY(EOMONTH(GC[[#This Row],[Month Year]],0))</f>
        <v>31</v>
      </c>
      <c r="I310" s="106"/>
      <c r="J310" s="116"/>
      <c r="K310" s="106"/>
      <c r="L310" s="106"/>
      <c r="M310" s="106"/>
      <c r="N310" s="106"/>
      <c r="O310" s="106"/>
      <c r="P310" s="106"/>
      <c r="Q310" s="106"/>
      <c r="R310" s="106"/>
      <c r="S310" s="1">
        <f>SUM(GC[[#This Row],[Blk1]:[Blk8]])</f>
        <v>0</v>
      </c>
      <c r="T310" s="106" t="str">
        <f>PROPER(GC[[#This Row],[Resources]])</f>
        <v/>
      </c>
      <c r="U310" s="106"/>
    </row>
    <row r="311" spans="1:21" x14ac:dyDescent="0.25">
      <c r="A311" s="122">
        <v>309</v>
      </c>
      <c r="B311" s="103">
        <f t="shared" si="5"/>
        <v>45508</v>
      </c>
      <c r="C311" s="109">
        <v>2024</v>
      </c>
      <c r="D311" s="110">
        <f>YEAR(GC[[#This Row],[Date]])</f>
        <v>2024</v>
      </c>
      <c r="E311" s="101" t="s">
        <v>73</v>
      </c>
      <c r="F311" s="101" t="s">
        <v>73</v>
      </c>
      <c r="G311" s="1" t="str">
        <f>TEXT(GC[[#This Row],[Date]],"mmm-yy")</f>
        <v>Aug-24</v>
      </c>
      <c r="H311" s="1">
        <f>DAY(EOMONTH(GC[[#This Row],[Month Year]],0))</f>
        <v>31</v>
      </c>
      <c r="I311" s="106"/>
      <c r="J311" s="116"/>
      <c r="K311" s="106"/>
      <c r="L311" s="106"/>
      <c r="M311" s="106"/>
      <c r="N311" s="106"/>
      <c r="O311" s="106"/>
      <c r="P311" s="106"/>
      <c r="Q311" s="106"/>
      <c r="R311" s="106"/>
      <c r="S311" s="1">
        <f>SUM(GC[[#This Row],[Blk1]:[Blk8]])</f>
        <v>0</v>
      </c>
      <c r="T311" s="106" t="str">
        <f>PROPER(GC[[#This Row],[Resources]])</f>
        <v/>
      </c>
      <c r="U311" s="106"/>
    </row>
    <row r="312" spans="1:21" x14ac:dyDescent="0.25">
      <c r="A312" s="122">
        <v>310</v>
      </c>
      <c r="B312" s="103">
        <f t="shared" si="5"/>
        <v>45509</v>
      </c>
      <c r="C312" s="109">
        <v>2024</v>
      </c>
      <c r="D312" s="110">
        <f>YEAR(GC[[#This Row],[Date]])</f>
        <v>2024</v>
      </c>
      <c r="E312" s="101" t="s">
        <v>73</v>
      </c>
      <c r="F312" s="101" t="s">
        <v>73</v>
      </c>
      <c r="G312" s="1" t="str">
        <f>TEXT(GC[[#This Row],[Date]],"mmm-yy")</f>
        <v>Aug-24</v>
      </c>
      <c r="H312" s="1">
        <f>DAY(EOMONTH(GC[[#This Row],[Month Year]],0))</f>
        <v>31</v>
      </c>
      <c r="I312" s="106"/>
      <c r="J312" s="116"/>
      <c r="K312" s="106"/>
      <c r="L312" s="106"/>
      <c r="M312" s="106"/>
      <c r="N312" s="106"/>
      <c r="O312" s="106"/>
      <c r="P312" s="106"/>
      <c r="Q312" s="106"/>
      <c r="R312" s="106"/>
      <c r="S312" s="1">
        <f>SUM(GC[[#This Row],[Blk1]:[Blk8]])</f>
        <v>0</v>
      </c>
      <c r="T312" s="106" t="str">
        <f>PROPER(GC[[#This Row],[Resources]])</f>
        <v/>
      </c>
      <c r="U312" s="106"/>
    </row>
    <row r="313" spans="1:21" x14ac:dyDescent="0.25">
      <c r="A313" s="122">
        <v>311</v>
      </c>
      <c r="B313" s="103">
        <f t="shared" si="5"/>
        <v>45510</v>
      </c>
      <c r="C313" s="109">
        <v>2024</v>
      </c>
      <c r="D313" s="110">
        <f>YEAR(GC[[#This Row],[Date]])</f>
        <v>2024</v>
      </c>
      <c r="E313" s="101" t="s">
        <v>73</v>
      </c>
      <c r="F313" s="101" t="s">
        <v>73</v>
      </c>
      <c r="G313" s="1" t="str">
        <f>TEXT(GC[[#This Row],[Date]],"mmm-yy")</f>
        <v>Aug-24</v>
      </c>
      <c r="H313" s="1">
        <f>DAY(EOMONTH(GC[[#This Row],[Month Year]],0))</f>
        <v>31</v>
      </c>
      <c r="I313" s="106"/>
      <c r="J313" s="116"/>
      <c r="K313" s="106"/>
      <c r="L313" s="106"/>
      <c r="M313" s="106"/>
      <c r="N313" s="106"/>
      <c r="O313" s="106"/>
      <c r="P313" s="106"/>
      <c r="Q313" s="106"/>
      <c r="R313" s="106"/>
      <c r="S313" s="1">
        <f>SUM(GC[[#This Row],[Blk1]:[Blk8]])</f>
        <v>0</v>
      </c>
      <c r="T313" s="106" t="str">
        <f>PROPER(GC[[#This Row],[Resources]])</f>
        <v/>
      </c>
      <c r="U313" s="106"/>
    </row>
    <row r="314" spans="1:21" x14ac:dyDescent="0.25">
      <c r="A314" s="122">
        <v>312</v>
      </c>
      <c r="B314" s="103">
        <f t="shared" si="5"/>
        <v>45511</v>
      </c>
      <c r="C314" s="109">
        <v>2024</v>
      </c>
      <c r="D314" s="110">
        <f>YEAR(GC[[#This Row],[Date]])</f>
        <v>2024</v>
      </c>
      <c r="E314" s="101" t="s">
        <v>73</v>
      </c>
      <c r="F314" s="101" t="s">
        <v>73</v>
      </c>
      <c r="G314" s="1" t="str">
        <f>TEXT(GC[[#This Row],[Date]],"mmm-yy")</f>
        <v>Aug-24</v>
      </c>
      <c r="H314" s="1">
        <f>DAY(EOMONTH(GC[[#This Row],[Month Year]],0))</f>
        <v>31</v>
      </c>
      <c r="I314" s="106"/>
      <c r="J314" s="116"/>
      <c r="K314" s="106"/>
      <c r="L314" s="106"/>
      <c r="M314" s="106"/>
      <c r="N314" s="106"/>
      <c r="O314" s="106"/>
      <c r="P314" s="106"/>
      <c r="Q314" s="106"/>
      <c r="R314" s="106"/>
      <c r="S314" s="1">
        <f>SUM(GC[[#This Row],[Blk1]:[Blk8]])</f>
        <v>0</v>
      </c>
      <c r="T314" s="106" t="str">
        <f>PROPER(GC[[#This Row],[Resources]])</f>
        <v/>
      </c>
      <c r="U314" s="106"/>
    </row>
    <row r="315" spans="1:21" x14ac:dyDescent="0.25">
      <c r="A315" s="122">
        <v>313</v>
      </c>
      <c r="B315" s="103">
        <f t="shared" si="5"/>
        <v>45512</v>
      </c>
      <c r="C315" s="109">
        <v>2024</v>
      </c>
      <c r="D315" s="110">
        <f>YEAR(GC[[#This Row],[Date]])</f>
        <v>2024</v>
      </c>
      <c r="E315" s="101" t="s">
        <v>73</v>
      </c>
      <c r="F315" s="101" t="s">
        <v>73</v>
      </c>
      <c r="G315" s="1" t="str">
        <f>TEXT(GC[[#This Row],[Date]],"mmm-yy")</f>
        <v>Aug-24</v>
      </c>
      <c r="H315" s="1">
        <f>DAY(EOMONTH(GC[[#This Row],[Month Year]],0))</f>
        <v>31</v>
      </c>
      <c r="I315" s="106"/>
      <c r="J315" s="116"/>
      <c r="K315" s="106"/>
      <c r="L315" s="106"/>
      <c r="M315" s="106"/>
      <c r="N315" s="106"/>
      <c r="O315" s="106"/>
      <c r="P315" s="106"/>
      <c r="Q315" s="106"/>
      <c r="R315" s="106"/>
      <c r="S315" s="1">
        <f>SUM(GC[[#This Row],[Blk1]:[Blk8]])</f>
        <v>0</v>
      </c>
      <c r="T315" s="106" t="str">
        <f>PROPER(GC[[#This Row],[Resources]])</f>
        <v/>
      </c>
      <c r="U315" s="106"/>
    </row>
    <row r="316" spans="1:21" x14ac:dyDescent="0.25">
      <c r="A316" s="122">
        <v>314</v>
      </c>
      <c r="B316" s="103">
        <f t="shared" si="5"/>
        <v>45513</v>
      </c>
      <c r="C316" s="109">
        <v>2024</v>
      </c>
      <c r="D316" s="110">
        <f>YEAR(GC[[#This Row],[Date]])</f>
        <v>2024</v>
      </c>
      <c r="E316" s="101" t="s">
        <v>73</v>
      </c>
      <c r="F316" s="101" t="s">
        <v>73</v>
      </c>
      <c r="G316" s="1" t="str">
        <f>TEXT(GC[[#This Row],[Date]],"mmm-yy")</f>
        <v>Aug-24</v>
      </c>
      <c r="H316" s="1">
        <f>DAY(EOMONTH(GC[[#This Row],[Month Year]],0))</f>
        <v>31</v>
      </c>
      <c r="I316" s="106"/>
      <c r="J316" s="116"/>
      <c r="K316" s="106"/>
      <c r="L316" s="106"/>
      <c r="M316" s="106"/>
      <c r="N316" s="106"/>
      <c r="O316" s="106"/>
      <c r="P316" s="106"/>
      <c r="Q316" s="106"/>
      <c r="R316" s="106"/>
      <c r="S316" s="1">
        <f>SUM(GC[[#This Row],[Blk1]:[Blk8]])</f>
        <v>0</v>
      </c>
      <c r="T316" s="106" t="str">
        <f>PROPER(GC[[#This Row],[Resources]])</f>
        <v/>
      </c>
      <c r="U316" s="106"/>
    </row>
    <row r="317" spans="1:21" x14ac:dyDescent="0.25">
      <c r="A317" s="122">
        <v>315</v>
      </c>
      <c r="B317" s="103">
        <f t="shared" si="5"/>
        <v>45514</v>
      </c>
      <c r="C317" s="109">
        <v>2024</v>
      </c>
      <c r="D317" s="110">
        <f>YEAR(GC[[#This Row],[Date]])</f>
        <v>2024</v>
      </c>
      <c r="E317" s="101" t="s">
        <v>73</v>
      </c>
      <c r="F317" s="101" t="s">
        <v>73</v>
      </c>
      <c r="G317" s="1" t="str">
        <f>TEXT(GC[[#This Row],[Date]],"mmm-yy")</f>
        <v>Aug-24</v>
      </c>
      <c r="H317" s="1">
        <f>DAY(EOMONTH(GC[[#This Row],[Month Year]],0))</f>
        <v>31</v>
      </c>
      <c r="I317" s="106"/>
      <c r="J317" s="116"/>
      <c r="K317" s="106"/>
      <c r="L317" s="106"/>
      <c r="M317" s="106"/>
      <c r="N317" s="106"/>
      <c r="O317" s="106"/>
      <c r="P317" s="106"/>
      <c r="Q317" s="106"/>
      <c r="R317" s="106"/>
      <c r="S317" s="1">
        <f>SUM(GC[[#This Row],[Blk1]:[Blk8]])</f>
        <v>0</v>
      </c>
      <c r="T317" s="106" t="str">
        <f>PROPER(GC[[#This Row],[Resources]])</f>
        <v/>
      </c>
      <c r="U317" s="106"/>
    </row>
    <row r="318" spans="1:21" x14ac:dyDescent="0.25">
      <c r="A318" s="122">
        <v>316</v>
      </c>
      <c r="B318" s="103">
        <f t="shared" si="5"/>
        <v>45515</v>
      </c>
      <c r="C318" s="109">
        <v>2024</v>
      </c>
      <c r="D318" s="110">
        <f>YEAR(GC[[#This Row],[Date]])</f>
        <v>2024</v>
      </c>
      <c r="E318" s="101" t="s">
        <v>73</v>
      </c>
      <c r="F318" s="101" t="s">
        <v>73</v>
      </c>
      <c r="G318" s="1" t="str">
        <f>TEXT(GC[[#This Row],[Date]],"mmm-yy")</f>
        <v>Aug-24</v>
      </c>
      <c r="H318" s="1">
        <f>DAY(EOMONTH(GC[[#This Row],[Month Year]],0))</f>
        <v>31</v>
      </c>
      <c r="I318" s="106"/>
      <c r="J318" s="116"/>
      <c r="K318" s="106"/>
      <c r="L318" s="106"/>
      <c r="M318" s="106"/>
      <c r="N318" s="106"/>
      <c r="O318" s="106"/>
      <c r="P318" s="106"/>
      <c r="Q318" s="106"/>
      <c r="R318" s="106"/>
      <c r="S318" s="1">
        <f>SUM(GC[[#This Row],[Blk1]:[Blk8]])</f>
        <v>0</v>
      </c>
      <c r="T318" s="106" t="str">
        <f>PROPER(GC[[#This Row],[Resources]])</f>
        <v/>
      </c>
      <c r="U318" s="106"/>
    </row>
    <row r="319" spans="1:21" x14ac:dyDescent="0.25">
      <c r="A319" s="122">
        <v>317</v>
      </c>
      <c r="B319" s="103">
        <f t="shared" si="5"/>
        <v>45516</v>
      </c>
      <c r="C319" s="109">
        <v>2024</v>
      </c>
      <c r="D319" s="110">
        <f>YEAR(GC[[#This Row],[Date]])</f>
        <v>2024</v>
      </c>
      <c r="E319" s="101" t="s">
        <v>73</v>
      </c>
      <c r="F319" s="101" t="s">
        <v>73</v>
      </c>
      <c r="G319" s="1" t="str">
        <f>TEXT(GC[[#This Row],[Date]],"mmm-yy")</f>
        <v>Aug-24</v>
      </c>
      <c r="H319" s="1">
        <f>DAY(EOMONTH(GC[[#This Row],[Month Year]],0))</f>
        <v>31</v>
      </c>
      <c r="I319" s="106"/>
      <c r="J319" s="116"/>
      <c r="K319" s="106"/>
      <c r="L319" s="106"/>
      <c r="M319" s="106"/>
      <c r="N319" s="106"/>
      <c r="O319" s="106"/>
      <c r="P319" s="106"/>
      <c r="Q319" s="106"/>
      <c r="R319" s="106"/>
      <c r="S319" s="1">
        <f>SUM(GC[[#This Row],[Blk1]:[Blk8]])</f>
        <v>0</v>
      </c>
      <c r="T319" s="106" t="str">
        <f>PROPER(GC[[#This Row],[Resources]])</f>
        <v/>
      </c>
      <c r="U319" s="106"/>
    </row>
    <row r="320" spans="1:21" x14ac:dyDescent="0.25">
      <c r="A320" s="122">
        <v>318</v>
      </c>
      <c r="B320" s="103">
        <f t="shared" si="5"/>
        <v>45517</v>
      </c>
      <c r="C320" s="109">
        <v>2024</v>
      </c>
      <c r="D320" s="110">
        <f>YEAR(GC[[#This Row],[Date]])</f>
        <v>2024</v>
      </c>
      <c r="E320" s="101" t="s">
        <v>73</v>
      </c>
      <c r="F320" s="101" t="s">
        <v>73</v>
      </c>
      <c r="G320" s="1" t="str">
        <f>TEXT(GC[[#This Row],[Date]],"mmm-yy")</f>
        <v>Aug-24</v>
      </c>
      <c r="H320" s="1">
        <f>DAY(EOMONTH(GC[[#This Row],[Month Year]],0))</f>
        <v>31</v>
      </c>
      <c r="I320" s="106"/>
      <c r="J320" s="116"/>
      <c r="K320" s="106"/>
      <c r="L320" s="106"/>
      <c r="M320" s="106"/>
      <c r="N320" s="106"/>
      <c r="O320" s="106"/>
      <c r="P320" s="106"/>
      <c r="Q320" s="106"/>
      <c r="R320" s="106"/>
      <c r="S320" s="1">
        <f>SUM(GC[[#This Row],[Blk1]:[Blk8]])</f>
        <v>0</v>
      </c>
      <c r="T320" s="106" t="str">
        <f>PROPER(GC[[#This Row],[Resources]])</f>
        <v/>
      </c>
      <c r="U320" s="106"/>
    </row>
    <row r="321" spans="1:21" x14ac:dyDescent="0.25">
      <c r="A321" s="122">
        <v>319</v>
      </c>
      <c r="B321" s="103">
        <f t="shared" si="5"/>
        <v>45518</v>
      </c>
      <c r="C321" s="109">
        <v>2024</v>
      </c>
      <c r="D321" s="110">
        <f>YEAR(GC[[#This Row],[Date]])</f>
        <v>2024</v>
      </c>
      <c r="E321" s="101" t="s">
        <v>73</v>
      </c>
      <c r="F321" s="101" t="s">
        <v>73</v>
      </c>
      <c r="G321" s="1" t="str">
        <f>TEXT(GC[[#This Row],[Date]],"mmm-yy")</f>
        <v>Aug-24</v>
      </c>
      <c r="H321" s="1">
        <f>DAY(EOMONTH(GC[[#This Row],[Month Year]],0))</f>
        <v>31</v>
      </c>
      <c r="I321" s="106"/>
      <c r="J321" s="116"/>
      <c r="K321" s="106"/>
      <c r="L321" s="106"/>
      <c r="M321" s="106"/>
      <c r="N321" s="106"/>
      <c r="O321" s="106"/>
      <c r="P321" s="106"/>
      <c r="Q321" s="106"/>
      <c r="R321" s="106"/>
      <c r="S321" s="1">
        <f>SUM(GC[[#This Row],[Blk1]:[Blk8]])</f>
        <v>0</v>
      </c>
      <c r="T321" s="106" t="str">
        <f>PROPER(GC[[#This Row],[Resources]])</f>
        <v/>
      </c>
      <c r="U321" s="106"/>
    </row>
    <row r="322" spans="1:21" x14ac:dyDescent="0.25">
      <c r="A322" s="122">
        <v>320</v>
      </c>
      <c r="B322" s="103">
        <f t="shared" si="5"/>
        <v>45519</v>
      </c>
      <c r="C322" s="109">
        <v>2024</v>
      </c>
      <c r="D322" s="110">
        <f>YEAR(GC[[#This Row],[Date]])</f>
        <v>2024</v>
      </c>
      <c r="E322" s="101" t="s">
        <v>73</v>
      </c>
      <c r="F322" s="101" t="s">
        <v>73</v>
      </c>
      <c r="G322" s="1" t="str">
        <f>TEXT(GC[[#This Row],[Date]],"mmm-yy")</f>
        <v>Aug-24</v>
      </c>
      <c r="H322" s="1">
        <f>DAY(EOMONTH(GC[[#This Row],[Month Year]],0))</f>
        <v>31</v>
      </c>
      <c r="I322" s="106"/>
      <c r="J322" s="116"/>
      <c r="K322" s="106"/>
      <c r="L322" s="106"/>
      <c r="M322" s="106"/>
      <c r="N322" s="106"/>
      <c r="O322" s="106"/>
      <c r="P322" s="106"/>
      <c r="Q322" s="106"/>
      <c r="R322" s="106"/>
      <c r="S322" s="1">
        <f>SUM(GC[[#This Row],[Blk1]:[Blk8]])</f>
        <v>0</v>
      </c>
      <c r="T322" s="106" t="str">
        <f>PROPER(GC[[#This Row],[Resources]])</f>
        <v/>
      </c>
      <c r="U322" s="106"/>
    </row>
    <row r="323" spans="1:21" x14ac:dyDescent="0.25">
      <c r="A323" s="122">
        <v>321</v>
      </c>
      <c r="B323" s="103">
        <f t="shared" si="5"/>
        <v>45520</v>
      </c>
      <c r="C323" s="109">
        <v>2024</v>
      </c>
      <c r="D323" s="110">
        <f>YEAR(GC[[#This Row],[Date]])</f>
        <v>2024</v>
      </c>
      <c r="E323" s="101" t="s">
        <v>73</v>
      </c>
      <c r="F323" s="101" t="s">
        <v>73</v>
      </c>
      <c r="G323" s="1" t="str">
        <f>TEXT(GC[[#This Row],[Date]],"mmm-yy")</f>
        <v>Aug-24</v>
      </c>
      <c r="H323" s="1">
        <f>DAY(EOMONTH(GC[[#This Row],[Month Year]],0))</f>
        <v>31</v>
      </c>
      <c r="I323" s="106"/>
      <c r="J323" s="116"/>
      <c r="K323" s="106"/>
      <c r="L323" s="106"/>
      <c r="M323" s="106"/>
      <c r="N323" s="106"/>
      <c r="O323" s="106"/>
      <c r="P323" s="106"/>
      <c r="Q323" s="106"/>
      <c r="R323" s="106"/>
      <c r="S323" s="1">
        <f>SUM(GC[[#This Row],[Blk1]:[Blk8]])</f>
        <v>0</v>
      </c>
      <c r="T323" s="106" t="str">
        <f>PROPER(GC[[#This Row],[Resources]])</f>
        <v/>
      </c>
      <c r="U323" s="106"/>
    </row>
    <row r="324" spans="1:21" x14ac:dyDescent="0.25">
      <c r="A324" s="122">
        <v>322</v>
      </c>
      <c r="B324" s="103">
        <f t="shared" si="5"/>
        <v>45521</v>
      </c>
      <c r="C324" s="109">
        <v>2024</v>
      </c>
      <c r="D324" s="110">
        <f>YEAR(GC[[#This Row],[Date]])</f>
        <v>2024</v>
      </c>
      <c r="E324" s="101" t="s">
        <v>73</v>
      </c>
      <c r="F324" s="101" t="s">
        <v>73</v>
      </c>
      <c r="G324" s="1" t="str">
        <f>TEXT(GC[[#This Row],[Date]],"mmm-yy")</f>
        <v>Aug-24</v>
      </c>
      <c r="H324" s="1">
        <f>DAY(EOMONTH(GC[[#This Row],[Month Year]],0))</f>
        <v>31</v>
      </c>
      <c r="I324" s="106"/>
      <c r="J324" s="116"/>
      <c r="K324" s="106"/>
      <c r="L324" s="106"/>
      <c r="M324" s="106"/>
      <c r="N324" s="106"/>
      <c r="O324" s="106"/>
      <c r="P324" s="106"/>
      <c r="Q324" s="106"/>
      <c r="R324" s="106"/>
      <c r="S324" s="1">
        <f>SUM(GC[[#This Row],[Blk1]:[Blk8]])</f>
        <v>0</v>
      </c>
      <c r="T324" s="106" t="str">
        <f>PROPER(GC[[#This Row],[Resources]])</f>
        <v/>
      </c>
      <c r="U324" s="106"/>
    </row>
    <row r="325" spans="1:21" x14ac:dyDescent="0.25">
      <c r="A325" s="122">
        <v>323</v>
      </c>
      <c r="B325" s="103">
        <f t="shared" si="5"/>
        <v>45522</v>
      </c>
      <c r="C325" s="109">
        <v>2024</v>
      </c>
      <c r="D325" s="110">
        <f>YEAR(GC[[#This Row],[Date]])</f>
        <v>2024</v>
      </c>
      <c r="E325" s="101" t="s">
        <v>73</v>
      </c>
      <c r="F325" s="101" t="s">
        <v>73</v>
      </c>
      <c r="G325" s="1" t="str">
        <f>TEXT(GC[[#This Row],[Date]],"mmm-yy")</f>
        <v>Aug-24</v>
      </c>
      <c r="H325" s="1">
        <f>DAY(EOMONTH(GC[[#This Row],[Month Year]],0))</f>
        <v>31</v>
      </c>
      <c r="I325" s="106"/>
      <c r="J325" s="116"/>
      <c r="K325" s="106"/>
      <c r="L325" s="106"/>
      <c r="M325" s="106"/>
      <c r="N325" s="106"/>
      <c r="O325" s="106"/>
      <c r="P325" s="106"/>
      <c r="Q325" s="106"/>
      <c r="R325" s="106"/>
      <c r="S325" s="1">
        <f>SUM(GC[[#This Row],[Blk1]:[Blk8]])</f>
        <v>0</v>
      </c>
      <c r="T325" s="106" t="str">
        <f>PROPER(GC[[#This Row],[Resources]])</f>
        <v/>
      </c>
      <c r="U325" s="106"/>
    </row>
    <row r="326" spans="1:21" x14ac:dyDescent="0.25">
      <c r="A326" s="122">
        <v>324</v>
      </c>
      <c r="B326" s="103">
        <f t="shared" si="5"/>
        <v>45523</v>
      </c>
      <c r="C326" s="109">
        <v>2024</v>
      </c>
      <c r="D326" s="110">
        <f>YEAR(GC[[#This Row],[Date]])</f>
        <v>2024</v>
      </c>
      <c r="E326" s="101" t="s">
        <v>73</v>
      </c>
      <c r="F326" s="101" t="s">
        <v>73</v>
      </c>
      <c r="G326" s="1" t="str">
        <f>TEXT(GC[[#This Row],[Date]],"mmm-yy")</f>
        <v>Aug-24</v>
      </c>
      <c r="H326" s="1">
        <f>DAY(EOMONTH(GC[[#This Row],[Month Year]],0))</f>
        <v>31</v>
      </c>
      <c r="I326" s="106"/>
      <c r="J326" s="116"/>
      <c r="K326" s="106"/>
      <c r="L326" s="106"/>
      <c r="M326" s="106"/>
      <c r="N326" s="106"/>
      <c r="O326" s="106"/>
      <c r="P326" s="106"/>
      <c r="Q326" s="106"/>
      <c r="R326" s="106"/>
      <c r="S326" s="1">
        <f>SUM(GC[[#This Row],[Blk1]:[Blk8]])</f>
        <v>0</v>
      </c>
      <c r="T326" s="106" t="str">
        <f>PROPER(GC[[#This Row],[Resources]])</f>
        <v/>
      </c>
      <c r="U326" s="106"/>
    </row>
    <row r="327" spans="1:21" x14ac:dyDescent="0.25">
      <c r="A327" s="122">
        <v>325</v>
      </c>
      <c r="B327" s="103">
        <f t="shared" si="5"/>
        <v>45524</v>
      </c>
      <c r="C327" s="109">
        <v>2024</v>
      </c>
      <c r="D327" s="110">
        <f>YEAR(GC[[#This Row],[Date]])</f>
        <v>2024</v>
      </c>
      <c r="E327" s="101" t="s">
        <v>73</v>
      </c>
      <c r="F327" s="101" t="s">
        <v>73</v>
      </c>
      <c r="G327" s="1" t="str">
        <f>TEXT(GC[[#This Row],[Date]],"mmm-yy")</f>
        <v>Aug-24</v>
      </c>
      <c r="H327" s="1">
        <f>DAY(EOMONTH(GC[[#This Row],[Month Year]],0))</f>
        <v>31</v>
      </c>
      <c r="I327" s="106"/>
      <c r="J327" s="116"/>
      <c r="K327" s="106"/>
      <c r="L327" s="106"/>
      <c r="M327" s="106"/>
      <c r="N327" s="106"/>
      <c r="O327" s="106"/>
      <c r="P327" s="106"/>
      <c r="Q327" s="106"/>
      <c r="R327" s="106"/>
      <c r="S327" s="1">
        <f>SUM(GC[[#This Row],[Blk1]:[Blk8]])</f>
        <v>0</v>
      </c>
      <c r="T327" s="106" t="str">
        <f>PROPER(GC[[#This Row],[Resources]])</f>
        <v/>
      </c>
      <c r="U327" s="106"/>
    </row>
    <row r="328" spans="1:21" x14ac:dyDescent="0.25">
      <c r="A328" s="122">
        <v>326</v>
      </c>
      <c r="B328" s="103">
        <f t="shared" si="5"/>
        <v>45525</v>
      </c>
      <c r="C328" s="109">
        <v>2024</v>
      </c>
      <c r="D328" s="110">
        <f>YEAR(GC[[#This Row],[Date]])</f>
        <v>2024</v>
      </c>
      <c r="E328" s="101" t="s">
        <v>73</v>
      </c>
      <c r="F328" s="101" t="s">
        <v>73</v>
      </c>
      <c r="G328" s="1" t="str">
        <f>TEXT(GC[[#This Row],[Date]],"mmm-yy")</f>
        <v>Aug-24</v>
      </c>
      <c r="H328" s="1">
        <f>DAY(EOMONTH(GC[[#This Row],[Month Year]],0))</f>
        <v>31</v>
      </c>
      <c r="I328" s="106"/>
      <c r="J328" s="116"/>
      <c r="K328" s="106"/>
      <c r="L328" s="106"/>
      <c r="M328" s="106"/>
      <c r="N328" s="106"/>
      <c r="O328" s="106"/>
      <c r="P328" s="106"/>
      <c r="Q328" s="106"/>
      <c r="R328" s="106"/>
      <c r="S328" s="1">
        <f>SUM(GC[[#This Row],[Blk1]:[Blk8]])</f>
        <v>0</v>
      </c>
      <c r="T328" s="106" t="str">
        <f>PROPER(GC[[#This Row],[Resources]])</f>
        <v/>
      </c>
      <c r="U328" s="106"/>
    </row>
    <row r="329" spans="1:21" x14ac:dyDescent="0.25">
      <c r="A329" s="122">
        <v>327</v>
      </c>
      <c r="B329" s="103">
        <f t="shared" si="5"/>
        <v>45526</v>
      </c>
      <c r="C329" s="109">
        <v>2024</v>
      </c>
      <c r="D329" s="110">
        <f>YEAR(GC[[#This Row],[Date]])</f>
        <v>2024</v>
      </c>
      <c r="E329" s="101" t="s">
        <v>73</v>
      </c>
      <c r="F329" s="101" t="s">
        <v>73</v>
      </c>
      <c r="G329" s="1" t="str">
        <f>TEXT(GC[[#This Row],[Date]],"mmm-yy")</f>
        <v>Aug-24</v>
      </c>
      <c r="H329" s="1">
        <f>DAY(EOMONTH(GC[[#This Row],[Month Year]],0))</f>
        <v>31</v>
      </c>
      <c r="I329" s="106"/>
      <c r="J329" s="116"/>
      <c r="K329" s="106"/>
      <c r="L329" s="106"/>
      <c r="M329" s="106"/>
      <c r="N329" s="106"/>
      <c r="O329" s="106"/>
      <c r="P329" s="106"/>
      <c r="Q329" s="106"/>
      <c r="R329" s="106"/>
      <c r="S329" s="1">
        <f>SUM(GC[[#This Row],[Blk1]:[Blk8]])</f>
        <v>0</v>
      </c>
      <c r="T329" s="106" t="str">
        <f>PROPER(GC[[#This Row],[Resources]])</f>
        <v/>
      </c>
      <c r="U329" s="106"/>
    </row>
    <row r="330" spans="1:21" x14ac:dyDescent="0.25">
      <c r="A330" s="122">
        <v>328</v>
      </c>
      <c r="B330" s="103">
        <f t="shared" si="5"/>
        <v>45527</v>
      </c>
      <c r="C330" s="109">
        <v>2024</v>
      </c>
      <c r="D330" s="110">
        <f>YEAR(GC[[#This Row],[Date]])</f>
        <v>2024</v>
      </c>
      <c r="E330" s="101" t="s">
        <v>73</v>
      </c>
      <c r="F330" s="101" t="s">
        <v>73</v>
      </c>
      <c r="G330" s="1" t="str">
        <f>TEXT(GC[[#This Row],[Date]],"mmm-yy")</f>
        <v>Aug-24</v>
      </c>
      <c r="H330" s="1">
        <f>DAY(EOMONTH(GC[[#This Row],[Month Year]],0))</f>
        <v>31</v>
      </c>
      <c r="I330" s="106"/>
      <c r="J330" s="116"/>
      <c r="K330" s="106"/>
      <c r="L330" s="106"/>
      <c r="M330" s="106"/>
      <c r="N330" s="106"/>
      <c r="O330" s="106"/>
      <c r="P330" s="106"/>
      <c r="Q330" s="106"/>
      <c r="R330" s="106"/>
      <c r="S330" s="1">
        <f>SUM(GC[[#This Row],[Blk1]:[Blk8]])</f>
        <v>0</v>
      </c>
      <c r="T330" s="106" t="str">
        <f>PROPER(GC[[#This Row],[Resources]])</f>
        <v/>
      </c>
      <c r="U330" s="106"/>
    </row>
    <row r="331" spans="1:21" x14ac:dyDescent="0.25">
      <c r="A331" s="122">
        <v>329</v>
      </c>
      <c r="B331" s="103">
        <f t="shared" si="5"/>
        <v>45528</v>
      </c>
      <c r="C331" s="109">
        <v>2024</v>
      </c>
      <c r="D331" s="110">
        <f>YEAR(GC[[#This Row],[Date]])</f>
        <v>2024</v>
      </c>
      <c r="E331" s="101" t="s">
        <v>73</v>
      </c>
      <c r="F331" s="101" t="s">
        <v>73</v>
      </c>
      <c r="G331" s="1" t="str">
        <f>TEXT(GC[[#This Row],[Date]],"mmm-yy")</f>
        <v>Aug-24</v>
      </c>
      <c r="H331" s="1">
        <f>DAY(EOMONTH(GC[[#This Row],[Month Year]],0))</f>
        <v>31</v>
      </c>
      <c r="I331" s="106"/>
      <c r="J331" s="116"/>
      <c r="K331" s="106"/>
      <c r="L331" s="106"/>
      <c r="M331" s="106"/>
      <c r="N331" s="106"/>
      <c r="O331" s="106"/>
      <c r="P331" s="106"/>
      <c r="Q331" s="106"/>
      <c r="R331" s="106"/>
      <c r="S331" s="1">
        <f>SUM(GC[[#This Row],[Blk1]:[Blk8]])</f>
        <v>0</v>
      </c>
      <c r="T331" s="106" t="str">
        <f>PROPER(GC[[#This Row],[Resources]])</f>
        <v/>
      </c>
      <c r="U331" s="106"/>
    </row>
    <row r="332" spans="1:21" x14ac:dyDescent="0.25">
      <c r="A332" s="122">
        <v>330</v>
      </c>
      <c r="B332" s="103">
        <f t="shared" si="5"/>
        <v>45529</v>
      </c>
      <c r="C332" s="109">
        <v>2024</v>
      </c>
      <c r="D332" s="110">
        <f>YEAR(GC[[#This Row],[Date]])</f>
        <v>2024</v>
      </c>
      <c r="E332" s="101" t="s">
        <v>73</v>
      </c>
      <c r="F332" s="101" t="s">
        <v>73</v>
      </c>
      <c r="G332" s="1" t="str">
        <f>TEXT(GC[[#This Row],[Date]],"mmm-yy")</f>
        <v>Aug-24</v>
      </c>
      <c r="H332" s="1">
        <f>DAY(EOMONTH(GC[[#This Row],[Month Year]],0))</f>
        <v>31</v>
      </c>
      <c r="I332" s="106"/>
      <c r="J332" s="116"/>
      <c r="K332" s="106"/>
      <c r="L332" s="106"/>
      <c r="M332" s="106"/>
      <c r="N332" s="106"/>
      <c r="O332" s="106"/>
      <c r="P332" s="106"/>
      <c r="Q332" s="106"/>
      <c r="R332" s="106"/>
      <c r="S332" s="1">
        <f>SUM(GC[[#This Row],[Blk1]:[Blk8]])</f>
        <v>0</v>
      </c>
      <c r="T332" s="106" t="str">
        <f>PROPER(GC[[#This Row],[Resources]])</f>
        <v/>
      </c>
      <c r="U332" s="106"/>
    </row>
    <row r="333" spans="1:21" x14ac:dyDescent="0.25">
      <c r="A333" s="122">
        <v>331</v>
      </c>
      <c r="B333" s="103">
        <f t="shared" ref="B333:B396" si="6">B332+1</f>
        <v>45530</v>
      </c>
      <c r="C333" s="109">
        <v>2024</v>
      </c>
      <c r="D333" s="110">
        <f>YEAR(GC[[#This Row],[Date]])</f>
        <v>2024</v>
      </c>
      <c r="E333" s="101" t="s">
        <v>73</v>
      </c>
      <c r="F333" s="101" t="s">
        <v>73</v>
      </c>
      <c r="G333" s="1" t="str">
        <f>TEXT(GC[[#This Row],[Date]],"mmm-yy")</f>
        <v>Aug-24</v>
      </c>
      <c r="H333" s="1">
        <f>DAY(EOMONTH(GC[[#This Row],[Month Year]],0))</f>
        <v>31</v>
      </c>
      <c r="I333" s="106"/>
      <c r="J333" s="116"/>
      <c r="K333" s="106"/>
      <c r="L333" s="106"/>
      <c r="M333" s="106"/>
      <c r="N333" s="106"/>
      <c r="O333" s="106"/>
      <c r="P333" s="106"/>
      <c r="Q333" s="106"/>
      <c r="R333" s="106"/>
      <c r="S333" s="1">
        <f>SUM(GC[[#This Row],[Blk1]:[Blk8]])</f>
        <v>0</v>
      </c>
      <c r="T333" s="106" t="str">
        <f>PROPER(GC[[#This Row],[Resources]])</f>
        <v/>
      </c>
      <c r="U333" s="106"/>
    </row>
    <row r="334" spans="1:21" x14ac:dyDescent="0.25">
      <c r="A334" s="122">
        <v>332</v>
      </c>
      <c r="B334" s="103">
        <f t="shared" si="6"/>
        <v>45531</v>
      </c>
      <c r="C334" s="109">
        <v>2024</v>
      </c>
      <c r="D334" s="110">
        <f>YEAR(GC[[#This Row],[Date]])</f>
        <v>2024</v>
      </c>
      <c r="E334" s="101" t="s">
        <v>73</v>
      </c>
      <c r="F334" s="101" t="s">
        <v>73</v>
      </c>
      <c r="G334" s="1" t="str">
        <f>TEXT(GC[[#This Row],[Date]],"mmm-yy")</f>
        <v>Aug-24</v>
      </c>
      <c r="H334" s="1">
        <f>DAY(EOMONTH(GC[[#This Row],[Month Year]],0))</f>
        <v>31</v>
      </c>
      <c r="I334" s="106"/>
      <c r="J334" s="116"/>
      <c r="K334" s="106"/>
      <c r="L334" s="106"/>
      <c r="M334" s="106"/>
      <c r="N334" s="106"/>
      <c r="O334" s="106"/>
      <c r="P334" s="106"/>
      <c r="Q334" s="106"/>
      <c r="R334" s="106"/>
      <c r="S334" s="1">
        <f>SUM(GC[[#This Row],[Blk1]:[Blk8]])</f>
        <v>0</v>
      </c>
      <c r="T334" s="106" t="str">
        <f>PROPER(GC[[#This Row],[Resources]])</f>
        <v/>
      </c>
      <c r="U334" s="106"/>
    </row>
    <row r="335" spans="1:21" x14ac:dyDescent="0.25">
      <c r="A335" s="122">
        <v>333</v>
      </c>
      <c r="B335" s="103">
        <f t="shared" si="6"/>
        <v>45532</v>
      </c>
      <c r="C335" s="109">
        <v>2024</v>
      </c>
      <c r="D335" s="110">
        <f>YEAR(GC[[#This Row],[Date]])</f>
        <v>2024</v>
      </c>
      <c r="E335" s="101" t="s">
        <v>73</v>
      </c>
      <c r="F335" s="101" t="s">
        <v>73</v>
      </c>
      <c r="G335" s="1" t="str">
        <f>TEXT(GC[[#This Row],[Date]],"mmm-yy")</f>
        <v>Aug-24</v>
      </c>
      <c r="H335" s="1">
        <f>DAY(EOMONTH(GC[[#This Row],[Month Year]],0))</f>
        <v>31</v>
      </c>
      <c r="I335" s="106"/>
      <c r="J335" s="116"/>
      <c r="K335" s="106"/>
      <c r="L335" s="106"/>
      <c r="M335" s="106"/>
      <c r="N335" s="106"/>
      <c r="O335" s="106"/>
      <c r="P335" s="106"/>
      <c r="Q335" s="106"/>
      <c r="R335" s="106"/>
      <c r="S335" s="1">
        <f>SUM(GC[[#This Row],[Blk1]:[Blk8]])</f>
        <v>0</v>
      </c>
      <c r="T335" s="106" t="str">
        <f>PROPER(GC[[#This Row],[Resources]])</f>
        <v/>
      </c>
      <c r="U335" s="106"/>
    </row>
    <row r="336" spans="1:21" x14ac:dyDescent="0.25">
      <c r="A336" s="122">
        <v>334</v>
      </c>
      <c r="B336" s="103">
        <f t="shared" si="6"/>
        <v>45533</v>
      </c>
      <c r="C336" s="109">
        <v>2024</v>
      </c>
      <c r="D336" s="110">
        <f>YEAR(GC[[#This Row],[Date]])</f>
        <v>2024</v>
      </c>
      <c r="E336" s="101" t="s">
        <v>73</v>
      </c>
      <c r="F336" s="101" t="s">
        <v>73</v>
      </c>
      <c r="G336" s="1" t="str">
        <f>TEXT(GC[[#This Row],[Date]],"mmm-yy")</f>
        <v>Aug-24</v>
      </c>
      <c r="H336" s="1">
        <f>DAY(EOMONTH(GC[[#This Row],[Month Year]],0))</f>
        <v>31</v>
      </c>
      <c r="I336" s="106"/>
      <c r="J336" s="116"/>
      <c r="K336" s="106"/>
      <c r="L336" s="106"/>
      <c r="M336" s="106"/>
      <c r="N336" s="106"/>
      <c r="O336" s="106"/>
      <c r="P336" s="106"/>
      <c r="Q336" s="106"/>
      <c r="R336" s="106"/>
      <c r="S336" s="1">
        <f>SUM(GC[[#This Row],[Blk1]:[Blk8]])</f>
        <v>0</v>
      </c>
      <c r="T336" s="106" t="str">
        <f>PROPER(GC[[#This Row],[Resources]])</f>
        <v/>
      </c>
      <c r="U336" s="106"/>
    </row>
    <row r="337" spans="1:21" x14ac:dyDescent="0.25">
      <c r="A337" s="122">
        <v>335</v>
      </c>
      <c r="B337" s="103">
        <f t="shared" si="6"/>
        <v>45534</v>
      </c>
      <c r="C337" s="109">
        <v>2024</v>
      </c>
      <c r="D337" s="110">
        <f>YEAR(GC[[#This Row],[Date]])</f>
        <v>2024</v>
      </c>
      <c r="E337" s="101" t="s">
        <v>73</v>
      </c>
      <c r="F337" s="101" t="s">
        <v>73</v>
      </c>
      <c r="G337" s="1" t="str">
        <f>TEXT(GC[[#This Row],[Date]],"mmm-yy")</f>
        <v>Aug-24</v>
      </c>
      <c r="H337" s="1">
        <f>DAY(EOMONTH(GC[[#This Row],[Month Year]],0))</f>
        <v>31</v>
      </c>
      <c r="I337" s="106"/>
      <c r="J337" s="116"/>
      <c r="K337" s="106"/>
      <c r="L337" s="106"/>
      <c r="M337" s="106"/>
      <c r="N337" s="106"/>
      <c r="O337" s="106"/>
      <c r="P337" s="106"/>
      <c r="Q337" s="106"/>
      <c r="R337" s="106"/>
      <c r="S337" s="1">
        <f>SUM(GC[[#This Row],[Blk1]:[Blk8]])</f>
        <v>0</v>
      </c>
      <c r="T337" s="106" t="str">
        <f>PROPER(GC[[#This Row],[Resources]])</f>
        <v/>
      </c>
      <c r="U337" s="106"/>
    </row>
    <row r="338" spans="1:21" x14ac:dyDescent="0.25">
      <c r="A338" s="122">
        <v>336</v>
      </c>
      <c r="B338" s="103">
        <f t="shared" si="6"/>
        <v>45535</v>
      </c>
      <c r="C338" s="109">
        <v>2024</v>
      </c>
      <c r="D338" s="110">
        <f>YEAR(GC[[#This Row],[Date]])</f>
        <v>2024</v>
      </c>
      <c r="E338" s="101" t="s">
        <v>73</v>
      </c>
      <c r="F338" s="101" t="s">
        <v>73</v>
      </c>
      <c r="G338" s="1" t="str">
        <f>TEXT(GC[[#This Row],[Date]],"mmm-yy")</f>
        <v>Aug-24</v>
      </c>
      <c r="H338" s="1">
        <f>DAY(EOMONTH(GC[[#This Row],[Month Year]],0))</f>
        <v>31</v>
      </c>
      <c r="I338" s="106"/>
      <c r="J338" s="116"/>
      <c r="K338" s="106"/>
      <c r="L338" s="106"/>
      <c r="M338" s="106"/>
      <c r="N338" s="106"/>
      <c r="O338" s="106"/>
      <c r="P338" s="106"/>
      <c r="Q338" s="106"/>
      <c r="R338" s="106"/>
      <c r="S338" s="1">
        <f>SUM(GC[[#This Row],[Blk1]:[Blk8]])</f>
        <v>0</v>
      </c>
      <c r="T338" s="106" t="str">
        <f>PROPER(GC[[#This Row],[Resources]])</f>
        <v/>
      </c>
      <c r="U338" s="106"/>
    </row>
    <row r="339" spans="1:21" x14ac:dyDescent="0.25">
      <c r="A339" s="122">
        <v>337</v>
      </c>
      <c r="B339" s="103">
        <f t="shared" si="6"/>
        <v>45536</v>
      </c>
      <c r="C339" s="109">
        <v>2024</v>
      </c>
      <c r="D339" s="110">
        <f>YEAR(GC[[#This Row],[Date]])</f>
        <v>2024</v>
      </c>
      <c r="E339" s="101" t="s">
        <v>73</v>
      </c>
      <c r="F339" s="101" t="s">
        <v>73</v>
      </c>
      <c r="G339" s="1" t="str">
        <f>TEXT(GC[[#This Row],[Date]],"mmm-yy")</f>
        <v>Sep-24</v>
      </c>
      <c r="H339" s="1">
        <f>DAY(EOMONTH(GC[[#This Row],[Month Year]],0))</f>
        <v>30</v>
      </c>
      <c r="I339" s="106"/>
      <c r="J339" s="116"/>
      <c r="K339" s="106"/>
      <c r="L339" s="106"/>
      <c r="M339" s="106"/>
      <c r="N339" s="106"/>
      <c r="O339" s="106"/>
      <c r="P339" s="106"/>
      <c r="Q339" s="106"/>
      <c r="R339" s="106"/>
      <c r="S339" s="1">
        <f>SUM(GC[[#This Row],[Blk1]:[Blk8]])</f>
        <v>0</v>
      </c>
      <c r="T339" s="106" t="str">
        <f>PROPER(GC[[#This Row],[Resources]])</f>
        <v/>
      </c>
      <c r="U339" s="106"/>
    </row>
    <row r="340" spans="1:21" x14ac:dyDescent="0.25">
      <c r="A340" s="122">
        <v>338</v>
      </c>
      <c r="B340" s="103">
        <f t="shared" si="6"/>
        <v>45537</v>
      </c>
      <c r="C340" s="109">
        <v>2024</v>
      </c>
      <c r="D340" s="110">
        <f>YEAR(GC[[#This Row],[Date]])</f>
        <v>2024</v>
      </c>
      <c r="E340" s="101" t="s">
        <v>73</v>
      </c>
      <c r="F340" s="101" t="s">
        <v>73</v>
      </c>
      <c r="G340" s="1" t="str">
        <f>TEXT(GC[[#This Row],[Date]],"mmm-yy")</f>
        <v>Sep-24</v>
      </c>
      <c r="H340" s="1">
        <f>DAY(EOMONTH(GC[[#This Row],[Month Year]],0))</f>
        <v>30</v>
      </c>
      <c r="I340" s="106"/>
      <c r="J340" s="116"/>
      <c r="K340" s="106"/>
      <c r="L340" s="106"/>
      <c r="M340" s="106"/>
      <c r="N340" s="106"/>
      <c r="O340" s="106"/>
      <c r="P340" s="106"/>
      <c r="Q340" s="106"/>
      <c r="R340" s="106"/>
      <c r="S340" s="1">
        <f>SUM(GC[[#This Row],[Blk1]:[Blk8]])</f>
        <v>0</v>
      </c>
      <c r="T340" s="106" t="str">
        <f>PROPER(GC[[#This Row],[Resources]])</f>
        <v/>
      </c>
      <c r="U340" s="106"/>
    </row>
    <row r="341" spans="1:21" x14ac:dyDescent="0.25">
      <c r="A341" s="122">
        <v>339</v>
      </c>
      <c r="B341" s="103">
        <f t="shared" si="6"/>
        <v>45538</v>
      </c>
      <c r="C341" s="109">
        <v>2024</v>
      </c>
      <c r="D341" s="110">
        <f>YEAR(GC[[#This Row],[Date]])</f>
        <v>2024</v>
      </c>
      <c r="E341" s="101" t="s">
        <v>73</v>
      </c>
      <c r="F341" s="101" t="s">
        <v>73</v>
      </c>
      <c r="G341" s="1" t="str">
        <f>TEXT(GC[[#This Row],[Date]],"mmm-yy")</f>
        <v>Sep-24</v>
      </c>
      <c r="H341" s="1">
        <f>DAY(EOMONTH(GC[[#This Row],[Month Year]],0))</f>
        <v>30</v>
      </c>
      <c r="I341" s="106"/>
      <c r="J341" s="116"/>
      <c r="K341" s="106"/>
      <c r="L341" s="106"/>
      <c r="M341" s="106"/>
      <c r="N341" s="106"/>
      <c r="O341" s="106"/>
      <c r="P341" s="106"/>
      <c r="Q341" s="106"/>
      <c r="R341" s="106"/>
      <c r="S341" s="1">
        <f>SUM(GC[[#This Row],[Blk1]:[Blk8]])</f>
        <v>0</v>
      </c>
      <c r="T341" s="106" t="str">
        <f>PROPER(GC[[#This Row],[Resources]])</f>
        <v/>
      </c>
      <c r="U341" s="106"/>
    </row>
    <row r="342" spans="1:21" x14ac:dyDescent="0.25">
      <c r="A342" s="122">
        <v>340</v>
      </c>
      <c r="B342" s="103">
        <f t="shared" si="6"/>
        <v>45539</v>
      </c>
      <c r="C342" s="109">
        <v>2024</v>
      </c>
      <c r="D342" s="110">
        <f>YEAR(GC[[#This Row],[Date]])</f>
        <v>2024</v>
      </c>
      <c r="E342" s="101" t="s">
        <v>73</v>
      </c>
      <c r="F342" s="101" t="s">
        <v>73</v>
      </c>
      <c r="G342" s="1" t="str">
        <f>TEXT(GC[[#This Row],[Date]],"mmm-yy")</f>
        <v>Sep-24</v>
      </c>
      <c r="H342" s="1">
        <f>DAY(EOMONTH(GC[[#This Row],[Month Year]],0))</f>
        <v>30</v>
      </c>
      <c r="I342" s="106"/>
      <c r="J342" s="116"/>
      <c r="K342" s="106"/>
      <c r="L342" s="106"/>
      <c r="M342" s="106"/>
      <c r="N342" s="106"/>
      <c r="O342" s="106"/>
      <c r="P342" s="106"/>
      <c r="Q342" s="106"/>
      <c r="R342" s="106"/>
      <c r="S342" s="1">
        <f>SUM(GC[[#This Row],[Blk1]:[Blk8]])</f>
        <v>0</v>
      </c>
      <c r="T342" s="106" t="str">
        <f>PROPER(GC[[#This Row],[Resources]])</f>
        <v/>
      </c>
      <c r="U342" s="106"/>
    </row>
    <row r="343" spans="1:21" x14ac:dyDescent="0.25">
      <c r="A343" s="122">
        <v>341</v>
      </c>
      <c r="B343" s="103">
        <f t="shared" si="6"/>
        <v>45540</v>
      </c>
      <c r="C343" s="109">
        <v>2024</v>
      </c>
      <c r="D343" s="110">
        <f>YEAR(GC[[#This Row],[Date]])</f>
        <v>2024</v>
      </c>
      <c r="E343" s="101" t="s">
        <v>73</v>
      </c>
      <c r="F343" s="101" t="s">
        <v>73</v>
      </c>
      <c r="G343" s="1" t="str">
        <f>TEXT(GC[[#This Row],[Date]],"mmm-yy")</f>
        <v>Sep-24</v>
      </c>
      <c r="H343" s="1">
        <f>DAY(EOMONTH(GC[[#This Row],[Month Year]],0))</f>
        <v>30</v>
      </c>
      <c r="I343" s="106"/>
      <c r="J343" s="116"/>
      <c r="K343" s="106"/>
      <c r="L343" s="106"/>
      <c r="M343" s="106"/>
      <c r="N343" s="106"/>
      <c r="O343" s="106"/>
      <c r="P343" s="106"/>
      <c r="Q343" s="106"/>
      <c r="R343" s="106"/>
      <c r="S343" s="1">
        <f>SUM(GC[[#This Row],[Blk1]:[Blk8]])</f>
        <v>0</v>
      </c>
      <c r="T343" s="106" t="str">
        <f>PROPER(GC[[#This Row],[Resources]])</f>
        <v/>
      </c>
      <c r="U343" s="106"/>
    </row>
    <row r="344" spans="1:21" x14ac:dyDescent="0.25">
      <c r="A344" s="122">
        <v>342</v>
      </c>
      <c r="B344" s="103">
        <f t="shared" si="6"/>
        <v>45541</v>
      </c>
      <c r="C344" s="109">
        <v>2024</v>
      </c>
      <c r="D344" s="110">
        <f>YEAR(GC[[#This Row],[Date]])</f>
        <v>2024</v>
      </c>
      <c r="E344" s="101" t="s">
        <v>73</v>
      </c>
      <c r="F344" s="101" t="s">
        <v>73</v>
      </c>
      <c r="G344" s="1" t="str">
        <f>TEXT(GC[[#This Row],[Date]],"mmm-yy")</f>
        <v>Sep-24</v>
      </c>
      <c r="H344" s="1">
        <f>DAY(EOMONTH(GC[[#This Row],[Month Year]],0))</f>
        <v>30</v>
      </c>
      <c r="I344" s="106"/>
      <c r="J344" s="116"/>
      <c r="K344" s="106"/>
      <c r="L344" s="106"/>
      <c r="M344" s="106"/>
      <c r="N344" s="106"/>
      <c r="O344" s="106"/>
      <c r="P344" s="106"/>
      <c r="Q344" s="106"/>
      <c r="R344" s="106"/>
      <c r="S344" s="1">
        <f>SUM(GC[[#This Row],[Blk1]:[Blk8]])</f>
        <v>0</v>
      </c>
      <c r="T344" s="106" t="str">
        <f>PROPER(GC[[#This Row],[Resources]])</f>
        <v/>
      </c>
      <c r="U344" s="106"/>
    </row>
    <row r="345" spans="1:21" x14ac:dyDescent="0.25">
      <c r="A345" s="122">
        <v>343</v>
      </c>
      <c r="B345" s="103">
        <f t="shared" si="6"/>
        <v>45542</v>
      </c>
      <c r="C345" s="109">
        <v>2024</v>
      </c>
      <c r="D345" s="110">
        <f>YEAR(GC[[#This Row],[Date]])</f>
        <v>2024</v>
      </c>
      <c r="E345" s="101" t="s">
        <v>73</v>
      </c>
      <c r="F345" s="101" t="s">
        <v>73</v>
      </c>
      <c r="G345" s="1" t="str">
        <f>TEXT(GC[[#This Row],[Date]],"mmm-yy")</f>
        <v>Sep-24</v>
      </c>
      <c r="H345" s="1">
        <f>DAY(EOMONTH(GC[[#This Row],[Month Year]],0))</f>
        <v>30</v>
      </c>
      <c r="I345" s="106"/>
      <c r="J345" s="116"/>
      <c r="K345" s="106"/>
      <c r="L345" s="106"/>
      <c r="M345" s="106"/>
      <c r="N345" s="106"/>
      <c r="O345" s="106"/>
      <c r="P345" s="106"/>
      <c r="Q345" s="106"/>
      <c r="R345" s="106"/>
      <c r="S345" s="1">
        <f>SUM(GC[[#This Row],[Blk1]:[Blk8]])</f>
        <v>0</v>
      </c>
      <c r="T345" s="106" t="str">
        <f>PROPER(GC[[#This Row],[Resources]])</f>
        <v/>
      </c>
      <c r="U345" s="106"/>
    </row>
    <row r="346" spans="1:21" x14ac:dyDescent="0.25">
      <c r="A346" s="122">
        <v>344</v>
      </c>
      <c r="B346" s="103">
        <f t="shared" si="6"/>
        <v>45543</v>
      </c>
      <c r="C346" s="109">
        <v>2024</v>
      </c>
      <c r="D346" s="110">
        <f>YEAR(GC[[#This Row],[Date]])</f>
        <v>2024</v>
      </c>
      <c r="E346" s="101" t="s">
        <v>73</v>
      </c>
      <c r="F346" s="101" t="s">
        <v>73</v>
      </c>
      <c r="G346" s="1" t="str">
        <f>TEXT(GC[[#This Row],[Date]],"mmm-yy")</f>
        <v>Sep-24</v>
      </c>
      <c r="H346" s="1">
        <f>DAY(EOMONTH(GC[[#This Row],[Month Year]],0))</f>
        <v>30</v>
      </c>
      <c r="I346" s="106"/>
      <c r="J346" s="116"/>
      <c r="K346" s="106"/>
      <c r="L346" s="106"/>
      <c r="M346" s="106"/>
      <c r="N346" s="106"/>
      <c r="O346" s="106"/>
      <c r="P346" s="106"/>
      <c r="Q346" s="106"/>
      <c r="R346" s="106"/>
      <c r="S346" s="1">
        <f>SUM(GC[[#This Row],[Blk1]:[Blk8]])</f>
        <v>0</v>
      </c>
      <c r="T346" s="106" t="str">
        <f>PROPER(GC[[#This Row],[Resources]])</f>
        <v/>
      </c>
      <c r="U346" s="106"/>
    </row>
    <row r="347" spans="1:21" x14ac:dyDescent="0.25">
      <c r="A347" s="122">
        <v>345</v>
      </c>
      <c r="B347" s="103">
        <f t="shared" si="6"/>
        <v>45544</v>
      </c>
      <c r="C347" s="109">
        <v>2024</v>
      </c>
      <c r="D347" s="110">
        <f>YEAR(GC[[#This Row],[Date]])</f>
        <v>2024</v>
      </c>
      <c r="E347" s="101" t="s">
        <v>73</v>
      </c>
      <c r="F347" s="101" t="s">
        <v>73</v>
      </c>
      <c r="G347" s="1" t="str">
        <f>TEXT(GC[[#This Row],[Date]],"mmm-yy")</f>
        <v>Sep-24</v>
      </c>
      <c r="H347" s="1">
        <f>DAY(EOMONTH(GC[[#This Row],[Month Year]],0))</f>
        <v>30</v>
      </c>
      <c r="I347" s="106"/>
      <c r="J347" s="116"/>
      <c r="K347" s="106"/>
      <c r="L347" s="106"/>
      <c r="M347" s="106"/>
      <c r="N347" s="106"/>
      <c r="O347" s="106"/>
      <c r="P347" s="106"/>
      <c r="Q347" s="106"/>
      <c r="R347" s="106"/>
      <c r="S347" s="1">
        <f>SUM(GC[[#This Row],[Blk1]:[Blk8]])</f>
        <v>0</v>
      </c>
      <c r="T347" s="106" t="str">
        <f>PROPER(GC[[#This Row],[Resources]])</f>
        <v/>
      </c>
      <c r="U347" s="106"/>
    </row>
    <row r="348" spans="1:21" x14ac:dyDescent="0.25">
      <c r="A348" s="122">
        <v>346</v>
      </c>
      <c r="B348" s="103">
        <f t="shared" si="6"/>
        <v>45545</v>
      </c>
      <c r="C348" s="109">
        <v>2024</v>
      </c>
      <c r="D348" s="110">
        <f>YEAR(GC[[#This Row],[Date]])</f>
        <v>2024</v>
      </c>
      <c r="E348" s="101" t="s">
        <v>73</v>
      </c>
      <c r="F348" s="101" t="s">
        <v>73</v>
      </c>
      <c r="G348" s="1" t="str">
        <f>TEXT(GC[[#This Row],[Date]],"mmm-yy")</f>
        <v>Sep-24</v>
      </c>
      <c r="H348" s="1">
        <f>DAY(EOMONTH(GC[[#This Row],[Month Year]],0))</f>
        <v>30</v>
      </c>
      <c r="I348" s="106"/>
      <c r="J348" s="116"/>
      <c r="K348" s="106"/>
      <c r="L348" s="106"/>
      <c r="M348" s="106"/>
      <c r="N348" s="106"/>
      <c r="O348" s="106"/>
      <c r="P348" s="106"/>
      <c r="Q348" s="106"/>
      <c r="R348" s="106"/>
      <c r="S348" s="1">
        <f>SUM(GC[[#This Row],[Blk1]:[Blk8]])</f>
        <v>0</v>
      </c>
      <c r="T348" s="106" t="str">
        <f>PROPER(GC[[#This Row],[Resources]])</f>
        <v/>
      </c>
      <c r="U348" s="106"/>
    </row>
    <row r="349" spans="1:21" x14ac:dyDescent="0.25">
      <c r="A349" s="122">
        <v>347</v>
      </c>
      <c r="B349" s="103">
        <f t="shared" si="6"/>
        <v>45546</v>
      </c>
      <c r="C349" s="109">
        <v>2024</v>
      </c>
      <c r="D349" s="110">
        <f>YEAR(GC[[#This Row],[Date]])</f>
        <v>2024</v>
      </c>
      <c r="E349" s="101" t="s">
        <v>73</v>
      </c>
      <c r="F349" s="101" t="s">
        <v>73</v>
      </c>
      <c r="G349" s="1" t="str">
        <f>TEXT(GC[[#This Row],[Date]],"mmm-yy")</f>
        <v>Sep-24</v>
      </c>
      <c r="H349" s="1">
        <f>DAY(EOMONTH(GC[[#This Row],[Month Year]],0))</f>
        <v>30</v>
      </c>
      <c r="I349" s="106"/>
      <c r="J349" s="106"/>
      <c r="K349" s="106"/>
      <c r="L349" s="106"/>
      <c r="M349" s="106"/>
      <c r="N349" s="106"/>
      <c r="O349" s="106"/>
      <c r="P349" s="106"/>
      <c r="Q349" s="106"/>
      <c r="R349" s="106"/>
      <c r="S349" s="1">
        <f>SUM(GC[[#This Row],[Blk1]:[Blk8]])</f>
        <v>0</v>
      </c>
      <c r="T349" s="106" t="str">
        <f>PROPER(GC[[#This Row],[Resources]])</f>
        <v/>
      </c>
      <c r="U349" s="106"/>
    </row>
    <row r="350" spans="1:21" x14ac:dyDescent="0.25">
      <c r="A350" s="122">
        <v>348</v>
      </c>
      <c r="B350" s="103">
        <f t="shared" si="6"/>
        <v>45547</v>
      </c>
      <c r="C350" s="109">
        <v>2024</v>
      </c>
      <c r="D350" s="110">
        <f>YEAR(GC[[#This Row],[Date]])</f>
        <v>2024</v>
      </c>
      <c r="E350" s="101" t="s">
        <v>73</v>
      </c>
      <c r="F350" s="101" t="s">
        <v>73</v>
      </c>
      <c r="G350" s="1" t="str">
        <f>TEXT(GC[[#This Row],[Date]],"mmm-yy")</f>
        <v>Sep-24</v>
      </c>
      <c r="H350" s="1">
        <f>DAY(EOMONTH(GC[[#This Row],[Month Year]],0))</f>
        <v>30</v>
      </c>
      <c r="I350" s="106"/>
      <c r="J350" s="106"/>
      <c r="K350" s="106"/>
      <c r="L350" s="106"/>
      <c r="M350" s="106"/>
      <c r="N350" s="106"/>
      <c r="O350" s="106"/>
      <c r="P350" s="106"/>
      <c r="Q350" s="106"/>
      <c r="R350" s="106"/>
      <c r="S350" s="1">
        <f>SUM(GC[[#This Row],[Blk1]:[Blk8]])</f>
        <v>0</v>
      </c>
      <c r="T350" s="106" t="str">
        <f>PROPER(GC[[#This Row],[Resources]])</f>
        <v/>
      </c>
      <c r="U350" s="106"/>
    </row>
    <row r="351" spans="1:21" x14ac:dyDescent="0.25">
      <c r="A351" s="122">
        <v>349</v>
      </c>
      <c r="B351" s="103">
        <f t="shared" si="6"/>
        <v>45548</v>
      </c>
      <c r="C351" s="109">
        <v>2024</v>
      </c>
      <c r="D351" s="110">
        <f>YEAR(GC[[#This Row],[Date]])</f>
        <v>2024</v>
      </c>
      <c r="E351" s="101" t="s">
        <v>73</v>
      </c>
      <c r="F351" s="101" t="s">
        <v>73</v>
      </c>
      <c r="G351" s="1" t="str">
        <f>TEXT(GC[[#This Row],[Date]],"mmm-yy")</f>
        <v>Sep-24</v>
      </c>
      <c r="H351" s="1">
        <f>DAY(EOMONTH(GC[[#This Row],[Month Year]],0))</f>
        <v>30</v>
      </c>
      <c r="I351" s="106"/>
      <c r="J351" s="106"/>
      <c r="K351" s="106"/>
      <c r="L351" s="106"/>
      <c r="M351" s="106"/>
      <c r="N351" s="106"/>
      <c r="O351" s="106"/>
      <c r="P351" s="106"/>
      <c r="Q351" s="106"/>
      <c r="R351" s="106"/>
      <c r="S351" s="1">
        <f>SUM(GC[[#This Row],[Blk1]:[Blk8]])</f>
        <v>0</v>
      </c>
      <c r="T351" s="106" t="str">
        <f>PROPER(GC[[#This Row],[Resources]])</f>
        <v/>
      </c>
      <c r="U351" s="106"/>
    </row>
    <row r="352" spans="1:21" x14ac:dyDescent="0.25">
      <c r="A352" s="122">
        <v>350</v>
      </c>
      <c r="B352" s="103">
        <f t="shared" si="6"/>
        <v>45549</v>
      </c>
      <c r="C352" s="109">
        <v>2024</v>
      </c>
      <c r="D352" s="110">
        <f>YEAR(GC[[#This Row],[Date]])</f>
        <v>2024</v>
      </c>
      <c r="E352" s="101" t="s">
        <v>73</v>
      </c>
      <c r="F352" s="101" t="s">
        <v>73</v>
      </c>
      <c r="G352" s="1" t="str">
        <f>TEXT(GC[[#This Row],[Date]],"mmm-yy")</f>
        <v>Sep-24</v>
      </c>
      <c r="H352" s="1">
        <f>DAY(EOMONTH(GC[[#This Row],[Month Year]],0))</f>
        <v>30</v>
      </c>
      <c r="I352" s="106"/>
      <c r="J352" s="106"/>
      <c r="K352" s="106"/>
      <c r="L352" s="106"/>
      <c r="M352" s="106"/>
      <c r="N352" s="106"/>
      <c r="O352" s="106"/>
      <c r="P352" s="106"/>
      <c r="Q352" s="106"/>
      <c r="R352" s="106"/>
      <c r="S352" s="1">
        <f>SUM(GC[[#This Row],[Blk1]:[Blk8]])</f>
        <v>0</v>
      </c>
      <c r="T352" s="106" t="str">
        <f>PROPER(GC[[#This Row],[Resources]])</f>
        <v/>
      </c>
      <c r="U352" s="106"/>
    </row>
    <row r="353" spans="1:21" x14ac:dyDescent="0.25">
      <c r="A353" s="122">
        <v>351</v>
      </c>
      <c r="B353" s="103">
        <f t="shared" si="6"/>
        <v>45550</v>
      </c>
      <c r="C353" s="109">
        <v>2024</v>
      </c>
      <c r="D353" s="110">
        <f>YEAR(GC[[#This Row],[Date]])</f>
        <v>2024</v>
      </c>
      <c r="E353" s="101" t="s">
        <v>73</v>
      </c>
      <c r="F353" s="101" t="s">
        <v>73</v>
      </c>
      <c r="G353" s="1" t="str">
        <f>TEXT(GC[[#This Row],[Date]],"mmm-yy")</f>
        <v>Sep-24</v>
      </c>
      <c r="H353" s="1">
        <f>DAY(EOMONTH(GC[[#This Row],[Month Year]],0))</f>
        <v>30</v>
      </c>
      <c r="I353" s="106"/>
      <c r="J353" s="106"/>
      <c r="K353" s="106"/>
      <c r="L353" s="106"/>
      <c r="M353" s="106"/>
      <c r="N353" s="106"/>
      <c r="O353" s="106"/>
      <c r="P353" s="106"/>
      <c r="Q353" s="106"/>
      <c r="R353" s="106"/>
      <c r="S353" s="1">
        <f>SUM(GC[[#This Row],[Blk1]:[Blk8]])</f>
        <v>0</v>
      </c>
      <c r="T353" s="106" t="str">
        <f>PROPER(GC[[#This Row],[Resources]])</f>
        <v/>
      </c>
      <c r="U353" s="106"/>
    </row>
    <row r="354" spans="1:21" x14ac:dyDescent="0.25">
      <c r="A354" s="122">
        <v>352</v>
      </c>
      <c r="B354" s="103">
        <f t="shared" si="6"/>
        <v>45551</v>
      </c>
      <c r="C354" s="109">
        <v>2024</v>
      </c>
      <c r="D354" s="110">
        <f>YEAR(GC[[#This Row],[Date]])</f>
        <v>2024</v>
      </c>
      <c r="E354" s="101" t="s">
        <v>73</v>
      </c>
      <c r="F354" s="101" t="s">
        <v>73</v>
      </c>
      <c r="G354" s="1" t="str">
        <f>TEXT(GC[[#This Row],[Date]],"mmm-yy")</f>
        <v>Sep-24</v>
      </c>
      <c r="H354" s="1">
        <f>DAY(EOMONTH(GC[[#This Row],[Month Year]],0))</f>
        <v>30</v>
      </c>
      <c r="I354" s="106"/>
      <c r="J354" s="106"/>
      <c r="K354" s="106"/>
      <c r="L354" s="106"/>
      <c r="M354" s="106"/>
      <c r="N354" s="106"/>
      <c r="O354" s="106"/>
      <c r="P354" s="106"/>
      <c r="Q354" s="106"/>
      <c r="R354" s="106"/>
      <c r="S354" s="1">
        <f>SUM(GC[[#This Row],[Blk1]:[Blk8]])</f>
        <v>0</v>
      </c>
      <c r="T354" s="106" t="str">
        <f>PROPER(GC[[#This Row],[Resources]])</f>
        <v/>
      </c>
      <c r="U354" s="106"/>
    </row>
    <row r="355" spans="1:21" x14ac:dyDescent="0.25">
      <c r="A355" s="122">
        <v>353</v>
      </c>
      <c r="B355" s="103">
        <f t="shared" si="6"/>
        <v>45552</v>
      </c>
      <c r="C355" s="109">
        <v>2024</v>
      </c>
      <c r="D355" s="110">
        <f>YEAR(GC[[#This Row],[Date]])</f>
        <v>2024</v>
      </c>
      <c r="E355" s="101" t="s">
        <v>73</v>
      </c>
      <c r="F355" s="101" t="s">
        <v>73</v>
      </c>
      <c r="G355" s="1" t="str">
        <f>TEXT(GC[[#This Row],[Date]],"mmm-yy")</f>
        <v>Sep-24</v>
      </c>
      <c r="H355" s="1">
        <f>DAY(EOMONTH(GC[[#This Row],[Month Year]],0))</f>
        <v>30</v>
      </c>
      <c r="I355" s="106"/>
      <c r="J355" s="106"/>
      <c r="K355" s="106"/>
      <c r="L355" s="106"/>
      <c r="M355" s="106"/>
      <c r="N355" s="106"/>
      <c r="O355" s="106"/>
      <c r="P355" s="106"/>
      <c r="Q355" s="106"/>
      <c r="R355" s="106"/>
      <c r="S355" s="1">
        <f>SUM(GC[[#This Row],[Blk1]:[Blk8]])</f>
        <v>0</v>
      </c>
      <c r="T355" s="106" t="str">
        <f>PROPER(GC[[#This Row],[Resources]])</f>
        <v/>
      </c>
      <c r="U355" s="106"/>
    </row>
    <row r="356" spans="1:21" x14ac:dyDescent="0.25">
      <c r="A356" s="122">
        <v>354</v>
      </c>
      <c r="B356" s="103">
        <f t="shared" si="6"/>
        <v>45553</v>
      </c>
      <c r="C356" s="109">
        <v>2024</v>
      </c>
      <c r="D356" s="110">
        <f>YEAR(GC[[#This Row],[Date]])</f>
        <v>2024</v>
      </c>
      <c r="E356" s="101" t="s">
        <v>73</v>
      </c>
      <c r="F356" s="101" t="s">
        <v>73</v>
      </c>
      <c r="G356" s="1" t="str">
        <f>TEXT(GC[[#This Row],[Date]],"mmm-yy")</f>
        <v>Sep-24</v>
      </c>
      <c r="H356" s="1">
        <f>DAY(EOMONTH(GC[[#This Row],[Month Year]],0))</f>
        <v>30</v>
      </c>
      <c r="I356" s="106"/>
      <c r="J356" s="106"/>
      <c r="K356" s="106"/>
      <c r="L356" s="106"/>
      <c r="M356" s="106"/>
      <c r="N356" s="106"/>
      <c r="O356" s="106"/>
      <c r="P356" s="106"/>
      <c r="Q356" s="106"/>
      <c r="R356" s="106"/>
      <c r="S356" s="1">
        <f>SUM(GC[[#This Row],[Blk1]:[Blk8]])</f>
        <v>0</v>
      </c>
      <c r="T356" s="106" t="str">
        <f>PROPER(GC[[#This Row],[Resources]])</f>
        <v/>
      </c>
      <c r="U356" s="106"/>
    </row>
    <row r="357" spans="1:21" x14ac:dyDescent="0.25">
      <c r="A357" s="122">
        <v>355</v>
      </c>
      <c r="B357" s="103">
        <f t="shared" si="6"/>
        <v>45554</v>
      </c>
      <c r="C357" s="109">
        <v>2024</v>
      </c>
      <c r="D357" s="110">
        <f>YEAR(GC[[#This Row],[Date]])</f>
        <v>2024</v>
      </c>
      <c r="E357" s="101" t="s">
        <v>73</v>
      </c>
      <c r="F357" s="101" t="s">
        <v>73</v>
      </c>
      <c r="G357" s="1" t="str">
        <f>TEXT(GC[[#This Row],[Date]],"mmm-yy")</f>
        <v>Sep-24</v>
      </c>
      <c r="H357" s="1">
        <f>DAY(EOMONTH(GC[[#This Row],[Month Year]],0))</f>
        <v>30</v>
      </c>
      <c r="I357" s="106"/>
      <c r="J357" s="106"/>
      <c r="K357" s="106"/>
      <c r="L357" s="106"/>
      <c r="M357" s="106"/>
      <c r="N357" s="106"/>
      <c r="O357" s="106"/>
      <c r="P357" s="106"/>
      <c r="Q357" s="106"/>
      <c r="R357" s="106"/>
      <c r="S357" s="1">
        <f>SUM(GC[[#This Row],[Blk1]:[Blk8]])</f>
        <v>0</v>
      </c>
      <c r="T357" s="106" t="str">
        <f>PROPER(GC[[#This Row],[Resources]])</f>
        <v/>
      </c>
      <c r="U357" s="106"/>
    </row>
    <row r="358" spans="1:21" x14ac:dyDescent="0.25">
      <c r="A358" s="122">
        <v>356</v>
      </c>
      <c r="B358" s="103">
        <f t="shared" si="6"/>
        <v>45555</v>
      </c>
      <c r="C358" s="109">
        <v>2024</v>
      </c>
      <c r="D358" s="110">
        <f>YEAR(GC[[#This Row],[Date]])</f>
        <v>2024</v>
      </c>
      <c r="E358" s="101" t="s">
        <v>73</v>
      </c>
      <c r="F358" s="101" t="s">
        <v>73</v>
      </c>
      <c r="G358" s="1" t="str">
        <f>TEXT(GC[[#This Row],[Date]],"mmm-yy")</f>
        <v>Sep-24</v>
      </c>
      <c r="H358" s="1">
        <f>DAY(EOMONTH(GC[[#This Row],[Month Year]],0))</f>
        <v>30</v>
      </c>
      <c r="I358" s="106"/>
      <c r="J358" s="106"/>
      <c r="K358" s="106"/>
      <c r="L358" s="106"/>
      <c r="M358" s="106"/>
      <c r="N358" s="106"/>
      <c r="O358" s="106"/>
      <c r="P358" s="106"/>
      <c r="Q358" s="106"/>
      <c r="R358" s="106"/>
      <c r="S358" s="1">
        <f>SUM(GC[[#This Row],[Blk1]:[Blk8]])</f>
        <v>0</v>
      </c>
      <c r="T358" s="106" t="str">
        <f>PROPER(GC[[#This Row],[Resources]])</f>
        <v/>
      </c>
      <c r="U358" s="106"/>
    </row>
    <row r="359" spans="1:21" x14ac:dyDescent="0.25">
      <c r="A359" s="122">
        <v>357</v>
      </c>
      <c r="B359" s="103">
        <f t="shared" si="6"/>
        <v>45556</v>
      </c>
      <c r="C359" s="109">
        <v>2024</v>
      </c>
      <c r="D359" s="110">
        <f>YEAR(GC[[#This Row],[Date]])</f>
        <v>2024</v>
      </c>
      <c r="E359" s="101" t="s">
        <v>73</v>
      </c>
      <c r="F359" s="101" t="s">
        <v>73</v>
      </c>
      <c r="G359" s="1" t="str">
        <f>TEXT(GC[[#This Row],[Date]],"mmm-yy")</f>
        <v>Sep-24</v>
      </c>
      <c r="H359" s="1">
        <f>DAY(EOMONTH(GC[[#This Row],[Month Year]],0))</f>
        <v>30</v>
      </c>
      <c r="I359" s="106"/>
      <c r="J359" s="106"/>
      <c r="K359" s="106"/>
      <c r="L359" s="106"/>
      <c r="M359" s="106"/>
      <c r="N359" s="106"/>
      <c r="O359" s="106"/>
      <c r="P359" s="106"/>
      <c r="Q359" s="106"/>
      <c r="R359" s="106"/>
      <c r="S359" s="1">
        <f>SUM(GC[[#This Row],[Blk1]:[Blk8]])</f>
        <v>0</v>
      </c>
      <c r="T359" s="106" t="str">
        <f>PROPER(GC[[#This Row],[Resources]])</f>
        <v/>
      </c>
      <c r="U359" s="106"/>
    </row>
    <row r="360" spans="1:21" x14ac:dyDescent="0.25">
      <c r="A360" s="122">
        <v>358</v>
      </c>
      <c r="B360" s="103">
        <f t="shared" si="6"/>
        <v>45557</v>
      </c>
      <c r="C360" s="109">
        <v>2024</v>
      </c>
      <c r="D360" s="110">
        <f>YEAR(GC[[#This Row],[Date]])</f>
        <v>2024</v>
      </c>
      <c r="E360" s="101" t="s">
        <v>73</v>
      </c>
      <c r="F360" s="101" t="s">
        <v>73</v>
      </c>
      <c r="G360" s="1" t="str">
        <f>TEXT(GC[[#This Row],[Date]],"mmm-yy")</f>
        <v>Sep-24</v>
      </c>
      <c r="H360" s="1">
        <f>DAY(EOMONTH(GC[[#This Row],[Month Year]],0))</f>
        <v>30</v>
      </c>
      <c r="I360" s="106"/>
      <c r="J360" s="106"/>
      <c r="K360" s="106"/>
      <c r="L360" s="106"/>
      <c r="M360" s="106"/>
      <c r="N360" s="106"/>
      <c r="O360" s="106"/>
      <c r="P360" s="106"/>
      <c r="Q360" s="106"/>
      <c r="R360" s="106"/>
      <c r="S360" s="1">
        <f>SUM(GC[[#This Row],[Blk1]:[Blk8]])</f>
        <v>0</v>
      </c>
      <c r="T360" s="106" t="str">
        <f>PROPER(GC[[#This Row],[Resources]])</f>
        <v/>
      </c>
      <c r="U360" s="106"/>
    </row>
    <row r="361" spans="1:21" x14ac:dyDescent="0.25">
      <c r="A361" s="122">
        <v>359</v>
      </c>
      <c r="B361" s="103">
        <f t="shared" si="6"/>
        <v>45558</v>
      </c>
      <c r="C361" s="109">
        <v>2024</v>
      </c>
      <c r="D361" s="110">
        <f>YEAR(GC[[#This Row],[Date]])</f>
        <v>2024</v>
      </c>
      <c r="E361" s="101" t="s">
        <v>73</v>
      </c>
      <c r="F361" s="101" t="s">
        <v>73</v>
      </c>
      <c r="G361" s="1" t="str">
        <f>TEXT(GC[[#This Row],[Date]],"mmm-yy")</f>
        <v>Sep-24</v>
      </c>
      <c r="H361" s="1">
        <f>DAY(EOMONTH(GC[[#This Row],[Month Year]],0))</f>
        <v>30</v>
      </c>
      <c r="I361" s="106"/>
      <c r="J361" s="106"/>
      <c r="K361" s="106"/>
      <c r="L361" s="106"/>
      <c r="M361" s="106"/>
      <c r="N361" s="106"/>
      <c r="O361" s="106"/>
      <c r="P361" s="106"/>
      <c r="Q361" s="106"/>
      <c r="R361" s="106"/>
      <c r="S361" s="1">
        <f>SUM(GC[[#This Row],[Blk1]:[Blk8]])</f>
        <v>0</v>
      </c>
      <c r="T361" s="106" t="str">
        <f>PROPER(GC[[#This Row],[Resources]])</f>
        <v/>
      </c>
      <c r="U361" s="106"/>
    </row>
    <row r="362" spans="1:21" x14ac:dyDescent="0.25">
      <c r="A362" s="122">
        <v>360</v>
      </c>
      <c r="B362" s="103">
        <f t="shared" si="6"/>
        <v>45559</v>
      </c>
      <c r="C362" s="109">
        <v>2024</v>
      </c>
      <c r="D362" s="110">
        <f>YEAR(GC[[#This Row],[Date]])</f>
        <v>2024</v>
      </c>
      <c r="E362" s="101" t="s">
        <v>73</v>
      </c>
      <c r="F362" s="101" t="s">
        <v>73</v>
      </c>
      <c r="G362" s="1" t="str">
        <f>TEXT(GC[[#This Row],[Date]],"mmm-yy")</f>
        <v>Sep-24</v>
      </c>
      <c r="H362" s="1">
        <f>DAY(EOMONTH(GC[[#This Row],[Month Year]],0))</f>
        <v>30</v>
      </c>
      <c r="I362" s="106"/>
      <c r="J362" s="106"/>
      <c r="K362" s="106"/>
      <c r="L362" s="106"/>
      <c r="M362" s="106"/>
      <c r="N362" s="106"/>
      <c r="O362" s="106"/>
      <c r="P362" s="106"/>
      <c r="Q362" s="106"/>
      <c r="R362" s="106"/>
      <c r="S362" s="1">
        <f>SUM(GC[[#This Row],[Blk1]:[Blk8]])</f>
        <v>0</v>
      </c>
      <c r="T362" s="106" t="str">
        <f>PROPER(GC[[#This Row],[Resources]])</f>
        <v/>
      </c>
      <c r="U362" s="106"/>
    </row>
    <row r="363" spans="1:21" x14ac:dyDescent="0.25">
      <c r="A363" s="122">
        <v>361</v>
      </c>
      <c r="B363" s="103">
        <f t="shared" si="6"/>
        <v>45560</v>
      </c>
      <c r="C363" s="109">
        <v>2024</v>
      </c>
      <c r="D363" s="110">
        <f>YEAR(GC[[#This Row],[Date]])</f>
        <v>2024</v>
      </c>
      <c r="E363" s="101" t="s">
        <v>73</v>
      </c>
      <c r="F363" s="101" t="s">
        <v>73</v>
      </c>
      <c r="G363" s="1" t="str">
        <f>TEXT(GC[[#This Row],[Date]],"mmm-yy")</f>
        <v>Sep-24</v>
      </c>
      <c r="H363" s="1">
        <f>DAY(EOMONTH(GC[[#This Row],[Month Year]],0))</f>
        <v>30</v>
      </c>
      <c r="I363" s="106"/>
      <c r="J363" s="106"/>
      <c r="K363" s="106"/>
      <c r="L363" s="106"/>
      <c r="M363" s="106"/>
      <c r="N363" s="106"/>
      <c r="O363" s="106"/>
      <c r="P363" s="106"/>
      <c r="Q363" s="106"/>
      <c r="R363" s="106"/>
      <c r="S363" s="1">
        <f>SUM(GC[[#This Row],[Blk1]:[Blk8]])</f>
        <v>0</v>
      </c>
      <c r="T363" s="106" t="str">
        <f>PROPER(GC[[#This Row],[Resources]])</f>
        <v/>
      </c>
      <c r="U363" s="106"/>
    </row>
    <row r="364" spans="1:21" x14ac:dyDescent="0.25">
      <c r="A364" s="122">
        <v>362</v>
      </c>
      <c r="B364" s="103">
        <f t="shared" si="6"/>
        <v>45561</v>
      </c>
      <c r="C364" s="109">
        <v>2024</v>
      </c>
      <c r="D364" s="110">
        <f>YEAR(GC[[#This Row],[Date]])</f>
        <v>2024</v>
      </c>
      <c r="E364" s="101" t="s">
        <v>73</v>
      </c>
      <c r="F364" s="101" t="s">
        <v>73</v>
      </c>
      <c r="G364" s="1" t="str">
        <f>TEXT(GC[[#This Row],[Date]],"mmm-yy")</f>
        <v>Sep-24</v>
      </c>
      <c r="H364" s="1">
        <f>DAY(EOMONTH(GC[[#This Row],[Month Year]],0))</f>
        <v>30</v>
      </c>
      <c r="I364" s="106"/>
      <c r="J364" s="106"/>
      <c r="K364" s="106"/>
      <c r="L364" s="106"/>
      <c r="M364" s="106"/>
      <c r="N364" s="106"/>
      <c r="O364" s="106"/>
      <c r="P364" s="106"/>
      <c r="Q364" s="106"/>
      <c r="R364" s="106"/>
      <c r="S364" s="1">
        <f>SUM(GC[[#This Row],[Blk1]:[Blk8]])</f>
        <v>0</v>
      </c>
      <c r="T364" s="106" t="str">
        <f>PROPER(GC[[#This Row],[Resources]])</f>
        <v/>
      </c>
      <c r="U364" s="106"/>
    </row>
    <row r="365" spans="1:21" x14ac:dyDescent="0.25">
      <c r="A365" s="122">
        <v>363</v>
      </c>
      <c r="B365" s="103">
        <f t="shared" si="6"/>
        <v>45562</v>
      </c>
      <c r="C365" s="109">
        <v>2024</v>
      </c>
      <c r="D365" s="110">
        <f>YEAR(GC[[#This Row],[Date]])</f>
        <v>2024</v>
      </c>
      <c r="E365" s="101" t="s">
        <v>73</v>
      </c>
      <c r="F365" s="101" t="s">
        <v>73</v>
      </c>
      <c r="G365" s="1" t="str">
        <f>TEXT(GC[[#This Row],[Date]],"mmm-yy")</f>
        <v>Sep-24</v>
      </c>
      <c r="H365" s="1">
        <f>DAY(EOMONTH(GC[[#This Row],[Month Year]],0))</f>
        <v>30</v>
      </c>
      <c r="I365" s="106"/>
      <c r="J365" s="106"/>
      <c r="K365" s="106"/>
      <c r="L365" s="106"/>
      <c r="M365" s="106"/>
      <c r="N365" s="106"/>
      <c r="O365" s="106"/>
      <c r="P365" s="106"/>
      <c r="Q365" s="106"/>
      <c r="R365" s="106"/>
      <c r="S365" s="1">
        <f>SUM(GC[[#This Row],[Blk1]:[Blk8]])</f>
        <v>0</v>
      </c>
      <c r="T365" s="106" t="str">
        <f>PROPER(GC[[#This Row],[Resources]])</f>
        <v/>
      </c>
      <c r="U365" s="106"/>
    </row>
    <row r="366" spans="1:21" x14ac:dyDescent="0.25">
      <c r="A366" s="122">
        <v>364</v>
      </c>
      <c r="B366" s="103">
        <f t="shared" si="6"/>
        <v>45563</v>
      </c>
      <c r="C366" s="109">
        <v>2024</v>
      </c>
      <c r="D366" s="110">
        <f>YEAR(GC[[#This Row],[Date]])</f>
        <v>2024</v>
      </c>
      <c r="E366" s="101" t="s">
        <v>73</v>
      </c>
      <c r="F366" s="101" t="s">
        <v>73</v>
      </c>
      <c r="G366" s="1" t="str">
        <f>TEXT(GC[[#This Row],[Date]],"mmm-yy")</f>
        <v>Sep-24</v>
      </c>
      <c r="H366" s="1">
        <f>DAY(EOMONTH(GC[[#This Row],[Month Year]],0))</f>
        <v>30</v>
      </c>
      <c r="I366" s="106"/>
      <c r="J366" s="106"/>
      <c r="K366" s="106"/>
      <c r="L366" s="106"/>
      <c r="M366" s="106"/>
      <c r="N366" s="106"/>
      <c r="O366" s="106"/>
      <c r="P366" s="106"/>
      <c r="Q366" s="106"/>
      <c r="R366" s="106"/>
      <c r="S366" s="1">
        <f>SUM(GC[[#This Row],[Blk1]:[Blk8]])</f>
        <v>0</v>
      </c>
      <c r="T366" s="106" t="str">
        <f>PROPER(GC[[#This Row],[Resources]])</f>
        <v/>
      </c>
      <c r="U366" s="106"/>
    </row>
    <row r="367" spans="1:21" x14ac:dyDescent="0.25">
      <c r="A367" s="122">
        <v>365</v>
      </c>
      <c r="B367" s="103">
        <f t="shared" si="6"/>
        <v>45564</v>
      </c>
      <c r="C367" s="109">
        <v>2024</v>
      </c>
      <c r="D367" s="110">
        <f>YEAR(GC[[#This Row],[Date]])</f>
        <v>2024</v>
      </c>
      <c r="E367" s="101" t="s">
        <v>73</v>
      </c>
      <c r="F367" s="101" t="s">
        <v>73</v>
      </c>
      <c r="G367" s="1" t="str">
        <f>TEXT(GC[[#This Row],[Date]],"mmm-yy")</f>
        <v>Sep-24</v>
      </c>
      <c r="H367" s="1">
        <f>DAY(EOMONTH(GC[[#This Row],[Month Year]],0))</f>
        <v>30</v>
      </c>
      <c r="I367" s="106"/>
      <c r="J367" s="106"/>
      <c r="K367" s="106"/>
      <c r="L367" s="106"/>
      <c r="M367" s="106"/>
      <c r="N367" s="106"/>
      <c r="O367" s="106"/>
      <c r="P367" s="106"/>
      <c r="Q367" s="106"/>
      <c r="R367" s="106"/>
      <c r="S367" s="1">
        <f>SUM(GC[[#This Row],[Blk1]:[Blk8]])</f>
        <v>0</v>
      </c>
      <c r="T367" s="106" t="str">
        <f>PROPER(GC[[#This Row],[Resources]])</f>
        <v/>
      </c>
      <c r="U367" s="106"/>
    </row>
    <row r="368" spans="1:21" x14ac:dyDescent="0.25">
      <c r="A368" s="122">
        <v>366</v>
      </c>
      <c r="B368" s="103">
        <f t="shared" si="6"/>
        <v>45565</v>
      </c>
      <c r="C368" s="109">
        <v>2024</v>
      </c>
      <c r="D368" s="110">
        <f>YEAR(GC[[#This Row],[Date]])</f>
        <v>2024</v>
      </c>
      <c r="E368" s="101" t="s">
        <v>73</v>
      </c>
      <c r="F368" s="101" t="s">
        <v>73</v>
      </c>
      <c r="G368" s="1" t="str">
        <f>TEXT(GC[[#This Row],[Date]],"mmm-yy")</f>
        <v>Sep-24</v>
      </c>
      <c r="H368" s="1">
        <f>DAY(EOMONTH(GC[[#This Row],[Month Year]],0))</f>
        <v>30</v>
      </c>
      <c r="I368" s="106"/>
      <c r="J368" s="106"/>
      <c r="K368" s="106"/>
      <c r="L368" s="106"/>
      <c r="M368" s="106"/>
      <c r="N368" s="106"/>
      <c r="O368" s="106"/>
      <c r="P368" s="106"/>
      <c r="Q368" s="106"/>
      <c r="R368" s="106"/>
      <c r="S368" s="1">
        <f>SUM(GC[[#This Row],[Blk1]:[Blk8]])</f>
        <v>0</v>
      </c>
      <c r="T368" s="106" t="str">
        <f>PROPER(GC[[#This Row],[Resources]])</f>
        <v/>
      </c>
      <c r="U368" s="106"/>
    </row>
    <row r="369" spans="1:21" x14ac:dyDescent="0.25">
      <c r="A369" s="122">
        <v>367</v>
      </c>
      <c r="B369" s="103">
        <f t="shared" si="6"/>
        <v>45566</v>
      </c>
      <c r="C369" s="109">
        <v>2024</v>
      </c>
      <c r="D369" s="110">
        <f>YEAR(GC[[#This Row],[Date]])</f>
        <v>2024</v>
      </c>
      <c r="E369" s="101" t="s">
        <v>73</v>
      </c>
      <c r="F369" s="101" t="s">
        <v>73</v>
      </c>
      <c r="G369" s="1" t="str">
        <f>TEXT(GC[[#This Row],[Date]],"mmm-yy")</f>
        <v>Oct-24</v>
      </c>
      <c r="H369" s="1">
        <f>DAY(EOMONTH(GC[[#This Row],[Month Year]],0))</f>
        <v>31</v>
      </c>
      <c r="I369" s="106"/>
      <c r="J369" s="106"/>
      <c r="K369" s="106"/>
      <c r="L369" s="106"/>
      <c r="M369" s="106"/>
      <c r="N369" s="106"/>
      <c r="O369" s="106"/>
      <c r="P369" s="106"/>
      <c r="Q369" s="106"/>
      <c r="R369" s="106"/>
      <c r="S369" s="1">
        <f>SUM(GC[[#This Row],[Blk1]:[Blk8]])</f>
        <v>0</v>
      </c>
      <c r="T369" s="106" t="str">
        <f>PROPER(GC[[#This Row],[Resources]])</f>
        <v/>
      </c>
      <c r="U369" s="106"/>
    </row>
    <row r="370" spans="1:21" x14ac:dyDescent="0.25">
      <c r="A370" s="122">
        <v>368</v>
      </c>
      <c r="B370" s="103">
        <f t="shared" si="6"/>
        <v>45567</v>
      </c>
      <c r="C370" s="109">
        <v>2024</v>
      </c>
      <c r="D370" s="110">
        <f>YEAR(GC[[#This Row],[Date]])</f>
        <v>2024</v>
      </c>
      <c r="E370" s="101" t="s">
        <v>73</v>
      </c>
      <c r="F370" s="101" t="s">
        <v>73</v>
      </c>
      <c r="G370" s="1" t="str">
        <f>TEXT(GC[[#This Row],[Date]],"mmm-yy")</f>
        <v>Oct-24</v>
      </c>
      <c r="H370" s="1">
        <f>DAY(EOMONTH(GC[[#This Row],[Month Year]],0))</f>
        <v>31</v>
      </c>
      <c r="I370" s="106"/>
      <c r="J370" s="106"/>
      <c r="K370" s="106"/>
      <c r="L370" s="106"/>
      <c r="M370" s="106"/>
      <c r="N370" s="106"/>
      <c r="O370" s="106"/>
      <c r="P370" s="106"/>
      <c r="Q370" s="106"/>
      <c r="R370" s="106"/>
      <c r="S370" s="1">
        <f>SUM(GC[[#This Row],[Blk1]:[Blk8]])</f>
        <v>0</v>
      </c>
      <c r="T370" s="106" t="str">
        <f>PROPER(GC[[#This Row],[Resources]])</f>
        <v/>
      </c>
      <c r="U370" s="106"/>
    </row>
    <row r="371" spans="1:21" x14ac:dyDescent="0.25">
      <c r="A371" s="122">
        <v>369</v>
      </c>
      <c r="B371" s="103">
        <f t="shared" si="6"/>
        <v>45568</v>
      </c>
      <c r="C371" s="109">
        <v>2024</v>
      </c>
      <c r="D371" s="110">
        <f>YEAR(GC[[#This Row],[Date]])</f>
        <v>2024</v>
      </c>
      <c r="E371" s="101" t="s">
        <v>73</v>
      </c>
      <c r="F371" s="101" t="s">
        <v>73</v>
      </c>
      <c r="G371" s="1" t="str">
        <f>TEXT(GC[[#This Row],[Date]],"mmm-yy")</f>
        <v>Oct-24</v>
      </c>
      <c r="H371" s="1">
        <f>DAY(EOMONTH(GC[[#This Row],[Month Year]],0))</f>
        <v>31</v>
      </c>
      <c r="I371" s="106"/>
      <c r="J371" s="106"/>
      <c r="K371" s="106"/>
      <c r="L371" s="106"/>
      <c r="M371" s="106"/>
      <c r="N371" s="106"/>
      <c r="O371" s="106"/>
      <c r="P371" s="106"/>
      <c r="Q371" s="106"/>
      <c r="R371" s="106"/>
      <c r="S371" s="1">
        <f>SUM(GC[[#This Row],[Blk1]:[Blk8]])</f>
        <v>0</v>
      </c>
      <c r="T371" s="106" t="str">
        <f>PROPER(GC[[#This Row],[Resources]])</f>
        <v/>
      </c>
      <c r="U371" s="106"/>
    </row>
    <row r="372" spans="1:21" x14ac:dyDescent="0.25">
      <c r="A372" s="122">
        <v>370</v>
      </c>
      <c r="B372" s="103">
        <f t="shared" si="6"/>
        <v>45569</v>
      </c>
      <c r="C372" s="109">
        <v>2024</v>
      </c>
      <c r="D372" s="110">
        <f>YEAR(GC[[#This Row],[Date]])</f>
        <v>2024</v>
      </c>
      <c r="E372" s="101" t="s">
        <v>73</v>
      </c>
      <c r="F372" s="101" t="s">
        <v>73</v>
      </c>
      <c r="G372" s="1" t="str">
        <f>TEXT(GC[[#This Row],[Date]],"mmm-yy")</f>
        <v>Oct-24</v>
      </c>
      <c r="H372" s="1">
        <f>DAY(EOMONTH(GC[[#This Row],[Month Year]],0))</f>
        <v>31</v>
      </c>
      <c r="I372" s="106"/>
      <c r="J372" s="106"/>
      <c r="K372" s="106"/>
      <c r="L372" s="106"/>
      <c r="M372" s="106"/>
      <c r="N372" s="106"/>
      <c r="O372" s="106"/>
      <c r="P372" s="106"/>
      <c r="Q372" s="106"/>
      <c r="R372" s="106"/>
      <c r="S372" s="1">
        <f>SUM(GC[[#This Row],[Blk1]:[Blk8]])</f>
        <v>0</v>
      </c>
      <c r="T372" s="106" t="str">
        <f>PROPER(GC[[#This Row],[Resources]])</f>
        <v/>
      </c>
      <c r="U372" s="106"/>
    </row>
    <row r="373" spans="1:21" x14ac:dyDescent="0.25">
      <c r="A373" s="122">
        <v>371</v>
      </c>
      <c r="B373" s="103">
        <f t="shared" si="6"/>
        <v>45570</v>
      </c>
      <c r="C373" s="109">
        <v>2024</v>
      </c>
      <c r="D373" s="110">
        <f>YEAR(GC[[#This Row],[Date]])</f>
        <v>2024</v>
      </c>
      <c r="E373" s="101" t="s">
        <v>73</v>
      </c>
      <c r="F373" s="101" t="s">
        <v>73</v>
      </c>
      <c r="G373" s="1" t="str">
        <f>TEXT(GC[[#This Row],[Date]],"mmm-yy")</f>
        <v>Oct-24</v>
      </c>
      <c r="H373" s="1">
        <f>DAY(EOMONTH(GC[[#This Row],[Month Year]],0))</f>
        <v>31</v>
      </c>
      <c r="I373" s="106"/>
      <c r="J373" s="106"/>
      <c r="K373" s="106"/>
      <c r="L373" s="106"/>
      <c r="M373" s="106"/>
      <c r="N373" s="106"/>
      <c r="O373" s="106"/>
      <c r="P373" s="106"/>
      <c r="Q373" s="106"/>
      <c r="R373" s="106"/>
      <c r="S373" s="1">
        <f>SUM(GC[[#This Row],[Blk1]:[Blk8]])</f>
        <v>0</v>
      </c>
      <c r="T373" s="106" t="str">
        <f>PROPER(GC[[#This Row],[Resources]])</f>
        <v/>
      </c>
      <c r="U373" s="106"/>
    </row>
    <row r="374" spans="1:21" x14ac:dyDescent="0.25">
      <c r="A374" s="122">
        <v>372</v>
      </c>
      <c r="B374" s="103">
        <f t="shared" si="6"/>
        <v>45571</v>
      </c>
      <c r="C374" s="109">
        <v>2024</v>
      </c>
      <c r="D374" s="110">
        <f>YEAR(GC[[#This Row],[Date]])</f>
        <v>2024</v>
      </c>
      <c r="E374" s="101" t="s">
        <v>73</v>
      </c>
      <c r="F374" s="101" t="s">
        <v>73</v>
      </c>
      <c r="G374" s="1" t="str">
        <f>TEXT(GC[[#This Row],[Date]],"mmm-yy")</f>
        <v>Oct-24</v>
      </c>
      <c r="H374" s="1">
        <f>DAY(EOMONTH(GC[[#This Row],[Month Year]],0))</f>
        <v>31</v>
      </c>
      <c r="I374" s="106"/>
      <c r="J374" s="106"/>
      <c r="K374" s="106"/>
      <c r="L374" s="106"/>
      <c r="M374" s="106"/>
      <c r="N374" s="106"/>
      <c r="O374" s="106"/>
      <c r="P374" s="106"/>
      <c r="Q374" s="106"/>
      <c r="R374" s="106"/>
      <c r="S374" s="1">
        <f>SUM(GC[[#This Row],[Blk1]:[Blk8]])</f>
        <v>0</v>
      </c>
      <c r="T374" s="106" t="str">
        <f>PROPER(GC[[#This Row],[Resources]])</f>
        <v/>
      </c>
      <c r="U374" s="106"/>
    </row>
    <row r="375" spans="1:21" x14ac:dyDescent="0.25">
      <c r="A375" s="122">
        <v>373</v>
      </c>
      <c r="B375" s="103">
        <f t="shared" si="6"/>
        <v>45572</v>
      </c>
      <c r="C375" s="109">
        <v>2024</v>
      </c>
      <c r="D375" s="110">
        <f>YEAR(GC[[#This Row],[Date]])</f>
        <v>2024</v>
      </c>
      <c r="E375" s="101" t="s">
        <v>73</v>
      </c>
      <c r="F375" s="101" t="s">
        <v>73</v>
      </c>
      <c r="G375" s="1" t="str">
        <f>TEXT(GC[[#This Row],[Date]],"mmm-yy")</f>
        <v>Oct-24</v>
      </c>
      <c r="H375" s="1">
        <f>DAY(EOMONTH(GC[[#This Row],[Month Year]],0))</f>
        <v>31</v>
      </c>
      <c r="I375" s="106"/>
      <c r="J375" s="106"/>
      <c r="K375" s="106"/>
      <c r="L375" s="106"/>
      <c r="M375" s="106"/>
      <c r="N375" s="106"/>
      <c r="O375" s="106"/>
      <c r="P375" s="106"/>
      <c r="Q375" s="106"/>
      <c r="R375" s="106"/>
      <c r="S375" s="1">
        <f>SUM(GC[[#This Row],[Blk1]:[Blk8]])</f>
        <v>0</v>
      </c>
      <c r="T375" s="106" t="str">
        <f>PROPER(GC[[#This Row],[Resources]])</f>
        <v/>
      </c>
      <c r="U375" s="106"/>
    </row>
    <row r="376" spans="1:21" x14ac:dyDescent="0.25">
      <c r="A376" s="122">
        <v>374</v>
      </c>
      <c r="B376" s="103">
        <f t="shared" si="6"/>
        <v>45573</v>
      </c>
      <c r="C376" s="109">
        <v>2024</v>
      </c>
      <c r="D376" s="110">
        <f>YEAR(GC[[#This Row],[Date]])</f>
        <v>2024</v>
      </c>
      <c r="E376" s="101" t="s">
        <v>73</v>
      </c>
      <c r="F376" s="101" t="s">
        <v>73</v>
      </c>
      <c r="G376" s="1" t="str">
        <f>TEXT(GC[[#This Row],[Date]],"mmm-yy")</f>
        <v>Oct-24</v>
      </c>
      <c r="H376" s="1">
        <f>DAY(EOMONTH(GC[[#This Row],[Month Year]],0))</f>
        <v>31</v>
      </c>
      <c r="I376" s="106"/>
      <c r="J376" s="106"/>
      <c r="K376" s="106"/>
      <c r="L376" s="106"/>
      <c r="M376" s="106"/>
      <c r="N376" s="106"/>
      <c r="O376" s="106"/>
      <c r="P376" s="106"/>
      <c r="Q376" s="106"/>
      <c r="R376" s="106"/>
      <c r="S376" s="1">
        <f>SUM(GC[[#This Row],[Blk1]:[Blk8]])</f>
        <v>0</v>
      </c>
      <c r="T376" s="106" t="str">
        <f>PROPER(GC[[#This Row],[Resources]])</f>
        <v/>
      </c>
      <c r="U376" s="106"/>
    </row>
    <row r="377" spans="1:21" x14ac:dyDescent="0.25">
      <c r="A377" s="122">
        <v>375</v>
      </c>
      <c r="B377" s="103">
        <f t="shared" si="6"/>
        <v>45574</v>
      </c>
      <c r="C377" s="109">
        <v>2024</v>
      </c>
      <c r="D377" s="110">
        <f>YEAR(GC[[#This Row],[Date]])</f>
        <v>2024</v>
      </c>
      <c r="E377" s="101" t="s">
        <v>73</v>
      </c>
      <c r="F377" s="101" t="s">
        <v>73</v>
      </c>
      <c r="G377" s="1" t="str">
        <f>TEXT(GC[[#This Row],[Date]],"mmm-yy")</f>
        <v>Oct-24</v>
      </c>
      <c r="H377" s="1">
        <f>DAY(EOMONTH(GC[[#This Row],[Month Year]],0))</f>
        <v>31</v>
      </c>
      <c r="I377" s="106"/>
      <c r="J377" s="106"/>
      <c r="K377" s="106"/>
      <c r="L377" s="106"/>
      <c r="M377" s="106"/>
      <c r="N377" s="106"/>
      <c r="O377" s="106"/>
      <c r="P377" s="106"/>
      <c r="Q377" s="106"/>
      <c r="R377" s="106"/>
      <c r="S377" s="1">
        <f>SUM(GC[[#This Row],[Blk1]:[Blk8]])</f>
        <v>0</v>
      </c>
      <c r="T377" s="106" t="str">
        <f>PROPER(GC[[#This Row],[Resources]])</f>
        <v/>
      </c>
      <c r="U377" s="106"/>
    </row>
    <row r="378" spans="1:21" x14ac:dyDescent="0.25">
      <c r="A378" s="122">
        <v>376</v>
      </c>
      <c r="B378" s="103">
        <f t="shared" si="6"/>
        <v>45575</v>
      </c>
      <c r="C378" s="109">
        <v>2024</v>
      </c>
      <c r="D378" s="110">
        <f>YEAR(GC[[#This Row],[Date]])</f>
        <v>2024</v>
      </c>
      <c r="E378" s="101" t="s">
        <v>73</v>
      </c>
      <c r="F378" s="101" t="s">
        <v>73</v>
      </c>
      <c r="G378" s="1" t="str">
        <f>TEXT(GC[[#This Row],[Date]],"mmm-yy")</f>
        <v>Oct-24</v>
      </c>
      <c r="H378" s="1">
        <f>DAY(EOMONTH(GC[[#This Row],[Month Year]],0))</f>
        <v>31</v>
      </c>
      <c r="I378" s="106"/>
      <c r="J378" s="106"/>
      <c r="K378" s="106"/>
      <c r="L378" s="106"/>
      <c r="M378" s="106"/>
      <c r="N378" s="106"/>
      <c r="O378" s="106"/>
      <c r="P378" s="106"/>
      <c r="Q378" s="106"/>
      <c r="R378" s="106"/>
      <c r="S378" s="1">
        <f>SUM(GC[[#This Row],[Blk1]:[Blk8]])</f>
        <v>0</v>
      </c>
      <c r="T378" s="106" t="str">
        <f>PROPER(GC[[#This Row],[Resources]])</f>
        <v/>
      </c>
      <c r="U378" s="106"/>
    </row>
    <row r="379" spans="1:21" x14ac:dyDescent="0.25">
      <c r="A379" s="122">
        <v>377</v>
      </c>
      <c r="B379" s="103">
        <f t="shared" si="6"/>
        <v>45576</v>
      </c>
      <c r="C379" s="109">
        <v>2024</v>
      </c>
      <c r="D379" s="110">
        <f>YEAR(GC[[#This Row],[Date]])</f>
        <v>2024</v>
      </c>
      <c r="E379" s="101" t="s">
        <v>73</v>
      </c>
      <c r="F379" s="101" t="s">
        <v>73</v>
      </c>
      <c r="G379" s="1" t="str">
        <f>TEXT(GC[[#This Row],[Date]],"mmm-yy")</f>
        <v>Oct-24</v>
      </c>
      <c r="H379" s="1">
        <f>DAY(EOMONTH(GC[[#This Row],[Month Year]],0))</f>
        <v>31</v>
      </c>
      <c r="I379" s="106"/>
      <c r="J379" s="106"/>
      <c r="K379" s="106"/>
      <c r="L379" s="106"/>
      <c r="M379" s="106"/>
      <c r="N379" s="106"/>
      <c r="O379" s="106"/>
      <c r="P379" s="106"/>
      <c r="Q379" s="106"/>
      <c r="R379" s="106"/>
      <c r="S379" s="1">
        <f>SUM(GC[[#This Row],[Blk1]:[Blk8]])</f>
        <v>0</v>
      </c>
      <c r="T379" s="106" t="str">
        <f>PROPER(GC[[#This Row],[Resources]])</f>
        <v/>
      </c>
      <c r="U379" s="106"/>
    </row>
    <row r="380" spans="1:21" x14ac:dyDescent="0.25">
      <c r="A380" s="122">
        <v>378</v>
      </c>
      <c r="B380" s="103">
        <f t="shared" si="6"/>
        <v>45577</v>
      </c>
      <c r="C380" s="109">
        <v>2024</v>
      </c>
      <c r="D380" s="110">
        <f>YEAR(GC[[#This Row],[Date]])</f>
        <v>2024</v>
      </c>
      <c r="E380" s="101" t="s">
        <v>73</v>
      </c>
      <c r="F380" s="101" t="s">
        <v>73</v>
      </c>
      <c r="G380" s="1" t="str">
        <f>TEXT(GC[[#This Row],[Date]],"mmm-yy")</f>
        <v>Oct-24</v>
      </c>
      <c r="H380" s="1">
        <f>DAY(EOMONTH(GC[[#This Row],[Month Year]],0))</f>
        <v>31</v>
      </c>
      <c r="I380" s="106"/>
      <c r="J380" s="106"/>
      <c r="K380" s="106"/>
      <c r="L380" s="106"/>
      <c r="M380" s="106"/>
      <c r="N380" s="106"/>
      <c r="O380" s="106"/>
      <c r="P380" s="106"/>
      <c r="Q380" s="106"/>
      <c r="R380" s="106"/>
      <c r="S380" s="1">
        <f>SUM(GC[[#This Row],[Blk1]:[Blk8]])</f>
        <v>0</v>
      </c>
      <c r="T380" s="106" t="str">
        <f>PROPER(GC[[#This Row],[Resources]])</f>
        <v/>
      </c>
      <c r="U380" s="106"/>
    </row>
    <row r="381" spans="1:21" x14ac:dyDescent="0.25">
      <c r="A381" s="122">
        <v>379</v>
      </c>
      <c r="B381" s="103">
        <f t="shared" si="6"/>
        <v>45578</v>
      </c>
      <c r="C381" s="109">
        <v>2024</v>
      </c>
      <c r="D381" s="110">
        <f>YEAR(GC[[#This Row],[Date]])</f>
        <v>2024</v>
      </c>
      <c r="E381" s="101" t="s">
        <v>73</v>
      </c>
      <c r="F381" s="101" t="s">
        <v>73</v>
      </c>
      <c r="G381" s="1" t="str">
        <f>TEXT(GC[[#This Row],[Date]],"mmm-yy")</f>
        <v>Oct-24</v>
      </c>
      <c r="H381" s="1">
        <f>DAY(EOMONTH(GC[[#This Row],[Month Year]],0))</f>
        <v>31</v>
      </c>
      <c r="I381" s="106"/>
      <c r="J381" s="106"/>
      <c r="K381" s="106"/>
      <c r="L381" s="106"/>
      <c r="M381" s="106"/>
      <c r="N381" s="106"/>
      <c r="O381" s="106"/>
      <c r="P381" s="106"/>
      <c r="Q381" s="106"/>
      <c r="R381" s="106"/>
      <c r="S381" s="1">
        <f>SUM(GC[[#This Row],[Blk1]:[Blk8]])</f>
        <v>0</v>
      </c>
      <c r="T381" s="106" t="str">
        <f>PROPER(GC[[#This Row],[Resources]])</f>
        <v/>
      </c>
      <c r="U381" s="106"/>
    </row>
    <row r="382" spans="1:21" x14ac:dyDescent="0.25">
      <c r="A382" s="122">
        <v>380</v>
      </c>
      <c r="B382" s="103">
        <f t="shared" si="6"/>
        <v>45579</v>
      </c>
      <c r="C382" s="109">
        <v>2024</v>
      </c>
      <c r="D382" s="110">
        <f>YEAR(GC[[#This Row],[Date]])</f>
        <v>2024</v>
      </c>
      <c r="E382" s="101" t="s">
        <v>73</v>
      </c>
      <c r="F382" s="101" t="s">
        <v>73</v>
      </c>
      <c r="G382" s="1" t="str">
        <f>TEXT(GC[[#This Row],[Date]],"mmm-yy")</f>
        <v>Oct-24</v>
      </c>
      <c r="H382" s="1">
        <f>DAY(EOMONTH(GC[[#This Row],[Month Year]],0))</f>
        <v>31</v>
      </c>
      <c r="I382" s="106"/>
      <c r="J382" s="106"/>
      <c r="K382" s="106"/>
      <c r="L382" s="106"/>
      <c r="M382" s="106"/>
      <c r="N382" s="106"/>
      <c r="O382" s="106"/>
      <c r="P382" s="106"/>
      <c r="Q382" s="106"/>
      <c r="R382" s="106"/>
      <c r="S382" s="1">
        <f>SUM(GC[[#This Row],[Blk1]:[Blk8]])</f>
        <v>0</v>
      </c>
      <c r="T382" s="106" t="str">
        <f>PROPER(GC[[#This Row],[Resources]])</f>
        <v/>
      </c>
      <c r="U382" s="106"/>
    </row>
    <row r="383" spans="1:21" x14ac:dyDescent="0.25">
      <c r="A383" s="122">
        <v>381</v>
      </c>
      <c r="B383" s="103">
        <f t="shared" si="6"/>
        <v>45580</v>
      </c>
      <c r="C383" s="109">
        <v>2024</v>
      </c>
      <c r="D383" s="110">
        <f>YEAR(GC[[#This Row],[Date]])</f>
        <v>2024</v>
      </c>
      <c r="E383" s="101" t="s">
        <v>73</v>
      </c>
      <c r="F383" s="101" t="s">
        <v>73</v>
      </c>
      <c r="G383" s="1" t="str">
        <f>TEXT(GC[[#This Row],[Date]],"mmm-yy")</f>
        <v>Oct-24</v>
      </c>
      <c r="H383" s="1">
        <f>DAY(EOMONTH(GC[[#This Row],[Month Year]],0))</f>
        <v>31</v>
      </c>
      <c r="I383" s="106"/>
      <c r="J383" s="106"/>
      <c r="K383" s="106"/>
      <c r="L383" s="106"/>
      <c r="M383" s="106"/>
      <c r="N383" s="106"/>
      <c r="O383" s="106"/>
      <c r="P383" s="106"/>
      <c r="Q383" s="106"/>
      <c r="R383" s="106"/>
      <c r="S383" s="1">
        <f>SUM(GC[[#This Row],[Blk1]:[Blk8]])</f>
        <v>0</v>
      </c>
      <c r="T383" s="106" t="str">
        <f>PROPER(GC[[#This Row],[Resources]])</f>
        <v/>
      </c>
      <c r="U383" s="106"/>
    </row>
    <row r="384" spans="1:21" x14ac:dyDescent="0.25">
      <c r="A384" s="122">
        <v>382</v>
      </c>
      <c r="B384" s="103">
        <f t="shared" si="6"/>
        <v>45581</v>
      </c>
      <c r="C384" s="109">
        <v>2024</v>
      </c>
      <c r="D384" s="110">
        <f>YEAR(GC[[#This Row],[Date]])</f>
        <v>2024</v>
      </c>
      <c r="E384" s="101" t="s">
        <v>73</v>
      </c>
      <c r="F384" s="101" t="s">
        <v>73</v>
      </c>
      <c r="G384" s="1" t="str">
        <f>TEXT(GC[[#This Row],[Date]],"mmm-yy")</f>
        <v>Oct-24</v>
      </c>
      <c r="H384" s="1">
        <f>DAY(EOMONTH(GC[[#This Row],[Month Year]],0))</f>
        <v>31</v>
      </c>
      <c r="I384" s="106"/>
      <c r="J384" s="106"/>
      <c r="K384" s="106"/>
      <c r="L384" s="106"/>
      <c r="M384" s="106"/>
      <c r="N384" s="106"/>
      <c r="O384" s="106"/>
      <c r="P384" s="106"/>
      <c r="Q384" s="106"/>
      <c r="R384" s="106"/>
      <c r="S384" s="1">
        <f>SUM(GC[[#This Row],[Blk1]:[Blk8]])</f>
        <v>0</v>
      </c>
      <c r="T384" s="106" t="str">
        <f>PROPER(GC[[#This Row],[Resources]])</f>
        <v/>
      </c>
      <c r="U384" s="106"/>
    </row>
    <row r="385" spans="1:21" x14ac:dyDescent="0.25">
      <c r="A385" s="122">
        <v>383</v>
      </c>
      <c r="B385" s="103">
        <f t="shared" si="6"/>
        <v>45582</v>
      </c>
      <c r="C385" s="109">
        <v>2024</v>
      </c>
      <c r="D385" s="110">
        <f>YEAR(GC[[#This Row],[Date]])</f>
        <v>2024</v>
      </c>
      <c r="E385" s="101" t="s">
        <v>73</v>
      </c>
      <c r="F385" s="101" t="s">
        <v>73</v>
      </c>
      <c r="G385" s="1" t="str">
        <f>TEXT(GC[[#This Row],[Date]],"mmm-yy")</f>
        <v>Oct-24</v>
      </c>
      <c r="H385" s="1">
        <f>DAY(EOMONTH(GC[[#This Row],[Month Year]],0))</f>
        <v>31</v>
      </c>
      <c r="I385" s="106"/>
      <c r="J385" s="106"/>
      <c r="K385" s="106"/>
      <c r="L385" s="106"/>
      <c r="M385" s="106"/>
      <c r="N385" s="106"/>
      <c r="O385" s="106"/>
      <c r="P385" s="106"/>
      <c r="Q385" s="106"/>
      <c r="R385" s="106"/>
      <c r="S385" s="1">
        <f>SUM(GC[[#This Row],[Blk1]:[Blk8]])</f>
        <v>0</v>
      </c>
      <c r="T385" s="106" t="str">
        <f>PROPER(GC[[#This Row],[Resources]])</f>
        <v/>
      </c>
      <c r="U385" s="106"/>
    </row>
    <row r="386" spans="1:21" x14ac:dyDescent="0.25">
      <c r="A386" s="122">
        <v>384</v>
      </c>
      <c r="B386" s="103">
        <f t="shared" si="6"/>
        <v>45583</v>
      </c>
      <c r="C386" s="109">
        <v>2024</v>
      </c>
      <c r="D386" s="110">
        <f>YEAR(GC[[#This Row],[Date]])</f>
        <v>2024</v>
      </c>
      <c r="E386" s="101" t="s">
        <v>73</v>
      </c>
      <c r="F386" s="101" t="s">
        <v>73</v>
      </c>
      <c r="G386" s="1" t="str">
        <f>TEXT(GC[[#This Row],[Date]],"mmm-yy")</f>
        <v>Oct-24</v>
      </c>
      <c r="H386" s="1">
        <f>DAY(EOMONTH(GC[[#This Row],[Month Year]],0))</f>
        <v>31</v>
      </c>
      <c r="I386" s="106"/>
      <c r="J386" s="106"/>
      <c r="K386" s="106"/>
      <c r="L386" s="106"/>
      <c r="M386" s="106"/>
      <c r="N386" s="106"/>
      <c r="O386" s="106"/>
      <c r="P386" s="106"/>
      <c r="Q386" s="106"/>
      <c r="R386" s="106"/>
      <c r="S386" s="1">
        <f>SUM(GC[[#This Row],[Blk1]:[Blk8]])</f>
        <v>0</v>
      </c>
      <c r="T386" s="106" t="str">
        <f>PROPER(GC[[#This Row],[Resources]])</f>
        <v/>
      </c>
      <c r="U386" s="106"/>
    </row>
    <row r="387" spans="1:21" x14ac:dyDescent="0.25">
      <c r="A387" s="122">
        <v>385</v>
      </c>
      <c r="B387" s="103">
        <f t="shared" si="6"/>
        <v>45584</v>
      </c>
      <c r="C387" s="109">
        <v>2024</v>
      </c>
      <c r="D387" s="110">
        <f>YEAR(GC[[#This Row],[Date]])</f>
        <v>2024</v>
      </c>
      <c r="E387" s="101" t="s">
        <v>73</v>
      </c>
      <c r="F387" s="101" t="s">
        <v>73</v>
      </c>
      <c r="G387" s="1" t="str">
        <f>TEXT(GC[[#This Row],[Date]],"mmm-yy")</f>
        <v>Oct-24</v>
      </c>
      <c r="H387" s="1">
        <f>DAY(EOMONTH(GC[[#This Row],[Month Year]],0))</f>
        <v>31</v>
      </c>
      <c r="I387" s="106"/>
      <c r="J387" s="106"/>
      <c r="K387" s="106"/>
      <c r="L387" s="106"/>
      <c r="M387" s="106"/>
      <c r="N387" s="106"/>
      <c r="O387" s="106"/>
      <c r="P387" s="106"/>
      <c r="Q387" s="106"/>
      <c r="R387" s="106"/>
      <c r="S387" s="1">
        <f>SUM(GC[[#This Row],[Blk1]:[Blk8]])</f>
        <v>0</v>
      </c>
      <c r="T387" s="106" t="str">
        <f>PROPER(GC[[#This Row],[Resources]])</f>
        <v/>
      </c>
      <c r="U387" s="106"/>
    </row>
    <row r="388" spans="1:21" x14ac:dyDescent="0.25">
      <c r="A388" s="122">
        <v>386</v>
      </c>
      <c r="B388" s="103">
        <f t="shared" si="6"/>
        <v>45585</v>
      </c>
      <c r="C388" s="109">
        <v>2024</v>
      </c>
      <c r="D388" s="110">
        <f>YEAR(GC[[#This Row],[Date]])</f>
        <v>2024</v>
      </c>
      <c r="E388" s="101" t="s">
        <v>73</v>
      </c>
      <c r="F388" s="101" t="s">
        <v>73</v>
      </c>
      <c r="G388" s="1" t="str">
        <f>TEXT(GC[[#This Row],[Date]],"mmm-yy")</f>
        <v>Oct-24</v>
      </c>
      <c r="H388" s="1">
        <f>DAY(EOMONTH(GC[[#This Row],[Month Year]],0))</f>
        <v>31</v>
      </c>
      <c r="I388" s="106"/>
      <c r="J388" s="106"/>
      <c r="K388" s="106"/>
      <c r="L388" s="106"/>
      <c r="M388" s="106"/>
      <c r="N388" s="106"/>
      <c r="O388" s="106"/>
      <c r="P388" s="106"/>
      <c r="Q388" s="106"/>
      <c r="R388" s="106"/>
      <c r="S388" s="1">
        <f>SUM(GC[[#This Row],[Blk1]:[Blk8]])</f>
        <v>0</v>
      </c>
      <c r="T388" s="106" t="str">
        <f>PROPER(GC[[#This Row],[Resources]])</f>
        <v/>
      </c>
      <c r="U388" s="106"/>
    </row>
    <row r="389" spans="1:21" x14ac:dyDescent="0.25">
      <c r="A389" s="122">
        <v>387</v>
      </c>
      <c r="B389" s="103">
        <f t="shared" si="6"/>
        <v>45586</v>
      </c>
      <c r="C389" s="109">
        <v>2024</v>
      </c>
      <c r="D389" s="110">
        <f>YEAR(GC[[#This Row],[Date]])</f>
        <v>2024</v>
      </c>
      <c r="E389" s="101" t="s">
        <v>73</v>
      </c>
      <c r="F389" s="101" t="s">
        <v>73</v>
      </c>
      <c r="G389" s="1" t="str">
        <f>TEXT(GC[[#This Row],[Date]],"mmm-yy")</f>
        <v>Oct-24</v>
      </c>
      <c r="H389" s="1">
        <f>DAY(EOMONTH(GC[[#This Row],[Month Year]],0))</f>
        <v>31</v>
      </c>
      <c r="I389" s="106"/>
      <c r="J389" s="106"/>
      <c r="K389" s="106"/>
      <c r="L389" s="106"/>
      <c r="M389" s="106"/>
      <c r="N389" s="106"/>
      <c r="O389" s="106"/>
      <c r="P389" s="106"/>
      <c r="Q389" s="106"/>
      <c r="R389" s="106"/>
      <c r="S389" s="1">
        <f>SUM(GC[[#This Row],[Blk1]:[Blk8]])</f>
        <v>0</v>
      </c>
      <c r="T389" s="106" t="str">
        <f>PROPER(GC[[#This Row],[Resources]])</f>
        <v/>
      </c>
      <c r="U389" s="106"/>
    </row>
    <row r="390" spans="1:21" x14ac:dyDescent="0.25">
      <c r="A390" s="122">
        <v>388</v>
      </c>
      <c r="B390" s="103">
        <f t="shared" si="6"/>
        <v>45587</v>
      </c>
      <c r="C390" s="109">
        <v>2024</v>
      </c>
      <c r="D390" s="110">
        <f>YEAR(GC[[#This Row],[Date]])</f>
        <v>2024</v>
      </c>
      <c r="E390" s="101" t="s">
        <v>73</v>
      </c>
      <c r="F390" s="101" t="s">
        <v>73</v>
      </c>
      <c r="G390" s="1" t="str">
        <f>TEXT(GC[[#This Row],[Date]],"mmm-yy")</f>
        <v>Oct-24</v>
      </c>
      <c r="H390" s="1">
        <f>DAY(EOMONTH(GC[[#This Row],[Month Year]],0))</f>
        <v>31</v>
      </c>
      <c r="I390" s="106"/>
      <c r="J390" s="106"/>
      <c r="K390" s="106"/>
      <c r="L390" s="106"/>
      <c r="M390" s="106"/>
      <c r="N390" s="106"/>
      <c r="O390" s="106"/>
      <c r="P390" s="106"/>
      <c r="Q390" s="106"/>
      <c r="R390" s="106"/>
      <c r="S390" s="1">
        <f>SUM(GC[[#This Row],[Blk1]:[Blk8]])</f>
        <v>0</v>
      </c>
      <c r="T390" s="106" t="str">
        <f>PROPER(GC[[#This Row],[Resources]])</f>
        <v/>
      </c>
      <c r="U390" s="106"/>
    </row>
    <row r="391" spans="1:21" x14ac:dyDescent="0.25">
      <c r="A391" s="122">
        <v>389</v>
      </c>
      <c r="B391" s="103">
        <f t="shared" si="6"/>
        <v>45588</v>
      </c>
      <c r="C391" s="109">
        <v>2024</v>
      </c>
      <c r="D391" s="110">
        <f>YEAR(GC[[#This Row],[Date]])</f>
        <v>2024</v>
      </c>
      <c r="E391" s="101" t="s">
        <v>73</v>
      </c>
      <c r="F391" s="101" t="s">
        <v>73</v>
      </c>
      <c r="G391" s="1" t="str">
        <f>TEXT(GC[[#This Row],[Date]],"mmm-yy")</f>
        <v>Oct-24</v>
      </c>
      <c r="H391" s="1">
        <f>DAY(EOMONTH(GC[[#This Row],[Month Year]],0))</f>
        <v>31</v>
      </c>
      <c r="I391" s="106"/>
      <c r="J391" s="106"/>
      <c r="K391" s="106"/>
      <c r="L391" s="106"/>
      <c r="M391" s="106"/>
      <c r="N391" s="106"/>
      <c r="O391" s="106"/>
      <c r="P391" s="106"/>
      <c r="Q391" s="106"/>
      <c r="R391" s="106"/>
      <c r="S391" s="1">
        <f>SUM(GC[[#This Row],[Blk1]:[Blk8]])</f>
        <v>0</v>
      </c>
      <c r="T391" s="106" t="str">
        <f>PROPER(GC[[#This Row],[Resources]])</f>
        <v/>
      </c>
      <c r="U391" s="106"/>
    </row>
    <row r="392" spans="1:21" x14ac:dyDescent="0.25">
      <c r="A392" s="122">
        <v>390</v>
      </c>
      <c r="B392" s="103">
        <f t="shared" si="6"/>
        <v>45589</v>
      </c>
      <c r="C392" s="109">
        <v>2024</v>
      </c>
      <c r="D392" s="110">
        <f>YEAR(GC[[#This Row],[Date]])</f>
        <v>2024</v>
      </c>
      <c r="E392" s="101" t="s">
        <v>73</v>
      </c>
      <c r="F392" s="101" t="s">
        <v>73</v>
      </c>
      <c r="G392" s="1" t="str">
        <f>TEXT(GC[[#This Row],[Date]],"mmm-yy")</f>
        <v>Oct-24</v>
      </c>
      <c r="H392" s="1">
        <f>DAY(EOMONTH(GC[[#This Row],[Month Year]],0))</f>
        <v>31</v>
      </c>
      <c r="I392" s="106"/>
      <c r="J392" s="106"/>
      <c r="K392" s="106"/>
      <c r="L392" s="106"/>
      <c r="M392" s="106"/>
      <c r="N392" s="106"/>
      <c r="O392" s="106"/>
      <c r="P392" s="106"/>
      <c r="Q392" s="106"/>
      <c r="R392" s="106"/>
      <c r="S392" s="1">
        <f>SUM(GC[[#This Row],[Blk1]:[Blk8]])</f>
        <v>0</v>
      </c>
      <c r="T392" s="106" t="str">
        <f>PROPER(GC[[#This Row],[Resources]])</f>
        <v/>
      </c>
      <c r="U392" s="106"/>
    </row>
    <row r="393" spans="1:21" x14ac:dyDescent="0.25">
      <c r="A393" s="122">
        <v>391</v>
      </c>
      <c r="B393" s="103">
        <f t="shared" si="6"/>
        <v>45590</v>
      </c>
      <c r="C393" s="109">
        <v>2024</v>
      </c>
      <c r="D393" s="110">
        <f>YEAR(GC[[#This Row],[Date]])</f>
        <v>2024</v>
      </c>
      <c r="E393" s="101" t="s">
        <v>73</v>
      </c>
      <c r="F393" s="101" t="s">
        <v>73</v>
      </c>
      <c r="G393" s="1" t="str">
        <f>TEXT(GC[[#This Row],[Date]],"mmm-yy")</f>
        <v>Oct-24</v>
      </c>
      <c r="H393" s="1">
        <f>DAY(EOMONTH(GC[[#This Row],[Month Year]],0))</f>
        <v>31</v>
      </c>
      <c r="I393" s="106"/>
      <c r="J393" s="106"/>
      <c r="K393" s="106"/>
      <c r="L393" s="106"/>
      <c r="M393" s="106"/>
      <c r="N393" s="106"/>
      <c r="O393" s="106"/>
      <c r="P393" s="106"/>
      <c r="Q393" s="106"/>
      <c r="R393" s="106"/>
      <c r="S393" s="1">
        <f>SUM(GC[[#This Row],[Blk1]:[Blk8]])</f>
        <v>0</v>
      </c>
      <c r="T393" s="106" t="str">
        <f>PROPER(GC[[#This Row],[Resources]])</f>
        <v/>
      </c>
      <c r="U393" s="106"/>
    </row>
    <row r="394" spans="1:21" x14ac:dyDescent="0.25">
      <c r="A394" s="122">
        <v>392</v>
      </c>
      <c r="B394" s="103">
        <f t="shared" si="6"/>
        <v>45591</v>
      </c>
      <c r="C394" s="109">
        <v>2024</v>
      </c>
      <c r="D394" s="110">
        <f>YEAR(GC[[#This Row],[Date]])</f>
        <v>2024</v>
      </c>
      <c r="E394" s="101" t="s">
        <v>73</v>
      </c>
      <c r="F394" s="101" t="s">
        <v>73</v>
      </c>
      <c r="G394" s="1" t="str">
        <f>TEXT(GC[[#This Row],[Date]],"mmm-yy")</f>
        <v>Oct-24</v>
      </c>
      <c r="H394" s="1">
        <f>DAY(EOMONTH(GC[[#This Row],[Month Year]],0))</f>
        <v>31</v>
      </c>
      <c r="I394" s="106"/>
      <c r="J394" s="106"/>
      <c r="K394" s="106"/>
      <c r="L394" s="106"/>
      <c r="M394" s="106"/>
      <c r="N394" s="106"/>
      <c r="O394" s="106"/>
      <c r="P394" s="106"/>
      <c r="Q394" s="106"/>
      <c r="R394" s="106"/>
      <c r="S394" s="1">
        <f>SUM(GC[[#This Row],[Blk1]:[Blk8]])</f>
        <v>0</v>
      </c>
      <c r="T394" s="106" t="str">
        <f>PROPER(GC[[#This Row],[Resources]])</f>
        <v/>
      </c>
      <c r="U394" s="106"/>
    </row>
    <row r="395" spans="1:21" x14ac:dyDescent="0.25">
      <c r="A395" s="122">
        <v>393</v>
      </c>
      <c r="B395" s="103">
        <f t="shared" si="6"/>
        <v>45592</v>
      </c>
      <c r="C395" s="109">
        <v>2024</v>
      </c>
      <c r="D395" s="110">
        <f>YEAR(GC[[#This Row],[Date]])</f>
        <v>2024</v>
      </c>
      <c r="E395" s="101" t="s">
        <v>73</v>
      </c>
      <c r="F395" s="101" t="s">
        <v>73</v>
      </c>
      <c r="G395" s="1" t="str">
        <f>TEXT(GC[[#This Row],[Date]],"mmm-yy")</f>
        <v>Oct-24</v>
      </c>
      <c r="H395" s="1">
        <f>DAY(EOMONTH(GC[[#This Row],[Month Year]],0))</f>
        <v>31</v>
      </c>
      <c r="I395" s="106"/>
      <c r="J395" s="106"/>
      <c r="K395" s="106"/>
      <c r="L395" s="106"/>
      <c r="M395" s="106"/>
      <c r="N395" s="106"/>
      <c r="O395" s="106"/>
      <c r="P395" s="106"/>
      <c r="Q395" s="106"/>
      <c r="R395" s="106"/>
      <c r="S395" s="1">
        <f>SUM(GC[[#This Row],[Blk1]:[Blk8]])</f>
        <v>0</v>
      </c>
      <c r="T395" s="106" t="str">
        <f>PROPER(GC[[#This Row],[Resources]])</f>
        <v/>
      </c>
      <c r="U395" s="106"/>
    </row>
    <row r="396" spans="1:21" x14ac:dyDescent="0.25">
      <c r="A396" s="122">
        <v>394</v>
      </c>
      <c r="B396" s="103">
        <f t="shared" si="6"/>
        <v>45593</v>
      </c>
      <c r="C396" s="109">
        <v>2024</v>
      </c>
      <c r="D396" s="110">
        <f>YEAR(GC[[#This Row],[Date]])</f>
        <v>2024</v>
      </c>
      <c r="E396" s="101" t="s">
        <v>73</v>
      </c>
      <c r="F396" s="101" t="s">
        <v>73</v>
      </c>
      <c r="G396" s="1" t="str">
        <f>TEXT(GC[[#This Row],[Date]],"mmm-yy")</f>
        <v>Oct-24</v>
      </c>
      <c r="H396" s="1">
        <f>DAY(EOMONTH(GC[[#This Row],[Month Year]],0))</f>
        <v>31</v>
      </c>
      <c r="I396" s="106"/>
      <c r="J396" s="106"/>
      <c r="K396" s="106"/>
      <c r="L396" s="106"/>
      <c r="M396" s="106"/>
      <c r="N396" s="106"/>
      <c r="O396" s="106"/>
      <c r="P396" s="106"/>
      <c r="Q396" s="106"/>
      <c r="R396" s="106"/>
      <c r="S396" s="1">
        <f>SUM(GC[[#This Row],[Blk1]:[Blk8]])</f>
        <v>0</v>
      </c>
      <c r="T396" s="106" t="str">
        <f>PROPER(GC[[#This Row],[Resources]])</f>
        <v/>
      </c>
      <c r="U396" s="106"/>
    </row>
    <row r="397" spans="1:21" x14ac:dyDescent="0.25">
      <c r="A397" s="122">
        <v>395</v>
      </c>
      <c r="B397" s="103">
        <f t="shared" ref="B397:B462" si="7">B396+1</f>
        <v>45594</v>
      </c>
      <c r="C397" s="109">
        <v>2024</v>
      </c>
      <c r="D397" s="110">
        <f>YEAR(GC[[#This Row],[Date]])</f>
        <v>2024</v>
      </c>
      <c r="E397" s="101" t="s">
        <v>73</v>
      </c>
      <c r="F397" s="101" t="s">
        <v>73</v>
      </c>
      <c r="G397" s="1" t="str">
        <f>TEXT(GC[[#This Row],[Date]],"mmm-yy")</f>
        <v>Oct-24</v>
      </c>
      <c r="H397" s="1">
        <f>DAY(EOMONTH(GC[[#This Row],[Month Year]],0))</f>
        <v>31</v>
      </c>
      <c r="I397" s="106"/>
      <c r="J397" s="106"/>
      <c r="K397" s="106"/>
      <c r="L397" s="106"/>
      <c r="M397" s="106"/>
      <c r="N397" s="106"/>
      <c r="O397" s="106"/>
      <c r="P397" s="106"/>
      <c r="Q397" s="106"/>
      <c r="R397" s="106"/>
      <c r="S397" s="1">
        <f>SUM(GC[[#This Row],[Blk1]:[Blk8]])</f>
        <v>0</v>
      </c>
      <c r="T397" s="106" t="str">
        <f>PROPER(GC[[#This Row],[Resources]])</f>
        <v/>
      </c>
      <c r="U397" s="106"/>
    </row>
    <row r="398" spans="1:21" x14ac:dyDescent="0.25">
      <c r="A398" s="122">
        <v>396</v>
      </c>
      <c r="B398" s="103">
        <f t="shared" si="7"/>
        <v>45595</v>
      </c>
      <c r="C398" s="109">
        <v>2024</v>
      </c>
      <c r="D398" s="110">
        <f>YEAR(GC[[#This Row],[Date]])</f>
        <v>2024</v>
      </c>
      <c r="E398" s="101" t="s">
        <v>73</v>
      </c>
      <c r="F398" s="101" t="s">
        <v>73</v>
      </c>
      <c r="G398" s="1" t="str">
        <f>TEXT(GC[[#This Row],[Date]],"mmm-yy")</f>
        <v>Oct-24</v>
      </c>
      <c r="H398" s="1">
        <f>DAY(EOMONTH(GC[[#This Row],[Month Year]],0))</f>
        <v>31</v>
      </c>
      <c r="I398" s="106"/>
      <c r="J398" s="106"/>
      <c r="K398" s="106"/>
      <c r="L398" s="106"/>
      <c r="M398" s="106"/>
      <c r="N398" s="106"/>
      <c r="O398" s="106"/>
      <c r="P398" s="106"/>
      <c r="Q398" s="106"/>
      <c r="R398" s="106"/>
      <c r="S398" s="1">
        <f>SUM(GC[[#This Row],[Blk1]:[Blk8]])</f>
        <v>0</v>
      </c>
      <c r="T398" s="106" t="str">
        <f>PROPER(GC[[#This Row],[Resources]])</f>
        <v/>
      </c>
      <c r="U398" s="106"/>
    </row>
    <row r="399" spans="1:21" x14ac:dyDescent="0.25">
      <c r="A399" s="122">
        <v>397</v>
      </c>
      <c r="B399" s="103">
        <f t="shared" si="7"/>
        <v>45596</v>
      </c>
      <c r="C399" s="109">
        <v>2024</v>
      </c>
      <c r="D399" s="110">
        <f>YEAR(GC[[#This Row],[Date]])</f>
        <v>2024</v>
      </c>
      <c r="E399" s="101" t="s">
        <v>73</v>
      </c>
      <c r="F399" s="101" t="s">
        <v>73</v>
      </c>
      <c r="G399" s="1" t="str">
        <f>TEXT(GC[[#This Row],[Date]],"mmm-yy")</f>
        <v>Oct-24</v>
      </c>
      <c r="H399" s="1">
        <f>DAY(EOMONTH(GC[[#This Row],[Month Year]],0))</f>
        <v>31</v>
      </c>
      <c r="I399" s="106"/>
      <c r="J399" s="106"/>
      <c r="K399" s="106"/>
      <c r="L399" s="106"/>
      <c r="M399" s="106"/>
      <c r="N399" s="106"/>
      <c r="O399" s="106"/>
      <c r="P399" s="106"/>
      <c r="Q399" s="106"/>
      <c r="R399" s="106"/>
      <c r="S399" s="1">
        <f>SUM(GC[[#This Row],[Blk1]:[Blk8]])</f>
        <v>0</v>
      </c>
      <c r="T399" s="106" t="str">
        <f>PROPER(GC[[#This Row],[Resources]])</f>
        <v/>
      </c>
      <c r="U399" s="106"/>
    </row>
    <row r="400" spans="1:21" x14ac:dyDescent="0.25">
      <c r="A400" s="122">
        <v>398</v>
      </c>
      <c r="B400" s="103">
        <f t="shared" si="7"/>
        <v>45597</v>
      </c>
      <c r="C400" s="109">
        <v>2024</v>
      </c>
      <c r="D400" s="110">
        <f>YEAR(GC[[#This Row],[Date]])</f>
        <v>2024</v>
      </c>
      <c r="E400" s="101" t="s">
        <v>73</v>
      </c>
      <c r="F400" s="101" t="s">
        <v>73</v>
      </c>
      <c r="G400" s="1" t="str">
        <f>TEXT(GC[[#This Row],[Date]],"mmm-yy")</f>
        <v>Nov-24</v>
      </c>
      <c r="H400" s="1">
        <f>DAY(EOMONTH(GC[[#This Row],[Month Year]],0))</f>
        <v>30</v>
      </c>
      <c r="I400" s="106"/>
      <c r="J400" s="116"/>
      <c r="K400" s="106"/>
      <c r="L400" s="106"/>
      <c r="M400" s="106"/>
      <c r="N400" s="106"/>
      <c r="O400" s="106"/>
      <c r="P400" s="106"/>
      <c r="Q400" s="106"/>
      <c r="R400" s="106"/>
      <c r="S400" s="1">
        <f>SUM(GC[[#This Row],[Blk1]:[Blk8]])</f>
        <v>0</v>
      </c>
      <c r="T400" s="106" t="str">
        <f>PROPER(GC[[#This Row],[Resources]])</f>
        <v/>
      </c>
      <c r="U400" s="106"/>
    </row>
    <row r="401" spans="1:21" x14ac:dyDescent="0.25">
      <c r="A401" s="122">
        <v>399</v>
      </c>
      <c r="B401" s="103">
        <f t="shared" si="7"/>
        <v>45598</v>
      </c>
      <c r="C401" s="109">
        <v>2024</v>
      </c>
      <c r="D401" s="110">
        <f>YEAR(GC[[#This Row],[Date]])</f>
        <v>2024</v>
      </c>
      <c r="E401" s="101" t="s">
        <v>73</v>
      </c>
      <c r="F401" s="101" t="s">
        <v>73</v>
      </c>
      <c r="G401" s="1" t="str">
        <f>TEXT(GC[[#This Row],[Date]],"mmm-yy")</f>
        <v>Nov-24</v>
      </c>
      <c r="H401" s="1">
        <f>DAY(EOMONTH(GC[[#This Row],[Month Year]],0))</f>
        <v>30</v>
      </c>
      <c r="I401" s="106"/>
      <c r="J401" s="116"/>
      <c r="K401" s="106"/>
      <c r="L401" s="106"/>
      <c r="M401" s="106"/>
      <c r="N401" s="106"/>
      <c r="O401" s="106"/>
      <c r="P401" s="106"/>
      <c r="Q401" s="106"/>
      <c r="R401" s="106"/>
      <c r="S401" s="1">
        <f>SUM(GC[[#This Row],[Blk1]:[Blk8]])</f>
        <v>0</v>
      </c>
      <c r="T401" s="106" t="str">
        <f>PROPER(GC[[#This Row],[Resources]])</f>
        <v/>
      </c>
      <c r="U401" s="106"/>
    </row>
    <row r="402" spans="1:21" x14ac:dyDescent="0.25">
      <c r="A402" s="122">
        <v>400</v>
      </c>
      <c r="B402" s="103">
        <f t="shared" si="7"/>
        <v>45599</v>
      </c>
      <c r="C402" s="109">
        <v>2024</v>
      </c>
      <c r="D402" s="110">
        <f>YEAR(GC[[#This Row],[Date]])</f>
        <v>2024</v>
      </c>
      <c r="E402" s="101" t="s">
        <v>73</v>
      </c>
      <c r="F402" s="101" t="s">
        <v>73</v>
      </c>
      <c r="G402" s="1" t="str">
        <f>TEXT(GC[[#This Row],[Date]],"mmm-yy")</f>
        <v>Nov-24</v>
      </c>
      <c r="H402" s="1">
        <f>DAY(EOMONTH(GC[[#This Row],[Month Year]],0))</f>
        <v>30</v>
      </c>
      <c r="I402" s="106"/>
      <c r="J402" s="116"/>
      <c r="K402" s="106"/>
      <c r="L402" s="106"/>
      <c r="M402" s="106"/>
      <c r="N402" s="106"/>
      <c r="O402" s="106"/>
      <c r="P402" s="106"/>
      <c r="Q402" s="106"/>
      <c r="R402" s="106"/>
      <c r="S402" s="1">
        <f>SUM(GC[[#This Row],[Blk1]:[Blk8]])</f>
        <v>0</v>
      </c>
      <c r="T402" s="106" t="str">
        <f>PROPER(GC[[#This Row],[Resources]])</f>
        <v/>
      </c>
      <c r="U402" s="106"/>
    </row>
    <row r="403" spans="1:21" x14ac:dyDescent="0.25">
      <c r="A403" s="122">
        <v>401</v>
      </c>
      <c r="B403" s="103">
        <f t="shared" si="7"/>
        <v>45600</v>
      </c>
      <c r="C403" s="109">
        <v>2024</v>
      </c>
      <c r="D403" s="110">
        <f>YEAR(GC[[#This Row],[Date]])</f>
        <v>2024</v>
      </c>
      <c r="E403" s="101" t="s">
        <v>73</v>
      </c>
      <c r="F403" s="101" t="s">
        <v>73</v>
      </c>
      <c r="G403" s="1" t="str">
        <f>TEXT(GC[[#This Row],[Date]],"mmm-yy")</f>
        <v>Nov-24</v>
      </c>
      <c r="H403" s="1">
        <f>DAY(EOMONTH(GC[[#This Row],[Month Year]],0))</f>
        <v>30</v>
      </c>
      <c r="I403" s="106"/>
      <c r="J403" s="116"/>
      <c r="K403" s="106"/>
      <c r="L403" s="106"/>
      <c r="M403" s="106"/>
      <c r="N403" s="106"/>
      <c r="O403" s="106"/>
      <c r="P403" s="106"/>
      <c r="Q403" s="106"/>
      <c r="R403" s="106"/>
      <c r="S403" s="1">
        <f>SUM(GC[[#This Row],[Blk1]:[Blk8]])</f>
        <v>0</v>
      </c>
      <c r="T403" s="106" t="str">
        <f>PROPER(GC[[#This Row],[Resources]])</f>
        <v/>
      </c>
      <c r="U403" s="106"/>
    </row>
    <row r="404" spans="1:21" x14ac:dyDescent="0.25">
      <c r="A404" s="122">
        <v>402</v>
      </c>
      <c r="B404" s="103">
        <f t="shared" si="7"/>
        <v>45601</v>
      </c>
      <c r="C404" s="109">
        <v>2024</v>
      </c>
      <c r="D404" s="110">
        <f>YEAR(GC[[#This Row],[Date]])</f>
        <v>2024</v>
      </c>
      <c r="E404" s="101" t="s">
        <v>73</v>
      </c>
      <c r="F404" s="101" t="s">
        <v>73</v>
      </c>
      <c r="G404" s="1" t="str">
        <f>TEXT(GC[[#This Row],[Date]],"mmm-yy")</f>
        <v>Nov-24</v>
      </c>
      <c r="H404" s="1">
        <f>DAY(EOMONTH(GC[[#This Row],[Month Year]],0))</f>
        <v>30</v>
      </c>
      <c r="I404" s="106"/>
      <c r="J404" s="116"/>
      <c r="K404" s="106"/>
      <c r="L404" s="106"/>
      <c r="M404" s="106"/>
      <c r="N404" s="106"/>
      <c r="O404" s="106"/>
      <c r="P404" s="106"/>
      <c r="Q404" s="106"/>
      <c r="R404" s="106"/>
      <c r="S404" s="1">
        <f>SUM(GC[[#This Row],[Blk1]:[Blk8]])</f>
        <v>0</v>
      </c>
      <c r="T404" s="106" t="str">
        <f>PROPER(GC[[#This Row],[Resources]])</f>
        <v/>
      </c>
      <c r="U404" s="106"/>
    </row>
    <row r="405" spans="1:21" x14ac:dyDescent="0.25">
      <c r="A405" s="122">
        <v>403</v>
      </c>
      <c r="B405" s="103">
        <f t="shared" si="7"/>
        <v>45602</v>
      </c>
      <c r="C405" s="109">
        <v>2024</v>
      </c>
      <c r="D405" s="110">
        <f>YEAR(GC[[#This Row],[Date]])</f>
        <v>2024</v>
      </c>
      <c r="E405" s="101" t="s">
        <v>73</v>
      </c>
      <c r="F405" s="101" t="s">
        <v>73</v>
      </c>
      <c r="G405" s="1" t="str">
        <f>TEXT(GC[[#This Row],[Date]],"mmm-yy")</f>
        <v>Nov-24</v>
      </c>
      <c r="H405" s="1">
        <f>DAY(EOMONTH(GC[[#This Row],[Month Year]],0))</f>
        <v>30</v>
      </c>
      <c r="I405" s="106"/>
      <c r="J405" s="116"/>
      <c r="K405" s="106"/>
      <c r="L405" s="106"/>
      <c r="M405" s="106"/>
      <c r="N405" s="106"/>
      <c r="O405" s="106"/>
      <c r="P405" s="106"/>
      <c r="Q405" s="106"/>
      <c r="R405" s="106"/>
      <c r="S405" s="1">
        <f>SUM(GC[[#This Row],[Blk1]:[Blk8]])</f>
        <v>0</v>
      </c>
      <c r="T405" s="106" t="str">
        <f>PROPER(GC[[#This Row],[Resources]])</f>
        <v/>
      </c>
      <c r="U405" s="106"/>
    </row>
    <row r="406" spans="1:21" x14ac:dyDescent="0.25">
      <c r="A406" s="122">
        <v>404</v>
      </c>
      <c r="B406" s="103">
        <f t="shared" si="7"/>
        <v>45603</v>
      </c>
      <c r="C406" s="109">
        <v>2024</v>
      </c>
      <c r="D406" s="110">
        <f>YEAR(GC[[#This Row],[Date]])</f>
        <v>2024</v>
      </c>
      <c r="E406" s="101" t="s">
        <v>73</v>
      </c>
      <c r="F406" s="101" t="s">
        <v>73</v>
      </c>
      <c r="G406" s="1" t="str">
        <f>TEXT(GC[[#This Row],[Date]],"mmm-yy")</f>
        <v>Nov-24</v>
      </c>
      <c r="H406" s="1">
        <f>DAY(EOMONTH(GC[[#This Row],[Month Year]],0))</f>
        <v>30</v>
      </c>
      <c r="I406" s="106"/>
      <c r="J406" s="116"/>
      <c r="K406" s="106"/>
      <c r="L406" s="106"/>
      <c r="M406" s="106"/>
      <c r="N406" s="106"/>
      <c r="O406" s="106"/>
      <c r="P406" s="106"/>
      <c r="Q406" s="106"/>
      <c r="R406" s="106"/>
      <c r="S406" s="1">
        <f>SUM(GC[[#This Row],[Blk1]:[Blk8]])</f>
        <v>0</v>
      </c>
      <c r="T406" s="106" t="str">
        <f>PROPER(GC[[#This Row],[Resources]])</f>
        <v/>
      </c>
      <c r="U406" s="106"/>
    </row>
    <row r="407" spans="1:21" x14ac:dyDescent="0.25">
      <c r="A407" s="122">
        <v>405</v>
      </c>
      <c r="B407" s="103">
        <f t="shared" si="7"/>
        <v>45604</v>
      </c>
      <c r="C407" s="109">
        <v>2024</v>
      </c>
      <c r="D407" s="110">
        <f>YEAR(GC[[#This Row],[Date]])</f>
        <v>2024</v>
      </c>
      <c r="E407" s="101" t="s">
        <v>73</v>
      </c>
      <c r="F407" s="101" t="s">
        <v>73</v>
      </c>
      <c r="G407" s="1" t="str">
        <f>TEXT(GC[[#This Row],[Date]],"mmm-yy")</f>
        <v>Nov-24</v>
      </c>
      <c r="H407" s="1">
        <f>DAY(EOMONTH(GC[[#This Row],[Month Year]],0))</f>
        <v>30</v>
      </c>
      <c r="I407" s="106"/>
      <c r="J407" s="116"/>
      <c r="K407" s="106"/>
      <c r="L407" s="106"/>
      <c r="M407" s="106"/>
      <c r="N407" s="106"/>
      <c r="O407" s="106"/>
      <c r="P407" s="106"/>
      <c r="Q407" s="106"/>
      <c r="R407" s="106"/>
      <c r="S407" s="1">
        <f>SUM(GC[[#This Row],[Blk1]:[Blk8]])</f>
        <v>0</v>
      </c>
      <c r="T407" s="106" t="str">
        <f>PROPER(GC[[#This Row],[Resources]])</f>
        <v/>
      </c>
      <c r="U407" s="106"/>
    </row>
    <row r="408" spans="1:21" x14ac:dyDescent="0.25">
      <c r="A408" s="122">
        <v>406</v>
      </c>
      <c r="B408" s="103">
        <f t="shared" si="7"/>
        <v>45605</v>
      </c>
      <c r="C408" s="109">
        <v>2024</v>
      </c>
      <c r="D408" s="110">
        <f>YEAR(GC[[#This Row],[Date]])</f>
        <v>2024</v>
      </c>
      <c r="E408" s="101" t="s">
        <v>73</v>
      </c>
      <c r="F408" s="101" t="s">
        <v>73</v>
      </c>
      <c r="G408" s="1" t="str">
        <f>TEXT(GC[[#This Row],[Date]],"mmm-yy")</f>
        <v>Nov-24</v>
      </c>
      <c r="H408" s="1">
        <f>DAY(EOMONTH(GC[[#This Row],[Month Year]],0))</f>
        <v>30</v>
      </c>
      <c r="I408" s="106"/>
      <c r="J408" s="116"/>
      <c r="K408" s="106"/>
      <c r="L408" s="106"/>
      <c r="M408" s="106"/>
      <c r="N408" s="106"/>
      <c r="O408" s="106"/>
      <c r="P408" s="106"/>
      <c r="Q408" s="106"/>
      <c r="R408" s="106"/>
      <c r="S408" s="1">
        <f>SUM(GC[[#This Row],[Blk1]:[Blk8]])</f>
        <v>0</v>
      </c>
      <c r="T408" s="106" t="str">
        <f>PROPER(GC[[#This Row],[Resources]])</f>
        <v/>
      </c>
      <c r="U408" s="106"/>
    </row>
    <row r="409" spans="1:21" x14ac:dyDescent="0.25">
      <c r="A409" s="122">
        <v>407</v>
      </c>
      <c r="B409" s="103">
        <f t="shared" si="7"/>
        <v>45606</v>
      </c>
      <c r="C409" s="109">
        <v>2024</v>
      </c>
      <c r="D409" s="110">
        <f>YEAR(GC[[#This Row],[Date]])</f>
        <v>2024</v>
      </c>
      <c r="E409" s="101" t="s">
        <v>73</v>
      </c>
      <c r="F409" s="101" t="s">
        <v>73</v>
      </c>
      <c r="G409" s="1" t="str">
        <f>TEXT(GC[[#This Row],[Date]],"mmm-yy")</f>
        <v>Nov-24</v>
      </c>
      <c r="H409" s="1">
        <f>DAY(EOMONTH(GC[[#This Row],[Month Year]],0))</f>
        <v>30</v>
      </c>
      <c r="I409" s="106"/>
      <c r="J409" s="116"/>
      <c r="K409" s="106"/>
      <c r="L409" s="106"/>
      <c r="M409" s="106"/>
      <c r="N409" s="106"/>
      <c r="O409" s="106"/>
      <c r="P409" s="106"/>
      <c r="Q409" s="106"/>
      <c r="R409" s="106"/>
      <c r="S409" s="1">
        <f>SUM(GC[[#This Row],[Blk1]:[Blk8]])</f>
        <v>0</v>
      </c>
      <c r="T409" s="106" t="str">
        <f>PROPER(GC[[#This Row],[Resources]])</f>
        <v/>
      </c>
      <c r="U409" s="106"/>
    </row>
    <row r="410" spans="1:21" x14ac:dyDescent="0.25">
      <c r="A410" s="122">
        <v>408</v>
      </c>
      <c r="B410" s="103">
        <f t="shared" si="7"/>
        <v>45607</v>
      </c>
      <c r="C410" s="109">
        <v>2024</v>
      </c>
      <c r="D410" s="110">
        <f>YEAR(GC[[#This Row],[Date]])</f>
        <v>2024</v>
      </c>
      <c r="E410" s="101" t="s">
        <v>73</v>
      </c>
      <c r="F410" s="101" t="s">
        <v>73</v>
      </c>
      <c r="G410" s="1" t="str">
        <f>TEXT(GC[[#This Row],[Date]],"mmm-yy")</f>
        <v>Nov-24</v>
      </c>
      <c r="H410" s="1">
        <f>DAY(EOMONTH(GC[[#This Row],[Month Year]],0))</f>
        <v>30</v>
      </c>
      <c r="I410" s="106"/>
      <c r="J410" s="116"/>
      <c r="K410" s="106"/>
      <c r="L410" s="106"/>
      <c r="M410" s="106"/>
      <c r="N410" s="106"/>
      <c r="O410" s="106"/>
      <c r="P410" s="106"/>
      <c r="Q410" s="106"/>
      <c r="R410" s="106"/>
      <c r="S410" s="1">
        <f>SUM(GC[[#This Row],[Blk1]:[Blk8]])</f>
        <v>0</v>
      </c>
      <c r="T410" s="106" t="str">
        <f>PROPER(GC[[#This Row],[Resources]])</f>
        <v/>
      </c>
      <c r="U410" s="106"/>
    </row>
    <row r="411" spans="1:21" x14ac:dyDescent="0.25">
      <c r="A411" s="122">
        <v>409</v>
      </c>
      <c r="B411" s="103">
        <f t="shared" si="7"/>
        <v>45608</v>
      </c>
      <c r="C411" s="109">
        <v>2024</v>
      </c>
      <c r="D411" s="110">
        <f>YEAR(GC[[#This Row],[Date]])</f>
        <v>2024</v>
      </c>
      <c r="E411" s="101" t="s">
        <v>73</v>
      </c>
      <c r="F411" s="101" t="s">
        <v>73</v>
      </c>
      <c r="G411" s="1" t="str">
        <f>TEXT(GC[[#This Row],[Date]],"mmm-yy")</f>
        <v>Nov-24</v>
      </c>
      <c r="H411" s="1">
        <f>DAY(EOMONTH(GC[[#This Row],[Month Year]],0))</f>
        <v>30</v>
      </c>
      <c r="I411" s="106"/>
      <c r="J411" s="116"/>
      <c r="K411" s="106"/>
      <c r="L411" s="106"/>
      <c r="M411" s="106"/>
      <c r="N411" s="106"/>
      <c r="O411" s="106"/>
      <c r="P411" s="106"/>
      <c r="Q411" s="106"/>
      <c r="R411" s="106"/>
      <c r="S411" s="1">
        <f>SUM(GC[[#This Row],[Blk1]:[Blk8]])</f>
        <v>0</v>
      </c>
      <c r="T411" s="106" t="str">
        <f>PROPER(GC[[#This Row],[Resources]])</f>
        <v/>
      </c>
      <c r="U411" s="106"/>
    </row>
    <row r="412" spans="1:21" x14ac:dyDescent="0.25">
      <c r="A412" s="122">
        <v>410</v>
      </c>
      <c r="B412" s="103">
        <f t="shared" si="7"/>
        <v>45609</v>
      </c>
      <c r="C412" s="109">
        <v>2024</v>
      </c>
      <c r="D412" s="110">
        <f>YEAR(GC[[#This Row],[Date]])</f>
        <v>2024</v>
      </c>
      <c r="E412" s="101" t="s">
        <v>73</v>
      </c>
      <c r="F412" s="101" t="s">
        <v>73</v>
      </c>
      <c r="G412" s="1" t="str">
        <f>TEXT(GC[[#This Row],[Date]],"mmm-yy")</f>
        <v>Nov-24</v>
      </c>
      <c r="H412" s="1">
        <f>DAY(EOMONTH(GC[[#This Row],[Month Year]],0))</f>
        <v>30</v>
      </c>
      <c r="I412" s="106"/>
      <c r="J412" s="116"/>
      <c r="K412" s="106"/>
      <c r="L412" s="106"/>
      <c r="M412" s="106"/>
      <c r="N412" s="106"/>
      <c r="O412" s="106"/>
      <c r="P412" s="106"/>
      <c r="Q412" s="106"/>
      <c r="R412" s="106"/>
      <c r="S412" s="1">
        <f>SUM(GC[[#This Row],[Blk1]:[Blk8]])</f>
        <v>0</v>
      </c>
      <c r="T412" s="106" t="str">
        <f>PROPER(GC[[#This Row],[Resources]])</f>
        <v/>
      </c>
      <c r="U412" s="106"/>
    </row>
    <row r="413" spans="1:21" x14ac:dyDescent="0.25">
      <c r="A413" s="122">
        <v>411</v>
      </c>
      <c r="B413" s="103">
        <f t="shared" si="7"/>
        <v>45610</v>
      </c>
      <c r="C413" s="109">
        <v>2024</v>
      </c>
      <c r="D413" s="110">
        <f>YEAR(GC[[#This Row],[Date]])</f>
        <v>2024</v>
      </c>
      <c r="E413" s="101" t="s">
        <v>73</v>
      </c>
      <c r="F413" s="101" t="s">
        <v>73</v>
      </c>
      <c r="G413" s="1" t="str">
        <f>TEXT(GC[[#This Row],[Date]],"mmm-yy")</f>
        <v>Nov-24</v>
      </c>
      <c r="H413" s="1">
        <f>DAY(EOMONTH(GC[[#This Row],[Month Year]],0))</f>
        <v>30</v>
      </c>
      <c r="I413" s="106"/>
      <c r="J413" s="116"/>
      <c r="K413" s="106"/>
      <c r="L413" s="106"/>
      <c r="M413" s="106"/>
      <c r="N413" s="106"/>
      <c r="O413" s="106"/>
      <c r="P413" s="106"/>
      <c r="Q413" s="106"/>
      <c r="R413" s="106"/>
      <c r="S413" s="1">
        <f>SUM(GC[[#This Row],[Blk1]:[Blk8]])</f>
        <v>0</v>
      </c>
      <c r="T413" s="106" t="str">
        <f>PROPER(GC[[#This Row],[Resources]])</f>
        <v/>
      </c>
      <c r="U413" s="106"/>
    </row>
    <row r="414" spans="1:21" x14ac:dyDescent="0.25">
      <c r="A414" s="122">
        <v>412</v>
      </c>
      <c r="B414" s="103">
        <f t="shared" si="7"/>
        <v>45611</v>
      </c>
      <c r="C414" s="109">
        <v>2024</v>
      </c>
      <c r="D414" s="110">
        <f>YEAR(GC[[#This Row],[Date]])</f>
        <v>2024</v>
      </c>
      <c r="E414" s="101" t="s">
        <v>73</v>
      </c>
      <c r="F414" s="101" t="s">
        <v>73</v>
      </c>
      <c r="G414" s="1" t="str">
        <f>TEXT(GC[[#This Row],[Date]],"mmm-yy")</f>
        <v>Nov-24</v>
      </c>
      <c r="H414" s="1">
        <f>DAY(EOMONTH(GC[[#This Row],[Month Year]],0))</f>
        <v>30</v>
      </c>
      <c r="I414" s="106"/>
      <c r="J414" s="116"/>
      <c r="K414" s="106"/>
      <c r="L414" s="106"/>
      <c r="M414" s="106"/>
      <c r="N414" s="106"/>
      <c r="O414" s="106"/>
      <c r="P414" s="106"/>
      <c r="Q414" s="106"/>
      <c r="R414" s="106"/>
      <c r="S414" s="1">
        <f>SUM(GC[[#This Row],[Blk1]:[Blk8]])</f>
        <v>0</v>
      </c>
      <c r="T414" s="106" t="str">
        <f>PROPER(GC[[#This Row],[Resources]])</f>
        <v/>
      </c>
      <c r="U414" s="106"/>
    </row>
    <row r="415" spans="1:21" x14ac:dyDescent="0.25">
      <c r="A415" s="122">
        <v>413</v>
      </c>
      <c r="B415" s="103">
        <f t="shared" si="7"/>
        <v>45612</v>
      </c>
      <c r="C415" s="109">
        <v>2024</v>
      </c>
      <c r="D415" s="110">
        <f>YEAR(GC[[#This Row],[Date]])</f>
        <v>2024</v>
      </c>
      <c r="E415" s="101" t="s">
        <v>73</v>
      </c>
      <c r="F415" s="101" t="s">
        <v>73</v>
      </c>
      <c r="G415" s="1" t="str">
        <f>TEXT(GC[[#This Row],[Date]],"mmm-yy")</f>
        <v>Nov-24</v>
      </c>
      <c r="H415" s="1">
        <f>DAY(EOMONTH(GC[[#This Row],[Month Year]],0))</f>
        <v>30</v>
      </c>
      <c r="I415" s="106"/>
      <c r="J415" s="116"/>
      <c r="K415" s="106"/>
      <c r="L415" s="106"/>
      <c r="M415" s="106"/>
      <c r="N415" s="106"/>
      <c r="O415" s="106"/>
      <c r="P415" s="106"/>
      <c r="Q415" s="106"/>
      <c r="R415" s="106"/>
      <c r="S415" s="1">
        <f>SUM(GC[[#This Row],[Blk1]:[Blk8]])</f>
        <v>0</v>
      </c>
      <c r="T415" s="106" t="str">
        <f>PROPER(GC[[#This Row],[Resources]])</f>
        <v/>
      </c>
      <c r="U415" s="106"/>
    </row>
    <row r="416" spans="1:21" x14ac:dyDescent="0.25">
      <c r="A416" s="122">
        <v>414</v>
      </c>
      <c r="B416" s="103">
        <f t="shared" si="7"/>
        <v>45613</v>
      </c>
      <c r="C416" s="109">
        <v>2024</v>
      </c>
      <c r="D416" s="110">
        <f>YEAR(GC[[#This Row],[Date]])</f>
        <v>2024</v>
      </c>
      <c r="E416" s="101" t="s">
        <v>73</v>
      </c>
      <c r="F416" s="101" t="s">
        <v>73</v>
      </c>
      <c r="G416" s="1" t="str">
        <f>TEXT(GC[[#This Row],[Date]],"mmm-yy")</f>
        <v>Nov-24</v>
      </c>
      <c r="H416" s="1">
        <f>DAY(EOMONTH(GC[[#This Row],[Month Year]],0))</f>
        <v>30</v>
      </c>
      <c r="I416" s="106"/>
      <c r="J416" s="116"/>
      <c r="K416" s="106"/>
      <c r="L416" s="106"/>
      <c r="M416" s="106"/>
      <c r="N416" s="106"/>
      <c r="O416" s="106"/>
      <c r="P416" s="106"/>
      <c r="Q416" s="106"/>
      <c r="R416" s="106"/>
      <c r="S416" s="1">
        <f>SUM(GC[[#This Row],[Blk1]:[Blk8]])</f>
        <v>0</v>
      </c>
      <c r="T416" s="106" t="str">
        <f>PROPER(GC[[#This Row],[Resources]])</f>
        <v/>
      </c>
      <c r="U416" s="106"/>
    </row>
    <row r="417" spans="1:21" x14ac:dyDescent="0.25">
      <c r="A417" s="122">
        <v>415</v>
      </c>
      <c r="B417" s="103">
        <f t="shared" si="7"/>
        <v>45614</v>
      </c>
      <c r="C417" s="109">
        <v>2024</v>
      </c>
      <c r="D417" s="110">
        <f>YEAR(GC[[#This Row],[Date]])</f>
        <v>2024</v>
      </c>
      <c r="E417" s="101" t="s">
        <v>73</v>
      </c>
      <c r="F417" s="101" t="s">
        <v>73</v>
      </c>
      <c r="G417" s="1" t="str">
        <f>TEXT(GC[[#This Row],[Date]],"mmm-yy")</f>
        <v>Nov-24</v>
      </c>
      <c r="H417" s="1">
        <f>DAY(EOMONTH(GC[[#This Row],[Month Year]],0))</f>
        <v>30</v>
      </c>
      <c r="I417" s="106"/>
      <c r="J417" s="116"/>
      <c r="K417" s="106"/>
      <c r="L417" s="106"/>
      <c r="M417" s="106"/>
      <c r="N417" s="106"/>
      <c r="O417" s="106"/>
      <c r="P417" s="106"/>
      <c r="Q417" s="106"/>
      <c r="R417" s="106"/>
      <c r="S417" s="1">
        <f>SUM(GC[[#This Row],[Blk1]:[Blk8]])</f>
        <v>0</v>
      </c>
      <c r="T417" s="106" t="str">
        <f>PROPER(GC[[#This Row],[Resources]])</f>
        <v/>
      </c>
      <c r="U417" s="106"/>
    </row>
    <row r="418" spans="1:21" x14ac:dyDescent="0.25">
      <c r="A418" s="122">
        <v>416</v>
      </c>
      <c r="B418" s="103">
        <f t="shared" si="7"/>
        <v>45615</v>
      </c>
      <c r="C418" s="109">
        <v>2024</v>
      </c>
      <c r="D418" s="110">
        <f>YEAR(GC[[#This Row],[Date]])</f>
        <v>2024</v>
      </c>
      <c r="E418" s="101" t="s">
        <v>73</v>
      </c>
      <c r="F418" s="101" t="s">
        <v>73</v>
      </c>
      <c r="G418" s="1" t="str">
        <f>TEXT(GC[[#This Row],[Date]],"mmm-yy")</f>
        <v>Nov-24</v>
      </c>
      <c r="H418" s="1">
        <f>DAY(EOMONTH(GC[[#This Row],[Month Year]],0))</f>
        <v>30</v>
      </c>
      <c r="I418" s="106"/>
      <c r="J418" s="116"/>
      <c r="K418" s="106"/>
      <c r="L418" s="106"/>
      <c r="M418" s="106"/>
      <c r="N418" s="106"/>
      <c r="O418" s="106"/>
      <c r="P418" s="106"/>
      <c r="Q418" s="106"/>
      <c r="R418" s="106"/>
      <c r="S418" s="1">
        <f>SUM(GC[[#This Row],[Blk1]:[Blk8]])</f>
        <v>0</v>
      </c>
      <c r="T418" s="106" t="str">
        <f>PROPER(GC[[#This Row],[Resources]])</f>
        <v/>
      </c>
      <c r="U418" s="106"/>
    </row>
    <row r="419" spans="1:21" x14ac:dyDescent="0.25">
      <c r="A419" s="122">
        <v>417</v>
      </c>
      <c r="B419" s="103">
        <f t="shared" si="7"/>
        <v>45616</v>
      </c>
      <c r="C419" s="109">
        <v>2024</v>
      </c>
      <c r="D419" s="110">
        <f>YEAR(GC[[#This Row],[Date]])</f>
        <v>2024</v>
      </c>
      <c r="E419" s="101" t="s">
        <v>73</v>
      </c>
      <c r="F419" s="101" t="s">
        <v>73</v>
      </c>
      <c r="G419" s="1" t="str">
        <f>TEXT(GC[[#This Row],[Date]],"mmm-yy")</f>
        <v>Nov-24</v>
      </c>
      <c r="H419" s="1">
        <f>DAY(EOMONTH(GC[[#This Row],[Month Year]],0))</f>
        <v>30</v>
      </c>
      <c r="I419" s="106"/>
      <c r="J419" s="116"/>
      <c r="K419" s="106"/>
      <c r="L419" s="106"/>
      <c r="M419" s="106"/>
      <c r="N419" s="106"/>
      <c r="O419" s="106"/>
      <c r="P419" s="106"/>
      <c r="Q419" s="106"/>
      <c r="R419" s="106"/>
      <c r="S419" s="1">
        <f>SUM(GC[[#This Row],[Blk1]:[Blk8]])</f>
        <v>0</v>
      </c>
      <c r="T419" s="106" t="str">
        <f>PROPER(GC[[#This Row],[Resources]])</f>
        <v/>
      </c>
      <c r="U419" s="106"/>
    </row>
    <row r="420" spans="1:21" x14ac:dyDescent="0.25">
      <c r="A420" s="122">
        <v>418</v>
      </c>
      <c r="B420" s="103">
        <f t="shared" si="7"/>
        <v>45617</v>
      </c>
      <c r="C420" s="109">
        <v>2024</v>
      </c>
      <c r="D420" s="110">
        <f>YEAR(GC[[#This Row],[Date]])</f>
        <v>2024</v>
      </c>
      <c r="E420" s="101" t="s">
        <v>73</v>
      </c>
      <c r="F420" s="101" t="s">
        <v>73</v>
      </c>
      <c r="G420" s="1" t="str">
        <f>TEXT(GC[[#This Row],[Date]],"mmm-yy")</f>
        <v>Nov-24</v>
      </c>
      <c r="H420" s="1">
        <f>DAY(EOMONTH(GC[[#This Row],[Month Year]],0))</f>
        <v>30</v>
      </c>
      <c r="I420" s="106"/>
      <c r="J420" s="116"/>
      <c r="K420" s="106"/>
      <c r="L420" s="106"/>
      <c r="M420" s="106"/>
      <c r="N420" s="106"/>
      <c r="O420" s="106"/>
      <c r="P420" s="106"/>
      <c r="Q420" s="106"/>
      <c r="R420" s="106"/>
      <c r="S420" s="1">
        <f>SUM(GC[[#This Row],[Blk1]:[Blk8]])</f>
        <v>0</v>
      </c>
      <c r="T420" s="106" t="str">
        <f>PROPER(GC[[#This Row],[Resources]])</f>
        <v/>
      </c>
      <c r="U420" s="106"/>
    </row>
    <row r="421" spans="1:21" x14ac:dyDescent="0.25">
      <c r="A421" s="122">
        <v>419</v>
      </c>
      <c r="B421" s="103">
        <f t="shared" si="7"/>
        <v>45618</v>
      </c>
      <c r="C421" s="109">
        <v>2024</v>
      </c>
      <c r="D421" s="110">
        <f>YEAR(GC[[#This Row],[Date]])</f>
        <v>2024</v>
      </c>
      <c r="E421" s="101" t="s">
        <v>73</v>
      </c>
      <c r="F421" s="101" t="s">
        <v>73</v>
      </c>
      <c r="G421" s="1" t="str">
        <f>TEXT(GC[[#This Row],[Date]],"mmm-yy")</f>
        <v>Nov-24</v>
      </c>
      <c r="H421" s="1">
        <f>DAY(EOMONTH(GC[[#This Row],[Month Year]],0))</f>
        <v>30</v>
      </c>
      <c r="I421" s="106"/>
      <c r="J421" s="116"/>
      <c r="K421" s="106"/>
      <c r="L421" s="106"/>
      <c r="M421" s="106"/>
      <c r="N421" s="106"/>
      <c r="O421" s="106"/>
      <c r="P421" s="106"/>
      <c r="Q421" s="106"/>
      <c r="R421" s="106"/>
      <c r="S421" s="1">
        <f>SUM(GC[[#This Row],[Blk1]:[Blk8]])</f>
        <v>0</v>
      </c>
      <c r="T421" s="106" t="str">
        <f>PROPER(GC[[#This Row],[Resources]])</f>
        <v/>
      </c>
      <c r="U421" s="106"/>
    </row>
    <row r="422" spans="1:21" x14ac:dyDescent="0.25">
      <c r="A422" s="122">
        <v>420</v>
      </c>
      <c r="B422" s="103">
        <f t="shared" si="7"/>
        <v>45619</v>
      </c>
      <c r="C422" s="109">
        <v>2024</v>
      </c>
      <c r="D422" s="110">
        <f>YEAR(GC[[#This Row],[Date]])</f>
        <v>2024</v>
      </c>
      <c r="E422" s="101" t="s">
        <v>73</v>
      </c>
      <c r="F422" s="101" t="s">
        <v>73</v>
      </c>
      <c r="G422" s="1" t="str">
        <f>TEXT(GC[[#This Row],[Date]],"mmm-yy")</f>
        <v>Nov-24</v>
      </c>
      <c r="H422" s="1">
        <f>DAY(EOMONTH(GC[[#This Row],[Month Year]],0))</f>
        <v>30</v>
      </c>
      <c r="I422" s="106"/>
      <c r="J422" s="116"/>
      <c r="K422" s="106"/>
      <c r="L422" s="106"/>
      <c r="M422" s="106"/>
      <c r="N422" s="106"/>
      <c r="O422" s="106"/>
      <c r="P422" s="106"/>
      <c r="Q422" s="106"/>
      <c r="R422" s="106"/>
      <c r="S422" s="1">
        <f>SUM(GC[[#This Row],[Blk1]:[Blk8]])</f>
        <v>0</v>
      </c>
      <c r="T422" s="106" t="str">
        <f>PROPER(GC[[#This Row],[Resources]])</f>
        <v/>
      </c>
      <c r="U422" s="106"/>
    </row>
    <row r="423" spans="1:21" x14ac:dyDescent="0.25">
      <c r="A423" s="122">
        <v>421</v>
      </c>
      <c r="B423" s="103">
        <f t="shared" si="7"/>
        <v>45620</v>
      </c>
      <c r="C423" s="109">
        <v>2024</v>
      </c>
      <c r="D423" s="110">
        <f>YEAR(GC[[#This Row],[Date]])</f>
        <v>2024</v>
      </c>
      <c r="E423" s="101" t="s">
        <v>73</v>
      </c>
      <c r="F423" s="101" t="s">
        <v>73</v>
      </c>
      <c r="G423" s="1" t="str">
        <f>TEXT(GC[[#This Row],[Date]],"mmm-yy")</f>
        <v>Nov-24</v>
      </c>
      <c r="H423" s="1">
        <f>DAY(EOMONTH(GC[[#This Row],[Month Year]],0))</f>
        <v>30</v>
      </c>
      <c r="I423" s="106"/>
      <c r="J423" s="116"/>
      <c r="K423" s="106"/>
      <c r="L423" s="106"/>
      <c r="M423" s="106"/>
      <c r="N423" s="106"/>
      <c r="O423" s="106"/>
      <c r="P423" s="106"/>
      <c r="Q423" s="106"/>
      <c r="R423" s="106"/>
      <c r="S423" s="1">
        <f>SUM(GC[[#This Row],[Blk1]:[Blk8]])</f>
        <v>0</v>
      </c>
      <c r="T423" s="106" t="str">
        <f>PROPER(GC[[#This Row],[Resources]])</f>
        <v/>
      </c>
      <c r="U423" s="106"/>
    </row>
    <row r="424" spans="1:21" x14ac:dyDescent="0.25">
      <c r="A424" s="122">
        <v>422</v>
      </c>
      <c r="B424" s="103">
        <f t="shared" si="7"/>
        <v>45621</v>
      </c>
      <c r="C424" s="109">
        <v>2024</v>
      </c>
      <c r="D424" s="110">
        <f>YEAR(GC[[#This Row],[Date]])</f>
        <v>2024</v>
      </c>
      <c r="E424" s="101" t="s">
        <v>73</v>
      </c>
      <c r="F424" s="101" t="s">
        <v>73</v>
      </c>
      <c r="G424" s="1" t="str">
        <f>TEXT(GC[[#This Row],[Date]],"mmm-yy")</f>
        <v>Nov-24</v>
      </c>
      <c r="H424" s="1">
        <f>DAY(EOMONTH(GC[[#This Row],[Month Year]],0))</f>
        <v>30</v>
      </c>
      <c r="I424" s="106"/>
      <c r="J424" s="116"/>
      <c r="K424" s="106"/>
      <c r="L424" s="106"/>
      <c r="M424" s="106"/>
      <c r="N424" s="106"/>
      <c r="O424" s="106"/>
      <c r="P424" s="106"/>
      <c r="Q424" s="106"/>
      <c r="R424" s="106"/>
      <c r="S424" s="1">
        <f>SUM(GC[[#This Row],[Blk1]:[Blk8]])</f>
        <v>0</v>
      </c>
      <c r="T424" s="106" t="str">
        <f>PROPER(GC[[#This Row],[Resources]])</f>
        <v/>
      </c>
      <c r="U424" s="106"/>
    </row>
    <row r="425" spans="1:21" x14ac:dyDescent="0.25">
      <c r="A425" s="122">
        <v>423</v>
      </c>
      <c r="B425" s="103">
        <f t="shared" si="7"/>
        <v>45622</v>
      </c>
      <c r="C425" s="109">
        <v>2024</v>
      </c>
      <c r="D425" s="110">
        <f>YEAR(GC[[#This Row],[Date]])</f>
        <v>2024</v>
      </c>
      <c r="E425" s="101" t="s">
        <v>73</v>
      </c>
      <c r="F425" s="101" t="s">
        <v>73</v>
      </c>
      <c r="G425" s="1" t="str">
        <f>TEXT(GC[[#This Row],[Date]],"mmm-yy")</f>
        <v>Nov-24</v>
      </c>
      <c r="H425" s="1">
        <f>DAY(EOMONTH(GC[[#This Row],[Month Year]],0))</f>
        <v>30</v>
      </c>
      <c r="I425" s="106"/>
      <c r="J425" s="116"/>
      <c r="K425" s="106"/>
      <c r="L425" s="106"/>
      <c r="M425" s="106"/>
      <c r="N425" s="106"/>
      <c r="O425" s="106"/>
      <c r="P425" s="106"/>
      <c r="Q425" s="106"/>
      <c r="R425" s="106"/>
      <c r="S425" s="1">
        <f>SUM(GC[[#This Row],[Blk1]:[Blk8]])</f>
        <v>0</v>
      </c>
      <c r="T425" s="106" t="str">
        <f>PROPER(GC[[#This Row],[Resources]])</f>
        <v/>
      </c>
      <c r="U425" s="106"/>
    </row>
    <row r="426" spans="1:21" x14ac:dyDescent="0.25">
      <c r="A426" s="122">
        <v>424</v>
      </c>
      <c r="B426" s="103">
        <f t="shared" si="7"/>
        <v>45623</v>
      </c>
      <c r="C426" s="109">
        <v>2024</v>
      </c>
      <c r="D426" s="110">
        <f>YEAR(GC[[#This Row],[Date]])</f>
        <v>2024</v>
      </c>
      <c r="E426" s="101" t="s">
        <v>73</v>
      </c>
      <c r="F426" s="101" t="s">
        <v>73</v>
      </c>
      <c r="G426" s="1" t="str">
        <f>TEXT(GC[[#This Row],[Date]],"mmm-yy")</f>
        <v>Nov-24</v>
      </c>
      <c r="H426" s="1">
        <f>DAY(EOMONTH(GC[[#This Row],[Month Year]],0))</f>
        <v>30</v>
      </c>
      <c r="I426" s="106"/>
      <c r="J426" s="116"/>
      <c r="K426" s="106"/>
      <c r="L426" s="106"/>
      <c r="M426" s="106"/>
      <c r="N426" s="106"/>
      <c r="O426" s="106"/>
      <c r="P426" s="106"/>
      <c r="Q426" s="106"/>
      <c r="R426" s="106"/>
      <c r="S426" s="1">
        <f>SUM(GC[[#This Row],[Blk1]:[Blk8]])</f>
        <v>0</v>
      </c>
      <c r="T426" s="106" t="str">
        <f>PROPER(GC[[#This Row],[Resources]])</f>
        <v/>
      </c>
      <c r="U426" s="106"/>
    </row>
    <row r="427" spans="1:21" x14ac:dyDescent="0.25">
      <c r="A427" s="122">
        <v>425</v>
      </c>
      <c r="B427" s="103">
        <f t="shared" si="7"/>
        <v>45624</v>
      </c>
      <c r="C427" s="109">
        <v>2024</v>
      </c>
      <c r="D427" s="110">
        <f>YEAR(GC[[#This Row],[Date]])</f>
        <v>2024</v>
      </c>
      <c r="E427" s="101" t="s">
        <v>73</v>
      </c>
      <c r="F427" s="101" t="s">
        <v>73</v>
      </c>
      <c r="G427" s="1" t="str">
        <f>TEXT(GC[[#This Row],[Date]],"mmm-yy")</f>
        <v>Nov-24</v>
      </c>
      <c r="H427" s="1">
        <f>DAY(EOMONTH(GC[[#This Row],[Month Year]],0))</f>
        <v>30</v>
      </c>
      <c r="I427" s="106"/>
      <c r="J427" s="116"/>
      <c r="K427" s="106"/>
      <c r="L427" s="106"/>
      <c r="M427" s="106"/>
      <c r="N427" s="106"/>
      <c r="O427" s="106"/>
      <c r="P427" s="106"/>
      <c r="Q427" s="106"/>
      <c r="R427" s="106"/>
      <c r="S427" s="1">
        <f>SUM(GC[[#This Row],[Blk1]:[Blk8]])</f>
        <v>0</v>
      </c>
      <c r="T427" s="106" t="str">
        <f>PROPER(GC[[#This Row],[Resources]])</f>
        <v/>
      </c>
      <c r="U427" s="106"/>
    </row>
    <row r="428" spans="1:21" x14ac:dyDescent="0.25">
      <c r="A428" s="122">
        <v>426</v>
      </c>
      <c r="B428" s="103">
        <f t="shared" si="7"/>
        <v>45625</v>
      </c>
      <c r="C428" s="109">
        <v>2024</v>
      </c>
      <c r="D428" s="110">
        <f>YEAR(GC[[#This Row],[Date]])</f>
        <v>2024</v>
      </c>
      <c r="E428" s="101" t="s">
        <v>73</v>
      </c>
      <c r="F428" s="101" t="s">
        <v>73</v>
      </c>
      <c r="G428" s="1" t="str">
        <f>TEXT(GC[[#This Row],[Date]],"mmm-yy")</f>
        <v>Nov-24</v>
      </c>
      <c r="H428" s="1">
        <f>DAY(EOMONTH(GC[[#This Row],[Month Year]],0))</f>
        <v>30</v>
      </c>
      <c r="I428" s="106"/>
      <c r="J428" s="116"/>
      <c r="K428" s="106"/>
      <c r="L428" s="106"/>
      <c r="M428" s="106"/>
      <c r="N428" s="106"/>
      <c r="O428" s="106"/>
      <c r="P428" s="106"/>
      <c r="Q428" s="106"/>
      <c r="R428" s="106"/>
      <c r="S428" s="1">
        <f>SUM(GC[[#This Row],[Blk1]:[Blk8]])</f>
        <v>0</v>
      </c>
      <c r="T428" s="106" t="str">
        <f>PROPER(GC[[#This Row],[Resources]])</f>
        <v/>
      </c>
      <c r="U428" s="106"/>
    </row>
    <row r="429" spans="1:21" x14ac:dyDescent="0.25">
      <c r="A429" s="122">
        <v>427</v>
      </c>
      <c r="B429" s="103">
        <f t="shared" si="7"/>
        <v>45626</v>
      </c>
      <c r="C429" s="109">
        <v>2024</v>
      </c>
      <c r="D429" s="110">
        <f>YEAR(GC[[#This Row],[Date]])</f>
        <v>2024</v>
      </c>
      <c r="E429" s="101" t="s">
        <v>73</v>
      </c>
      <c r="F429" s="101" t="s">
        <v>73</v>
      </c>
      <c r="G429" s="1" t="str">
        <f>TEXT(GC[[#This Row],[Date]],"mmm-yy")</f>
        <v>Nov-24</v>
      </c>
      <c r="H429" s="1">
        <f>DAY(EOMONTH(GC[[#This Row],[Month Year]],0))</f>
        <v>30</v>
      </c>
      <c r="I429" s="106"/>
      <c r="J429" s="116"/>
      <c r="K429" s="106"/>
      <c r="L429" s="106"/>
      <c r="M429" s="106"/>
      <c r="N429" s="106"/>
      <c r="O429" s="106"/>
      <c r="P429" s="106"/>
      <c r="Q429" s="106"/>
      <c r="R429" s="106"/>
      <c r="S429" s="1">
        <f>SUM(GC[[#This Row],[Blk1]:[Blk8]])</f>
        <v>0</v>
      </c>
      <c r="T429" s="106" t="str">
        <f>PROPER(GC[[#This Row],[Resources]])</f>
        <v/>
      </c>
      <c r="U429" s="106"/>
    </row>
    <row r="430" spans="1:21" x14ac:dyDescent="0.25">
      <c r="A430" s="122">
        <v>428</v>
      </c>
      <c r="B430" s="103">
        <f t="shared" si="7"/>
        <v>45627</v>
      </c>
      <c r="C430" s="109">
        <v>2024</v>
      </c>
      <c r="D430" s="110">
        <f>YEAR(GC[[#This Row],[Date]])</f>
        <v>2024</v>
      </c>
      <c r="E430" s="101" t="s">
        <v>73</v>
      </c>
      <c r="F430" s="101" t="s">
        <v>73</v>
      </c>
      <c r="G430" s="1" t="str">
        <f>TEXT(GC[[#This Row],[Date]],"mmm-yy")</f>
        <v>Dec-24</v>
      </c>
      <c r="H430" s="1">
        <f>DAY(EOMONTH(GC[[#This Row],[Month Year]],0))</f>
        <v>31</v>
      </c>
      <c r="I430" s="106"/>
      <c r="J430" s="116"/>
      <c r="K430" s="106"/>
      <c r="L430" s="106"/>
      <c r="M430" s="106"/>
      <c r="N430" s="106"/>
      <c r="O430" s="106"/>
      <c r="P430" s="106"/>
      <c r="Q430" s="106"/>
      <c r="R430" s="106"/>
      <c r="S430" s="1">
        <f>SUM(GC[[#This Row],[Blk1]:[Blk8]])</f>
        <v>0</v>
      </c>
      <c r="T430" s="106" t="str">
        <f>PROPER(GC[[#This Row],[Resources]])</f>
        <v/>
      </c>
      <c r="U430" s="106"/>
    </row>
    <row r="431" spans="1:21" x14ac:dyDescent="0.25">
      <c r="A431" s="122">
        <v>429</v>
      </c>
      <c r="B431" s="103">
        <f t="shared" si="7"/>
        <v>45628</v>
      </c>
      <c r="C431" s="109">
        <v>2024</v>
      </c>
      <c r="D431" s="110">
        <f>YEAR(GC[[#This Row],[Date]])</f>
        <v>2024</v>
      </c>
      <c r="E431" s="101" t="s">
        <v>73</v>
      </c>
      <c r="F431" s="101" t="s">
        <v>73</v>
      </c>
      <c r="G431" s="1" t="str">
        <f>TEXT(GC[[#This Row],[Date]],"mmm-yy")</f>
        <v>Dec-24</v>
      </c>
      <c r="H431" s="1">
        <f>DAY(EOMONTH(GC[[#This Row],[Month Year]],0))</f>
        <v>31</v>
      </c>
      <c r="I431" s="106"/>
      <c r="J431" s="116"/>
      <c r="K431" s="106"/>
      <c r="L431" s="106"/>
      <c r="M431" s="106"/>
      <c r="N431" s="106"/>
      <c r="O431" s="106"/>
      <c r="P431" s="106"/>
      <c r="Q431" s="106"/>
      <c r="R431" s="106"/>
      <c r="S431" s="1">
        <f>SUM(GC[[#This Row],[Blk1]:[Blk8]])</f>
        <v>0</v>
      </c>
      <c r="T431" s="106" t="str">
        <f>PROPER(GC[[#This Row],[Resources]])</f>
        <v/>
      </c>
      <c r="U431" s="106"/>
    </row>
    <row r="432" spans="1:21" x14ac:dyDescent="0.25">
      <c r="A432" s="122">
        <v>430</v>
      </c>
      <c r="B432" s="103">
        <f t="shared" si="7"/>
        <v>45629</v>
      </c>
      <c r="C432" s="109">
        <v>2024</v>
      </c>
      <c r="D432" s="110">
        <f>YEAR(GC[[#This Row],[Date]])</f>
        <v>2024</v>
      </c>
      <c r="E432" s="101" t="s">
        <v>73</v>
      </c>
      <c r="F432" s="101" t="s">
        <v>73</v>
      </c>
      <c r="G432" s="1" t="str">
        <f>TEXT(GC[[#This Row],[Date]],"mmm-yy")</f>
        <v>Dec-24</v>
      </c>
      <c r="H432" s="1">
        <f>DAY(EOMONTH(GC[[#This Row],[Month Year]],0))</f>
        <v>31</v>
      </c>
      <c r="I432" s="106"/>
      <c r="J432" s="116"/>
      <c r="K432" s="106"/>
      <c r="L432" s="106"/>
      <c r="M432" s="106"/>
      <c r="N432" s="106"/>
      <c r="O432" s="106"/>
      <c r="P432" s="106"/>
      <c r="Q432" s="106"/>
      <c r="R432" s="106"/>
      <c r="S432" s="1">
        <f>SUM(GC[[#This Row],[Blk1]:[Blk8]])</f>
        <v>0</v>
      </c>
      <c r="T432" s="106" t="str">
        <f>PROPER(GC[[#This Row],[Resources]])</f>
        <v/>
      </c>
      <c r="U432" s="106"/>
    </row>
    <row r="433" spans="1:21" x14ac:dyDescent="0.25">
      <c r="A433" s="122">
        <v>431</v>
      </c>
      <c r="B433" s="103">
        <f t="shared" si="7"/>
        <v>45630</v>
      </c>
      <c r="C433" s="109">
        <v>2024</v>
      </c>
      <c r="D433" s="110">
        <f>YEAR(GC[[#This Row],[Date]])</f>
        <v>2024</v>
      </c>
      <c r="E433" s="101" t="s">
        <v>73</v>
      </c>
      <c r="F433" s="101" t="s">
        <v>73</v>
      </c>
      <c r="G433" s="1" t="str">
        <f>TEXT(GC[[#This Row],[Date]],"mmm-yy")</f>
        <v>Dec-24</v>
      </c>
      <c r="H433" s="1">
        <f>DAY(EOMONTH(GC[[#This Row],[Month Year]],0))</f>
        <v>31</v>
      </c>
      <c r="I433" s="106"/>
      <c r="J433" s="116"/>
      <c r="K433" s="106"/>
      <c r="L433" s="106"/>
      <c r="M433" s="106"/>
      <c r="N433" s="106"/>
      <c r="O433" s="106"/>
      <c r="P433" s="106"/>
      <c r="Q433" s="106"/>
      <c r="R433" s="106"/>
      <c r="S433" s="1">
        <f>SUM(GC[[#This Row],[Blk1]:[Blk8]])</f>
        <v>0</v>
      </c>
      <c r="T433" s="106" t="str">
        <f>PROPER(GC[[#This Row],[Resources]])</f>
        <v/>
      </c>
      <c r="U433" s="106"/>
    </row>
    <row r="434" spans="1:21" x14ac:dyDescent="0.25">
      <c r="A434" s="122">
        <v>432</v>
      </c>
      <c r="B434" s="103">
        <f t="shared" si="7"/>
        <v>45631</v>
      </c>
      <c r="C434" s="109">
        <v>2024</v>
      </c>
      <c r="D434" s="110">
        <f>YEAR(GC[[#This Row],[Date]])</f>
        <v>2024</v>
      </c>
      <c r="E434" s="101" t="s">
        <v>73</v>
      </c>
      <c r="F434" s="101" t="s">
        <v>73</v>
      </c>
      <c r="G434" s="1" t="str">
        <f>TEXT(GC[[#This Row],[Date]],"mmm-yy")</f>
        <v>Dec-24</v>
      </c>
      <c r="H434" s="1">
        <f>DAY(EOMONTH(GC[[#This Row],[Month Year]],0))</f>
        <v>31</v>
      </c>
      <c r="I434" s="106"/>
      <c r="J434" s="116"/>
      <c r="K434" s="106"/>
      <c r="L434" s="106"/>
      <c r="M434" s="106"/>
      <c r="N434" s="106"/>
      <c r="O434" s="106"/>
      <c r="P434" s="106"/>
      <c r="Q434" s="106"/>
      <c r="R434" s="106"/>
      <c r="S434" s="1">
        <f>SUM(GC[[#This Row],[Blk1]:[Blk8]])</f>
        <v>0</v>
      </c>
      <c r="T434" s="106" t="str">
        <f>PROPER(GC[[#This Row],[Resources]])</f>
        <v/>
      </c>
      <c r="U434" s="106"/>
    </row>
    <row r="435" spans="1:21" x14ac:dyDescent="0.25">
      <c r="A435" s="122">
        <v>433</v>
      </c>
      <c r="B435" s="103">
        <f t="shared" si="7"/>
        <v>45632</v>
      </c>
      <c r="C435" s="109">
        <v>2024</v>
      </c>
      <c r="D435" s="110">
        <f>YEAR(GC[[#This Row],[Date]])</f>
        <v>2024</v>
      </c>
      <c r="E435" s="101" t="s">
        <v>73</v>
      </c>
      <c r="F435" s="101" t="s">
        <v>73</v>
      </c>
      <c r="G435" s="1" t="str">
        <f>TEXT(GC[[#This Row],[Date]],"mmm-yy")</f>
        <v>Dec-24</v>
      </c>
      <c r="H435" s="1">
        <f>DAY(EOMONTH(GC[[#This Row],[Month Year]],0))</f>
        <v>31</v>
      </c>
      <c r="I435" s="106"/>
      <c r="J435" s="116"/>
      <c r="K435" s="106"/>
      <c r="L435" s="106"/>
      <c r="M435" s="106"/>
      <c r="N435" s="106"/>
      <c r="O435" s="106"/>
      <c r="P435" s="106"/>
      <c r="Q435" s="106"/>
      <c r="R435" s="106"/>
      <c r="S435" s="1">
        <f>SUM(GC[[#This Row],[Blk1]:[Blk8]])</f>
        <v>0</v>
      </c>
      <c r="T435" s="106" t="str">
        <f>PROPER(GC[[#This Row],[Resources]])</f>
        <v/>
      </c>
      <c r="U435" s="106"/>
    </row>
    <row r="436" spans="1:21" x14ac:dyDescent="0.25">
      <c r="A436" s="122">
        <v>434</v>
      </c>
      <c r="B436" s="103">
        <f t="shared" si="7"/>
        <v>45633</v>
      </c>
      <c r="C436" s="109">
        <v>2024</v>
      </c>
      <c r="D436" s="110">
        <f>YEAR(GC[[#This Row],[Date]])</f>
        <v>2024</v>
      </c>
      <c r="E436" s="101" t="s">
        <v>73</v>
      </c>
      <c r="F436" s="101" t="s">
        <v>73</v>
      </c>
      <c r="G436" s="1" t="str">
        <f>TEXT(GC[[#This Row],[Date]],"mmm-yy")</f>
        <v>Dec-24</v>
      </c>
      <c r="H436" s="1">
        <f>DAY(EOMONTH(GC[[#This Row],[Month Year]],0))</f>
        <v>31</v>
      </c>
      <c r="I436" s="106"/>
      <c r="J436" s="116"/>
      <c r="K436" s="106"/>
      <c r="L436" s="106"/>
      <c r="M436" s="106"/>
      <c r="N436" s="106"/>
      <c r="O436" s="106"/>
      <c r="P436" s="106"/>
      <c r="Q436" s="106"/>
      <c r="R436" s="106"/>
      <c r="S436" s="1">
        <f>SUM(GC[[#This Row],[Blk1]:[Blk8]])</f>
        <v>0</v>
      </c>
      <c r="T436" s="106" t="str">
        <f>PROPER(GC[[#This Row],[Resources]])</f>
        <v/>
      </c>
      <c r="U436" s="106"/>
    </row>
    <row r="437" spans="1:21" x14ac:dyDescent="0.25">
      <c r="A437" s="122">
        <v>435</v>
      </c>
      <c r="B437" s="103">
        <f t="shared" si="7"/>
        <v>45634</v>
      </c>
      <c r="C437" s="109">
        <v>2024</v>
      </c>
      <c r="D437" s="110">
        <f>YEAR(GC[[#This Row],[Date]])</f>
        <v>2024</v>
      </c>
      <c r="E437" s="101" t="s">
        <v>73</v>
      </c>
      <c r="F437" s="101" t="s">
        <v>73</v>
      </c>
      <c r="G437" s="1" t="str">
        <f>TEXT(GC[[#This Row],[Date]],"mmm-yy")</f>
        <v>Dec-24</v>
      </c>
      <c r="H437" s="1">
        <f>DAY(EOMONTH(GC[[#This Row],[Month Year]],0))</f>
        <v>31</v>
      </c>
      <c r="I437" s="106"/>
      <c r="J437" s="116"/>
      <c r="K437" s="106"/>
      <c r="L437" s="106"/>
      <c r="M437" s="106"/>
      <c r="N437" s="106"/>
      <c r="O437" s="106"/>
      <c r="P437" s="106"/>
      <c r="Q437" s="106"/>
      <c r="R437" s="106"/>
      <c r="S437" s="1">
        <f>SUM(GC[[#This Row],[Blk1]:[Blk8]])</f>
        <v>0</v>
      </c>
      <c r="T437" s="106" t="str">
        <f>PROPER(GC[[#This Row],[Resources]])</f>
        <v/>
      </c>
      <c r="U437" s="106"/>
    </row>
    <row r="438" spans="1:21" x14ac:dyDescent="0.25">
      <c r="A438" s="122">
        <v>436</v>
      </c>
      <c r="B438" s="103">
        <f t="shared" si="7"/>
        <v>45635</v>
      </c>
      <c r="C438" s="109">
        <v>2024</v>
      </c>
      <c r="D438" s="110">
        <f>YEAR(GC[[#This Row],[Date]])</f>
        <v>2024</v>
      </c>
      <c r="E438" s="101" t="s">
        <v>73</v>
      </c>
      <c r="F438" s="101" t="s">
        <v>73</v>
      </c>
      <c r="G438" s="1" t="str">
        <f>TEXT(GC[[#This Row],[Date]],"mmm-yy")</f>
        <v>Dec-24</v>
      </c>
      <c r="H438" s="1">
        <f>DAY(EOMONTH(GC[[#This Row],[Month Year]],0))</f>
        <v>31</v>
      </c>
      <c r="I438" s="106"/>
      <c r="J438" s="116"/>
      <c r="K438" s="106"/>
      <c r="L438" s="106"/>
      <c r="M438" s="106"/>
      <c r="N438" s="106"/>
      <c r="O438" s="106"/>
      <c r="P438" s="106"/>
      <c r="Q438" s="106"/>
      <c r="R438" s="106"/>
      <c r="S438" s="1">
        <f>SUM(GC[[#This Row],[Blk1]:[Blk8]])</f>
        <v>0</v>
      </c>
      <c r="T438" s="106" t="str">
        <f>PROPER(GC[[#This Row],[Resources]])</f>
        <v/>
      </c>
      <c r="U438" s="106"/>
    </row>
    <row r="439" spans="1:21" x14ac:dyDescent="0.25">
      <c r="A439" s="122">
        <v>437</v>
      </c>
      <c r="B439" s="103">
        <f t="shared" si="7"/>
        <v>45636</v>
      </c>
      <c r="C439" s="109">
        <v>2024</v>
      </c>
      <c r="D439" s="110">
        <f>YEAR(GC[[#This Row],[Date]])</f>
        <v>2024</v>
      </c>
      <c r="E439" s="101" t="s">
        <v>73</v>
      </c>
      <c r="F439" s="101" t="s">
        <v>73</v>
      </c>
      <c r="G439" s="1" t="str">
        <f>TEXT(GC[[#This Row],[Date]],"mmm-yy")</f>
        <v>Dec-24</v>
      </c>
      <c r="H439" s="1">
        <f>DAY(EOMONTH(GC[[#This Row],[Month Year]],0))</f>
        <v>31</v>
      </c>
      <c r="I439" s="106"/>
      <c r="J439" s="116"/>
      <c r="K439" s="106"/>
      <c r="L439" s="106"/>
      <c r="M439" s="106"/>
      <c r="N439" s="106"/>
      <c r="O439" s="106"/>
      <c r="P439" s="106"/>
      <c r="Q439" s="106"/>
      <c r="R439" s="106"/>
      <c r="S439" s="1">
        <f>SUM(GC[[#This Row],[Blk1]:[Blk8]])</f>
        <v>0</v>
      </c>
      <c r="T439" s="106" t="str">
        <f>PROPER(GC[[#This Row],[Resources]])</f>
        <v/>
      </c>
      <c r="U439" s="106"/>
    </row>
    <row r="440" spans="1:21" x14ac:dyDescent="0.25">
      <c r="A440" s="122">
        <v>438</v>
      </c>
      <c r="B440" s="103">
        <f t="shared" si="7"/>
        <v>45637</v>
      </c>
      <c r="C440" s="109">
        <v>2024</v>
      </c>
      <c r="D440" s="110">
        <f>YEAR(GC[[#This Row],[Date]])</f>
        <v>2024</v>
      </c>
      <c r="E440" s="101" t="s">
        <v>73</v>
      </c>
      <c r="F440" s="101" t="s">
        <v>73</v>
      </c>
      <c r="G440" s="1" t="str">
        <f>TEXT(GC[[#This Row],[Date]],"mmm-yy")</f>
        <v>Dec-24</v>
      </c>
      <c r="H440" s="1">
        <f>DAY(EOMONTH(GC[[#This Row],[Month Year]],0))</f>
        <v>31</v>
      </c>
      <c r="I440" s="106"/>
      <c r="J440" s="116"/>
      <c r="K440" s="106"/>
      <c r="L440" s="106"/>
      <c r="M440" s="106"/>
      <c r="N440" s="106"/>
      <c r="O440" s="106"/>
      <c r="P440" s="106"/>
      <c r="Q440" s="106"/>
      <c r="R440" s="106"/>
      <c r="S440" s="1">
        <f>SUM(GC[[#This Row],[Blk1]:[Blk8]])</f>
        <v>0</v>
      </c>
      <c r="T440" s="106" t="str">
        <f>PROPER(GC[[#This Row],[Resources]])</f>
        <v/>
      </c>
      <c r="U440" s="106"/>
    </row>
    <row r="441" spans="1:21" x14ac:dyDescent="0.25">
      <c r="A441" s="122">
        <v>439</v>
      </c>
      <c r="B441" s="103">
        <f t="shared" si="7"/>
        <v>45638</v>
      </c>
      <c r="C441" s="109">
        <v>2024</v>
      </c>
      <c r="D441" s="110">
        <f>YEAR(GC[[#This Row],[Date]])</f>
        <v>2024</v>
      </c>
      <c r="E441" s="101" t="s">
        <v>73</v>
      </c>
      <c r="F441" s="101" t="s">
        <v>73</v>
      </c>
      <c r="G441" s="1" t="str">
        <f>TEXT(GC[[#This Row],[Date]],"mmm-yy")</f>
        <v>Dec-24</v>
      </c>
      <c r="H441" s="1">
        <f>DAY(EOMONTH(GC[[#This Row],[Month Year]],0))</f>
        <v>31</v>
      </c>
      <c r="I441" s="106"/>
      <c r="J441" s="116"/>
      <c r="K441" s="106"/>
      <c r="L441" s="106"/>
      <c r="M441" s="106"/>
      <c r="N441" s="106"/>
      <c r="O441" s="106"/>
      <c r="P441" s="106"/>
      <c r="Q441" s="106"/>
      <c r="R441" s="106"/>
      <c r="S441" s="1">
        <f>SUM(GC[[#This Row],[Blk1]:[Blk8]])</f>
        <v>0</v>
      </c>
      <c r="T441" s="106" t="str">
        <f>PROPER(GC[[#This Row],[Resources]])</f>
        <v/>
      </c>
      <c r="U441" s="106"/>
    </row>
    <row r="442" spans="1:21" x14ac:dyDescent="0.25">
      <c r="A442" s="122">
        <v>440</v>
      </c>
      <c r="B442" s="103">
        <f t="shared" si="7"/>
        <v>45639</v>
      </c>
      <c r="C442" s="109">
        <v>2024</v>
      </c>
      <c r="D442" s="110">
        <f>YEAR(GC[[#This Row],[Date]])</f>
        <v>2024</v>
      </c>
      <c r="E442" s="101" t="s">
        <v>73</v>
      </c>
      <c r="F442" s="101" t="s">
        <v>73</v>
      </c>
      <c r="G442" s="1" t="str">
        <f>TEXT(GC[[#This Row],[Date]],"mmm-yy")</f>
        <v>Dec-24</v>
      </c>
      <c r="H442" s="1">
        <f>DAY(EOMONTH(GC[[#This Row],[Month Year]],0))</f>
        <v>31</v>
      </c>
      <c r="I442" s="106"/>
      <c r="J442" s="116"/>
      <c r="K442" s="106"/>
      <c r="L442" s="106"/>
      <c r="M442" s="106"/>
      <c r="N442" s="106"/>
      <c r="O442" s="106"/>
      <c r="P442" s="106"/>
      <c r="Q442" s="106"/>
      <c r="R442" s="106"/>
      <c r="S442" s="1">
        <f>SUM(GC[[#This Row],[Blk1]:[Blk8]])</f>
        <v>0</v>
      </c>
      <c r="T442" s="106" t="str">
        <f>PROPER(GC[[#This Row],[Resources]])</f>
        <v/>
      </c>
      <c r="U442" s="106"/>
    </row>
    <row r="443" spans="1:21" x14ac:dyDescent="0.25">
      <c r="A443" s="122">
        <v>441</v>
      </c>
      <c r="B443" s="103">
        <f t="shared" si="7"/>
        <v>45640</v>
      </c>
      <c r="C443" s="109">
        <v>2024</v>
      </c>
      <c r="D443" s="110">
        <f>YEAR(GC[[#This Row],[Date]])</f>
        <v>2024</v>
      </c>
      <c r="E443" s="101" t="s">
        <v>73</v>
      </c>
      <c r="F443" s="101" t="s">
        <v>73</v>
      </c>
      <c r="G443" s="1" t="str">
        <f>TEXT(GC[[#This Row],[Date]],"mmm-yy")</f>
        <v>Dec-24</v>
      </c>
      <c r="H443" s="1">
        <f>DAY(EOMONTH(GC[[#This Row],[Month Year]],0))</f>
        <v>31</v>
      </c>
      <c r="I443" s="106"/>
      <c r="J443" s="116"/>
      <c r="K443" s="106"/>
      <c r="L443" s="106"/>
      <c r="M443" s="106"/>
      <c r="N443" s="106"/>
      <c r="O443" s="106"/>
      <c r="P443" s="106"/>
      <c r="Q443" s="106"/>
      <c r="R443" s="106"/>
      <c r="S443" s="1">
        <f>SUM(GC[[#This Row],[Blk1]:[Blk8]])</f>
        <v>0</v>
      </c>
      <c r="T443" s="106" t="str">
        <f>PROPER(GC[[#This Row],[Resources]])</f>
        <v/>
      </c>
      <c r="U443" s="106"/>
    </row>
    <row r="444" spans="1:21" x14ac:dyDescent="0.25">
      <c r="A444" s="122">
        <v>442</v>
      </c>
      <c r="B444" s="103">
        <f t="shared" si="7"/>
        <v>45641</v>
      </c>
      <c r="C444" s="109">
        <v>2024</v>
      </c>
      <c r="D444" s="110">
        <f>YEAR(GC[[#This Row],[Date]])</f>
        <v>2024</v>
      </c>
      <c r="E444" s="101" t="s">
        <v>73</v>
      </c>
      <c r="F444" s="101" t="s">
        <v>73</v>
      </c>
      <c r="G444" s="1" t="str">
        <f>TEXT(GC[[#This Row],[Date]],"mmm-yy")</f>
        <v>Dec-24</v>
      </c>
      <c r="H444" s="1">
        <f>DAY(EOMONTH(GC[[#This Row],[Month Year]],0))</f>
        <v>31</v>
      </c>
      <c r="I444" s="106"/>
      <c r="J444" s="116"/>
      <c r="K444" s="106"/>
      <c r="L444" s="106"/>
      <c r="M444" s="106"/>
      <c r="N444" s="106"/>
      <c r="O444" s="106"/>
      <c r="P444" s="106"/>
      <c r="Q444" s="106"/>
      <c r="R444" s="106"/>
      <c r="S444" s="1">
        <f>SUM(GC[[#This Row],[Blk1]:[Blk8]])</f>
        <v>0</v>
      </c>
      <c r="T444" s="106" t="str">
        <f>PROPER(GC[[#This Row],[Resources]])</f>
        <v/>
      </c>
      <c r="U444" s="106"/>
    </row>
    <row r="445" spans="1:21" x14ac:dyDescent="0.25">
      <c r="A445" s="122">
        <v>443</v>
      </c>
      <c r="B445" s="103">
        <f t="shared" si="7"/>
        <v>45642</v>
      </c>
      <c r="C445" s="109">
        <v>2024</v>
      </c>
      <c r="D445" s="110">
        <f>YEAR(GC[[#This Row],[Date]])</f>
        <v>2024</v>
      </c>
      <c r="E445" s="101" t="s">
        <v>73</v>
      </c>
      <c r="F445" s="101" t="s">
        <v>73</v>
      </c>
      <c r="G445" s="1" t="str">
        <f>TEXT(GC[[#This Row],[Date]],"mmm-yy")</f>
        <v>Dec-24</v>
      </c>
      <c r="H445" s="1">
        <f>DAY(EOMONTH(GC[[#This Row],[Month Year]],0))</f>
        <v>31</v>
      </c>
      <c r="I445" s="106"/>
      <c r="J445" s="116"/>
      <c r="K445" s="106"/>
      <c r="L445" s="106"/>
      <c r="M445" s="106"/>
      <c r="N445" s="106"/>
      <c r="O445" s="106"/>
      <c r="P445" s="106"/>
      <c r="Q445" s="106"/>
      <c r="R445" s="106"/>
      <c r="S445" s="1">
        <f>SUM(GC[[#This Row],[Blk1]:[Blk8]])</f>
        <v>0</v>
      </c>
      <c r="T445" s="106" t="str">
        <f>PROPER(GC[[#This Row],[Resources]])</f>
        <v/>
      </c>
      <c r="U445" s="106"/>
    </row>
    <row r="446" spans="1:21" x14ac:dyDescent="0.25">
      <c r="A446" s="122">
        <v>444</v>
      </c>
      <c r="B446" s="103">
        <f t="shared" si="7"/>
        <v>45643</v>
      </c>
      <c r="C446" s="109">
        <v>2024</v>
      </c>
      <c r="D446" s="110">
        <f>YEAR(GC[[#This Row],[Date]])</f>
        <v>2024</v>
      </c>
      <c r="E446" s="101" t="s">
        <v>73</v>
      </c>
      <c r="F446" s="101" t="s">
        <v>73</v>
      </c>
      <c r="G446" s="1" t="str">
        <f>TEXT(GC[[#This Row],[Date]],"mmm-yy")</f>
        <v>Dec-24</v>
      </c>
      <c r="H446" s="1">
        <f>DAY(EOMONTH(GC[[#This Row],[Month Year]],0))</f>
        <v>31</v>
      </c>
      <c r="I446" s="106"/>
      <c r="J446" s="116"/>
      <c r="K446" s="106"/>
      <c r="L446" s="106"/>
      <c r="M446" s="106"/>
      <c r="N446" s="106"/>
      <c r="O446" s="106"/>
      <c r="P446" s="106"/>
      <c r="Q446" s="106"/>
      <c r="R446" s="106"/>
      <c r="S446" s="1">
        <f>SUM(GC[[#This Row],[Blk1]:[Blk8]])</f>
        <v>0</v>
      </c>
      <c r="T446" s="106" t="str">
        <f>PROPER(GC[[#This Row],[Resources]])</f>
        <v/>
      </c>
      <c r="U446" s="106"/>
    </row>
    <row r="447" spans="1:21" x14ac:dyDescent="0.25">
      <c r="A447" s="122">
        <v>445</v>
      </c>
      <c r="B447" s="103">
        <f t="shared" si="7"/>
        <v>45644</v>
      </c>
      <c r="C447" s="109">
        <v>2024</v>
      </c>
      <c r="D447" s="110">
        <f>YEAR(GC[[#This Row],[Date]])</f>
        <v>2024</v>
      </c>
      <c r="E447" s="101" t="s">
        <v>73</v>
      </c>
      <c r="F447" s="101" t="s">
        <v>73</v>
      </c>
      <c r="G447" s="1" t="str">
        <f>TEXT(GC[[#This Row],[Date]],"mmm-yy")</f>
        <v>Dec-24</v>
      </c>
      <c r="H447" s="1">
        <f>DAY(EOMONTH(GC[[#This Row],[Month Year]],0))</f>
        <v>31</v>
      </c>
      <c r="I447" s="106"/>
      <c r="J447" s="116"/>
      <c r="K447" s="106"/>
      <c r="L447" s="106"/>
      <c r="M447" s="106"/>
      <c r="N447" s="106"/>
      <c r="O447" s="106"/>
      <c r="P447" s="106"/>
      <c r="Q447" s="106"/>
      <c r="R447" s="106"/>
      <c r="S447" s="1">
        <f>SUM(GC[[#This Row],[Blk1]:[Blk8]])</f>
        <v>0</v>
      </c>
      <c r="T447" s="106" t="str">
        <f>PROPER(GC[[#This Row],[Resources]])</f>
        <v/>
      </c>
      <c r="U447" s="106"/>
    </row>
    <row r="448" spans="1:21" x14ac:dyDescent="0.25">
      <c r="A448" s="122">
        <v>446</v>
      </c>
      <c r="B448" s="103">
        <f t="shared" si="7"/>
        <v>45645</v>
      </c>
      <c r="C448" s="109">
        <v>2024</v>
      </c>
      <c r="D448" s="110">
        <f>YEAR(GC[[#This Row],[Date]])</f>
        <v>2024</v>
      </c>
      <c r="E448" s="101" t="s">
        <v>73</v>
      </c>
      <c r="F448" s="101" t="s">
        <v>73</v>
      </c>
      <c r="G448" s="1" t="str">
        <f>TEXT(GC[[#This Row],[Date]],"mmm-yy")</f>
        <v>Dec-24</v>
      </c>
      <c r="H448" s="1">
        <f>DAY(EOMONTH(GC[[#This Row],[Month Year]],0))</f>
        <v>31</v>
      </c>
      <c r="I448" s="106"/>
      <c r="J448" s="116"/>
      <c r="K448" s="106"/>
      <c r="L448" s="106"/>
      <c r="M448" s="106"/>
      <c r="N448" s="106"/>
      <c r="O448" s="106"/>
      <c r="P448" s="106"/>
      <c r="Q448" s="106"/>
      <c r="R448" s="106"/>
      <c r="S448" s="1">
        <f>SUM(GC[[#This Row],[Blk1]:[Blk8]])</f>
        <v>0</v>
      </c>
      <c r="T448" s="106" t="str">
        <f>PROPER(GC[[#This Row],[Resources]])</f>
        <v/>
      </c>
      <c r="U448" s="106"/>
    </row>
    <row r="449" spans="1:21" x14ac:dyDescent="0.25">
      <c r="A449" s="122">
        <v>447</v>
      </c>
      <c r="B449" s="103">
        <f t="shared" si="7"/>
        <v>45646</v>
      </c>
      <c r="C449" s="109">
        <v>2024</v>
      </c>
      <c r="D449" s="110">
        <f>YEAR(GC[[#This Row],[Date]])</f>
        <v>2024</v>
      </c>
      <c r="E449" s="101" t="s">
        <v>73</v>
      </c>
      <c r="F449" s="101" t="s">
        <v>73</v>
      </c>
      <c r="G449" s="1" t="str">
        <f>TEXT(GC[[#This Row],[Date]],"mmm-yy")</f>
        <v>Dec-24</v>
      </c>
      <c r="H449" s="1">
        <f>DAY(EOMONTH(GC[[#This Row],[Month Year]],0))</f>
        <v>31</v>
      </c>
      <c r="I449" s="106"/>
      <c r="J449" s="116"/>
      <c r="K449" s="106"/>
      <c r="L449" s="106"/>
      <c r="M449" s="106"/>
      <c r="N449" s="106"/>
      <c r="O449" s="106"/>
      <c r="P449" s="106"/>
      <c r="Q449" s="106"/>
      <c r="R449" s="106"/>
      <c r="S449" s="1">
        <f>SUM(GC[[#This Row],[Blk1]:[Blk8]])</f>
        <v>0</v>
      </c>
      <c r="T449" s="106" t="str">
        <f>PROPER(GC[[#This Row],[Resources]])</f>
        <v/>
      </c>
      <c r="U449" s="106"/>
    </row>
    <row r="450" spans="1:21" x14ac:dyDescent="0.25">
      <c r="A450" s="122">
        <v>448</v>
      </c>
      <c r="B450" s="103">
        <f t="shared" si="7"/>
        <v>45647</v>
      </c>
      <c r="C450" s="109">
        <v>2024</v>
      </c>
      <c r="D450" s="110">
        <f>YEAR(GC[[#This Row],[Date]])</f>
        <v>2024</v>
      </c>
      <c r="E450" s="101" t="s">
        <v>73</v>
      </c>
      <c r="F450" s="101" t="s">
        <v>73</v>
      </c>
      <c r="G450" s="1" t="str">
        <f>TEXT(GC[[#This Row],[Date]],"mmm-yy")</f>
        <v>Dec-24</v>
      </c>
      <c r="H450" s="1">
        <f>DAY(EOMONTH(GC[[#This Row],[Month Year]],0))</f>
        <v>31</v>
      </c>
      <c r="I450" s="106"/>
      <c r="J450" s="116"/>
      <c r="K450" s="106"/>
      <c r="L450" s="106"/>
      <c r="M450" s="106"/>
      <c r="N450" s="106"/>
      <c r="O450" s="106"/>
      <c r="P450" s="106"/>
      <c r="Q450" s="106"/>
      <c r="R450" s="106"/>
      <c r="S450" s="1">
        <f>SUM(GC[[#This Row],[Blk1]:[Blk8]])</f>
        <v>0</v>
      </c>
      <c r="T450" s="106" t="str">
        <f>PROPER(GC[[#This Row],[Resources]])</f>
        <v/>
      </c>
      <c r="U450" s="106"/>
    </row>
    <row r="451" spans="1:21" x14ac:dyDescent="0.25">
      <c r="A451" s="122">
        <v>449</v>
      </c>
      <c r="B451" s="103">
        <f t="shared" si="7"/>
        <v>45648</v>
      </c>
      <c r="C451" s="109">
        <v>2024</v>
      </c>
      <c r="D451" s="110">
        <f>YEAR(GC[[#This Row],[Date]])</f>
        <v>2024</v>
      </c>
      <c r="E451" s="101" t="s">
        <v>73</v>
      </c>
      <c r="F451" s="101" t="s">
        <v>73</v>
      </c>
      <c r="G451" s="1" t="str">
        <f>TEXT(GC[[#This Row],[Date]],"mmm-yy")</f>
        <v>Dec-24</v>
      </c>
      <c r="H451" s="1">
        <f>DAY(EOMONTH(GC[[#This Row],[Month Year]],0))</f>
        <v>31</v>
      </c>
      <c r="I451" s="106"/>
      <c r="J451" s="116"/>
      <c r="K451" s="106"/>
      <c r="L451" s="106"/>
      <c r="M451" s="106"/>
      <c r="N451" s="106"/>
      <c r="O451" s="106"/>
      <c r="P451" s="106"/>
      <c r="Q451" s="106"/>
      <c r="R451" s="106"/>
      <c r="S451" s="1">
        <f>SUM(GC[[#This Row],[Blk1]:[Blk8]])</f>
        <v>0</v>
      </c>
      <c r="T451" s="106" t="str">
        <f>PROPER(GC[[#This Row],[Resources]])</f>
        <v/>
      </c>
      <c r="U451" s="106"/>
    </row>
    <row r="452" spans="1:21" x14ac:dyDescent="0.25">
      <c r="A452" s="122">
        <v>450</v>
      </c>
      <c r="B452" s="103">
        <f t="shared" si="7"/>
        <v>45649</v>
      </c>
      <c r="C452" s="109">
        <v>2024</v>
      </c>
      <c r="D452" s="110">
        <f>YEAR(GC[[#This Row],[Date]])</f>
        <v>2024</v>
      </c>
      <c r="E452" s="101" t="s">
        <v>73</v>
      </c>
      <c r="F452" s="101" t="s">
        <v>73</v>
      </c>
      <c r="G452" s="1" t="str">
        <f>TEXT(GC[[#This Row],[Date]],"mmm-yy")</f>
        <v>Dec-24</v>
      </c>
      <c r="H452" s="1">
        <f>DAY(EOMONTH(GC[[#This Row],[Month Year]],0))</f>
        <v>31</v>
      </c>
      <c r="I452" s="106"/>
      <c r="J452" s="116"/>
      <c r="K452" s="106"/>
      <c r="L452" s="106"/>
      <c r="M452" s="106"/>
      <c r="N452" s="106"/>
      <c r="O452" s="106"/>
      <c r="P452" s="106"/>
      <c r="Q452" s="106"/>
      <c r="R452" s="106"/>
      <c r="S452" s="1">
        <f>SUM(GC[[#This Row],[Blk1]:[Blk8]])</f>
        <v>0</v>
      </c>
      <c r="T452" s="106" t="str">
        <f>PROPER(GC[[#This Row],[Resources]])</f>
        <v/>
      </c>
      <c r="U452" s="106"/>
    </row>
    <row r="453" spans="1:21" x14ac:dyDescent="0.25">
      <c r="A453" s="122">
        <v>451</v>
      </c>
      <c r="B453" s="103">
        <f t="shared" si="7"/>
        <v>45650</v>
      </c>
      <c r="C453" s="109">
        <v>2024</v>
      </c>
      <c r="D453" s="110">
        <f>YEAR(GC[[#This Row],[Date]])</f>
        <v>2024</v>
      </c>
      <c r="E453" s="101" t="s">
        <v>73</v>
      </c>
      <c r="F453" s="101" t="s">
        <v>73</v>
      </c>
      <c r="G453" s="1" t="str">
        <f>TEXT(GC[[#This Row],[Date]],"mmm-yy")</f>
        <v>Dec-24</v>
      </c>
      <c r="H453" s="1">
        <f>DAY(EOMONTH(GC[[#This Row],[Month Year]],0))</f>
        <v>31</v>
      </c>
      <c r="I453" s="106"/>
      <c r="J453" s="116"/>
      <c r="K453" s="106"/>
      <c r="L453" s="106"/>
      <c r="M453" s="106"/>
      <c r="N453" s="106"/>
      <c r="O453" s="106"/>
      <c r="P453" s="106"/>
      <c r="Q453" s="106"/>
      <c r="R453" s="106"/>
      <c r="S453" s="1">
        <f>SUM(GC[[#This Row],[Blk1]:[Blk8]])</f>
        <v>0</v>
      </c>
      <c r="T453" s="106" t="str">
        <f>PROPER(GC[[#This Row],[Resources]])</f>
        <v/>
      </c>
      <c r="U453" s="106"/>
    </row>
    <row r="454" spans="1:21" x14ac:dyDescent="0.25">
      <c r="A454" s="122">
        <v>452</v>
      </c>
      <c r="B454" s="103">
        <f t="shared" si="7"/>
        <v>45651</v>
      </c>
      <c r="C454" s="109">
        <v>2024</v>
      </c>
      <c r="D454" s="110">
        <f>YEAR(GC[[#This Row],[Date]])</f>
        <v>2024</v>
      </c>
      <c r="E454" s="101" t="s">
        <v>73</v>
      </c>
      <c r="F454" s="101" t="s">
        <v>73</v>
      </c>
      <c r="G454" s="1" t="str">
        <f>TEXT(GC[[#This Row],[Date]],"mmm-yy")</f>
        <v>Dec-24</v>
      </c>
      <c r="H454" s="1">
        <f>DAY(EOMONTH(GC[[#This Row],[Month Year]],0))</f>
        <v>31</v>
      </c>
      <c r="I454" s="106"/>
      <c r="J454" s="116"/>
      <c r="K454" s="106"/>
      <c r="L454" s="106"/>
      <c r="M454" s="106"/>
      <c r="N454" s="106"/>
      <c r="O454" s="106"/>
      <c r="P454" s="106"/>
      <c r="Q454" s="106"/>
      <c r="R454" s="106"/>
      <c r="S454" s="1">
        <f>SUM(GC[[#This Row],[Blk1]:[Blk8]])</f>
        <v>0</v>
      </c>
      <c r="T454" s="106" t="str">
        <f>PROPER(GC[[#This Row],[Resources]])</f>
        <v/>
      </c>
      <c r="U454" s="106"/>
    </row>
    <row r="455" spans="1:21" x14ac:dyDescent="0.25">
      <c r="A455" s="122">
        <v>453</v>
      </c>
      <c r="B455" s="103">
        <f t="shared" si="7"/>
        <v>45652</v>
      </c>
      <c r="C455" s="109">
        <v>2024</v>
      </c>
      <c r="D455" s="110">
        <f>YEAR(GC[[#This Row],[Date]])</f>
        <v>2024</v>
      </c>
      <c r="E455" s="101" t="s">
        <v>73</v>
      </c>
      <c r="F455" s="101" t="s">
        <v>73</v>
      </c>
      <c r="G455" s="1" t="str">
        <f>TEXT(GC[[#This Row],[Date]],"mmm-yy")</f>
        <v>Dec-24</v>
      </c>
      <c r="H455" s="1">
        <f>DAY(EOMONTH(GC[[#This Row],[Month Year]],0))</f>
        <v>31</v>
      </c>
      <c r="I455" s="106"/>
      <c r="J455" s="116"/>
      <c r="K455" s="106"/>
      <c r="L455" s="106"/>
      <c r="M455" s="106"/>
      <c r="N455" s="106"/>
      <c r="O455" s="106"/>
      <c r="P455" s="106"/>
      <c r="Q455" s="106"/>
      <c r="R455" s="106"/>
      <c r="S455" s="1">
        <f>SUM(GC[[#This Row],[Blk1]:[Blk8]])</f>
        <v>0</v>
      </c>
      <c r="T455" s="106" t="str">
        <f>PROPER(GC[[#This Row],[Resources]])</f>
        <v/>
      </c>
      <c r="U455" s="106"/>
    </row>
    <row r="456" spans="1:21" x14ac:dyDescent="0.25">
      <c r="A456" s="122">
        <v>454</v>
      </c>
      <c r="B456" s="103">
        <f t="shared" si="7"/>
        <v>45653</v>
      </c>
      <c r="C456" s="109">
        <v>2024</v>
      </c>
      <c r="D456" s="110">
        <f>YEAR(GC[[#This Row],[Date]])</f>
        <v>2024</v>
      </c>
      <c r="E456" s="101" t="s">
        <v>73</v>
      </c>
      <c r="F456" s="101" t="s">
        <v>73</v>
      </c>
      <c r="G456" s="1" t="str">
        <f>TEXT(GC[[#This Row],[Date]],"mmm-yy")</f>
        <v>Dec-24</v>
      </c>
      <c r="H456" s="1">
        <f>DAY(EOMONTH(GC[[#This Row],[Month Year]],0))</f>
        <v>31</v>
      </c>
      <c r="I456" s="106"/>
      <c r="J456" s="116"/>
      <c r="K456" s="106"/>
      <c r="L456" s="106"/>
      <c r="M456" s="106"/>
      <c r="N456" s="106"/>
      <c r="O456" s="106"/>
      <c r="P456" s="106"/>
      <c r="Q456" s="106"/>
      <c r="R456" s="106"/>
      <c r="S456" s="1">
        <f>SUM(GC[[#This Row],[Blk1]:[Blk8]])</f>
        <v>0</v>
      </c>
      <c r="T456" s="106" t="str">
        <f>PROPER(GC[[#This Row],[Resources]])</f>
        <v/>
      </c>
      <c r="U456" s="106"/>
    </row>
    <row r="457" spans="1:21" x14ac:dyDescent="0.25">
      <c r="A457" s="122">
        <v>455</v>
      </c>
      <c r="B457" s="103">
        <f t="shared" si="7"/>
        <v>45654</v>
      </c>
      <c r="C457" s="109">
        <v>2024</v>
      </c>
      <c r="D457" s="110">
        <f>YEAR(GC[[#This Row],[Date]])</f>
        <v>2024</v>
      </c>
      <c r="E457" s="101" t="s">
        <v>73</v>
      </c>
      <c r="F457" s="101" t="s">
        <v>73</v>
      </c>
      <c r="G457" s="1" t="str">
        <f>TEXT(GC[[#This Row],[Date]],"mmm-yy")</f>
        <v>Dec-24</v>
      </c>
      <c r="H457" s="1">
        <f>DAY(EOMONTH(GC[[#This Row],[Month Year]],0))</f>
        <v>31</v>
      </c>
      <c r="I457" s="106"/>
      <c r="J457" s="116"/>
      <c r="K457" s="106"/>
      <c r="L457" s="106"/>
      <c r="M457" s="106"/>
      <c r="N457" s="106"/>
      <c r="O457" s="106"/>
      <c r="P457" s="106"/>
      <c r="Q457" s="106"/>
      <c r="R457" s="106"/>
      <c r="S457" s="1">
        <f>SUM(GC[[#This Row],[Blk1]:[Blk8]])</f>
        <v>0</v>
      </c>
      <c r="T457" s="106" t="str">
        <f>PROPER(GC[[#This Row],[Resources]])</f>
        <v/>
      </c>
      <c r="U457" s="106"/>
    </row>
    <row r="458" spans="1:21" x14ac:dyDescent="0.25">
      <c r="A458" s="122">
        <v>456</v>
      </c>
      <c r="B458" s="103">
        <f t="shared" si="7"/>
        <v>45655</v>
      </c>
      <c r="C458" s="109">
        <v>2024</v>
      </c>
      <c r="D458" s="110">
        <f>YEAR(GC[[#This Row],[Date]])</f>
        <v>2024</v>
      </c>
      <c r="E458" s="101" t="s">
        <v>73</v>
      </c>
      <c r="F458" s="101" t="s">
        <v>73</v>
      </c>
      <c r="G458" s="1" t="str">
        <f>TEXT(GC[[#This Row],[Date]],"mmm-yy")</f>
        <v>Dec-24</v>
      </c>
      <c r="H458" s="1">
        <f>DAY(EOMONTH(GC[[#This Row],[Month Year]],0))</f>
        <v>31</v>
      </c>
      <c r="I458" s="106"/>
      <c r="J458" s="116"/>
      <c r="K458" s="106"/>
      <c r="L458" s="106"/>
      <c r="M458" s="106"/>
      <c r="N458" s="106"/>
      <c r="O458" s="106"/>
      <c r="P458" s="106"/>
      <c r="Q458" s="106"/>
      <c r="R458" s="106"/>
      <c r="S458" s="1">
        <f>SUM(GC[[#This Row],[Blk1]:[Blk8]])</f>
        <v>0</v>
      </c>
      <c r="T458" s="106" t="str">
        <f>PROPER(GC[[#This Row],[Resources]])</f>
        <v/>
      </c>
      <c r="U458" s="106"/>
    </row>
    <row r="459" spans="1:21" x14ac:dyDescent="0.25">
      <c r="A459" s="122">
        <v>457</v>
      </c>
      <c r="B459" s="103">
        <f t="shared" si="7"/>
        <v>45656</v>
      </c>
      <c r="C459" s="109">
        <v>2024</v>
      </c>
      <c r="D459" s="110">
        <f>YEAR(GC[[#This Row],[Date]])</f>
        <v>2024</v>
      </c>
      <c r="E459" s="101" t="s">
        <v>73</v>
      </c>
      <c r="F459" s="101" t="s">
        <v>73</v>
      </c>
      <c r="G459" s="1" t="str">
        <f>TEXT(GC[[#This Row],[Date]],"mmm-yy")</f>
        <v>Dec-24</v>
      </c>
      <c r="H459" s="1">
        <f>DAY(EOMONTH(GC[[#This Row],[Month Year]],0))</f>
        <v>31</v>
      </c>
      <c r="I459" s="106"/>
      <c r="J459" s="116"/>
      <c r="K459" s="106"/>
      <c r="L459" s="106"/>
      <c r="M459" s="106"/>
      <c r="N459" s="106"/>
      <c r="O459" s="106"/>
      <c r="P459" s="106"/>
      <c r="Q459" s="106"/>
      <c r="R459" s="106"/>
      <c r="S459" s="1">
        <f>SUM(GC[[#This Row],[Blk1]:[Blk8]])</f>
        <v>0</v>
      </c>
      <c r="T459" s="106" t="str">
        <f>PROPER(GC[[#This Row],[Resources]])</f>
        <v/>
      </c>
      <c r="U459" s="106"/>
    </row>
    <row r="460" spans="1:21" x14ac:dyDescent="0.25">
      <c r="A460" s="122">
        <v>458</v>
      </c>
      <c r="B460" s="103">
        <f t="shared" si="7"/>
        <v>45657</v>
      </c>
      <c r="C460" s="109">
        <v>2024</v>
      </c>
      <c r="D460" s="110">
        <f>YEAR(GC[[#This Row],[Date]])</f>
        <v>2024</v>
      </c>
      <c r="E460" s="101" t="s">
        <v>73</v>
      </c>
      <c r="F460" s="101" t="s">
        <v>73</v>
      </c>
      <c r="G460" s="1" t="str">
        <f>TEXT(GC[[#This Row],[Date]],"mmm-yy")</f>
        <v>Dec-24</v>
      </c>
      <c r="H460" s="1">
        <f>DAY(EOMONTH(GC[[#This Row],[Month Year]],0))</f>
        <v>31</v>
      </c>
      <c r="I460" s="106"/>
      <c r="J460" s="116"/>
      <c r="K460" s="106"/>
      <c r="L460" s="106"/>
      <c r="M460" s="106"/>
      <c r="N460" s="106"/>
      <c r="O460" s="106"/>
      <c r="P460" s="106"/>
      <c r="Q460" s="106"/>
      <c r="R460" s="106"/>
      <c r="S460" s="1">
        <f>SUM(GC[[#This Row],[Blk1]:[Blk8]])</f>
        <v>0</v>
      </c>
      <c r="T460" s="106" t="str">
        <f>PROPER(GC[[#This Row],[Resources]])</f>
        <v/>
      </c>
      <c r="U460" s="106"/>
    </row>
    <row r="461" spans="1:21" x14ac:dyDescent="0.25">
      <c r="A461" s="122">
        <v>459</v>
      </c>
      <c r="B461" s="103">
        <f t="shared" si="7"/>
        <v>45658</v>
      </c>
      <c r="C461" s="109">
        <v>2024</v>
      </c>
      <c r="D461" s="110">
        <f>YEAR(GC[[#This Row],[Date]])</f>
        <v>2025</v>
      </c>
      <c r="E461" s="101" t="s">
        <v>73</v>
      </c>
      <c r="F461" s="101" t="s">
        <v>73</v>
      </c>
      <c r="G461" s="1" t="str">
        <f>TEXT(GC[[#This Row],[Date]],"mmm-yy")</f>
        <v>Jan-25</v>
      </c>
      <c r="H461" s="1">
        <f>DAY(EOMONTH(GC[[#This Row],[Month Year]],0))</f>
        <v>31</v>
      </c>
      <c r="I461" s="106"/>
      <c r="J461" s="116"/>
      <c r="K461" s="106"/>
      <c r="L461" s="106"/>
      <c r="M461" s="106"/>
      <c r="N461" s="106"/>
      <c r="O461" s="106"/>
      <c r="P461" s="106"/>
      <c r="Q461" s="106"/>
      <c r="R461" s="106"/>
      <c r="S461" s="1">
        <f>SUM(GC[[#This Row],[Blk1]:[Blk8]])</f>
        <v>0</v>
      </c>
      <c r="T461" s="106" t="str">
        <f>PROPER(GC[[#This Row],[Resources]])</f>
        <v/>
      </c>
      <c r="U461" s="106"/>
    </row>
    <row r="462" spans="1:21" x14ac:dyDescent="0.25">
      <c r="A462" s="122">
        <v>460</v>
      </c>
      <c r="B462" s="103">
        <f t="shared" si="7"/>
        <v>45659</v>
      </c>
      <c r="C462" s="109">
        <v>2024</v>
      </c>
      <c r="D462" s="110">
        <f>YEAR(GC[[#This Row],[Date]])</f>
        <v>2025</v>
      </c>
      <c r="E462" s="101" t="s">
        <v>73</v>
      </c>
      <c r="F462" s="101" t="s">
        <v>73</v>
      </c>
      <c r="G462" s="1" t="str">
        <f>TEXT(GC[[#This Row],[Date]],"mmm-yy")</f>
        <v>Jan-25</v>
      </c>
      <c r="H462" s="1">
        <f>DAY(EOMONTH(GC[[#This Row],[Month Year]],0))</f>
        <v>31</v>
      </c>
      <c r="I462" s="106"/>
      <c r="J462" s="116"/>
      <c r="K462" s="106"/>
      <c r="L462" s="106"/>
      <c r="M462" s="106"/>
      <c r="N462" s="106"/>
      <c r="O462" s="106"/>
      <c r="P462" s="106"/>
      <c r="Q462" s="106"/>
      <c r="R462" s="106"/>
      <c r="S462" s="1">
        <f>SUM(GC[[#This Row],[Blk1]:[Blk8]])</f>
        <v>0</v>
      </c>
      <c r="T462" s="106" t="str">
        <f>PROPER(GC[[#This Row],[Resources]])</f>
        <v/>
      </c>
      <c r="U462" s="106"/>
    </row>
    <row r="463" spans="1:21" x14ac:dyDescent="0.25">
      <c r="A463" s="122">
        <v>461</v>
      </c>
      <c r="B463" s="103">
        <f t="shared" ref="B463:B491" si="8">B462+1</f>
        <v>45660</v>
      </c>
      <c r="C463" s="109">
        <v>2024</v>
      </c>
      <c r="D463" s="110">
        <f>YEAR(GC[[#This Row],[Date]])</f>
        <v>2025</v>
      </c>
      <c r="E463" s="101" t="s">
        <v>73</v>
      </c>
      <c r="F463" s="101" t="s">
        <v>73</v>
      </c>
      <c r="G463" s="1" t="str">
        <f>TEXT(GC[[#This Row],[Date]],"mmm-yy")</f>
        <v>Jan-25</v>
      </c>
      <c r="H463" s="1">
        <f>DAY(EOMONTH(GC[[#This Row],[Month Year]],0))</f>
        <v>31</v>
      </c>
      <c r="I463" s="106"/>
      <c r="J463" s="116"/>
      <c r="K463" s="106"/>
      <c r="L463" s="106"/>
      <c r="M463" s="106"/>
      <c r="N463" s="106"/>
      <c r="O463" s="106"/>
      <c r="P463" s="106"/>
      <c r="Q463" s="106"/>
      <c r="R463" s="106"/>
      <c r="S463" s="1">
        <f>SUM(GC[[#This Row],[Blk1]:[Blk8]])</f>
        <v>0</v>
      </c>
      <c r="T463" s="106" t="str">
        <f>PROPER(GC[[#This Row],[Resources]])</f>
        <v/>
      </c>
      <c r="U463" s="106"/>
    </row>
    <row r="464" spans="1:21" x14ac:dyDescent="0.25">
      <c r="A464" s="122">
        <v>462</v>
      </c>
      <c r="B464" s="103">
        <f t="shared" si="8"/>
        <v>45661</v>
      </c>
      <c r="C464" s="109">
        <v>2024</v>
      </c>
      <c r="D464" s="110">
        <f>YEAR(GC[[#This Row],[Date]])</f>
        <v>2025</v>
      </c>
      <c r="E464" s="101" t="s">
        <v>73</v>
      </c>
      <c r="F464" s="101" t="s">
        <v>73</v>
      </c>
      <c r="G464" s="1" t="str">
        <f>TEXT(GC[[#This Row],[Date]],"mmm-yy")</f>
        <v>Jan-25</v>
      </c>
      <c r="H464" s="1">
        <f>DAY(EOMONTH(GC[[#This Row],[Month Year]],0))</f>
        <v>31</v>
      </c>
      <c r="I464" s="106"/>
      <c r="J464" s="116"/>
      <c r="K464" s="106"/>
      <c r="L464" s="106"/>
      <c r="M464" s="106"/>
      <c r="N464" s="106"/>
      <c r="O464" s="106"/>
      <c r="P464" s="106"/>
      <c r="Q464" s="106"/>
      <c r="R464" s="106"/>
      <c r="S464" s="1">
        <f>SUM(GC[[#This Row],[Blk1]:[Blk8]])</f>
        <v>0</v>
      </c>
      <c r="T464" s="106" t="str">
        <f>PROPER(GC[[#This Row],[Resources]])</f>
        <v/>
      </c>
      <c r="U464" s="106"/>
    </row>
    <row r="465" spans="1:21" x14ac:dyDescent="0.25">
      <c r="A465" s="122">
        <v>463</v>
      </c>
      <c r="B465" s="103">
        <f t="shared" si="8"/>
        <v>45662</v>
      </c>
      <c r="C465" s="109">
        <v>2024</v>
      </c>
      <c r="D465" s="110">
        <f>YEAR(GC[[#This Row],[Date]])</f>
        <v>2025</v>
      </c>
      <c r="E465" s="101" t="s">
        <v>73</v>
      </c>
      <c r="F465" s="101" t="s">
        <v>73</v>
      </c>
      <c r="G465" s="1" t="str">
        <f>TEXT(GC[[#This Row],[Date]],"mmm-yy")</f>
        <v>Jan-25</v>
      </c>
      <c r="H465" s="1">
        <f>DAY(EOMONTH(GC[[#This Row],[Month Year]],0))</f>
        <v>31</v>
      </c>
      <c r="I465" s="106"/>
      <c r="J465" s="116"/>
      <c r="K465" s="106"/>
      <c r="L465" s="106"/>
      <c r="M465" s="106"/>
      <c r="N465" s="106"/>
      <c r="O465" s="106"/>
      <c r="P465" s="106"/>
      <c r="Q465" s="106"/>
      <c r="R465" s="106"/>
      <c r="S465" s="1">
        <f>SUM(GC[[#This Row],[Blk1]:[Blk8]])</f>
        <v>0</v>
      </c>
      <c r="T465" s="106" t="str">
        <f>PROPER(GC[[#This Row],[Resources]])</f>
        <v/>
      </c>
      <c r="U465" s="106"/>
    </row>
    <row r="466" spans="1:21" x14ac:dyDescent="0.25">
      <c r="A466" s="122">
        <v>464</v>
      </c>
      <c r="B466" s="103">
        <f t="shared" si="8"/>
        <v>45663</v>
      </c>
      <c r="C466" s="109">
        <v>2024</v>
      </c>
      <c r="D466" s="110">
        <f>YEAR(GC[[#This Row],[Date]])</f>
        <v>2025</v>
      </c>
      <c r="E466" s="101" t="s">
        <v>73</v>
      </c>
      <c r="F466" s="101" t="s">
        <v>73</v>
      </c>
      <c r="G466" s="1" t="str">
        <f>TEXT(GC[[#This Row],[Date]],"mmm-yy")</f>
        <v>Jan-25</v>
      </c>
      <c r="H466" s="1">
        <f>DAY(EOMONTH(GC[[#This Row],[Month Year]],0))</f>
        <v>31</v>
      </c>
      <c r="I466" s="106"/>
      <c r="J466" s="116"/>
      <c r="K466" s="106"/>
      <c r="L466" s="106"/>
      <c r="M466" s="106"/>
      <c r="N466" s="106"/>
      <c r="O466" s="106"/>
      <c r="P466" s="106"/>
      <c r="Q466" s="106"/>
      <c r="R466" s="106"/>
      <c r="S466" s="1">
        <f>SUM(GC[[#This Row],[Blk1]:[Blk8]])</f>
        <v>0</v>
      </c>
      <c r="T466" s="106" t="str">
        <f>PROPER(GC[[#This Row],[Resources]])</f>
        <v/>
      </c>
      <c r="U466" s="106"/>
    </row>
    <row r="467" spans="1:21" x14ac:dyDescent="0.25">
      <c r="A467" s="122">
        <v>465</v>
      </c>
      <c r="B467" s="103">
        <f t="shared" si="8"/>
        <v>45664</v>
      </c>
      <c r="C467" s="109">
        <v>2024</v>
      </c>
      <c r="D467" s="110">
        <f>YEAR(GC[[#This Row],[Date]])</f>
        <v>2025</v>
      </c>
      <c r="E467" s="101" t="s">
        <v>73</v>
      </c>
      <c r="F467" s="101" t="s">
        <v>73</v>
      </c>
      <c r="G467" s="1" t="str">
        <f>TEXT(GC[[#This Row],[Date]],"mmm-yy")</f>
        <v>Jan-25</v>
      </c>
      <c r="H467" s="1">
        <f>DAY(EOMONTH(GC[[#This Row],[Month Year]],0))</f>
        <v>31</v>
      </c>
      <c r="I467" s="106"/>
      <c r="J467" s="116"/>
      <c r="K467" s="106"/>
      <c r="L467" s="106"/>
      <c r="M467" s="106"/>
      <c r="N467" s="106"/>
      <c r="O467" s="106"/>
      <c r="P467" s="106"/>
      <c r="Q467" s="106"/>
      <c r="R467" s="106"/>
      <c r="S467" s="1">
        <f>SUM(GC[[#This Row],[Blk1]:[Blk8]])</f>
        <v>0</v>
      </c>
      <c r="T467" s="106" t="str">
        <f>PROPER(GC[[#This Row],[Resources]])</f>
        <v/>
      </c>
      <c r="U467" s="106"/>
    </row>
    <row r="468" spans="1:21" x14ac:dyDescent="0.25">
      <c r="A468" s="122">
        <v>466</v>
      </c>
      <c r="B468" s="103">
        <f t="shared" si="8"/>
        <v>45665</v>
      </c>
      <c r="C468" s="109">
        <v>2024</v>
      </c>
      <c r="D468" s="110">
        <f>YEAR(GC[[#This Row],[Date]])</f>
        <v>2025</v>
      </c>
      <c r="E468" s="101" t="s">
        <v>73</v>
      </c>
      <c r="F468" s="101" t="s">
        <v>73</v>
      </c>
      <c r="G468" s="1" t="str">
        <f>TEXT(GC[[#This Row],[Date]],"mmm-yy")</f>
        <v>Jan-25</v>
      </c>
      <c r="H468" s="1">
        <f>DAY(EOMONTH(GC[[#This Row],[Month Year]],0))</f>
        <v>31</v>
      </c>
      <c r="I468" s="106"/>
      <c r="J468" s="116"/>
      <c r="K468" s="106"/>
      <c r="L468" s="106"/>
      <c r="M468" s="106"/>
      <c r="N468" s="106"/>
      <c r="O468" s="106"/>
      <c r="P468" s="106"/>
      <c r="Q468" s="106"/>
      <c r="R468" s="106"/>
      <c r="S468" s="1">
        <f>SUM(GC[[#This Row],[Blk1]:[Blk8]])</f>
        <v>0</v>
      </c>
      <c r="T468" s="106" t="str">
        <f>PROPER(GC[[#This Row],[Resources]])</f>
        <v/>
      </c>
      <c r="U468" s="106"/>
    </row>
    <row r="469" spans="1:21" x14ac:dyDescent="0.25">
      <c r="A469" s="122">
        <v>467</v>
      </c>
      <c r="B469" s="103">
        <f t="shared" si="8"/>
        <v>45666</v>
      </c>
      <c r="C469" s="109">
        <v>2024</v>
      </c>
      <c r="D469" s="110">
        <f>YEAR(GC[[#This Row],[Date]])</f>
        <v>2025</v>
      </c>
      <c r="E469" s="101" t="s">
        <v>73</v>
      </c>
      <c r="F469" s="101" t="s">
        <v>73</v>
      </c>
      <c r="G469" s="1" t="str">
        <f>TEXT(GC[[#This Row],[Date]],"mmm-yy")</f>
        <v>Jan-25</v>
      </c>
      <c r="H469" s="1">
        <f>DAY(EOMONTH(GC[[#This Row],[Month Year]],0))</f>
        <v>31</v>
      </c>
      <c r="I469" s="106"/>
      <c r="J469" s="116"/>
      <c r="K469" s="106"/>
      <c r="L469" s="106"/>
      <c r="M469" s="106"/>
      <c r="N469" s="106"/>
      <c r="O469" s="106"/>
      <c r="P469" s="106"/>
      <c r="Q469" s="106"/>
      <c r="R469" s="106"/>
      <c r="S469" s="1">
        <f>SUM(GC[[#This Row],[Blk1]:[Blk8]])</f>
        <v>0</v>
      </c>
      <c r="T469" s="106" t="str">
        <f>PROPER(GC[[#This Row],[Resources]])</f>
        <v/>
      </c>
      <c r="U469" s="106"/>
    </row>
    <row r="470" spans="1:21" x14ac:dyDescent="0.25">
      <c r="A470" s="122">
        <v>468</v>
      </c>
      <c r="B470" s="103">
        <f t="shared" si="8"/>
        <v>45667</v>
      </c>
      <c r="C470" s="109">
        <v>2024</v>
      </c>
      <c r="D470" s="110">
        <f>YEAR(GC[[#This Row],[Date]])</f>
        <v>2025</v>
      </c>
      <c r="E470" s="101" t="s">
        <v>73</v>
      </c>
      <c r="F470" s="101" t="s">
        <v>73</v>
      </c>
      <c r="G470" s="1" t="str">
        <f>TEXT(GC[[#This Row],[Date]],"mmm-yy")</f>
        <v>Jan-25</v>
      </c>
      <c r="H470" s="1">
        <f>DAY(EOMONTH(GC[[#This Row],[Month Year]],0))</f>
        <v>31</v>
      </c>
      <c r="I470" s="106"/>
      <c r="J470" s="116"/>
      <c r="K470" s="106"/>
      <c r="L470" s="106"/>
      <c r="M470" s="106"/>
      <c r="N470" s="106"/>
      <c r="O470" s="106"/>
      <c r="P470" s="106"/>
      <c r="Q470" s="106"/>
      <c r="R470" s="106"/>
      <c r="S470" s="1">
        <f>SUM(GC[[#This Row],[Blk1]:[Blk8]])</f>
        <v>0</v>
      </c>
      <c r="T470" s="106" t="str">
        <f>PROPER(GC[[#This Row],[Resources]])</f>
        <v/>
      </c>
      <c r="U470" s="106"/>
    </row>
    <row r="471" spans="1:21" x14ac:dyDescent="0.25">
      <c r="A471" s="122">
        <v>469</v>
      </c>
      <c r="B471" s="103">
        <f t="shared" si="8"/>
        <v>45668</v>
      </c>
      <c r="C471" s="109">
        <v>2024</v>
      </c>
      <c r="D471" s="110">
        <f>YEAR(GC[[#This Row],[Date]])</f>
        <v>2025</v>
      </c>
      <c r="E471" s="101" t="s">
        <v>73</v>
      </c>
      <c r="F471" s="101" t="s">
        <v>73</v>
      </c>
      <c r="G471" s="1" t="str">
        <f>TEXT(GC[[#This Row],[Date]],"mmm-yy")</f>
        <v>Jan-25</v>
      </c>
      <c r="H471" s="1">
        <f>DAY(EOMONTH(GC[[#This Row],[Month Year]],0))</f>
        <v>31</v>
      </c>
      <c r="I471" s="106"/>
      <c r="J471" s="116"/>
      <c r="K471" s="106"/>
      <c r="L471" s="106"/>
      <c r="M471" s="106"/>
      <c r="N471" s="106"/>
      <c r="O471" s="106"/>
      <c r="P471" s="106"/>
      <c r="Q471" s="106"/>
      <c r="R471" s="106"/>
      <c r="S471" s="1">
        <f>SUM(GC[[#This Row],[Blk1]:[Blk8]])</f>
        <v>0</v>
      </c>
      <c r="T471" s="106" t="str">
        <f>PROPER(GC[[#This Row],[Resources]])</f>
        <v/>
      </c>
      <c r="U471" s="106"/>
    </row>
    <row r="472" spans="1:21" x14ac:dyDescent="0.25">
      <c r="A472" s="122">
        <v>470</v>
      </c>
      <c r="B472" s="103">
        <f t="shared" si="8"/>
        <v>45669</v>
      </c>
      <c r="C472" s="109">
        <v>2024</v>
      </c>
      <c r="D472" s="110">
        <f>YEAR(GC[[#This Row],[Date]])</f>
        <v>2025</v>
      </c>
      <c r="E472" s="101" t="s">
        <v>73</v>
      </c>
      <c r="F472" s="101" t="s">
        <v>73</v>
      </c>
      <c r="G472" s="1" t="str">
        <f>TEXT(GC[[#This Row],[Date]],"mmm-yy")</f>
        <v>Jan-25</v>
      </c>
      <c r="H472" s="1">
        <f>DAY(EOMONTH(GC[[#This Row],[Month Year]],0))</f>
        <v>31</v>
      </c>
      <c r="I472" s="106"/>
      <c r="J472" s="116"/>
      <c r="K472" s="106"/>
      <c r="L472" s="106"/>
      <c r="M472" s="106"/>
      <c r="N472" s="106"/>
      <c r="O472" s="106"/>
      <c r="P472" s="106"/>
      <c r="Q472" s="106"/>
      <c r="R472" s="106"/>
      <c r="S472" s="1">
        <f>SUM(GC[[#This Row],[Blk1]:[Blk8]])</f>
        <v>0</v>
      </c>
      <c r="T472" s="106" t="str">
        <f>PROPER(GC[[#This Row],[Resources]])</f>
        <v/>
      </c>
      <c r="U472" s="125" t="s">
        <v>76</v>
      </c>
    </row>
    <row r="473" spans="1:21" x14ac:dyDescent="0.25">
      <c r="A473" s="122">
        <v>471</v>
      </c>
      <c r="B473" s="103">
        <f t="shared" si="8"/>
        <v>45670</v>
      </c>
      <c r="C473" s="109">
        <v>2024</v>
      </c>
      <c r="D473" s="110">
        <f>YEAR(GC[[#This Row],[Date]])</f>
        <v>2025</v>
      </c>
      <c r="E473" s="101" t="s">
        <v>73</v>
      </c>
      <c r="F473" s="101" t="s">
        <v>73</v>
      </c>
      <c r="G473" s="1" t="str">
        <f>TEXT(GC[[#This Row],[Date]],"mmm-yy")</f>
        <v>Jan-25</v>
      </c>
      <c r="H473" s="1">
        <f>DAY(EOMONTH(GC[[#This Row],[Month Year]],0))</f>
        <v>31</v>
      </c>
      <c r="I473" s="106"/>
      <c r="J473" s="116"/>
      <c r="K473" s="106"/>
      <c r="L473" s="106"/>
      <c r="M473" s="106"/>
      <c r="N473" s="106"/>
      <c r="O473" s="106"/>
      <c r="P473" s="106"/>
      <c r="Q473" s="106"/>
      <c r="R473" s="106"/>
      <c r="S473" s="1">
        <f>SUM(GC[[#This Row],[Blk1]:[Blk8]])</f>
        <v>0</v>
      </c>
      <c r="T473" s="106" t="str">
        <f>PROPER(GC[[#This Row],[Resources]])</f>
        <v/>
      </c>
      <c r="U473" s="125" t="s">
        <v>76</v>
      </c>
    </row>
    <row r="474" spans="1:21" x14ac:dyDescent="0.25">
      <c r="A474" s="122">
        <v>472</v>
      </c>
      <c r="B474" s="103">
        <f t="shared" si="8"/>
        <v>45671</v>
      </c>
      <c r="C474" s="109">
        <v>2024</v>
      </c>
      <c r="D474" s="110">
        <f>YEAR(GC[[#This Row],[Date]])</f>
        <v>2025</v>
      </c>
      <c r="E474" s="101" t="s">
        <v>73</v>
      </c>
      <c r="F474" s="101" t="s">
        <v>73</v>
      </c>
      <c r="G474" s="1" t="str">
        <f>TEXT(GC[[#This Row],[Date]],"mmm-yy")</f>
        <v>Jan-25</v>
      </c>
      <c r="H474" s="1">
        <f>DAY(EOMONTH(GC[[#This Row],[Month Year]],0))</f>
        <v>31</v>
      </c>
      <c r="I474" s="106"/>
      <c r="J474" s="116"/>
      <c r="K474" s="106"/>
      <c r="L474" s="106"/>
      <c r="M474" s="106"/>
      <c r="N474" s="106"/>
      <c r="O474" s="106"/>
      <c r="P474" s="106"/>
      <c r="Q474" s="106"/>
      <c r="R474" s="106"/>
      <c r="S474" s="1">
        <f>SUM(GC[[#This Row],[Blk1]:[Blk8]])</f>
        <v>0</v>
      </c>
      <c r="T474" s="106" t="str">
        <f>PROPER(GC[[#This Row],[Resources]])</f>
        <v/>
      </c>
      <c r="U474" s="125" t="s">
        <v>76</v>
      </c>
    </row>
    <row r="475" spans="1:21" x14ac:dyDescent="0.25">
      <c r="A475" s="122">
        <v>473</v>
      </c>
      <c r="B475" s="103">
        <f t="shared" si="8"/>
        <v>45672</v>
      </c>
      <c r="C475" s="109">
        <v>2024</v>
      </c>
      <c r="D475" s="110">
        <f>YEAR(GC[[#This Row],[Date]])</f>
        <v>2025</v>
      </c>
      <c r="E475" s="101" t="s">
        <v>73</v>
      </c>
      <c r="F475" s="101" t="s">
        <v>73</v>
      </c>
      <c r="G475" s="1" t="str">
        <f>TEXT(GC[[#This Row],[Date]],"mmm-yy")</f>
        <v>Jan-25</v>
      </c>
      <c r="H475" s="1">
        <f>DAY(EOMONTH(GC[[#This Row],[Month Year]],0))</f>
        <v>31</v>
      </c>
      <c r="I475" s="106"/>
      <c r="J475" s="116"/>
      <c r="K475" s="106"/>
      <c r="L475" s="106"/>
      <c r="M475" s="106"/>
      <c r="N475" s="106"/>
      <c r="O475" s="106"/>
      <c r="P475" s="106"/>
      <c r="Q475" s="106"/>
      <c r="R475" s="106"/>
      <c r="S475" s="1">
        <f>SUM(GC[[#This Row],[Blk1]:[Blk8]])</f>
        <v>0</v>
      </c>
      <c r="T475" s="106" t="str">
        <f>PROPER(GC[[#This Row],[Resources]])</f>
        <v/>
      </c>
      <c r="U475" s="125" t="s">
        <v>76</v>
      </c>
    </row>
    <row r="476" spans="1:21" x14ac:dyDescent="0.25">
      <c r="A476" s="122">
        <v>474</v>
      </c>
      <c r="B476" s="103">
        <f t="shared" si="8"/>
        <v>45673</v>
      </c>
      <c r="C476" s="109">
        <v>2024</v>
      </c>
      <c r="D476" s="110">
        <f>YEAR(GC[[#This Row],[Date]])</f>
        <v>2025</v>
      </c>
      <c r="E476" s="101" t="s">
        <v>73</v>
      </c>
      <c r="F476" s="101" t="s">
        <v>73</v>
      </c>
      <c r="G476" s="1" t="str">
        <f>TEXT(GC[[#This Row],[Date]],"mmm-yy")</f>
        <v>Jan-25</v>
      </c>
      <c r="H476" s="1">
        <f>DAY(EOMONTH(GC[[#This Row],[Month Year]],0))</f>
        <v>31</v>
      </c>
      <c r="I476" s="106"/>
      <c r="J476" s="116"/>
      <c r="K476" s="106"/>
      <c r="L476" s="106"/>
      <c r="M476" s="106"/>
      <c r="N476" s="106"/>
      <c r="O476" s="106"/>
      <c r="P476" s="106"/>
      <c r="Q476" s="106"/>
      <c r="R476" s="106"/>
      <c r="S476" s="1">
        <f>SUM(GC[[#This Row],[Blk1]:[Blk8]])</f>
        <v>0</v>
      </c>
      <c r="T476" s="106" t="str">
        <f>PROPER(GC[[#This Row],[Resources]])</f>
        <v/>
      </c>
      <c r="U476" s="125" t="s">
        <v>76</v>
      </c>
    </row>
    <row r="477" spans="1:21" x14ac:dyDescent="0.25">
      <c r="A477" s="122">
        <v>475</v>
      </c>
      <c r="B477" s="103">
        <f t="shared" si="8"/>
        <v>45674</v>
      </c>
      <c r="C477" s="109">
        <v>2024</v>
      </c>
      <c r="D477" s="110">
        <f>YEAR(GC[[#This Row],[Date]])</f>
        <v>2025</v>
      </c>
      <c r="E477" s="101" t="s">
        <v>73</v>
      </c>
      <c r="F477" s="101" t="s">
        <v>73</v>
      </c>
      <c r="G477" s="1" t="str">
        <f>TEXT(GC[[#This Row],[Date]],"mmm-yy")</f>
        <v>Jan-25</v>
      </c>
      <c r="H477" s="1">
        <f>DAY(EOMONTH(GC[[#This Row],[Month Year]],0))</f>
        <v>31</v>
      </c>
      <c r="I477" s="106"/>
      <c r="J477" s="116"/>
      <c r="K477" s="106"/>
      <c r="L477" s="106"/>
      <c r="M477" s="106"/>
      <c r="N477" s="106"/>
      <c r="O477" s="106"/>
      <c r="P477" s="106"/>
      <c r="Q477" s="106"/>
      <c r="R477" s="106"/>
      <c r="S477" s="1">
        <f>SUM(GC[[#This Row],[Blk1]:[Blk8]])</f>
        <v>0</v>
      </c>
      <c r="T477" s="106" t="str">
        <f>PROPER(GC[[#This Row],[Resources]])</f>
        <v/>
      </c>
      <c r="U477" s="125" t="s">
        <v>76</v>
      </c>
    </row>
    <row r="478" spans="1:21" x14ac:dyDescent="0.25">
      <c r="A478" s="122">
        <v>476</v>
      </c>
      <c r="B478" s="103">
        <f t="shared" si="8"/>
        <v>45675</v>
      </c>
      <c r="C478" s="109">
        <v>2024</v>
      </c>
      <c r="D478" s="110">
        <f>YEAR(GC[[#This Row],[Date]])</f>
        <v>2025</v>
      </c>
      <c r="E478" s="101" t="s">
        <v>73</v>
      </c>
      <c r="F478" s="101" t="s">
        <v>73</v>
      </c>
      <c r="G478" s="1" t="str">
        <f>TEXT(GC[[#This Row],[Date]],"mmm-yy")</f>
        <v>Jan-25</v>
      </c>
      <c r="H478" s="1">
        <f>DAY(EOMONTH(GC[[#This Row],[Month Year]],0))</f>
        <v>31</v>
      </c>
      <c r="I478" s="106"/>
      <c r="J478" s="116"/>
      <c r="K478" s="106"/>
      <c r="L478" s="106"/>
      <c r="M478" s="106"/>
      <c r="N478" s="106"/>
      <c r="O478" s="106"/>
      <c r="P478" s="106"/>
      <c r="Q478" s="106"/>
      <c r="R478" s="106"/>
      <c r="S478" s="1">
        <f>SUM(GC[[#This Row],[Blk1]:[Blk8]])</f>
        <v>0</v>
      </c>
      <c r="T478" s="106" t="str">
        <f>PROPER(GC[[#This Row],[Resources]])</f>
        <v/>
      </c>
      <c r="U478" s="125" t="s">
        <v>76</v>
      </c>
    </row>
    <row r="479" spans="1:21" x14ac:dyDescent="0.25">
      <c r="A479" s="122">
        <v>477</v>
      </c>
      <c r="B479" s="103">
        <f t="shared" si="8"/>
        <v>45676</v>
      </c>
      <c r="C479" s="109">
        <v>2024</v>
      </c>
      <c r="D479" s="110">
        <f>YEAR(GC[[#This Row],[Date]])</f>
        <v>2025</v>
      </c>
      <c r="E479" s="101" t="s">
        <v>73</v>
      </c>
      <c r="F479" s="101" t="s">
        <v>73</v>
      </c>
      <c r="G479" s="1" t="str">
        <f>TEXT(GC[[#This Row],[Date]],"mmm-yy")</f>
        <v>Jan-25</v>
      </c>
      <c r="H479" s="1">
        <f>DAY(EOMONTH(GC[[#This Row],[Month Year]],0))</f>
        <v>31</v>
      </c>
      <c r="I479" s="106"/>
      <c r="J479" s="116"/>
      <c r="K479" s="106"/>
      <c r="L479" s="106"/>
      <c r="M479" s="106"/>
      <c r="N479" s="106"/>
      <c r="O479" s="106"/>
      <c r="P479" s="106"/>
      <c r="Q479" s="106"/>
      <c r="R479" s="106"/>
      <c r="S479" s="1">
        <f>SUM(GC[[#This Row],[Blk1]:[Blk8]])</f>
        <v>0</v>
      </c>
      <c r="T479" s="106" t="str">
        <f>PROPER(GC[[#This Row],[Resources]])</f>
        <v/>
      </c>
      <c r="U479" s="125" t="s">
        <v>76</v>
      </c>
    </row>
    <row r="480" spans="1:21" x14ac:dyDescent="0.25">
      <c r="A480" s="122">
        <v>478</v>
      </c>
      <c r="B480" s="103">
        <f t="shared" si="8"/>
        <v>45677</v>
      </c>
      <c r="C480" s="109">
        <v>2024</v>
      </c>
      <c r="D480" s="110">
        <f>YEAR(GC[[#This Row],[Date]])</f>
        <v>2025</v>
      </c>
      <c r="E480" s="101" t="s">
        <v>73</v>
      </c>
      <c r="F480" s="101" t="s">
        <v>73</v>
      </c>
      <c r="G480" s="1" t="str">
        <f>TEXT(GC[[#This Row],[Date]],"mmm-yy")</f>
        <v>Jan-25</v>
      </c>
      <c r="H480" s="1">
        <f>DAY(EOMONTH(GC[[#This Row],[Month Year]],0))</f>
        <v>31</v>
      </c>
      <c r="I480" s="106"/>
      <c r="J480" s="116"/>
      <c r="K480" s="106"/>
      <c r="L480" s="106"/>
      <c r="M480" s="106"/>
      <c r="N480" s="106"/>
      <c r="O480" s="106"/>
      <c r="P480" s="106"/>
      <c r="Q480" s="106"/>
      <c r="R480" s="106"/>
      <c r="S480" s="1">
        <f>SUM(GC[[#This Row],[Blk1]:[Blk8]])</f>
        <v>0</v>
      </c>
      <c r="T480" s="106" t="str">
        <f>PROPER(GC[[#This Row],[Resources]])</f>
        <v/>
      </c>
      <c r="U480" s="125" t="s">
        <v>76</v>
      </c>
    </row>
    <row r="481" spans="1:21" x14ac:dyDescent="0.25">
      <c r="A481" s="122">
        <v>479</v>
      </c>
      <c r="B481" s="103">
        <f t="shared" si="8"/>
        <v>45678</v>
      </c>
      <c r="C481" s="109">
        <v>2024</v>
      </c>
      <c r="D481" s="110">
        <f>YEAR(GC[[#This Row],[Date]])</f>
        <v>2025</v>
      </c>
      <c r="E481" s="101" t="s">
        <v>73</v>
      </c>
      <c r="F481" s="101" t="s">
        <v>73</v>
      </c>
      <c r="G481" s="1" t="str">
        <f>TEXT(GC[[#This Row],[Date]],"mmm-yy")</f>
        <v>Jan-25</v>
      </c>
      <c r="H481" s="1">
        <f>DAY(EOMONTH(GC[[#This Row],[Month Year]],0))</f>
        <v>31</v>
      </c>
      <c r="I481" s="106"/>
      <c r="J481" s="116"/>
      <c r="K481" s="106"/>
      <c r="L481" s="106"/>
      <c r="M481" s="106"/>
      <c r="N481" s="106"/>
      <c r="O481" s="106"/>
      <c r="P481" s="106"/>
      <c r="Q481" s="106"/>
      <c r="R481" s="106"/>
      <c r="S481" s="1">
        <f>SUM(GC[[#This Row],[Blk1]:[Blk8]])</f>
        <v>0</v>
      </c>
      <c r="T481" s="106" t="str">
        <f>PROPER(GC[[#This Row],[Resources]])</f>
        <v/>
      </c>
      <c r="U481" s="106"/>
    </row>
    <row r="482" spans="1:21" x14ac:dyDescent="0.25">
      <c r="A482" s="122">
        <v>480</v>
      </c>
      <c r="B482" s="103">
        <f t="shared" si="8"/>
        <v>45679</v>
      </c>
      <c r="C482" s="109">
        <v>2024</v>
      </c>
      <c r="D482" s="110">
        <f>YEAR(GC[[#This Row],[Date]])</f>
        <v>2025</v>
      </c>
      <c r="E482" s="101" t="s">
        <v>73</v>
      </c>
      <c r="F482" s="101" t="s">
        <v>73</v>
      </c>
      <c r="G482" s="1" t="str">
        <f>TEXT(GC[[#This Row],[Date]],"mmm-yy")</f>
        <v>Jan-25</v>
      </c>
      <c r="H482" s="1">
        <f>DAY(EOMONTH(GC[[#This Row],[Month Year]],0))</f>
        <v>31</v>
      </c>
      <c r="I482" s="106"/>
      <c r="J482" s="116"/>
      <c r="K482" s="106"/>
      <c r="L482" s="106"/>
      <c r="M482" s="106"/>
      <c r="N482" s="106"/>
      <c r="O482" s="106"/>
      <c r="P482" s="106"/>
      <c r="Q482" s="106"/>
      <c r="R482" s="106"/>
      <c r="S482" s="1">
        <f>SUM(GC[[#This Row],[Blk1]:[Blk8]])</f>
        <v>0</v>
      </c>
      <c r="T482" s="106" t="str">
        <f>PROPER(GC[[#This Row],[Resources]])</f>
        <v/>
      </c>
      <c r="U482" s="106"/>
    </row>
    <row r="483" spans="1:21" x14ac:dyDescent="0.25">
      <c r="A483" s="122">
        <v>481</v>
      </c>
      <c r="B483" s="103">
        <f t="shared" si="8"/>
        <v>45680</v>
      </c>
      <c r="C483" s="109">
        <v>2024</v>
      </c>
      <c r="D483" s="110">
        <f>YEAR(GC[[#This Row],[Date]])</f>
        <v>2025</v>
      </c>
      <c r="E483" s="101" t="s">
        <v>73</v>
      </c>
      <c r="F483" s="101" t="s">
        <v>73</v>
      </c>
      <c r="G483" s="1" t="str">
        <f>TEXT(GC[[#This Row],[Date]],"mmm-yy")</f>
        <v>Jan-25</v>
      </c>
      <c r="H483" s="1">
        <f>DAY(EOMONTH(GC[[#This Row],[Month Year]],0))</f>
        <v>31</v>
      </c>
      <c r="I483" s="106"/>
      <c r="J483" s="116"/>
      <c r="K483" s="106"/>
      <c r="L483" s="106"/>
      <c r="M483" s="106"/>
      <c r="N483" s="106"/>
      <c r="O483" s="106"/>
      <c r="P483" s="106"/>
      <c r="Q483" s="106"/>
      <c r="R483" s="106"/>
      <c r="S483" s="1">
        <f>SUM(GC[[#This Row],[Blk1]:[Blk8]])</f>
        <v>0</v>
      </c>
      <c r="T483" s="106" t="str">
        <f>PROPER(GC[[#This Row],[Resources]])</f>
        <v/>
      </c>
      <c r="U483" s="125" t="s">
        <v>77</v>
      </c>
    </row>
    <row r="484" spans="1:21" x14ac:dyDescent="0.25">
      <c r="A484" s="122">
        <v>482</v>
      </c>
      <c r="B484" s="103">
        <f t="shared" si="8"/>
        <v>45681</v>
      </c>
      <c r="C484" s="109">
        <v>2024</v>
      </c>
      <c r="D484" s="110">
        <f>YEAR(GC[[#This Row],[Date]])</f>
        <v>2025</v>
      </c>
      <c r="E484" s="101" t="s">
        <v>73</v>
      </c>
      <c r="F484" s="101" t="s">
        <v>73</v>
      </c>
      <c r="G484" s="1" t="str">
        <f>TEXT(GC[[#This Row],[Date]],"mmm-yy")</f>
        <v>Jan-25</v>
      </c>
      <c r="H484" s="1">
        <f>DAY(EOMONTH(GC[[#This Row],[Month Year]],0))</f>
        <v>31</v>
      </c>
      <c r="I484" s="106"/>
      <c r="J484" s="116"/>
      <c r="K484" s="106"/>
      <c r="L484" s="106"/>
      <c r="M484" s="106"/>
      <c r="N484" s="106"/>
      <c r="O484" s="106"/>
      <c r="P484" s="106"/>
      <c r="Q484" s="106"/>
      <c r="R484" s="106"/>
      <c r="S484" s="1">
        <f>SUM(GC[[#This Row],[Blk1]:[Blk8]])</f>
        <v>0</v>
      </c>
      <c r="T484" s="106" t="str">
        <f>PROPER(GC[[#This Row],[Resources]])</f>
        <v/>
      </c>
      <c r="U484" s="125" t="s">
        <v>77</v>
      </c>
    </row>
    <row r="485" spans="1:21" x14ac:dyDescent="0.25">
      <c r="A485" s="122">
        <v>483</v>
      </c>
      <c r="B485" s="103">
        <f t="shared" si="8"/>
        <v>45682</v>
      </c>
      <c r="C485" s="109">
        <v>2024</v>
      </c>
      <c r="D485" s="110">
        <f>YEAR(GC[[#This Row],[Date]])</f>
        <v>2025</v>
      </c>
      <c r="E485" s="101" t="s">
        <v>73</v>
      </c>
      <c r="F485" s="101" t="s">
        <v>73</v>
      </c>
      <c r="G485" s="1" t="str">
        <f>TEXT(GC[[#This Row],[Date]],"mmm-yy")</f>
        <v>Jan-25</v>
      </c>
      <c r="H485" s="1">
        <f>DAY(EOMONTH(GC[[#This Row],[Month Year]],0))</f>
        <v>31</v>
      </c>
      <c r="I485" s="106"/>
      <c r="J485" s="116"/>
      <c r="K485" s="106"/>
      <c r="L485" s="106"/>
      <c r="M485" s="106"/>
      <c r="N485" s="106"/>
      <c r="O485" s="106"/>
      <c r="P485" s="106"/>
      <c r="Q485" s="106"/>
      <c r="R485" s="106"/>
      <c r="S485" s="1">
        <f>SUM(GC[[#This Row],[Blk1]:[Blk8]])</f>
        <v>0</v>
      </c>
      <c r="T485" s="106" t="str">
        <f>PROPER(GC[[#This Row],[Resources]])</f>
        <v/>
      </c>
      <c r="U485" s="106"/>
    </row>
    <row r="486" spans="1:21" x14ac:dyDescent="0.25">
      <c r="A486" s="122">
        <v>484</v>
      </c>
      <c r="B486" s="103">
        <f t="shared" si="8"/>
        <v>45683</v>
      </c>
      <c r="C486" s="109">
        <v>2024</v>
      </c>
      <c r="D486" s="110">
        <f>YEAR(GC[[#This Row],[Date]])</f>
        <v>2025</v>
      </c>
      <c r="E486" s="101" t="s">
        <v>73</v>
      </c>
      <c r="F486" s="101" t="s">
        <v>73</v>
      </c>
      <c r="G486" s="1" t="str">
        <f>TEXT(GC[[#This Row],[Date]],"mmm-yy")</f>
        <v>Jan-25</v>
      </c>
      <c r="H486" s="1">
        <f>DAY(EOMONTH(GC[[#This Row],[Month Year]],0))</f>
        <v>31</v>
      </c>
      <c r="I486" s="106"/>
      <c r="J486" s="116"/>
      <c r="K486" s="106"/>
      <c r="L486" s="106"/>
      <c r="M486" s="106"/>
      <c r="N486" s="106"/>
      <c r="O486" s="106"/>
      <c r="P486" s="106"/>
      <c r="Q486" s="106"/>
      <c r="R486" s="106"/>
      <c r="S486" s="1">
        <f>SUM(GC[[#This Row],[Blk1]:[Blk8]])</f>
        <v>0</v>
      </c>
      <c r="T486" s="106" t="str">
        <f>PROPER(GC[[#This Row],[Resources]])</f>
        <v/>
      </c>
      <c r="U486" s="106"/>
    </row>
    <row r="487" spans="1:21" x14ac:dyDescent="0.25">
      <c r="A487" s="122">
        <v>485</v>
      </c>
      <c r="B487" s="103">
        <f t="shared" si="8"/>
        <v>45684</v>
      </c>
      <c r="C487" s="109">
        <v>2024</v>
      </c>
      <c r="D487" s="110">
        <f>YEAR(GC[[#This Row],[Date]])</f>
        <v>2025</v>
      </c>
      <c r="E487" s="101" t="s">
        <v>73</v>
      </c>
      <c r="F487" s="101" t="s">
        <v>73</v>
      </c>
      <c r="G487" s="1" t="str">
        <f>TEXT(GC[[#This Row],[Date]],"mmm-yy")</f>
        <v>Jan-25</v>
      </c>
      <c r="H487" s="1">
        <f>DAY(EOMONTH(GC[[#This Row],[Month Year]],0))</f>
        <v>31</v>
      </c>
      <c r="I487" s="106"/>
      <c r="J487" s="116"/>
      <c r="K487" s="106"/>
      <c r="L487" s="106"/>
      <c r="M487" s="106"/>
      <c r="N487" s="106"/>
      <c r="O487" s="106"/>
      <c r="P487" s="106"/>
      <c r="Q487" s="106"/>
      <c r="R487" s="106"/>
      <c r="S487" s="1">
        <f>SUM(GC[[#This Row],[Blk1]:[Blk8]])</f>
        <v>0</v>
      </c>
      <c r="T487" s="106" t="str">
        <f>PROPER(GC[[#This Row],[Resources]])</f>
        <v/>
      </c>
      <c r="U487" s="106"/>
    </row>
    <row r="488" spans="1:21" x14ac:dyDescent="0.25">
      <c r="A488" s="122">
        <v>486</v>
      </c>
      <c r="B488" s="103">
        <f t="shared" si="8"/>
        <v>45685</v>
      </c>
      <c r="C488" s="109">
        <v>2024</v>
      </c>
      <c r="D488" s="110">
        <f>YEAR(GC[[#This Row],[Date]])</f>
        <v>2025</v>
      </c>
      <c r="E488" s="101" t="s">
        <v>73</v>
      </c>
      <c r="F488" s="101" t="s">
        <v>73</v>
      </c>
      <c r="G488" s="1" t="str">
        <f>TEXT(GC[[#This Row],[Date]],"mmm-yy")</f>
        <v>Jan-25</v>
      </c>
      <c r="H488" s="1">
        <f>DAY(EOMONTH(GC[[#This Row],[Month Year]],0))</f>
        <v>31</v>
      </c>
      <c r="I488" s="106"/>
      <c r="J488" s="116"/>
      <c r="K488" s="106"/>
      <c r="L488" s="106"/>
      <c r="M488" s="106"/>
      <c r="N488" s="106"/>
      <c r="O488" s="106"/>
      <c r="P488" s="106"/>
      <c r="Q488" s="106"/>
      <c r="R488" s="106"/>
      <c r="S488" s="1">
        <f>SUM(GC[[#This Row],[Blk1]:[Blk8]])</f>
        <v>0</v>
      </c>
      <c r="T488" s="106" t="str">
        <f>PROPER(GC[[#This Row],[Resources]])</f>
        <v/>
      </c>
      <c r="U488" s="106"/>
    </row>
    <row r="489" spans="1:21" x14ac:dyDescent="0.25">
      <c r="A489" s="122">
        <v>487</v>
      </c>
      <c r="B489" s="103">
        <f t="shared" si="8"/>
        <v>45686</v>
      </c>
      <c r="C489" s="109">
        <v>2024</v>
      </c>
      <c r="D489" s="110">
        <f>YEAR(GC[[#This Row],[Date]])</f>
        <v>2025</v>
      </c>
      <c r="E489" s="101" t="s">
        <v>73</v>
      </c>
      <c r="F489" s="101" t="s">
        <v>73</v>
      </c>
      <c r="G489" s="1" t="str">
        <f>TEXT(GC[[#This Row],[Date]],"mmm-yy")</f>
        <v>Jan-25</v>
      </c>
      <c r="H489" s="1">
        <f>DAY(EOMONTH(GC[[#This Row],[Month Year]],0))</f>
        <v>31</v>
      </c>
      <c r="I489" s="106"/>
      <c r="J489" s="116"/>
      <c r="K489" s="106"/>
      <c r="L489" s="106"/>
      <c r="M489" s="106"/>
      <c r="N489" s="106"/>
      <c r="O489" s="106"/>
      <c r="P489" s="106"/>
      <c r="Q489" s="106"/>
      <c r="R489" s="106"/>
      <c r="S489" s="1">
        <f>SUM(GC[[#This Row],[Blk1]:[Blk8]])</f>
        <v>0</v>
      </c>
      <c r="T489" s="106" t="str">
        <f>PROPER(GC[[#This Row],[Resources]])</f>
        <v/>
      </c>
      <c r="U489" s="106"/>
    </row>
    <row r="490" spans="1:21" x14ac:dyDescent="0.25">
      <c r="A490" s="122">
        <v>488</v>
      </c>
      <c r="B490" s="103">
        <f t="shared" si="8"/>
        <v>45687</v>
      </c>
      <c r="C490" s="109">
        <v>2024</v>
      </c>
      <c r="D490" s="110">
        <f>YEAR(GC[[#This Row],[Date]])</f>
        <v>2025</v>
      </c>
      <c r="E490" s="101" t="s">
        <v>73</v>
      </c>
      <c r="F490" s="101" t="s">
        <v>73</v>
      </c>
      <c r="G490" s="1" t="str">
        <f>TEXT(GC[[#This Row],[Date]],"mmm-yy")</f>
        <v>Jan-25</v>
      </c>
      <c r="H490" s="1">
        <f>DAY(EOMONTH(GC[[#This Row],[Month Year]],0))</f>
        <v>31</v>
      </c>
      <c r="I490" s="106"/>
      <c r="J490" s="116"/>
      <c r="K490" s="106"/>
      <c r="L490" s="106"/>
      <c r="M490" s="106"/>
      <c r="N490" s="106"/>
      <c r="O490" s="106"/>
      <c r="P490" s="106"/>
      <c r="Q490" s="106"/>
      <c r="R490" s="106"/>
      <c r="S490" s="1">
        <f>SUM(GC[[#This Row],[Blk1]:[Blk8]])</f>
        <v>0</v>
      </c>
      <c r="T490" s="106" t="str">
        <f>PROPER(GC[[#This Row],[Resources]])</f>
        <v/>
      </c>
      <c r="U490" s="106"/>
    </row>
    <row r="491" spans="1:21" x14ac:dyDescent="0.25">
      <c r="A491" s="122">
        <v>489</v>
      </c>
      <c r="B491" s="103">
        <f t="shared" si="8"/>
        <v>45688</v>
      </c>
      <c r="C491" s="109">
        <v>2024</v>
      </c>
      <c r="D491" s="110">
        <f>YEAR(GC[[#This Row],[Date]])</f>
        <v>2025</v>
      </c>
      <c r="E491" s="101" t="s">
        <v>73</v>
      </c>
      <c r="F491" s="101" t="s">
        <v>73</v>
      </c>
      <c r="G491" s="1" t="str">
        <f>TEXT(GC[[#This Row],[Date]],"mmm-yy")</f>
        <v>Jan-25</v>
      </c>
      <c r="H491" s="1">
        <f>DAY(EOMONTH(GC[[#This Row],[Month Year]],0))</f>
        <v>31</v>
      </c>
      <c r="I491" s="106"/>
      <c r="J491" s="116"/>
      <c r="K491" s="106"/>
      <c r="L491" s="106"/>
      <c r="M491" s="106"/>
      <c r="N491" s="106"/>
      <c r="O491" s="106"/>
      <c r="P491" s="106"/>
      <c r="Q491" s="106"/>
      <c r="R491" s="106"/>
      <c r="S491" s="1">
        <f>SUM(GC[[#This Row],[Blk1]:[Blk8]])</f>
        <v>0</v>
      </c>
      <c r="T491" s="106" t="str">
        <f>PROPER(GC[[#This Row],[Resources]])</f>
        <v/>
      </c>
      <c r="U491" s="106"/>
    </row>
    <row r="492" spans="1:21" x14ac:dyDescent="0.25">
      <c r="A492" s="122">
        <v>490</v>
      </c>
      <c r="B492" s="103">
        <f t="shared" ref="B492:B505" si="9">B491+1</f>
        <v>45689</v>
      </c>
      <c r="C492" s="109">
        <v>2024</v>
      </c>
      <c r="D492" s="110">
        <f>YEAR(GC[[#This Row],[Date]])</f>
        <v>2025</v>
      </c>
      <c r="E492" s="101" t="s">
        <v>73</v>
      </c>
      <c r="F492" s="101" t="s">
        <v>73</v>
      </c>
      <c r="G492" s="1" t="str">
        <f>TEXT(GC[[#This Row],[Date]],"mmm-yy")</f>
        <v>Feb-25</v>
      </c>
      <c r="H492" s="1">
        <f>DAY(EOMONTH(GC[[#This Row],[Month Year]],0))</f>
        <v>28</v>
      </c>
      <c r="I492" s="106"/>
      <c r="J492" s="116"/>
      <c r="K492" s="106"/>
      <c r="L492" s="106"/>
      <c r="M492" s="106"/>
      <c r="N492" s="106"/>
      <c r="O492" s="106"/>
      <c r="P492" s="106"/>
      <c r="Q492" s="106"/>
      <c r="R492" s="106"/>
      <c r="S492" s="1">
        <f>SUM(GC[[#This Row],[Blk1]:[Blk8]])</f>
        <v>0</v>
      </c>
      <c r="T492" s="106" t="str">
        <f>PROPER(GC[[#This Row],[Resources]])</f>
        <v/>
      </c>
      <c r="U492" s="106"/>
    </row>
    <row r="493" spans="1:21" x14ac:dyDescent="0.25">
      <c r="A493" s="122">
        <v>491</v>
      </c>
      <c r="B493" s="103">
        <f t="shared" si="9"/>
        <v>45690</v>
      </c>
      <c r="C493" s="109">
        <v>2024</v>
      </c>
      <c r="D493" s="110">
        <f>YEAR(GC[[#This Row],[Date]])</f>
        <v>2025</v>
      </c>
      <c r="E493" s="101" t="s">
        <v>73</v>
      </c>
      <c r="F493" s="101" t="s">
        <v>73</v>
      </c>
      <c r="G493" s="1" t="str">
        <f>TEXT(GC[[#This Row],[Date]],"mmm-yy")</f>
        <v>Feb-25</v>
      </c>
      <c r="H493" s="1">
        <f>DAY(EOMONTH(GC[[#This Row],[Month Year]],0))</f>
        <v>28</v>
      </c>
      <c r="I493" s="106"/>
      <c r="J493" s="116"/>
      <c r="K493" s="106"/>
      <c r="L493" s="106"/>
      <c r="M493" s="106"/>
      <c r="N493" s="106"/>
      <c r="O493" s="106"/>
      <c r="P493" s="106"/>
      <c r="Q493" s="106"/>
      <c r="R493" s="106"/>
      <c r="S493" s="1">
        <f>SUM(GC[[#This Row],[Blk1]:[Blk8]])</f>
        <v>0</v>
      </c>
      <c r="T493" s="106" t="str">
        <f>PROPER(GC[[#This Row],[Resources]])</f>
        <v/>
      </c>
      <c r="U493" s="106"/>
    </row>
    <row r="494" spans="1:21" x14ac:dyDescent="0.25">
      <c r="A494" s="122">
        <v>492</v>
      </c>
      <c r="B494" s="103">
        <f t="shared" si="9"/>
        <v>45691</v>
      </c>
      <c r="C494" s="109">
        <v>2024</v>
      </c>
      <c r="D494" s="110">
        <f>YEAR(GC[[#This Row],[Date]])</f>
        <v>2025</v>
      </c>
      <c r="E494" s="101" t="s">
        <v>73</v>
      </c>
      <c r="F494" s="101" t="s">
        <v>73</v>
      </c>
      <c r="G494" s="1" t="str">
        <f>TEXT(GC[[#This Row],[Date]],"mmm-yy")</f>
        <v>Feb-25</v>
      </c>
      <c r="H494" s="1">
        <f>DAY(EOMONTH(GC[[#This Row],[Month Year]],0))</f>
        <v>28</v>
      </c>
      <c r="I494" s="106"/>
      <c r="J494" s="116"/>
      <c r="K494" s="106"/>
      <c r="L494" s="106"/>
      <c r="M494" s="106"/>
      <c r="N494" s="106"/>
      <c r="O494" s="106"/>
      <c r="P494" s="106"/>
      <c r="Q494" s="106"/>
      <c r="R494" s="106"/>
      <c r="S494" s="1">
        <f>SUM(GC[[#This Row],[Blk1]:[Blk8]])</f>
        <v>0</v>
      </c>
      <c r="T494" s="106" t="str">
        <f>PROPER(GC[[#This Row],[Resources]])</f>
        <v/>
      </c>
      <c r="U494" s="106"/>
    </row>
    <row r="495" spans="1:21" x14ac:dyDescent="0.25">
      <c r="A495" s="122">
        <v>493</v>
      </c>
      <c r="B495" s="103">
        <f t="shared" si="9"/>
        <v>45692</v>
      </c>
      <c r="C495" s="109">
        <v>2024</v>
      </c>
      <c r="D495" s="110">
        <f>YEAR(GC[[#This Row],[Date]])</f>
        <v>2025</v>
      </c>
      <c r="E495" s="101" t="s">
        <v>73</v>
      </c>
      <c r="F495" s="101" t="s">
        <v>73</v>
      </c>
      <c r="G495" s="1" t="str">
        <f>TEXT(GC[[#This Row],[Date]],"mmm-yy")</f>
        <v>Feb-25</v>
      </c>
      <c r="H495" s="1">
        <f>DAY(EOMONTH(GC[[#This Row],[Month Year]],0))</f>
        <v>28</v>
      </c>
      <c r="I495" s="106"/>
      <c r="J495" s="116"/>
      <c r="K495" s="106"/>
      <c r="L495" s="106"/>
      <c r="M495" s="106"/>
      <c r="N495" s="106"/>
      <c r="O495" s="106"/>
      <c r="P495" s="106"/>
      <c r="Q495" s="106"/>
      <c r="R495" s="106"/>
      <c r="S495" s="1">
        <f>SUM(GC[[#This Row],[Blk1]:[Blk8]])</f>
        <v>0</v>
      </c>
      <c r="T495" s="106" t="str">
        <f>PROPER(GC[[#This Row],[Resources]])</f>
        <v/>
      </c>
      <c r="U495" s="106"/>
    </row>
    <row r="496" spans="1:21" x14ac:dyDescent="0.25">
      <c r="A496" s="122">
        <v>494</v>
      </c>
      <c r="B496" s="103">
        <f t="shared" si="9"/>
        <v>45693</v>
      </c>
      <c r="C496" s="109">
        <v>2024</v>
      </c>
      <c r="D496" s="110">
        <f>YEAR(GC[[#This Row],[Date]])</f>
        <v>2025</v>
      </c>
      <c r="E496" s="101" t="s">
        <v>73</v>
      </c>
      <c r="F496" s="101" t="s">
        <v>73</v>
      </c>
      <c r="G496" s="1" t="str">
        <f>TEXT(GC[[#This Row],[Date]],"mmm-yy")</f>
        <v>Feb-25</v>
      </c>
      <c r="H496" s="1">
        <f>DAY(EOMONTH(GC[[#This Row],[Month Year]],0))</f>
        <v>28</v>
      </c>
      <c r="I496" s="122"/>
      <c r="J496" s="116"/>
      <c r="K496" s="122"/>
      <c r="L496" s="122"/>
      <c r="M496" s="122"/>
      <c r="N496" s="122"/>
      <c r="O496" s="122"/>
      <c r="P496" s="122"/>
      <c r="Q496" s="122"/>
      <c r="R496" s="122"/>
      <c r="S496" s="1">
        <f>SUM(GC[[#This Row],[Blk1]:[Blk8]])</f>
        <v>0</v>
      </c>
      <c r="T496" s="122" t="str">
        <f>PROPER(GC[[#This Row],[Resources]])</f>
        <v/>
      </c>
      <c r="U496" s="122"/>
    </row>
    <row r="497" spans="1:21" x14ac:dyDescent="0.25">
      <c r="A497" s="122">
        <v>495</v>
      </c>
      <c r="B497" s="103">
        <f t="shared" si="9"/>
        <v>45694</v>
      </c>
      <c r="C497" s="109">
        <v>2024</v>
      </c>
      <c r="D497" s="110">
        <f>YEAR(GC[[#This Row],[Date]])</f>
        <v>2025</v>
      </c>
      <c r="E497" s="101" t="s">
        <v>73</v>
      </c>
      <c r="F497" s="101" t="s">
        <v>73</v>
      </c>
      <c r="G497" s="1" t="str">
        <f>TEXT(GC[[#This Row],[Date]],"mmm-yy")</f>
        <v>Feb-25</v>
      </c>
      <c r="H497" s="1">
        <f>DAY(EOMONTH(GC[[#This Row],[Month Year]],0))</f>
        <v>28</v>
      </c>
      <c r="I497" s="122"/>
      <c r="J497" s="116"/>
      <c r="K497" s="122"/>
      <c r="L497" s="122"/>
      <c r="M497" s="122"/>
      <c r="N497" s="122"/>
      <c r="O497" s="122"/>
      <c r="P497" s="122"/>
      <c r="Q497" s="122"/>
      <c r="R497" s="122"/>
      <c r="S497" s="1">
        <f>SUM(GC[[#This Row],[Blk1]:[Blk8]])</f>
        <v>0</v>
      </c>
      <c r="T497" s="122" t="str">
        <f>PROPER(GC[[#This Row],[Resources]])</f>
        <v/>
      </c>
      <c r="U497" s="122"/>
    </row>
    <row r="498" spans="1:21" x14ac:dyDescent="0.25">
      <c r="A498" s="122">
        <v>496</v>
      </c>
      <c r="B498" s="103">
        <f t="shared" si="9"/>
        <v>45695</v>
      </c>
      <c r="C498" s="109">
        <v>2024</v>
      </c>
      <c r="D498" s="110">
        <f>YEAR(GC[[#This Row],[Date]])</f>
        <v>2025</v>
      </c>
      <c r="E498" s="101" t="s">
        <v>73</v>
      </c>
      <c r="F498" s="101" t="s">
        <v>73</v>
      </c>
      <c r="G498" s="1" t="str">
        <f>TEXT(GC[[#This Row],[Date]],"mmm-yy")</f>
        <v>Feb-25</v>
      </c>
      <c r="H498" s="1">
        <f>DAY(EOMONTH(GC[[#This Row],[Month Year]],0))</f>
        <v>28</v>
      </c>
      <c r="I498" s="122"/>
      <c r="J498" s="116"/>
      <c r="K498" s="122"/>
      <c r="L498" s="122"/>
      <c r="M498" s="122"/>
      <c r="N498" s="122"/>
      <c r="O498" s="122"/>
      <c r="P498" s="122"/>
      <c r="Q498" s="122"/>
      <c r="R498" s="122"/>
      <c r="S498" s="1">
        <f>SUM(GC[[#This Row],[Blk1]:[Blk8]])</f>
        <v>0</v>
      </c>
      <c r="T498" s="122" t="str">
        <f>PROPER(GC[[#This Row],[Resources]])</f>
        <v/>
      </c>
      <c r="U498" s="122"/>
    </row>
    <row r="499" spans="1:21" x14ac:dyDescent="0.25">
      <c r="A499" s="122">
        <v>497</v>
      </c>
      <c r="B499" s="103">
        <f t="shared" si="9"/>
        <v>45696</v>
      </c>
      <c r="C499" s="109">
        <v>2024</v>
      </c>
      <c r="D499" s="110">
        <f>YEAR(GC[[#This Row],[Date]])</f>
        <v>2025</v>
      </c>
      <c r="E499" s="101" t="s">
        <v>73</v>
      </c>
      <c r="F499" s="101" t="s">
        <v>73</v>
      </c>
      <c r="G499" s="1" t="str">
        <f>TEXT(GC[[#This Row],[Date]],"mmm-yy")</f>
        <v>Feb-25</v>
      </c>
      <c r="H499" s="1">
        <f>DAY(EOMONTH(GC[[#This Row],[Month Year]],0))</f>
        <v>28</v>
      </c>
      <c r="I499" s="122"/>
      <c r="J499" s="116"/>
      <c r="K499" s="122"/>
      <c r="L499" s="122"/>
      <c r="M499" s="122"/>
      <c r="N499" s="122"/>
      <c r="O499" s="122"/>
      <c r="P499" s="122"/>
      <c r="Q499" s="122"/>
      <c r="R499" s="122"/>
      <c r="S499" s="1">
        <f>SUM(GC[[#This Row],[Blk1]:[Blk8]])</f>
        <v>0</v>
      </c>
      <c r="T499" s="122" t="str">
        <f>PROPER(GC[[#This Row],[Resources]])</f>
        <v/>
      </c>
      <c r="U499" s="122"/>
    </row>
    <row r="500" spans="1:21" x14ac:dyDescent="0.25">
      <c r="A500" s="122">
        <v>498</v>
      </c>
      <c r="B500" s="103">
        <f t="shared" si="9"/>
        <v>45697</v>
      </c>
      <c r="C500" s="109">
        <v>2024</v>
      </c>
      <c r="D500" s="110">
        <f>YEAR(GC[[#This Row],[Date]])</f>
        <v>2025</v>
      </c>
      <c r="E500" s="101" t="s">
        <v>73</v>
      </c>
      <c r="F500" s="101" t="s">
        <v>73</v>
      </c>
      <c r="G500" s="1" t="str">
        <f>TEXT(GC[[#This Row],[Date]],"mmm-yy")</f>
        <v>Feb-25</v>
      </c>
      <c r="H500" s="1">
        <f>DAY(EOMONTH(GC[[#This Row],[Month Year]],0))</f>
        <v>28</v>
      </c>
      <c r="I500" s="122"/>
      <c r="J500" s="116"/>
      <c r="K500" s="122"/>
      <c r="L500" s="122"/>
      <c r="M500" s="122"/>
      <c r="N500" s="122"/>
      <c r="O500" s="122"/>
      <c r="P500" s="122"/>
      <c r="Q500" s="122"/>
      <c r="R500" s="122"/>
      <c r="S500" s="1">
        <f>SUM(GC[[#This Row],[Blk1]:[Blk8]])</f>
        <v>0</v>
      </c>
      <c r="T500" s="122" t="str">
        <f>PROPER(GC[[#This Row],[Resources]])</f>
        <v/>
      </c>
      <c r="U500" s="122"/>
    </row>
    <row r="501" spans="1:21" x14ac:dyDescent="0.25">
      <c r="A501" s="122">
        <v>499</v>
      </c>
      <c r="B501" s="103">
        <f t="shared" si="9"/>
        <v>45698</v>
      </c>
      <c r="C501" s="109">
        <v>2024</v>
      </c>
      <c r="D501" s="110">
        <f>YEAR(GC[[#This Row],[Date]])</f>
        <v>2025</v>
      </c>
      <c r="E501" s="101" t="s">
        <v>73</v>
      </c>
      <c r="F501" s="101" t="s">
        <v>73</v>
      </c>
      <c r="G501" s="1" t="str">
        <f>TEXT(GC[[#This Row],[Date]],"mmm-yy")</f>
        <v>Feb-25</v>
      </c>
      <c r="H501" s="1">
        <f>DAY(EOMONTH(GC[[#This Row],[Month Year]],0))</f>
        <v>28</v>
      </c>
      <c r="I501" s="122"/>
      <c r="J501" s="116"/>
      <c r="K501" s="122"/>
      <c r="L501" s="122"/>
      <c r="M501" s="122"/>
      <c r="N501" s="122"/>
      <c r="O501" s="122"/>
      <c r="P501" s="122"/>
      <c r="Q501" s="122"/>
      <c r="R501" s="122"/>
      <c r="S501" s="1">
        <f>SUM(GC[[#This Row],[Blk1]:[Blk8]])</f>
        <v>0</v>
      </c>
      <c r="T501" s="122" t="str">
        <f>PROPER(GC[[#This Row],[Resources]])</f>
        <v/>
      </c>
      <c r="U501" s="122"/>
    </row>
    <row r="502" spans="1:21" x14ac:dyDescent="0.25">
      <c r="A502" s="122">
        <v>500</v>
      </c>
      <c r="B502" s="103">
        <f t="shared" si="9"/>
        <v>45699</v>
      </c>
      <c r="C502" s="126">
        <f>YEAR(GC[[#This Row],[Date]])+IF(MONTH(GC[[#This Row],[Date]])&gt;=4,1,0)</f>
        <v>2025</v>
      </c>
      <c r="D502" s="102">
        <f>YEAR(GC[[#This Row],[Date]])</f>
        <v>2025</v>
      </c>
      <c r="E502" s="101" t="s">
        <v>73</v>
      </c>
      <c r="F502" s="101" t="s">
        <v>73</v>
      </c>
      <c r="G502" s="1" t="str">
        <f>TEXT(GC[[#This Row],[Date]],"mmm-yy")</f>
        <v>Feb-25</v>
      </c>
      <c r="H502" s="1">
        <f>DAY(EOMONTH(GC[[#This Row],[Month Year]],0))</f>
        <v>28</v>
      </c>
      <c r="I502" s="106"/>
      <c r="J502" s="116"/>
      <c r="K502" s="106"/>
      <c r="L502" s="106"/>
      <c r="M502" s="106"/>
      <c r="N502" s="106"/>
      <c r="O502" s="106"/>
      <c r="P502" s="106"/>
      <c r="Q502" s="106"/>
      <c r="R502" s="106"/>
      <c r="S502" s="1">
        <f>SUM(GC[[#This Row],[Blk1]:[Blk8]])</f>
        <v>0</v>
      </c>
      <c r="T502" s="106" t="str">
        <f>PROPER(GC[[#This Row],[Resources]])</f>
        <v/>
      </c>
      <c r="U502" s="106"/>
    </row>
    <row r="503" spans="1:21" x14ac:dyDescent="0.25">
      <c r="A503" s="122">
        <v>501</v>
      </c>
      <c r="B503" s="103">
        <f t="shared" si="9"/>
        <v>45700</v>
      </c>
      <c r="C503" s="126">
        <f>YEAR(GC[[#This Row],[Date]])+IF(MONTH(GC[[#This Row],[Date]])&gt;=4,1,0)</f>
        <v>2025</v>
      </c>
      <c r="D503" s="102">
        <f>YEAR(GC[[#This Row],[Date]])</f>
        <v>2025</v>
      </c>
      <c r="E503" s="101" t="s">
        <v>73</v>
      </c>
      <c r="F503" s="101" t="s">
        <v>73</v>
      </c>
      <c r="G503" s="1" t="str">
        <f>TEXT(GC[[#This Row],[Date]],"mmm-yy")</f>
        <v>Feb-25</v>
      </c>
      <c r="H503" s="1">
        <f>DAY(EOMONTH(GC[[#This Row],[Month Year]],0))</f>
        <v>28</v>
      </c>
      <c r="I503" s="106"/>
      <c r="J503" s="116"/>
      <c r="K503" s="106"/>
      <c r="L503" s="106"/>
      <c r="M503" s="106"/>
      <c r="N503" s="106"/>
      <c r="O503" s="106"/>
      <c r="P503" s="106"/>
      <c r="Q503" s="106"/>
      <c r="R503" s="106"/>
      <c r="S503" s="1">
        <f>SUM(GC[[#This Row],[Blk1]:[Blk8]])</f>
        <v>0</v>
      </c>
      <c r="T503" s="106" t="str">
        <f>PROPER(GC[[#This Row],[Resources]])</f>
        <v/>
      </c>
      <c r="U503" s="106"/>
    </row>
    <row r="504" spans="1:21" x14ac:dyDescent="0.25">
      <c r="A504" s="122">
        <v>502</v>
      </c>
      <c r="B504" s="103">
        <f t="shared" si="9"/>
        <v>45701</v>
      </c>
      <c r="C504" s="126">
        <f>YEAR(GC[[#This Row],[Date]])+IF(MONTH(GC[[#This Row],[Date]])&gt;=4,1,0)</f>
        <v>2025</v>
      </c>
      <c r="D504" s="102">
        <f>YEAR(GC[[#This Row],[Date]])</f>
        <v>2025</v>
      </c>
      <c r="E504" s="101" t="s">
        <v>73</v>
      </c>
      <c r="F504" s="101" t="s">
        <v>73</v>
      </c>
      <c r="G504" s="1" t="str">
        <f>TEXT(GC[[#This Row],[Date]],"mmm-yy")</f>
        <v>Feb-25</v>
      </c>
      <c r="H504" s="1">
        <f>DAY(EOMONTH(GC[[#This Row],[Month Year]],0))</f>
        <v>28</v>
      </c>
      <c r="I504" s="106"/>
      <c r="J504" s="116"/>
      <c r="K504" s="106"/>
      <c r="L504" s="106"/>
      <c r="M504" s="106"/>
      <c r="N504" s="106"/>
      <c r="O504" s="106"/>
      <c r="P504" s="106"/>
      <c r="Q504" s="106"/>
      <c r="R504" s="106"/>
      <c r="S504" s="1">
        <f>SUM(GC[[#This Row],[Blk1]:[Blk8]])</f>
        <v>0</v>
      </c>
      <c r="T504" s="106" t="str">
        <f>PROPER(GC[[#This Row],[Resources]])</f>
        <v/>
      </c>
      <c r="U504" s="106"/>
    </row>
    <row r="505" spans="1:21" x14ac:dyDescent="0.25">
      <c r="A505" s="122">
        <v>503</v>
      </c>
      <c r="B505" s="103">
        <f t="shared" si="9"/>
        <v>45702</v>
      </c>
      <c r="C505" s="126">
        <f>YEAR(GC[[#This Row],[Date]])+IF(MONTH(GC[[#This Row],[Date]])&gt;=4,1,0)</f>
        <v>2025</v>
      </c>
      <c r="D505" s="102">
        <f>YEAR(GC[[#This Row],[Date]])</f>
        <v>2025</v>
      </c>
      <c r="E505" s="101" t="s">
        <v>73</v>
      </c>
      <c r="F505" s="101" t="s">
        <v>73</v>
      </c>
      <c r="G505" s="1" t="str">
        <f>TEXT(GC[[#This Row],[Date]],"mmm-yy")</f>
        <v>Feb-25</v>
      </c>
      <c r="H505" s="1">
        <f>DAY(EOMONTH(GC[[#This Row],[Month Year]],0))</f>
        <v>28</v>
      </c>
      <c r="I505" s="106"/>
      <c r="J505" s="116"/>
      <c r="K505" s="106"/>
      <c r="L505" s="106"/>
      <c r="M505" s="106"/>
      <c r="N505" s="106"/>
      <c r="O505" s="106"/>
      <c r="P505" s="106"/>
      <c r="Q505" s="106"/>
      <c r="R505" s="106"/>
      <c r="S505" s="1">
        <f>SUM(GC[[#This Row],[Blk1]:[Blk8]])</f>
        <v>0</v>
      </c>
      <c r="T505" s="106" t="str">
        <f>PROPER(GC[[#This Row],[Resources]])</f>
        <v/>
      </c>
      <c r="U505" s="106"/>
    </row>
    <row r="506" spans="1:21" x14ac:dyDescent="0.25">
      <c r="A506" s="122">
        <v>504</v>
      </c>
      <c r="B506" s="103">
        <f t="shared" ref="B506:B515" si="10">B505+1</f>
        <v>45703</v>
      </c>
      <c r="C506" s="126">
        <f>YEAR(GC[[#This Row],[Date]])+IF(MONTH(GC[[#This Row],[Date]])&gt;=4,1,0)</f>
        <v>2025</v>
      </c>
      <c r="D506" s="102">
        <f>YEAR(GC[[#This Row],[Date]])</f>
        <v>2025</v>
      </c>
      <c r="E506" s="101" t="s">
        <v>73</v>
      </c>
      <c r="F506" s="101" t="s">
        <v>73</v>
      </c>
      <c r="G506" s="1" t="str">
        <f>TEXT(GC[[#This Row],[Date]],"mmm-yy")</f>
        <v>Feb-25</v>
      </c>
      <c r="H506" s="1">
        <f>DAY(EOMONTH(GC[[#This Row],[Month Year]],0))</f>
        <v>28</v>
      </c>
      <c r="I506" s="106"/>
      <c r="J506" s="116"/>
      <c r="K506" s="106"/>
      <c r="L506" s="106"/>
      <c r="M506" s="106"/>
      <c r="N506" s="106"/>
      <c r="O506" s="106"/>
      <c r="P506" s="106"/>
      <c r="Q506" s="106"/>
      <c r="R506" s="106"/>
      <c r="S506" s="1">
        <f>SUM(GC[[#This Row],[Blk1]:[Blk8]])</f>
        <v>0</v>
      </c>
      <c r="T506" s="106" t="str">
        <f>PROPER(GC[[#This Row],[Resources]])</f>
        <v/>
      </c>
      <c r="U506" s="106"/>
    </row>
    <row r="507" spans="1:21" x14ac:dyDescent="0.25">
      <c r="A507" s="122">
        <v>505</v>
      </c>
      <c r="B507" s="103">
        <f t="shared" si="10"/>
        <v>45704</v>
      </c>
      <c r="C507" s="126">
        <f>YEAR(GC[[#This Row],[Date]])+IF(MONTH(GC[[#This Row],[Date]])&gt;=4,1,0)</f>
        <v>2025</v>
      </c>
      <c r="D507" s="102">
        <f>YEAR(GC[[#This Row],[Date]])</f>
        <v>2025</v>
      </c>
      <c r="E507" s="101" t="s">
        <v>73</v>
      </c>
      <c r="F507" s="101" t="s">
        <v>73</v>
      </c>
      <c r="G507" s="1" t="str">
        <f>TEXT(GC[[#This Row],[Date]],"mmm-yy")</f>
        <v>Feb-25</v>
      </c>
      <c r="H507" s="1">
        <f>DAY(EOMONTH(GC[[#This Row],[Month Year]],0))</f>
        <v>28</v>
      </c>
      <c r="I507" s="106"/>
      <c r="J507" s="116"/>
      <c r="K507" s="106"/>
      <c r="L507" s="106"/>
      <c r="M507" s="106"/>
      <c r="N507" s="106"/>
      <c r="O507" s="106"/>
      <c r="P507" s="106"/>
      <c r="Q507" s="106"/>
      <c r="R507" s="106"/>
      <c r="S507" s="1">
        <f>SUM(GC[[#This Row],[Blk1]:[Blk8]])</f>
        <v>0</v>
      </c>
      <c r="T507" s="106" t="str">
        <f>PROPER(GC[[#This Row],[Resources]])</f>
        <v/>
      </c>
      <c r="U507" s="106"/>
    </row>
    <row r="508" spans="1:21" x14ac:dyDescent="0.25">
      <c r="A508" s="122">
        <v>506</v>
      </c>
      <c r="B508" s="103">
        <f t="shared" si="10"/>
        <v>45705</v>
      </c>
      <c r="C508" s="126">
        <f>YEAR(GC[[#This Row],[Date]])+IF(MONTH(GC[[#This Row],[Date]])&gt;=4,1,0)</f>
        <v>2025</v>
      </c>
      <c r="D508" s="102">
        <f>YEAR(GC[[#This Row],[Date]])</f>
        <v>2025</v>
      </c>
      <c r="E508" s="101" t="s">
        <v>73</v>
      </c>
      <c r="F508" s="101" t="s">
        <v>73</v>
      </c>
      <c r="G508" s="1" t="str">
        <f>TEXT(GC[[#This Row],[Date]],"mmm-yy")</f>
        <v>Feb-25</v>
      </c>
      <c r="H508" s="1">
        <f>DAY(EOMONTH(GC[[#This Row],[Month Year]],0))</f>
        <v>28</v>
      </c>
      <c r="I508" s="106"/>
      <c r="J508" s="116"/>
      <c r="K508" s="106"/>
      <c r="L508" s="106"/>
      <c r="M508" s="106"/>
      <c r="N508" s="106"/>
      <c r="O508" s="106"/>
      <c r="P508" s="106"/>
      <c r="Q508" s="106"/>
      <c r="R508" s="106"/>
      <c r="S508" s="1">
        <f>SUM(GC[[#This Row],[Blk1]:[Blk8]])</f>
        <v>0</v>
      </c>
      <c r="T508" s="106" t="str">
        <f>PROPER(GC[[#This Row],[Resources]])</f>
        <v/>
      </c>
      <c r="U508" s="106"/>
    </row>
    <row r="509" spans="1:21" x14ac:dyDescent="0.25">
      <c r="A509" s="122">
        <v>507</v>
      </c>
      <c r="B509" s="103">
        <f t="shared" si="10"/>
        <v>45706</v>
      </c>
      <c r="C509" s="126">
        <f>YEAR(GC[[#This Row],[Date]])+IF(MONTH(GC[[#This Row],[Date]])&gt;=4,1,0)</f>
        <v>2025</v>
      </c>
      <c r="D509" s="102">
        <f>YEAR(GC[[#This Row],[Date]])</f>
        <v>2025</v>
      </c>
      <c r="E509" s="101" t="s">
        <v>73</v>
      </c>
      <c r="F509" s="101" t="s">
        <v>73</v>
      </c>
      <c r="G509" s="1" t="str">
        <f>TEXT(GC[[#This Row],[Date]],"mmm-yy")</f>
        <v>Feb-25</v>
      </c>
      <c r="H509" s="1">
        <f>DAY(EOMONTH(GC[[#This Row],[Month Year]],0))</f>
        <v>28</v>
      </c>
      <c r="I509" s="106"/>
      <c r="J509" s="116"/>
      <c r="K509" s="106"/>
      <c r="L509" s="106"/>
      <c r="M509" s="106"/>
      <c r="N509" s="106"/>
      <c r="O509" s="106"/>
      <c r="P509" s="106"/>
      <c r="Q509" s="106"/>
      <c r="R509" s="106"/>
      <c r="S509" s="1">
        <f>SUM(GC[[#This Row],[Blk1]:[Blk8]])</f>
        <v>0</v>
      </c>
      <c r="T509" s="106" t="str">
        <f>PROPER(GC[[#This Row],[Resources]])</f>
        <v/>
      </c>
      <c r="U509" s="106"/>
    </row>
    <row r="510" spans="1:21" x14ac:dyDescent="0.25">
      <c r="A510" s="122">
        <v>508</v>
      </c>
      <c r="B510" s="103">
        <f t="shared" si="10"/>
        <v>45707</v>
      </c>
      <c r="C510" s="126">
        <f>YEAR(GC[[#This Row],[Date]])+IF(MONTH(GC[[#This Row],[Date]])&gt;=4,1,0)</f>
        <v>2025</v>
      </c>
      <c r="D510" s="102">
        <f>YEAR(GC[[#This Row],[Date]])</f>
        <v>2025</v>
      </c>
      <c r="E510" s="101" t="s">
        <v>73</v>
      </c>
      <c r="F510" s="101" t="s">
        <v>73</v>
      </c>
      <c r="G510" s="1" t="str">
        <f>TEXT(GC[[#This Row],[Date]],"mmm-yy")</f>
        <v>Feb-25</v>
      </c>
      <c r="H510" s="1">
        <f>DAY(EOMONTH(GC[[#This Row],[Month Year]],0))</f>
        <v>28</v>
      </c>
      <c r="I510" s="106"/>
      <c r="J510" s="116"/>
      <c r="K510" s="106"/>
      <c r="L510" s="106"/>
      <c r="M510" s="106"/>
      <c r="N510" s="106"/>
      <c r="O510" s="106"/>
      <c r="P510" s="106"/>
      <c r="Q510" s="106"/>
      <c r="R510" s="106"/>
      <c r="S510" s="1">
        <f>SUM(GC[[#This Row],[Blk1]:[Blk8]])</f>
        <v>0</v>
      </c>
      <c r="T510" s="106" t="str">
        <f>PROPER(GC[[#This Row],[Resources]])</f>
        <v/>
      </c>
      <c r="U510" s="106"/>
    </row>
    <row r="511" spans="1:21" x14ac:dyDescent="0.25">
      <c r="A511" s="122">
        <v>509</v>
      </c>
      <c r="B511" s="103">
        <f t="shared" si="10"/>
        <v>45708</v>
      </c>
      <c r="C511" s="126">
        <f>YEAR(GC[[#This Row],[Date]])+IF(MONTH(GC[[#This Row],[Date]])&gt;=4,1,0)</f>
        <v>2025</v>
      </c>
      <c r="D511" s="102">
        <f>YEAR(GC[[#This Row],[Date]])</f>
        <v>2025</v>
      </c>
      <c r="E511" s="101" t="s">
        <v>73</v>
      </c>
      <c r="F511" s="101" t="s">
        <v>73</v>
      </c>
      <c r="G511" s="1" t="str">
        <f>TEXT(GC[[#This Row],[Date]],"mmm-yy")</f>
        <v>Feb-25</v>
      </c>
      <c r="H511" s="1">
        <f>DAY(EOMONTH(GC[[#This Row],[Month Year]],0))</f>
        <v>28</v>
      </c>
      <c r="I511" s="106"/>
      <c r="J511" s="116"/>
      <c r="K511" s="106"/>
      <c r="L511" s="106"/>
      <c r="M511" s="106"/>
      <c r="N511" s="106"/>
      <c r="O511" s="106"/>
      <c r="P511" s="106"/>
      <c r="Q511" s="106"/>
      <c r="R511" s="106"/>
      <c r="S511" s="1">
        <f>SUM(GC[[#This Row],[Blk1]:[Blk8]])</f>
        <v>0</v>
      </c>
      <c r="T511" s="106" t="str">
        <f>PROPER(GC[[#This Row],[Resources]])</f>
        <v/>
      </c>
      <c r="U511" s="106"/>
    </row>
    <row r="512" spans="1:21" x14ac:dyDescent="0.25">
      <c r="A512" s="122">
        <v>510</v>
      </c>
      <c r="B512" s="103">
        <f t="shared" si="10"/>
        <v>45709</v>
      </c>
      <c r="C512" s="126">
        <f>YEAR(GC[[#This Row],[Date]])+IF(MONTH(GC[[#This Row],[Date]])&gt;=4,1,0)</f>
        <v>2025</v>
      </c>
      <c r="D512" s="102">
        <f>YEAR(GC[[#This Row],[Date]])</f>
        <v>2025</v>
      </c>
      <c r="E512" s="101" t="s">
        <v>73</v>
      </c>
      <c r="F512" s="101" t="s">
        <v>73</v>
      </c>
      <c r="G512" s="1" t="str">
        <f>TEXT(GC[[#This Row],[Date]],"mmm-yy")</f>
        <v>Feb-25</v>
      </c>
      <c r="H512" s="1">
        <f>DAY(EOMONTH(GC[[#This Row],[Month Year]],0))</f>
        <v>28</v>
      </c>
      <c r="I512" s="106"/>
      <c r="J512" s="116"/>
      <c r="K512" s="106"/>
      <c r="L512" s="106"/>
      <c r="M512" s="106"/>
      <c r="N512" s="106"/>
      <c r="O512" s="106"/>
      <c r="P512" s="106"/>
      <c r="Q512" s="106"/>
      <c r="R512" s="106"/>
      <c r="S512" s="1">
        <f>SUM(GC[[#This Row],[Blk1]:[Blk8]])</f>
        <v>0</v>
      </c>
      <c r="T512" s="106" t="str">
        <f>PROPER(GC[[#This Row],[Resources]])</f>
        <v/>
      </c>
      <c r="U512" s="106"/>
    </row>
    <row r="513" spans="1:21" x14ac:dyDescent="0.25">
      <c r="A513" s="122">
        <v>511</v>
      </c>
      <c r="B513" s="103">
        <f t="shared" si="10"/>
        <v>45710</v>
      </c>
      <c r="C513" s="126">
        <f>YEAR(GC[[#This Row],[Date]])+IF(MONTH(GC[[#This Row],[Date]])&gt;=4,1,0)</f>
        <v>2025</v>
      </c>
      <c r="D513" s="102">
        <f>YEAR(GC[[#This Row],[Date]])</f>
        <v>2025</v>
      </c>
      <c r="E513" s="101" t="s">
        <v>73</v>
      </c>
      <c r="F513" s="101" t="s">
        <v>73</v>
      </c>
      <c r="G513" s="1" t="str">
        <f>TEXT(GC[[#This Row],[Date]],"mmm-yy")</f>
        <v>Feb-25</v>
      </c>
      <c r="H513" s="1">
        <f>DAY(EOMONTH(GC[[#This Row],[Month Year]],0))</f>
        <v>28</v>
      </c>
      <c r="I513" s="106"/>
      <c r="J513" s="116"/>
      <c r="K513" s="106"/>
      <c r="L513" s="106"/>
      <c r="M513" s="106"/>
      <c r="N513" s="106"/>
      <c r="O513" s="106"/>
      <c r="P513" s="106"/>
      <c r="Q513" s="106"/>
      <c r="R513" s="106"/>
      <c r="S513" s="1">
        <f>SUM(GC[[#This Row],[Blk1]:[Blk8]])</f>
        <v>0</v>
      </c>
      <c r="T513" s="106" t="str">
        <f>PROPER(GC[[#This Row],[Resources]])</f>
        <v/>
      </c>
      <c r="U513" s="106"/>
    </row>
    <row r="514" spans="1:21" x14ac:dyDescent="0.25">
      <c r="A514" s="122">
        <v>512</v>
      </c>
      <c r="B514" s="103">
        <f t="shared" si="10"/>
        <v>45711</v>
      </c>
      <c r="C514" s="126">
        <f>YEAR(GC[[#This Row],[Date]])+IF(MONTH(GC[[#This Row],[Date]])&gt;=4,1,0)</f>
        <v>2025</v>
      </c>
      <c r="D514" s="102">
        <f>YEAR(GC[[#This Row],[Date]])</f>
        <v>2025</v>
      </c>
      <c r="E514" s="101" t="s">
        <v>73</v>
      </c>
      <c r="F514" s="101" t="s">
        <v>73</v>
      </c>
      <c r="G514" s="1" t="str">
        <f>TEXT(GC[[#This Row],[Date]],"mmm-yy")</f>
        <v>Feb-25</v>
      </c>
      <c r="H514" s="1">
        <f>DAY(EOMONTH(GC[[#This Row],[Month Year]],0))</f>
        <v>28</v>
      </c>
      <c r="I514" s="106"/>
      <c r="J514" s="116"/>
      <c r="K514" s="106"/>
      <c r="L514" s="106"/>
      <c r="M514" s="106"/>
      <c r="N514" s="106"/>
      <c r="O514" s="106"/>
      <c r="P514" s="106"/>
      <c r="Q514" s="106"/>
      <c r="R514" s="106"/>
      <c r="S514" s="1">
        <f>SUM(GC[[#This Row],[Blk1]:[Blk8]])</f>
        <v>0</v>
      </c>
      <c r="T514" s="106" t="str">
        <f>PROPER(GC[[#This Row],[Resources]])</f>
        <v/>
      </c>
      <c r="U514" s="106"/>
    </row>
    <row r="515" spans="1:21" x14ac:dyDescent="0.25">
      <c r="A515" s="122">
        <v>513</v>
      </c>
      <c r="B515" s="103">
        <f t="shared" si="10"/>
        <v>45712</v>
      </c>
      <c r="C515" s="126">
        <f>YEAR(GC[[#This Row],[Date]])+IF(MONTH(GC[[#This Row],[Date]])&gt;=4,1,0)</f>
        <v>2025</v>
      </c>
      <c r="D515" s="102">
        <f>YEAR(GC[[#This Row],[Date]])</f>
        <v>2025</v>
      </c>
      <c r="E515" s="101" t="s">
        <v>73</v>
      </c>
      <c r="F515" s="101" t="s">
        <v>73</v>
      </c>
      <c r="G515" s="1" t="str">
        <f>TEXT(GC[[#This Row],[Date]],"mmm-yy")</f>
        <v>Feb-25</v>
      </c>
      <c r="H515" s="1">
        <f>DAY(EOMONTH(GC[[#This Row],[Month Year]],0))</f>
        <v>28</v>
      </c>
      <c r="I515" s="106"/>
      <c r="J515" s="116"/>
      <c r="K515" s="106"/>
      <c r="L515" s="106"/>
      <c r="M515" s="106"/>
      <c r="N515" s="106"/>
      <c r="O515" s="106"/>
      <c r="P515" s="106"/>
      <c r="Q515" s="106"/>
      <c r="R515" s="106"/>
      <c r="S515" s="1">
        <f>SUM(GC[[#This Row],[Blk1]:[Blk8]])</f>
        <v>0</v>
      </c>
      <c r="T515" s="106" t="str">
        <f>PROPER(GC[[#This Row],[Resources]])</f>
        <v/>
      </c>
      <c r="U515" s="106"/>
    </row>
    <row r="516" spans="1:21" x14ac:dyDescent="0.25">
      <c r="A516" s="122">
        <v>514</v>
      </c>
      <c r="B516" s="103">
        <f t="shared" ref="B516:B563" si="11">B515+1</f>
        <v>45713</v>
      </c>
      <c r="C516" s="126">
        <f>YEAR(GC[[#This Row],[Date]])+IF(MONTH(GC[[#This Row],[Date]])&gt;=4,1,0)</f>
        <v>2025</v>
      </c>
      <c r="D516" s="102">
        <f>YEAR(GC[[#This Row],[Date]])</f>
        <v>2025</v>
      </c>
      <c r="E516" s="101" t="s">
        <v>73</v>
      </c>
      <c r="F516" s="101" t="s">
        <v>73</v>
      </c>
      <c r="G516" s="1" t="str">
        <f>TEXT(GC[[#This Row],[Date]],"mmm-yy")</f>
        <v>Feb-25</v>
      </c>
      <c r="H516" s="1">
        <f>DAY(EOMONTH(GC[[#This Row],[Month Year]],0))</f>
        <v>28</v>
      </c>
      <c r="I516" s="106"/>
      <c r="J516" s="116"/>
      <c r="K516" s="106"/>
      <c r="L516" s="106"/>
      <c r="M516" s="106"/>
      <c r="N516" s="106"/>
      <c r="O516" s="106"/>
      <c r="P516" s="106"/>
      <c r="Q516" s="106"/>
      <c r="R516" s="106"/>
      <c r="S516" s="1">
        <f>SUM(GC[[#This Row],[Blk1]:[Blk8]])</f>
        <v>0</v>
      </c>
      <c r="T516" s="106" t="str">
        <f>PROPER(GC[[#This Row],[Resources]])</f>
        <v/>
      </c>
      <c r="U516" s="106"/>
    </row>
    <row r="517" spans="1:21" x14ac:dyDescent="0.25">
      <c r="A517" s="122">
        <v>515</v>
      </c>
      <c r="B517" s="103">
        <f>B516+1</f>
        <v>45714</v>
      </c>
      <c r="C517" s="126">
        <f>YEAR(GC[[#This Row],[Date]])+IF(MONTH(GC[[#This Row],[Date]])&gt;=4,1,0)</f>
        <v>2025</v>
      </c>
      <c r="D517" s="102">
        <f>YEAR(GC[[#This Row],[Date]])</f>
        <v>2025</v>
      </c>
      <c r="E517" s="101" t="s">
        <v>73</v>
      </c>
      <c r="F517" s="101" t="s">
        <v>73</v>
      </c>
      <c r="G517" s="1" t="str">
        <f>TEXT(GC[[#This Row],[Date]],"mmm-yy")</f>
        <v>Feb-25</v>
      </c>
      <c r="H517" s="1">
        <f>DAY(EOMONTH(GC[[#This Row],[Month Year]],0))</f>
        <v>28</v>
      </c>
      <c r="I517" s="106"/>
      <c r="J517" s="116"/>
      <c r="K517" s="106"/>
      <c r="L517" s="106"/>
      <c r="M517" s="106"/>
      <c r="N517" s="106"/>
      <c r="O517" s="106"/>
      <c r="P517" s="106"/>
      <c r="Q517" s="106"/>
      <c r="R517" s="106"/>
      <c r="S517" s="1">
        <f>SUM(GC[[#This Row],[Blk1]:[Blk8]])</f>
        <v>0</v>
      </c>
      <c r="T517" s="106" t="str">
        <f>PROPER(GC[[#This Row],[Resources]])</f>
        <v/>
      </c>
      <c r="U517" s="106"/>
    </row>
    <row r="518" spans="1:21" x14ac:dyDescent="0.25">
      <c r="A518" s="122">
        <v>516</v>
      </c>
      <c r="B518" s="103">
        <f>B517+1</f>
        <v>45715</v>
      </c>
      <c r="C518" s="126">
        <f>YEAR(GC[[#This Row],[Date]])+IF(MONTH(GC[[#This Row],[Date]])&gt;=4,1,0)</f>
        <v>2025</v>
      </c>
      <c r="D518" s="102">
        <f>YEAR(GC[[#This Row],[Date]])</f>
        <v>2025</v>
      </c>
      <c r="E518" s="101" t="s">
        <v>73</v>
      </c>
      <c r="F518" s="101" t="s">
        <v>73</v>
      </c>
      <c r="G518" s="1" t="str">
        <f>TEXT(GC[[#This Row],[Date]],"mmm-yy")</f>
        <v>Feb-25</v>
      </c>
      <c r="H518" s="1">
        <f>DAY(EOMONTH(GC[[#This Row],[Month Year]],0))</f>
        <v>28</v>
      </c>
      <c r="I518" s="106"/>
      <c r="J518" s="116"/>
      <c r="K518" s="106"/>
      <c r="L518" s="106"/>
      <c r="M518" s="106"/>
      <c r="N518" s="106"/>
      <c r="O518" s="106"/>
      <c r="P518" s="106"/>
      <c r="Q518" s="106"/>
      <c r="R518" s="106"/>
      <c r="S518" s="1">
        <f>SUM(GC[[#This Row],[Blk1]:[Blk8]])</f>
        <v>0</v>
      </c>
      <c r="T518" s="106" t="str">
        <f>PROPER(GC[[#This Row],[Resources]])</f>
        <v/>
      </c>
      <c r="U518" s="106"/>
    </row>
    <row r="519" spans="1:21" x14ac:dyDescent="0.25">
      <c r="A519" s="122">
        <v>517</v>
      </c>
      <c r="B519" s="103">
        <f t="shared" si="11"/>
        <v>45716</v>
      </c>
      <c r="C519" s="126">
        <f>YEAR(GC[[#This Row],[Date]])+IF(MONTH(GC[[#This Row],[Date]])&gt;=4,1,0)</f>
        <v>2025</v>
      </c>
      <c r="D519" s="102">
        <f>YEAR(GC[[#This Row],[Date]])</f>
        <v>2025</v>
      </c>
      <c r="E519" s="101" t="s">
        <v>73</v>
      </c>
      <c r="F519" s="101" t="s">
        <v>73</v>
      </c>
      <c r="G519" s="1" t="str">
        <f>TEXT(GC[[#This Row],[Date]],"mmm-yy")</f>
        <v>Feb-25</v>
      </c>
      <c r="H519" s="1">
        <f>DAY(EOMONTH(GC[[#This Row],[Month Year]],0))</f>
        <v>28</v>
      </c>
      <c r="I519" s="106"/>
      <c r="J519" s="116"/>
      <c r="K519" s="106"/>
      <c r="L519" s="106"/>
      <c r="M519" s="106"/>
      <c r="N519" s="106"/>
      <c r="O519" s="106"/>
      <c r="P519" s="106"/>
      <c r="Q519" s="106"/>
      <c r="R519" s="106"/>
      <c r="S519" s="1">
        <f>SUM(GC[[#This Row],[Blk1]:[Blk8]])</f>
        <v>0</v>
      </c>
      <c r="T519" s="106" t="str">
        <f>PROPER(GC[[#This Row],[Resources]])</f>
        <v/>
      </c>
      <c r="U519" s="106"/>
    </row>
    <row r="520" spans="1:21" x14ac:dyDescent="0.25">
      <c r="A520" s="122">
        <v>518</v>
      </c>
      <c r="B520" s="103">
        <f t="shared" si="11"/>
        <v>45717</v>
      </c>
      <c r="C520" s="126">
        <f>YEAR(GC[[#This Row],[Date]])+IF(MONTH(GC[[#This Row],[Date]])&gt;=4,1,0)</f>
        <v>2025</v>
      </c>
      <c r="D520" s="102">
        <f>YEAR(GC[[#This Row],[Date]])</f>
        <v>2025</v>
      </c>
      <c r="E520" s="101" t="s">
        <v>73</v>
      </c>
      <c r="F520" s="101" t="s">
        <v>73</v>
      </c>
      <c r="G520" s="1" t="str">
        <f>TEXT(GC[[#This Row],[Date]],"mmm-yy")</f>
        <v>Mar-25</v>
      </c>
      <c r="H520" s="1">
        <f>DAY(EOMONTH(GC[[#This Row],[Month Year]],0))</f>
        <v>31</v>
      </c>
      <c r="I520" s="106"/>
      <c r="J520" s="116"/>
      <c r="K520" s="106"/>
      <c r="L520" s="106"/>
      <c r="M520" s="106"/>
      <c r="N520" s="106"/>
      <c r="O520" s="106"/>
      <c r="P520" s="106"/>
      <c r="Q520" s="106"/>
      <c r="R520" s="106"/>
      <c r="S520" s="1">
        <f>SUM(GC[[#This Row],[Blk1]:[Blk8]])</f>
        <v>0</v>
      </c>
      <c r="T520" s="106" t="str">
        <f>PROPER(GC[[#This Row],[Resources]])</f>
        <v/>
      </c>
      <c r="U520" s="106"/>
    </row>
    <row r="521" spans="1:21" x14ac:dyDescent="0.25">
      <c r="A521" s="122">
        <v>519</v>
      </c>
      <c r="B521" s="103">
        <f t="shared" si="11"/>
        <v>45718</v>
      </c>
      <c r="C521" s="126">
        <f>YEAR(GC[[#This Row],[Date]])+IF(MONTH(GC[[#This Row],[Date]])&gt;=4,1,0)</f>
        <v>2025</v>
      </c>
      <c r="D521" s="102">
        <f>YEAR(GC[[#This Row],[Date]])</f>
        <v>2025</v>
      </c>
      <c r="E521" s="101" t="s">
        <v>73</v>
      </c>
      <c r="F521" s="101" t="s">
        <v>73</v>
      </c>
      <c r="G521" s="1" t="str">
        <f>TEXT(GC[[#This Row],[Date]],"mmm-yy")</f>
        <v>Mar-25</v>
      </c>
      <c r="H521" s="1">
        <f>DAY(EOMONTH(GC[[#This Row],[Month Year]],0))</f>
        <v>31</v>
      </c>
      <c r="I521" s="106"/>
      <c r="J521" s="116"/>
      <c r="K521" s="106"/>
      <c r="L521" s="106"/>
      <c r="M521" s="106"/>
      <c r="N521" s="106"/>
      <c r="O521" s="106"/>
      <c r="P521" s="106"/>
      <c r="Q521" s="106"/>
      <c r="R521" s="106"/>
      <c r="S521" s="1">
        <f>SUM(GC[[#This Row],[Blk1]:[Blk8]])</f>
        <v>0</v>
      </c>
      <c r="T521" s="106" t="str">
        <f>PROPER(GC[[#This Row],[Resources]])</f>
        <v/>
      </c>
      <c r="U521" s="106"/>
    </row>
    <row r="522" spans="1:21" x14ac:dyDescent="0.25">
      <c r="A522" s="122">
        <v>520</v>
      </c>
      <c r="B522" s="103">
        <f t="shared" si="11"/>
        <v>45719</v>
      </c>
      <c r="C522" s="126">
        <f>YEAR(GC[[#This Row],[Date]])+IF(MONTH(GC[[#This Row],[Date]])&gt;=4,1,0)</f>
        <v>2025</v>
      </c>
      <c r="D522" s="102">
        <f>YEAR(GC[[#This Row],[Date]])</f>
        <v>2025</v>
      </c>
      <c r="E522" s="101" t="s">
        <v>73</v>
      </c>
      <c r="F522" s="101" t="s">
        <v>73</v>
      </c>
      <c r="G522" s="1" t="str">
        <f>TEXT(GC[[#This Row],[Date]],"mmm-yy")</f>
        <v>Mar-25</v>
      </c>
      <c r="H522" s="1">
        <f>DAY(EOMONTH(GC[[#This Row],[Month Year]],0))</f>
        <v>31</v>
      </c>
      <c r="I522" s="106"/>
      <c r="J522" s="116"/>
      <c r="K522" s="106"/>
      <c r="L522" s="106"/>
      <c r="M522" s="106"/>
      <c r="N522" s="106"/>
      <c r="O522" s="106"/>
      <c r="P522" s="106"/>
      <c r="Q522" s="106"/>
      <c r="R522" s="106"/>
      <c r="S522" s="1">
        <f>SUM(GC[[#This Row],[Blk1]:[Blk8]])</f>
        <v>0</v>
      </c>
      <c r="T522" s="106" t="str">
        <f>PROPER(GC[[#This Row],[Resources]])</f>
        <v/>
      </c>
      <c r="U522" s="106"/>
    </row>
    <row r="523" spans="1:21" x14ac:dyDescent="0.25">
      <c r="A523" s="122">
        <v>521</v>
      </c>
      <c r="B523" s="103">
        <f t="shared" si="11"/>
        <v>45720</v>
      </c>
      <c r="C523" s="126">
        <f>YEAR(GC[[#This Row],[Date]])+IF(MONTH(GC[[#This Row],[Date]])&gt;=4,1,0)</f>
        <v>2025</v>
      </c>
      <c r="D523" s="102">
        <f>YEAR(GC[[#This Row],[Date]])</f>
        <v>2025</v>
      </c>
      <c r="E523" s="101" t="s">
        <v>73</v>
      </c>
      <c r="F523" s="101" t="s">
        <v>73</v>
      </c>
      <c r="G523" s="1" t="str">
        <f>TEXT(GC[[#This Row],[Date]],"mmm-yy")</f>
        <v>Mar-25</v>
      </c>
      <c r="H523" s="1">
        <f>DAY(EOMONTH(GC[[#This Row],[Month Year]],0))</f>
        <v>31</v>
      </c>
      <c r="I523" s="106"/>
      <c r="J523" s="116"/>
      <c r="K523" s="106"/>
      <c r="L523" s="106"/>
      <c r="M523" s="106"/>
      <c r="N523" s="106"/>
      <c r="O523" s="106"/>
      <c r="P523" s="106"/>
      <c r="Q523" s="106"/>
      <c r="R523" s="106"/>
      <c r="S523" s="1">
        <f>SUM(GC[[#This Row],[Blk1]:[Blk8]])</f>
        <v>0</v>
      </c>
      <c r="T523" s="106" t="str">
        <f>PROPER(GC[[#This Row],[Resources]])</f>
        <v/>
      </c>
      <c r="U523" s="106"/>
    </row>
    <row r="524" spans="1:21" x14ac:dyDescent="0.25">
      <c r="A524" s="122">
        <v>522</v>
      </c>
      <c r="B524" s="103">
        <f t="shared" si="11"/>
        <v>45721</v>
      </c>
      <c r="C524" s="126">
        <f>YEAR(GC[[#This Row],[Date]])+IF(MONTH(GC[[#This Row],[Date]])&gt;=4,1,0)</f>
        <v>2025</v>
      </c>
      <c r="D524" s="102">
        <f>YEAR(GC[[#This Row],[Date]])</f>
        <v>2025</v>
      </c>
      <c r="E524" s="101" t="s">
        <v>73</v>
      </c>
      <c r="F524" s="101" t="s">
        <v>73</v>
      </c>
      <c r="G524" s="1" t="str">
        <f>TEXT(GC[[#This Row],[Date]],"mmm-yy")</f>
        <v>Mar-25</v>
      </c>
      <c r="H524" s="1">
        <f>DAY(EOMONTH(GC[[#This Row],[Month Year]],0))</f>
        <v>31</v>
      </c>
      <c r="I524" s="106"/>
      <c r="J524" s="116"/>
      <c r="K524" s="106"/>
      <c r="L524" s="106"/>
      <c r="M524" s="106"/>
      <c r="N524" s="106"/>
      <c r="O524" s="106"/>
      <c r="P524" s="106"/>
      <c r="Q524" s="106"/>
      <c r="R524" s="106"/>
      <c r="S524" s="1">
        <f>SUM(GC[[#This Row],[Blk1]:[Blk8]])</f>
        <v>0</v>
      </c>
      <c r="T524" s="106" t="str">
        <f>PROPER(GC[[#This Row],[Resources]])</f>
        <v/>
      </c>
      <c r="U524" s="106"/>
    </row>
    <row r="525" spans="1:21" x14ac:dyDescent="0.25">
      <c r="A525" s="122">
        <v>523</v>
      </c>
      <c r="B525" s="103">
        <f t="shared" si="11"/>
        <v>45722</v>
      </c>
      <c r="C525" s="126">
        <f>YEAR(GC[[#This Row],[Date]])+IF(MONTH(GC[[#This Row],[Date]])&gt;=4,1,0)</f>
        <v>2025</v>
      </c>
      <c r="D525" s="102">
        <f>YEAR(GC[[#This Row],[Date]])</f>
        <v>2025</v>
      </c>
      <c r="E525" s="101" t="s">
        <v>73</v>
      </c>
      <c r="F525" s="101" t="s">
        <v>73</v>
      </c>
      <c r="G525" s="1" t="str">
        <f>TEXT(GC[[#This Row],[Date]],"mmm-yy")</f>
        <v>Mar-25</v>
      </c>
      <c r="H525" s="1">
        <f>DAY(EOMONTH(GC[[#This Row],[Month Year]],0))</f>
        <v>31</v>
      </c>
      <c r="I525" s="106"/>
      <c r="J525" s="116"/>
      <c r="K525" s="106"/>
      <c r="L525" s="106"/>
      <c r="M525" s="106"/>
      <c r="N525" s="106"/>
      <c r="O525" s="106"/>
      <c r="P525" s="106"/>
      <c r="Q525" s="106"/>
      <c r="R525" s="106"/>
      <c r="S525" s="1">
        <f>SUM(GC[[#This Row],[Blk1]:[Blk8]])</f>
        <v>0</v>
      </c>
      <c r="T525" s="106" t="str">
        <f>PROPER(GC[[#This Row],[Resources]])</f>
        <v/>
      </c>
      <c r="U525" s="106"/>
    </row>
    <row r="526" spans="1:21" x14ac:dyDescent="0.25">
      <c r="A526" s="106">
        <v>524</v>
      </c>
      <c r="B526" s="103">
        <f t="shared" si="11"/>
        <v>45723</v>
      </c>
      <c r="C526" s="126">
        <f>YEAR(GC[[#This Row],[Date]])+IF(MONTH(GC[[#This Row],[Date]])&gt;=4,1,0)</f>
        <v>2025</v>
      </c>
      <c r="D526" s="102">
        <f>YEAR(GC[[#This Row],[Date]])</f>
        <v>2025</v>
      </c>
      <c r="E526" s="101" t="s">
        <v>73</v>
      </c>
      <c r="F526" s="101" t="s">
        <v>73</v>
      </c>
      <c r="G526" s="1" t="str">
        <f>TEXT(GC[[#This Row],[Date]],"mmm-yy")</f>
        <v>Mar-25</v>
      </c>
      <c r="H526" s="1">
        <f>DAY(EOMONTH(GC[[#This Row],[Month Year]],0))</f>
        <v>31</v>
      </c>
      <c r="I526" s="106"/>
      <c r="J526" s="116"/>
      <c r="K526" s="106"/>
      <c r="L526" s="106"/>
      <c r="M526" s="106"/>
      <c r="N526" s="106"/>
      <c r="O526" s="106"/>
      <c r="P526" s="106"/>
      <c r="Q526" s="106"/>
      <c r="R526" s="106"/>
      <c r="S526" s="1">
        <f>SUM(GC[[#This Row],[Blk1]:[Blk8]])</f>
        <v>0</v>
      </c>
      <c r="T526" s="106" t="str">
        <f>PROPER(GC[[#This Row],[Resources]])</f>
        <v/>
      </c>
      <c r="U526" s="106"/>
    </row>
    <row r="527" spans="1:21" x14ac:dyDescent="0.25">
      <c r="A527" s="122">
        <v>525</v>
      </c>
      <c r="B527" s="103">
        <f t="shared" si="11"/>
        <v>45724</v>
      </c>
      <c r="C527" s="126">
        <f>YEAR(GC[[#This Row],[Date]])+IF(MONTH(GC[[#This Row],[Date]])&gt;=4,1,0)</f>
        <v>2025</v>
      </c>
      <c r="D527" s="102">
        <f>YEAR(GC[[#This Row],[Date]])</f>
        <v>2025</v>
      </c>
      <c r="E527" s="101" t="s">
        <v>73</v>
      </c>
      <c r="F527" s="101" t="s">
        <v>73</v>
      </c>
      <c r="G527" s="1" t="str">
        <f>TEXT(GC[[#This Row],[Date]],"mmm-yy")</f>
        <v>Mar-25</v>
      </c>
      <c r="H527" s="1">
        <f>DAY(EOMONTH(GC[[#This Row],[Month Year]],0))</f>
        <v>31</v>
      </c>
      <c r="I527" s="106"/>
      <c r="J527" s="116"/>
      <c r="K527" s="106"/>
      <c r="L527" s="106"/>
      <c r="M527" s="106"/>
      <c r="N527" s="106"/>
      <c r="O527" s="106"/>
      <c r="P527" s="106"/>
      <c r="Q527" s="106"/>
      <c r="R527" s="106"/>
      <c r="S527" s="1">
        <f>SUM(GC[[#This Row],[Blk1]:[Blk8]])</f>
        <v>0</v>
      </c>
      <c r="T527" s="106" t="str">
        <f>PROPER(GC[[#This Row],[Resources]])</f>
        <v/>
      </c>
      <c r="U527" s="106"/>
    </row>
    <row r="528" spans="1:21" x14ac:dyDescent="0.25">
      <c r="A528" s="122">
        <v>527</v>
      </c>
      <c r="B528" s="103">
        <f t="shared" si="11"/>
        <v>45725</v>
      </c>
      <c r="C528" s="126">
        <f>YEAR(GC[[#This Row],[Date]])+IF(MONTH(GC[[#This Row],[Date]])&gt;=4,1,0)</f>
        <v>2025</v>
      </c>
      <c r="D528" s="102">
        <f>YEAR(GC[[#This Row],[Date]])</f>
        <v>2025</v>
      </c>
      <c r="E528" s="101" t="s">
        <v>73</v>
      </c>
      <c r="F528" s="101" t="s">
        <v>73</v>
      </c>
      <c r="G528" s="1" t="str">
        <f>TEXT(GC[[#This Row],[Date]],"mmm-yy")</f>
        <v>Mar-25</v>
      </c>
      <c r="H528" s="1">
        <f>DAY(EOMONTH(GC[[#This Row],[Month Year]],0))</f>
        <v>31</v>
      </c>
      <c r="I528" s="106"/>
      <c r="J528" s="116"/>
      <c r="K528" s="106"/>
      <c r="L528" s="106"/>
      <c r="M528" s="106"/>
      <c r="N528" s="106"/>
      <c r="O528" s="106"/>
      <c r="P528" s="106"/>
      <c r="Q528" s="106"/>
      <c r="R528" s="106"/>
      <c r="S528" s="1">
        <f>SUM(GC[[#This Row],[Blk1]:[Blk8]])</f>
        <v>0</v>
      </c>
      <c r="T528" s="106" t="str">
        <f>PROPER(GC[[#This Row],[Resources]])</f>
        <v/>
      </c>
      <c r="U528" s="106"/>
    </row>
    <row r="529" spans="1:21" x14ac:dyDescent="0.25">
      <c r="A529" s="106">
        <v>528</v>
      </c>
      <c r="B529" s="103">
        <f t="shared" si="11"/>
        <v>45726</v>
      </c>
      <c r="C529" s="126">
        <f>YEAR(GC[[#This Row],[Date]])+IF(MONTH(GC[[#This Row],[Date]])&gt;=4,1,0)</f>
        <v>2025</v>
      </c>
      <c r="D529" s="102">
        <f>YEAR(GC[[#This Row],[Date]])</f>
        <v>2025</v>
      </c>
      <c r="E529" s="101" t="s">
        <v>73</v>
      </c>
      <c r="F529" s="101" t="s">
        <v>73</v>
      </c>
      <c r="G529" s="1" t="str">
        <f>TEXT(GC[[#This Row],[Date]],"mmm-yy")</f>
        <v>Mar-25</v>
      </c>
      <c r="H529" s="1">
        <f>DAY(EOMONTH(GC[[#This Row],[Month Year]],0))</f>
        <v>31</v>
      </c>
      <c r="I529" s="106"/>
      <c r="J529" s="116"/>
      <c r="K529" s="106"/>
      <c r="L529" s="106"/>
      <c r="M529" s="106"/>
      <c r="N529" s="106"/>
      <c r="O529" s="106"/>
      <c r="P529" s="106"/>
      <c r="Q529" s="106"/>
      <c r="R529" s="106"/>
      <c r="S529" s="1">
        <f>SUM(GC[[#This Row],[Blk1]:[Blk8]])</f>
        <v>0</v>
      </c>
      <c r="T529" s="106" t="str">
        <f>PROPER(GC[[#This Row],[Resources]])</f>
        <v/>
      </c>
      <c r="U529" s="106"/>
    </row>
    <row r="530" spans="1:21" x14ac:dyDescent="0.25">
      <c r="A530" s="106">
        <v>529</v>
      </c>
      <c r="B530" s="103">
        <f t="shared" si="11"/>
        <v>45727</v>
      </c>
      <c r="C530" s="126">
        <f>YEAR(GC[[#This Row],[Date]])+IF(MONTH(GC[[#This Row],[Date]])&gt;=4,1,0)</f>
        <v>2025</v>
      </c>
      <c r="D530" s="102">
        <f>YEAR(GC[[#This Row],[Date]])</f>
        <v>2025</v>
      </c>
      <c r="E530" s="101" t="s">
        <v>73</v>
      </c>
      <c r="F530" s="101" t="s">
        <v>73</v>
      </c>
      <c r="G530" s="1" t="str">
        <f>TEXT(GC[[#This Row],[Date]],"mmm-yy")</f>
        <v>Mar-25</v>
      </c>
      <c r="H530" s="1">
        <f>DAY(EOMONTH(GC[[#This Row],[Month Year]],0))</f>
        <v>31</v>
      </c>
      <c r="I530" s="106"/>
      <c r="J530" s="116"/>
      <c r="K530" s="106"/>
      <c r="L530" s="106"/>
      <c r="M530" s="106"/>
      <c r="N530" s="106"/>
      <c r="O530" s="106"/>
      <c r="P530" s="106"/>
      <c r="Q530" s="106"/>
      <c r="R530" s="106"/>
      <c r="S530" s="1">
        <f>SUM(GC[[#This Row],[Blk1]:[Blk8]])</f>
        <v>0</v>
      </c>
      <c r="T530" s="106" t="str">
        <f>PROPER(GC[[#This Row],[Resources]])</f>
        <v/>
      </c>
      <c r="U530" s="106"/>
    </row>
    <row r="531" spans="1:21" x14ac:dyDescent="0.25">
      <c r="A531" s="122">
        <v>530</v>
      </c>
      <c r="B531" s="103">
        <f t="shared" si="11"/>
        <v>45728</v>
      </c>
      <c r="C531" s="169">
        <f>YEAR(GC[[#This Row],[Date]])+IF(MONTH(GC[[#This Row],[Date]])&gt;=4,1,0)</f>
        <v>2025</v>
      </c>
      <c r="D531" s="127">
        <f>YEAR(GC[[#This Row],[Date]])</f>
        <v>2025</v>
      </c>
      <c r="E531" s="101" t="s">
        <v>73</v>
      </c>
      <c r="F531" s="101" t="s">
        <v>73</v>
      </c>
      <c r="G531" s="1" t="str">
        <f>TEXT(GC[[#This Row],[Date]],"mmm-yy")</f>
        <v>Mar-25</v>
      </c>
      <c r="H531" s="1">
        <f>DAY(EOMONTH(GC[[#This Row],[Month Year]],0))</f>
        <v>31</v>
      </c>
      <c r="I531" s="106"/>
      <c r="J531" s="116"/>
      <c r="K531" s="122"/>
      <c r="L531" s="122"/>
      <c r="M531" s="122"/>
      <c r="N531" s="122"/>
      <c r="O531" s="122"/>
      <c r="P531" s="122"/>
      <c r="Q531" s="122"/>
      <c r="R531" s="122"/>
      <c r="S531" s="1">
        <f>SUM(GC[[#This Row],[Blk1]:[Blk8]])</f>
        <v>0</v>
      </c>
      <c r="T531" s="122" t="str">
        <f>PROPER(GC[[#This Row],[Resources]])</f>
        <v/>
      </c>
      <c r="U531" s="122"/>
    </row>
    <row r="532" spans="1:21" x14ac:dyDescent="0.25">
      <c r="A532" s="122">
        <v>531</v>
      </c>
      <c r="B532" s="103">
        <f t="shared" si="11"/>
        <v>45729</v>
      </c>
      <c r="C532" s="126">
        <f>YEAR(GC[[#This Row],[Date]])+IF(MONTH(GC[[#This Row],[Date]])&gt;=4,1,0)</f>
        <v>2025</v>
      </c>
      <c r="D532" s="102">
        <f>YEAR(GC[[#This Row],[Date]])</f>
        <v>2025</v>
      </c>
      <c r="E532" s="101" t="s">
        <v>73</v>
      </c>
      <c r="F532" s="101" t="s">
        <v>73</v>
      </c>
      <c r="G532" s="1" t="str">
        <f>TEXT(GC[[#This Row],[Date]],"mmm-yy")</f>
        <v>Mar-25</v>
      </c>
      <c r="H532" s="1">
        <f>DAY(EOMONTH(GC[[#This Row],[Month Year]],0))</f>
        <v>31</v>
      </c>
      <c r="I532" s="106"/>
      <c r="J532" s="116"/>
      <c r="K532" s="106"/>
      <c r="L532" s="106"/>
      <c r="M532" s="106"/>
      <c r="N532" s="106"/>
      <c r="O532" s="106"/>
      <c r="P532" s="106"/>
      <c r="Q532" s="106"/>
      <c r="R532" s="106"/>
      <c r="S532" s="1">
        <f>SUM(GC[[#This Row],[Blk1]:[Blk8]])</f>
        <v>0</v>
      </c>
      <c r="T532" s="106" t="str">
        <f>PROPER(GC[[#This Row],[Resources]])</f>
        <v/>
      </c>
      <c r="U532" s="106"/>
    </row>
    <row r="533" spans="1:21" x14ac:dyDescent="0.25">
      <c r="A533" s="106">
        <v>532</v>
      </c>
      <c r="B533" s="103">
        <f t="shared" si="11"/>
        <v>45730</v>
      </c>
      <c r="C533" s="126">
        <f>YEAR(GC[[#This Row],[Date]])+IF(MONTH(GC[[#This Row],[Date]])&gt;=4,1,0)</f>
        <v>2025</v>
      </c>
      <c r="D533" s="102">
        <f>YEAR(GC[[#This Row],[Date]])</f>
        <v>2025</v>
      </c>
      <c r="E533" s="101" t="s">
        <v>73</v>
      </c>
      <c r="F533" s="101" t="s">
        <v>73</v>
      </c>
      <c r="G533" s="1" t="str">
        <f>TEXT(GC[[#This Row],[Date]],"mmm-yy")</f>
        <v>Mar-25</v>
      </c>
      <c r="H533" s="1">
        <f>DAY(EOMONTH(GC[[#This Row],[Month Year]],0))</f>
        <v>31</v>
      </c>
      <c r="I533" s="106"/>
      <c r="J533" s="116"/>
      <c r="K533" s="106"/>
      <c r="L533" s="106"/>
      <c r="M533" s="106"/>
      <c r="N533" s="106"/>
      <c r="O533" s="106"/>
      <c r="P533" s="106"/>
      <c r="Q533" s="106"/>
      <c r="R533" s="106"/>
      <c r="S533" s="1">
        <f>SUM(GC[[#This Row],[Blk1]:[Blk8]])</f>
        <v>0</v>
      </c>
      <c r="T533" s="106" t="str">
        <f>PROPER(GC[[#This Row],[Resources]])</f>
        <v/>
      </c>
      <c r="U533" s="106"/>
    </row>
    <row r="534" spans="1:21" x14ac:dyDescent="0.25">
      <c r="A534" s="106">
        <v>533</v>
      </c>
      <c r="B534" s="103">
        <f t="shared" si="11"/>
        <v>45731</v>
      </c>
      <c r="C534" s="126">
        <f>YEAR(GC[[#This Row],[Date]])+IF(MONTH(GC[[#This Row],[Date]])&gt;=4,1,0)</f>
        <v>2025</v>
      </c>
      <c r="D534" s="102">
        <f>YEAR(GC[[#This Row],[Date]])</f>
        <v>2025</v>
      </c>
      <c r="E534" s="101" t="s">
        <v>73</v>
      </c>
      <c r="F534" s="101" t="s">
        <v>73</v>
      </c>
      <c r="G534" s="1" t="str">
        <f>TEXT(GC[[#This Row],[Date]],"mmm-yy")</f>
        <v>Mar-25</v>
      </c>
      <c r="H534" s="1">
        <f>DAY(EOMONTH(GC[[#This Row],[Month Year]],0))</f>
        <v>31</v>
      </c>
      <c r="I534" s="106"/>
      <c r="J534" s="116"/>
      <c r="K534" s="106"/>
      <c r="L534" s="106"/>
      <c r="M534" s="106"/>
      <c r="N534" s="106"/>
      <c r="O534" s="106"/>
      <c r="P534" s="106"/>
      <c r="Q534" s="106"/>
      <c r="R534" s="106"/>
      <c r="S534" s="1">
        <f>SUM(GC[[#This Row],[Blk1]:[Blk8]])</f>
        <v>0</v>
      </c>
      <c r="T534" s="106" t="str">
        <f>PROPER(GC[[#This Row],[Resources]])</f>
        <v/>
      </c>
      <c r="U534" s="106"/>
    </row>
    <row r="535" spans="1:21" x14ac:dyDescent="0.25">
      <c r="A535" s="106">
        <v>534</v>
      </c>
      <c r="B535" s="103">
        <f t="shared" si="11"/>
        <v>45732</v>
      </c>
      <c r="C535" s="126">
        <f>YEAR(GC[[#This Row],[Date]])+IF(MONTH(GC[[#This Row],[Date]])&gt;=4,1,0)</f>
        <v>2025</v>
      </c>
      <c r="D535" s="102">
        <f>YEAR(GC[[#This Row],[Date]])</f>
        <v>2025</v>
      </c>
      <c r="E535" s="101" t="s">
        <v>73</v>
      </c>
      <c r="F535" s="101" t="s">
        <v>73</v>
      </c>
      <c r="G535" s="1" t="str">
        <f>TEXT(GC[[#This Row],[Date]],"mmm-yy")</f>
        <v>Mar-25</v>
      </c>
      <c r="H535" s="1">
        <f>DAY(EOMONTH(GC[[#This Row],[Month Year]],0))</f>
        <v>31</v>
      </c>
      <c r="I535" s="106"/>
      <c r="J535" s="116"/>
      <c r="K535" s="106"/>
      <c r="L535" s="106"/>
      <c r="M535" s="106"/>
      <c r="N535" s="106"/>
      <c r="O535" s="106"/>
      <c r="P535" s="106"/>
      <c r="Q535" s="106"/>
      <c r="R535" s="106"/>
      <c r="S535" s="1">
        <f>SUM(GC[[#This Row],[Blk1]:[Blk8]])</f>
        <v>0</v>
      </c>
      <c r="T535" s="106" t="str">
        <f>PROPER(GC[[#This Row],[Resources]])</f>
        <v/>
      </c>
      <c r="U535" s="106"/>
    </row>
    <row r="536" spans="1:21" x14ac:dyDescent="0.25">
      <c r="A536" s="106">
        <v>535</v>
      </c>
      <c r="B536" s="168">
        <f t="shared" si="11"/>
        <v>45733</v>
      </c>
      <c r="C536" s="126">
        <f>YEAR(GC[[#This Row],[Date]])+IF(MONTH(GC[[#This Row],[Date]])&gt;=4,1,0)</f>
        <v>2025</v>
      </c>
      <c r="D536" s="102">
        <f>YEAR(GC[[#This Row],[Date]])</f>
        <v>2025</v>
      </c>
      <c r="E536" s="101" t="s">
        <v>73</v>
      </c>
      <c r="F536" s="101" t="s">
        <v>73</v>
      </c>
      <c r="G536" s="1" t="str">
        <f>TEXT(GC[[#This Row],[Date]],"mmm-yy")</f>
        <v>Mar-25</v>
      </c>
      <c r="H536" s="1">
        <f>DAY(EOMONTH(GC[[#This Row],[Month Year]],0))</f>
        <v>31</v>
      </c>
      <c r="I536" s="106"/>
      <c r="J536" s="116"/>
      <c r="K536" s="106"/>
      <c r="L536" s="106"/>
      <c r="M536" s="106"/>
      <c r="N536" s="106"/>
      <c r="O536" s="106"/>
      <c r="P536" s="106"/>
      <c r="Q536" s="106"/>
      <c r="R536" s="106"/>
      <c r="S536" s="1">
        <f>SUM(GC[[#This Row],[Blk1]:[Blk8]])</f>
        <v>0</v>
      </c>
      <c r="T536" s="106" t="str">
        <f>PROPER(GC[[#This Row],[Resources]])</f>
        <v/>
      </c>
      <c r="U536" s="106"/>
    </row>
    <row r="537" spans="1:21" x14ac:dyDescent="0.25">
      <c r="A537" s="106">
        <v>536</v>
      </c>
      <c r="B537" s="168">
        <f t="shared" si="11"/>
        <v>45734</v>
      </c>
      <c r="C537" s="126">
        <f>YEAR(GC[[#This Row],[Date]])+IF(MONTH(GC[[#This Row],[Date]])&gt;=4,1,0)</f>
        <v>2025</v>
      </c>
      <c r="D537" s="102">
        <f>YEAR(GC[[#This Row],[Date]])</f>
        <v>2025</v>
      </c>
      <c r="E537" s="101" t="s">
        <v>73</v>
      </c>
      <c r="F537" s="101" t="s">
        <v>73</v>
      </c>
      <c r="G537" s="1" t="str">
        <f>TEXT(GC[[#This Row],[Date]],"mmm-yy")</f>
        <v>Mar-25</v>
      </c>
      <c r="H537" s="1">
        <f>DAY(EOMONTH(GC[[#This Row],[Month Year]],0))</f>
        <v>31</v>
      </c>
      <c r="I537" s="106"/>
      <c r="J537" s="116"/>
      <c r="K537" s="106"/>
      <c r="L537" s="106"/>
      <c r="M537" s="106"/>
      <c r="N537" s="106"/>
      <c r="O537" s="106"/>
      <c r="P537" s="106"/>
      <c r="Q537" s="106"/>
      <c r="R537" s="106"/>
      <c r="S537" s="1">
        <f>SUM(GC[[#This Row],[Blk1]:[Blk8]])</f>
        <v>0</v>
      </c>
      <c r="T537" s="106" t="str">
        <f>PROPER(GC[[#This Row],[Resources]])</f>
        <v/>
      </c>
      <c r="U537" s="106"/>
    </row>
    <row r="538" spans="1:21" x14ac:dyDescent="0.25">
      <c r="A538" s="106">
        <v>537</v>
      </c>
      <c r="B538" s="168">
        <f t="shared" si="11"/>
        <v>45735</v>
      </c>
      <c r="C538" s="126">
        <f>YEAR(GC[[#This Row],[Date]])+IF(MONTH(GC[[#This Row],[Date]])&gt;=4,1,0)</f>
        <v>2025</v>
      </c>
      <c r="D538" s="102">
        <f>YEAR(GC[[#This Row],[Date]])</f>
        <v>2025</v>
      </c>
      <c r="E538" s="101" t="s">
        <v>73</v>
      </c>
      <c r="F538" s="101" t="s">
        <v>73</v>
      </c>
      <c r="G538" s="1" t="str">
        <f>TEXT(GC[[#This Row],[Date]],"mmm-yy")</f>
        <v>Mar-25</v>
      </c>
      <c r="H538" s="1">
        <f>DAY(EOMONTH(GC[[#This Row],[Month Year]],0))</f>
        <v>31</v>
      </c>
      <c r="I538" s="106"/>
      <c r="J538" s="116"/>
      <c r="K538" s="106"/>
      <c r="L538" s="106"/>
      <c r="M538" s="106"/>
      <c r="N538" s="106"/>
      <c r="O538" s="106"/>
      <c r="P538" s="106"/>
      <c r="Q538" s="106"/>
      <c r="R538" s="106"/>
      <c r="S538" s="1">
        <f>SUM(GC[[#This Row],[Blk1]:[Blk8]])</f>
        <v>0</v>
      </c>
      <c r="T538" s="106" t="str">
        <f>PROPER(GC[[#This Row],[Resources]])</f>
        <v/>
      </c>
      <c r="U538" s="106"/>
    </row>
    <row r="539" spans="1:21" x14ac:dyDescent="0.25">
      <c r="A539" s="106">
        <v>538</v>
      </c>
      <c r="B539" s="168">
        <f t="shared" si="11"/>
        <v>45736</v>
      </c>
      <c r="C539" s="126">
        <f>YEAR(GC[[#This Row],[Date]])+IF(MONTH(GC[[#This Row],[Date]])&gt;=4,1,0)</f>
        <v>2025</v>
      </c>
      <c r="D539" s="102">
        <f>YEAR(GC[[#This Row],[Date]])</f>
        <v>2025</v>
      </c>
      <c r="E539" s="101" t="s">
        <v>73</v>
      </c>
      <c r="F539" s="101" t="s">
        <v>73</v>
      </c>
      <c r="G539" s="1" t="str">
        <f>TEXT(GC[[#This Row],[Date]],"mmm-yy")</f>
        <v>Mar-25</v>
      </c>
      <c r="H539" s="1">
        <f>DAY(EOMONTH(GC[[#This Row],[Month Year]],0))</f>
        <v>31</v>
      </c>
      <c r="I539" s="106"/>
      <c r="J539" s="116"/>
      <c r="K539" s="106"/>
      <c r="L539" s="106"/>
      <c r="M539" s="106"/>
      <c r="N539" s="106"/>
      <c r="O539" s="106"/>
      <c r="P539" s="106"/>
      <c r="Q539" s="106"/>
      <c r="R539" s="106"/>
      <c r="S539" s="1">
        <f>SUM(GC[[#This Row],[Blk1]:[Blk8]])</f>
        <v>0</v>
      </c>
      <c r="T539" s="106" t="str">
        <f>PROPER(GC[[#This Row],[Resources]])</f>
        <v/>
      </c>
      <c r="U539" s="106"/>
    </row>
    <row r="540" spans="1:21" x14ac:dyDescent="0.25">
      <c r="A540" s="106">
        <v>539</v>
      </c>
      <c r="B540" s="168">
        <f t="shared" si="11"/>
        <v>45737</v>
      </c>
      <c r="C540" s="126">
        <f>YEAR(GC[[#This Row],[Date]])+IF(MONTH(GC[[#This Row],[Date]])&gt;=4,1,0)</f>
        <v>2025</v>
      </c>
      <c r="D540" s="102">
        <f>YEAR(GC[[#This Row],[Date]])</f>
        <v>2025</v>
      </c>
      <c r="E540" s="101" t="s">
        <v>73</v>
      </c>
      <c r="F540" s="101" t="s">
        <v>73</v>
      </c>
      <c r="G540" s="1" t="str">
        <f>TEXT(GC[[#This Row],[Date]],"mmm-yy")</f>
        <v>Mar-25</v>
      </c>
      <c r="H540" s="1">
        <f>DAY(EOMONTH(GC[[#This Row],[Month Year]],0))</f>
        <v>31</v>
      </c>
      <c r="I540" s="106"/>
      <c r="J540" s="116"/>
      <c r="K540" s="106"/>
      <c r="L540" s="106"/>
      <c r="M540" s="106"/>
      <c r="N540" s="106"/>
      <c r="O540" s="106"/>
      <c r="P540" s="106"/>
      <c r="Q540" s="106"/>
      <c r="R540" s="106"/>
      <c r="S540" s="1">
        <f>SUM(GC[[#This Row],[Blk1]:[Blk8]])</f>
        <v>0</v>
      </c>
      <c r="T540" s="106" t="str">
        <f>PROPER(GC[[#This Row],[Resources]])</f>
        <v/>
      </c>
      <c r="U540" s="106"/>
    </row>
    <row r="541" spans="1:21" x14ac:dyDescent="0.25">
      <c r="A541" s="106">
        <v>540</v>
      </c>
      <c r="B541" s="168">
        <f t="shared" si="11"/>
        <v>45738</v>
      </c>
      <c r="C541" s="126">
        <f>YEAR(GC[[#This Row],[Date]])+IF(MONTH(GC[[#This Row],[Date]])&gt;=4,1,0)</f>
        <v>2025</v>
      </c>
      <c r="D541" s="102">
        <f>YEAR(GC[[#This Row],[Date]])</f>
        <v>2025</v>
      </c>
      <c r="E541" s="101" t="s">
        <v>73</v>
      </c>
      <c r="F541" s="101" t="s">
        <v>73</v>
      </c>
      <c r="G541" s="1" t="str">
        <f>TEXT(GC[[#This Row],[Date]],"mmm-yy")</f>
        <v>Mar-25</v>
      </c>
      <c r="H541" s="1">
        <f>DAY(EOMONTH(GC[[#This Row],[Month Year]],0))</f>
        <v>31</v>
      </c>
      <c r="I541" s="106"/>
      <c r="J541" s="116"/>
      <c r="K541" s="106"/>
      <c r="L541" s="106"/>
      <c r="M541" s="106"/>
      <c r="N541" s="106"/>
      <c r="O541" s="106"/>
      <c r="P541" s="106"/>
      <c r="Q541" s="106"/>
      <c r="R541" s="106"/>
      <c r="S541" s="1">
        <f>SUM(GC[[#This Row],[Blk1]:[Blk8]])</f>
        <v>0</v>
      </c>
      <c r="T541" s="106" t="str">
        <f>PROPER(GC[[#This Row],[Resources]])</f>
        <v/>
      </c>
      <c r="U541" s="106"/>
    </row>
    <row r="542" spans="1:21" x14ac:dyDescent="0.25">
      <c r="A542" s="106">
        <v>541</v>
      </c>
      <c r="B542" s="168">
        <f t="shared" si="11"/>
        <v>45739</v>
      </c>
      <c r="C542" s="126">
        <f>YEAR(GC[[#This Row],[Date]])+IF(MONTH(GC[[#This Row],[Date]])&gt;=4,1,0)</f>
        <v>2025</v>
      </c>
      <c r="D542" s="102">
        <f>YEAR(GC[[#This Row],[Date]])</f>
        <v>2025</v>
      </c>
      <c r="E542" s="101" t="s">
        <v>73</v>
      </c>
      <c r="F542" s="101" t="s">
        <v>73</v>
      </c>
      <c r="G542" s="1" t="str">
        <f>TEXT(GC[[#This Row],[Date]],"mmm-yy")</f>
        <v>Mar-25</v>
      </c>
      <c r="H542" s="1">
        <f>DAY(EOMONTH(GC[[#This Row],[Month Year]],0))</f>
        <v>31</v>
      </c>
      <c r="I542" s="106"/>
      <c r="J542" s="116"/>
      <c r="K542" s="106"/>
      <c r="L542" s="106"/>
      <c r="M542" s="106"/>
      <c r="N542" s="106"/>
      <c r="O542" s="106"/>
      <c r="P542" s="106"/>
      <c r="Q542" s="106"/>
      <c r="R542" s="106"/>
      <c r="S542" s="1">
        <f>SUM(GC[[#This Row],[Blk1]:[Blk8]])</f>
        <v>0</v>
      </c>
      <c r="T542" s="106" t="str">
        <f>PROPER(GC[[#This Row],[Resources]])</f>
        <v/>
      </c>
      <c r="U542" s="106"/>
    </row>
    <row r="543" spans="1:21" x14ac:dyDescent="0.25">
      <c r="A543" s="106">
        <v>542</v>
      </c>
      <c r="B543" s="168">
        <f t="shared" si="11"/>
        <v>45740</v>
      </c>
      <c r="C543" s="126">
        <f>YEAR(GC[[#This Row],[Date]])+IF(MONTH(GC[[#This Row],[Date]])&gt;=4,1,0)</f>
        <v>2025</v>
      </c>
      <c r="D543" s="102">
        <f>YEAR(GC[[#This Row],[Date]])</f>
        <v>2025</v>
      </c>
      <c r="E543" s="101" t="s">
        <v>73</v>
      </c>
      <c r="F543" s="101" t="s">
        <v>73</v>
      </c>
      <c r="G543" s="1" t="str">
        <f>TEXT(GC[[#This Row],[Date]],"mmm-yy")</f>
        <v>Mar-25</v>
      </c>
      <c r="H543" s="1">
        <f>DAY(EOMONTH(GC[[#This Row],[Month Year]],0))</f>
        <v>31</v>
      </c>
      <c r="I543" s="106"/>
      <c r="J543" s="106"/>
      <c r="K543" s="106"/>
      <c r="L543" s="106"/>
      <c r="M543" s="106"/>
      <c r="N543" s="106"/>
      <c r="O543" s="106"/>
      <c r="P543" s="106"/>
      <c r="Q543" s="106"/>
      <c r="R543" s="106"/>
      <c r="S543" s="1">
        <f>SUM(GC[[#This Row],[Blk1]:[Blk8]])</f>
        <v>0</v>
      </c>
      <c r="T543" s="106" t="str">
        <f>PROPER(GC[[#This Row],[Resources]])</f>
        <v/>
      </c>
      <c r="U543" s="106"/>
    </row>
    <row r="544" spans="1:21" x14ac:dyDescent="0.25">
      <c r="A544" s="106">
        <v>543</v>
      </c>
      <c r="B544" s="168">
        <f t="shared" si="11"/>
        <v>45741</v>
      </c>
      <c r="C544" s="126">
        <f>YEAR(GC[[#This Row],[Date]])+IF(MONTH(GC[[#This Row],[Date]])&gt;=4,1,0)</f>
        <v>2025</v>
      </c>
      <c r="D544" s="102">
        <f>YEAR(GC[[#This Row],[Date]])</f>
        <v>2025</v>
      </c>
      <c r="E544" s="101" t="s">
        <v>73</v>
      </c>
      <c r="F544" s="101" t="s">
        <v>73</v>
      </c>
      <c r="G544" s="1" t="str">
        <f>TEXT(GC[[#This Row],[Date]],"mmm-yy")</f>
        <v>Mar-25</v>
      </c>
      <c r="H544" s="1">
        <f>DAY(EOMONTH(GC[[#This Row],[Month Year]],0))</f>
        <v>31</v>
      </c>
      <c r="I544" s="106"/>
      <c r="J544" s="106"/>
      <c r="K544" s="106"/>
      <c r="L544" s="106"/>
      <c r="M544" s="106"/>
      <c r="N544" s="106"/>
      <c r="O544" s="106"/>
      <c r="P544" s="106"/>
      <c r="Q544" s="106"/>
      <c r="R544" s="106"/>
      <c r="S544" s="1">
        <f>SUM(GC[[#This Row],[Blk1]:[Blk8]])</f>
        <v>0</v>
      </c>
      <c r="T544" s="106" t="str">
        <f>PROPER(GC[[#This Row],[Resources]])</f>
        <v/>
      </c>
      <c r="U544" s="106"/>
    </row>
    <row r="545" spans="1:21" x14ac:dyDescent="0.25">
      <c r="A545" s="106">
        <v>544</v>
      </c>
      <c r="B545" s="168">
        <f t="shared" si="11"/>
        <v>45742</v>
      </c>
      <c r="C545" s="126">
        <f>YEAR(GC[[#This Row],[Date]])+IF(MONTH(GC[[#This Row],[Date]])&gt;=4,1,0)</f>
        <v>2025</v>
      </c>
      <c r="D545" s="102">
        <f>YEAR(GC[[#This Row],[Date]])</f>
        <v>2025</v>
      </c>
      <c r="E545" s="101" t="s">
        <v>73</v>
      </c>
      <c r="F545" s="101" t="s">
        <v>73</v>
      </c>
      <c r="G545" s="1" t="str">
        <f>TEXT(GC[[#This Row],[Date]],"mmm-yy")</f>
        <v>Mar-25</v>
      </c>
      <c r="H545" s="1">
        <f>DAY(EOMONTH(GC[[#This Row],[Month Year]],0))</f>
        <v>31</v>
      </c>
      <c r="I545" s="106"/>
      <c r="J545" s="106"/>
      <c r="K545" s="106"/>
      <c r="L545" s="106"/>
      <c r="M545" s="106"/>
      <c r="N545" s="106"/>
      <c r="O545" s="106"/>
      <c r="P545" s="106"/>
      <c r="Q545" s="106"/>
      <c r="R545" s="106"/>
      <c r="S545" s="1">
        <f>SUM(GC[[#This Row],[Blk1]:[Blk8]])</f>
        <v>0</v>
      </c>
      <c r="T545" s="106" t="str">
        <f>PROPER(GC[[#This Row],[Resources]])</f>
        <v/>
      </c>
      <c r="U545" s="106"/>
    </row>
    <row r="546" spans="1:21" x14ac:dyDescent="0.25">
      <c r="A546" s="106">
        <v>545</v>
      </c>
      <c r="B546" s="168">
        <f t="shared" si="11"/>
        <v>45743</v>
      </c>
      <c r="C546" s="126">
        <f>YEAR(GC[[#This Row],[Date]])+IF(MONTH(GC[[#This Row],[Date]])&gt;=4,1,0)</f>
        <v>2025</v>
      </c>
      <c r="D546" s="102">
        <f>YEAR(GC[[#This Row],[Date]])</f>
        <v>2025</v>
      </c>
      <c r="E546" s="101" t="s">
        <v>73</v>
      </c>
      <c r="F546" s="101" t="s">
        <v>73</v>
      </c>
      <c r="G546" s="1" t="str">
        <f>TEXT(GC[[#This Row],[Date]],"mmm-yy")</f>
        <v>Mar-25</v>
      </c>
      <c r="H546" s="1">
        <f>DAY(EOMONTH(GC[[#This Row],[Month Year]],0))</f>
        <v>31</v>
      </c>
      <c r="I546" s="106"/>
      <c r="J546" s="106"/>
      <c r="K546" s="106"/>
      <c r="L546" s="106"/>
      <c r="M546" s="106"/>
      <c r="N546" s="106"/>
      <c r="O546" s="106"/>
      <c r="P546" s="106"/>
      <c r="Q546" s="106"/>
      <c r="R546" s="106"/>
      <c r="S546" s="1">
        <f>SUM(GC[[#This Row],[Blk1]:[Blk8]])</f>
        <v>0</v>
      </c>
      <c r="T546" s="106" t="str">
        <f>PROPER(GC[[#This Row],[Resources]])</f>
        <v/>
      </c>
      <c r="U546" s="106"/>
    </row>
    <row r="547" spans="1:21" x14ac:dyDescent="0.25">
      <c r="A547" s="106">
        <v>546</v>
      </c>
      <c r="B547" s="168">
        <f t="shared" si="11"/>
        <v>45744</v>
      </c>
      <c r="C547" s="126">
        <f>YEAR(GC[[#This Row],[Date]])+IF(MONTH(GC[[#This Row],[Date]])&gt;=4,1,0)</f>
        <v>2025</v>
      </c>
      <c r="D547" s="102">
        <f>YEAR(GC[[#This Row],[Date]])</f>
        <v>2025</v>
      </c>
      <c r="E547" s="101" t="s">
        <v>73</v>
      </c>
      <c r="F547" s="101" t="s">
        <v>73</v>
      </c>
      <c r="G547" s="1" t="str">
        <f>TEXT(GC[[#This Row],[Date]],"mmm-yy")</f>
        <v>Mar-25</v>
      </c>
      <c r="H547" s="1">
        <f>DAY(EOMONTH(GC[[#This Row],[Month Year]],0))</f>
        <v>31</v>
      </c>
      <c r="I547" s="106"/>
      <c r="J547" s="106"/>
      <c r="K547" s="106"/>
      <c r="L547" s="106"/>
      <c r="M547" s="106"/>
      <c r="N547" s="106"/>
      <c r="O547" s="106"/>
      <c r="P547" s="106"/>
      <c r="Q547" s="106"/>
      <c r="R547" s="106"/>
      <c r="S547" s="1">
        <f>SUM(GC[[#This Row],[Blk1]:[Blk8]])</f>
        <v>0</v>
      </c>
      <c r="T547" s="106" t="str">
        <f>PROPER(GC[[#This Row],[Resources]])</f>
        <v/>
      </c>
      <c r="U547" s="106"/>
    </row>
    <row r="548" spans="1:21" x14ac:dyDescent="0.25">
      <c r="A548" s="106">
        <v>547</v>
      </c>
      <c r="B548" s="168">
        <f t="shared" si="11"/>
        <v>45745</v>
      </c>
      <c r="C548" s="126">
        <f>YEAR(GC[[#This Row],[Date]])+IF(MONTH(GC[[#This Row],[Date]])&gt;=4,1,0)</f>
        <v>2025</v>
      </c>
      <c r="D548" s="102">
        <f>YEAR(GC[[#This Row],[Date]])</f>
        <v>2025</v>
      </c>
      <c r="E548" s="101" t="s">
        <v>73</v>
      </c>
      <c r="F548" s="101" t="s">
        <v>73</v>
      </c>
      <c r="G548" s="1" t="str">
        <f>TEXT(GC[[#This Row],[Date]],"mmm-yy")</f>
        <v>Mar-25</v>
      </c>
      <c r="H548" s="1">
        <f>DAY(EOMONTH(GC[[#This Row],[Month Year]],0))</f>
        <v>31</v>
      </c>
      <c r="I548" s="106"/>
      <c r="J548" s="106"/>
      <c r="K548" s="106"/>
      <c r="L548" s="106"/>
      <c r="M548" s="106"/>
      <c r="N548" s="106"/>
      <c r="O548" s="106"/>
      <c r="P548" s="106"/>
      <c r="Q548" s="106"/>
      <c r="R548" s="106"/>
      <c r="S548" s="1">
        <f>SUM(GC[[#This Row],[Blk1]:[Blk8]])</f>
        <v>0</v>
      </c>
      <c r="T548" s="106" t="str">
        <f>PROPER(GC[[#This Row],[Resources]])</f>
        <v/>
      </c>
      <c r="U548" s="106"/>
    </row>
    <row r="549" spans="1:21" x14ac:dyDescent="0.25">
      <c r="A549" s="106">
        <v>548</v>
      </c>
      <c r="B549" s="168">
        <f t="shared" si="11"/>
        <v>45746</v>
      </c>
      <c r="C549" s="126">
        <f>YEAR(GC[[#This Row],[Date]])+IF(MONTH(GC[[#This Row],[Date]])&gt;=4,1,0)</f>
        <v>2025</v>
      </c>
      <c r="D549" s="102">
        <f>YEAR(GC[[#This Row],[Date]])</f>
        <v>2025</v>
      </c>
      <c r="E549" s="101" t="s">
        <v>73</v>
      </c>
      <c r="F549" s="101" t="s">
        <v>73</v>
      </c>
      <c r="G549" s="1" t="str">
        <f>TEXT(GC[[#This Row],[Date]],"mmm-yy")</f>
        <v>Mar-25</v>
      </c>
      <c r="H549" s="1">
        <f>DAY(EOMONTH(GC[[#This Row],[Month Year]],0))</f>
        <v>31</v>
      </c>
      <c r="I549" s="106"/>
      <c r="J549" s="106"/>
      <c r="K549" s="106"/>
      <c r="L549" s="106"/>
      <c r="M549" s="106"/>
      <c r="N549" s="106"/>
      <c r="O549" s="106"/>
      <c r="P549" s="106"/>
      <c r="Q549" s="106"/>
      <c r="R549" s="106"/>
      <c r="S549" s="1">
        <f>SUM(GC[[#This Row],[Blk1]:[Blk8]])</f>
        <v>0</v>
      </c>
      <c r="T549" s="106" t="str">
        <f>PROPER(GC[[#This Row],[Resources]])</f>
        <v/>
      </c>
      <c r="U549" s="106"/>
    </row>
    <row r="550" spans="1:21" x14ac:dyDescent="0.25">
      <c r="A550" s="106">
        <v>549</v>
      </c>
      <c r="B550" s="168">
        <f t="shared" si="11"/>
        <v>45747</v>
      </c>
      <c r="C550" s="126">
        <f>YEAR(GC[[#This Row],[Date]])+IF(MONTH(GC[[#This Row],[Date]])&gt;=4,1,0)</f>
        <v>2025</v>
      </c>
      <c r="D550" s="102">
        <f>YEAR(GC[[#This Row],[Date]])</f>
        <v>2025</v>
      </c>
      <c r="E550" s="101" t="s">
        <v>73</v>
      </c>
      <c r="F550" s="101" t="s">
        <v>73</v>
      </c>
      <c r="G550" s="1" t="str">
        <f>TEXT(GC[[#This Row],[Date]],"mmm-yy")</f>
        <v>Mar-25</v>
      </c>
      <c r="H550" s="1">
        <f>DAY(EOMONTH(GC[[#This Row],[Month Year]],0))</f>
        <v>31</v>
      </c>
      <c r="I550" s="106"/>
      <c r="J550" s="106"/>
      <c r="K550" s="106"/>
      <c r="L550" s="106"/>
      <c r="M550" s="106"/>
      <c r="N550" s="106"/>
      <c r="O550" s="106"/>
      <c r="P550" s="106"/>
      <c r="Q550" s="106"/>
      <c r="R550" s="106"/>
      <c r="S550" s="1">
        <f>SUM(GC[[#This Row],[Blk1]:[Blk8]])</f>
        <v>0</v>
      </c>
      <c r="T550" s="106" t="str">
        <f>PROPER(GC[[#This Row],[Resources]])</f>
        <v/>
      </c>
      <c r="U550" s="106"/>
    </row>
    <row r="551" spans="1:21" x14ac:dyDescent="0.25">
      <c r="A551" s="106">
        <v>550</v>
      </c>
      <c r="B551" s="168">
        <f t="shared" si="11"/>
        <v>45748</v>
      </c>
      <c r="C551" s="126">
        <f>YEAR(GC[[#This Row],[Date]])+IF(MONTH(GC[[#This Row],[Date]])&gt;=4,1,0)</f>
        <v>2026</v>
      </c>
      <c r="D551" s="102">
        <f>YEAR(GC[[#This Row],[Date]])</f>
        <v>2025</v>
      </c>
      <c r="E551" s="101" t="s">
        <v>73</v>
      </c>
      <c r="F551" s="101" t="s">
        <v>73</v>
      </c>
      <c r="G551" s="1" t="str">
        <f>TEXT(GC[[#This Row],[Date]],"mmm-yy")</f>
        <v>Apr-25</v>
      </c>
      <c r="H551" s="1">
        <f>DAY(EOMONTH(GC[[#This Row],[Month Year]],0))</f>
        <v>30</v>
      </c>
      <c r="I551" s="106"/>
      <c r="J551" s="106"/>
      <c r="K551" s="106"/>
      <c r="L551" s="106"/>
      <c r="M551" s="106"/>
      <c r="N551" s="106"/>
      <c r="O551" s="106"/>
      <c r="P551" s="106"/>
      <c r="Q551" s="106"/>
      <c r="R551" s="106"/>
      <c r="S551" s="1">
        <f>SUM(GC[[#This Row],[Blk1]:[Blk8]])</f>
        <v>0</v>
      </c>
      <c r="T551" s="106" t="str">
        <f>PROPER(GC[[#This Row],[Resources]])</f>
        <v/>
      </c>
      <c r="U551" s="106"/>
    </row>
    <row r="552" spans="1:21" x14ac:dyDescent="0.25">
      <c r="A552" s="106">
        <v>551</v>
      </c>
      <c r="B552" s="168">
        <f t="shared" si="11"/>
        <v>45749</v>
      </c>
      <c r="C552" s="126">
        <f>YEAR(GC[[#This Row],[Date]])+IF(MONTH(GC[[#This Row],[Date]])&gt;=4,1,0)</f>
        <v>2026</v>
      </c>
      <c r="D552" s="102">
        <f>YEAR(GC[[#This Row],[Date]])</f>
        <v>2025</v>
      </c>
      <c r="E552" s="101" t="s">
        <v>73</v>
      </c>
      <c r="F552" s="101" t="s">
        <v>73</v>
      </c>
      <c r="G552" s="1" t="str">
        <f>TEXT(GC[[#This Row],[Date]],"mmm-yy")</f>
        <v>Apr-25</v>
      </c>
      <c r="H552" s="1">
        <f>DAY(EOMONTH(GC[[#This Row],[Month Year]],0))</f>
        <v>30</v>
      </c>
      <c r="I552" s="106"/>
      <c r="J552" s="106" t="s">
        <v>78</v>
      </c>
      <c r="K552" s="106"/>
      <c r="L552" s="106"/>
      <c r="M552" s="106"/>
      <c r="N552" s="106"/>
      <c r="O552" s="106">
        <v>90</v>
      </c>
      <c r="P552" s="106"/>
      <c r="Q552" s="106"/>
      <c r="R552" s="106"/>
      <c r="S552" s="1">
        <f>SUM(GC[[#This Row],[Blk1]:[Blk8]])</f>
        <v>90</v>
      </c>
      <c r="T552" s="106" t="str">
        <f>PROPER(GC[[#This Row],[Resources]])</f>
        <v>Tractor Based Rotavetor</v>
      </c>
      <c r="U552" s="106"/>
    </row>
    <row r="553" spans="1:21" x14ac:dyDescent="0.25">
      <c r="A553" s="106">
        <v>552</v>
      </c>
      <c r="B553" s="168">
        <f t="shared" si="11"/>
        <v>45750</v>
      </c>
      <c r="C553" s="126">
        <f>YEAR(GC[[#This Row],[Date]])+IF(MONTH(GC[[#This Row],[Date]])&gt;=4,1,0)</f>
        <v>2026</v>
      </c>
      <c r="D553" s="102">
        <f>YEAR(GC[[#This Row],[Date]])</f>
        <v>2025</v>
      </c>
      <c r="E553" s="101" t="s">
        <v>73</v>
      </c>
      <c r="F553" s="101" t="s">
        <v>73</v>
      </c>
      <c r="G553" s="1" t="str">
        <f>TEXT(GC[[#This Row],[Date]],"mmm-yy")</f>
        <v>Apr-25</v>
      </c>
      <c r="H553" s="1">
        <f>DAY(EOMONTH(GC[[#This Row],[Month Year]],0))</f>
        <v>30</v>
      </c>
      <c r="I553" s="106"/>
      <c r="J553" s="106" t="s">
        <v>78</v>
      </c>
      <c r="K553" s="106"/>
      <c r="L553" s="106"/>
      <c r="M553" s="106"/>
      <c r="N553" s="106"/>
      <c r="O553" s="106">
        <v>118</v>
      </c>
      <c r="P553" s="106"/>
      <c r="Q553" s="106"/>
      <c r="R553" s="106"/>
      <c r="S553" s="1">
        <f>SUM(GC[[#This Row],[Blk1]:[Blk8]])</f>
        <v>118</v>
      </c>
      <c r="T553" s="106" t="str">
        <f>PROPER(GC[[#This Row],[Resources]])</f>
        <v>Tractor Based Rotavetor</v>
      </c>
      <c r="U553" s="106"/>
    </row>
    <row r="554" spans="1:21" x14ac:dyDescent="0.25">
      <c r="A554" s="106">
        <v>553</v>
      </c>
      <c r="B554" s="168">
        <f t="shared" si="11"/>
        <v>45751</v>
      </c>
      <c r="C554" s="126">
        <f>YEAR(GC[[#This Row],[Date]])+IF(MONTH(GC[[#This Row],[Date]])&gt;=4,1,0)</f>
        <v>2026</v>
      </c>
      <c r="D554" s="102">
        <f>YEAR(GC[[#This Row],[Date]])</f>
        <v>2025</v>
      </c>
      <c r="E554" s="101" t="s">
        <v>73</v>
      </c>
      <c r="F554" s="101" t="s">
        <v>73</v>
      </c>
      <c r="G554" s="1" t="str">
        <f>TEXT(GC[[#This Row],[Date]],"mmm-yy")</f>
        <v>Apr-25</v>
      </c>
      <c r="H554" s="1">
        <f>DAY(EOMONTH(GC[[#This Row],[Month Year]],0))</f>
        <v>30</v>
      </c>
      <c r="I554" s="106"/>
      <c r="J554" s="106" t="s">
        <v>78</v>
      </c>
      <c r="K554" s="106"/>
      <c r="L554" s="106"/>
      <c r="M554" s="106"/>
      <c r="N554" s="106"/>
      <c r="O554" s="106">
        <v>112</v>
      </c>
      <c r="P554" s="106"/>
      <c r="Q554" s="106"/>
      <c r="R554" s="106"/>
      <c r="S554" s="1">
        <f>SUM(GC[[#This Row],[Blk1]:[Blk8]])</f>
        <v>112</v>
      </c>
      <c r="T554" s="106" t="str">
        <f>PROPER(GC[[#This Row],[Resources]])</f>
        <v>Tractor Based Rotavetor</v>
      </c>
      <c r="U554" s="106"/>
    </row>
    <row r="555" spans="1:21" x14ac:dyDescent="0.25">
      <c r="A555" s="106">
        <v>554</v>
      </c>
      <c r="B555" s="168">
        <f t="shared" si="11"/>
        <v>45752</v>
      </c>
      <c r="C555" s="126">
        <f>YEAR(GC[[#This Row],[Date]])+IF(MONTH(GC[[#This Row],[Date]])&gt;=4,1,0)</f>
        <v>2026</v>
      </c>
      <c r="D555" s="102">
        <f>YEAR(GC[[#This Row],[Date]])</f>
        <v>2025</v>
      </c>
      <c r="E555" s="101" t="s">
        <v>73</v>
      </c>
      <c r="F555" s="101" t="s">
        <v>73</v>
      </c>
      <c r="G555" s="1" t="str">
        <f>TEXT(GC[[#This Row],[Date]],"mmm-yy")</f>
        <v>Apr-25</v>
      </c>
      <c r="H555" s="1">
        <f>DAY(EOMONTH(GC[[#This Row],[Month Year]],0))</f>
        <v>30</v>
      </c>
      <c r="I555" s="106"/>
      <c r="J555" s="106" t="s">
        <v>78</v>
      </c>
      <c r="K555" s="106"/>
      <c r="L555" s="106"/>
      <c r="M555" s="106"/>
      <c r="N555" s="106"/>
      <c r="O555" s="106"/>
      <c r="P555" s="106"/>
      <c r="Q555" s="106"/>
      <c r="R555" s="106"/>
      <c r="S555" s="1">
        <f>SUM(GC[[#This Row],[Blk1]:[Blk8]])</f>
        <v>0</v>
      </c>
      <c r="T555" s="106" t="str">
        <f>PROPER(GC[[#This Row],[Resources]])</f>
        <v>Tractor Based Rotavetor</v>
      </c>
      <c r="U555" s="106"/>
    </row>
    <row r="556" spans="1:21" x14ac:dyDescent="0.25">
      <c r="A556" s="106">
        <v>555</v>
      </c>
      <c r="B556" s="168">
        <f t="shared" si="11"/>
        <v>45753</v>
      </c>
      <c r="C556" s="126">
        <f>YEAR(GC[[#This Row],[Date]])+IF(MONTH(GC[[#This Row],[Date]])&gt;=4,1,0)</f>
        <v>2026</v>
      </c>
      <c r="D556" s="102">
        <f>YEAR(GC[[#This Row],[Date]])</f>
        <v>2025</v>
      </c>
      <c r="E556" s="101" t="s">
        <v>73</v>
      </c>
      <c r="F556" s="101" t="s">
        <v>73</v>
      </c>
      <c r="G556" s="1" t="str">
        <f>TEXT(GC[[#This Row],[Date]],"mmm-yy")</f>
        <v>Apr-25</v>
      </c>
      <c r="H556" s="1">
        <f>DAY(EOMONTH(GC[[#This Row],[Month Year]],0))</f>
        <v>30</v>
      </c>
      <c r="I556" s="106"/>
      <c r="J556" s="106" t="s">
        <v>78</v>
      </c>
      <c r="K556" s="106"/>
      <c r="L556" s="106"/>
      <c r="M556" s="106"/>
      <c r="N556" s="106"/>
      <c r="O556" s="106"/>
      <c r="P556" s="106">
        <v>120</v>
      </c>
      <c r="Q556" s="106"/>
      <c r="R556" s="106"/>
      <c r="S556" s="1">
        <f>SUM(GC[[#This Row],[Blk1]:[Blk8]])</f>
        <v>120</v>
      </c>
      <c r="T556" s="106" t="str">
        <f>PROPER(GC[[#This Row],[Resources]])</f>
        <v>Tractor Based Rotavetor</v>
      </c>
      <c r="U556" s="106"/>
    </row>
    <row r="557" spans="1:21" x14ac:dyDescent="0.25">
      <c r="A557" s="106">
        <v>556</v>
      </c>
      <c r="B557" s="168">
        <f t="shared" si="11"/>
        <v>45754</v>
      </c>
      <c r="C557" s="126">
        <f>YEAR(GC[[#This Row],[Date]])+IF(MONTH(GC[[#This Row],[Date]])&gt;=4,1,0)</f>
        <v>2026</v>
      </c>
      <c r="D557" s="102">
        <f>YEAR(GC[[#This Row],[Date]])</f>
        <v>2025</v>
      </c>
      <c r="E557" s="101" t="s">
        <v>73</v>
      </c>
      <c r="F557" s="101" t="s">
        <v>73</v>
      </c>
      <c r="G557" s="1" t="str">
        <f>TEXT(GC[[#This Row],[Date]],"mmm-yy")</f>
        <v>Apr-25</v>
      </c>
      <c r="H557" s="1">
        <f>DAY(EOMONTH(GC[[#This Row],[Month Year]],0))</f>
        <v>30</v>
      </c>
      <c r="I557" s="106"/>
      <c r="J557" s="106" t="s">
        <v>78</v>
      </c>
      <c r="K557" s="106"/>
      <c r="L557" s="106"/>
      <c r="M557" s="106"/>
      <c r="N557" s="106"/>
      <c r="O557" s="106"/>
      <c r="P557" s="106">
        <v>50</v>
      </c>
      <c r="Q557" s="106"/>
      <c r="R557" s="106"/>
      <c r="S557" s="1">
        <f>SUM(GC[[#This Row],[Blk1]:[Blk8]])</f>
        <v>50</v>
      </c>
      <c r="T557" s="106" t="str">
        <f>PROPER(GC[[#This Row],[Resources]])</f>
        <v>Tractor Based Rotavetor</v>
      </c>
      <c r="U557" s="106"/>
    </row>
    <row r="558" spans="1:21" x14ac:dyDescent="0.25">
      <c r="A558" s="106">
        <v>557</v>
      </c>
      <c r="B558" s="168">
        <f t="shared" si="11"/>
        <v>45755</v>
      </c>
      <c r="C558" s="126">
        <f>YEAR(GC[[#This Row],[Date]])+IF(MONTH(GC[[#This Row],[Date]])&gt;=4,1,0)</f>
        <v>2026</v>
      </c>
      <c r="D558" s="102">
        <f>YEAR(GC[[#This Row],[Date]])</f>
        <v>2025</v>
      </c>
      <c r="E558" s="101" t="s">
        <v>73</v>
      </c>
      <c r="F558" s="101" t="s">
        <v>73</v>
      </c>
      <c r="G558" s="1" t="str">
        <f>TEXT(GC[[#This Row],[Date]],"mmm-yy")</f>
        <v>Apr-25</v>
      </c>
      <c r="H558" s="1">
        <f>DAY(EOMONTH(GC[[#This Row],[Month Year]],0))</f>
        <v>30</v>
      </c>
      <c r="I558" s="106"/>
      <c r="J558" s="106" t="s">
        <v>78</v>
      </c>
      <c r="K558" s="106"/>
      <c r="L558" s="106"/>
      <c r="M558" s="106"/>
      <c r="N558" s="106"/>
      <c r="O558" s="106"/>
      <c r="P558" s="106">
        <v>20</v>
      </c>
      <c r="Q558" s="106"/>
      <c r="R558" s="106"/>
      <c r="S558" s="1">
        <f>SUM(GC[[#This Row],[Blk1]:[Blk8]])</f>
        <v>20</v>
      </c>
      <c r="T558" s="106" t="str">
        <f>PROPER(GC[[#This Row],[Resources]])</f>
        <v>Tractor Based Rotavetor</v>
      </c>
      <c r="U558" s="106"/>
    </row>
    <row r="559" spans="1:21" x14ac:dyDescent="0.25">
      <c r="A559" s="106">
        <v>558</v>
      </c>
      <c r="B559" s="168">
        <f t="shared" si="11"/>
        <v>45756</v>
      </c>
      <c r="C559" s="126">
        <f>YEAR(GC[[#This Row],[Date]])+IF(MONTH(GC[[#This Row],[Date]])&gt;=4,1,0)</f>
        <v>2026</v>
      </c>
      <c r="D559" s="102">
        <f>YEAR(GC[[#This Row],[Date]])</f>
        <v>2025</v>
      </c>
      <c r="E559" s="101" t="s">
        <v>73</v>
      </c>
      <c r="F559" s="101" t="s">
        <v>73</v>
      </c>
      <c r="G559" s="1" t="str">
        <f>TEXT(GC[[#This Row],[Date]],"mmm-yy")</f>
        <v>Apr-25</v>
      </c>
      <c r="H559" s="1">
        <f>DAY(EOMONTH(GC[[#This Row],[Month Year]],0))</f>
        <v>30</v>
      </c>
      <c r="I559" s="106"/>
      <c r="J559" s="106" t="s">
        <v>78</v>
      </c>
      <c r="K559" s="106"/>
      <c r="L559" s="106"/>
      <c r="M559" s="106"/>
      <c r="N559" s="106"/>
      <c r="O559" s="106"/>
      <c r="P559" s="106"/>
      <c r="Q559" s="106"/>
      <c r="R559" s="106"/>
      <c r="S559" s="1">
        <f>SUM(GC[[#This Row],[Blk1]:[Blk8]])</f>
        <v>0</v>
      </c>
      <c r="T559" s="106" t="str">
        <f>PROPER(GC[[#This Row],[Resources]])</f>
        <v>Tractor Based Rotavetor</v>
      </c>
      <c r="U559" s="106"/>
    </row>
    <row r="560" spans="1:21" x14ac:dyDescent="0.25">
      <c r="A560" s="106">
        <v>559</v>
      </c>
      <c r="B560" s="168">
        <f t="shared" si="11"/>
        <v>45757</v>
      </c>
      <c r="C560" s="126">
        <f>YEAR(GC[[#This Row],[Date]])+IF(MONTH(GC[[#This Row],[Date]])&gt;=4,1,0)</f>
        <v>2026</v>
      </c>
      <c r="D560" s="102">
        <f>YEAR(GC[[#This Row],[Date]])</f>
        <v>2025</v>
      </c>
      <c r="E560" s="101" t="s">
        <v>73</v>
      </c>
      <c r="F560" s="101" t="s">
        <v>73</v>
      </c>
      <c r="G560" s="1" t="str">
        <f>TEXT(GC[[#This Row],[Date]],"mmm-yy")</f>
        <v>Apr-25</v>
      </c>
      <c r="H560" s="1">
        <f>DAY(EOMONTH(GC[[#This Row],[Month Year]],0))</f>
        <v>30</v>
      </c>
      <c r="I560" s="106"/>
      <c r="J560" s="106" t="s">
        <v>78</v>
      </c>
      <c r="K560" s="106"/>
      <c r="L560" s="106"/>
      <c r="M560" s="106"/>
      <c r="N560" s="106"/>
      <c r="O560" s="106"/>
      <c r="P560" s="106">
        <v>24</v>
      </c>
      <c r="Q560" s="106"/>
      <c r="R560" s="106"/>
      <c r="S560" s="1">
        <f>SUM(GC[[#This Row],[Blk1]:[Blk8]])</f>
        <v>24</v>
      </c>
      <c r="T560" s="106" t="str">
        <f>PROPER(GC[[#This Row],[Resources]])</f>
        <v>Tractor Based Rotavetor</v>
      </c>
      <c r="U560" s="106"/>
    </row>
    <row r="561" spans="1:21" x14ac:dyDescent="0.25">
      <c r="A561" s="106">
        <v>560</v>
      </c>
      <c r="B561" s="168">
        <f t="shared" si="11"/>
        <v>45758</v>
      </c>
      <c r="C561" s="126">
        <f>YEAR(GC[[#This Row],[Date]])+IF(MONTH(GC[[#This Row],[Date]])&gt;=4,1,0)</f>
        <v>2026</v>
      </c>
      <c r="D561" s="102">
        <f>YEAR(GC[[#This Row],[Date]])</f>
        <v>2025</v>
      </c>
      <c r="E561" s="101" t="s">
        <v>73</v>
      </c>
      <c r="F561" s="101" t="s">
        <v>73</v>
      </c>
      <c r="G561" s="1" t="str">
        <f>TEXT(GC[[#This Row],[Date]],"mmm-yy")</f>
        <v>Apr-25</v>
      </c>
      <c r="H561" s="1">
        <f>DAY(EOMONTH(GC[[#This Row],[Month Year]],0))</f>
        <v>30</v>
      </c>
      <c r="I561" s="106"/>
      <c r="J561" s="106" t="s">
        <v>79</v>
      </c>
      <c r="K561" s="106"/>
      <c r="L561" s="106"/>
      <c r="M561" s="106"/>
      <c r="N561" s="106"/>
      <c r="O561" s="106">
        <v>50</v>
      </c>
      <c r="P561" s="106">
        <v>49</v>
      </c>
      <c r="Q561" s="106"/>
      <c r="R561" s="106"/>
      <c r="S561" s="1">
        <f>SUM(GC[[#This Row],[Blk1]:[Blk8]])</f>
        <v>99</v>
      </c>
      <c r="T561" s="106" t="str">
        <f>PROPER(GC[[#This Row],[Resources]])</f>
        <v>Honda Machine</v>
      </c>
      <c r="U561" s="106"/>
    </row>
    <row r="562" spans="1:21" x14ac:dyDescent="0.25">
      <c r="A562" s="106">
        <v>561</v>
      </c>
      <c r="B562" s="168">
        <f t="shared" si="11"/>
        <v>45759</v>
      </c>
      <c r="C562" s="126">
        <f>YEAR(GC[[#This Row],[Date]])+IF(MONTH(GC[[#This Row],[Date]])&gt;=4,1,0)</f>
        <v>2026</v>
      </c>
      <c r="D562" s="102">
        <f>YEAR(GC[[#This Row],[Date]])</f>
        <v>2025</v>
      </c>
      <c r="E562" s="101" t="s">
        <v>73</v>
      </c>
      <c r="F562" s="101" t="s">
        <v>73</v>
      </c>
      <c r="G562" s="1" t="str">
        <f>TEXT(GC[[#This Row],[Date]],"mmm-yy")</f>
        <v>Apr-25</v>
      </c>
      <c r="H562" s="1">
        <f>DAY(EOMONTH(GC[[#This Row],[Month Year]],0))</f>
        <v>30</v>
      </c>
      <c r="I562" s="106"/>
      <c r="J562" s="106" t="s">
        <v>79</v>
      </c>
      <c r="K562" s="106"/>
      <c r="L562" s="106"/>
      <c r="M562" s="106"/>
      <c r="N562" s="106"/>
      <c r="O562" s="106">
        <v>45</v>
      </c>
      <c r="P562" s="106">
        <v>50</v>
      </c>
      <c r="Q562" s="106"/>
      <c r="R562" s="106"/>
      <c r="S562" s="1">
        <f>SUM(GC[[#This Row],[Blk1]:[Blk8]])</f>
        <v>95</v>
      </c>
      <c r="T562" s="106" t="str">
        <f>PROPER(GC[[#This Row],[Resources]])</f>
        <v>Honda Machine</v>
      </c>
      <c r="U562" s="106"/>
    </row>
    <row r="563" spans="1:21" x14ac:dyDescent="0.25">
      <c r="A563" s="106">
        <v>562</v>
      </c>
      <c r="B563" s="168">
        <f t="shared" si="11"/>
        <v>45760</v>
      </c>
      <c r="C563" s="126">
        <f>YEAR(GC[[#This Row],[Date]])+IF(MONTH(GC[[#This Row],[Date]])&gt;=4,1,0)</f>
        <v>2026</v>
      </c>
      <c r="D563" s="102">
        <f>YEAR(GC[[#This Row],[Date]])</f>
        <v>2025</v>
      </c>
      <c r="E563" s="167"/>
      <c r="F563" s="106"/>
      <c r="G563" s="1" t="str">
        <f>TEXT(GC[[#This Row],[Date]],"mmm-yy")</f>
        <v>Apr-25</v>
      </c>
      <c r="H563" s="1">
        <f>DAY(EOMONTH(GC[[#This Row],[Month Year]],0))</f>
        <v>30</v>
      </c>
      <c r="I563" s="106"/>
      <c r="J563" s="106" t="s">
        <v>79</v>
      </c>
      <c r="K563" s="106"/>
      <c r="L563" s="106"/>
      <c r="M563" s="106"/>
      <c r="N563" s="106"/>
      <c r="O563" s="106"/>
      <c r="P563" s="106"/>
      <c r="Q563" s="106"/>
      <c r="R563" s="106"/>
      <c r="S563" s="1">
        <f>SUM(GC[[#This Row],[Blk1]:[Blk8]])</f>
        <v>0</v>
      </c>
      <c r="T563" s="106" t="str">
        <f>PROPER(GC[[#This Row],[Resources]])</f>
        <v>Honda Machine</v>
      </c>
      <c r="U563" s="106"/>
    </row>
    <row r="564" spans="1:21" x14ac:dyDescent="0.25">
      <c r="A564" s="106">
        <v>563</v>
      </c>
      <c r="B564" s="168">
        <v>45761</v>
      </c>
      <c r="C564" s="126">
        <f>YEAR(GC[[#This Row],[Date]])+IF(MONTH(GC[[#This Row],[Date]])&gt;=4,1,0)</f>
        <v>2026</v>
      </c>
      <c r="D564" s="102">
        <f>YEAR(GC[[#This Row],[Date]])</f>
        <v>2025</v>
      </c>
      <c r="E564" s="101" t="s">
        <v>73</v>
      </c>
      <c r="F564" s="101" t="s">
        <v>73</v>
      </c>
      <c r="G564" s="1" t="str">
        <f>TEXT(GC[[#This Row],[Date]],"mmm-yy")</f>
        <v>Apr-25</v>
      </c>
      <c r="H564" s="1">
        <f>DAY(EOMONTH(GC[[#This Row],[Month Year]],0))</f>
        <v>30</v>
      </c>
      <c r="I564" s="106"/>
      <c r="J564" s="106" t="s">
        <v>79</v>
      </c>
      <c r="K564" s="106"/>
      <c r="L564" s="106"/>
      <c r="M564" s="106"/>
      <c r="N564" s="106"/>
      <c r="O564" s="106">
        <v>65</v>
      </c>
      <c r="P564" s="106"/>
      <c r="Q564" s="106"/>
      <c r="R564" s="106"/>
      <c r="S564" s="1">
        <f>SUM(GC[[#This Row],[Blk1]:[Blk8]])</f>
        <v>65</v>
      </c>
      <c r="T564" s="106" t="str">
        <f>PROPER(GC[[#This Row],[Resources]])</f>
        <v>Honda Machine</v>
      </c>
      <c r="U564" s="106"/>
    </row>
    <row r="565" spans="1:21" x14ac:dyDescent="0.25">
      <c r="A565" s="106">
        <v>564</v>
      </c>
      <c r="B565" s="168">
        <v>45762</v>
      </c>
      <c r="C565" s="126">
        <f>YEAR(GC[[#This Row],[Date]])+IF(MONTH(GC[[#This Row],[Date]])&gt;=4,1,0)</f>
        <v>2026</v>
      </c>
      <c r="D565" s="102">
        <f>YEAR(GC[[#This Row],[Date]])</f>
        <v>2025</v>
      </c>
      <c r="E565" s="101" t="s">
        <v>73</v>
      </c>
      <c r="F565" s="101" t="s">
        <v>73</v>
      </c>
      <c r="G565" s="1" t="str">
        <f>TEXT(GC[[#This Row],[Date]],"mmm-yy")</f>
        <v>Apr-25</v>
      </c>
      <c r="H565" s="1">
        <f>DAY(EOMONTH(GC[[#This Row],[Month Year]],0))</f>
        <v>30</v>
      </c>
      <c r="I565" s="106"/>
      <c r="J565" s="106" t="s">
        <v>78</v>
      </c>
      <c r="K565" s="106"/>
      <c r="L565" s="106"/>
      <c r="M565" s="106"/>
      <c r="N565" s="106"/>
      <c r="O565" s="106"/>
      <c r="P565" s="106">
        <v>82</v>
      </c>
      <c r="Q565" s="106"/>
      <c r="R565" s="106"/>
      <c r="S565" s="1">
        <f>SUM(GC[[#This Row],[Blk1]:[Blk8]])</f>
        <v>82</v>
      </c>
      <c r="T565" s="106" t="str">
        <f>PROPER(GC[[#This Row],[Resources]])</f>
        <v>Tractor Based Rotavetor</v>
      </c>
      <c r="U565" s="106"/>
    </row>
    <row r="566" spans="1:21" x14ac:dyDescent="0.25">
      <c r="A566" s="106">
        <v>565</v>
      </c>
      <c r="B566" s="168">
        <v>45763</v>
      </c>
      <c r="C566" s="126">
        <f>YEAR(GC[[#This Row],[Date]])+IF(MONTH(GC[[#This Row],[Date]])&gt;=4,1,0)</f>
        <v>2026</v>
      </c>
      <c r="D566" s="102">
        <f>YEAR(GC[[#This Row],[Date]])</f>
        <v>2025</v>
      </c>
      <c r="E566" s="101" t="s">
        <v>73</v>
      </c>
      <c r="F566" s="101" t="s">
        <v>73</v>
      </c>
      <c r="G566" s="1" t="str">
        <f>TEXT(GC[[#This Row],[Date]],"mmm-yy")</f>
        <v>Apr-25</v>
      </c>
      <c r="H566" s="1">
        <f>DAY(EOMONTH(GC[[#This Row],[Month Year]],0))</f>
        <v>30</v>
      </c>
      <c r="I566" s="106"/>
      <c r="J566" s="106" t="s">
        <v>78</v>
      </c>
      <c r="K566" s="106">
        <v>60</v>
      </c>
      <c r="L566" s="106"/>
      <c r="M566" s="106"/>
      <c r="N566" s="106"/>
      <c r="O566" s="106"/>
      <c r="P566" s="106"/>
      <c r="Q566" s="106"/>
      <c r="R566" s="106"/>
      <c r="S566" s="1">
        <f>SUM(GC[[#This Row],[Blk1]:[Blk8]])</f>
        <v>60</v>
      </c>
      <c r="T566" s="106" t="str">
        <f>PROPER(GC[[#This Row],[Resources]])</f>
        <v>Tractor Based Rotavetor</v>
      </c>
      <c r="U566" s="106"/>
    </row>
    <row r="567" spans="1:21" x14ac:dyDescent="0.25">
      <c r="A567" s="106">
        <v>566</v>
      </c>
      <c r="B567" s="168">
        <v>45764</v>
      </c>
      <c r="C567" s="126">
        <f>YEAR(GC[[#This Row],[Date]])+IF(MONTH(GC[[#This Row],[Date]])&gt;=4,1,0)</f>
        <v>2026</v>
      </c>
      <c r="D567" s="102">
        <f>YEAR(GC[[#This Row],[Date]])</f>
        <v>2025</v>
      </c>
      <c r="E567" s="101" t="s">
        <v>73</v>
      </c>
      <c r="F567" s="101" t="s">
        <v>73</v>
      </c>
      <c r="G567" s="1" t="str">
        <f>TEXT(GC[[#This Row],[Date]],"mmm-yy")</f>
        <v>Apr-25</v>
      </c>
      <c r="H567" s="1">
        <f>DAY(EOMONTH(GC[[#This Row],[Month Year]],0))</f>
        <v>30</v>
      </c>
      <c r="I567" s="106"/>
      <c r="J567" s="106" t="s">
        <v>78</v>
      </c>
      <c r="K567" s="106">
        <v>130</v>
      </c>
      <c r="L567" s="106"/>
      <c r="M567" s="106"/>
      <c r="N567" s="106"/>
      <c r="O567" s="106"/>
      <c r="P567" s="106"/>
      <c r="Q567" s="106"/>
      <c r="R567" s="106"/>
      <c r="S567" s="1">
        <f>SUM(GC[[#This Row],[Blk1]:[Blk8]])</f>
        <v>130</v>
      </c>
      <c r="T567" s="106" t="str">
        <f>PROPER(GC[[#This Row],[Resources]])</f>
        <v>Tractor Based Rotavetor</v>
      </c>
      <c r="U567" s="106"/>
    </row>
    <row r="568" spans="1:21" x14ac:dyDescent="0.25">
      <c r="A568" s="106">
        <v>567</v>
      </c>
      <c r="B568" s="168">
        <v>45765</v>
      </c>
      <c r="C568" s="126">
        <f>YEAR(GC[[#This Row],[Date]])+IF(MONTH(GC[[#This Row],[Date]])&gt;=4,1,0)</f>
        <v>2026</v>
      </c>
      <c r="D568" s="102">
        <f>YEAR(GC[[#This Row],[Date]])</f>
        <v>2025</v>
      </c>
      <c r="E568" s="101" t="s">
        <v>73</v>
      </c>
      <c r="F568" s="101" t="s">
        <v>73</v>
      </c>
      <c r="G568" s="1" t="str">
        <f>TEXT(GC[[#This Row],[Date]],"mmm-yy")</f>
        <v>Apr-25</v>
      </c>
      <c r="H568" s="1">
        <f>DAY(EOMONTH(GC[[#This Row],[Month Year]],0))</f>
        <v>30</v>
      </c>
      <c r="I568" s="106"/>
      <c r="J568" s="106" t="s">
        <v>78</v>
      </c>
      <c r="K568" s="106">
        <v>40</v>
      </c>
      <c r="L568" s="106">
        <v>80</v>
      </c>
      <c r="M568" s="106">
        <v>80</v>
      </c>
      <c r="N568" s="106"/>
      <c r="O568" s="106"/>
      <c r="P568" s="106"/>
      <c r="Q568" s="106"/>
      <c r="R568" s="106"/>
      <c r="S568" s="1">
        <f>SUM(GC[[#This Row],[Blk1]:[Blk8]])</f>
        <v>200</v>
      </c>
      <c r="T568" s="106" t="str">
        <f>PROPER(GC[[#This Row],[Resources]])</f>
        <v>Tractor Based Rotavetor</v>
      </c>
      <c r="U568" s="106"/>
    </row>
    <row r="569" spans="1:21" x14ac:dyDescent="0.25">
      <c r="A569" s="106">
        <v>568</v>
      </c>
      <c r="B569" s="168">
        <v>45766</v>
      </c>
      <c r="C569" s="126">
        <f>YEAR(GC[[#This Row],[Date]])+IF(MONTH(GC[[#This Row],[Date]])&gt;=4,1,0)</f>
        <v>2026</v>
      </c>
      <c r="D569" s="102">
        <f>YEAR(GC[[#This Row],[Date]])</f>
        <v>2025</v>
      </c>
      <c r="E569" s="101" t="s">
        <v>73</v>
      </c>
      <c r="F569" s="101" t="s">
        <v>73</v>
      </c>
      <c r="G569" s="1" t="str">
        <f>TEXT(GC[[#This Row],[Date]],"mmm-yy")</f>
        <v>Apr-25</v>
      </c>
      <c r="H569" s="1">
        <f>DAY(EOMONTH(GC[[#This Row],[Month Year]],0))</f>
        <v>30</v>
      </c>
      <c r="I569" s="106"/>
      <c r="J569" s="106" t="s">
        <v>78</v>
      </c>
      <c r="K569" s="106">
        <v>95</v>
      </c>
      <c r="L569" s="106">
        <v>95</v>
      </c>
      <c r="M569" s="106">
        <v>130</v>
      </c>
      <c r="N569" s="106"/>
      <c r="O569" s="106"/>
      <c r="P569" s="106"/>
      <c r="Q569" s="106"/>
      <c r="R569" s="106"/>
      <c r="S569" s="1">
        <f>SUM(GC[[#This Row],[Blk1]:[Blk8]])</f>
        <v>320</v>
      </c>
      <c r="T569" s="106" t="str">
        <f>PROPER(GC[[#This Row],[Resources]])</f>
        <v>Tractor Based Rotavetor</v>
      </c>
      <c r="U569" s="106"/>
    </row>
    <row r="570" spans="1:21" x14ac:dyDescent="0.25">
      <c r="A570" s="106">
        <v>569</v>
      </c>
      <c r="B570" s="168">
        <v>45768</v>
      </c>
      <c r="C570" s="126">
        <f>YEAR(GC[[#This Row],[Date]])+IF(MONTH(GC[[#This Row],[Date]])&gt;=4,1,0)</f>
        <v>2026</v>
      </c>
      <c r="D570" s="102">
        <f>YEAR(GC[[#This Row],[Date]])</f>
        <v>2025</v>
      </c>
      <c r="E570" s="101" t="s">
        <v>73</v>
      </c>
      <c r="F570" s="101" t="s">
        <v>73</v>
      </c>
      <c r="G570" s="1" t="str">
        <f>TEXT(GC[[#This Row],[Date]],"mmm-yy")</f>
        <v>Apr-25</v>
      </c>
      <c r="H570" s="1">
        <f>DAY(EOMONTH(GC[[#This Row],[Month Year]],0))</f>
        <v>30</v>
      </c>
      <c r="I570" s="106"/>
      <c r="J570" s="106" t="s">
        <v>78</v>
      </c>
      <c r="K570" s="106">
        <v>30</v>
      </c>
      <c r="L570" s="106">
        <v>35</v>
      </c>
      <c r="M570" s="106">
        <v>25</v>
      </c>
      <c r="N570" s="106"/>
      <c r="O570" s="106"/>
      <c r="P570" s="106"/>
      <c r="Q570" s="106"/>
      <c r="R570" s="106"/>
      <c r="S570" s="1">
        <f>SUM(GC[[#This Row],[Blk1]:[Blk8]])</f>
        <v>90</v>
      </c>
      <c r="T570" s="106" t="str">
        <f>PROPER(GC[[#This Row],[Resources]])</f>
        <v>Tractor Based Rotavetor</v>
      </c>
      <c r="U570" s="106"/>
    </row>
    <row r="571" spans="1:21" x14ac:dyDescent="0.25">
      <c r="A571" s="106">
        <v>570</v>
      </c>
      <c r="B571" s="168">
        <v>45769</v>
      </c>
      <c r="C571" s="126">
        <f>YEAR(GC[[#This Row],[Date]])+IF(MONTH(GC[[#This Row],[Date]])&gt;=4,1,0)</f>
        <v>2026</v>
      </c>
      <c r="D571" s="102">
        <f>YEAR(GC[[#This Row],[Date]])</f>
        <v>2025</v>
      </c>
      <c r="E571" s="101" t="s">
        <v>73</v>
      </c>
      <c r="F571" s="101" t="s">
        <v>73</v>
      </c>
      <c r="G571" s="1" t="str">
        <f>TEXT(GC[[#This Row],[Date]],"mmm-yy")</f>
        <v>Apr-25</v>
      </c>
      <c r="H571" s="1">
        <f>DAY(EOMONTH(GC[[#This Row],[Month Year]],0))</f>
        <v>30</v>
      </c>
      <c r="I571" s="106"/>
      <c r="J571" s="106" t="s">
        <v>78</v>
      </c>
      <c r="K571" s="106"/>
      <c r="L571" s="106">
        <v>40</v>
      </c>
      <c r="M571" s="106">
        <v>40</v>
      </c>
      <c r="N571" s="106"/>
      <c r="O571" s="106"/>
      <c r="P571" s="106"/>
      <c r="Q571" s="106"/>
      <c r="R571" s="106"/>
      <c r="S571" s="1">
        <f>SUM(GC[[#This Row],[Blk1]:[Blk8]])</f>
        <v>80</v>
      </c>
      <c r="T571" s="106" t="str">
        <f>PROPER(GC[[#This Row],[Resources]])</f>
        <v>Tractor Based Rotavetor</v>
      </c>
      <c r="U571" s="106"/>
    </row>
    <row r="572" spans="1:21" x14ac:dyDescent="0.25">
      <c r="A572" s="106">
        <v>571</v>
      </c>
      <c r="B572" s="168">
        <v>45770</v>
      </c>
      <c r="C572" s="126">
        <f>YEAR(GC[[#This Row],[Date]])+IF(MONTH(GC[[#This Row],[Date]])&gt;=4,1,0)</f>
        <v>2026</v>
      </c>
      <c r="D572" s="102">
        <f>YEAR(GC[[#This Row],[Date]])</f>
        <v>2025</v>
      </c>
      <c r="E572" s="101" t="s">
        <v>73</v>
      </c>
      <c r="F572" s="101" t="s">
        <v>73</v>
      </c>
      <c r="G572" s="1" t="str">
        <f>TEXT(GC[[#This Row],[Date]],"mmm-yy")</f>
        <v>Apr-25</v>
      </c>
      <c r="H572" s="1">
        <f>DAY(EOMONTH(GC[[#This Row],[Month Year]],0))</f>
        <v>30</v>
      </c>
      <c r="I572" s="106"/>
      <c r="J572" s="106" t="s">
        <v>78</v>
      </c>
      <c r="K572" s="106"/>
      <c r="L572" s="106">
        <v>40</v>
      </c>
      <c r="M572" s="106"/>
      <c r="N572" s="106"/>
      <c r="O572" s="106"/>
      <c r="P572" s="106"/>
      <c r="Q572" s="106"/>
      <c r="R572" s="106"/>
      <c r="S572" s="1">
        <f>SUM(GC[[#This Row],[Blk1]:[Blk8]])</f>
        <v>40</v>
      </c>
      <c r="T572" s="106" t="str">
        <f>PROPER(GC[[#This Row],[Resources]])</f>
        <v>Tractor Based Rotavetor</v>
      </c>
      <c r="U572" s="106"/>
    </row>
    <row r="573" spans="1:21" x14ac:dyDescent="0.25">
      <c r="A573" s="106">
        <v>572</v>
      </c>
      <c r="B573" s="168">
        <v>45771</v>
      </c>
      <c r="C573" s="126">
        <f>YEAR(GC[[#This Row],[Date]])+IF(MONTH(GC[[#This Row],[Date]])&gt;=4,1,0)</f>
        <v>2026</v>
      </c>
      <c r="D573" s="102">
        <f>YEAR(GC[[#This Row],[Date]])</f>
        <v>2025</v>
      </c>
      <c r="E573" s="101" t="s">
        <v>73</v>
      </c>
      <c r="F573" s="101" t="s">
        <v>73</v>
      </c>
      <c r="G573" s="1" t="str">
        <f>TEXT(GC[[#This Row],[Date]],"mmm-yy")</f>
        <v>Apr-25</v>
      </c>
      <c r="H573" s="1">
        <f>DAY(EOMONTH(GC[[#This Row],[Month Year]],0))</f>
        <v>30</v>
      </c>
      <c r="I573" s="106"/>
      <c r="J573" s="106" t="s">
        <v>78</v>
      </c>
      <c r="K573" s="106"/>
      <c r="L573" s="106"/>
      <c r="M573" s="106"/>
      <c r="N573" s="106">
        <v>140</v>
      </c>
      <c r="O573" s="106"/>
      <c r="P573" s="106"/>
      <c r="Q573" s="106"/>
      <c r="R573" s="106"/>
      <c r="S573" s="1">
        <f>SUM(GC[[#This Row],[Blk1]:[Blk8]])</f>
        <v>140</v>
      </c>
      <c r="T573" s="106" t="str">
        <f>PROPER(GC[[#This Row],[Resources]])</f>
        <v>Tractor Based Rotavetor</v>
      </c>
      <c r="U573" s="106"/>
    </row>
    <row r="574" spans="1:21" x14ac:dyDescent="0.25">
      <c r="A574" s="106">
        <v>573</v>
      </c>
      <c r="B574" s="168">
        <v>45772</v>
      </c>
      <c r="C574" s="126">
        <f>YEAR(GC[[#This Row],[Date]])+IF(MONTH(GC[[#This Row],[Date]])&gt;=4,1,0)</f>
        <v>2026</v>
      </c>
      <c r="D574" s="102">
        <f>YEAR(GC[[#This Row],[Date]])</f>
        <v>2025</v>
      </c>
      <c r="E574" s="101" t="s">
        <v>73</v>
      </c>
      <c r="F574" s="101" t="s">
        <v>73</v>
      </c>
      <c r="G574" s="1" t="str">
        <f>TEXT(GC[[#This Row],[Date]],"mmm-yy")</f>
        <v>Apr-25</v>
      </c>
      <c r="H574" s="1">
        <f>DAY(EOMONTH(GC[[#This Row],[Month Year]],0))</f>
        <v>30</v>
      </c>
      <c r="I574" s="106"/>
      <c r="J574" s="106" t="s">
        <v>78</v>
      </c>
      <c r="K574" s="106"/>
      <c r="L574" s="106"/>
      <c r="M574" s="106"/>
      <c r="N574" s="106"/>
      <c r="O574" s="106"/>
      <c r="P574" s="106"/>
      <c r="Q574" s="106">
        <v>80</v>
      </c>
      <c r="R574" s="106"/>
      <c r="S574" s="1">
        <f>SUM(GC[[#This Row],[Blk1]:[Blk8]])</f>
        <v>80</v>
      </c>
      <c r="T574" s="106" t="str">
        <f>PROPER(GC[[#This Row],[Resources]])</f>
        <v>Tractor Based Rotavetor</v>
      </c>
      <c r="U574" s="106"/>
    </row>
    <row r="575" spans="1:21" x14ac:dyDescent="0.25">
      <c r="A575" s="106">
        <v>574</v>
      </c>
      <c r="B575" s="168">
        <v>45773</v>
      </c>
      <c r="C575" s="126">
        <f>YEAR(GC[[#This Row],[Date]])+IF(MONTH(GC[[#This Row],[Date]])&gt;=4,1,0)</f>
        <v>2026</v>
      </c>
      <c r="D575" s="102">
        <f>YEAR(GC[[#This Row],[Date]])</f>
        <v>2025</v>
      </c>
      <c r="E575" s="101" t="s">
        <v>73</v>
      </c>
      <c r="F575" s="101" t="s">
        <v>73</v>
      </c>
      <c r="G575" s="1" t="str">
        <f>TEXT(GC[[#This Row],[Date]],"mmm-yy")</f>
        <v>Apr-25</v>
      </c>
      <c r="H575" s="1">
        <f>DAY(EOMONTH(GC[[#This Row],[Month Year]],0))</f>
        <v>30</v>
      </c>
      <c r="I575" s="106"/>
      <c r="J575" s="106" t="s">
        <v>78</v>
      </c>
      <c r="K575" s="106"/>
      <c r="L575" s="106"/>
      <c r="M575" s="106"/>
      <c r="N575" s="106"/>
      <c r="O575" s="106"/>
      <c r="P575" s="106"/>
      <c r="Q575" s="106">
        <v>120</v>
      </c>
      <c r="R575" s="106"/>
      <c r="S575" s="1">
        <f>SUM(GC[[#This Row],[Blk1]:[Blk8]])</f>
        <v>120</v>
      </c>
      <c r="T575" s="106" t="str">
        <f>PROPER(GC[[#This Row],[Resources]])</f>
        <v>Tractor Based Rotavetor</v>
      </c>
      <c r="U575" s="106"/>
    </row>
    <row r="576" spans="1:21" x14ac:dyDescent="0.25">
      <c r="A576" s="106">
        <v>575</v>
      </c>
      <c r="B576" s="168">
        <v>45774</v>
      </c>
      <c r="C576" s="126">
        <f>YEAR(GC[[#This Row],[Date]])+IF(MONTH(GC[[#This Row],[Date]])&gt;=4,1,0)</f>
        <v>2026</v>
      </c>
      <c r="D576" s="102">
        <f>YEAR(GC[[#This Row],[Date]])</f>
        <v>2025</v>
      </c>
      <c r="E576" s="101" t="s">
        <v>73</v>
      </c>
      <c r="F576" s="101" t="s">
        <v>73</v>
      </c>
      <c r="G576" s="1" t="str">
        <f>TEXT(GC[[#This Row],[Date]],"mmm-yy")</f>
        <v>Apr-25</v>
      </c>
      <c r="H576" s="1">
        <f>DAY(EOMONTH(GC[[#This Row],[Month Year]],0))</f>
        <v>30</v>
      </c>
      <c r="I576" s="106"/>
      <c r="J576" s="106" t="s">
        <v>78</v>
      </c>
      <c r="K576" s="106"/>
      <c r="L576" s="106"/>
      <c r="M576" s="106"/>
      <c r="N576" s="106"/>
      <c r="O576" s="106"/>
      <c r="P576" s="106"/>
      <c r="Q576" s="106">
        <v>80</v>
      </c>
      <c r="R576" s="106"/>
      <c r="S576" s="1">
        <f>SUM(GC[[#This Row],[Blk1]:[Blk8]])</f>
        <v>80</v>
      </c>
      <c r="T576" s="106" t="str">
        <f>PROPER(GC[[#This Row],[Resources]])</f>
        <v>Tractor Based Rotavetor</v>
      </c>
      <c r="U576" s="106"/>
    </row>
    <row r="577" spans="1:21" x14ac:dyDescent="0.25">
      <c r="A577" s="106">
        <v>576</v>
      </c>
      <c r="B577" s="168">
        <v>45775</v>
      </c>
      <c r="C577" s="126">
        <f>YEAR(GC[[#This Row],[Date]])+IF(MONTH(GC[[#This Row],[Date]])&gt;=4,1,0)</f>
        <v>2026</v>
      </c>
      <c r="D577" s="102">
        <f>YEAR(GC[[#This Row],[Date]])</f>
        <v>2025</v>
      </c>
      <c r="E577" s="101" t="s">
        <v>73</v>
      </c>
      <c r="F577" s="101" t="s">
        <v>73</v>
      </c>
      <c r="G577" s="1" t="str">
        <f>TEXT(GC[[#This Row],[Date]],"mmm-yy")</f>
        <v>Apr-25</v>
      </c>
      <c r="H577" s="1">
        <f>DAY(EOMONTH(GC[[#This Row],[Month Year]],0))</f>
        <v>30</v>
      </c>
      <c r="I577" s="106"/>
      <c r="J577" s="106" t="s">
        <v>78</v>
      </c>
      <c r="K577" s="106"/>
      <c r="L577" s="106"/>
      <c r="M577" s="106"/>
      <c r="N577" s="106"/>
      <c r="O577" s="106"/>
      <c r="P577" s="106"/>
      <c r="Q577" s="106">
        <v>70</v>
      </c>
      <c r="R577" s="106"/>
      <c r="S577" s="1">
        <f>SUM(GC[[#This Row],[Blk1]:[Blk8]])</f>
        <v>70</v>
      </c>
      <c r="T577" s="106" t="str">
        <f>PROPER(GC[[#This Row],[Resources]])</f>
        <v>Tractor Based Rotavetor</v>
      </c>
      <c r="U577" s="106"/>
    </row>
    <row r="578" spans="1:21" x14ac:dyDescent="0.25">
      <c r="A578" s="106">
        <v>577</v>
      </c>
      <c r="B578" s="168">
        <v>45776</v>
      </c>
      <c r="C578" s="126">
        <f>YEAR(GC[[#This Row],[Date]])+IF(MONTH(GC[[#This Row],[Date]])&gt;=4,1,0)</f>
        <v>2026</v>
      </c>
      <c r="D578" s="102">
        <f>YEAR(GC[[#This Row],[Date]])</f>
        <v>2025</v>
      </c>
      <c r="E578" s="101" t="s">
        <v>73</v>
      </c>
      <c r="F578" s="101" t="s">
        <v>73</v>
      </c>
      <c r="G578" s="1" t="str">
        <f>TEXT(GC[[#This Row],[Date]],"mmm-yy")</f>
        <v>Apr-25</v>
      </c>
      <c r="H578" s="1">
        <f>DAY(EOMONTH(GC[[#This Row],[Month Year]],0))</f>
        <v>30</v>
      </c>
      <c r="I578" s="106"/>
      <c r="J578" s="106" t="s">
        <v>79</v>
      </c>
      <c r="K578" s="106">
        <v>40</v>
      </c>
      <c r="L578" s="106">
        <v>40</v>
      </c>
      <c r="M578" s="106"/>
      <c r="N578" s="106"/>
      <c r="O578" s="106"/>
      <c r="P578" s="106"/>
      <c r="Q578" s="106"/>
      <c r="R578" s="106"/>
      <c r="S578" s="1">
        <f>SUM(GC[[#This Row],[Blk1]:[Blk8]])</f>
        <v>80</v>
      </c>
      <c r="T578" s="106" t="str">
        <f>PROPER(GC[[#This Row],[Resources]])</f>
        <v>Honda Machine</v>
      </c>
      <c r="U578" s="106"/>
    </row>
    <row r="579" spans="1:21" x14ac:dyDescent="0.25">
      <c r="A579" s="106">
        <v>578</v>
      </c>
      <c r="B579" s="168">
        <v>45777</v>
      </c>
      <c r="C579" s="126">
        <f>YEAR(GC[[#This Row],[Date]])+IF(MONTH(GC[[#This Row],[Date]])&gt;=4,1,0)</f>
        <v>2026</v>
      </c>
      <c r="D579" s="102">
        <f>YEAR(GC[[#This Row],[Date]])</f>
        <v>2025</v>
      </c>
      <c r="E579" s="167"/>
      <c r="F579" s="106"/>
      <c r="G579" s="1" t="str">
        <f>TEXT(GC[[#This Row],[Date]],"mmm-yy")</f>
        <v>Apr-25</v>
      </c>
      <c r="H579" s="1">
        <f>DAY(EOMONTH(GC[[#This Row],[Month Year]],0))</f>
        <v>30</v>
      </c>
      <c r="I579" s="106"/>
      <c r="J579" s="106"/>
      <c r="K579" s="106"/>
      <c r="L579" s="106"/>
      <c r="M579" s="106"/>
      <c r="N579" s="106"/>
      <c r="O579" s="106"/>
      <c r="P579" s="106"/>
      <c r="Q579" s="106"/>
      <c r="R579" s="106">
        <v>80</v>
      </c>
      <c r="S579" s="1">
        <f>SUM(GC[[#This Row],[Blk1]:[Blk8]])</f>
        <v>80</v>
      </c>
      <c r="T579" s="106" t="str">
        <f>PROPER(GC[[#This Row],[Resources]])</f>
        <v/>
      </c>
      <c r="U579" s="106"/>
    </row>
    <row r="580" spans="1:21" x14ac:dyDescent="0.25">
      <c r="A580" s="106">
        <v>579</v>
      </c>
      <c r="B580" s="168">
        <v>45778</v>
      </c>
      <c r="C580" s="126">
        <f>YEAR(GC[[#This Row],[Date]])+IF(MONTH(GC[[#This Row],[Date]])&gt;=4,1,0)</f>
        <v>2026</v>
      </c>
      <c r="D580" s="102">
        <f>YEAR(GC[[#This Row],[Date]])</f>
        <v>2025</v>
      </c>
      <c r="E580" s="167"/>
      <c r="F580" s="106"/>
      <c r="G580" s="1" t="str">
        <f>TEXT(GC[[#This Row],[Date]],"mmm-yy")</f>
        <v>May-25</v>
      </c>
      <c r="H580" s="1">
        <f>DAY(EOMONTH(GC[[#This Row],[Month Year]],0))</f>
        <v>31</v>
      </c>
      <c r="I580" s="106"/>
      <c r="J580" s="106"/>
      <c r="K580" s="106"/>
      <c r="L580" s="106"/>
      <c r="M580" s="106"/>
      <c r="N580" s="106"/>
      <c r="O580" s="106"/>
      <c r="P580" s="106"/>
      <c r="Q580" s="106"/>
      <c r="R580" s="106">
        <v>40</v>
      </c>
      <c r="S580" s="1">
        <f>SUM(GC[[#This Row],[Blk1]:[Blk8]])</f>
        <v>40</v>
      </c>
      <c r="T580" s="106" t="str">
        <f>PROPER(GC[[#This Row],[Resources]])</f>
        <v/>
      </c>
      <c r="U580" s="106"/>
    </row>
    <row r="581" spans="1:21" x14ac:dyDescent="0.25">
      <c r="A581" s="106">
        <v>580</v>
      </c>
      <c r="B581" s="168">
        <v>45779</v>
      </c>
      <c r="C581" s="126">
        <f>YEAR(GC[[#This Row],[Date]])+IF(MONTH(GC[[#This Row],[Date]])&gt;=4,1,0)</f>
        <v>2026</v>
      </c>
      <c r="D581" s="102">
        <f>YEAR(GC[[#This Row],[Date]])</f>
        <v>2025</v>
      </c>
      <c r="E581" s="167"/>
      <c r="F581" s="106"/>
      <c r="G581" s="1" t="str">
        <f>TEXT(GC[[#This Row],[Date]],"mmm-yy")</f>
        <v>May-25</v>
      </c>
      <c r="H581" s="1">
        <f>DAY(EOMONTH(GC[[#This Row],[Month Year]],0))</f>
        <v>31</v>
      </c>
      <c r="I581" s="106"/>
      <c r="J581" s="106"/>
      <c r="K581" s="106"/>
      <c r="L581" s="106"/>
      <c r="M581" s="106"/>
      <c r="N581" s="106"/>
      <c r="O581" s="106"/>
      <c r="P581" s="106"/>
      <c r="Q581" s="106"/>
      <c r="R581" s="106"/>
      <c r="S581" s="1">
        <f>SUM(GC[[#This Row],[Blk1]:[Blk8]])</f>
        <v>0</v>
      </c>
      <c r="T581" s="106" t="str">
        <f>PROPER(GC[[#This Row],[Resources]])</f>
        <v/>
      </c>
      <c r="U581" s="106"/>
    </row>
    <row r="582" spans="1:21" x14ac:dyDescent="0.25">
      <c r="A582" s="106">
        <v>581</v>
      </c>
      <c r="B582" s="168">
        <v>45780</v>
      </c>
      <c r="C582" s="126">
        <f>YEAR(GC[[#This Row],[Date]])+IF(MONTH(GC[[#This Row],[Date]])&gt;=4,1,0)</f>
        <v>2026</v>
      </c>
      <c r="D582" s="102">
        <f>YEAR(GC[[#This Row],[Date]])</f>
        <v>2025</v>
      </c>
      <c r="E582" s="167"/>
      <c r="F582" s="106"/>
      <c r="G582" s="1" t="str">
        <f>TEXT(GC[[#This Row],[Date]],"mmm-yy")</f>
        <v>May-25</v>
      </c>
      <c r="H582" s="1">
        <f>DAY(EOMONTH(GC[[#This Row],[Month Year]],0))</f>
        <v>31</v>
      </c>
      <c r="I582" s="106"/>
      <c r="J582" s="106"/>
      <c r="K582" s="106"/>
      <c r="L582" s="106"/>
      <c r="M582" s="106"/>
      <c r="N582" s="106"/>
      <c r="O582" s="106"/>
      <c r="P582" s="106"/>
      <c r="Q582" s="106"/>
      <c r="R582" s="106">
        <v>100</v>
      </c>
      <c r="S582" s="1">
        <f>SUM(GC[[#This Row],[Blk1]:[Blk8]])</f>
        <v>100</v>
      </c>
      <c r="T582" s="106" t="s">
        <v>80</v>
      </c>
      <c r="U582" s="106"/>
    </row>
    <row r="583" spans="1:21" x14ac:dyDescent="0.25">
      <c r="A583" s="106">
        <v>582</v>
      </c>
      <c r="B583" s="168">
        <v>45781</v>
      </c>
      <c r="C583" s="126">
        <f>YEAR(GC[[#This Row],[Date]])+IF(MONTH(GC[[#This Row],[Date]])&gt;=4,1,0)</f>
        <v>2026</v>
      </c>
      <c r="D583" s="102">
        <f>YEAR(GC[[#This Row],[Date]])</f>
        <v>2025</v>
      </c>
      <c r="E583" s="167"/>
      <c r="F583" s="106"/>
      <c r="G583" s="1" t="str">
        <f>TEXT(GC[[#This Row],[Date]],"mmm-yy")</f>
        <v>May-25</v>
      </c>
      <c r="H583" s="1">
        <f>DAY(EOMONTH(GC[[#This Row],[Month Year]],0))</f>
        <v>31</v>
      </c>
      <c r="I583" s="106"/>
      <c r="J583" s="106" t="s">
        <v>79</v>
      </c>
      <c r="K583" s="106"/>
      <c r="L583" s="106"/>
      <c r="M583" s="106"/>
      <c r="N583" s="106"/>
      <c r="O583" s="106"/>
      <c r="P583" s="106"/>
      <c r="Q583" s="106"/>
      <c r="R583" s="106">
        <v>90</v>
      </c>
      <c r="S583" s="1">
        <f>SUM(GC[[#This Row],[Blk1]:[Blk8]])</f>
        <v>90</v>
      </c>
      <c r="T583" s="106" t="str">
        <f>PROPER(GC[[#This Row],[Resources]])</f>
        <v>Honda Machine</v>
      </c>
      <c r="U583" s="106"/>
    </row>
    <row r="584" spans="1:21" x14ac:dyDescent="0.25">
      <c r="A584" s="106">
        <v>583</v>
      </c>
      <c r="B584" s="168"/>
      <c r="C584" s="126">
        <f>YEAR(GC[[#This Row],[Date]])+IF(MONTH(GC[[#This Row],[Date]])&gt;=4,1,0)</f>
        <v>1900</v>
      </c>
      <c r="D584" s="102">
        <f>YEAR(GC[[#This Row],[Date]])</f>
        <v>1900</v>
      </c>
      <c r="E584" s="167"/>
      <c r="F584" s="106"/>
      <c r="G584" s="1" t="str">
        <f>TEXT(GC[[#This Row],[Date]],"mmm-yy")</f>
        <v>Jan-00</v>
      </c>
      <c r="H584" s="1">
        <f>DAY(EOMONTH(GC[[#This Row],[Month Year]],0))</f>
        <v>31</v>
      </c>
      <c r="I584" s="106"/>
      <c r="J584" s="106"/>
      <c r="K584" s="106"/>
      <c r="L584" s="106"/>
      <c r="M584" s="106"/>
      <c r="N584" s="106"/>
      <c r="O584" s="106"/>
      <c r="P584" s="106"/>
      <c r="Q584" s="106"/>
      <c r="R584" s="106"/>
      <c r="S584" s="1">
        <f>SUM(GC[[#This Row],[Blk1]:[Blk8]])</f>
        <v>0</v>
      </c>
      <c r="T584" s="106" t="str">
        <f>PROPER(GC[[#This Row],[Resources]])</f>
        <v/>
      </c>
      <c r="U584" s="106"/>
    </row>
    <row r="585" spans="1:21" x14ac:dyDescent="0.25">
      <c r="A585" s="106">
        <v>584</v>
      </c>
      <c r="B585" s="168"/>
      <c r="C585" s="126">
        <f>YEAR(GC[[#This Row],[Date]])+IF(MONTH(GC[[#This Row],[Date]])&gt;=4,1,0)</f>
        <v>1900</v>
      </c>
      <c r="D585" s="102">
        <f>YEAR(GC[[#This Row],[Date]])</f>
        <v>1900</v>
      </c>
      <c r="E585" s="167"/>
      <c r="F585" s="106"/>
      <c r="G585" s="1" t="str">
        <f>TEXT(GC[[#This Row],[Date]],"mmm-yy")</f>
        <v>Jan-00</v>
      </c>
      <c r="H585" s="1">
        <f>DAY(EOMONTH(GC[[#This Row],[Month Year]],0))</f>
        <v>31</v>
      </c>
      <c r="I585" s="106"/>
      <c r="J585" s="106"/>
      <c r="K585" s="106"/>
      <c r="L585" s="106"/>
      <c r="M585" s="106"/>
      <c r="N585" s="106"/>
      <c r="O585" s="106"/>
      <c r="P585" s="106"/>
      <c r="Q585" s="106"/>
      <c r="R585" s="106"/>
      <c r="S585" s="1">
        <f>SUM(GC[[#This Row],[Blk1]:[Blk8]])</f>
        <v>0</v>
      </c>
      <c r="T585" s="106" t="str">
        <f>PROPER(GC[[#This Row],[Resources]])</f>
        <v/>
      </c>
      <c r="U585" s="106"/>
    </row>
    <row r="586" spans="1:21" x14ac:dyDescent="0.25">
      <c r="A586" s="106">
        <v>585</v>
      </c>
      <c r="B586" s="168"/>
      <c r="C586" s="126">
        <f>YEAR(GC[[#This Row],[Date]])+IF(MONTH(GC[[#This Row],[Date]])&gt;=4,1,0)</f>
        <v>1900</v>
      </c>
      <c r="D586" s="102">
        <f>YEAR(GC[[#This Row],[Date]])</f>
        <v>1900</v>
      </c>
      <c r="E586" s="167"/>
      <c r="F586" s="106"/>
      <c r="G586" s="1" t="str">
        <f>TEXT(GC[[#This Row],[Date]],"mmm-yy")</f>
        <v>Jan-00</v>
      </c>
      <c r="H586" s="1">
        <f>DAY(EOMONTH(GC[[#This Row],[Month Year]],0))</f>
        <v>31</v>
      </c>
      <c r="I586" s="106"/>
      <c r="J586" s="106"/>
      <c r="K586" s="106"/>
      <c r="L586" s="106"/>
      <c r="M586" s="106"/>
      <c r="N586" s="106"/>
      <c r="O586" s="106"/>
      <c r="P586" s="106"/>
      <c r="Q586" s="106"/>
      <c r="R586" s="106"/>
      <c r="S586" s="1">
        <f>SUM(GC[[#This Row],[Blk1]:[Blk8]])</f>
        <v>0</v>
      </c>
      <c r="T586" s="106" t="str">
        <f>PROPER(GC[[#This Row],[Resources]])</f>
        <v/>
      </c>
      <c r="U586" s="106"/>
    </row>
    <row r="587" spans="1:21" x14ac:dyDescent="0.25">
      <c r="A587" s="106">
        <v>586</v>
      </c>
      <c r="B587" s="168"/>
      <c r="C587" s="126">
        <f>YEAR(GC[[#This Row],[Date]])+IF(MONTH(GC[[#This Row],[Date]])&gt;=4,1,0)</f>
        <v>1900</v>
      </c>
      <c r="D587" s="102">
        <f>YEAR(GC[[#This Row],[Date]])</f>
        <v>1900</v>
      </c>
      <c r="E587" s="167"/>
      <c r="F587" s="106"/>
      <c r="G587" s="1" t="str">
        <f>TEXT(GC[[#This Row],[Date]],"mmm-yy")</f>
        <v>Jan-00</v>
      </c>
      <c r="H587" s="1">
        <f>DAY(EOMONTH(GC[[#This Row],[Month Year]],0))</f>
        <v>31</v>
      </c>
      <c r="I587" s="106"/>
      <c r="J587" s="106"/>
      <c r="K587" s="106"/>
      <c r="L587" s="106"/>
      <c r="M587" s="106"/>
      <c r="N587" s="106"/>
      <c r="O587" s="106"/>
      <c r="P587" s="106"/>
      <c r="Q587" s="106"/>
      <c r="R587" s="106"/>
      <c r="S587" s="1">
        <f>SUM(GC[[#This Row],[Blk1]:[Blk8]])</f>
        <v>0</v>
      </c>
      <c r="T587" s="106" t="str">
        <f>PROPER(GC[[#This Row],[Resources]])</f>
        <v/>
      </c>
      <c r="U587" s="106"/>
    </row>
    <row r="588" spans="1:21" x14ac:dyDescent="0.25">
      <c r="A588" s="106">
        <v>587</v>
      </c>
      <c r="B588" s="168"/>
      <c r="C588" s="126">
        <f>YEAR(GC[[#This Row],[Date]])+IF(MONTH(GC[[#This Row],[Date]])&gt;=4,1,0)</f>
        <v>1900</v>
      </c>
      <c r="D588" s="102">
        <f>YEAR(GC[[#This Row],[Date]])</f>
        <v>1900</v>
      </c>
      <c r="E588" s="167"/>
      <c r="F588" s="106"/>
      <c r="G588" s="1" t="str">
        <f>TEXT(GC[[#This Row],[Date]],"mmm-yy")</f>
        <v>Jan-00</v>
      </c>
      <c r="H588" s="1">
        <f>DAY(EOMONTH(GC[[#This Row],[Month Year]],0))</f>
        <v>31</v>
      </c>
      <c r="I588" s="106"/>
      <c r="J588" s="106"/>
      <c r="K588" s="106"/>
      <c r="L588" s="106"/>
      <c r="M588" s="106"/>
      <c r="N588" s="106"/>
      <c r="O588" s="106"/>
      <c r="P588" s="106"/>
      <c r="Q588" s="106"/>
      <c r="R588" s="106"/>
      <c r="S588" s="1">
        <f>SUM(GC[[#This Row],[Blk1]:[Blk8]])</f>
        <v>0</v>
      </c>
      <c r="T588" s="106" t="str">
        <f>PROPER(GC[[#This Row],[Resources]])</f>
        <v/>
      </c>
      <c r="U588" s="106"/>
    </row>
    <row r="589" spans="1:21" x14ac:dyDescent="0.25">
      <c r="A589" s="106">
        <v>588</v>
      </c>
      <c r="B589" s="168"/>
      <c r="C589" s="126">
        <f>YEAR(GC[[#This Row],[Date]])+IF(MONTH(GC[[#This Row],[Date]])&gt;=4,1,0)</f>
        <v>1900</v>
      </c>
      <c r="D589" s="102">
        <f>YEAR(GC[[#This Row],[Date]])</f>
        <v>1900</v>
      </c>
      <c r="E589" s="167"/>
      <c r="F589" s="106"/>
      <c r="G589" s="1" t="str">
        <f>TEXT(GC[[#This Row],[Date]],"mmm-yy")</f>
        <v>Jan-00</v>
      </c>
      <c r="H589" s="1">
        <f>DAY(EOMONTH(GC[[#This Row],[Month Year]],0))</f>
        <v>31</v>
      </c>
      <c r="I589" s="106"/>
      <c r="J589" s="106"/>
      <c r="K589" s="106"/>
      <c r="L589" s="106"/>
      <c r="M589" s="106"/>
      <c r="N589" s="106"/>
      <c r="O589" s="106"/>
      <c r="P589" s="106"/>
      <c r="Q589" s="106"/>
      <c r="R589" s="106"/>
      <c r="S589" s="1">
        <f>SUM(GC[[#This Row],[Blk1]:[Blk8]])</f>
        <v>0</v>
      </c>
      <c r="T589" s="106" t="str">
        <f>PROPER(GC[[#This Row],[Resources]])</f>
        <v/>
      </c>
      <c r="U589" s="106"/>
    </row>
    <row r="590" spans="1:21" x14ac:dyDescent="0.25">
      <c r="A590" s="106">
        <v>589</v>
      </c>
      <c r="B590" s="168"/>
      <c r="C590" s="126">
        <f>YEAR(GC[[#This Row],[Date]])+IF(MONTH(GC[[#This Row],[Date]])&gt;=4,1,0)</f>
        <v>1900</v>
      </c>
      <c r="D590" s="102">
        <f>YEAR(GC[[#This Row],[Date]])</f>
        <v>1900</v>
      </c>
      <c r="E590" s="167"/>
      <c r="F590" s="106"/>
      <c r="G590" s="1" t="str">
        <f>TEXT(GC[[#This Row],[Date]],"mmm-yy")</f>
        <v>Jan-00</v>
      </c>
      <c r="H590" s="1">
        <f>DAY(EOMONTH(GC[[#This Row],[Month Year]],0))</f>
        <v>31</v>
      </c>
      <c r="I590" s="106"/>
      <c r="J590" s="106"/>
      <c r="K590" s="106"/>
      <c r="L590" s="106"/>
      <c r="M590" s="106"/>
      <c r="N590" s="106"/>
      <c r="O590" s="106"/>
      <c r="P590" s="106"/>
      <c r="Q590" s="106"/>
      <c r="R590" s="106"/>
      <c r="S590" s="1">
        <f>SUM(GC[[#This Row],[Blk1]:[Blk8]])</f>
        <v>0</v>
      </c>
      <c r="T590" s="106" t="str">
        <f>PROPER(GC[[#This Row],[Resources]])</f>
        <v/>
      </c>
      <c r="U590" s="106"/>
    </row>
    <row r="591" spans="1:21" x14ac:dyDescent="0.25">
      <c r="A591" s="106">
        <v>590</v>
      </c>
      <c r="B591" s="168"/>
      <c r="C591" s="126">
        <f>YEAR(GC[[#This Row],[Date]])+IF(MONTH(GC[[#This Row],[Date]])&gt;=4,1,0)</f>
        <v>1900</v>
      </c>
      <c r="D591" s="102">
        <f>YEAR(GC[[#This Row],[Date]])</f>
        <v>1900</v>
      </c>
      <c r="E591" s="167"/>
      <c r="F591" s="106"/>
      <c r="G591" s="1" t="str">
        <f>TEXT(GC[[#This Row],[Date]],"mmm-yy")</f>
        <v>Jan-00</v>
      </c>
      <c r="H591" s="1">
        <f>DAY(EOMONTH(GC[[#This Row],[Month Year]],0))</f>
        <v>31</v>
      </c>
      <c r="I591" s="106"/>
      <c r="J591" s="106"/>
      <c r="K591" s="106"/>
      <c r="L591" s="106"/>
      <c r="M591" s="106"/>
      <c r="N591" s="106"/>
      <c r="O591" s="106"/>
      <c r="P591" s="106"/>
      <c r="Q591" s="106"/>
      <c r="R591" s="106"/>
      <c r="S591" s="1">
        <f>SUM(GC[[#This Row],[Blk1]:[Blk8]])</f>
        <v>0</v>
      </c>
      <c r="T591" s="106" t="str">
        <f>PROPER(GC[[#This Row],[Resources]])</f>
        <v/>
      </c>
      <c r="U591" s="106"/>
    </row>
    <row r="592" spans="1:21" x14ac:dyDescent="0.25">
      <c r="A592" s="106">
        <v>591</v>
      </c>
      <c r="B592" s="168"/>
      <c r="C592" s="126">
        <f>YEAR(GC[[#This Row],[Date]])+IF(MONTH(GC[[#This Row],[Date]])&gt;=4,1,0)</f>
        <v>1900</v>
      </c>
      <c r="D592" s="102">
        <f>YEAR(GC[[#This Row],[Date]])</f>
        <v>1900</v>
      </c>
      <c r="E592" s="167"/>
      <c r="F592" s="106"/>
      <c r="G592" s="1" t="str">
        <f>TEXT(GC[[#This Row],[Date]],"mmm-yy")</f>
        <v>Jan-00</v>
      </c>
      <c r="H592" s="1">
        <f>DAY(EOMONTH(GC[[#This Row],[Month Year]],0))</f>
        <v>31</v>
      </c>
      <c r="I592" s="106"/>
      <c r="J592" s="106"/>
      <c r="K592" s="106"/>
      <c r="L592" s="106"/>
      <c r="M592" s="106"/>
      <c r="N592" s="106"/>
      <c r="O592" s="106"/>
      <c r="P592" s="106"/>
      <c r="Q592" s="106"/>
      <c r="R592" s="106"/>
      <c r="S592" s="1">
        <f>SUM(GC[[#This Row],[Blk1]:[Blk8]])</f>
        <v>0</v>
      </c>
      <c r="T592" s="106" t="str">
        <f>PROPER(GC[[#This Row],[Resources]])</f>
        <v/>
      </c>
      <c r="U592" s="106"/>
    </row>
    <row r="593" spans="1:21" x14ac:dyDescent="0.25">
      <c r="A593" s="106">
        <v>592</v>
      </c>
      <c r="B593" s="168"/>
      <c r="C593" s="126">
        <f>YEAR(GC[[#This Row],[Date]])+IF(MONTH(GC[[#This Row],[Date]])&gt;=4,1,0)</f>
        <v>1900</v>
      </c>
      <c r="D593" s="102">
        <f>YEAR(GC[[#This Row],[Date]])</f>
        <v>1900</v>
      </c>
      <c r="E593" s="167"/>
      <c r="F593" s="106"/>
      <c r="G593" s="1" t="str">
        <f>TEXT(GC[[#This Row],[Date]],"mmm-yy")</f>
        <v>Jan-00</v>
      </c>
      <c r="H593" s="1">
        <f>DAY(EOMONTH(GC[[#This Row],[Month Year]],0))</f>
        <v>31</v>
      </c>
      <c r="I593" s="106"/>
      <c r="J593" s="106"/>
      <c r="K593" s="106"/>
      <c r="L593" s="106"/>
      <c r="M593" s="106"/>
      <c r="N593" s="106"/>
      <c r="O593" s="106"/>
      <c r="P593" s="106"/>
      <c r="Q593" s="106"/>
      <c r="R593" s="106"/>
      <c r="S593" s="1">
        <f>SUM(GC[[#This Row],[Blk1]:[Blk8]])</f>
        <v>0</v>
      </c>
      <c r="T593" s="106" t="str">
        <f>PROPER(GC[[#This Row],[Resources]])</f>
        <v/>
      </c>
      <c r="U593" s="106"/>
    </row>
    <row r="594" spans="1:21" x14ac:dyDescent="0.25">
      <c r="A594" s="106">
        <v>593</v>
      </c>
      <c r="B594" s="168"/>
      <c r="C594" s="126">
        <f>YEAR(GC[[#This Row],[Date]])+IF(MONTH(GC[[#This Row],[Date]])&gt;=4,1,0)</f>
        <v>1900</v>
      </c>
      <c r="D594" s="102">
        <f>YEAR(GC[[#This Row],[Date]])</f>
        <v>1900</v>
      </c>
      <c r="E594" s="167"/>
      <c r="F594" s="106"/>
      <c r="G594" s="1" t="str">
        <f>TEXT(GC[[#This Row],[Date]],"mmm-yy")</f>
        <v>Jan-00</v>
      </c>
      <c r="H594" s="1">
        <f>DAY(EOMONTH(GC[[#This Row],[Month Year]],0))</f>
        <v>31</v>
      </c>
      <c r="I594" s="106"/>
      <c r="J594" s="106"/>
      <c r="K594" s="106"/>
      <c r="L594" s="106"/>
      <c r="M594" s="106"/>
      <c r="N594" s="106"/>
      <c r="O594" s="106"/>
      <c r="P594" s="106"/>
      <c r="Q594" s="106"/>
      <c r="R594" s="106"/>
      <c r="S594" s="1">
        <f>SUM(GC[[#This Row],[Blk1]:[Blk8]])</f>
        <v>0</v>
      </c>
      <c r="T594" s="106" t="str">
        <f>PROPER(GC[[#This Row],[Resources]])</f>
        <v/>
      </c>
      <c r="U594" s="106"/>
    </row>
    <row r="595" spans="1:21" x14ac:dyDescent="0.25">
      <c r="A595" s="106">
        <v>594</v>
      </c>
      <c r="B595" s="168"/>
      <c r="C595" s="126">
        <f>YEAR(GC[[#This Row],[Date]])+IF(MONTH(GC[[#This Row],[Date]])&gt;=4,1,0)</f>
        <v>1900</v>
      </c>
      <c r="D595" s="102">
        <f>YEAR(GC[[#This Row],[Date]])</f>
        <v>1900</v>
      </c>
      <c r="E595" s="167"/>
      <c r="F595" s="106"/>
      <c r="G595" s="1" t="str">
        <f>TEXT(GC[[#This Row],[Date]],"mmm-yy")</f>
        <v>Jan-00</v>
      </c>
      <c r="H595" s="1">
        <f>DAY(EOMONTH(GC[[#This Row],[Month Year]],0))</f>
        <v>31</v>
      </c>
      <c r="I595" s="106"/>
      <c r="J595" s="106"/>
      <c r="K595" s="106"/>
      <c r="L595" s="106"/>
      <c r="M595" s="106"/>
      <c r="N595" s="106"/>
      <c r="O595" s="106"/>
      <c r="P595" s="106"/>
      <c r="Q595" s="106"/>
      <c r="R595" s="106"/>
      <c r="S595" s="1">
        <f>SUM(GC[[#This Row],[Blk1]:[Blk8]])</f>
        <v>0</v>
      </c>
      <c r="T595" s="106" t="str">
        <f>PROPER(GC[[#This Row],[Resources]])</f>
        <v/>
      </c>
      <c r="U595" s="106"/>
    </row>
    <row r="596" spans="1:21" x14ac:dyDescent="0.25">
      <c r="A596" s="106">
        <v>595</v>
      </c>
      <c r="B596" s="168"/>
      <c r="C596" s="126">
        <f>YEAR(GC[[#This Row],[Date]])+IF(MONTH(GC[[#This Row],[Date]])&gt;=4,1,0)</f>
        <v>1900</v>
      </c>
      <c r="D596" s="102">
        <f>YEAR(GC[[#This Row],[Date]])</f>
        <v>1900</v>
      </c>
      <c r="E596" s="167"/>
      <c r="F596" s="106"/>
      <c r="G596" s="1" t="str">
        <f>TEXT(GC[[#This Row],[Date]],"mmm-yy")</f>
        <v>Jan-00</v>
      </c>
      <c r="H596" s="1">
        <f>DAY(EOMONTH(GC[[#This Row],[Month Year]],0))</f>
        <v>31</v>
      </c>
      <c r="I596" s="106"/>
      <c r="J596" s="106"/>
      <c r="K596" s="106"/>
      <c r="L596" s="106"/>
      <c r="M596" s="106"/>
      <c r="N596" s="106"/>
      <c r="O596" s="106"/>
      <c r="P596" s="106"/>
      <c r="Q596" s="106"/>
      <c r="R596" s="106"/>
      <c r="S596" s="1">
        <f>SUM(GC[[#This Row],[Blk1]:[Blk8]])</f>
        <v>0</v>
      </c>
      <c r="T596" s="106" t="str">
        <f>PROPER(GC[[#This Row],[Resources]])</f>
        <v/>
      </c>
      <c r="U596" s="106"/>
    </row>
    <row r="597" spans="1:21" x14ac:dyDescent="0.25">
      <c r="A597" s="106">
        <v>596</v>
      </c>
      <c r="B597" s="168"/>
      <c r="C597" s="126">
        <f>YEAR(GC[[#This Row],[Date]])+IF(MONTH(GC[[#This Row],[Date]])&gt;=4,1,0)</f>
        <v>1900</v>
      </c>
      <c r="D597" s="102">
        <f>YEAR(GC[[#This Row],[Date]])</f>
        <v>1900</v>
      </c>
      <c r="E597" s="167"/>
      <c r="F597" s="106"/>
      <c r="G597" s="1" t="str">
        <f>TEXT(GC[[#This Row],[Date]],"mmm-yy")</f>
        <v>Jan-00</v>
      </c>
      <c r="H597" s="1">
        <f>DAY(EOMONTH(GC[[#This Row],[Month Year]],0))</f>
        <v>31</v>
      </c>
      <c r="I597" s="106"/>
      <c r="J597" s="106"/>
      <c r="K597" s="106"/>
      <c r="L597" s="106"/>
      <c r="M597" s="106"/>
      <c r="N597" s="106"/>
      <c r="O597" s="106"/>
      <c r="P597" s="106"/>
      <c r="Q597" s="106"/>
      <c r="R597" s="106"/>
      <c r="S597" s="1">
        <f>SUM(GC[[#This Row],[Blk1]:[Blk8]])</f>
        <v>0</v>
      </c>
      <c r="T597" s="106" t="str">
        <f>PROPER(GC[[#This Row],[Resources]])</f>
        <v/>
      </c>
      <c r="U597" s="106"/>
    </row>
    <row r="598" spans="1:21" x14ac:dyDescent="0.25">
      <c r="A598" s="106">
        <v>597</v>
      </c>
      <c r="B598" s="168"/>
      <c r="C598" s="126">
        <f>YEAR(GC[[#This Row],[Date]])+IF(MONTH(GC[[#This Row],[Date]])&gt;=4,1,0)</f>
        <v>1900</v>
      </c>
      <c r="D598" s="102">
        <f>YEAR(GC[[#This Row],[Date]])</f>
        <v>1900</v>
      </c>
      <c r="E598" s="167"/>
      <c r="F598" s="106"/>
      <c r="G598" s="1" t="str">
        <f>TEXT(GC[[#This Row],[Date]],"mmm-yy")</f>
        <v>Jan-00</v>
      </c>
      <c r="H598" s="1">
        <f>DAY(EOMONTH(GC[[#This Row],[Month Year]],0))</f>
        <v>31</v>
      </c>
      <c r="I598" s="106"/>
      <c r="J598" s="106"/>
      <c r="K598" s="106"/>
      <c r="L598" s="106"/>
      <c r="M598" s="106"/>
      <c r="N598" s="106"/>
      <c r="O598" s="106"/>
      <c r="P598" s="106"/>
      <c r="Q598" s="106"/>
      <c r="R598" s="106"/>
      <c r="S598" s="1">
        <f>SUM(GC[[#This Row],[Blk1]:[Blk8]])</f>
        <v>0</v>
      </c>
      <c r="T598" s="106" t="str">
        <f>PROPER(GC[[#This Row],[Resources]])</f>
        <v/>
      </c>
      <c r="U598" s="106"/>
    </row>
    <row r="599" spans="1:21" x14ac:dyDescent="0.25">
      <c r="A599" s="106">
        <v>598</v>
      </c>
      <c r="B599" s="168"/>
      <c r="C599" s="126">
        <f>YEAR(GC[[#This Row],[Date]])+IF(MONTH(GC[[#This Row],[Date]])&gt;=4,1,0)</f>
        <v>1900</v>
      </c>
      <c r="D599" s="102">
        <f>YEAR(GC[[#This Row],[Date]])</f>
        <v>1900</v>
      </c>
      <c r="E599" s="167"/>
      <c r="F599" s="106"/>
      <c r="G599" s="1" t="str">
        <f>TEXT(GC[[#This Row],[Date]],"mmm-yy")</f>
        <v>Jan-00</v>
      </c>
      <c r="H599" s="1">
        <f>DAY(EOMONTH(GC[[#This Row],[Month Year]],0))</f>
        <v>31</v>
      </c>
      <c r="I599" s="106"/>
      <c r="J599" s="106"/>
      <c r="K599" s="106"/>
      <c r="L599" s="106"/>
      <c r="M599" s="106"/>
      <c r="N599" s="106"/>
      <c r="O599" s="106"/>
      <c r="P599" s="106"/>
      <c r="Q599" s="106"/>
      <c r="R599" s="106"/>
      <c r="S599" s="1">
        <f>SUM(GC[[#This Row],[Blk1]:[Blk8]])</f>
        <v>0</v>
      </c>
      <c r="T599" s="106" t="str">
        <f>PROPER(GC[[#This Row],[Resources]])</f>
        <v/>
      </c>
      <c r="U599" s="106"/>
    </row>
    <row r="600" spans="1:21" x14ac:dyDescent="0.25">
      <c r="A600" s="106">
        <v>599</v>
      </c>
      <c r="B600" s="168"/>
      <c r="C600" s="126">
        <f>YEAR(GC[[#This Row],[Date]])+IF(MONTH(GC[[#This Row],[Date]])&gt;=4,1,0)</f>
        <v>1900</v>
      </c>
      <c r="D600" s="102">
        <f>YEAR(GC[[#This Row],[Date]])</f>
        <v>1900</v>
      </c>
      <c r="E600" s="167"/>
      <c r="F600" s="106"/>
      <c r="G600" s="1" t="str">
        <f>TEXT(GC[[#This Row],[Date]],"mmm-yy")</f>
        <v>Jan-00</v>
      </c>
      <c r="H600" s="1">
        <f>DAY(EOMONTH(GC[[#This Row],[Month Year]],0))</f>
        <v>31</v>
      </c>
      <c r="I600" s="106"/>
      <c r="J600" s="106"/>
      <c r="K600" s="106"/>
      <c r="L600" s="106"/>
      <c r="M600" s="106"/>
      <c r="N600" s="106"/>
      <c r="O600" s="106"/>
      <c r="P600" s="106"/>
      <c r="Q600" s="106"/>
      <c r="R600" s="106"/>
      <c r="S600" s="1">
        <f>SUM(GC[[#This Row],[Blk1]:[Blk8]])</f>
        <v>0</v>
      </c>
      <c r="T600" s="106" t="str">
        <f>PROPER(GC[[#This Row],[Resources]])</f>
        <v/>
      </c>
      <c r="U600" s="106"/>
    </row>
    <row r="601" spans="1:21" x14ac:dyDescent="0.25">
      <c r="A601" s="106">
        <v>600</v>
      </c>
      <c r="B601" s="168"/>
      <c r="C601" s="126">
        <f>YEAR(GC[[#This Row],[Date]])+IF(MONTH(GC[[#This Row],[Date]])&gt;=4,1,0)</f>
        <v>1900</v>
      </c>
      <c r="D601" s="102">
        <f>YEAR(GC[[#This Row],[Date]])</f>
        <v>1900</v>
      </c>
      <c r="E601" s="167"/>
      <c r="F601" s="106"/>
      <c r="G601" s="1" t="str">
        <f>TEXT(GC[[#This Row],[Date]],"mmm-yy")</f>
        <v>Jan-00</v>
      </c>
      <c r="H601" s="1">
        <f>DAY(EOMONTH(GC[[#This Row],[Month Year]],0))</f>
        <v>31</v>
      </c>
      <c r="I601" s="106"/>
      <c r="J601" s="106"/>
      <c r="K601" s="106"/>
      <c r="L601" s="106"/>
      <c r="M601" s="106"/>
      <c r="N601" s="106"/>
      <c r="O601" s="106"/>
      <c r="P601" s="106"/>
      <c r="Q601" s="106"/>
      <c r="R601" s="106"/>
      <c r="S601" s="1">
        <f>SUM(GC[[#This Row],[Blk1]:[Blk8]])</f>
        <v>0</v>
      </c>
      <c r="T601" s="106" t="str">
        <f>PROPER(GC[[#This Row],[Resources]])</f>
        <v/>
      </c>
      <c r="U601" s="106"/>
    </row>
    <row r="602" spans="1:21" x14ac:dyDescent="0.25">
      <c r="A602" s="106">
        <v>601</v>
      </c>
      <c r="B602" s="168"/>
      <c r="C602" s="126">
        <f>YEAR(GC[[#This Row],[Date]])+IF(MONTH(GC[[#This Row],[Date]])&gt;=4,1,0)</f>
        <v>1900</v>
      </c>
      <c r="D602" s="102">
        <f>YEAR(GC[[#This Row],[Date]])</f>
        <v>1900</v>
      </c>
      <c r="E602" s="167"/>
      <c r="F602" s="106"/>
      <c r="G602" s="1" t="str">
        <f>TEXT(GC[[#This Row],[Date]],"mmm-yy")</f>
        <v>Jan-00</v>
      </c>
      <c r="H602" s="1">
        <f>DAY(EOMONTH(GC[[#This Row],[Month Year]],0))</f>
        <v>31</v>
      </c>
      <c r="I602" s="106"/>
      <c r="J602" s="106"/>
      <c r="K602" s="106"/>
      <c r="L602" s="106"/>
      <c r="M602" s="106"/>
      <c r="N602" s="106"/>
      <c r="O602" s="106"/>
      <c r="P602" s="106"/>
      <c r="Q602" s="106"/>
      <c r="R602" s="106"/>
      <c r="S602" s="1">
        <f>SUM(GC[[#This Row],[Blk1]:[Blk8]])</f>
        <v>0</v>
      </c>
      <c r="T602" s="106" t="str">
        <f>PROPER(GC[[#This Row],[Resources]])</f>
        <v/>
      </c>
      <c r="U602" s="106"/>
    </row>
    <row r="603" spans="1:21" x14ac:dyDescent="0.25">
      <c r="A603" s="106">
        <v>602</v>
      </c>
      <c r="B603" s="168"/>
      <c r="C603" s="126">
        <f>YEAR(GC[[#This Row],[Date]])+IF(MONTH(GC[[#This Row],[Date]])&gt;=4,1,0)</f>
        <v>1900</v>
      </c>
      <c r="D603" s="102">
        <f>YEAR(GC[[#This Row],[Date]])</f>
        <v>1900</v>
      </c>
      <c r="E603" s="167"/>
      <c r="F603" s="106"/>
      <c r="G603" s="1" t="str">
        <f>TEXT(GC[[#This Row],[Date]],"mmm-yy")</f>
        <v>Jan-00</v>
      </c>
      <c r="H603" s="1">
        <f>DAY(EOMONTH(GC[[#This Row],[Month Year]],0))</f>
        <v>31</v>
      </c>
      <c r="I603" s="106"/>
      <c r="J603" s="106"/>
      <c r="K603" s="106"/>
      <c r="L603" s="106"/>
      <c r="M603" s="106"/>
      <c r="N603" s="106"/>
      <c r="O603" s="106"/>
      <c r="P603" s="106"/>
      <c r="Q603" s="106"/>
      <c r="R603" s="106"/>
      <c r="S603" s="1">
        <f>SUM(GC[[#This Row],[Blk1]:[Blk8]])</f>
        <v>0</v>
      </c>
      <c r="T603" s="106" t="str">
        <f>PROPER(GC[[#This Row],[Resources]])</f>
        <v/>
      </c>
      <c r="U603" s="106"/>
    </row>
    <row r="604" spans="1:21" x14ac:dyDescent="0.25">
      <c r="A604" s="106">
        <v>603</v>
      </c>
      <c r="B604" s="168"/>
      <c r="C604" s="126">
        <f>YEAR(GC[[#This Row],[Date]])+IF(MONTH(GC[[#This Row],[Date]])&gt;=4,1,0)</f>
        <v>1900</v>
      </c>
      <c r="D604" s="102">
        <f>YEAR(GC[[#This Row],[Date]])</f>
        <v>1900</v>
      </c>
      <c r="E604" s="167"/>
      <c r="F604" s="106"/>
      <c r="G604" s="1" t="str">
        <f>TEXT(GC[[#This Row],[Date]],"mmm-yy")</f>
        <v>Jan-00</v>
      </c>
      <c r="H604" s="1">
        <f>DAY(EOMONTH(GC[[#This Row],[Month Year]],0))</f>
        <v>31</v>
      </c>
      <c r="I604" s="106"/>
      <c r="J604" s="106"/>
      <c r="K604" s="106"/>
      <c r="L604" s="106"/>
      <c r="M604" s="106"/>
      <c r="N604" s="106"/>
      <c r="O604" s="106"/>
      <c r="P604" s="106"/>
      <c r="Q604" s="106"/>
      <c r="R604" s="106"/>
      <c r="S604" s="1">
        <f>SUM(GC[[#This Row],[Blk1]:[Blk8]])</f>
        <v>0</v>
      </c>
      <c r="T604" s="106" t="str">
        <f>PROPER(GC[[#This Row],[Resources]])</f>
        <v/>
      </c>
      <c r="U604" s="106"/>
    </row>
    <row r="605" spans="1:21" x14ac:dyDescent="0.25">
      <c r="A605" s="106">
        <v>604</v>
      </c>
      <c r="B605" s="168"/>
      <c r="C605" s="126">
        <f>YEAR(GC[[#This Row],[Date]])+IF(MONTH(GC[[#This Row],[Date]])&gt;=4,1,0)</f>
        <v>1900</v>
      </c>
      <c r="D605" s="102">
        <f>YEAR(GC[[#This Row],[Date]])</f>
        <v>1900</v>
      </c>
      <c r="E605" s="167"/>
      <c r="F605" s="106"/>
      <c r="G605" s="1" t="str">
        <f>TEXT(GC[[#This Row],[Date]],"mmm-yy")</f>
        <v>Jan-00</v>
      </c>
      <c r="H605" s="1">
        <f>DAY(EOMONTH(GC[[#This Row],[Month Year]],0))</f>
        <v>31</v>
      </c>
      <c r="I605" s="106"/>
      <c r="J605" s="106"/>
      <c r="K605" s="106"/>
      <c r="L605" s="106"/>
      <c r="M605" s="106"/>
      <c r="N605" s="106"/>
      <c r="O605" s="106"/>
      <c r="P605" s="106"/>
      <c r="Q605" s="106"/>
      <c r="R605" s="106"/>
      <c r="S605" s="1">
        <f>SUM(GC[[#This Row],[Blk1]:[Blk8]])</f>
        <v>0</v>
      </c>
      <c r="T605" s="106" t="str">
        <f>PROPER(GC[[#This Row],[Resources]])</f>
        <v/>
      </c>
      <c r="U605" s="106"/>
    </row>
    <row r="606" spans="1:21" x14ac:dyDescent="0.25">
      <c r="A606" s="106">
        <v>605</v>
      </c>
      <c r="B606" s="168"/>
      <c r="C606" s="126">
        <f>YEAR(GC[[#This Row],[Date]])+IF(MONTH(GC[[#This Row],[Date]])&gt;=4,1,0)</f>
        <v>1900</v>
      </c>
      <c r="D606" s="102">
        <f>YEAR(GC[[#This Row],[Date]])</f>
        <v>1900</v>
      </c>
      <c r="E606" s="167"/>
      <c r="F606" s="106"/>
      <c r="G606" s="1" t="str">
        <f>TEXT(GC[[#This Row],[Date]],"mmm-yy")</f>
        <v>Jan-00</v>
      </c>
      <c r="H606" s="1">
        <f>DAY(EOMONTH(GC[[#This Row],[Month Year]],0))</f>
        <v>31</v>
      </c>
      <c r="I606" s="106"/>
      <c r="J606" s="106"/>
      <c r="K606" s="106"/>
      <c r="L606" s="106"/>
      <c r="M606" s="106"/>
      <c r="N606" s="106"/>
      <c r="O606" s="106"/>
      <c r="P606" s="106"/>
      <c r="Q606" s="106"/>
      <c r="R606" s="106"/>
      <c r="S606" s="1">
        <f>SUM(GC[[#This Row],[Blk1]:[Blk8]])</f>
        <v>0</v>
      </c>
      <c r="T606" s="106" t="str">
        <f>PROPER(GC[[#This Row],[Resources]])</f>
        <v/>
      </c>
      <c r="U606" s="106"/>
    </row>
    <row r="607" spans="1:21" x14ac:dyDescent="0.25">
      <c r="A607" s="106">
        <v>606</v>
      </c>
      <c r="B607" s="168"/>
      <c r="C607" s="126">
        <f>YEAR(GC[[#This Row],[Date]])+IF(MONTH(GC[[#This Row],[Date]])&gt;=4,1,0)</f>
        <v>1900</v>
      </c>
      <c r="D607" s="102">
        <f>YEAR(GC[[#This Row],[Date]])</f>
        <v>1900</v>
      </c>
      <c r="E607" s="167"/>
      <c r="F607" s="106"/>
      <c r="G607" s="1" t="str">
        <f>TEXT(GC[[#This Row],[Date]],"mmm-yy")</f>
        <v>Jan-00</v>
      </c>
      <c r="H607" s="1">
        <f>DAY(EOMONTH(GC[[#This Row],[Month Year]],0))</f>
        <v>31</v>
      </c>
      <c r="I607" s="106"/>
      <c r="J607" s="106"/>
      <c r="K607" s="106"/>
      <c r="L607" s="106"/>
      <c r="M607" s="106"/>
      <c r="N607" s="106"/>
      <c r="O607" s="106"/>
      <c r="P607" s="106"/>
      <c r="Q607" s="106"/>
      <c r="R607" s="106"/>
      <c r="S607" s="1">
        <f>SUM(GC[[#This Row],[Blk1]:[Blk8]])</f>
        <v>0</v>
      </c>
      <c r="T607" s="106" t="str">
        <f>PROPER(GC[[#This Row],[Resources]])</f>
        <v/>
      </c>
      <c r="U607" s="106"/>
    </row>
    <row r="608" spans="1:21" x14ac:dyDescent="0.25">
      <c r="A608" s="106">
        <v>607</v>
      </c>
      <c r="B608" s="168"/>
      <c r="C608" s="126">
        <f>YEAR(GC[[#This Row],[Date]])+IF(MONTH(GC[[#This Row],[Date]])&gt;=4,1,0)</f>
        <v>1900</v>
      </c>
      <c r="D608" s="102">
        <f>YEAR(GC[[#This Row],[Date]])</f>
        <v>1900</v>
      </c>
      <c r="E608" s="167"/>
      <c r="F608" s="106"/>
      <c r="G608" s="1" t="str">
        <f>TEXT(GC[[#This Row],[Date]],"mmm-yy")</f>
        <v>Jan-00</v>
      </c>
      <c r="H608" s="1">
        <f>DAY(EOMONTH(GC[[#This Row],[Month Year]],0))</f>
        <v>31</v>
      </c>
      <c r="I608" s="106"/>
      <c r="J608" s="106"/>
      <c r="K608" s="106"/>
      <c r="L608" s="106"/>
      <c r="M608" s="106"/>
      <c r="N608" s="106"/>
      <c r="O608" s="106"/>
      <c r="P608" s="106"/>
      <c r="Q608" s="106"/>
      <c r="R608" s="106"/>
      <c r="S608" s="1">
        <f>SUM(GC[[#This Row],[Blk1]:[Blk8]])</f>
        <v>0</v>
      </c>
      <c r="T608" s="106" t="str">
        <f>PROPER(GC[[#This Row],[Resources]])</f>
        <v/>
      </c>
      <c r="U608" s="106"/>
    </row>
    <row r="609" spans="1:21" x14ac:dyDescent="0.25">
      <c r="A609" s="106">
        <v>608</v>
      </c>
      <c r="B609" s="168"/>
      <c r="C609" s="126">
        <f>YEAR(GC[[#This Row],[Date]])+IF(MONTH(GC[[#This Row],[Date]])&gt;=4,1,0)</f>
        <v>1900</v>
      </c>
      <c r="D609" s="102">
        <f>YEAR(GC[[#This Row],[Date]])</f>
        <v>1900</v>
      </c>
      <c r="E609" s="167"/>
      <c r="F609" s="106"/>
      <c r="G609" s="1" t="str">
        <f>TEXT(GC[[#This Row],[Date]],"mmm-yy")</f>
        <v>Jan-00</v>
      </c>
      <c r="H609" s="1">
        <f>DAY(EOMONTH(GC[[#This Row],[Month Year]],0))</f>
        <v>31</v>
      </c>
      <c r="I609" s="106"/>
      <c r="J609" s="106"/>
      <c r="K609" s="106"/>
      <c r="L609" s="106"/>
      <c r="M609" s="106"/>
      <c r="N609" s="106"/>
      <c r="O609" s="106"/>
      <c r="P609" s="106"/>
      <c r="Q609" s="106"/>
      <c r="R609" s="106"/>
      <c r="S609" s="1">
        <f>SUM(GC[[#This Row],[Blk1]:[Blk8]])</f>
        <v>0</v>
      </c>
      <c r="T609" s="106" t="str">
        <f>PROPER(GC[[#This Row],[Resources]])</f>
        <v/>
      </c>
      <c r="U609" s="106"/>
    </row>
    <row r="610" spans="1:21" x14ac:dyDescent="0.25">
      <c r="A610" s="106">
        <v>609</v>
      </c>
      <c r="B610" s="168"/>
      <c r="C610" s="126">
        <f>YEAR(GC[[#This Row],[Date]])+IF(MONTH(GC[[#This Row],[Date]])&gt;=4,1,0)</f>
        <v>1900</v>
      </c>
      <c r="D610" s="102">
        <f>YEAR(GC[[#This Row],[Date]])</f>
        <v>1900</v>
      </c>
      <c r="E610" s="167"/>
      <c r="F610" s="106"/>
      <c r="G610" s="1" t="str">
        <f>TEXT(GC[[#This Row],[Date]],"mmm-yy")</f>
        <v>Jan-00</v>
      </c>
      <c r="H610" s="1">
        <f>DAY(EOMONTH(GC[[#This Row],[Month Year]],0))</f>
        <v>31</v>
      </c>
      <c r="I610" s="106"/>
      <c r="J610" s="106"/>
      <c r="K610" s="106"/>
      <c r="L610" s="106"/>
      <c r="M610" s="106"/>
      <c r="N610" s="106"/>
      <c r="O610" s="106"/>
      <c r="P610" s="106"/>
      <c r="Q610" s="106"/>
      <c r="R610" s="106"/>
      <c r="S610" s="1">
        <f>SUM(GC[[#This Row],[Blk1]:[Blk8]])</f>
        <v>0</v>
      </c>
      <c r="T610" s="106" t="str">
        <f>PROPER(GC[[#This Row],[Resources]])</f>
        <v/>
      </c>
      <c r="U610" s="106"/>
    </row>
    <row r="611" spans="1:21" x14ac:dyDescent="0.25">
      <c r="A611" s="106">
        <v>610</v>
      </c>
      <c r="B611" s="168"/>
      <c r="C611" s="126">
        <f>YEAR(GC[[#This Row],[Date]])+IF(MONTH(GC[[#This Row],[Date]])&gt;=4,1,0)</f>
        <v>1900</v>
      </c>
      <c r="D611" s="102">
        <f>YEAR(GC[[#This Row],[Date]])</f>
        <v>1900</v>
      </c>
      <c r="E611" s="167"/>
      <c r="F611" s="106"/>
      <c r="G611" s="1" t="str">
        <f>TEXT(GC[[#This Row],[Date]],"mmm-yy")</f>
        <v>Jan-00</v>
      </c>
      <c r="H611" s="1">
        <f>DAY(EOMONTH(GC[[#This Row],[Month Year]],0))</f>
        <v>31</v>
      </c>
      <c r="I611" s="106"/>
      <c r="J611" s="106"/>
      <c r="K611" s="106"/>
      <c r="L611" s="106"/>
      <c r="M611" s="106"/>
      <c r="N611" s="106"/>
      <c r="O611" s="106"/>
      <c r="P611" s="106"/>
      <c r="Q611" s="106"/>
      <c r="R611" s="106"/>
      <c r="S611" s="1">
        <f>SUM(GC[[#This Row],[Blk1]:[Blk8]])</f>
        <v>0</v>
      </c>
      <c r="T611" s="106" t="str">
        <f>PROPER(GC[[#This Row],[Resources]])</f>
        <v/>
      </c>
      <c r="U611" s="106"/>
    </row>
    <row r="612" spans="1:21" x14ac:dyDescent="0.25">
      <c r="A612" s="106">
        <v>611</v>
      </c>
      <c r="B612" s="168"/>
      <c r="C612" s="126">
        <f>YEAR(GC[[#This Row],[Date]])+IF(MONTH(GC[[#This Row],[Date]])&gt;=4,1,0)</f>
        <v>1900</v>
      </c>
      <c r="D612" s="102">
        <f>YEAR(GC[[#This Row],[Date]])</f>
        <v>1900</v>
      </c>
      <c r="E612" s="167"/>
      <c r="F612" s="106"/>
      <c r="G612" s="1" t="str">
        <f>TEXT(GC[[#This Row],[Date]],"mmm-yy")</f>
        <v>Jan-00</v>
      </c>
      <c r="H612" s="1">
        <f>DAY(EOMONTH(GC[[#This Row],[Month Year]],0))</f>
        <v>31</v>
      </c>
      <c r="I612" s="106"/>
      <c r="J612" s="106"/>
      <c r="K612" s="106"/>
      <c r="L612" s="106"/>
      <c r="M612" s="106"/>
      <c r="N612" s="106"/>
      <c r="O612" s="106"/>
      <c r="P612" s="106"/>
      <c r="Q612" s="106"/>
      <c r="R612" s="106"/>
      <c r="S612" s="1">
        <f>SUM(GC[[#This Row],[Blk1]:[Blk8]])</f>
        <v>0</v>
      </c>
      <c r="T612" s="106" t="str">
        <f>PROPER(GC[[#This Row],[Resources]])</f>
        <v/>
      </c>
      <c r="U612" s="106"/>
    </row>
    <row r="613" spans="1:21" x14ac:dyDescent="0.25">
      <c r="A613" s="106">
        <v>612</v>
      </c>
      <c r="B613" s="168"/>
      <c r="C613" s="126">
        <f>YEAR(GC[[#This Row],[Date]])+IF(MONTH(GC[[#This Row],[Date]])&gt;=4,1,0)</f>
        <v>1900</v>
      </c>
      <c r="D613" s="102">
        <f>YEAR(GC[[#This Row],[Date]])</f>
        <v>1900</v>
      </c>
      <c r="E613" s="167"/>
      <c r="F613" s="106"/>
      <c r="G613" s="1" t="str">
        <f>TEXT(GC[[#This Row],[Date]],"mmm-yy")</f>
        <v>Jan-00</v>
      </c>
      <c r="H613" s="1">
        <f>DAY(EOMONTH(GC[[#This Row],[Month Year]],0))</f>
        <v>31</v>
      </c>
      <c r="I613" s="106"/>
      <c r="J613" s="106"/>
      <c r="K613" s="106"/>
      <c r="L613" s="106"/>
      <c r="M613" s="106"/>
      <c r="N613" s="106"/>
      <c r="O613" s="106"/>
      <c r="P613" s="106"/>
      <c r="Q613" s="106"/>
      <c r="R613" s="106"/>
      <c r="S613" s="1">
        <f>SUM(GC[[#This Row],[Blk1]:[Blk8]])</f>
        <v>0</v>
      </c>
      <c r="T613" s="106" t="str">
        <f>PROPER(GC[[#This Row],[Resources]])</f>
        <v/>
      </c>
      <c r="U613" s="106"/>
    </row>
    <row r="614" spans="1:21" x14ac:dyDescent="0.25">
      <c r="A614" s="106">
        <v>613</v>
      </c>
      <c r="B614" s="168"/>
      <c r="C614" s="126">
        <f>YEAR(GC[[#This Row],[Date]])+IF(MONTH(GC[[#This Row],[Date]])&gt;=4,1,0)</f>
        <v>1900</v>
      </c>
      <c r="D614" s="102">
        <f>YEAR(GC[[#This Row],[Date]])</f>
        <v>1900</v>
      </c>
      <c r="E614" s="167"/>
      <c r="F614" s="106"/>
      <c r="G614" s="1" t="str">
        <f>TEXT(GC[[#This Row],[Date]],"mmm-yy")</f>
        <v>Jan-00</v>
      </c>
      <c r="H614" s="1">
        <f>DAY(EOMONTH(GC[[#This Row],[Month Year]],0))</f>
        <v>31</v>
      </c>
      <c r="I614" s="106"/>
      <c r="J614" s="106"/>
      <c r="K614" s="106"/>
      <c r="L614" s="106"/>
      <c r="M614" s="106"/>
      <c r="N614" s="106"/>
      <c r="O614" s="106"/>
      <c r="P614" s="106"/>
      <c r="Q614" s="106"/>
      <c r="R614" s="106"/>
      <c r="S614" s="1">
        <f>SUM(GC[[#This Row],[Blk1]:[Blk8]])</f>
        <v>0</v>
      </c>
      <c r="T614" s="106" t="str">
        <f>PROPER(GC[[#This Row],[Resources]])</f>
        <v/>
      </c>
      <c r="U614" s="106"/>
    </row>
    <row r="615" spans="1:21" x14ac:dyDescent="0.25">
      <c r="A615" s="106">
        <v>614</v>
      </c>
      <c r="B615" s="168"/>
      <c r="C615" s="126">
        <f>YEAR(GC[[#This Row],[Date]])+IF(MONTH(GC[[#This Row],[Date]])&gt;=4,1,0)</f>
        <v>1900</v>
      </c>
      <c r="D615" s="102">
        <f>YEAR(GC[[#This Row],[Date]])</f>
        <v>1900</v>
      </c>
      <c r="E615" s="167"/>
      <c r="F615" s="106"/>
      <c r="G615" s="1" t="str">
        <f>TEXT(GC[[#This Row],[Date]],"mmm-yy")</f>
        <v>Jan-00</v>
      </c>
      <c r="H615" s="1">
        <f>DAY(EOMONTH(GC[[#This Row],[Month Year]],0))</f>
        <v>31</v>
      </c>
      <c r="I615" s="106"/>
      <c r="J615" s="106"/>
      <c r="K615" s="106"/>
      <c r="L615" s="106"/>
      <c r="M615" s="106"/>
      <c r="N615" s="106"/>
      <c r="O615" s="106"/>
      <c r="P615" s="106"/>
      <c r="Q615" s="106"/>
      <c r="R615" s="106"/>
      <c r="S615" s="1">
        <f>SUM(GC[[#This Row],[Blk1]:[Blk8]])</f>
        <v>0</v>
      </c>
      <c r="T615" s="106" t="str">
        <f>PROPER(GC[[#This Row],[Resources]])</f>
        <v/>
      </c>
      <c r="U615" s="106"/>
    </row>
    <row r="616" spans="1:21" x14ac:dyDescent="0.25">
      <c r="A616" s="106">
        <v>615</v>
      </c>
      <c r="B616" s="168"/>
      <c r="C616" s="126">
        <f>YEAR(GC[[#This Row],[Date]])+IF(MONTH(GC[[#This Row],[Date]])&gt;=4,1,0)</f>
        <v>1900</v>
      </c>
      <c r="D616" s="102">
        <f>YEAR(GC[[#This Row],[Date]])</f>
        <v>1900</v>
      </c>
      <c r="E616" s="167"/>
      <c r="F616" s="106"/>
      <c r="G616" s="1" t="str">
        <f>TEXT(GC[[#This Row],[Date]],"mmm-yy")</f>
        <v>Jan-00</v>
      </c>
      <c r="H616" s="1">
        <f>DAY(EOMONTH(GC[[#This Row],[Month Year]],0))</f>
        <v>31</v>
      </c>
      <c r="I616" s="106"/>
      <c r="J616" s="106"/>
      <c r="K616" s="106"/>
      <c r="L616" s="106"/>
      <c r="M616" s="106"/>
      <c r="N616" s="106"/>
      <c r="O616" s="106"/>
      <c r="P616" s="106"/>
      <c r="Q616" s="106"/>
      <c r="R616" s="106"/>
      <c r="S616" s="1">
        <f>SUM(GC[[#This Row],[Blk1]:[Blk8]])</f>
        <v>0</v>
      </c>
      <c r="T616" s="106" t="str">
        <f>PROPER(GC[[#This Row],[Resources]])</f>
        <v/>
      </c>
      <c r="U616" s="106"/>
    </row>
    <row r="617" spans="1:21" x14ac:dyDescent="0.25">
      <c r="A617" s="106">
        <v>616</v>
      </c>
      <c r="B617" s="168"/>
      <c r="C617" s="126">
        <f>YEAR(GC[[#This Row],[Date]])+IF(MONTH(GC[[#This Row],[Date]])&gt;=4,1,0)</f>
        <v>1900</v>
      </c>
      <c r="D617" s="102">
        <f>YEAR(GC[[#This Row],[Date]])</f>
        <v>1900</v>
      </c>
      <c r="E617" s="167"/>
      <c r="F617" s="106"/>
      <c r="G617" s="1" t="str">
        <f>TEXT(GC[[#This Row],[Date]],"mmm-yy")</f>
        <v>Jan-00</v>
      </c>
      <c r="H617" s="1">
        <f>DAY(EOMONTH(GC[[#This Row],[Month Year]],0))</f>
        <v>31</v>
      </c>
      <c r="I617" s="106"/>
      <c r="J617" s="106"/>
      <c r="K617" s="106"/>
      <c r="L617" s="106"/>
      <c r="M617" s="106"/>
      <c r="N617" s="106"/>
      <c r="O617" s="106"/>
      <c r="P617" s="106"/>
      <c r="Q617" s="106"/>
      <c r="R617" s="106"/>
      <c r="S617" s="1">
        <f>SUM(GC[[#This Row],[Blk1]:[Blk8]])</f>
        <v>0</v>
      </c>
      <c r="T617" s="106" t="str">
        <f>PROPER(GC[[#This Row],[Resources]])</f>
        <v/>
      </c>
      <c r="U617" s="106"/>
    </row>
    <row r="618" spans="1:21" x14ac:dyDescent="0.25">
      <c r="A618" s="106">
        <v>617</v>
      </c>
      <c r="B618" s="168"/>
      <c r="C618" s="126">
        <f>YEAR(GC[[#This Row],[Date]])+IF(MONTH(GC[[#This Row],[Date]])&gt;=4,1,0)</f>
        <v>1900</v>
      </c>
      <c r="D618" s="102">
        <f>YEAR(GC[[#This Row],[Date]])</f>
        <v>1900</v>
      </c>
      <c r="E618" s="167"/>
      <c r="F618" s="106"/>
      <c r="G618" s="1" t="str">
        <f>TEXT(GC[[#This Row],[Date]],"mmm-yy")</f>
        <v>Jan-00</v>
      </c>
      <c r="H618" s="1">
        <f>DAY(EOMONTH(GC[[#This Row],[Month Year]],0))</f>
        <v>31</v>
      </c>
      <c r="I618" s="106"/>
      <c r="J618" s="106"/>
      <c r="K618" s="106"/>
      <c r="L618" s="106"/>
      <c r="M618" s="106"/>
      <c r="N618" s="106"/>
      <c r="O618" s="106"/>
      <c r="P618" s="106"/>
      <c r="Q618" s="106"/>
      <c r="R618" s="106"/>
      <c r="S618" s="1">
        <f>SUM(GC[[#This Row],[Blk1]:[Blk8]])</f>
        <v>0</v>
      </c>
      <c r="T618" s="106" t="str">
        <f>PROPER(GC[[#This Row],[Resources]])</f>
        <v/>
      </c>
      <c r="U618" s="106"/>
    </row>
    <row r="619" spans="1:21" x14ac:dyDescent="0.25">
      <c r="A619" s="106">
        <v>618</v>
      </c>
      <c r="B619" s="168"/>
      <c r="C619" s="126">
        <f>YEAR(GC[[#This Row],[Date]])+IF(MONTH(GC[[#This Row],[Date]])&gt;=4,1,0)</f>
        <v>1900</v>
      </c>
      <c r="D619" s="102">
        <f>YEAR(GC[[#This Row],[Date]])</f>
        <v>1900</v>
      </c>
      <c r="E619" s="167"/>
      <c r="F619" s="106"/>
      <c r="G619" s="1" t="str">
        <f>TEXT(GC[[#This Row],[Date]],"mmm-yy")</f>
        <v>Jan-00</v>
      </c>
      <c r="H619" s="1">
        <f>DAY(EOMONTH(GC[[#This Row],[Month Year]],0))</f>
        <v>31</v>
      </c>
      <c r="I619" s="106"/>
      <c r="J619" s="106"/>
      <c r="K619" s="106"/>
      <c r="L619" s="106"/>
      <c r="M619" s="106"/>
      <c r="N619" s="106"/>
      <c r="O619" s="106"/>
      <c r="P619" s="106"/>
      <c r="Q619" s="106"/>
      <c r="R619" s="106"/>
      <c r="S619" s="1">
        <f>SUM(GC[[#This Row],[Blk1]:[Blk8]])</f>
        <v>0</v>
      </c>
      <c r="T619" s="106" t="str">
        <f>PROPER(GC[[#This Row],[Resources]])</f>
        <v/>
      </c>
      <c r="U619" s="106"/>
    </row>
    <row r="620" spans="1:21" x14ac:dyDescent="0.25">
      <c r="A620" s="106">
        <v>619</v>
      </c>
      <c r="B620" s="168"/>
      <c r="C620" s="126">
        <f>YEAR(GC[[#This Row],[Date]])+IF(MONTH(GC[[#This Row],[Date]])&gt;=4,1,0)</f>
        <v>1900</v>
      </c>
      <c r="D620" s="102">
        <f>YEAR(GC[[#This Row],[Date]])</f>
        <v>1900</v>
      </c>
      <c r="E620" s="167"/>
      <c r="F620" s="106"/>
      <c r="G620" s="1" t="str">
        <f>TEXT(GC[[#This Row],[Date]],"mmm-yy")</f>
        <v>Jan-00</v>
      </c>
      <c r="H620" s="1">
        <f>DAY(EOMONTH(GC[[#This Row],[Month Year]],0))</f>
        <v>31</v>
      </c>
      <c r="I620" s="106"/>
      <c r="J620" s="106"/>
      <c r="K620" s="106"/>
      <c r="L620" s="106"/>
      <c r="M620" s="106"/>
      <c r="N620" s="106"/>
      <c r="O620" s="106"/>
      <c r="P620" s="106"/>
      <c r="Q620" s="106"/>
      <c r="R620" s="106"/>
      <c r="S620" s="1">
        <f>SUM(GC[[#This Row],[Blk1]:[Blk8]])</f>
        <v>0</v>
      </c>
      <c r="T620" s="106" t="str">
        <f>PROPER(GC[[#This Row],[Resources]])</f>
        <v/>
      </c>
      <c r="U620" s="106"/>
    </row>
    <row r="621" spans="1:21" x14ac:dyDescent="0.25">
      <c r="A621" s="106">
        <v>620</v>
      </c>
      <c r="B621" s="168"/>
      <c r="C621" s="126">
        <f>YEAR(GC[[#This Row],[Date]])+IF(MONTH(GC[[#This Row],[Date]])&gt;=4,1,0)</f>
        <v>1900</v>
      </c>
      <c r="D621" s="102">
        <f>YEAR(GC[[#This Row],[Date]])</f>
        <v>1900</v>
      </c>
      <c r="E621" s="167"/>
      <c r="F621" s="106"/>
      <c r="G621" s="1" t="str">
        <f>TEXT(GC[[#This Row],[Date]],"mmm-yy")</f>
        <v>Jan-00</v>
      </c>
      <c r="H621" s="1">
        <f>DAY(EOMONTH(GC[[#This Row],[Month Year]],0))</f>
        <v>31</v>
      </c>
      <c r="I621" s="106"/>
      <c r="J621" s="106"/>
      <c r="K621" s="106"/>
      <c r="L621" s="106"/>
      <c r="M621" s="106"/>
      <c r="N621" s="106"/>
      <c r="O621" s="106"/>
      <c r="P621" s="106"/>
      <c r="Q621" s="106"/>
      <c r="R621" s="106"/>
      <c r="S621" s="1">
        <f>SUM(GC[[#This Row],[Blk1]:[Blk8]])</f>
        <v>0</v>
      </c>
      <c r="T621" s="106" t="str">
        <f>PROPER(GC[[#This Row],[Resources]])</f>
        <v/>
      </c>
      <c r="U621" s="106"/>
    </row>
    <row r="622" spans="1:21" x14ac:dyDescent="0.25">
      <c r="A622" s="106">
        <v>621</v>
      </c>
      <c r="B622" s="168"/>
      <c r="C622" s="126">
        <f>YEAR(GC[[#This Row],[Date]])+IF(MONTH(GC[[#This Row],[Date]])&gt;=4,1,0)</f>
        <v>1900</v>
      </c>
      <c r="D622" s="102">
        <f>YEAR(GC[[#This Row],[Date]])</f>
        <v>1900</v>
      </c>
      <c r="E622" s="167"/>
      <c r="F622" s="106"/>
      <c r="G622" s="1" t="str">
        <f>TEXT(GC[[#This Row],[Date]],"mmm-yy")</f>
        <v>Jan-00</v>
      </c>
      <c r="H622" s="1">
        <f>DAY(EOMONTH(GC[[#This Row],[Month Year]],0))</f>
        <v>31</v>
      </c>
      <c r="I622" s="106"/>
      <c r="J622" s="106"/>
      <c r="K622" s="106"/>
      <c r="L622" s="106"/>
      <c r="M622" s="106"/>
      <c r="N622" s="106"/>
      <c r="O622" s="106"/>
      <c r="P622" s="106"/>
      <c r="Q622" s="106"/>
      <c r="R622" s="106"/>
      <c r="S622" s="1">
        <f>SUM(GC[[#This Row],[Blk1]:[Blk8]])</f>
        <v>0</v>
      </c>
      <c r="T622" s="106" t="str">
        <f>PROPER(GC[[#This Row],[Resources]])</f>
        <v/>
      </c>
      <c r="U622" s="106"/>
    </row>
    <row r="623" spans="1:21" x14ac:dyDescent="0.25">
      <c r="A623" s="106">
        <v>622</v>
      </c>
      <c r="B623" s="168"/>
      <c r="C623" s="126">
        <f>YEAR(GC[[#This Row],[Date]])+IF(MONTH(GC[[#This Row],[Date]])&gt;=4,1,0)</f>
        <v>1900</v>
      </c>
      <c r="D623" s="102">
        <f>YEAR(GC[[#This Row],[Date]])</f>
        <v>1900</v>
      </c>
      <c r="E623" s="167"/>
      <c r="F623" s="106"/>
      <c r="G623" s="1" t="str">
        <f>TEXT(GC[[#This Row],[Date]],"mmm-yy")</f>
        <v>Jan-00</v>
      </c>
      <c r="H623" s="1">
        <f>DAY(EOMONTH(GC[[#This Row],[Month Year]],0))</f>
        <v>31</v>
      </c>
      <c r="I623" s="106"/>
      <c r="J623" s="106"/>
      <c r="K623" s="106"/>
      <c r="L623" s="106"/>
      <c r="M623" s="106"/>
      <c r="N623" s="106"/>
      <c r="O623" s="106"/>
      <c r="P623" s="106"/>
      <c r="Q623" s="106"/>
      <c r="R623" s="106"/>
      <c r="S623" s="1">
        <f>SUM(GC[[#This Row],[Blk1]:[Blk8]])</f>
        <v>0</v>
      </c>
      <c r="T623" s="106" t="str">
        <f>PROPER(GC[[#This Row],[Resources]])</f>
        <v/>
      </c>
      <c r="U623" s="106"/>
    </row>
    <row r="624" spans="1:21" x14ac:dyDescent="0.25">
      <c r="A624" s="106">
        <v>623</v>
      </c>
      <c r="B624" s="168"/>
      <c r="C624" s="126">
        <f>YEAR(GC[[#This Row],[Date]])+IF(MONTH(GC[[#This Row],[Date]])&gt;=4,1,0)</f>
        <v>1900</v>
      </c>
      <c r="D624" s="102">
        <f>YEAR(GC[[#This Row],[Date]])</f>
        <v>1900</v>
      </c>
      <c r="E624" s="167"/>
      <c r="F624" s="106"/>
      <c r="G624" s="1" t="str">
        <f>TEXT(GC[[#This Row],[Date]],"mmm-yy")</f>
        <v>Jan-00</v>
      </c>
      <c r="H624" s="1">
        <f>DAY(EOMONTH(GC[[#This Row],[Month Year]],0))</f>
        <v>31</v>
      </c>
      <c r="I624" s="106"/>
      <c r="J624" s="106"/>
      <c r="K624" s="106"/>
      <c r="L624" s="106"/>
      <c r="M624" s="106"/>
      <c r="N624" s="106"/>
      <c r="O624" s="106"/>
      <c r="P624" s="106"/>
      <c r="Q624" s="106"/>
      <c r="R624" s="106"/>
      <c r="S624" s="1">
        <f>SUM(GC[[#This Row],[Blk1]:[Blk8]])</f>
        <v>0</v>
      </c>
      <c r="T624" s="106" t="str">
        <f>PROPER(GC[[#This Row],[Resources]])</f>
        <v/>
      </c>
      <c r="U624" s="106"/>
    </row>
    <row r="625" spans="1:21" x14ac:dyDescent="0.25">
      <c r="A625" s="106">
        <v>624</v>
      </c>
      <c r="B625" s="168"/>
      <c r="C625" s="126">
        <f>YEAR(GC[[#This Row],[Date]])+IF(MONTH(GC[[#This Row],[Date]])&gt;=4,1,0)</f>
        <v>1900</v>
      </c>
      <c r="D625" s="102">
        <f>YEAR(GC[[#This Row],[Date]])</f>
        <v>1900</v>
      </c>
      <c r="E625" s="167"/>
      <c r="F625" s="106"/>
      <c r="G625" s="1" t="str">
        <f>TEXT(GC[[#This Row],[Date]],"mmm-yy")</f>
        <v>Jan-00</v>
      </c>
      <c r="H625" s="1">
        <f>DAY(EOMONTH(GC[[#This Row],[Month Year]],0))</f>
        <v>31</v>
      </c>
      <c r="I625" s="106"/>
      <c r="J625" s="106"/>
      <c r="K625" s="106"/>
      <c r="L625" s="106"/>
      <c r="M625" s="106"/>
      <c r="N625" s="106"/>
      <c r="O625" s="106"/>
      <c r="P625" s="106"/>
      <c r="Q625" s="106"/>
      <c r="R625" s="106"/>
      <c r="S625" s="1">
        <f>SUM(GC[[#This Row],[Blk1]:[Blk8]])</f>
        <v>0</v>
      </c>
      <c r="T625" s="106" t="str">
        <f>PROPER(GC[[#This Row],[Resources]])</f>
        <v/>
      </c>
      <c r="U625" s="106"/>
    </row>
    <row r="626" spans="1:21" x14ac:dyDescent="0.25">
      <c r="A626" s="106">
        <v>625</v>
      </c>
      <c r="B626" s="168"/>
      <c r="C626" s="126">
        <f>YEAR(GC[[#This Row],[Date]])+IF(MONTH(GC[[#This Row],[Date]])&gt;=4,1,0)</f>
        <v>1900</v>
      </c>
      <c r="D626" s="102">
        <f>YEAR(GC[[#This Row],[Date]])</f>
        <v>1900</v>
      </c>
      <c r="E626" s="167"/>
      <c r="F626" s="106"/>
      <c r="G626" s="1" t="str">
        <f>TEXT(GC[[#This Row],[Date]],"mmm-yy")</f>
        <v>Jan-00</v>
      </c>
      <c r="H626" s="1">
        <f>DAY(EOMONTH(GC[[#This Row],[Month Year]],0))</f>
        <v>31</v>
      </c>
      <c r="I626" s="106"/>
      <c r="J626" s="106"/>
      <c r="K626" s="106"/>
      <c r="L626" s="106"/>
      <c r="M626" s="106"/>
      <c r="N626" s="106"/>
      <c r="O626" s="106"/>
      <c r="P626" s="106"/>
      <c r="Q626" s="106"/>
      <c r="R626" s="106"/>
      <c r="S626" s="1">
        <f>SUM(GC[[#This Row],[Blk1]:[Blk8]])</f>
        <v>0</v>
      </c>
      <c r="T626" s="106" t="str">
        <f>PROPER(GC[[#This Row],[Resources]])</f>
        <v/>
      </c>
      <c r="U626" s="106"/>
    </row>
    <row r="627" spans="1:21" x14ac:dyDescent="0.25">
      <c r="A627" s="106">
        <v>626</v>
      </c>
      <c r="B627" s="168"/>
      <c r="C627" s="126">
        <f>YEAR(GC[[#This Row],[Date]])+IF(MONTH(GC[[#This Row],[Date]])&gt;=4,1,0)</f>
        <v>1900</v>
      </c>
      <c r="D627" s="102">
        <f>YEAR(GC[[#This Row],[Date]])</f>
        <v>1900</v>
      </c>
      <c r="E627" s="167"/>
      <c r="F627" s="106"/>
      <c r="G627" s="1" t="str">
        <f>TEXT(GC[[#This Row],[Date]],"mmm-yy")</f>
        <v>Jan-00</v>
      </c>
      <c r="H627" s="1">
        <f>DAY(EOMONTH(GC[[#This Row],[Month Year]],0))</f>
        <v>31</v>
      </c>
      <c r="I627" s="106"/>
      <c r="J627" s="106"/>
      <c r="K627" s="106"/>
      <c r="L627" s="106"/>
      <c r="M627" s="106"/>
      <c r="N627" s="106"/>
      <c r="O627" s="106"/>
      <c r="P627" s="106"/>
      <c r="Q627" s="106"/>
      <c r="R627" s="106"/>
      <c r="S627" s="1">
        <f>SUM(GC[[#This Row],[Blk1]:[Blk8]])</f>
        <v>0</v>
      </c>
      <c r="T627" s="106" t="str">
        <f>PROPER(GC[[#This Row],[Resources]])</f>
        <v/>
      </c>
      <c r="U627" s="106"/>
    </row>
    <row r="628" spans="1:21" x14ac:dyDescent="0.25">
      <c r="A628" s="106">
        <v>627</v>
      </c>
      <c r="B628" s="168"/>
      <c r="C628" s="126">
        <f>YEAR(GC[[#This Row],[Date]])+IF(MONTH(GC[[#This Row],[Date]])&gt;=4,1,0)</f>
        <v>1900</v>
      </c>
      <c r="D628" s="102">
        <f>YEAR(GC[[#This Row],[Date]])</f>
        <v>1900</v>
      </c>
      <c r="E628" s="167"/>
      <c r="F628" s="106"/>
      <c r="G628" s="1" t="str">
        <f>TEXT(GC[[#This Row],[Date]],"mmm-yy")</f>
        <v>Jan-00</v>
      </c>
      <c r="H628" s="1">
        <f>DAY(EOMONTH(GC[[#This Row],[Month Year]],0))</f>
        <v>31</v>
      </c>
      <c r="I628" s="106"/>
      <c r="J628" s="106"/>
      <c r="K628" s="106"/>
      <c r="L628" s="106"/>
      <c r="M628" s="106"/>
      <c r="N628" s="106"/>
      <c r="O628" s="106"/>
      <c r="P628" s="106"/>
      <c r="Q628" s="106"/>
      <c r="R628" s="106"/>
      <c r="S628" s="1">
        <f>SUM(GC[[#This Row],[Blk1]:[Blk8]])</f>
        <v>0</v>
      </c>
      <c r="T628" s="106" t="str">
        <f>PROPER(GC[[#This Row],[Resources]])</f>
        <v/>
      </c>
      <c r="U628" s="106"/>
    </row>
    <row r="629" spans="1:21" x14ac:dyDescent="0.25">
      <c r="A629" s="106">
        <v>628</v>
      </c>
      <c r="B629" s="168"/>
      <c r="C629" s="126">
        <f>YEAR(GC[[#This Row],[Date]])+IF(MONTH(GC[[#This Row],[Date]])&gt;=4,1,0)</f>
        <v>1900</v>
      </c>
      <c r="D629" s="102">
        <f>YEAR(GC[[#This Row],[Date]])</f>
        <v>1900</v>
      </c>
      <c r="E629" s="167"/>
      <c r="F629" s="106"/>
      <c r="G629" s="1" t="str">
        <f>TEXT(GC[[#This Row],[Date]],"mmm-yy")</f>
        <v>Jan-00</v>
      </c>
      <c r="H629" s="1">
        <f>DAY(EOMONTH(GC[[#This Row],[Month Year]],0))</f>
        <v>31</v>
      </c>
      <c r="I629" s="106"/>
      <c r="J629" s="106"/>
      <c r="K629" s="106"/>
      <c r="L629" s="106"/>
      <c r="M629" s="106"/>
      <c r="N629" s="106"/>
      <c r="O629" s="106"/>
      <c r="P629" s="106"/>
      <c r="Q629" s="106"/>
      <c r="R629" s="106"/>
      <c r="S629" s="1">
        <f>SUM(GC[[#This Row],[Blk1]:[Blk8]])</f>
        <v>0</v>
      </c>
      <c r="T629" s="106" t="str">
        <f>PROPER(GC[[#This Row],[Resources]])</f>
        <v/>
      </c>
      <c r="U629" s="106"/>
    </row>
    <row r="630" spans="1:21" x14ac:dyDescent="0.25">
      <c r="A630" s="106">
        <v>629</v>
      </c>
      <c r="B630" s="168"/>
      <c r="C630" s="126">
        <f>YEAR(GC[[#This Row],[Date]])+IF(MONTH(GC[[#This Row],[Date]])&gt;=4,1,0)</f>
        <v>1900</v>
      </c>
      <c r="D630" s="102">
        <f>YEAR(GC[[#This Row],[Date]])</f>
        <v>1900</v>
      </c>
      <c r="E630" s="167"/>
      <c r="F630" s="106"/>
      <c r="G630" s="1" t="str">
        <f>TEXT(GC[[#This Row],[Date]],"mmm-yy")</f>
        <v>Jan-00</v>
      </c>
      <c r="H630" s="1">
        <f>DAY(EOMONTH(GC[[#This Row],[Month Year]],0))</f>
        <v>31</v>
      </c>
      <c r="I630" s="106"/>
      <c r="J630" s="106"/>
      <c r="K630" s="106"/>
      <c r="L630" s="106"/>
      <c r="M630" s="106"/>
      <c r="N630" s="106"/>
      <c r="O630" s="106"/>
      <c r="P630" s="106"/>
      <c r="Q630" s="106"/>
      <c r="R630" s="106"/>
      <c r="S630" s="1">
        <f>SUM(GC[[#This Row],[Blk1]:[Blk8]])</f>
        <v>0</v>
      </c>
      <c r="T630" s="106" t="str">
        <f>PROPER(GC[[#This Row],[Resources]])</f>
        <v/>
      </c>
      <c r="U630" s="106"/>
    </row>
    <row r="631" spans="1:21" x14ac:dyDescent="0.25">
      <c r="A631" s="106">
        <v>630</v>
      </c>
      <c r="B631" s="168"/>
      <c r="C631" s="126">
        <f>YEAR(GC[[#This Row],[Date]])+IF(MONTH(GC[[#This Row],[Date]])&gt;=4,1,0)</f>
        <v>1900</v>
      </c>
      <c r="D631" s="102">
        <f>YEAR(GC[[#This Row],[Date]])</f>
        <v>1900</v>
      </c>
      <c r="E631" s="167"/>
      <c r="F631" s="106"/>
      <c r="G631" s="1" t="str">
        <f>TEXT(GC[[#This Row],[Date]],"mmm-yy")</f>
        <v>Jan-00</v>
      </c>
      <c r="H631" s="1">
        <f>DAY(EOMONTH(GC[[#This Row],[Month Year]],0))</f>
        <v>31</v>
      </c>
      <c r="I631" s="106"/>
      <c r="J631" s="106"/>
      <c r="K631" s="106"/>
      <c r="L631" s="106"/>
      <c r="M631" s="106"/>
      <c r="N631" s="106"/>
      <c r="O631" s="106"/>
      <c r="P631" s="106"/>
      <c r="Q631" s="106"/>
      <c r="R631" s="106"/>
      <c r="S631" s="1">
        <f>SUM(GC[[#This Row],[Blk1]:[Blk8]])</f>
        <v>0</v>
      </c>
      <c r="T631" s="106" t="str">
        <f>PROPER(GC[[#This Row],[Resources]])</f>
        <v/>
      </c>
      <c r="U631" s="106"/>
    </row>
    <row r="632" spans="1:21" x14ac:dyDescent="0.25">
      <c r="A632" s="106">
        <v>631</v>
      </c>
      <c r="B632" s="168"/>
      <c r="C632" s="126">
        <f>YEAR(GC[[#This Row],[Date]])+IF(MONTH(GC[[#This Row],[Date]])&gt;=4,1,0)</f>
        <v>1900</v>
      </c>
      <c r="D632" s="102">
        <f>YEAR(GC[[#This Row],[Date]])</f>
        <v>1900</v>
      </c>
      <c r="E632" s="167"/>
      <c r="F632" s="106"/>
      <c r="G632" s="1" t="str">
        <f>TEXT(GC[[#This Row],[Date]],"mmm-yy")</f>
        <v>Jan-00</v>
      </c>
      <c r="H632" s="1">
        <f>DAY(EOMONTH(GC[[#This Row],[Month Year]],0))</f>
        <v>31</v>
      </c>
      <c r="I632" s="106"/>
      <c r="J632" s="106"/>
      <c r="K632" s="106"/>
      <c r="L632" s="106"/>
      <c r="M632" s="106"/>
      <c r="N632" s="106"/>
      <c r="O632" s="106"/>
      <c r="P632" s="106"/>
      <c r="Q632" s="106"/>
      <c r="R632" s="106"/>
      <c r="S632" s="1">
        <f>SUM(GC[[#This Row],[Blk1]:[Blk8]])</f>
        <v>0</v>
      </c>
      <c r="T632" s="106" t="str">
        <f>PROPER(GC[[#This Row],[Resources]])</f>
        <v/>
      </c>
      <c r="U632" s="106"/>
    </row>
    <row r="633" spans="1:21" x14ac:dyDescent="0.25">
      <c r="A633" s="106">
        <v>632</v>
      </c>
      <c r="B633" s="168"/>
      <c r="C633" s="126">
        <f>YEAR(GC[[#This Row],[Date]])+IF(MONTH(GC[[#This Row],[Date]])&gt;=4,1,0)</f>
        <v>1900</v>
      </c>
      <c r="D633" s="102">
        <f>YEAR(GC[[#This Row],[Date]])</f>
        <v>1900</v>
      </c>
      <c r="E633" s="167"/>
      <c r="F633" s="106"/>
      <c r="G633" s="1" t="str">
        <f>TEXT(GC[[#This Row],[Date]],"mmm-yy")</f>
        <v>Jan-00</v>
      </c>
      <c r="H633" s="1">
        <f>DAY(EOMONTH(GC[[#This Row],[Month Year]],0))</f>
        <v>31</v>
      </c>
      <c r="I633" s="106"/>
      <c r="J633" s="106"/>
      <c r="K633" s="106"/>
      <c r="L633" s="106"/>
      <c r="M633" s="106"/>
      <c r="N633" s="106"/>
      <c r="O633" s="106"/>
      <c r="P633" s="106"/>
      <c r="Q633" s="106"/>
      <c r="R633" s="106"/>
      <c r="S633" s="1">
        <f>SUM(GC[[#This Row],[Blk1]:[Blk8]])</f>
        <v>0</v>
      </c>
      <c r="T633" s="106" t="str">
        <f>PROPER(GC[[#This Row],[Resources]])</f>
        <v/>
      </c>
      <c r="U633" s="106"/>
    </row>
    <row r="634" spans="1:21" x14ac:dyDescent="0.25">
      <c r="A634" s="106">
        <v>633</v>
      </c>
      <c r="B634" s="168"/>
      <c r="C634" s="126">
        <f>YEAR(GC[[#This Row],[Date]])+IF(MONTH(GC[[#This Row],[Date]])&gt;=4,1,0)</f>
        <v>1900</v>
      </c>
      <c r="D634" s="102">
        <f>YEAR(GC[[#This Row],[Date]])</f>
        <v>1900</v>
      </c>
      <c r="E634" s="167"/>
      <c r="F634" s="106"/>
      <c r="G634" s="1" t="str">
        <f>TEXT(GC[[#This Row],[Date]],"mmm-yy")</f>
        <v>Jan-00</v>
      </c>
      <c r="H634" s="1">
        <f>DAY(EOMONTH(GC[[#This Row],[Month Year]],0))</f>
        <v>31</v>
      </c>
      <c r="I634" s="106"/>
      <c r="J634" s="106"/>
      <c r="K634" s="106"/>
      <c r="L634" s="106"/>
      <c r="M634" s="106"/>
      <c r="N634" s="106"/>
      <c r="O634" s="106"/>
      <c r="P634" s="106"/>
      <c r="Q634" s="106"/>
      <c r="R634" s="106"/>
      <c r="S634" s="1">
        <f>SUM(GC[[#This Row],[Blk1]:[Blk8]])</f>
        <v>0</v>
      </c>
      <c r="T634" s="106" t="str">
        <f>PROPER(GC[[#This Row],[Resources]])</f>
        <v/>
      </c>
      <c r="U634" s="106"/>
    </row>
    <row r="635" spans="1:21" x14ac:dyDescent="0.25">
      <c r="A635" s="106">
        <v>634</v>
      </c>
      <c r="B635" s="168"/>
      <c r="C635" s="126">
        <f>YEAR(GC[[#This Row],[Date]])+IF(MONTH(GC[[#This Row],[Date]])&gt;=4,1,0)</f>
        <v>1900</v>
      </c>
      <c r="D635" s="102">
        <f>YEAR(GC[[#This Row],[Date]])</f>
        <v>1900</v>
      </c>
      <c r="E635" s="167"/>
      <c r="F635" s="106"/>
      <c r="G635" s="1" t="str">
        <f>TEXT(GC[[#This Row],[Date]],"mmm-yy")</f>
        <v>Jan-00</v>
      </c>
      <c r="H635" s="1">
        <f>DAY(EOMONTH(GC[[#This Row],[Month Year]],0))</f>
        <v>31</v>
      </c>
      <c r="I635" s="106"/>
      <c r="J635" s="106"/>
      <c r="K635" s="106"/>
      <c r="L635" s="106"/>
      <c r="M635" s="106"/>
      <c r="N635" s="106"/>
      <c r="O635" s="106"/>
      <c r="P635" s="106"/>
      <c r="Q635" s="106"/>
      <c r="R635" s="106"/>
      <c r="S635" s="1">
        <f>SUM(GC[[#This Row],[Blk1]:[Blk8]])</f>
        <v>0</v>
      </c>
      <c r="T635" s="106" t="str">
        <f>PROPER(GC[[#This Row],[Resources]])</f>
        <v/>
      </c>
      <c r="U635" s="106"/>
    </row>
    <row r="636" spans="1:21" x14ac:dyDescent="0.25">
      <c r="A636" s="106">
        <v>635</v>
      </c>
      <c r="B636" s="168"/>
      <c r="C636" s="126">
        <f>YEAR(GC[[#This Row],[Date]])+IF(MONTH(GC[[#This Row],[Date]])&gt;=4,1,0)</f>
        <v>1900</v>
      </c>
      <c r="D636" s="102">
        <f>YEAR(GC[[#This Row],[Date]])</f>
        <v>1900</v>
      </c>
      <c r="E636" s="167"/>
      <c r="F636" s="106"/>
      <c r="G636" s="1" t="str">
        <f>TEXT(GC[[#This Row],[Date]],"mmm-yy")</f>
        <v>Jan-00</v>
      </c>
      <c r="H636" s="1">
        <f>DAY(EOMONTH(GC[[#This Row],[Month Year]],0))</f>
        <v>31</v>
      </c>
      <c r="I636" s="106"/>
      <c r="J636" s="106"/>
      <c r="K636" s="106"/>
      <c r="L636" s="106"/>
      <c r="M636" s="106"/>
      <c r="N636" s="106"/>
      <c r="O636" s="106"/>
      <c r="P636" s="106"/>
      <c r="Q636" s="106"/>
      <c r="R636" s="106"/>
      <c r="S636" s="1">
        <f>SUM(GC[[#This Row],[Blk1]:[Blk8]])</f>
        <v>0</v>
      </c>
      <c r="T636" s="106" t="str">
        <f>PROPER(GC[[#This Row],[Resources]])</f>
        <v/>
      </c>
      <c r="U636" s="106"/>
    </row>
    <row r="637" spans="1:21" x14ac:dyDescent="0.25">
      <c r="A637" s="106">
        <v>636</v>
      </c>
      <c r="B637" s="168"/>
      <c r="C637" s="126">
        <f>YEAR(GC[[#This Row],[Date]])+IF(MONTH(GC[[#This Row],[Date]])&gt;=4,1,0)</f>
        <v>1900</v>
      </c>
      <c r="D637" s="102">
        <f>YEAR(GC[[#This Row],[Date]])</f>
        <v>1900</v>
      </c>
      <c r="E637" s="167"/>
      <c r="F637" s="106"/>
      <c r="G637" s="1" t="str">
        <f>TEXT(GC[[#This Row],[Date]],"mmm-yy")</f>
        <v>Jan-00</v>
      </c>
      <c r="H637" s="1">
        <f>DAY(EOMONTH(GC[[#This Row],[Month Year]],0))</f>
        <v>31</v>
      </c>
      <c r="I637" s="106"/>
      <c r="J637" s="106"/>
      <c r="K637" s="106"/>
      <c r="L637" s="106"/>
      <c r="M637" s="106"/>
      <c r="N637" s="106"/>
      <c r="O637" s="106"/>
      <c r="P637" s="106"/>
      <c r="Q637" s="106"/>
      <c r="R637" s="106"/>
      <c r="S637" s="1">
        <f>SUM(GC[[#This Row],[Blk1]:[Blk8]])</f>
        <v>0</v>
      </c>
      <c r="T637" s="106" t="str">
        <f>PROPER(GC[[#This Row],[Resources]])</f>
        <v/>
      </c>
      <c r="U637" s="106"/>
    </row>
    <row r="638" spans="1:21" x14ac:dyDescent="0.25">
      <c r="A638" s="106">
        <v>637</v>
      </c>
      <c r="B638" s="168"/>
      <c r="C638" s="126">
        <f>YEAR(GC[[#This Row],[Date]])+IF(MONTH(GC[[#This Row],[Date]])&gt;=4,1,0)</f>
        <v>1900</v>
      </c>
      <c r="D638" s="102">
        <f>YEAR(GC[[#This Row],[Date]])</f>
        <v>1900</v>
      </c>
      <c r="E638" s="167"/>
      <c r="F638" s="106"/>
      <c r="G638" s="1" t="str">
        <f>TEXT(GC[[#This Row],[Date]],"mmm-yy")</f>
        <v>Jan-00</v>
      </c>
      <c r="H638" s="1">
        <f>DAY(EOMONTH(GC[[#This Row],[Month Year]],0))</f>
        <v>31</v>
      </c>
      <c r="I638" s="106"/>
      <c r="J638" s="106"/>
      <c r="K638" s="106"/>
      <c r="L638" s="106"/>
      <c r="M638" s="106"/>
      <c r="N638" s="106"/>
      <c r="O638" s="106"/>
      <c r="P638" s="106"/>
      <c r="Q638" s="106"/>
      <c r="R638" s="106"/>
      <c r="S638" s="1">
        <f>SUM(GC[[#This Row],[Blk1]:[Blk8]])</f>
        <v>0</v>
      </c>
      <c r="T638" s="106" t="str">
        <f>PROPER(GC[[#This Row],[Resources]])</f>
        <v/>
      </c>
      <c r="U638" s="106"/>
    </row>
    <row r="639" spans="1:21" x14ac:dyDescent="0.25">
      <c r="A639" s="106">
        <v>638</v>
      </c>
      <c r="B639" s="168"/>
      <c r="C639" s="126">
        <f>YEAR(GC[[#This Row],[Date]])+IF(MONTH(GC[[#This Row],[Date]])&gt;=4,1,0)</f>
        <v>1900</v>
      </c>
      <c r="D639" s="102">
        <f>YEAR(GC[[#This Row],[Date]])</f>
        <v>1900</v>
      </c>
      <c r="E639" s="167"/>
      <c r="F639" s="106"/>
      <c r="G639" s="1" t="str">
        <f>TEXT(GC[[#This Row],[Date]],"mmm-yy")</f>
        <v>Jan-00</v>
      </c>
      <c r="H639" s="1">
        <f>DAY(EOMONTH(GC[[#This Row],[Month Year]],0))</f>
        <v>31</v>
      </c>
      <c r="I639" s="106"/>
      <c r="J639" s="106"/>
      <c r="K639" s="106"/>
      <c r="L639" s="106"/>
      <c r="M639" s="106"/>
      <c r="N639" s="106"/>
      <c r="O639" s="106"/>
      <c r="P639" s="106"/>
      <c r="Q639" s="106"/>
      <c r="R639" s="106"/>
      <c r="S639" s="1">
        <f>SUM(GC[[#This Row],[Blk1]:[Blk8]])</f>
        <v>0</v>
      </c>
      <c r="T639" s="106" t="str">
        <f>PROPER(GC[[#This Row],[Resources]])</f>
        <v/>
      </c>
      <c r="U639" s="106"/>
    </row>
    <row r="640" spans="1:21" x14ac:dyDescent="0.25">
      <c r="A640" s="106">
        <v>639</v>
      </c>
      <c r="B640" s="168"/>
      <c r="C640" s="126">
        <f>YEAR(GC[[#This Row],[Date]])+IF(MONTH(GC[[#This Row],[Date]])&gt;=4,1,0)</f>
        <v>1900</v>
      </c>
      <c r="D640" s="102">
        <f>YEAR(GC[[#This Row],[Date]])</f>
        <v>1900</v>
      </c>
      <c r="E640" s="167"/>
      <c r="F640" s="106"/>
      <c r="G640" s="1" t="str">
        <f>TEXT(GC[[#This Row],[Date]],"mmm-yy")</f>
        <v>Jan-00</v>
      </c>
      <c r="H640" s="1">
        <f>DAY(EOMONTH(GC[[#This Row],[Month Year]],0))</f>
        <v>31</v>
      </c>
      <c r="I640" s="106"/>
      <c r="J640" s="106"/>
      <c r="K640" s="106"/>
      <c r="L640" s="106"/>
      <c r="M640" s="106"/>
      <c r="N640" s="106"/>
      <c r="O640" s="106"/>
      <c r="P640" s="106"/>
      <c r="Q640" s="106"/>
      <c r="R640" s="106"/>
      <c r="S640" s="1">
        <f>SUM(GC[[#This Row],[Blk1]:[Blk8]])</f>
        <v>0</v>
      </c>
      <c r="T640" s="106" t="str">
        <f>PROPER(GC[[#This Row],[Resources]])</f>
        <v/>
      </c>
      <c r="U640" s="106"/>
    </row>
    <row r="641" spans="1:21" x14ac:dyDescent="0.25">
      <c r="A641" s="106">
        <v>640</v>
      </c>
      <c r="B641" s="168"/>
      <c r="C641" s="126">
        <f>YEAR(GC[[#This Row],[Date]])+IF(MONTH(GC[[#This Row],[Date]])&gt;=4,1,0)</f>
        <v>1900</v>
      </c>
      <c r="D641" s="102">
        <f>YEAR(GC[[#This Row],[Date]])</f>
        <v>1900</v>
      </c>
      <c r="E641" s="167"/>
      <c r="F641" s="106"/>
      <c r="G641" s="1" t="str">
        <f>TEXT(GC[[#This Row],[Date]],"mmm-yy")</f>
        <v>Jan-00</v>
      </c>
      <c r="H641" s="1">
        <f>DAY(EOMONTH(GC[[#This Row],[Month Year]],0))</f>
        <v>31</v>
      </c>
      <c r="I641" s="106"/>
      <c r="J641" s="106"/>
      <c r="K641" s="106"/>
      <c r="L641" s="106"/>
      <c r="M641" s="106"/>
      <c r="N641" s="106"/>
      <c r="O641" s="106"/>
      <c r="P641" s="106"/>
      <c r="Q641" s="106"/>
      <c r="R641" s="106"/>
      <c r="S641" s="1">
        <f>SUM(GC[[#This Row],[Blk1]:[Blk8]])</f>
        <v>0</v>
      </c>
      <c r="T641" s="106" t="str">
        <f>PROPER(GC[[#This Row],[Resources]])</f>
        <v/>
      </c>
      <c r="U641" s="106"/>
    </row>
    <row r="642" spans="1:21" x14ac:dyDescent="0.25">
      <c r="A642" s="106">
        <v>641</v>
      </c>
      <c r="B642" s="168"/>
      <c r="C642" s="126">
        <f>YEAR(GC[[#This Row],[Date]])+IF(MONTH(GC[[#This Row],[Date]])&gt;=4,1,0)</f>
        <v>1900</v>
      </c>
      <c r="D642" s="102">
        <f>YEAR(GC[[#This Row],[Date]])</f>
        <v>1900</v>
      </c>
      <c r="E642" s="167"/>
      <c r="F642" s="106"/>
      <c r="G642" s="1" t="str">
        <f>TEXT(GC[[#This Row],[Date]],"mmm-yy")</f>
        <v>Jan-00</v>
      </c>
      <c r="H642" s="1">
        <f>DAY(EOMONTH(GC[[#This Row],[Month Year]],0))</f>
        <v>31</v>
      </c>
      <c r="I642" s="106"/>
      <c r="J642" s="106"/>
      <c r="K642" s="106"/>
      <c r="L642" s="106"/>
      <c r="M642" s="106"/>
      <c r="N642" s="106"/>
      <c r="O642" s="106"/>
      <c r="P642" s="106"/>
      <c r="Q642" s="106"/>
      <c r="R642" s="106"/>
      <c r="S642" s="1">
        <f>SUM(GC[[#This Row],[Blk1]:[Blk8]])</f>
        <v>0</v>
      </c>
      <c r="T642" s="106" t="str">
        <f>PROPER(GC[[#This Row],[Resources]])</f>
        <v/>
      </c>
      <c r="U642" s="106"/>
    </row>
    <row r="643" spans="1:21" x14ac:dyDescent="0.25">
      <c r="A643" s="106">
        <v>642</v>
      </c>
      <c r="B643" s="168"/>
      <c r="C643" s="126">
        <f>YEAR(GC[[#This Row],[Date]])+IF(MONTH(GC[[#This Row],[Date]])&gt;=4,1,0)</f>
        <v>1900</v>
      </c>
      <c r="D643" s="102">
        <f>YEAR(GC[[#This Row],[Date]])</f>
        <v>1900</v>
      </c>
      <c r="E643" s="167"/>
      <c r="F643" s="106"/>
      <c r="G643" s="1" t="str">
        <f>TEXT(GC[[#This Row],[Date]],"mmm-yy")</f>
        <v>Jan-00</v>
      </c>
      <c r="H643" s="1">
        <f>DAY(EOMONTH(GC[[#This Row],[Month Year]],0))</f>
        <v>31</v>
      </c>
      <c r="I643" s="106"/>
      <c r="J643" s="106"/>
      <c r="K643" s="106"/>
      <c r="L643" s="106"/>
      <c r="M643" s="106"/>
      <c r="N643" s="106"/>
      <c r="O643" s="106"/>
      <c r="P643" s="106"/>
      <c r="Q643" s="106"/>
      <c r="R643" s="106"/>
      <c r="S643" s="1">
        <f>SUM(GC[[#This Row],[Blk1]:[Blk8]])</f>
        <v>0</v>
      </c>
      <c r="T643" s="106" t="str">
        <f>PROPER(GC[[#This Row],[Resources]])</f>
        <v/>
      </c>
      <c r="U643" s="106"/>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630"/>
  <sheetViews>
    <sheetView topLeftCell="A2" zoomScale="87" workbookViewId="0">
      <pane xSplit="2" ySplit="1" topLeftCell="C567" activePane="bottomRight" state="frozen"/>
      <selection pane="topRight" activeCell="C2" sqref="C2"/>
      <selection pane="bottomLeft" activeCell="A3" sqref="A3"/>
      <selection pane="bottomRight" activeCell="M585" sqref="M585"/>
    </sheetView>
  </sheetViews>
  <sheetFormatPr defaultColWidth="8.85546875" defaultRowHeight="15" x14ac:dyDescent="0.25"/>
  <cols>
    <col min="1" max="1" width="13.42578125" customWidth="1"/>
    <col min="2" max="2" width="11.42578125" customWidth="1"/>
    <col min="3" max="4" width="13.42578125" customWidth="1"/>
    <col min="5" max="6" width="13.42578125" hidden="1" customWidth="1"/>
    <col min="7" max="7" width="10.7109375" style="1" customWidth="1"/>
    <col min="8" max="8" width="8.7109375" style="1"/>
    <col min="10" max="10" width="14.5703125" bestFit="1" customWidth="1"/>
    <col min="11" max="11" width="13.42578125" customWidth="1"/>
    <col min="12" max="13" width="11.42578125" bestFit="1" customWidth="1"/>
    <col min="14" max="19" width="13.42578125" customWidth="1"/>
    <col min="20" max="20" width="11.140625" style="1" customWidth="1"/>
    <col min="21" max="23" width="13.42578125" customWidth="1"/>
    <col min="24" max="24" width="14.7109375" customWidth="1"/>
    <col min="25" max="25" width="13.42578125" customWidth="1"/>
    <col min="26" max="26" width="43.42578125" customWidth="1"/>
    <col min="27" max="27" width="48.42578125" customWidth="1"/>
  </cols>
  <sheetData>
    <row r="1" spans="1:26" hidden="1" x14ac:dyDescent="0.25">
      <c r="S1" s="1"/>
      <c r="T1"/>
    </row>
    <row r="2" spans="1:26" s="20" customFormat="1" ht="38.25" x14ac:dyDescent="0.25">
      <c r="A2" s="99" t="s">
        <v>7</v>
      </c>
      <c r="B2" s="100" t="s">
        <v>54</v>
      </c>
      <c r="C2" s="99" t="s">
        <v>55</v>
      </c>
      <c r="D2" s="99" t="s">
        <v>56</v>
      </c>
      <c r="E2" s="99" t="s">
        <v>57</v>
      </c>
      <c r="F2" s="99" t="s">
        <v>58</v>
      </c>
      <c r="G2" s="99" t="s">
        <v>59</v>
      </c>
      <c r="H2" s="99" t="s">
        <v>34</v>
      </c>
      <c r="I2" s="99" t="s">
        <v>60</v>
      </c>
      <c r="J2" s="99" t="s">
        <v>61</v>
      </c>
      <c r="K2" s="99" t="s">
        <v>62</v>
      </c>
      <c r="L2" s="99" t="s">
        <v>63</v>
      </c>
      <c r="M2" s="99" t="s">
        <v>64</v>
      </c>
      <c r="N2" s="99" t="s">
        <v>65</v>
      </c>
      <c r="O2" s="99" t="s">
        <v>66</v>
      </c>
      <c r="P2" s="99" t="s">
        <v>67</v>
      </c>
      <c r="Q2" s="99" t="s">
        <v>68</v>
      </c>
      <c r="R2" s="99" t="s">
        <v>69</v>
      </c>
      <c r="S2" s="99" t="s">
        <v>81</v>
      </c>
      <c r="T2" s="99" t="s">
        <v>82</v>
      </c>
      <c r="U2" s="99" t="s">
        <v>83</v>
      </c>
      <c r="V2" s="99" t="s">
        <v>84</v>
      </c>
      <c r="W2" s="99" t="s">
        <v>85</v>
      </c>
      <c r="X2" s="99" t="s">
        <v>86</v>
      </c>
      <c r="Y2" s="99" t="s">
        <v>87</v>
      </c>
      <c r="Z2" s="99" t="s">
        <v>72</v>
      </c>
    </row>
    <row r="3" spans="1:26" x14ac:dyDescent="0.25">
      <c r="A3" s="101">
        <v>1</v>
      </c>
      <c r="B3" s="103">
        <v>45200</v>
      </c>
      <c r="C3" s="109">
        <f>YEAR(MC[[#This Row],[Date]])+IF(MONTH(MC[[#This Row],[Date]])&gt;=4,1,0)</f>
        <v>2024</v>
      </c>
      <c r="D3" s="110">
        <f>YEAR(MC[[#This Row],[Date]])</f>
        <v>2023</v>
      </c>
      <c r="E3" s="101" t="s">
        <v>73</v>
      </c>
      <c r="F3" s="101" t="s">
        <v>73</v>
      </c>
      <c r="G3" s="102" t="str">
        <f>TEXT(MC[[#This Row],[Date]],"mmm-yy")</f>
        <v>Oct-23</v>
      </c>
      <c r="H3" s="102">
        <f>DAY(EOMONTH(MC[[#This Row],[Month Year]],0))</f>
        <v>31</v>
      </c>
      <c r="I3" s="101"/>
      <c r="J3" s="101"/>
      <c r="K3" s="101"/>
      <c r="L3" s="101"/>
      <c r="M3" s="101"/>
      <c r="N3" s="101"/>
      <c r="O3" s="101"/>
      <c r="P3" s="101"/>
      <c r="Q3" s="101"/>
      <c r="R3" s="101">
        <f t="shared" ref="R3:R66" si="0">120*50</f>
        <v>6000</v>
      </c>
      <c r="S3" s="1">
        <f>SUM(MC[[#This Row],[Blk1]:[Blk8]])</f>
        <v>6000</v>
      </c>
      <c r="T3" s="104"/>
      <c r="U3" s="104"/>
      <c r="V3" s="104"/>
      <c r="W3" s="104"/>
      <c r="X3" s="101"/>
      <c r="Y3" s="101"/>
      <c r="Z3" s="105"/>
    </row>
    <row r="4" spans="1:26" x14ac:dyDescent="0.25">
      <c r="A4" s="106">
        <v>2</v>
      </c>
      <c r="B4" s="103">
        <f>B3+1</f>
        <v>45201</v>
      </c>
      <c r="C4" s="109">
        <f>YEAR(MC[[#This Row],[Date]])+IF(MONTH(MC[[#This Row],[Date]])&gt;=4,1,0)</f>
        <v>2024</v>
      </c>
      <c r="D4" s="110">
        <f>YEAR(MC[[#This Row],[Date]])</f>
        <v>2023</v>
      </c>
      <c r="E4" s="101" t="s">
        <v>73</v>
      </c>
      <c r="F4" s="101" t="s">
        <v>73</v>
      </c>
      <c r="G4" s="102" t="str">
        <f>TEXT(MC[[#This Row],[Date]],"mmm-yy")</f>
        <v>Oct-23</v>
      </c>
      <c r="H4" s="102">
        <f>DAY(EOMONTH(MC[[#This Row],[Month Year]],0))</f>
        <v>31</v>
      </c>
      <c r="I4" s="106"/>
      <c r="J4" s="106"/>
      <c r="K4" s="106"/>
      <c r="L4" s="106"/>
      <c r="M4" s="106"/>
      <c r="N4" s="106"/>
      <c r="O4" s="106"/>
      <c r="P4" s="106"/>
      <c r="Q4" s="106"/>
      <c r="R4" s="106">
        <f t="shared" si="0"/>
        <v>6000</v>
      </c>
      <c r="S4" s="1">
        <f>SUM(MC[[#This Row],[Blk1]:[Blk8]])</f>
        <v>6000</v>
      </c>
      <c r="T4" s="107"/>
      <c r="U4" s="107"/>
      <c r="V4" s="107"/>
      <c r="W4" s="107"/>
      <c r="X4" s="106"/>
      <c r="Y4" s="106"/>
      <c r="Z4" s="105"/>
    </row>
    <row r="5" spans="1:26" x14ac:dyDescent="0.25">
      <c r="A5" s="106">
        <v>3</v>
      </c>
      <c r="B5" s="103">
        <f t="shared" ref="B5:B68" si="1">B4+1</f>
        <v>45202</v>
      </c>
      <c r="C5" s="109">
        <f>YEAR(MC[[#This Row],[Date]])+IF(MONTH(MC[[#This Row],[Date]])&gt;=4,1,0)</f>
        <v>2024</v>
      </c>
      <c r="D5" s="110">
        <f>YEAR(MC[[#This Row],[Date]])</f>
        <v>2023</v>
      </c>
      <c r="E5" s="101" t="s">
        <v>73</v>
      </c>
      <c r="F5" s="101" t="s">
        <v>73</v>
      </c>
      <c r="G5" s="102" t="str">
        <f>TEXT(MC[[#This Row],[Date]],"mmm-yy")</f>
        <v>Oct-23</v>
      </c>
      <c r="H5" s="102">
        <f>DAY(EOMONTH(MC[[#This Row],[Month Year]],0))</f>
        <v>31</v>
      </c>
      <c r="I5" s="106"/>
      <c r="J5" s="106"/>
      <c r="K5" s="106"/>
      <c r="L5" s="106"/>
      <c r="M5" s="106"/>
      <c r="N5" s="106"/>
      <c r="O5" s="106"/>
      <c r="P5" s="106"/>
      <c r="Q5" s="106"/>
      <c r="R5" s="106">
        <f t="shared" si="0"/>
        <v>6000</v>
      </c>
      <c r="S5" s="1">
        <f>SUM(MC[[#This Row],[Blk1]:[Blk8]])</f>
        <v>6000</v>
      </c>
      <c r="T5" s="106"/>
      <c r="U5" s="106"/>
      <c r="V5" s="107"/>
      <c r="W5" s="107"/>
      <c r="X5" s="106"/>
      <c r="Y5" s="106"/>
      <c r="Z5" s="106"/>
    </row>
    <row r="6" spans="1:26" x14ac:dyDescent="0.25">
      <c r="A6" s="106">
        <v>4</v>
      </c>
      <c r="B6" s="103">
        <f t="shared" si="1"/>
        <v>45203</v>
      </c>
      <c r="C6" s="109">
        <f>YEAR(MC[[#This Row],[Date]])+IF(MONTH(MC[[#This Row],[Date]])&gt;=4,1,0)</f>
        <v>2024</v>
      </c>
      <c r="D6" s="110">
        <f>YEAR(MC[[#This Row],[Date]])</f>
        <v>2023</v>
      </c>
      <c r="E6" s="101" t="s">
        <v>73</v>
      </c>
      <c r="F6" s="101" t="s">
        <v>73</v>
      </c>
      <c r="G6" s="102" t="str">
        <f>TEXT(MC[[#This Row],[Date]],"mmm-yy")</f>
        <v>Oct-23</v>
      </c>
      <c r="H6" s="102">
        <f>DAY(EOMONTH(MC[[#This Row],[Month Year]],0))</f>
        <v>31</v>
      </c>
      <c r="I6" s="106"/>
      <c r="J6" s="106"/>
      <c r="K6" s="106"/>
      <c r="L6" s="106"/>
      <c r="M6" s="106"/>
      <c r="N6" s="106"/>
      <c r="O6" s="106"/>
      <c r="P6" s="106"/>
      <c r="Q6" s="106"/>
      <c r="R6" s="106">
        <f t="shared" si="0"/>
        <v>6000</v>
      </c>
      <c r="S6" s="1">
        <f>SUM(MC[[#This Row],[Blk1]:[Blk8]])</f>
        <v>6000</v>
      </c>
      <c r="T6" s="107"/>
      <c r="U6" s="107"/>
      <c r="V6" s="107"/>
      <c r="W6" s="107"/>
      <c r="X6" s="106"/>
      <c r="Y6" s="106"/>
      <c r="Z6" s="106"/>
    </row>
    <row r="7" spans="1:26" x14ac:dyDescent="0.25">
      <c r="A7" s="106">
        <v>5</v>
      </c>
      <c r="B7" s="103">
        <f t="shared" si="1"/>
        <v>45204</v>
      </c>
      <c r="C7" s="109">
        <f>YEAR(MC[[#This Row],[Date]])+IF(MONTH(MC[[#This Row],[Date]])&gt;=4,1,0)</f>
        <v>2024</v>
      </c>
      <c r="D7" s="110">
        <f>YEAR(MC[[#This Row],[Date]])</f>
        <v>2023</v>
      </c>
      <c r="E7" s="101" t="s">
        <v>73</v>
      </c>
      <c r="F7" s="101" t="s">
        <v>73</v>
      </c>
      <c r="G7" s="102" t="str">
        <f>TEXT(MC[[#This Row],[Date]],"mmm-yy")</f>
        <v>Oct-23</v>
      </c>
      <c r="H7" s="102">
        <f>DAY(EOMONTH(MC[[#This Row],[Month Year]],0))</f>
        <v>31</v>
      </c>
      <c r="I7" s="106"/>
      <c r="J7" s="106"/>
      <c r="K7" s="106"/>
      <c r="L7" s="106"/>
      <c r="M7" s="106"/>
      <c r="N7" s="106"/>
      <c r="O7" s="106"/>
      <c r="P7" s="106"/>
      <c r="Q7" s="106"/>
      <c r="R7" s="106">
        <f t="shared" si="0"/>
        <v>6000</v>
      </c>
      <c r="S7" s="1">
        <f>SUM(MC[[#This Row],[Blk1]:[Blk8]])</f>
        <v>6000</v>
      </c>
      <c r="T7" s="107"/>
      <c r="U7" s="107"/>
      <c r="V7" s="107"/>
      <c r="W7" s="107"/>
      <c r="X7" s="106"/>
      <c r="Y7" s="106"/>
      <c r="Z7" s="106"/>
    </row>
    <row r="8" spans="1:26" x14ac:dyDescent="0.25">
      <c r="A8" s="106">
        <v>6</v>
      </c>
      <c r="B8" s="103">
        <f t="shared" si="1"/>
        <v>45205</v>
      </c>
      <c r="C8" s="109">
        <f>YEAR(MC[[#This Row],[Date]])+IF(MONTH(MC[[#This Row],[Date]])&gt;=4,1,0)</f>
        <v>2024</v>
      </c>
      <c r="D8" s="110">
        <f>YEAR(MC[[#This Row],[Date]])</f>
        <v>2023</v>
      </c>
      <c r="E8" s="101" t="s">
        <v>73</v>
      </c>
      <c r="F8" s="101" t="s">
        <v>73</v>
      </c>
      <c r="G8" s="102" t="str">
        <f>TEXT(MC[[#This Row],[Date]],"mmm-yy")</f>
        <v>Oct-23</v>
      </c>
      <c r="H8" s="102">
        <f>DAY(EOMONTH(MC[[#This Row],[Month Year]],0))</f>
        <v>31</v>
      </c>
      <c r="I8" s="106"/>
      <c r="J8" s="106"/>
      <c r="K8" s="106"/>
      <c r="L8" s="106"/>
      <c r="M8" s="106"/>
      <c r="N8" s="106"/>
      <c r="O8" s="106"/>
      <c r="P8" s="106"/>
      <c r="Q8" s="106"/>
      <c r="R8" s="106">
        <f t="shared" si="0"/>
        <v>6000</v>
      </c>
      <c r="S8" s="1">
        <f>SUM(MC[[#This Row],[Blk1]:[Blk8]])</f>
        <v>6000</v>
      </c>
      <c r="T8" s="106"/>
      <c r="U8" s="106"/>
      <c r="V8" s="106"/>
      <c r="W8" s="106"/>
      <c r="X8" s="106"/>
      <c r="Y8" s="106"/>
      <c r="Z8" s="106"/>
    </row>
    <row r="9" spans="1:26" x14ac:dyDescent="0.25">
      <c r="A9" s="106">
        <v>7</v>
      </c>
      <c r="B9" s="103">
        <f t="shared" si="1"/>
        <v>45206</v>
      </c>
      <c r="C9" s="109">
        <f>YEAR(MC[[#This Row],[Date]])+IF(MONTH(MC[[#This Row],[Date]])&gt;=4,1,0)</f>
        <v>2024</v>
      </c>
      <c r="D9" s="110">
        <f>YEAR(MC[[#This Row],[Date]])</f>
        <v>2023</v>
      </c>
      <c r="E9" s="101" t="s">
        <v>73</v>
      </c>
      <c r="F9" s="101" t="s">
        <v>73</v>
      </c>
      <c r="G9" s="102" t="str">
        <f>TEXT(MC[[#This Row],[Date]],"mmm-yy")</f>
        <v>Oct-23</v>
      </c>
      <c r="H9" s="102">
        <f>DAY(EOMONTH(MC[[#This Row],[Month Year]],0))</f>
        <v>31</v>
      </c>
      <c r="I9" s="106"/>
      <c r="J9" s="106"/>
      <c r="K9" s="106"/>
      <c r="L9" s="106"/>
      <c r="M9" s="106"/>
      <c r="N9" s="106"/>
      <c r="O9" s="106"/>
      <c r="P9" s="106"/>
      <c r="Q9" s="106"/>
      <c r="R9" s="106">
        <f t="shared" si="0"/>
        <v>6000</v>
      </c>
      <c r="S9" s="1">
        <f>SUM(MC[[#This Row],[Blk1]:[Blk8]])</f>
        <v>6000</v>
      </c>
      <c r="T9" s="106"/>
      <c r="U9" s="106"/>
      <c r="V9" s="107"/>
      <c r="W9" s="107"/>
      <c r="X9" s="106"/>
      <c r="Y9" s="106"/>
      <c r="Z9" s="106"/>
    </row>
    <row r="10" spans="1:26" x14ac:dyDescent="0.25">
      <c r="A10" s="106">
        <v>8</v>
      </c>
      <c r="B10" s="103">
        <f t="shared" si="1"/>
        <v>45207</v>
      </c>
      <c r="C10" s="109">
        <f>YEAR(MC[[#This Row],[Date]])+IF(MONTH(MC[[#This Row],[Date]])&gt;=4,1,0)</f>
        <v>2024</v>
      </c>
      <c r="D10" s="110">
        <f>YEAR(MC[[#This Row],[Date]])</f>
        <v>2023</v>
      </c>
      <c r="E10" s="101" t="s">
        <v>73</v>
      </c>
      <c r="F10" s="101" t="s">
        <v>73</v>
      </c>
      <c r="G10" s="102" t="str">
        <f>TEXT(MC[[#This Row],[Date]],"mmm-yy")</f>
        <v>Oct-23</v>
      </c>
      <c r="H10" s="102">
        <f>DAY(EOMONTH(MC[[#This Row],[Month Year]],0))</f>
        <v>31</v>
      </c>
      <c r="I10" s="106"/>
      <c r="J10" s="106"/>
      <c r="K10" s="106"/>
      <c r="L10" s="106"/>
      <c r="M10" s="106"/>
      <c r="N10" s="106"/>
      <c r="O10" s="106"/>
      <c r="P10" s="106"/>
      <c r="Q10" s="106"/>
      <c r="R10" s="106">
        <f t="shared" si="0"/>
        <v>6000</v>
      </c>
      <c r="S10" s="1">
        <f>SUM(MC[[#This Row],[Blk1]:[Blk8]])</f>
        <v>6000</v>
      </c>
      <c r="T10" s="107"/>
      <c r="U10" s="107"/>
      <c r="V10" s="107"/>
      <c r="W10" s="107"/>
      <c r="X10" s="106"/>
      <c r="Y10" s="106"/>
      <c r="Z10" s="106"/>
    </row>
    <row r="11" spans="1:26" x14ac:dyDescent="0.25">
      <c r="A11" s="106">
        <v>9</v>
      </c>
      <c r="B11" s="103">
        <f t="shared" si="1"/>
        <v>45208</v>
      </c>
      <c r="C11" s="109">
        <f>YEAR(MC[[#This Row],[Date]])+IF(MONTH(MC[[#This Row],[Date]])&gt;=4,1,0)</f>
        <v>2024</v>
      </c>
      <c r="D11" s="110">
        <f>YEAR(MC[[#This Row],[Date]])</f>
        <v>2023</v>
      </c>
      <c r="E11" s="101" t="s">
        <v>73</v>
      </c>
      <c r="F11" s="101" t="s">
        <v>73</v>
      </c>
      <c r="G11" s="102" t="str">
        <f>TEXT(MC[[#This Row],[Date]],"mmm-yy")</f>
        <v>Oct-23</v>
      </c>
      <c r="H11" s="102">
        <f>DAY(EOMONTH(MC[[#This Row],[Month Year]],0))</f>
        <v>31</v>
      </c>
      <c r="I11" s="106"/>
      <c r="J11" s="106"/>
      <c r="K11" s="106"/>
      <c r="L11" s="106"/>
      <c r="M11" s="106"/>
      <c r="N11" s="106"/>
      <c r="O11" s="106"/>
      <c r="P11" s="106"/>
      <c r="Q11" s="106"/>
      <c r="R11" s="106">
        <f t="shared" si="0"/>
        <v>6000</v>
      </c>
      <c r="S11" s="1">
        <f>SUM(MC[[#This Row],[Blk1]:[Blk8]])</f>
        <v>6000</v>
      </c>
      <c r="T11" s="107"/>
      <c r="U11" s="107"/>
      <c r="V11" s="107"/>
      <c r="W11" s="107"/>
      <c r="X11" s="106"/>
      <c r="Y11" s="106"/>
      <c r="Z11" s="106"/>
    </row>
    <row r="12" spans="1:26" x14ac:dyDescent="0.25">
      <c r="A12" s="106">
        <v>10</v>
      </c>
      <c r="B12" s="103">
        <f t="shared" si="1"/>
        <v>45209</v>
      </c>
      <c r="C12" s="109">
        <f>YEAR(MC[[#This Row],[Date]])+IF(MONTH(MC[[#This Row],[Date]])&gt;=4,1,0)</f>
        <v>2024</v>
      </c>
      <c r="D12" s="110">
        <f>YEAR(MC[[#This Row],[Date]])</f>
        <v>2023</v>
      </c>
      <c r="E12" s="101" t="s">
        <v>73</v>
      </c>
      <c r="F12" s="101" t="s">
        <v>73</v>
      </c>
      <c r="G12" s="102" t="str">
        <f>TEXT(MC[[#This Row],[Date]],"mmm-yy")</f>
        <v>Oct-23</v>
      </c>
      <c r="H12" s="102">
        <f>DAY(EOMONTH(MC[[#This Row],[Month Year]],0))</f>
        <v>31</v>
      </c>
      <c r="I12" s="106"/>
      <c r="J12" s="106"/>
      <c r="K12" s="106"/>
      <c r="L12" s="106"/>
      <c r="M12" s="106"/>
      <c r="N12" s="106"/>
      <c r="O12" s="106"/>
      <c r="P12" s="106"/>
      <c r="Q12" s="106"/>
      <c r="R12" s="106">
        <f t="shared" si="0"/>
        <v>6000</v>
      </c>
      <c r="S12" s="1">
        <f>SUM(MC[[#This Row],[Blk1]:[Blk8]])</f>
        <v>6000</v>
      </c>
      <c r="T12" s="106"/>
      <c r="U12" s="106"/>
      <c r="V12" s="107"/>
      <c r="W12" s="107"/>
      <c r="X12" s="106"/>
      <c r="Y12" s="106"/>
      <c r="Z12" s="106"/>
    </row>
    <row r="13" spans="1:26" x14ac:dyDescent="0.25">
      <c r="A13" s="106">
        <v>11</v>
      </c>
      <c r="B13" s="103">
        <f t="shared" si="1"/>
        <v>45210</v>
      </c>
      <c r="C13" s="109">
        <f>YEAR(MC[[#This Row],[Date]])+IF(MONTH(MC[[#This Row],[Date]])&gt;=4,1,0)</f>
        <v>2024</v>
      </c>
      <c r="D13" s="110">
        <f>YEAR(MC[[#This Row],[Date]])</f>
        <v>2023</v>
      </c>
      <c r="E13" s="101" t="s">
        <v>73</v>
      </c>
      <c r="F13" s="101" t="s">
        <v>73</v>
      </c>
      <c r="G13" s="102" t="str">
        <f>TEXT(MC[[#This Row],[Date]],"mmm-yy")</f>
        <v>Oct-23</v>
      </c>
      <c r="H13" s="102">
        <f>DAY(EOMONTH(MC[[#This Row],[Month Year]],0))</f>
        <v>31</v>
      </c>
      <c r="I13" s="106"/>
      <c r="J13" s="106"/>
      <c r="K13" s="106"/>
      <c r="L13" s="106"/>
      <c r="M13" s="106"/>
      <c r="N13" s="106"/>
      <c r="O13" s="106"/>
      <c r="P13" s="106"/>
      <c r="Q13" s="106"/>
      <c r="R13" s="106">
        <f t="shared" si="0"/>
        <v>6000</v>
      </c>
      <c r="S13" s="1">
        <f>SUM(MC[[#This Row],[Blk1]:[Blk8]])</f>
        <v>6000</v>
      </c>
      <c r="T13" s="107"/>
      <c r="U13" s="107"/>
      <c r="V13" s="107"/>
      <c r="W13" s="107"/>
      <c r="X13" s="106"/>
      <c r="Y13" s="106"/>
      <c r="Z13" s="106"/>
    </row>
    <row r="14" spans="1:26" x14ac:dyDescent="0.25">
      <c r="A14" s="106">
        <v>12</v>
      </c>
      <c r="B14" s="103">
        <f t="shared" si="1"/>
        <v>45211</v>
      </c>
      <c r="C14" s="109">
        <f>YEAR(MC[[#This Row],[Date]])+IF(MONTH(MC[[#This Row],[Date]])&gt;=4,1,0)</f>
        <v>2024</v>
      </c>
      <c r="D14" s="110">
        <f>YEAR(MC[[#This Row],[Date]])</f>
        <v>2023</v>
      </c>
      <c r="E14" s="101" t="s">
        <v>73</v>
      </c>
      <c r="F14" s="101" t="s">
        <v>73</v>
      </c>
      <c r="G14" s="102" t="str">
        <f>TEXT(MC[[#This Row],[Date]],"mmm-yy")</f>
        <v>Oct-23</v>
      </c>
      <c r="H14" s="102">
        <f>DAY(EOMONTH(MC[[#This Row],[Month Year]],0))</f>
        <v>31</v>
      </c>
      <c r="I14" s="106"/>
      <c r="J14" s="106"/>
      <c r="K14" s="106"/>
      <c r="L14" s="106"/>
      <c r="M14" s="106"/>
      <c r="N14" s="106"/>
      <c r="O14" s="106"/>
      <c r="P14" s="106"/>
      <c r="Q14" s="106"/>
      <c r="R14" s="106">
        <f t="shared" si="0"/>
        <v>6000</v>
      </c>
      <c r="S14" s="1">
        <f>SUM(MC[[#This Row],[Blk1]:[Blk8]])</f>
        <v>6000</v>
      </c>
      <c r="T14" s="107"/>
      <c r="U14" s="107"/>
      <c r="V14" s="107"/>
      <c r="W14" s="107"/>
      <c r="X14" s="106"/>
      <c r="Y14" s="106"/>
      <c r="Z14" s="106"/>
    </row>
    <row r="15" spans="1:26" x14ac:dyDescent="0.25">
      <c r="A15" s="106">
        <v>13</v>
      </c>
      <c r="B15" s="103">
        <f t="shared" si="1"/>
        <v>45212</v>
      </c>
      <c r="C15" s="109">
        <f>YEAR(MC[[#This Row],[Date]])+IF(MONTH(MC[[#This Row],[Date]])&gt;=4,1,0)</f>
        <v>2024</v>
      </c>
      <c r="D15" s="110">
        <f>YEAR(MC[[#This Row],[Date]])</f>
        <v>2023</v>
      </c>
      <c r="E15" s="101" t="s">
        <v>73</v>
      </c>
      <c r="F15" s="101" t="s">
        <v>73</v>
      </c>
      <c r="G15" s="102" t="str">
        <f>TEXT(MC[[#This Row],[Date]],"mmm-yy")</f>
        <v>Oct-23</v>
      </c>
      <c r="H15" s="102">
        <f>DAY(EOMONTH(MC[[#This Row],[Month Year]],0))</f>
        <v>31</v>
      </c>
      <c r="I15" s="106"/>
      <c r="J15" s="106"/>
      <c r="K15" s="106"/>
      <c r="L15" s="106"/>
      <c r="M15" s="106"/>
      <c r="N15" s="106"/>
      <c r="O15" s="106"/>
      <c r="P15" s="106"/>
      <c r="Q15" s="106"/>
      <c r="R15" s="106">
        <f t="shared" si="0"/>
        <v>6000</v>
      </c>
      <c r="S15" s="1">
        <f>SUM(MC[[#This Row],[Blk1]:[Blk8]])</f>
        <v>6000</v>
      </c>
      <c r="T15" s="107"/>
      <c r="U15" s="107"/>
      <c r="V15" s="107"/>
      <c r="W15" s="107"/>
      <c r="X15" s="106"/>
      <c r="Y15" s="106"/>
      <c r="Z15" s="106"/>
    </row>
    <row r="16" spans="1:26" x14ac:dyDescent="0.25">
      <c r="A16" s="106">
        <v>14</v>
      </c>
      <c r="B16" s="103">
        <f t="shared" si="1"/>
        <v>45213</v>
      </c>
      <c r="C16" s="109">
        <f>YEAR(MC[[#This Row],[Date]])+IF(MONTH(MC[[#This Row],[Date]])&gt;=4,1,0)</f>
        <v>2024</v>
      </c>
      <c r="D16" s="110">
        <f>YEAR(MC[[#This Row],[Date]])</f>
        <v>2023</v>
      </c>
      <c r="E16" s="101" t="s">
        <v>73</v>
      </c>
      <c r="F16" s="101" t="s">
        <v>73</v>
      </c>
      <c r="G16" s="102" t="str">
        <f>TEXT(MC[[#This Row],[Date]],"mmm-yy")</f>
        <v>Oct-23</v>
      </c>
      <c r="H16" s="102">
        <f>DAY(EOMONTH(MC[[#This Row],[Month Year]],0))</f>
        <v>31</v>
      </c>
      <c r="I16" s="106"/>
      <c r="J16" s="106"/>
      <c r="K16" s="106"/>
      <c r="L16" s="106"/>
      <c r="M16" s="106"/>
      <c r="N16" s="106"/>
      <c r="O16" s="106"/>
      <c r="P16" s="106"/>
      <c r="Q16" s="106"/>
      <c r="R16" s="106">
        <f t="shared" si="0"/>
        <v>6000</v>
      </c>
      <c r="S16" s="1">
        <f>SUM(MC[[#This Row],[Blk1]:[Blk8]])</f>
        <v>6000</v>
      </c>
      <c r="T16" s="107"/>
      <c r="U16" s="107"/>
      <c r="V16" s="107"/>
      <c r="W16" s="107"/>
      <c r="X16" s="106"/>
      <c r="Y16" s="106"/>
      <c r="Z16" s="106"/>
    </row>
    <row r="17" spans="1:26" x14ac:dyDescent="0.25">
      <c r="A17" s="106">
        <v>15</v>
      </c>
      <c r="B17" s="103">
        <f t="shared" si="1"/>
        <v>45214</v>
      </c>
      <c r="C17" s="109">
        <f>YEAR(MC[[#This Row],[Date]])+IF(MONTH(MC[[#This Row],[Date]])&gt;=4,1,0)</f>
        <v>2024</v>
      </c>
      <c r="D17" s="110">
        <f>YEAR(MC[[#This Row],[Date]])</f>
        <v>2023</v>
      </c>
      <c r="E17" s="101" t="s">
        <v>73</v>
      </c>
      <c r="F17" s="101" t="s">
        <v>73</v>
      </c>
      <c r="G17" s="102" t="str">
        <f>TEXT(MC[[#This Row],[Date]],"mmm-yy")</f>
        <v>Oct-23</v>
      </c>
      <c r="H17" s="102">
        <f>DAY(EOMONTH(MC[[#This Row],[Month Year]],0))</f>
        <v>31</v>
      </c>
      <c r="I17" s="106"/>
      <c r="J17" s="106"/>
      <c r="K17" s="106"/>
      <c r="L17" s="106"/>
      <c r="M17" s="106"/>
      <c r="N17" s="106"/>
      <c r="O17" s="106"/>
      <c r="P17" s="106"/>
      <c r="Q17" s="106"/>
      <c r="R17" s="106">
        <f t="shared" si="0"/>
        <v>6000</v>
      </c>
      <c r="S17" s="1">
        <f>SUM(MC[[#This Row],[Blk1]:[Blk8]])</f>
        <v>6000</v>
      </c>
      <c r="T17" s="107"/>
      <c r="U17" s="107"/>
      <c r="V17" s="107"/>
      <c r="W17" s="107"/>
      <c r="X17" s="106"/>
      <c r="Y17" s="106"/>
      <c r="Z17" s="106"/>
    </row>
    <row r="18" spans="1:26" x14ac:dyDescent="0.25">
      <c r="A18" s="106">
        <v>16</v>
      </c>
      <c r="B18" s="103">
        <f t="shared" si="1"/>
        <v>45215</v>
      </c>
      <c r="C18" s="109">
        <f>YEAR(MC[[#This Row],[Date]])+IF(MONTH(MC[[#This Row],[Date]])&gt;=4,1,0)</f>
        <v>2024</v>
      </c>
      <c r="D18" s="110">
        <f>YEAR(MC[[#This Row],[Date]])</f>
        <v>2023</v>
      </c>
      <c r="E18" s="101" t="s">
        <v>73</v>
      </c>
      <c r="F18" s="101" t="s">
        <v>73</v>
      </c>
      <c r="G18" s="102" t="str">
        <f>TEXT(MC[[#This Row],[Date]],"mmm-yy")</f>
        <v>Oct-23</v>
      </c>
      <c r="H18" s="102">
        <f>DAY(EOMONTH(MC[[#This Row],[Month Year]],0))</f>
        <v>31</v>
      </c>
      <c r="I18" s="106"/>
      <c r="J18" s="106"/>
      <c r="K18" s="106"/>
      <c r="L18" s="106"/>
      <c r="M18" s="106"/>
      <c r="N18" s="106"/>
      <c r="O18" s="106"/>
      <c r="P18" s="106"/>
      <c r="Q18" s="106"/>
      <c r="R18" s="106">
        <f t="shared" si="0"/>
        <v>6000</v>
      </c>
      <c r="S18" s="1">
        <f>SUM(MC[[#This Row],[Blk1]:[Blk8]])</f>
        <v>6000</v>
      </c>
      <c r="T18" s="107"/>
      <c r="U18" s="107"/>
      <c r="V18" s="107"/>
      <c r="W18" s="107"/>
      <c r="X18" s="106"/>
      <c r="Y18" s="106"/>
      <c r="Z18" s="106"/>
    </row>
    <row r="19" spans="1:26" x14ac:dyDescent="0.25">
      <c r="A19" s="106">
        <v>17</v>
      </c>
      <c r="B19" s="103">
        <f t="shared" si="1"/>
        <v>45216</v>
      </c>
      <c r="C19" s="109">
        <f>YEAR(MC[[#This Row],[Date]])+IF(MONTH(MC[[#This Row],[Date]])&gt;=4,1,0)</f>
        <v>2024</v>
      </c>
      <c r="D19" s="110">
        <f>YEAR(MC[[#This Row],[Date]])</f>
        <v>2023</v>
      </c>
      <c r="E19" s="101" t="s">
        <v>73</v>
      </c>
      <c r="F19" s="101" t="s">
        <v>73</v>
      </c>
      <c r="G19" s="102" t="str">
        <f>TEXT(MC[[#This Row],[Date]],"mmm-yy")</f>
        <v>Oct-23</v>
      </c>
      <c r="H19" s="102">
        <f>DAY(EOMONTH(MC[[#This Row],[Month Year]],0))</f>
        <v>31</v>
      </c>
      <c r="I19" s="106"/>
      <c r="J19" s="106"/>
      <c r="K19" s="106"/>
      <c r="L19" s="106"/>
      <c r="M19" s="106"/>
      <c r="N19" s="106"/>
      <c r="O19" s="106"/>
      <c r="P19" s="106"/>
      <c r="Q19" s="106"/>
      <c r="R19" s="106">
        <f t="shared" si="0"/>
        <v>6000</v>
      </c>
      <c r="S19" s="1">
        <f>SUM(MC[[#This Row],[Blk1]:[Blk8]])</f>
        <v>6000</v>
      </c>
      <c r="T19" s="107"/>
      <c r="U19" s="107"/>
      <c r="V19" s="107"/>
      <c r="W19" s="107"/>
      <c r="X19" s="106"/>
      <c r="Y19" s="106"/>
      <c r="Z19" s="106"/>
    </row>
    <row r="20" spans="1:26" x14ac:dyDescent="0.25">
      <c r="A20" s="106">
        <v>18</v>
      </c>
      <c r="B20" s="103">
        <f t="shared" si="1"/>
        <v>45217</v>
      </c>
      <c r="C20" s="109">
        <f>YEAR(MC[[#This Row],[Date]])+IF(MONTH(MC[[#This Row],[Date]])&gt;=4,1,0)</f>
        <v>2024</v>
      </c>
      <c r="D20" s="110">
        <f>YEAR(MC[[#This Row],[Date]])</f>
        <v>2023</v>
      </c>
      <c r="E20" s="101" t="s">
        <v>73</v>
      </c>
      <c r="F20" s="101" t="s">
        <v>73</v>
      </c>
      <c r="G20" s="102" t="str">
        <f>TEXT(MC[[#This Row],[Date]],"mmm-yy")</f>
        <v>Oct-23</v>
      </c>
      <c r="H20" s="102">
        <f>DAY(EOMONTH(MC[[#This Row],[Month Year]],0))</f>
        <v>31</v>
      </c>
      <c r="I20" s="106"/>
      <c r="J20" s="106"/>
      <c r="K20" s="106"/>
      <c r="L20" s="106"/>
      <c r="M20" s="106"/>
      <c r="N20" s="106"/>
      <c r="O20" s="106"/>
      <c r="P20" s="106"/>
      <c r="Q20" s="106"/>
      <c r="R20" s="106">
        <f t="shared" si="0"/>
        <v>6000</v>
      </c>
      <c r="S20" s="1">
        <f>SUM(MC[[#This Row],[Blk1]:[Blk8]])</f>
        <v>6000</v>
      </c>
      <c r="T20" s="107"/>
      <c r="U20" s="107"/>
      <c r="V20" s="107"/>
      <c r="W20" s="107"/>
      <c r="X20" s="106"/>
      <c r="Y20" s="106"/>
      <c r="Z20" s="106"/>
    </row>
    <row r="21" spans="1:26" x14ac:dyDescent="0.25">
      <c r="A21" s="106">
        <v>19</v>
      </c>
      <c r="B21" s="103">
        <f t="shared" si="1"/>
        <v>45218</v>
      </c>
      <c r="C21" s="109">
        <f>YEAR(MC[[#This Row],[Date]])+IF(MONTH(MC[[#This Row],[Date]])&gt;=4,1,0)</f>
        <v>2024</v>
      </c>
      <c r="D21" s="110">
        <f>YEAR(MC[[#This Row],[Date]])</f>
        <v>2023</v>
      </c>
      <c r="E21" s="101" t="s">
        <v>73</v>
      </c>
      <c r="F21" s="101" t="s">
        <v>73</v>
      </c>
      <c r="G21" s="102" t="str">
        <f>TEXT(MC[[#This Row],[Date]],"mmm-yy")</f>
        <v>Oct-23</v>
      </c>
      <c r="H21" s="102">
        <f>DAY(EOMONTH(MC[[#This Row],[Month Year]],0))</f>
        <v>31</v>
      </c>
      <c r="I21" s="106"/>
      <c r="J21" s="106"/>
      <c r="K21" s="106"/>
      <c r="L21" s="106"/>
      <c r="M21" s="106"/>
      <c r="N21" s="106"/>
      <c r="O21" s="106"/>
      <c r="P21" s="106"/>
      <c r="Q21" s="106"/>
      <c r="R21" s="106">
        <f t="shared" si="0"/>
        <v>6000</v>
      </c>
      <c r="S21" s="1">
        <f>SUM(MC[[#This Row],[Blk1]:[Blk8]])</f>
        <v>6000</v>
      </c>
      <c r="T21" s="107"/>
      <c r="U21" s="107"/>
      <c r="V21" s="106"/>
      <c r="W21" s="106"/>
      <c r="X21" s="106"/>
      <c r="Y21" s="106"/>
      <c r="Z21" s="106"/>
    </row>
    <row r="22" spans="1:26" x14ac:dyDescent="0.25">
      <c r="A22" s="106">
        <v>20</v>
      </c>
      <c r="B22" s="103">
        <f t="shared" si="1"/>
        <v>45219</v>
      </c>
      <c r="C22" s="109">
        <f>YEAR(MC[[#This Row],[Date]])+IF(MONTH(MC[[#This Row],[Date]])&gt;=4,1,0)</f>
        <v>2024</v>
      </c>
      <c r="D22" s="110">
        <f>YEAR(MC[[#This Row],[Date]])</f>
        <v>2023</v>
      </c>
      <c r="E22" s="101" t="s">
        <v>73</v>
      </c>
      <c r="F22" s="101" t="s">
        <v>73</v>
      </c>
      <c r="G22" s="102" t="str">
        <f>TEXT(MC[[#This Row],[Date]],"mmm-yy")</f>
        <v>Oct-23</v>
      </c>
      <c r="H22" s="102">
        <f>DAY(EOMONTH(MC[[#This Row],[Month Year]],0))</f>
        <v>31</v>
      </c>
      <c r="I22" s="106"/>
      <c r="J22" s="106"/>
      <c r="K22" s="106"/>
      <c r="L22" s="106"/>
      <c r="M22" s="106"/>
      <c r="N22" s="106"/>
      <c r="O22" s="106"/>
      <c r="P22" s="106"/>
      <c r="Q22" s="106"/>
      <c r="R22" s="106">
        <f t="shared" si="0"/>
        <v>6000</v>
      </c>
      <c r="S22" s="1">
        <f>SUM(MC[[#This Row],[Blk1]:[Blk8]])</f>
        <v>6000</v>
      </c>
      <c r="T22" s="106"/>
      <c r="U22" s="106"/>
      <c r="V22" s="106"/>
      <c r="W22" s="106"/>
      <c r="X22" s="106"/>
      <c r="Y22" s="106"/>
      <c r="Z22" s="106"/>
    </row>
    <row r="23" spans="1:26" x14ac:dyDescent="0.25">
      <c r="A23" s="106">
        <v>21</v>
      </c>
      <c r="B23" s="103">
        <f t="shared" si="1"/>
        <v>45220</v>
      </c>
      <c r="C23" s="109">
        <f>YEAR(MC[[#This Row],[Date]])+IF(MONTH(MC[[#This Row],[Date]])&gt;=4,1,0)</f>
        <v>2024</v>
      </c>
      <c r="D23" s="110">
        <f>YEAR(MC[[#This Row],[Date]])</f>
        <v>2023</v>
      </c>
      <c r="E23" s="101" t="s">
        <v>73</v>
      </c>
      <c r="F23" s="101" t="s">
        <v>73</v>
      </c>
      <c r="G23" s="102" t="str">
        <f>TEXT(MC[[#This Row],[Date]],"mmm-yy")</f>
        <v>Oct-23</v>
      </c>
      <c r="H23" s="102">
        <f>DAY(EOMONTH(MC[[#This Row],[Month Year]],0))</f>
        <v>31</v>
      </c>
      <c r="I23" s="106"/>
      <c r="J23" s="106"/>
      <c r="K23" s="106"/>
      <c r="L23" s="106"/>
      <c r="M23" s="106"/>
      <c r="N23" s="106"/>
      <c r="O23" s="106"/>
      <c r="P23" s="106"/>
      <c r="Q23" s="106"/>
      <c r="R23" s="106">
        <f t="shared" si="0"/>
        <v>6000</v>
      </c>
      <c r="S23" s="1">
        <f>SUM(MC[[#This Row],[Blk1]:[Blk8]])</f>
        <v>6000</v>
      </c>
      <c r="T23" s="107"/>
      <c r="U23" s="107"/>
      <c r="V23" s="107"/>
      <c r="W23" s="107"/>
      <c r="X23" s="106"/>
      <c r="Y23" s="106"/>
      <c r="Z23" s="106"/>
    </row>
    <row r="24" spans="1:26" x14ac:dyDescent="0.25">
      <c r="A24" s="106">
        <v>22</v>
      </c>
      <c r="B24" s="103">
        <f t="shared" si="1"/>
        <v>45221</v>
      </c>
      <c r="C24" s="109">
        <f>YEAR(MC[[#This Row],[Date]])+IF(MONTH(MC[[#This Row],[Date]])&gt;=4,1,0)</f>
        <v>2024</v>
      </c>
      <c r="D24" s="110">
        <f>YEAR(MC[[#This Row],[Date]])</f>
        <v>2023</v>
      </c>
      <c r="E24" s="101" t="s">
        <v>73</v>
      </c>
      <c r="F24" s="101" t="s">
        <v>73</v>
      </c>
      <c r="G24" s="102" t="str">
        <f>TEXT(MC[[#This Row],[Date]],"mmm-yy")</f>
        <v>Oct-23</v>
      </c>
      <c r="H24" s="102">
        <f>DAY(EOMONTH(MC[[#This Row],[Month Year]],0))</f>
        <v>31</v>
      </c>
      <c r="I24" s="106"/>
      <c r="J24" s="106"/>
      <c r="K24" s="106"/>
      <c r="L24" s="106"/>
      <c r="M24" s="106"/>
      <c r="N24" s="106"/>
      <c r="O24" s="106"/>
      <c r="P24" s="106"/>
      <c r="Q24" s="106"/>
      <c r="R24" s="106">
        <f t="shared" si="0"/>
        <v>6000</v>
      </c>
      <c r="S24" s="1">
        <f>SUM(MC[[#This Row],[Blk1]:[Blk8]])</f>
        <v>6000</v>
      </c>
      <c r="T24" s="106"/>
      <c r="U24" s="106"/>
      <c r="V24" s="106"/>
      <c r="W24" s="106"/>
      <c r="X24" s="106"/>
      <c r="Y24" s="106"/>
      <c r="Z24" s="106"/>
    </row>
    <row r="25" spans="1:26" x14ac:dyDescent="0.25">
      <c r="A25" s="106">
        <v>23</v>
      </c>
      <c r="B25" s="103">
        <f t="shared" si="1"/>
        <v>45222</v>
      </c>
      <c r="C25" s="109">
        <f>YEAR(MC[[#This Row],[Date]])+IF(MONTH(MC[[#This Row],[Date]])&gt;=4,1,0)</f>
        <v>2024</v>
      </c>
      <c r="D25" s="110">
        <f>YEAR(MC[[#This Row],[Date]])</f>
        <v>2023</v>
      </c>
      <c r="E25" s="101" t="s">
        <v>73</v>
      </c>
      <c r="F25" s="101" t="s">
        <v>73</v>
      </c>
      <c r="G25" s="102" t="str">
        <f>TEXT(MC[[#This Row],[Date]],"mmm-yy")</f>
        <v>Oct-23</v>
      </c>
      <c r="H25" s="102">
        <f>DAY(EOMONTH(MC[[#This Row],[Month Year]],0))</f>
        <v>31</v>
      </c>
      <c r="I25" s="106"/>
      <c r="J25" s="106"/>
      <c r="K25" s="106"/>
      <c r="L25" s="106"/>
      <c r="M25" s="106"/>
      <c r="N25" s="106"/>
      <c r="O25" s="106"/>
      <c r="P25" s="106"/>
      <c r="Q25" s="106"/>
      <c r="R25" s="106">
        <f t="shared" si="0"/>
        <v>6000</v>
      </c>
      <c r="S25" s="1">
        <f>SUM(MC[[#This Row],[Blk1]:[Blk8]])</f>
        <v>6000</v>
      </c>
      <c r="T25" s="107"/>
      <c r="U25" s="107"/>
      <c r="V25" s="107"/>
      <c r="W25" s="107"/>
      <c r="X25" s="106"/>
      <c r="Y25" s="106"/>
      <c r="Z25" s="106"/>
    </row>
    <row r="26" spans="1:26" x14ac:dyDescent="0.25">
      <c r="A26" s="106">
        <v>24</v>
      </c>
      <c r="B26" s="103">
        <f t="shared" si="1"/>
        <v>45223</v>
      </c>
      <c r="C26" s="109">
        <f>YEAR(MC[[#This Row],[Date]])+IF(MONTH(MC[[#This Row],[Date]])&gt;=4,1,0)</f>
        <v>2024</v>
      </c>
      <c r="D26" s="110">
        <f>YEAR(MC[[#This Row],[Date]])</f>
        <v>2023</v>
      </c>
      <c r="E26" s="101" t="s">
        <v>73</v>
      </c>
      <c r="F26" s="101" t="s">
        <v>73</v>
      </c>
      <c r="G26" s="102" t="str">
        <f>TEXT(MC[[#This Row],[Date]],"mmm-yy")</f>
        <v>Oct-23</v>
      </c>
      <c r="H26" s="102">
        <f>DAY(EOMONTH(MC[[#This Row],[Month Year]],0))</f>
        <v>31</v>
      </c>
      <c r="I26" s="106"/>
      <c r="J26" s="106"/>
      <c r="K26" s="106"/>
      <c r="L26" s="106"/>
      <c r="M26" s="106"/>
      <c r="N26" s="106"/>
      <c r="O26" s="106"/>
      <c r="P26" s="106"/>
      <c r="Q26" s="106"/>
      <c r="R26" s="106">
        <f t="shared" si="0"/>
        <v>6000</v>
      </c>
      <c r="S26" s="1">
        <f>SUM(MC[[#This Row],[Blk1]:[Blk8]])</f>
        <v>6000</v>
      </c>
      <c r="T26" s="107"/>
      <c r="U26" s="107"/>
      <c r="V26" s="107"/>
      <c r="W26" s="107"/>
      <c r="X26" s="106"/>
      <c r="Y26" s="106"/>
      <c r="Z26" s="106"/>
    </row>
    <row r="27" spans="1:26" x14ac:dyDescent="0.25">
      <c r="A27" s="106">
        <v>25</v>
      </c>
      <c r="B27" s="103">
        <f t="shared" si="1"/>
        <v>45224</v>
      </c>
      <c r="C27" s="109">
        <f>YEAR(MC[[#This Row],[Date]])+IF(MONTH(MC[[#This Row],[Date]])&gt;=4,1,0)</f>
        <v>2024</v>
      </c>
      <c r="D27" s="110">
        <f>YEAR(MC[[#This Row],[Date]])</f>
        <v>2023</v>
      </c>
      <c r="E27" s="101" t="s">
        <v>73</v>
      </c>
      <c r="F27" s="101" t="s">
        <v>73</v>
      </c>
      <c r="G27" s="102" t="str">
        <f>TEXT(MC[[#This Row],[Date]],"mmm-yy")</f>
        <v>Oct-23</v>
      </c>
      <c r="H27" s="102">
        <f>DAY(EOMONTH(MC[[#This Row],[Month Year]],0))</f>
        <v>31</v>
      </c>
      <c r="I27" s="106"/>
      <c r="J27" s="106"/>
      <c r="K27" s="106"/>
      <c r="L27" s="106"/>
      <c r="M27" s="106"/>
      <c r="N27" s="106"/>
      <c r="O27" s="106"/>
      <c r="P27" s="106"/>
      <c r="Q27" s="106"/>
      <c r="R27" s="106">
        <f t="shared" si="0"/>
        <v>6000</v>
      </c>
      <c r="S27" s="1">
        <f>SUM(MC[[#This Row],[Blk1]:[Blk8]])</f>
        <v>6000</v>
      </c>
      <c r="T27" s="107"/>
      <c r="U27" s="107"/>
      <c r="V27" s="107"/>
      <c r="W27" s="107"/>
      <c r="X27" s="106"/>
      <c r="Y27" s="106"/>
      <c r="Z27" s="106"/>
    </row>
    <row r="28" spans="1:26" x14ac:dyDescent="0.25">
      <c r="A28" s="106">
        <v>26</v>
      </c>
      <c r="B28" s="103">
        <f t="shared" si="1"/>
        <v>45225</v>
      </c>
      <c r="C28" s="109">
        <f>YEAR(MC[[#This Row],[Date]])+IF(MONTH(MC[[#This Row],[Date]])&gt;=4,1,0)</f>
        <v>2024</v>
      </c>
      <c r="D28" s="110">
        <f>YEAR(MC[[#This Row],[Date]])</f>
        <v>2023</v>
      </c>
      <c r="E28" s="101" t="s">
        <v>73</v>
      </c>
      <c r="F28" s="101" t="s">
        <v>73</v>
      </c>
      <c r="G28" s="102" t="str">
        <f>TEXT(MC[[#This Row],[Date]],"mmm-yy")</f>
        <v>Oct-23</v>
      </c>
      <c r="H28" s="102">
        <f>DAY(EOMONTH(MC[[#This Row],[Month Year]],0))</f>
        <v>31</v>
      </c>
      <c r="I28" s="106"/>
      <c r="J28" s="106"/>
      <c r="K28" s="106"/>
      <c r="L28" s="106"/>
      <c r="M28" s="106"/>
      <c r="N28" s="106"/>
      <c r="O28" s="106"/>
      <c r="P28" s="106"/>
      <c r="Q28" s="106"/>
      <c r="R28" s="106">
        <f t="shared" si="0"/>
        <v>6000</v>
      </c>
      <c r="S28" s="1">
        <f>SUM(MC[[#This Row],[Blk1]:[Blk8]])</f>
        <v>6000</v>
      </c>
      <c r="T28" s="107"/>
      <c r="U28" s="107"/>
      <c r="V28" s="107"/>
      <c r="W28" s="107"/>
      <c r="X28" s="106"/>
      <c r="Y28" s="106"/>
      <c r="Z28" s="106"/>
    </row>
    <row r="29" spans="1:26" x14ac:dyDescent="0.25">
      <c r="A29" s="106">
        <v>27</v>
      </c>
      <c r="B29" s="103">
        <f t="shared" si="1"/>
        <v>45226</v>
      </c>
      <c r="C29" s="109">
        <f>YEAR(MC[[#This Row],[Date]])+IF(MONTH(MC[[#This Row],[Date]])&gt;=4,1,0)</f>
        <v>2024</v>
      </c>
      <c r="D29" s="110">
        <f>YEAR(MC[[#This Row],[Date]])</f>
        <v>2023</v>
      </c>
      <c r="E29" s="101" t="s">
        <v>73</v>
      </c>
      <c r="F29" s="101" t="s">
        <v>73</v>
      </c>
      <c r="G29" s="102" t="str">
        <f>TEXT(MC[[#This Row],[Date]],"mmm-yy")</f>
        <v>Oct-23</v>
      </c>
      <c r="H29" s="102">
        <f>DAY(EOMONTH(MC[[#This Row],[Month Year]],0))</f>
        <v>31</v>
      </c>
      <c r="I29" s="106"/>
      <c r="J29" s="106"/>
      <c r="K29" s="106"/>
      <c r="L29" s="106"/>
      <c r="M29" s="106"/>
      <c r="N29" s="106"/>
      <c r="O29" s="106"/>
      <c r="P29" s="106"/>
      <c r="Q29" s="106"/>
      <c r="R29" s="106">
        <f t="shared" si="0"/>
        <v>6000</v>
      </c>
      <c r="S29" s="1">
        <f>SUM(MC[[#This Row],[Blk1]:[Blk8]])</f>
        <v>6000</v>
      </c>
      <c r="T29" s="107"/>
      <c r="U29" s="107"/>
      <c r="V29" s="107"/>
      <c r="W29" s="107"/>
      <c r="X29" s="106"/>
      <c r="Y29" s="106"/>
      <c r="Z29" s="106"/>
    </row>
    <row r="30" spans="1:26" x14ac:dyDescent="0.25">
      <c r="A30" s="106">
        <v>28</v>
      </c>
      <c r="B30" s="103">
        <f t="shared" si="1"/>
        <v>45227</v>
      </c>
      <c r="C30" s="109">
        <f>YEAR(MC[[#This Row],[Date]])+IF(MONTH(MC[[#This Row],[Date]])&gt;=4,1,0)</f>
        <v>2024</v>
      </c>
      <c r="D30" s="110">
        <f>YEAR(MC[[#This Row],[Date]])</f>
        <v>2023</v>
      </c>
      <c r="E30" s="101" t="s">
        <v>73</v>
      </c>
      <c r="F30" s="101" t="s">
        <v>73</v>
      </c>
      <c r="G30" s="102" t="str">
        <f>TEXT(MC[[#This Row],[Date]],"mmm-yy")</f>
        <v>Oct-23</v>
      </c>
      <c r="H30" s="102">
        <f>DAY(EOMONTH(MC[[#This Row],[Month Year]],0))</f>
        <v>31</v>
      </c>
      <c r="I30" s="106"/>
      <c r="J30" s="106"/>
      <c r="K30" s="106"/>
      <c r="L30" s="106"/>
      <c r="M30" s="106"/>
      <c r="N30" s="106"/>
      <c r="O30" s="106"/>
      <c r="P30" s="106"/>
      <c r="Q30" s="106"/>
      <c r="R30" s="106">
        <f t="shared" si="0"/>
        <v>6000</v>
      </c>
      <c r="S30" s="1">
        <f>SUM(MC[[#This Row],[Blk1]:[Blk8]])</f>
        <v>6000</v>
      </c>
      <c r="T30" s="107"/>
      <c r="U30" s="107"/>
      <c r="V30" s="107"/>
      <c r="W30" s="107"/>
      <c r="X30" s="106"/>
      <c r="Y30" s="106"/>
      <c r="Z30" s="106"/>
    </row>
    <row r="31" spans="1:26" x14ac:dyDescent="0.25">
      <c r="A31" s="106">
        <v>29</v>
      </c>
      <c r="B31" s="103">
        <f t="shared" si="1"/>
        <v>45228</v>
      </c>
      <c r="C31" s="109">
        <f>YEAR(MC[[#This Row],[Date]])+IF(MONTH(MC[[#This Row],[Date]])&gt;=4,1,0)</f>
        <v>2024</v>
      </c>
      <c r="D31" s="110">
        <f>YEAR(MC[[#This Row],[Date]])</f>
        <v>2023</v>
      </c>
      <c r="E31" s="101" t="s">
        <v>73</v>
      </c>
      <c r="F31" s="101" t="s">
        <v>73</v>
      </c>
      <c r="G31" s="102" t="str">
        <f>TEXT(MC[[#This Row],[Date]],"mmm-yy")</f>
        <v>Oct-23</v>
      </c>
      <c r="H31" s="102">
        <f>DAY(EOMONTH(MC[[#This Row],[Month Year]],0))</f>
        <v>31</v>
      </c>
      <c r="I31" s="106"/>
      <c r="J31" s="106"/>
      <c r="K31" s="106"/>
      <c r="L31" s="106"/>
      <c r="M31" s="106"/>
      <c r="N31" s="106"/>
      <c r="O31" s="106"/>
      <c r="P31" s="106"/>
      <c r="Q31" s="106"/>
      <c r="R31" s="106">
        <f t="shared" si="0"/>
        <v>6000</v>
      </c>
      <c r="S31" s="1">
        <f>SUM(MC[[#This Row],[Blk1]:[Blk8]])</f>
        <v>6000</v>
      </c>
      <c r="T31" s="107"/>
      <c r="U31" s="107"/>
      <c r="V31" s="106"/>
      <c r="W31" s="106"/>
      <c r="X31" s="106"/>
      <c r="Y31" s="106"/>
      <c r="Z31" s="106"/>
    </row>
    <row r="32" spans="1:26" x14ac:dyDescent="0.25">
      <c r="A32" s="106">
        <v>30</v>
      </c>
      <c r="B32" s="103">
        <f t="shared" si="1"/>
        <v>45229</v>
      </c>
      <c r="C32" s="109">
        <f>YEAR(MC[[#This Row],[Date]])+IF(MONTH(MC[[#This Row],[Date]])&gt;=4,1,0)</f>
        <v>2024</v>
      </c>
      <c r="D32" s="110">
        <f>YEAR(MC[[#This Row],[Date]])</f>
        <v>2023</v>
      </c>
      <c r="E32" s="101" t="s">
        <v>73</v>
      </c>
      <c r="F32" s="101" t="s">
        <v>73</v>
      </c>
      <c r="G32" s="102" t="str">
        <f>TEXT(MC[[#This Row],[Date]],"mmm-yy")</f>
        <v>Oct-23</v>
      </c>
      <c r="H32" s="102">
        <f>DAY(EOMONTH(MC[[#This Row],[Month Year]],0))</f>
        <v>31</v>
      </c>
      <c r="I32" s="106"/>
      <c r="J32" s="106"/>
      <c r="K32" s="106"/>
      <c r="L32" s="106"/>
      <c r="M32" s="106"/>
      <c r="N32" s="106"/>
      <c r="O32" s="106"/>
      <c r="P32" s="106"/>
      <c r="Q32" s="106"/>
      <c r="R32" s="106">
        <f t="shared" si="0"/>
        <v>6000</v>
      </c>
      <c r="S32" s="1">
        <f>SUM(MC[[#This Row],[Blk1]:[Blk8]])</f>
        <v>6000</v>
      </c>
      <c r="T32" s="106"/>
      <c r="U32" s="106"/>
      <c r="V32" s="106"/>
      <c r="W32" s="106"/>
      <c r="X32" s="106"/>
      <c r="Y32" s="106"/>
      <c r="Z32" s="106"/>
    </row>
    <row r="33" spans="1:26" x14ac:dyDescent="0.25">
      <c r="A33" s="106">
        <v>31</v>
      </c>
      <c r="B33" s="103">
        <f t="shared" si="1"/>
        <v>45230</v>
      </c>
      <c r="C33" s="109">
        <f>YEAR(MC[[#This Row],[Date]])+IF(MONTH(MC[[#This Row],[Date]])&gt;=4,1,0)</f>
        <v>2024</v>
      </c>
      <c r="D33" s="110">
        <f>YEAR(MC[[#This Row],[Date]])</f>
        <v>2023</v>
      </c>
      <c r="E33" s="101" t="s">
        <v>73</v>
      </c>
      <c r="F33" s="101" t="s">
        <v>73</v>
      </c>
      <c r="G33" s="102" t="str">
        <f>TEXT(MC[[#This Row],[Date]],"mmm-yy")</f>
        <v>Oct-23</v>
      </c>
      <c r="H33" s="102">
        <f>DAY(EOMONTH(MC[[#This Row],[Month Year]],0))</f>
        <v>31</v>
      </c>
      <c r="I33" s="106"/>
      <c r="J33" s="106"/>
      <c r="K33" s="106"/>
      <c r="L33" s="106"/>
      <c r="M33" s="106"/>
      <c r="N33" s="106"/>
      <c r="O33" s="106"/>
      <c r="P33" s="106"/>
      <c r="Q33" s="106"/>
      <c r="R33" s="106">
        <f t="shared" si="0"/>
        <v>6000</v>
      </c>
      <c r="S33" s="1">
        <f>SUM(MC[[#This Row],[Blk1]:[Blk8]])</f>
        <v>6000</v>
      </c>
      <c r="T33" s="106"/>
      <c r="U33" s="106"/>
      <c r="V33" s="106"/>
      <c r="W33" s="106"/>
      <c r="X33" s="106"/>
      <c r="Y33" s="106"/>
      <c r="Z33" s="106"/>
    </row>
    <row r="34" spans="1:26" x14ac:dyDescent="0.25">
      <c r="A34" s="106">
        <v>32</v>
      </c>
      <c r="B34" s="103">
        <f t="shared" si="1"/>
        <v>45231</v>
      </c>
      <c r="C34" s="109">
        <f>YEAR(MC[[#This Row],[Date]])+IF(MONTH(MC[[#This Row],[Date]])&gt;=4,1,0)</f>
        <v>2024</v>
      </c>
      <c r="D34" s="110">
        <f>YEAR(MC[[#This Row],[Date]])</f>
        <v>2023</v>
      </c>
      <c r="E34" s="101" t="s">
        <v>73</v>
      </c>
      <c r="F34" s="101" t="s">
        <v>73</v>
      </c>
      <c r="G34" s="102" t="str">
        <f>TEXT(MC[[#This Row],[Date]],"mmm-yy")</f>
        <v>Nov-23</v>
      </c>
      <c r="H34" s="102">
        <f>DAY(EOMONTH(MC[[#This Row],[Month Year]],0))</f>
        <v>30</v>
      </c>
      <c r="I34" s="106"/>
      <c r="J34" s="106"/>
      <c r="K34" s="106"/>
      <c r="L34" s="106"/>
      <c r="M34" s="106"/>
      <c r="N34" s="106"/>
      <c r="O34" s="106"/>
      <c r="P34" s="106"/>
      <c r="Q34" s="106"/>
      <c r="R34" s="106">
        <f t="shared" si="0"/>
        <v>6000</v>
      </c>
      <c r="S34" s="1">
        <f>SUM(MC[[#This Row],[Blk1]:[Blk8]])</f>
        <v>6000</v>
      </c>
      <c r="T34" s="106"/>
      <c r="U34" s="106"/>
      <c r="V34" s="106"/>
      <c r="W34" s="106"/>
      <c r="X34" s="106"/>
      <c r="Y34" s="106"/>
      <c r="Z34" s="106"/>
    </row>
    <row r="35" spans="1:26" x14ac:dyDescent="0.25">
      <c r="A35" s="106">
        <v>33</v>
      </c>
      <c r="B35" s="103">
        <f t="shared" si="1"/>
        <v>45232</v>
      </c>
      <c r="C35" s="109">
        <f>YEAR(MC[[#This Row],[Date]])+IF(MONTH(MC[[#This Row],[Date]])&gt;=4,1,0)</f>
        <v>2024</v>
      </c>
      <c r="D35" s="110">
        <f>YEAR(MC[[#This Row],[Date]])</f>
        <v>2023</v>
      </c>
      <c r="E35" s="101" t="s">
        <v>73</v>
      </c>
      <c r="F35" s="101" t="s">
        <v>73</v>
      </c>
      <c r="G35" s="102" t="str">
        <f>TEXT(MC[[#This Row],[Date]],"mmm-yy")</f>
        <v>Nov-23</v>
      </c>
      <c r="H35" s="102">
        <f>DAY(EOMONTH(MC[[#This Row],[Month Year]],0))</f>
        <v>30</v>
      </c>
      <c r="I35" s="106"/>
      <c r="J35" s="106"/>
      <c r="K35" s="106"/>
      <c r="L35" s="106"/>
      <c r="M35" s="106"/>
      <c r="N35" s="106"/>
      <c r="O35" s="106"/>
      <c r="P35" s="106"/>
      <c r="Q35" s="106"/>
      <c r="R35" s="106">
        <f t="shared" si="0"/>
        <v>6000</v>
      </c>
      <c r="S35" s="1">
        <f>SUM(MC[[#This Row],[Blk1]:[Blk8]])</f>
        <v>6000</v>
      </c>
      <c r="T35" s="106"/>
      <c r="U35" s="106"/>
      <c r="V35" s="106"/>
      <c r="W35" s="106"/>
      <c r="X35" s="106"/>
      <c r="Y35" s="106"/>
      <c r="Z35" s="106"/>
    </row>
    <row r="36" spans="1:26" x14ac:dyDescent="0.25">
      <c r="A36" s="106">
        <v>34</v>
      </c>
      <c r="B36" s="103">
        <f t="shared" si="1"/>
        <v>45233</v>
      </c>
      <c r="C36" s="109">
        <f>YEAR(MC[[#This Row],[Date]])+IF(MONTH(MC[[#This Row],[Date]])&gt;=4,1,0)</f>
        <v>2024</v>
      </c>
      <c r="D36" s="110">
        <f>YEAR(MC[[#This Row],[Date]])</f>
        <v>2023</v>
      </c>
      <c r="E36" s="101" t="s">
        <v>73</v>
      </c>
      <c r="F36" s="101" t="s">
        <v>73</v>
      </c>
      <c r="G36" s="102" t="str">
        <f>TEXT(MC[[#This Row],[Date]],"mmm-yy")</f>
        <v>Nov-23</v>
      </c>
      <c r="H36" s="102">
        <f>DAY(EOMONTH(MC[[#This Row],[Month Year]],0))</f>
        <v>30</v>
      </c>
      <c r="I36" s="106"/>
      <c r="J36" s="106"/>
      <c r="K36" s="106"/>
      <c r="L36" s="106"/>
      <c r="M36" s="106"/>
      <c r="N36" s="106"/>
      <c r="O36" s="106"/>
      <c r="P36" s="106"/>
      <c r="Q36" s="106"/>
      <c r="R36" s="106">
        <f t="shared" si="0"/>
        <v>6000</v>
      </c>
      <c r="S36" s="1">
        <f>SUM(MC[[#This Row],[Blk1]:[Blk8]])</f>
        <v>6000</v>
      </c>
      <c r="T36" s="106"/>
      <c r="U36" s="106"/>
      <c r="V36" s="106"/>
      <c r="W36" s="106"/>
      <c r="X36" s="106"/>
      <c r="Y36" s="106"/>
      <c r="Z36" s="106"/>
    </row>
    <row r="37" spans="1:26" x14ac:dyDescent="0.25">
      <c r="A37" s="106">
        <v>35</v>
      </c>
      <c r="B37" s="103">
        <f t="shared" si="1"/>
        <v>45234</v>
      </c>
      <c r="C37" s="109">
        <f>YEAR(MC[[#This Row],[Date]])+IF(MONTH(MC[[#This Row],[Date]])&gt;=4,1,0)</f>
        <v>2024</v>
      </c>
      <c r="D37" s="110">
        <f>YEAR(MC[[#This Row],[Date]])</f>
        <v>2023</v>
      </c>
      <c r="E37" s="101" t="s">
        <v>73</v>
      </c>
      <c r="F37" s="101" t="s">
        <v>73</v>
      </c>
      <c r="G37" s="102" t="str">
        <f>TEXT(MC[[#This Row],[Date]],"mmm-yy")</f>
        <v>Nov-23</v>
      </c>
      <c r="H37" s="102">
        <f>DAY(EOMONTH(MC[[#This Row],[Month Year]],0))</f>
        <v>30</v>
      </c>
      <c r="I37" s="106"/>
      <c r="J37" s="106"/>
      <c r="K37" s="106"/>
      <c r="L37" s="106"/>
      <c r="M37" s="106"/>
      <c r="N37" s="106"/>
      <c r="O37" s="106"/>
      <c r="P37" s="106"/>
      <c r="Q37" s="106"/>
      <c r="R37" s="106">
        <f t="shared" si="0"/>
        <v>6000</v>
      </c>
      <c r="S37" s="1">
        <f>SUM(MC[[#This Row],[Blk1]:[Blk8]])</f>
        <v>6000</v>
      </c>
      <c r="T37" s="106"/>
      <c r="U37" s="106"/>
      <c r="V37" s="106"/>
      <c r="W37" s="106"/>
      <c r="X37" s="106"/>
      <c r="Y37" s="106"/>
      <c r="Z37" s="106"/>
    </row>
    <row r="38" spans="1:26" x14ac:dyDescent="0.25">
      <c r="A38" s="106">
        <v>36</v>
      </c>
      <c r="B38" s="103">
        <f t="shared" si="1"/>
        <v>45235</v>
      </c>
      <c r="C38" s="109">
        <f>YEAR(MC[[#This Row],[Date]])+IF(MONTH(MC[[#This Row],[Date]])&gt;=4,1,0)</f>
        <v>2024</v>
      </c>
      <c r="D38" s="110">
        <f>YEAR(MC[[#This Row],[Date]])</f>
        <v>2023</v>
      </c>
      <c r="E38" s="101" t="s">
        <v>73</v>
      </c>
      <c r="F38" s="101" t="s">
        <v>73</v>
      </c>
      <c r="G38" s="102" t="str">
        <f>TEXT(MC[[#This Row],[Date]],"mmm-yy")</f>
        <v>Nov-23</v>
      </c>
      <c r="H38" s="102">
        <f>DAY(EOMONTH(MC[[#This Row],[Month Year]],0))</f>
        <v>30</v>
      </c>
      <c r="I38" s="106"/>
      <c r="J38" s="106"/>
      <c r="K38" s="106"/>
      <c r="L38" s="106"/>
      <c r="M38" s="106"/>
      <c r="N38" s="106"/>
      <c r="O38" s="106"/>
      <c r="P38" s="106"/>
      <c r="Q38" s="106"/>
      <c r="R38" s="106">
        <f t="shared" si="0"/>
        <v>6000</v>
      </c>
      <c r="S38" s="1">
        <f>SUM(MC[[#This Row],[Blk1]:[Blk8]])</f>
        <v>6000</v>
      </c>
      <c r="T38" s="107"/>
      <c r="U38" s="107"/>
      <c r="V38" s="106"/>
      <c r="W38" s="107"/>
      <c r="X38" s="106"/>
      <c r="Y38" s="106"/>
      <c r="Z38" s="106"/>
    </row>
    <row r="39" spans="1:26" x14ac:dyDescent="0.25">
      <c r="A39" s="106">
        <v>37</v>
      </c>
      <c r="B39" s="103">
        <f t="shared" si="1"/>
        <v>45236</v>
      </c>
      <c r="C39" s="109">
        <f>YEAR(MC[[#This Row],[Date]])+IF(MONTH(MC[[#This Row],[Date]])&gt;=4,1,0)</f>
        <v>2024</v>
      </c>
      <c r="D39" s="110">
        <f>YEAR(MC[[#This Row],[Date]])</f>
        <v>2023</v>
      </c>
      <c r="E39" s="101" t="s">
        <v>73</v>
      </c>
      <c r="F39" s="101" t="s">
        <v>73</v>
      </c>
      <c r="G39" s="102" t="str">
        <f>TEXT(MC[[#This Row],[Date]],"mmm-yy")</f>
        <v>Nov-23</v>
      </c>
      <c r="H39" s="102">
        <f>DAY(EOMONTH(MC[[#This Row],[Month Year]],0))</f>
        <v>30</v>
      </c>
      <c r="I39" s="106"/>
      <c r="J39" s="106"/>
      <c r="K39" s="106"/>
      <c r="L39" s="106"/>
      <c r="M39" s="106"/>
      <c r="N39" s="106"/>
      <c r="O39" s="106"/>
      <c r="P39" s="106"/>
      <c r="Q39" s="106"/>
      <c r="R39" s="106">
        <f t="shared" si="0"/>
        <v>6000</v>
      </c>
      <c r="S39" s="1">
        <f>SUM(MC[[#This Row],[Blk1]:[Blk8]])</f>
        <v>6000</v>
      </c>
      <c r="T39" s="107"/>
      <c r="U39" s="106"/>
      <c r="V39" s="106"/>
      <c r="W39" s="107"/>
      <c r="X39" s="106"/>
      <c r="Y39" s="106"/>
      <c r="Z39" s="106"/>
    </row>
    <row r="40" spans="1:26" x14ac:dyDescent="0.25">
      <c r="A40" s="106">
        <v>38</v>
      </c>
      <c r="B40" s="103">
        <f t="shared" si="1"/>
        <v>45237</v>
      </c>
      <c r="C40" s="109">
        <f>YEAR(MC[[#This Row],[Date]])+IF(MONTH(MC[[#This Row],[Date]])&gt;=4,1,0)</f>
        <v>2024</v>
      </c>
      <c r="D40" s="110">
        <f>YEAR(MC[[#This Row],[Date]])</f>
        <v>2023</v>
      </c>
      <c r="E40" s="101" t="s">
        <v>73</v>
      </c>
      <c r="F40" s="101" t="s">
        <v>73</v>
      </c>
      <c r="G40" s="102" t="str">
        <f>TEXT(MC[[#This Row],[Date]],"mmm-yy")</f>
        <v>Nov-23</v>
      </c>
      <c r="H40" s="102">
        <f>DAY(EOMONTH(MC[[#This Row],[Month Year]],0))</f>
        <v>30</v>
      </c>
      <c r="I40" s="106"/>
      <c r="J40" s="106"/>
      <c r="K40" s="106"/>
      <c r="L40" s="106"/>
      <c r="M40" s="106"/>
      <c r="N40" s="106"/>
      <c r="O40" s="106"/>
      <c r="P40" s="106"/>
      <c r="Q40" s="106"/>
      <c r="R40" s="106">
        <f t="shared" si="0"/>
        <v>6000</v>
      </c>
      <c r="S40" s="1">
        <f>SUM(MC[[#This Row],[Blk1]:[Blk8]])</f>
        <v>6000</v>
      </c>
      <c r="T40" s="107"/>
      <c r="U40" s="107"/>
      <c r="V40" s="106"/>
      <c r="W40" s="106"/>
      <c r="X40" s="106"/>
      <c r="Y40" s="106"/>
      <c r="Z40" s="106"/>
    </row>
    <row r="41" spans="1:26" x14ac:dyDescent="0.25">
      <c r="A41" s="106">
        <v>39</v>
      </c>
      <c r="B41" s="103">
        <f t="shared" si="1"/>
        <v>45238</v>
      </c>
      <c r="C41" s="109">
        <f>YEAR(MC[[#This Row],[Date]])+IF(MONTH(MC[[#This Row],[Date]])&gt;=4,1,0)</f>
        <v>2024</v>
      </c>
      <c r="D41" s="110">
        <f>YEAR(MC[[#This Row],[Date]])</f>
        <v>2023</v>
      </c>
      <c r="E41" s="101" t="s">
        <v>73</v>
      </c>
      <c r="F41" s="101" t="s">
        <v>73</v>
      </c>
      <c r="G41" s="102" t="str">
        <f>TEXT(MC[[#This Row],[Date]],"mmm-yy")</f>
        <v>Nov-23</v>
      </c>
      <c r="H41" s="102">
        <f>DAY(EOMONTH(MC[[#This Row],[Month Year]],0))</f>
        <v>30</v>
      </c>
      <c r="I41" s="106"/>
      <c r="J41" s="106"/>
      <c r="K41" s="106"/>
      <c r="L41" s="106"/>
      <c r="M41" s="106"/>
      <c r="N41" s="106"/>
      <c r="O41" s="106"/>
      <c r="P41" s="106"/>
      <c r="Q41" s="106"/>
      <c r="R41" s="106">
        <f t="shared" si="0"/>
        <v>6000</v>
      </c>
      <c r="S41" s="1">
        <f>SUM(MC[[#This Row],[Blk1]:[Blk8]])</f>
        <v>6000</v>
      </c>
      <c r="T41" s="106"/>
      <c r="U41" s="106"/>
      <c r="V41" s="106"/>
      <c r="W41" s="106"/>
      <c r="X41" s="106"/>
      <c r="Y41" s="106"/>
      <c r="Z41" s="106"/>
    </row>
    <row r="42" spans="1:26" x14ac:dyDescent="0.25">
      <c r="A42" s="106">
        <v>40</v>
      </c>
      <c r="B42" s="103">
        <f t="shared" si="1"/>
        <v>45239</v>
      </c>
      <c r="C42" s="109">
        <f>YEAR(MC[[#This Row],[Date]])+IF(MONTH(MC[[#This Row],[Date]])&gt;=4,1,0)</f>
        <v>2024</v>
      </c>
      <c r="D42" s="110">
        <f>YEAR(MC[[#This Row],[Date]])</f>
        <v>2023</v>
      </c>
      <c r="E42" s="101" t="s">
        <v>73</v>
      </c>
      <c r="F42" s="101" t="s">
        <v>73</v>
      </c>
      <c r="G42" s="102" t="str">
        <f>TEXT(MC[[#This Row],[Date]],"mmm-yy")</f>
        <v>Nov-23</v>
      </c>
      <c r="H42" s="102">
        <f>DAY(EOMONTH(MC[[#This Row],[Month Year]],0))</f>
        <v>30</v>
      </c>
      <c r="I42" s="106"/>
      <c r="J42" s="106"/>
      <c r="K42" s="106"/>
      <c r="L42" s="106"/>
      <c r="M42" s="106"/>
      <c r="N42" s="106"/>
      <c r="O42" s="106"/>
      <c r="P42" s="106"/>
      <c r="Q42" s="106"/>
      <c r="R42" s="106">
        <f t="shared" si="0"/>
        <v>6000</v>
      </c>
      <c r="S42" s="1">
        <f>SUM(MC[[#This Row],[Blk1]:[Blk8]])</f>
        <v>6000</v>
      </c>
      <c r="T42" s="107"/>
      <c r="U42" s="107"/>
      <c r="V42" s="106"/>
      <c r="W42" s="106"/>
      <c r="X42" s="106"/>
      <c r="Y42" s="106"/>
      <c r="Z42" s="106"/>
    </row>
    <row r="43" spans="1:26" x14ac:dyDescent="0.25">
      <c r="A43" s="106">
        <v>41</v>
      </c>
      <c r="B43" s="103">
        <f t="shared" si="1"/>
        <v>45240</v>
      </c>
      <c r="C43" s="109">
        <f>YEAR(MC[[#This Row],[Date]])+IF(MONTH(MC[[#This Row],[Date]])&gt;=4,1,0)</f>
        <v>2024</v>
      </c>
      <c r="D43" s="110">
        <f>YEAR(MC[[#This Row],[Date]])</f>
        <v>2023</v>
      </c>
      <c r="E43" s="101" t="s">
        <v>73</v>
      </c>
      <c r="F43" s="101" t="s">
        <v>73</v>
      </c>
      <c r="G43" s="102" t="str">
        <f>TEXT(MC[[#This Row],[Date]],"mmm-yy")</f>
        <v>Nov-23</v>
      </c>
      <c r="H43" s="102">
        <f>DAY(EOMONTH(MC[[#This Row],[Month Year]],0))</f>
        <v>30</v>
      </c>
      <c r="I43" s="106"/>
      <c r="J43" s="106"/>
      <c r="K43" s="106"/>
      <c r="L43" s="106"/>
      <c r="M43" s="106"/>
      <c r="N43" s="106"/>
      <c r="O43" s="106"/>
      <c r="P43" s="106"/>
      <c r="Q43" s="106"/>
      <c r="R43" s="106">
        <f t="shared" si="0"/>
        <v>6000</v>
      </c>
      <c r="S43" s="1">
        <f>SUM(MC[[#This Row],[Blk1]:[Blk8]])</f>
        <v>6000</v>
      </c>
      <c r="T43" s="106"/>
      <c r="U43" s="106"/>
      <c r="V43" s="106"/>
      <c r="W43" s="106"/>
      <c r="X43" s="106"/>
      <c r="Y43" s="106"/>
      <c r="Z43" s="106"/>
    </row>
    <row r="44" spans="1:26" x14ac:dyDescent="0.25">
      <c r="A44" s="106">
        <v>42</v>
      </c>
      <c r="B44" s="103">
        <f t="shared" si="1"/>
        <v>45241</v>
      </c>
      <c r="C44" s="109">
        <f>YEAR(MC[[#This Row],[Date]])+IF(MONTH(MC[[#This Row],[Date]])&gt;=4,1,0)</f>
        <v>2024</v>
      </c>
      <c r="D44" s="110">
        <f>YEAR(MC[[#This Row],[Date]])</f>
        <v>2023</v>
      </c>
      <c r="E44" s="101" t="s">
        <v>73</v>
      </c>
      <c r="F44" s="101" t="s">
        <v>73</v>
      </c>
      <c r="G44" s="102" t="str">
        <f>TEXT(MC[[#This Row],[Date]],"mmm-yy")</f>
        <v>Nov-23</v>
      </c>
      <c r="H44" s="102">
        <f>DAY(EOMONTH(MC[[#This Row],[Month Year]],0))</f>
        <v>30</v>
      </c>
      <c r="I44" s="106"/>
      <c r="J44" s="106"/>
      <c r="K44" s="106"/>
      <c r="L44" s="106"/>
      <c r="M44" s="106"/>
      <c r="N44" s="106"/>
      <c r="O44" s="106"/>
      <c r="P44" s="106"/>
      <c r="Q44" s="106"/>
      <c r="R44" s="106">
        <f t="shared" si="0"/>
        <v>6000</v>
      </c>
      <c r="S44" s="1">
        <f>SUM(MC[[#This Row],[Blk1]:[Blk8]])</f>
        <v>6000</v>
      </c>
      <c r="T44" s="106"/>
      <c r="U44" s="106"/>
      <c r="V44" s="106"/>
      <c r="W44" s="106"/>
      <c r="X44" s="106"/>
      <c r="Y44" s="106"/>
      <c r="Z44" s="106"/>
    </row>
    <row r="45" spans="1:26" x14ac:dyDescent="0.25">
      <c r="A45" s="106">
        <v>43</v>
      </c>
      <c r="B45" s="103">
        <f t="shared" si="1"/>
        <v>45242</v>
      </c>
      <c r="C45" s="109">
        <f>YEAR(MC[[#This Row],[Date]])+IF(MONTH(MC[[#This Row],[Date]])&gt;=4,1,0)</f>
        <v>2024</v>
      </c>
      <c r="D45" s="110">
        <f>YEAR(MC[[#This Row],[Date]])</f>
        <v>2023</v>
      </c>
      <c r="E45" s="101" t="s">
        <v>73</v>
      </c>
      <c r="F45" s="101" t="s">
        <v>73</v>
      </c>
      <c r="G45" s="102" t="str">
        <f>TEXT(MC[[#This Row],[Date]],"mmm-yy")</f>
        <v>Nov-23</v>
      </c>
      <c r="H45" s="102">
        <f>DAY(EOMONTH(MC[[#This Row],[Month Year]],0))</f>
        <v>30</v>
      </c>
      <c r="I45" s="106"/>
      <c r="J45" s="106"/>
      <c r="K45" s="106"/>
      <c r="L45" s="106"/>
      <c r="M45" s="106"/>
      <c r="N45" s="106"/>
      <c r="O45" s="106"/>
      <c r="P45" s="106"/>
      <c r="Q45" s="106"/>
      <c r="R45" s="106">
        <f t="shared" si="0"/>
        <v>6000</v>
      </c>
      <c r="S45" s="1">
        <f>SUM(MC[[#This Row],[Blk1]:[Blk8]])</f>
        <v>6000</v>
      </c>
      <c r="T45" s="107"/>
      <c r="U45" s="107"/>
      <c r="V45" s="106"/>
      <c r="W45" s="106"/>
      <c r="X45" s="106"/>
      <c r="Y45" s="106"/>
      <c r="Z45" s="106"/>
    </row>
    <row r="46" spans="1:26" x14ac:dyDescent="0.25">
      <c r="A46" s="106">
        <v>44</v>
      </c>
      <c r="B46" s="103">
        <f t="shared" si="1"/>
        <v>45243</v>
      </c>
      <c r="C46" s="109">
        <f>YEAR(MC[[#This Row],[Date]])+IF(MONTH(MC[[#This Row],[Date]])&gt;=4,1,0)</f>
        <v>2024</v>
      </c>
      <c r="D46" s="110">
        <f>YEAR(MC[[#This Row],[Date]])</f>
        <v>2023</v>
      </c>
      <c r="E46" s="101" t="s">
        <v>73</v>
      </c>
      <c r="F46" s="101" t="s">
        <v>73</v>
      </c>
      <c r="G46" s="102" t="str">
        <f>TEXT(MC[[#This Row],[Date]],"mmm-yy")</f>
        <v>Nov-23</v>
      </c>
      <c r="H46" s="102">
        <f>DAY(EOMONTH(MC[[#This Row],[Month Year]],0))</f>
        <v>30</v>
      </c>
      <c r="I46" s="106"/>
      <c r="J46" s="106"/>
      <c r="K46" s="106"/>
      <c r="L46" s="106"/>
      <c r="M46" s="106"/>
      <c r="N46" s="106"/>
      <c r="O46" s="106"/>
      <c r="P46" s="106"/>
      <c r="Q46" s="106"/>
      <c r="R46" s="106">
        <f t="shared" si="0"/>
        <v>6000</v>
      </c>
      <c r="S46" s="1">
        <f>SUM(MC[[#This Row],[Blk1]:[Blk8]])</f>
        <v>6000</v>
      </c>
      <c r="T46" s="106"/>
      <c r="U46" s="106"/>
      <c r="V46" s="106"/>
      <c r="W46" s="106"/>
      <c r="X46" s="106"/>
      <c r="Y46" s="106"/>
      <c r="Z46" s="106"/>
    </row>
    <row r="47" spans="1:26" x14ac:dyDescent="0.25">
      <c r="A47" s="106">
        <v>45</v>
      </c>
      <c r="B47" s="103">
        <f t="shared" si="1"/>
        <v>45244</v>
      </c>
      <c r="C47" s="109">
        <f>YEAR(MC[[#This Row],[Date]])+IF(MONTH(MC[[#This Row],[Date]])&gt;=4,1,0)</f>
        <v>2024</v>
      </c>
      <c r="D47" s="110">
        <f>YEAR(MC[[#This Row],[Date]])</f>
        <v>2023</v>
      </c>
      <c r="E47" s="101" t="s">
        <v>73</v>
      </c>
      <c r="F47" s="101" t="s">
        <v>73</v>
      </c>
      <c r="G47" s="102" t="str">
        <f>TEXT(MC[[#This Row],[Date]],"mmm-yy")</f>
        <v>Nov-23</v>
      </c>
      <c r="H47" s="102">
        <f>DAY(EOMONTH(MC[[#This Row],[Month Year]],0))</f>
        <v>30</v>
      </c>
      <c r="I47" s="106"/>
      <c r="J47" s="106"/>
      <c r="K47" s="106"/>
      <c r="L47" s="106"/>
      <c r="M47" s="106"/>
      <c r="N47" s="106"/>
      <c r="O47" s="106"/>
      <c r="P47" s="106"/>
      <c r="Q47" s="106"/>
      <c r="R47" s="106">
        <f t="shared" si="0"/>
        <v>6000</v>
      </c>
      <c r="S47" s="1">
        <f>SUM(MC[[#This Row],[Blk1]:[Blk8]])</f>
        <v>6000</v>
      </c>
      <c r="T47" s="106"/>
      <c r="U47" s="106"/>
      <c r="V47" s="106"/>
      <c r="W47" s="106"/>
      <c r="X47" s="106"/>
      <c r="Y47" s="106"/>
      <c r="Z47" s="106"/>
    </row>
    <row r="48" spans="1:26" x14ac:dyDescent="0.25">
      <c r="A48" s="106">
        <v>46</v>
      </c>
      <c r="B48" s="103">
        <f t="shared" si="1"/>
        <v>45245</v>
      </c>
      <c r="C48" s="109">
        <f>YEAR(MC[[#This Row],[Date]])+IF(MONTH(MC[[#This Row],[Date]])&gt;=4,1,0)</f>
        <v>2024</v>
      </c>
      <c r="D48" s="110">
        <f>YEAR(MC[[#This Row],[Date]])</f>
        <v>2023</v>
      </c>
      <c r="E48" s="101" t="s">
        <v>73</v>
      </c>
      <c r="F48" s="101" t="s">
        <v>73</v>
      </c>
      <c r="G48" s="102" t="str">
        <f>TEXT(MC[[#This Row],[Date]],"mmm-yy")</f>
        <v>Nov-23</v>
      </c>
      <c r="H48" s="102">
        <f>DAY(EOMONTH(MC[[#This Row],[Month Year]],0))</f>
        <v>30</v>
      </c>
      <c r="I48" s="106"/>
      <c r="J48" s="106"/>
      <c r="K48" s="106"/>
      <c r="L48" s="106"/>
      <c r="M48" s="106"/>
      <c r="N48" s="106"/>
      <c r="O48" s="106"/>
      <c r="P48" s="106"/>
      <c r="Q48" s="106"/>
      <c r="R48" s="106">
        <f t="shared" si="0"/>
        <v>6000</v>
      </c>
      <c r="S48" s="1">
        <f>SUM(MC[[#This Row],[Blk1]:[Blk8]])</f>
        <v>6000</v>
      </c>
      <c r="T48" s="106"/>
      <c r="U48" s="106"/>
      <c r="V48" s="106"/>
      <c r="W48" s="106"/>
      <c r="X48" s="106"/>
      <c r="Y48" s="106"/>
      <c r="Z48" s="106"/>
    </row>
    <row r="49" spans="1:26" x14ac:dyDescent="0.25">
      <c r="A49" s="106">
        <v>47</v>
      </c>
      <c r="B49" s="103">
        <f t="shared" si="1"/>
        <v>45246</v>
      </c>
      <c r="C49" s="109">
        <f>YEAR(MC[[#This Row],[Date]])+IF(MONTH(MC[[#This Row],[Date]])&gt;=4,1,0)</f>
        <v>2024</v>
      </c>
      <c r="D49" s="110">
        <f>YEAR(MC[[#This Row],[Date]])</f>
        <v>2023</v>
      </c>
      <c r="E49" s="101" t="s">
        <v>73</v>
      </c>
      <c r="F49" s="101" t="s">
        <v>73</v>
      </c>
      <c r="G49" s="102" t="str">
        <f>TEXT(MC[[#This Row],[Date]],"mmm-yy")</f>
        <v>Nov-23</v>
      </c>
      <c r="H49" s="102">
        <f>DAY(EOMONTH(MC[[#This Row],[Month Year]],0))</f>
        <v>30</v>
      </c>
      <c r="I49" s="106"/>
      <c r="J49" s="106"/>
      <c r="K49" s="106"/>
      <c r="L49" s="106"/>
      <c r="M49" s="106"/>
      <c r="N49" s="106"/>
      <c r="O49" s="106"/>
      <c r="P49" s="106"/>
      <c r="Q49" s="106"/>
      <c r="R49" s="106">
        <f t="shared" si="0"/>
        <v>6000</v>
      </c>
      <c r="S49" s="1">
        <f>SUM(MC[[#This Row],[Blk1]:[Blk8]])</f>
        <v>6000</v>
      </c>
      <c r="T49" s="106"/>
      <c r="U49" s="106"/>
      <c r="V49" s="106"/>
      <c r="W49" s="106"/>
      <c r="X49" s="106"/>
      <c r="Y49" s="106"/>
      <c r="Z49" s="106"/>
    </row>
    <row r="50" spans="1:26" x14ac:dyDescent="0.25">
      <c r="A50" s="106">
        <v>48</v>
      </c>
      <c r="B50" s="103">
        <f t="shared" si="1"/>
        <v>45247</v>
      </c>
      <c r="C50" s="109">
        <f>YEAR(MC[[#This Row],[Date]])+IF(MONTH(MC[[#This Row],[Date]])&gt;=4,1,0)</f>
        <v>2024</v>
      </c>
      <c r="D50" s="110">
        <f>YEAR(MC[[#This Row],[Date]])</f>
        <v>2023</v>
      </c>
      <c r="E50" s="101" t="s">
        <v>73</v>
      </c>
      <c r="F50" s="101" t="s">
        <v>73</v>
      </c>
      <c r="G50" s="102" t="str">
        <f>TEXT(MC[[#This Row],[Date]],"mmm-yy")</f>
        <v>Nov-23</v>
      </c>
      <c r="H50" s="102">
        <f>DAY(EOMONTH(MC[[#This Row],[Month Year]],0))</f>
        <v>30</v>
      </c>
      <c r="I50" s="106"/>
      <c r="J50" s="106"/>
      <c r="K50" s="106"/>
      <c r="L50" s="106"/>
      <c r="M50" s="106"/>
      <c r="N50" s="106"/>
      <c r="O50" s="106"/>
      <c r="P50" s="106"/>
      <c r="Q50" s="106"/>
      <c r="R50" s="106">
        <f t="shared" si="0"/>
        <v>6000</v>
      </c>
      <c r="S50" s="1">
        <f>SUM(MC[[#This Row],[Blk1]:[Blk8]])</f>
        <v>6000</v>
      </c>
      <c r="T50" s="106"/>
      <c r="U50" s="106"/>
      <c r="V50" s="106"/>
      <c r="W50" s="106"/>
      <c r="X50" s="106"/>
      <c r="Y50" s="106"/>
      <c r="Z50" s="106"/>
    </row>
    <row r="51" spans="1:26" x14ac:dyDescent="0.25">
      <c r="A51" s="106">
        <v>49</v>
      </c>
      <c r="B51" s="103">
        <f t="shared" si="1"/>
        <v>45248</v>
      </c>
      <c r="C51" s="109">
        <f>YEAR(MC[[#This Row],[Date]])+IF(MONTH(MC[[#This Row],[Date]])&gt;=4,1,0)</f>
        <v>2024</v>
      </c>
      <c r="D51" s="110">
        <f>YEAR(MC[[#This Row],[Date]])</f>
        <v>2023</v>
      </c>
      <c r="E51" s="101" t="s">
        <v>73</v>
      </c>
      <c r="F51" s="101" t="s">
        <v>73</v>
      </c>
      <c r="G51" s="102" t="str">
        <f>TEXT(MC[[#This Row],[Date]],"mmm-yy")</f>
        <v>Nov-23</v>
      </c>
      <c r="H51" s="102">
        <f>DAY(EOMONTH(MC[[#This Row],[Month Year]],0))</f>
        <v>30</v>
      </c>
      <c r="I51" s="106"/>
      <c r="J51" s="106"/>
      <c r="K51" s="106"/>
      <c r="L51" s="106"/>
      <c r="M51" s="106"/>
      <c r="N51" s="106"/>
      <c r="O51" s="106"/>
      <c r="P51" s="106"/>
      <c r="Q51" s="106"/>
      <c r="R51" s="106">
        <f t="shared" si="0"/>
        <v>6000</v>
      </c>
      <c r="S51" s="1">
        <f>SUM(MC[[#This Row],[Blk1]:[Blk8]])</f>
        <v>6000</v>
      </c>
      <c r="T51" s="106"/>
      <c r="U51" s="106"/>
      <c r="V51" s="106"/>
      <c r="W51" s="106"/>
      <c r="X51" s="106"/>
      <c r="Y51" s="106"/>
      <c r="Z51" s="106"/>
    </row>
    <row r="52" spans="1:26" x14ac:dyDescent="0.25">
      <c r="A52" s="106">
        <v>50</v>
      </c>
      <c r="B52" s="103">
        <f t="shared" si="1"/>
        <v>45249</v>
      </c>
      <c r="C52" s="109">
        <f>YEAR(MC[[#This Row],[Date]])+IF(MONTH(MC[[#This Row],[Date]])&gt;=4,1,0)</f>
        <v>2024</v>
      </c>
      <c r="D52" s="110">
        <f>YEAR(MC[[#This Row],[Date]])</f>
        <v>2023</v>
      </c>
      <c r="E52" s="101" t="s">
        <v>73</v>
      </c>
      <c r="F52" s="101" t="s">
        <v>73</v>
      </c>
      <c r="G52" s="102" t="str">
        <f>TEXT(MC[[#This Row],[Date]],"mmm-yy")</f>
        <v>Nov-23</v>
      </c>
      <c r="H52" s="102">
        <f>DAY(EOMONTH(MC[[#This Row],[Month Year]],0))</f>
        <v>30</v>
      </c>
      <c r="I52" s="106"/>
      <c r="J52" s="106"/>
      <c r="K52" s="106"/>
      <c r="L52" s="106"/>
      <c r="M52" s="106"/>
      <c r="N52" s="106"/>
      <c r="O52" s="106"/>
      <c r="P52" s="106"/>
      <c r="Q52" s="106"/>
      <c r="R52" s="106">
        <f t="shared" si="0"/>
        <v>6000</v>
      </c>
      <c r="S52" s="1">
        <f>SUM(MC[[#This Row],[Blk1]:[Blk8]])</f>
        <v>6000</v>
      </c>
      <c r="T52" s="106"/>
      <c r="U52" s="106"/>
      <c r="V52" s="106"/>
      <c r="W52" s="106"/>
      <c r="X52" s="106"/>
      <c r="Y52" s="106"/>
      <c r="Z52" s="106"/>
    </row>
    <row r="53" spans="1:26" x14ac:dyDescent="0.25">
      <c r="A53" s="106">
        <v>51</v>
      </c>
      <c r="B53" s="103">
        <f t="shared" si="1"/>
        <v>45250</v>
      </c>
      <c r="C53" s="109">
        <f>YEAR(MC[[#This Row],[Date]])+IF(MONTH(MC[[#This Row],[Date]])&gt;=4,1,0)</f>
        <v>2024</v>
      </c>
      <c r="D53" s="110">
        <f>YEAR(MC[[#This Row],[Date]])</f>
        <v>2023</v>
      </c>
      <c r="E53" s="101" t="s">
        <v>73</v>
      </c>
      <c r="F53" s="101" t="s">
        <v>73</v>
      </c>
      <c r="G53" s="102" t="str">
        <f>TEXT(MC[[#This Row],[Date]],"mmm-yy")</f>
        <v>Nov-23</v>
      </c>
      <c r="H53" s="102">
        <f>DAY(EOMONTH(MC[[#This Row],[Month Year]],0))</f>
        <v>30</v>
      </c>
      <c r="I53" s="106"/>
      <c r="J53" s="106"/>
      <c r="K53" s="106"/>
      <c r="L53" s="106"/>
      <c r="M53" s="106"/>
      <c r="N53" s="106"/>
      <c r="O53" s="106"/>
      <c r="P53" s="106"/>
      <c r="Q53" s="106"/>
      <c r="R53" s="106">
        <f t="shared" si="0"/>
        <v>6000</v>
      </c>
      <c r="S53" s="1">
        <f>SUM(MC[[#This Row],[Blk1]:[Blk8]])</f>
        <v>6000</v>
      </c>
      <c r="T53" s="106"/>
      <c r="U53" s="106"/>
      <c r="V53" s="106"/>
      <c r="W53" s="106"/>
      <c r="X53" s="106"/>
      <c r="Y53" s="106"/>
      <c r="Z53" s="106"/>
    </row>
    <row r="54" spans="1:26" x14ac:dyDescent="0.25">
      <c r="A54" s="106">
        <v>52</v>
      </c>
      <c r="B54" s="103">
        <f t="shared" si="1"/>
        <v>45251</v>
      </c>
      <c r="C54" s="109">
        <f>YEAR(MC[[#This Row],[Date]])+IF(MONTH(MC[[#This Row],[Date]])&gt;=4,1,0)</f>
        <v>2024</v>
      </c>
      <c r="D54" s="110">
        <f>YEAR(MC[[#This Row],[Date]])</f>
        <v>2023</v>
      </c>
      <c r="E54" s="101" t="s">
        <v>73</v>
      </c>
      <c r="F54" s="101" t="s">
        <v>73</v>
      </c>
      <c r="G54" s="102" t="str">
        <f>TEXT(MC[[#This Row],[Date]],"mmm-yy")</f>
        <v>Nov-23</v>
      </c>
      <c r="H54" s="102">
        <f>DAY(EOMONTH(MC[[#This Row],[Month Year]],0))</f>
        <v>30</v>
      </c>
      <c r="I54" s="106"/>
      <c r="J54" s="106"/>
      <c r="K54" s="106"/>
      <c r="L54" s="106"/>
      <c r="M54" s="106"/>
      <c r="N54" s="106"/>
      <c r="O54" s="106"/>
      <c r="P54" s="106"/>
      <c r="Q54" s="106"/>
      <c r="R54" s="106">
        <f t="shared" si="0"/>
        <v>6000</v>
      </c>
      <c r="S54" s="1">
        <f>SUM(MC[[#This Row],[Blk1]:[Blk8]])</f>
        <v>6000</v>
      </c>
      <c r="T54" s="106"/>
      <c r="U54" s="106"/>
      <c r="V54" s="106"/>
      <c r="W54" s="106"/>
      <c r="X54" s="106"/>
      <c r="Y54" s="106"/>
      <c r="Z54" s="106"/>
    </row>
    <row r="55" spans="1:26" x14ac:dyDescent="0.25">
      <c r="A55" s="106">
        <v>53</v>
      </c>
      <c r="B55" s="103">
        <f t="shared" si="1"/>
        <v>45252</v>
      </c>
      <c r="C55" s="109">
        <f>YEAR(MC[[#This Row],[Date]])+IF(MONTH(MC[[#This Row],[Date]])&gt;=4,1,0)</f>
        <v>2024</v>
      </c>
      <c r="D55" s="110">
        <f>YEAR(MC[[#This Row],[Date]])</f>
        <v>2023</v>
      </c>
      <c r="E55" s="101" t="s">
        <v>73</v>
      </c>
      <c r="F55" s="101" t="s">
        <v>73</v>
      </c>
      <c r="G55" s="102" t="str">
        <f>TEXT(MC[[#This Row],[Date]],"mmm-yy")</f>
        <v>Nov-23</v>
      </c>
      <c r="H55" s="102">
        <f>DAY(EOMONTH(MC[[#This Row],[Month Year]],0))</f>
        <v>30</v>
      </c>
      <c r="I55" s="106"/>
      <c r="J55" s="106"/>
      <c r="K55" s="106"/>
      <c r="L55" s="106"/>
      <c r="M55" s="106"/>
      <c r="N55" s="106"/>
      <c r="O55" s="106"/>
      <c r="P55" s="106"/>
      <c r="Q55" s="106"/>
      <c r="R55" s="106">
        <f t="shared" si="0"/>
        <v>6000</v>
      </c>
      <c r="S55" s="1">
        <f>SUM(MC[[#This Row],[Blk1]:[Blk8]])</f>
        <v>6000</v>
      </c>
      <c r="T55" s="107"/>
      <c r="U55" s="106"/>
      <c r="V55" s="106"/>
      <c r="W55" s="107"/>
      <c r="X55" s="106"/>
      <c r="Y55" s="106"/>
      <c r="Z55" s="106"/>
    </row>
    <row r="56" spans="1:26" x14ac:dyDescent="0.25">
      <c r="A56" s="106">
        <v>54</v>
      </c>
      <c r="B56" s="103">
        <f t="shared" si="1"/>
        <v>45253</v>
      </c>
      <c r="C56" s="109">
        <f>YEAR(MC[[#This Row],[Date]])+IF(MONTH(MC[[#This Row],[Date]])&gt;=4,1,0)</f>
        <v>2024</v>
      </c>
      <c r="D56" s="110">
        <f>YEAR(MC[[#This Row],[Date]])</f>
        <v>2023</v>
      </c>
      <c r="E56" s="101" t="s">
        <v>73</v>
      </c>
      <c r="F56" s="101" t="s">
        <v>73</v>
      </c>
      <c r="G56" s="102" t="str">
        <f>TEXT(MC[[#This Row],[Date]],"mmm-yy")</f>
        <v>Nov-23</v>
      </c>
      <c r="H56" s="102">
        <f>DAY(EOMONTH(MC[[#This Row],[Month Year]],0))</f>
        <v>30</v>
      </c>
      <c r="I56" s="106"/>
      <c r="J56" s="106"/>
      <c r="K56" s="106"/>
      <c r="L56" s="106"/>
      <c r="M56" s="106"/>
      <c r="N56" s="106"/>
      <c r="O56" s="106"/>
      <c r="P56" s="106"/>
      <c r="Q56" s="106"/>
      <c r="R56" s="106">
        <f t="shared" si="0"/>
        <v>6000</v>
      </c>
      <c r="S56" s="1">
        <f>SUM(MC[[#This Row],[Blk1]:[Blk8]])</f>
        <v>6000</v>
      </c>
      <c r="T56" s="107"/>
      <c r="U56" s="106"/>
      <c r="V56" s="106"/>
      <c r="W56" s="107"/>
      <c r="X56" s="106"/>
      <c r="Y56" s="106"/>
      <c r="Z56" s="106"/>
    </row>
    <row r="57" spans="1:26" x14ac:dyDescent="0.25">
      <c r="A57" s="106">
        <v>55</v>
      </c>
      <c r="B57" s="103">
        <f t="shared" si="1"/>
        <v>45254</v>
      </c>
      <c r="C57" s="109">
        <f>YEAR(MC[[#This Row],[Date]])+IF(MONTH(MC[[#This Row],[Date]])&gt;=4,1,0)</f>
        <v>2024</v>
      </c>
      <c r="D57" s="110">
        <f>YEAR(MC[[#This Row],[Date]])</f>
        <v>2023</v>
      </c>
      <c r="E57" s="101" t="s">
        <v>73</v>
      </c>
      <c r="F57" s="101" t="s">
        <v>73</v>
      </c>
      <c r="G57" s="102" t="str">
        <f>TEXT(MC[[#This Row],[Date]],"mmm-yy")</f>
        <v>Nov-23</v>
      </c>
      <c r="H57" s="102">
        <f>DAY(EOMONTH(MC[[#This Row],[Month Year]],0))</f>
        <v>30</v>
      </c>
      <c r="I57" s="106"/>
      <c r="J57" s="106"/>
      <c r="K57" s="106"/>
      <c r="L57" s="106"/>
      <c r="M57" s="106"/>
      <c r="N57" s="106"/>
      <c r="O57" s="106"/>
      <c r="P57" s="106"/>
      <c r="Q57" s="106"/>
      <c r="R57" s="106">
        <f t="shared" si="0"/>
        <v>6000</v>
      </c>
      <c r="S57" s="1">
        <f>SUM(MC[[#This Row],[Blk1]:[Blk8]])</f>
        <v>6000</v>
      </c>
      <c r="T57" s="107"/>
      <c r="U57" s="106"/>
      <c r="V57" s="106"/>
      <c r="W57" s="107"/>
      <c r="X57" s="106"/>
      <c r="Y57" s="106"/>
      <c r="Z57" s="106"/>
    </row>
    <row r="58" spans="1:26" x14ac:dyDescent="0.25">
      <c r="A58" s="106">
        <v>56</v>
      </c>
      <c r="B58" s="103">
        <f t="shared" si="1"/>
        <v>45255</v>
      </c>
      <c r="C58" s="109">
        <f>YEAR(MC[[#This Row],[Date]])+IF(MONTH(MC[[#This Row],[Date]])&gt;=4,1,0)</f>
        <v>2024</v>
      </c>
      <c r="D58" s="110">
        <f>YEAR(MC[[#This Row],[Date]])</f>
        <v>2023</v>
      </c>
      <c r="E58" s="101" t="s">
        <v>73</v>
      </c>
      <c r="F58" s="101" t="s">
        <v>73</v>
      </c>
      <c r="G58" s="102" t="str">
        <f>TEXT(MC[[#This Row],[Date]],"mmm-yy")</f>
        <v>Nov-23</v>
      </c>
      <c r="H58" s="102">
        <f>DAY(EOMONTH(MC[[#This Row],[Month Year]],0))</f>
        <v>30</v>
      </c>
      <c r="I58" s="106"/>
      <c r="J58" s="106"/>
      <c r="K58" s="106"/>
      <c r="L58" s="106"/>
      <c r="M58" s="106"/>
      <c r="N58" s="106"/>
      <c r="O58" s="106"/>
      <c r="P58" s="106"/>
      <c r="Q58" s="106"/>
      <c r="R58" s="106">
        <f t="shared" si="0"/>
        <v>6000</v>
      </c>
      <c r="S58" s="1">
        <f>SUM(MC[[#This Row],[Blk1]:[Blk8]])</f>
        <v>6000</v>
      </c>
      <c r="T58" s="107"/>
      <c r="U58" s="106"/>
      <c r="V58" s="106"/>
      <c r="W58" s="107"/>
      <c r="X58" s="106"/>
      <c r="Y58" s="106"/>
      <c r="Z58" s="106"/>
    </row>
    <row r="59" spans="1:26" x14ac:dyDescent="0.25">
      <c r="A59" s="106">
        <v>57</v>
      </c>
      <c r="B59" s="103">
        <f t="shared" si="1"/>
        <v>45256</v>
      </c>
      <c r="C59" s="109">
        <f>YEAR(MC[[#This Row],[Date]])+IF(MONTH(MC[[#This Row],[Date]])&gt;=4,1,0)</f>
        <v>2024</v>
      </c>
      <c r="D59" s="110">
        <f>YEAR(MC[[#This Row],[Date]])</f>
        <v>2023</v>
      </c>
      <c r="E59" s="101" t="s">
        <v>73</v>
      </c>
      <c r="F59" s="101" t="s">
        <v>73</v>
      </c>
      <c r="G59" s="102" t="str">
        <f>TEXT(MC[[#This Row],[Date]],"mmm-yy")</f>
        <v>Nov-23</v>
      </c>
      <c r="H59" s="102">
        <f>DAY(EOMONTH(MC[[#This Row],[Month Year]],0))</f>
        <v>30</v>
      </c>
      <c r="I59" s="106"/>
      <c r="J59" s="106"/>
      <c r="K59" s="106"/>
      <c r="L59" s="106"/>
      <c r="M59" s="106"/>
      <c r="N59" s="106"/>
      <c r="O59" s="106"/>
      <c r="P59" s="106"/>
      <c r="Q59" s="106"/>
      <c r="R59" s="106">
        <f t="shared" si="0"/>
        <v>6000</v>
      </c>
      <c r="S59" s="1">
        <f>SUM(MC[[#This Row],[Blk1]:[Blk8]])</f>
        <v>6000</v>
      </c>
      <c r="T59" s="107"/>
      <c r="U59" s="106"/>
      <c r="V59" s="106"/>
      <c r="W59" s="107"/>
      <c r="X59" s="106"/>
      <c r="Y59" s="106"/>
      <c r="Z59" s="106"/>
    </row>
    <row r="60" spans="1:26" x14ac:dyDescent="0.25">
      <c r="A60" s="106">
        <v>58</v>
      </c>
      <c r="B60" s="103">
        <f t="shared" si="1"/>
        <v>45257</v>
      </c>
      <c r="C60" s="109">
        <f>YEAR(MC[[#This Row],[Date]])+IF(MONTH(MC[[#This Row],[Date]])&gt;=4,1,0)</f>
        <v>2024</v>
      </c>
      <c r="D60" s="110">
        <f>YEAR(MC[[#This Row],[Date]])</f>
        <v>2023</v>
      </c>
      <c r="E60" s="101" t="s">
        <v>73</v>
      </c>
      <c r="F60" s="101" t="s">
        <v>73</v>
      </c>
      <c r="G60" s="102" t="str">
        <f>TEXT(MC[[#This Row],[Date]],"mmm-yy")</f>
        <v>Nov-23</v>
      </c>
      <c r="H60" s="102">
        <f>DAY(EOMONTH(MC[[#This Row],[Month Year]],0))</f>
        <v>30</v>
      </c>
      <c r="I60" s="106"/>
      <c r="J60" s="106"/>
      <c r="K60" s="106"/>
      <c r="L60" s="106"/>
      <c r="M60" s="106"/>
      <c r="N60" s="106"/>
      <c r="O60" s="106"/>
      <c r="P60" s="106"/>
      <c r="Q60" s="106"/>
      <c r="R60" s="106">
        <f t="shared" si="0"/>
        <v>6000</v>
      </c>
      <c r="S60" s="1">
        <f>SUM(MC[[#This Row],[Blk1]:[Blk8]])</f>
        <v>6000</v>
      </c>
      <c r="T60" s="107"/>
      <c r="U60" s="106"/>
      <c r="V60" s="106"/>
      <c r="W60" s="107"/>
      <c r="X60" s="106"/>
      <c r="Y60" s="106"/>
      <c r="Z60" s="106"/>
    </row>
    <row r="61" spans="1:26" x14ac:dyDescent="0.25">
      <c r="A61" s="106">
        <v>59</v>
      </c>
      <c r="B61" s="103">
        <f t="shared" si="1"/>
        <v>45258</v>
      </c>
      <c r="C61" s="109">
        <f>YEAR(MC[[#This Row],[Date]])+IF(MONTH(MC[[#This Row],[Date]])&gt;=4,1,0)</f>
        <v>2024</v>
      </c>
      <c r="D61" s="110">
        <f>YEAR(MC[[#This Row],[Date]])</f>
        <v>2023</v>
      </c>
      <c r="E61" s="101" t="s">
        <v>73</v>
      </c>
      <c r="F61" s="101" t="s">
        <v>73</v>
      </c>
      <c r="G61" s="102" t="str">
        <f>TEXT(MC[[#This Row],[Date]],"mmm-yy")</f>
        <v>Nov-23</v>
      </c>
      <c r="H61" s="102">
        <f>DAY(EOMONTH(MC[[#This Row],[Month Year]],0))</f>
        <v>30</v>
      </c>
      <c r="I61" s="106"/>
      <c r="J61" s="106"/>
      <c r="K61" s="106"/>
      <c r="L61" s="106"/>
      <c r="M61" s="106"/>
      <c r="N61" s="106"/>
      <c r="O61" s="106"/>
      <c r="P61" s="106"/>
      <c r="Q61" s="106"/>
      <c r="R61" s="106">
        <f t="shared" si="0"/>
        <v>6000</v>
      </c>
      <c r="S61" s="1">
        <f>SUM(MC[[#This Row],[Blk1]:[Blk8]])</f>
        <v>6000</v>
      </c>
      <c r="T61" s="107"/>
      <c r="U61" s="106"/>
      <c r="V61" s="106"/>
      <c r="W61" s="107"/>
      <c r="X61" s="106"/>
      <c r="Y61" s="106"/>
      <c r="Z61" s="106"/>
    </row>
    <row r="62" spans="1:26" x14ac:dyDescent="0.25">
      <c r="A62" s="106">
        <v>60</v>
      </c>
      <c r="B62" s="103">
        <f t="shared" si="1"/>
        <v>45259</v>
      </c>
      <c r="C62" s="109">
        <f>YEAR(MC[[#This Row],[Date]])+IF(MONTH(MC[[#This Row],[Date]])&gt;=4,1,0)</f>
        <v>2024</v>
      </c>
      <c r="D62" s="110">
        <f>YEAR(MC[[#This Row],[Date]])</f>
        <v>2023</v>
      </c>
      <c r="E62" s="101" t="s">
        <v>73</v>
      </c>
      <c r="F62" s="101" t="s">
        <v>73</v>
      </c>
      <c r="G62" s="102" t="str">
        <f>TEXT(MC[[#This Row],[Date]],"mmm-yy")</f>
        <v>Nov-23</v>
      </c>
      <c r="H62" s="102">
        <f>DAY(EOMONTH(MC[[#This Row],[Month Year]],0))</f>
        <v>30</v>
      </c>
      <c r="I62" s="106"/>
      <c r="J62" s="106"/>
      <c r="K62" s="106"/>
      <c r="L62" s="106"/>
      <c r="M62" s="106"/>
      <c r="N62" s="106"/>
      <c r="O62" s="106"/>
      <c r="P62" s="106"/>
      <c r="Q62" s="106"/>
      <c r="R62" s="106">
        <f t="shared" si="0"/>
        <v>6000</v>
      </c>
      <c r="S62" s="1">
        <f>SUM(MC[[#This Row],[Blk1]:[Blk8]])</f>
        <v>6000</v>
      </c>
      <c r="T62" s="107"/>
      <c r="U62" s="106"/>
      <c r="V62" s="106"/>
      <c r="W62" s="107"/>
      <c r="X62" s="106"/>
      <c r="Y62" s="106"/>
      <c r="Z62" s="106"/>
    </row>
    <row r="63" spans="1:26" x14ac:dyDescent="0.25">
      <c r="A63" s="106">
        <v>61</v>
      </c>
      <c r="B63" s="103">
        <f t="shared" si="1"/>
        <v>45260</v>
      </c>
      <c r="C63" s="109">
        <f>YEAR(MC[[#This Row],[Date]])+IF(MONTH(MC[[#This Row],[Date]])&gt;=4,1,0)</f>
        <v>2024</v>
      </c>
      <c r="D63" s="110">
        <f>YEAR(MC[[#This Row],[Date]])</f>
        <v>2023</v>
      </c>
      <c r="E63" s="101" t="s">
        <v>73</v>
      </c>
      <c r="F63" s="101" t="s">
        <v>73</v>
      </c>
      <c r="G63" s="102" t="str">
        <f>TEXT(MC[[#This Row],[Date]],"mmm-yy")</f>
        <v>Nov-23</v>
      </c>
      <c r="H63" s="102">
        <f>DAY(EOMONTH(MC[[#This Row],[Month Year]],0))</f>
        <v>30</v>
      </c>
      <c r="I63" s="106"/>
      <c r="J63" s="106"/>
      <c r="K63" s="106"/>
      <c r="L63" s="106"/>
      <c r="M63" s="106"/>
      <c r="N63" s="106"/>
      <c r="O63" s="106"/>
      <c r="P63" s="106"/>
      <c r="Q63" s="106"/>
      <c r="R63" s="106">
        <f t="shared" si="0"/>
        <v>6000</v>
      </c>
      <c r="S63" s="1">
        <f>SUM(MC[[#This Row],[Blk1]:[Blk8]])</f>
        <v>6000</v>
      </c>
      <c r="T63" s="106"/>
      <c r="U63" s="106"/>
      <c r="V63" s="106"/>
      <c r="W63" s="106"/>
      <c r="X63" s="106"/>
      <c r="Y63" s="106"/>
      <c r="Z63" s="106"/>
    </row>
    <row r="64" spans="1:26" x14ac:dyDescent="0.25">
      <c r="A64" s="106">
        <v>62</v>
      </c>
      <c r="B64" s="103">
        <f t="shared" si="1"/>
        <v>45261</v>
      </c>
      <c r="C64" s="109">
        <f>YEAR(MC[[#This Row],[Date]])+IF(MONTH(MC[[#This Row],[Date]])&gt;=4,1,0)</f>
        <v>2024</v>
      </c>
      <c r="D64" s="110">
        <f>YEAR(MC[[#This Row],[Date]])</f>
        <v>2023</v>
      </c>
      <c r="E64" s="101" t="s">
        <v>73</v>
      </c>
      <c r="F64" s="101" t="s">
        <v>73</v>
      </c>
      <c r="G64" s="102" t="str">
        <f>TEXT(MC[[#This Row],[Date]],"mmm-yy")</f>
        <v>Dec-23</v>
      </c>
      <c r="H64" s="102">
        <f>DAY(EOMONTH(MC[[#This Row],[Month Year]],0))</f>
        <v>31</v>
      </c>
      <c r="I64" s="106"/>
      <c r="J64" s="106"/>
      <c r="K64" s="106"/>
      <c r="L64" s="106"/>
      <c r="M64" s="106"/>
      <c r="N64" s="106"/>
      <c r="O64" s="106"/>
      <c r="P64" s="106"/>
      <c r="Q64" s="106"/>
      <c r="R64" s="106">
        <f t="shared" si="0"/>
        <v>6000</v>
      </c>
      <c r="S64" s="1">
        <f>SUM(MC[[#This Row],[Blk1]:[Blk8]])</f>
        <v>6000</v>
      </c>
      <c r="T64" s="107"/>
      <c r="U64" s="106"/>
      <c r="V64" s="106"/>
      <c r="W64" s="107"/>
      <c r="X64" s="106"/>
      <c r="Y64" s="106"/>
      <c r="Z64" s="106"/>
    </row>
    <row r="65" spans="1:26" x14ac:dyDescent="0.25">
      <c r="A65" s="106">
        <v>63</v>
      </c>
      <c r="B65" s="103">
        <f t="shared" si="1"/>
        <v>45262</v>
      </c>
      <c r="C65" s="109">
        <f>YEAR(MC[[#This Row],[Date]])+IF(MONTH(MC[[#This Row],[Date]])&gt;=4,1,0)</f>
        <v>2024</v>
      </c>
      <c r="D65" s="110">
        <f>YEAR(MC[[#This Row],[Date]])</f>
        <v>2023</v>
      </c>
      <c r="E65" s="101" t="s">
        <v>73</v>
      </c>
      <c r="F65" s="101" t="s">
        <v>73</v>
      </c>
      <c r="G65" s="102" t="str">
        <f>TEXT(MC[[#This Row],[Date]],"mmm-yy")</f>
        <v>Dec-23</v>
      </c>
      <c r="H65" s="102">
        <f>DAY(EOMONTH(MC[[#This Row],[Month Year]],0))</f>
        <v>31</v>
      </c>
      <c r="I65" s="106"/>
      <c r="J65" s="106"/>
      <c r="K65" s="106"/>
      <c r="L65" s="106"/>
      <c r="M65" s="106"/>
      <c r="N65" s="106"/>
      <c r="O65" s="106"/>
      <c r="P65" s="106"/>
      <c r="Q65" s="106"/>
      <c r="R65" s="106">
        <f t="shared" si="0"/>
        <v>6000</v>
      </c>
      <c r="S65" s="1">
        <f>SUM(MC[[#This Row],[Blk1]:[Blk8]])</f>
        <v>6000</v>
      </c>
      <c r="T65" s="107"/>
      <c r="U65" s="106"/>
      <c r="V65" s="106"/>
      <c r="W65" s="107"/>
      <c r="X65" s="106"/>
      <c r="Y65" s="106"/>
      <c r="Z65" s="106"/>
    </row>
    <row r="66" spans="1:26" x14ac:dyDescent="0.25">
      <c r="A66" s="106">
        <v>64</v>
      </c>
      <c r="B66" s="103">
        <f t="shared" si="1"/>
        <v>45263</v>
      </c>
      <c r="C66" s="109">
        <f>YEAR(MC[[#This Row],[Date]])+IF(MONTH(MC[[#This Row],[Date]])&gt;=4,1,0)</f>
        <v>2024</v>
      </c>
      <c r="D66" s="110">
        <f>YEAR(MC[[#This Row],[Date]])</f>
        <v>2023</v>
      </c>
      <c r="E66" s="101" t="s">
        <v>73</v>
      </c>
      <c r="F66" s="101" t="s">
        <v>73</v>
      </c>
      <c r="G66" s="102" t="str">
        <f>TEXT(MC[[#This Row],[Date]],"mmm-yy")</f>
        <v>Dec-23</v>
      </c>
      <c r="H66" s="102">
        <f>DAY(EOMONTH(MC[[#This Row],[Month Year]],0))</f>
        <v>31</v>
      </c>
      <c r="I66" s="106"/>
      <c r="J66" s="106"/>
      <c r="K66" s="106"/>
      <c r="L66" s="106"/>
      <c r="M66" s="106"/>
      <c r="N66" s="106"/>
      <c r="O66" s="106"/>
      <c r="P66" s="106"/>
      <c r="Q66" s="106"/>
      <c r="R66" s="106">
        <f t="shared" si="0"/>
        <v>6000</v>
      </c>
      <c r="S66" s="1">
        <f>SUM(MC[[#This Row],[Blk1]:[Blk8]])</f>
        <v>6000</v>
      </c>
      <c r="T66" s="107"/>
      <c r="U66" s="106"/>
      <c r="V66" s="106"/>
      <c r="W66" s="107"/>
      <c r="X66" s="106"/>
      <c r="Y66" s="106"/>
      <c r="Z66" s="106"/>
    </row>
    <row r="67" spans="1:26" x14ac:dyDescent="0.25">
      <c r="A67" s="106">
        <v>65</v>
      </c>
      <c r="B67" s="103">
        <f t="shared" si="1"/>
        <v>45264</v>
      </c>
      <c r="C67" s="109">
        <f>YEAR(MC[[#This Row],[Date]])+IF(MONTH(MC[[#This Row],[Date]])&gt;=4,1,0)</f>
        <v>2024</v>
      </c>
      <c r="D67" s="110">
        <f>YEAR(MC[[#This Row],[Date]])</f>
        <v>2023</v>
      </c>
      <c r="E67" s="101" t="s">
        <v>73</v>
      </c>
      <c r="F67" s="101" t="s">
        <v>73</v>
      </c>
      <c r="G67" s="102" t="str">
        <f>TEXT(MC[[#This Row],[Date]],"mmm-yy")</f>
        <v>Dec-23</v>
      </c>
      <c r="H67" s="102">
        <f>DAY(EOMONTH(MC[[#This Row],[Month Year]],0))</f>
        <v>31</v>
      </c>
      <c r="I67" s="106"/>
      <c r="J67" s="106"/>
      <c r="K67" s="106"/>
      <c r="L67" s="106"/>
      <c r="M67" s="106"/>
      <c r="N67" s="106"/>
      <c r="O67" s="106"/>
      <c r="P67" s="106"/>
      <c r="Q67" s="106"/>
      <c r="R67" s="106">
        <f t="shared" ref="R67:R130" si="2">120*50</f>
        <v>6000</v>
      </c>
      <c r="S67" s="1">
        <f>SUM(MC[[#This Row],[Blk1]:[Blk8]])</f>
        <v>6000</v>
      </c>
      <c r="T67" s="107"/>
      <c r="U67" s="106"/>
      <c r="V67" s="106"/>
      <c r="W67" s="107"/>
      <c r="X67" s="106"/>
      <c r="Y67" s="106"/>
      <c r="Z67" s="106"/>
    </row>
    <row r="68" spans="1:26" x14ac:dyDescent="0.25">
      <c r="A68" s="106">
        <v>66</v>
      </c>
      <c r="B68" s="103">
        <f t="shared" si="1"/>
        <v>45265</v>
      </c>
      <c r="C68" s="109">
        <f>YEAR(MC[[#This Row],[Date]])+IF(MONTH(MC[[#This Row],[Date]])&gt;=4,1,0)</f>
        <v>2024</v>
      </c>
      <c r="D68" s="110">
        <f>YEAR(MC[[#This Row],[Date]])</f>
        <v>2023</v>
      </c>
      <c r="E68" s="101" t="s">
        <v>73</v>
      </c>
      <c r="F68" s="101" t="s">
        <v>73</v>
      </c>
      <c r="G68" s="102" t="str">
        <f>TEXT(MC[[#This Row],[Date]],"mmm-yy")</f>
        <v>Dec-23</v>
      </c>
      <c r="H68" s="102">
        <f>DAY(EOMONTH(MC[[#This Row],[Month Year]],0))</f>
        <v>31</v>
      </c>
      <c r="I68" s="106"/>
      <c r="J68" s="106"/>
      <c r="K68" s="106"/>
      <c r="L68" s="106"/>
      <c r="M68" s="106"/>
      <c r="N68" s="106"/>
      <c r="O68" s="106"/>
      <c r="P68" s="106"/>
      <c r="Q68" s="106"/>
      <c r="R68" s="106">
        <f t="shared" si="2"/>
        <v>6000</v>
      </c>
      <c r="S68" s="1">
        <f>SUM(MC[[#This Row],[Blk1]:[Blk8]])</f>
        <v>6000</v>
      </c>
      <c r="T68" s="106"/>
      <c r="U68" s="106"/>
      <c r="V68" s="106"/>
      <c r="W68" s="106"/>
      <c r="X68" s="106"/>
      <c r="Y68" s="106"/>
      <c r="Z68" s="106"/>
    </row>
    <row r="69" spans="1:26" x14ac:dyDescent="0.25">
      <c r="A69" s="106">
        <v>67</v>
      </c>
      <c r="B69" s="103">
        <f t="shared" ref="B69:B132" si="3">B68+1</f>
        <v>45266</v>
      </c>
      <c r="C69" s="109">
        <f>YEAR(MC[[#This Row],[Date]])+IF(MONTH(MC[[#This Row],[Date]])&gt;=4,1,0)</f>
        <v>2024</v>
      </c>
      <c r="D69" s="110">
        <f>YEAR(MC[[#This Row],[Date]])</f>
        <v>2023</v>
      </c>
      <c r="E69" s="101" t="s">
        <v>73</v>
      </c>
      <c r="F69" s="101" t="s">
        <v>73</v>
      </c>
      <c r="G69" s="102" t="str">
        <f>TEXT(MC[[#This Row],[Date]],"mmm-yy")</f>
        <v>Dec-23</v>
      </c>
      <c r="H69" s="102">
        <f>DAY(EOMONTH(MC[[#This Row],[Month Year]],0))</f>
        <v>31</v>
      </c>
      <c r="I69" s="106"/>
      <c r="J69" s="106"/>
      <c r="K69" s="106"/>
      <c r="L69" s="106"/>
      <c r="M69" s="106"/>
      <c r="N69" s="106"/>
      <c r="O69" s="106"/>
      <c r="P69" s="106"/>
      <c r="Q69" s="106"/>
      <c r="R69" s="106">
        <f t="shared" si="2"/>
        <v>6000</v>
      </c>
      <c r="S69" s="1">
        <f>SUM(MC[[#This Row],[Blk1]:[Blk8]])</f>
        <v>6000</v>
      </c>
      <c r="T69" s="107"/>
      <c r="U69" s="106"/>
      <c r="V69" s="106"/>
      <c r="W69" s="107"/>
      <c r="X69" s="106"/>
      <c r="Y69" s="106"/>
      <c r="Z69" s="106"/>
    </row>
    <row r="70" spans="1:26" x14ac:dyDescent="0.25">
      <c r="A70" s="106">
        <v>68</v>
      </c>
      <c r="B70" s="103">
        <f t="shared" si="3"/>
        <v>45267</v>
      </c>
      <c r="C70" s="109">
        <f>YEAR(MC[[#This Row],[Date]])+IF(MONTH(MC[[#This Row],[Date]])&gt;=4,1,0)</f>
        <v>2024</v>
      </c>
      <c r="D70" s="110">
        <f>YEAR(MC[[#This Row],[Date]])</f>
        <v>2023</v>
      </c>
      <c r="E70" s="101" t="s">
        <v>73</v>
      </c>
      <c r="F70" s="101" t="s">
        <v>73</v>
      </c>
      <c r="G70" s="102" t="str">
        <f>TEXT(MC[[#This Row],[Date]],"mmm-yy")</f>
        <v>Dec-23</v>
      </c>
      <c r="H70" s="102">
        <f>DAY(EOMONTH(MC[[#This Row],[Month Year]],0))</f>
        <v>31</v>
      </c>
      <c r="I70" s="106"/>
      <c r="J70" s="106"/>
      <c r="K70" s="106"/>
      <c r="L70" s="106"/>
      <c r="M70" s="106"/>
      <c r="N70" s="106"/>
      <c r="O70" s="106"/>
      <c r="P70" s="106"/>
      <c r="Q70" s="106"/>
      <c r="R70" s="106">
        <f t="shared" si="2"/>
        <v>6000</v>
      </c>
      <c r="S70" s="1">
        <f>SUM(MC[[#This Row],[Blk1]:[Blk8]])</f>
        <v>6000</v>
      </c>
      <c r="T70" s="106"/>
      <c r="U70" s="106"/>
      <c r="V70" s="106"/>
      <c r="W70" s="106"/>
      <c r="X70" s="106"/>
      <c r="Y70" s="106"/>
      <c r="Z70" s="106"/>
    </row>
    <row r="71" spans="1:26" x14ac:dyDescent="0.25">
      <c r="A71" s="106">
        <v>69</v>
      </c>
      <c r="B71" s="103">
        <f t="shared" si="3"/>
        <v>45268</v>
      </c>
      <c r="C71" s="109">
        <f>YEAR(MC[[#This Row],[Date]])+IF(MONTH(MC[[#This Row],[Date]])&gt;=4,1,0)</f>
        <v>2024</v>
      </c>
      <c r="D71" s="110">
        <f>YEAR(MC[[#This Row],[Date]])</f>
        <v>2023</v>
      </c>
      <c r="E71" s="101" t="s">
        <v>73</v>
      </c>
      <c r="F71" s="101" t="s">
        <v>73</v>
      </c>
      <c r="G71" s="102" t="str">
        <f>TEXT(MC[[#This Row],[Date]],"mmm-yy")</f>
        <v>Dec-23</v>
      </c>
      <c r="H71" s="102">
        <f>DAY(EOMONTH(MC[[#This Row],[Month Year]],0))</f>
        <v>31</v>
      </c>
      <c r="I71" s="106"/>
      <c r="J71" s="106"/>
      <c r="K71" s="106"/>
      <c r="L71" s="106"/>
      <c r="M71" s="106"/>
      <c r="N71" s="106"/>
      <c r="O71" s="106"/>
      <c r="P71" s="106"/>
      <c r="Q71" s="106"/>
      <c r="R71" s="106">
        <f t="shared" si="2"/>
        <v>6000</v>
      </c>
      <c r="S71" s="1">
        <f>SUM(MC[[#This Row],[Blk1]:[Blk8]])</f>
        <v>6000</v>
      </c>
      <c r="T71" s="106"/>
      <c r="U71" s="106"/>
      <c r="V71" s="106"/>
      <c r="W71" s="106"/>
      <c r="X71" s="106"/>
      <c r="Y71" s="106"/>
      <c r="Z71" s="106"/>
    </row>
    <row r="72" spans="1:26" x14ac:dyDescent="0.25">
      <c r="A72" s="106">
        <v>70</v>
      </c>
      <c r="B72" s="103">
        <f t="shared" si="3"/>
        <v>45269</v>
      </c>
      <c r="C72" s="109">
        <f>YEAR(MC[[#This Row],[Date]])+IF(MONTH(MC[[#This Row],[Date]])&gt;=4,1,0)</f>
        <v>2024</v>
      </c>
      <c r="D72" s="110">
        <f>YEAR(MC[[#This Row],[Date]])</f>
        <v>2023</v>
      </c>
      <c r="E72" s="101" t="s">
        <v>73</v>
      </c>
      <c r="F72" s="101" t="s">
        <v>73</v>
      </c>
      <c r="G72" s="102" t="str">
        <f>TEXT(MC[[#This Row],[Date]],"mmm-yy")</f>
        <v>Dec-23</v>
      </c>
      <c r="H72" s="102">
        <f>DAY(EOMONTH(MC[[#This Row],[Month Year]],0))</f>
        <v>31</v>
      </c>
      <c r="I72" s="106"/>
      <c r="J72" s="106"/>
      <c r="K72" s="106"/>
      <c r="L72" s="106"/>
      <c r="M72" s="106"/>
      <c r="N72" s="106"/>
      <c r="O72" s="106"/>
      <c r="P72" s="106"/>
      <c r="Q72" s="106"/>
      <c r="R72" s="106">
        <f t="shared" si="2"/>
        <v>6000</v>
      </c>
      <c r="S72" s="1">
        <f>SUM(MC[[#This Row],[Blk1]:[Blk8]])</f>
        <v>6000</v>
      </c>
      <c r="T72" s="106"/>
      <c r="U72" s="106"/>
      <c r="V72" s="106"/>
      <c r="W72" s="106"/>
      <c r="X72" s="106"/>
      <c r="Y72" s="106"/>
      <c r="Z72" s="106"/>
    </row>
    <row r="73" spans="1:26" x14ac:dyDescent="0.25">
      <c r="A73" s="106">
        <v>71</v>
      </c>
      <c r="B73" s="103">
        <f t="shared" si="3"/>
        <v>45270</v>
      </c>
      <c r="C73" s="109">
        <f>YEAR(MC[[#This Row],[Date]])+IF(MONTH(MC[[#This Row],[Date]])&gt;=4,1,0)</f>
        <v>2024</v>
      </c>
      <c r="D73" s="110">
        <f>YEAR(MC[[#This Row],[Date]])</f>
        <v>2023</v>
      </c>
      <c r="E73" s="101" t="s">
        <v>73</v>
      </c>
      <c r="F73" s="101" t="s">
        <v>73</v>
      </c>
      <c r="G73" s="102" t="str">
        <f>TEXT(MC[[#This Row],[Date]],"mmm-yy")</f>
        <v>Dec-23</v>
      </c>
      <c r="H73" s="102">
        <f>DAY(EOMONTH(MC[[#This Row],[Month Year]],0))</f>
        <v>31</v>
      </c>
      <c r="I73" s="106"/>
      <c r="J73" s="106"/>
      <c r="K73" s="106"/>
      <c r="L73" s="106"/>
      <c r="M73" s="106"/>
      <c r="N73" s="106"/>
      <c r="O73" s="106"/>
      <c r="P73" s="106"/>
      <c r="Q73" s="106"/>
      <c r="R73" s="106">
        <f t="shared" si="2"/>
        <v>6000</v>
      </c>
      <c r="S73" s="1">
        <f>SUM(MC[[#This Row],[Blk1]:[Blk8]])</f>
        <v>6000</v>
      </c>
      <c r="T73" s="106"/>
      <c r="U73" s="106"/>
      <c r="V73" s="106"/>
      <c r="W73" s="106"/>
      <c r="X73" s="106"/>
      <c r="Y73" s="106"/>
      <c r="Z73" s="106"/>
    </row>
    <row r="74" spans="1:26" x14ac:dyDescent="0.25">
      <c r="A74" s="106">
        <v>72</v>
      </c>
      <c r="B74" s="103">
        <f t="shared" si="3"/>
        <v>45271</v>
      </c>
      <c r="C74" s="109">
        <f>YEAR(MC[[#This Row],[Date]])+IF(MONTH(MC[[#This Row],[Date]])&gt;=4,1,0)</f>
        <v>2024</v>
      </c>
      <c r="D74" s="110">
        <f>YEAR(MC[[#This Row],[Date]])</f>
        <v>2023</v>
      </c>
      <c r="E74" s="101" t="s">
        <v>73</v>
      </c>
      <c r="F74" s="101" t="s">
        <v>73</v>
      </c>
      <c r="G74" s="102" t="str">
        <f>TEXT(MC[[#This Row],[Date]],"mmm-yy")</f>
        <v>Dec-23</v>
      </c>
      <c r="H74" s="102">
        <f>DAY(EOMONTH(MC[[#This Row],[Month Year]],0))</f>
        <v>31</v>
      </c>
      <c r="I74" s="106"/>
      <c r="J74" s="106"/>
      <c r="K74" s="106"/>
      <c r="L74" s="106"/>
      <c r="M74" s="106"/>
      <c r="N74" s="106"/>
      <c r="O74" s="106"/>
      <c r="P74" s="106"/>
      <c r="Q74" s="106"/>
      <c r="R74" s="106">
        <f t="shared" si="2"/>
        <v>6000</v>
      </c>
      <c r="S74" s="1">
        <f>SUM(MC[[#This Row],[Blk1]:[Blk8]])</f>
        <v>6000</v>
      </c>
      <c r="T74" s="106"/>
      <c r="U74" s="106"/>
      <c r="V74" s="106"/>
      <c r="W74" s="106"/>
      <c r="X74" s="106"/>
      <c r="Y74" s="106"/>
      <c r="Z74" s="106"/>
    </row>
    <row r="75" spans="1:26" x14ac:dyDescent="0.25">
      <c r="A75" s="106">
        <v>73</v>
      </c>
      <c r="B75" s="103">
        <f t="shared" si="3"/>
        <v>45272</v>
      </c>
      <c r="C75" s="109">
        <f>YEAR(MC[[#This Row],[Date]])+IF(MONTH(MC[[#This Row],[Date]])&gt;=4,1,0)</f>
        <v>2024</v>
      </c>
      <c r="D75" s="110">
        <f>YEAR(MC[[#This Row],[Date]])</f>
        <v>2023</v>
      </c>
      <c r="E75" s="101" t="s">
        <v>73</v>
      </c>
      <c r="F75" s="101" t="s">
        <v>73</v>
      </c>
      <c r="G75" s="102" t="str">
        <f>TEXT(MC[[#This Row],[Date]],"mmm-yy")</f>
        <v>Dec-23</v>
      </c>
      <c r="H75" s="102">
        <f>DAY(EOMONTH(MC[[#This Row],[Month Year]],0))</f>
        <v>31</v>
      </c>
      <c r="I75" s="106"/>
      <c r="J75" s="106"/>
      <c r="K75" s="106"/>
      <c r="L75" s="106"/>
      <c r="M75" s="106"/>
      <c r="N75" s="106"/>
      <c r="O75" s="106"/>
      <c r="P75" s="106"/>
      <c r="Q75" s="106"/>
      <c r="R75" s="106">
        <f t="shared" si="2"/>
        <v>6000</v>
      </c>
      <c r="S75" s="1">
        <f>SUM(MC[[#This Row],[Blk1]:[Blk8]])</f>
        <v>6000</v>
      </c>
      <c r="T75" s="106"/>
      <c r="U75" s="106"/>
      <c r="V75" s="106"/>
      <c r="W75" s="106"/>
      <c r="X75" s="106"/>
      <c r="Y75" s="106"/>
      <c r="Z75" s="106"/>
    </row>
    <row r="76" spans="1:26" x14ac:dyDescent="0.25">
      <c r="A76" s="106">
        <v>74</v>
      </c>
      <c r="B76" s="103">
        <f t="shared" si="3"/>
        <v>45273</v>
      </c>
      <c r="C76" s="109">
        <f>YEAR(MC[[#This Row],[Date]])+IF(MONTH(MC[[#This Row],[Date]])&gt;=4,1,0)</f>
        <v>2024</v>
      </c>
      <c r="D76" s="110">
        <f>YEAR(MC[[#This Row],[Date]])</f>
        <v>2023</v>
      </c>
      <c r="E76" s="101" t="s">
        <v>73</v>
      </c>
      <c r="F76" s="101" t="s">
        <v>73</v>
      </c>
      <c r="G76" s="102" t="str">
        <f>TEXT(MC[[#This Row],[Date]],"mmm-yy")</f>
        <v>Dec-23</v>
      </c>
      <c r="H76" s="102">
        <f>DAY(EOMONTH(MC[[#This Row],[Month Year]],0))</f>
        <v>31</v>
      </c>
      <c r="I76" s="106"/>
      <c r="J76" s="106"/>
      <c r="K76" s="106"/>
      <c r="L76" s="106"/>
      <c r="M76" s="106"/>
      <c r="N76" s="106"/>
      <c r="O76" s="106"/>
      <c r="P76" s="106"/>
      <c r="Q76" s="106"/>
      <c r="R76" s="106">
        <f t="shared" si="2"/>
        <v>6000</v>
      </c>
      <c r="S76" s="1">
        <f>SUM(MC[[#This Row],[Blk1]:[Blk8]])</f>
        <v>6000</v>
      </c>
      <c r="T76" s="107"/>
      <c r="U76" s="106"/>
      <c r="V76" s="106"/>
      <c r="W76" s="107"/>
      <c r="X76" s="106"/>
      <c r="Y76" s="106"/>
      <c r="Z76" s="106"/>
    </row>
    <row r="77" spans="1:26" x14ac:dyDescent="0.25">
      <c r="A77" s="106">
        <v>75</v>
      </c>
      <c r="B77" s="103">
        <f t="shared" si="3"/>
        <v>45274</v>
      </c>
      <c r="C77" s="109">
        <f>YEAR(MC[[#This Row],[Date]])+IF(MONTH(MC[[#This Row],[Date]])&gt;=4,1,0)</f>
        <v>2024</v>
      </c>
      <c r="D77" s="110">
        <f>YEAR(MC[[#This Row],[Date]])</f>
        <v>2023</v>
      </c>
      <c r="E77" s="101" t="s">
        <v>73</v>
      </c>
      <c r="F77" s="101" t="s">
        <v>73</v>
      </c>
      <c r="G77" s="102" t="str">
        <f>TEXT(MC[[#This Row],[Date]],"mmm-yy")</f>
        <v>Dec-23</v>
      </c>
      <c r="H77" s="102">
        <f>DAY(EOMONTH(MC[[#This Row],[Month Year]],0))</f>
        <v>31</v>
      </c>
      <c r="I77" s="106"/>
      <c r="J77" s="106"/>
      <c r="K77" s="106"/>
      <c r="L77" s="106"/>
      <c r="M77" s="106"/>
      <c r="N77" s="106"/>
      <c r="O77" s="106"/>
      <c r="P77" s="106"/>
      <c r="Q77" s="106"/>
      <c r="R77" s="106">
        <f t="shared" si="2"/>
        <v>6000</v>
      </c>
      <c r="S77" s="1">
        <f>SUM(MC[[#This Row],[Blk1]:[Blk8]])</f>
        <v>6000</v>
      </c>
      <c r="T77" s="107"/>
      <c r="U77" s="106"/>
      <c r="V77" s="106"/>
      <c r="W77" s="107"/>
      <c r="X77" s="106"/>
      <c r="Y77" s="106"/>
      <c r="Z77" s="106"/>
    </row>
    <row r="78" spans="1:26" x14ac:dyDescent="0.25">
      <c r="A78" s="106">
        <v>76</v>
      </c>
      <c r="B78" s="103">
        <f t="shared" si="3"/>
        <v>45275</v>
      </c>
      <c r="C78" s="109">
        <f>YEAR(MC[[#This Row],[Date]])+IF(MONTH(MC[[#This Row],[Date]])&gt;=4,1,0)</f>
        <v>2024</v>
      </c>
      <c r="D78" s="110">
        <f>YEAR(MC[[#This Row],[Date]])</f>
        <v>2023</v>
      </c>
      <c r="E78" s="101" t="s">
        <v>73</v>
      </c>
      <c r="F78" s="101" t="s">
        <v>73</v>
      </c>
      <c r="G78" s="102" t="str">
        <f>TEXT(MC[[#This Row],[Date]],"mmm-yy")</f>
        <v>Dec-23</v>
      </c>
      <c r="H78" s="102">
        <f>DAY(EOMONTH(MC[[#This Row],[Month Year]],0))</f>
        <v>31</v>
      </c>
      <c r="I78" s="106"/>
      <c r="J78" s="106"/>
      <c r="K78" s="106"/>
      <c r="L78" s="106"/>
      <c r="M78" s="106"/>
      <c r="N78" s="106"/>
      <c r="O78" s="106"/>
      <c r="P78" s="106"/>
      <c r="Q78" s="106"/>
      <c r="R78" s="106">
        <f t="shared" si="2"/>
        <v>6000</v>
      </c>
      <c r="S78" s="1">
        <f>SUM(MC[[#This Row],[Blk1]:[Blk8]])</f>
        <v>6000</v>
      </c>
      <c r="T78" s="106"/>
      <c r="U78" s="106"/>
      <c r="V78" s="106"/>
      <c r="W78" s="106"/>
      <c r="X78" s="106"/>
      <c r="Y78" s="106"/>
      <c r="Z78" s="106"/>
    </row>
    <row r="79" spans="1:26" x14ac:dyDescent="0.25">
      <c r="A79" s="106">
        <v>77</v>
      </c>
      <c r="B79" s="103">
        <f t="shared" si="3"/>
        <v>45276</v>
      </c>
      <c r="C79" s="109">
        <f>YEAR(MC[[#This Row],[Date]])+IF(MONTH(MC[[#This Row],[Date]])&gt;=4,1,0)</f>
        <v>2024</v>
      </c>
      <c r="D79" s="110">
        <f>YEAR(MC[[#This Row],[Date]])</f>
        <v>2023</v>
      </c>
      <c r="E79" s="101" t="s">
        <v>73</v>
      </c>
      <c r="F79" s="101" t="s">
        <v>73</v>
      </c>
      <c r="G79" s="102" t="str">
        <f>TEXT(MC[[#This Row],[Date]],"mmm-yy")</f>
        <v>Dec-23</v>
      </c>
      <c r="H79" s="102">
        <f>DAY(EOMONTH(MC[[#This Row],[Month Year]],0))</f>
        <v>31</v>
      </c>
      <c r="I79" s="106"/>
      <c r="J79" s="106"/>
      <c r="K79" s="106"/>
      <c r="L79" s="106"/>
      <c r="M79" s="106"/>
      <c r="N79" s="106"/>
      <c r="O79" s="106"/>
      <c r="P79" s="106"/>
      <c r="Q79" s="106"/>
      <c r="R79" s="106">
        <f t="shared" si="2"/>
        <v>6000</v>
      </c>
      <c r="S79" s="1">
        <f>SUM(MC[[#This Row],[Blk1]:[Blk8]])</f>
        <v>6000</v>
      </c>
      <c r="T79" s="106"/>
      <c r="U79" s="106"/>
      <c r="V79" s="106"/>
      <c r="W79" s="106"/>
      <c r="X79" s="106"/>
      <c r="Y79" s="106"/>
      <c r="Z79" s="106"/>
    </row>
    <row r="80" spans="1:26" x14ac:dyDescent="0.25">
      <c r="A80" s="106">
        <v>78</v>
      </c>
      <c r="B80" s="103">
        <f t="shared" si="3"/>
        <v>45277</v>
      </c>
      <c r="C80" s="109">
        <f>YEAR(MC[[#This Row],[Date]])+IF(MONTH(MC[[#This Row],[Date]])&gt;=4,1,0)</f>
        <v>2024</v>
      </c>
      <c r="D80" s="110">
        <f>YEAR(MC[[#This Row],[Date]])</f>
        <v>2023</v>
      </c>
      <c r="E80" s="101" t="s">
        <v>73</v>
      </c>
      <c r="F80" s="101" t="s">
        <v>73</v>
      </c>
      <c r="G80" s="102" t="str">
        <f>TEXT(MC[[#This Row],[Date]],"mmm-yy")</f>
        <v>Dec-23</v>
      </c>
      <c r="H80" s="102">
        <f>DAY(EOMONTH(MC[[#This Row],[Month Year]],0))</f>
        <v>31</v>
      </c>
      <c r="I80" s="106"/>
      <c r="J80" s="106"/>
      <c r="K80" s="106"/>
      <c r="L80" s="106"/>
      <c r="M80" s="106"/>
      <c r="N80" s="106"/>
      <c r="O80" s="106"/>
      <c r="P80" s="106"/>
      <c r="Q80" s="106"/>
      <c r="R80" s="106">
        <f t="shared" si="2"/>
        <v>6000</v>
      </c>
      <c r="S80" s="1">
        <f>SUM(MC[[#This Row],[Blk1]:[Blk8]])</f>
        <v>6000</v>
      </c>
      <c r="T80" s="107"/>
      <c r="U80" s="106"/>
      <c r="V80" s="106"/>
      <c r="W80" s="107"/>
      <c r="X80" s="106"/>
      <c r="Y80" s="106"/>
      <c r="Z80" s="106"/>
    </row>
    <row r="81" spans="1:26" x14ac:dyDescent="0.25">
      <c r="A81" s="106">
        <v>79</v>
      </c>
      <c r="B81" s="103">
        <f t="shared" si="3"/>
        <v>45278</v>
      </c>
      <c r="C81" s="109">
        <f>YEAR(MC[[#This Row],[Date]])+IF(MONTH(MC[[#This Row],[Date]])&gt;=4,1,0)</f>
        <v>2024</v>
      </c>
      <c r="D81" s="110">
        <f>YEAR(MC[[#This Row],[Date]])</f>
        <v>2023</v>
      </c>
      <c r="E81" s="101" t="s">
        <v>73</v>
      </c>
      <c r="F81" s="101" t="s">
        <v>73</v>
      </c>
      <c r="G81" s="102" t="str">
        <f>TEXT(MC[[#This Row],[Date]],"mmm-yy")</f>
        <v>Dec-23</v>
      </c>
      <c r="H81" s="102">
        <f>DAY(EOMONTH(MC[[#This Row],[Month Year]],0))</f>
        <v>31</v>
      </c>
      <c r="I81" s="106"/>
      <c r="J81" s="106"/>
      <c r="K81" s="106"/>
      <c r="L81" s="106"/>
      <c r="M81" s="106"/>
      <c r="N81" s="106"/>
      <c r="O81" s="106"/>
      <c r="P81" s="106"/>
      <c r="Q81" s="106"/>
      <c r="R81" s="106">
        <f t="shared" si="2"/>
        <v>6000</v>
      </c>
      <c r="S81" s="1">
        <f>SUM(MC[[#This Row],[Blk1]:[Blk8]])</f>
        <v>6000</v>
      </c>
      <c r="T81" s="106"/>
      <c r="U81" s="106"/>
      <c r="V81" s="106"/>
      <c r="W81" s="106"/>
      <c r="X81" s="106"/>
      <c r="Y81" s="106"/>
      <c r="Z81" s="106"/>
    </row>
    <row r="82" spans="1:26" x14ac:dyDescent="0.25">
      <c r="A82" s="106">
        <v>80</v>
      </c>
      <c r="B82" s="103">
        <f t="shared" si="3"/>
        <v>45279</v>
      </c>
      <c r="C82" s="109">
        <f>YEAR(MC[[#This Row],[Date]])+IF(MONTH(MC[[#This Row],[Date]])&gt;=4,1,0)</f>
        <v>2024</v>
      </c>
      <c r="D82" s="110">
        <f>YEAR(MC[[#This Row],[Date]])</f>
        <v>2023</v>
      </c>
      <c r="E82" s="101" t="s">
        <v>73</v>
      </c>
      <c r="F82" s="101" t="s">
        <v>73</v>
      </c>
      <c r="G82" s="102" t="str">
        <f>TEXT(MC[[#This Row],[Date]],"mmm-yy")</f>
        <v>Dec-23</v>
      </c>
      <c r="H82" s="102">
        <f>DAY(EOMONTH(MC[[#This Row],[Month Year]],0))</f>
        <v>31</v>
      </c>
      <c r="I82" s="106"/>
      <c r="J82" s="106"/>
      <c r="K82" s="106"/>
      <c r="L82" s="106"/>
      <c r="M82" s="106"/>
      <c r="N82" s="106"/>
      <c r="O82" s="106"/>
      <c r="P82" s="106"/>
      <c r="Q82" s="106"/>
      <c r="R82" s="106">
        <f t="shared" si="2"/>
        <v>6000</v>
      </c>
      <c r="S82" s="1">
        <f>SUM(MC[[#This Row],[Blk1]:[Blk8]])</f>
        <v>6000</v>
      </c>
      <c r="T82" s="106"/>
      <c r="U82" s="106"/>
      <c r="V82" s="106"/>
      <c r="W82" s="106"/>
      <c r="X82" s="106"/>
      <c r="Y82" s="106"/>
      <c r="Z82" s="106"/>
    </row>
    <row r="83" spans="1:26" x14ac:dyDescent="0.25">
      <c r="A83" s="106">
        <v>81</v>
      </c>
      <c r="B83" s="103">
        <f t="shared" si="3"/>
        <v>45280</v>
      </c>
      <c r="C83" s="109">
        <f>YEAR(MC[[#This Row],[Date]])+IF(MONTH(MC[[#This Row],[Date]])&gt;=4,1,0)</f>
        <v>2024</v>
      </c>
      <c r="D83" s="110">
        <f>YEAR(MC[[#This Row],[Date]])</f>
        <v>2023</v>
      </c>
      <c r="E83" s="101" t="s">
        <v>73</v>
      </c>
      <c r="F83" s="101" t="s">
        <v>73</v>
      </c>
      <c r="G83" s="102" t="str">
        <f>TEXT(MC[[#This Row],[Date]],"mmm-yy")</f>
        <v>Dec-23</v>
      </c>
      <c r="H83" s="102">
        <f>DAY(EOMONTH(MC[[#This Row],[Month Year]],0))</f>
        <v>31</v>
      </c>
      <c r="I83" s="106"/>
      <c r="J83" s="106"/>
      <c r="K83" s="106"/>
      <c r="L83" s="106"/>
      <c r="M83" s="106"/>
      <c r="N83" s="106"/>
      <c r="O83" s="106"/>
      <c r="P83" s="106"/>
      <c r="Q83" s="106"/>
      <c r="R83" s="106">
        <f t="shared" si="2"/>
        <v>6000</v>
      </c>
      <c r="S83" s="1">
        <f>SUM(MC[[#This Row],[Blk1]:[Blk8]])</f>
        <v>6000</v>
      </c>
      <c r="T83" s="106"/>
      <c r="U83" s="106"/>
      <c r="V83" s="106"/>
      <c r="W83" s="106"/>
      <c r="X83" s="106"/>
      <c r="Y83" s="106"/>
      <c r="Z83" s="106"/>
    </row>
    <row r="84" spans="1:26" x14ac:dyDescent="0.25">
      <c r="A84" s="106">
        <v>82</v>
      </c>
      <c r="B84" s="103">
        <f t="shared" si="3"/>
        <v>45281</v>
      </c>
      <c r="C84" s="109">
        <f>YEAR(MC[[#This Row],[Date]])+IF(MONTH(MC[[#This Row],[Date]])&gt;=4,1,0)</f>
        <v>2024</v>
      </c>
      <c r="D84" s="110">
        <f>YEAR(MC[[#This Row],[Date]])</f>
        <v>2023</v>
      </c>
      <c r="E84" s="101" t="s">
        <v>73</v>
      </c>
      <c r="F84" s="101" t="s">
        <v>73</v>
      </c>
      <c r="G84" s="102" t="str">
        <f>TEXT(MC[[#This Row],[Date]],"mmm-yy")</f>
        <v>Dec-23</v>
      </c>
      <c r="H84" s="102">
        <f>DAY(EOMONTH(MC[[#This Row],[Month Year]],0))</f>
        <v>31</v>
      </c>
      <c r="I84" s="106"/>
      <c r="J84" s="106"/>
      <c r="K84" s="106"/>
      <c r="L84" s="106"/>
      <c r="M84" s="106"/>
      <c r="N84" s="106"/>
      <c r="O84" s="106"/>
      <c r="P84" s="106"/>
      <c r="Q84" s="106"/>
      <c r="R84" s="106">
        <f t="shared" si="2"/>
        <v>6000</v>
      </c>
      <c r="S84" s="1">
        <f>SUM(MC[[#This Row],[Blk1]:[Blk8]])</f>
        <v>6000</v>
      </c>
      <c r="T84" s="106"/>
      <c r="U84" s="106"/>
      <c r="V84" s="106"/>
      <c r="W84" s="106"/>
      <c r="X84" s="106"/>
      <c r="Y84" s="106"/>
      <c r="Z84" s="106"/>
    </row>
    <row r="85" spans="1:26" x14ac:dyDescent="0.25">
      <c r="A85" s="106">
        <v>83</v>
      </c>
      <c r="B85" s="103">
        <f t="shared" si="3"/>
        <v>45282</v>
      </c>
      <c r="C85" s="109">
        <f>YEAR(MC[[#This Row],[Date]])+IF(MONTH(MC[[#This Row],[Date]])&gt;=4,1,0)</f>
        <v>2024</v>
      </c>
      <c r="D85" s="110">
        <f>YEAR(MC[[#This Row],[Date]])</f>
        <v>2023</v>
      </c>
      <c r="E85" s="101" t="s">
        <v>73</v>
      </c>
      <c r="F85" s="101" t="s">
        <v>73</v>
      </c>
      <c r="G85" s="102" t="str">
        <f>TEXT(MC[[#This Row],[Date]],"mmm-yy")</f>
        <v>Dec-23</v>
      </c>
      <c r="H85" s="102">
        <f>DAY(EOMONTH(MC[[#This Row],[Month Year]],0))</f>
        <v>31</v>
      </c>
      <c r="I85" s="106"/>
      <c r="J85" s="106"/>
      <c r="K85" s="106"/>
      <c r="L85" s="106"/>
      <c r="M85" s="106"/>
      <c r="N85" s="106"/>
      <c r="O85" s="106"/>
      <c r="P85" s="106"/>
      <c r="Q85" s="106"/>
      <c r="R85" s="106">
        <f t="shared" si="2"/>
        <v>6000</v>
      </c>
      <c r="S85" s="1">
        <f>SUM(MC[[#This Row],[Blk1]:[Blk8]])</f>
        <v>6000</v>
      </c>
      <c r="T85" s="106"/>
      <c r="U85" s="106"/>
      <c r="V85" s="106"/>
      <c r="W85" s="106"/>
      <c r="X85" s="106"/>
      <c r="Y85" s="106"/>
      <c r="Z85" s="106"/>
    </row>
    <row r="86" spans="1:26" x14ac:dyDescent="0.25">
      <c r="A86" s="106">
        <v>84</v>
      </c>
      <c r="B86" s="103">
        <f t="shared" si="3"/>
        <v>45283</v>
      </c>
      <c r="C86" s="109">
        <f>YEAR(MC[[#This Row],[Date]])+IF(MONTH(MC[[#This Row],[Date]])&gt;=4,1,0)</f>
        <v>2024</v>
      </c>
      <c r="D86" s="110">
        <f>YEAR(MC[[#This Row],[Date]])</f>
        <v>2023</v>
      </c>
      <c r="E86" s="101" t="s">
        <v>73</v>
      </c>
      <c r="F86" s="101" t="s">
        <v>73</v>
      </c>
      <c r="G86" s="102" t="str">
        <f>TEXT(MC[[#This Row],[Date]],"mmm-yy")</f>
        <v>Dec-23</v>
      </c>
      <c r="H86" s="102">
        <f>DAY(EOMONTH(MC[[#This Row],[Month Year]],0))</f>
        <v>31</v>
      </c>
      <c r="I86" s="106"/>
      <c r="J86" s="106"/>
      <c r="K86" s="106"/>
      <c r="L86" s="106"/>
      <c r="M86" s="106"/>
      <c r="N86" s="106"/>
      <c r="O86" s="106"/>
      <c r="P86" s="106"/>
      <c r="Q86" s="106"/>
      <c r="R86" s="106">
        <f t="shared" si="2"/>
        <v>6000</v>
      </c>
      <c r="S86" s="1">
        <f>SUM(MC[[#This Row],[Blk1]:[Blk8]])</f>
        <v>6000</v>
      </c>
      <c r="T86" s="107"/>
      <c r="U86" s="106"/>
      <c r="V86" s="106"/>
      <c r="W86" s="107"/>
      <c r="X86" s="106"/>
      <c r="Y86" s="106"/>
      <c r="Z86" s="106"/>
    </row>
    <row r="87" spans="1:26" x14ac:dyDescent="0.25">
      <c r="A87" s="106">
        <v>85</v>
      </c>
      <c r="B87" s="103">
        <f t="shared" si="3"/>
        <v>45284</v>
      </c>
      <c r="C87" s="109">
        <f>YEAR(MC[[#This Row],[Date]])+IF(MONTH(MC[[#This Row],[Date]])&gt;=4,1,0)</f>
        <v>2024</v>
      </c>
      <c r="D87" s="110">
        <f>YEAR(MC[[#This Row],[Date]])</f>
        <v>2023</v>
      </c>
      <c r="E87" s="101" t="s">
        <v>73</v>
      </c>
      <c r="F87" s="101" t="s">
        <v>73</v>
      </c>
      <c r="G87" s="102" t="str">
        <f>TEXT(MC[[#This Row],[Date]],"mmm-yy")</f>
        <v>Dec-23</v>
      </c>
      <c r="H87" s="102">
        <f>DAY(EOMONTH(MC[[#This Row],[Month Year]],0))</f>
        <v>31</v>
      </c>
      <c r="I87" s="106"/>
      <c r="J87" s="106"/>
      <c r="K87" s="106"/>
      <c r="L87" s="106"/>
      <c r="M87" s="106"/>
      <c r="N87" s="106"/>
      <c r="O87" s="106"/>
      <c r="P87" s="106"/>
      <c r="Q87" s="106"/>
      <c r="R87" s="106">
        <f t="shared" si="2"/>
        <v>6000</v>
      </c>
      <c r="S87" s="1">
        <f>SUM(MC[[#This Row],[Blk1]:[Blk8]])</f>
        <v>6000</v>
      </c>
      <c r="T87" s="107"/>
      <c r="U87" s="106"/>
      <c r="V87" s="106"/>
      <c r="W87" s="107"/>
      <c r="X87" s="106"/>
      <c r="Y87" s="106"/>
      <c r="Z87" s="106"/>
    </row>
    <row r="88" spans="1:26" x14ac:dyDescent="0.25">
      <c r="A88" s="106">
        <v>86</v>
      </c>
      <c r="B88" s="103">
        <f t="shared" si="3"/>
        <v>45285</v>
      </c>
      <c r="C88" s="109">
        <f>YEAR(MC[[#This Row],[Date]])+IF(MONTH(MC[[#This Row],[Date]])&gt;=4,1,0)</f>
        <v>2024</v>
      </c>
      <c r="D88" s="110">
        <f>YEAR(MC[[#This Row],[Date]])</f>
        <v>2023</v>
      </c>
      <c r="E88" s="101" t="s">
        <v>73</v>
      </c>
      <c r="F88" s="101" t="s">
        <v>73</v>
      </c>
      <c r="G88" s="102" t="str">
        <f>TEXT(MC[[#This Row],[Date]],"mmm-yy")</f>
        <v>Dec-23</v>
      </c>
      <c r="H88" s="102">
        <f>DAY(EOMONTH(MC[[#This Row],[Month Year]],0))</f>
        <v>31</v>
      </c>
      <c r="I88" s="106"/>
      <c r="J88" s="106"/>
      <c r="K88" s="106"/>
      <c r="L88" s="106"/>
      <c r="M88" s="106"/>
      <c r="N88" s="106"/>
      <c r="O88" s="106"/>
      <c r="P88" s="106"/>
      <c r="Q88" s="106"/>
      <c r="R88" s="106">
        <f t="shared" si="2"/>
        <v>6000</v>
      </c>
      <c r="S88" s="1">
        <f>SUM(MC[[#This Row],[Blk1]:[Blk8]])</f>
        <v>6000</v>
      </c>
      <c r="T88" s="106"/>
      <c r="U88" s="106"/>
      <c r="V88" s="106"/>
      <c r="W88" s="106"/>
      <c r="X88" s="106"/>
      <c r="Y88" s="106"/>
      <c r="Z88" s="106"/>
    </row>
    <row r="89" spans="1:26" x14ac:dyDescent="0.25">
      <c r="A89" s="106">
        <v>87</v>
      </c>
      <c r="B89" s="103">
        <f t="shared" si="3"/>
        <v>45286</v>
      </c>
      <c r="C89" s="109">
        <f>YEAR(MC[[#This Row],[Date]])+IF(MONTH(MC[[#This Row],[Date]])&gt;=4,1,0)</f>
        <v>2024</v>
      </c>
      <c r="D89" s="110">
        <f>YEAR(MC[[#This Row],[Date]])</f>
        <v>2023</v>
      </c>
      <c r="E89" s="101" t="s">
        <v>73</v>
      </c>
      <c r="F89" s="101" t="s">
        <v>73</v>
      </c>
      <c r="G89" s="102" t="str">
        <f>TEXT(MC[[#This Row],[Date]],"mmm-yy")</f>
        <v>Dec-23</v>
      </c>
      <c r="H89" s="102">
        <f>DAY(EOMONTH(MC[[#This Row],[Month Year]],0))</f>
        <v>31</v>
      </c>
      <c r="I89" s="106"/>
      <c r="J89" s="106"/>
      <c r="K89" s="106"/>
      <c r="L89" s="106"/>
      <c r="M89" s="106"/>
      <c r="N89" s="106"/>
      <c r="O89" s="106"/>
      <c r="P89" s="106"/>
      <c r="Q89" s="106"/>
      <c r="R89" s="106">
        <f t="shared" si="2"/>
        <v>6000</v>
      </c>
      <c r="S89" s="1">
        <f>SUM(MC[[#This Row],[Blk1]:[Blk8]])</f>
        <v>6000</v>
      </c>
      <c r="T89" s="106"/>
      <c r="U89" s="106"/>
      <c r="V89" s="106"/>
      <c r="W89" s="106"/>
      <c r="X89" s="106"/>
      <c r="Y89" s="106"/>
      <c r="Z89" s="106"/>
    </row>
    <row r="90" spans="1:26" x14ac:dyDescent="0.25">
      <c r="A90" s="106">
        <v>88</v>
      </c>
      <c r="B90" s="103">
        <f t="shared" si="3"/>
        <v>45287</v>
      </c>
      <c r="C90" s="109">
        <f>YEAR(MC[[#This Row],[Date]])+IF(MONTH(MC[[#This Row],[Date]])&gt;=4,1,0)</f>
        <v>2024</v>
      </c>
      <c r="D90" s="110">
        <f>YEAR(MC[[#This Row],[Date]])</f>
        <v>2023</v>
      </c>
      <c r="E90" s="101" t="s">
        <v>73</v>
      </c>
      <c r="F90" s="101" t="s">
        <v>73</v>
      </c>
      <c r="G90" s="102" t="str">
        <f>TEXT(MC[[#This Row],[Date]],"mmm-yy")</f>
        <v>Dec-23</v>
      </c>
      <c r="H90" s="102">
        <f>DAY(EOMONTH(MC[[#This Row],[Month Year]],0))</f>
        <v>31</v>
      </c>
      <c r="I90" s="106"/>
      <c r="J90" s="106"/>
      <c r="K90" s="106"/>
      <c r="L90" s="106"/>
      <c r="M90" s="106"/>
      <c r="N90" s="106"/>
      <c r="O90" s="106"/>
      <c r="P90" s="106"/>
      <c r="Q90" s="106"/>
      <c r="R90" s="106">
        <f t="shared" si="2"/>
        <v>6000</v>
      </c>
      <c r="S90" s="1">
        <f>SUM(MC[[#This Row],[Blk1]:[Blk8]])</f>
        <v>6000</v>
      </c>
      <c r="T90" s="106"/>
      <c r="U90" s="106"/>
      <c r="V90" s="106"/>
      <c r="W90" s="106"/>
      <c r="X90" s="106"/>
      <c r="Y90" s="106"/>
      <c r="Z90" s="106"/>
    </row>
    <row r="91" spans="1:26" x14ac:dyDescent="0.25">
      <c r="A91" s="106">
        <v>89</v>
      </c>
      <c r="B91" s="103">
        <f t="shared" si="3"/>
        <v>45288</v>
      </c>
      <c r="C91" s="109">
        <f>YEAR(MC[[#This Row],[Date]])+IF(MONTH(MC[[#This Row],[Date]])&gt;=4,1,0)</f>
        <v>2024</v>
      </c>
      <c r="D91" s="110">
        <f>YEAR(MC[[#This Row],[Date]])</f>
        <v>2023</v>
      </c>
      <c r="E91" s="101" t="s">
        <v>73</v>
      </c>
      <c r="F91" s="101" t="s">
        <v>73</v>
      </c>
      <c r="G91" s="102" t="str">
        <f>TEXT(MC[[#This Row],[Date]],"mmm-yy")</f>
        <v>Dec-23</v>
      </c>
      <c r="H91" s="102">
        <f>DAY(EOMONTH(MC[[#This Row],[Month Year]],0))</f>
        <v>31</v>
      </c>
      <c r="I91" s="106"/>
      <c r="J91" s="106"/>
      <c r="K91" s="106"/>
      <c r="L91" s="106"/>
      <c r="M91" s="106"/>
      <c r="N91" s="106"/>
      <c r="O91" s="106"/>
      <c r="P91" s="106"/>
      <c r="Q91" s="106"/>
      <c r="R91" s="106">
        <f t="shared" si="2"/>
        <v>6000</v>
      </c>
      <c r="S91" s="1">
        <f>SUM(MC[[#This Row],[Blk1]:[Blk8]])</f>
        <v>6000</v>
      </c>
      <c r="T91" s="106"/>
      <c r="U91" s="106"/>
      <c r="V91" s="106"/>
      <c r="W91" s="106"/>
      <c r="X91" s="106"/>
      <c r="Y91" s="106"/>
      <c r="Z91" s="106"/>
    </row>
    <row r="92" spans="1:26" x14ac:dyDescent="0.25">
      <c r="A92" s="106">
        <v>90</v>
      </c>
      <c r="B92" s="103">
        <f t="shared" si="3"/>
        <v>45289</v>
      </c>
      <c r="C92" s="109">
        <f>YEAR(MC[[#This Row],[Date]])+IF(MONTH(MC[[#This Row],[Date]])&gt;=4,1,0)</f>
        <v>2024</v>
      </c>
      <c r="D92" s="110">
        <f>YEAR(MC[[#This Row],[Date]])</f>
        <v>2023</v>
      </c>
      <c r="E92" s="101" t="s">
        <v>73</v>
      </c>
      <c r="F92" s="101" t="s">
        <v>73</v>
      </c>
      <c r="G92" s="102" t="str">
        <f>TEXT(MC[[#This Row],[Date]],"mmm-yy")</f>
        <v>Dec-23</v>
      </c>
      <c r="H92" s="102">
        <f>DAY(EOMONTH(MC[[#This Row],[Month Year]],0))</f>
        <v>31</v>
      </c>
      <c r="I92" s="106"/>
      <c r="J92" s="106"/>
      <c r="K92" s="106"/>
      <c r="L92" s="106"/>
      <c r="M92" s="106"/>
      <c r="N92" s="106"/>
      <c r="O92" s="106"/>
      <c r="P92" s="106"/>
      <c r="Q92" s="106"/>
      <c r="R92" s="106">
        <f t="shared" si="2"/>
        <v>6000</v>
      </c>
      <c r="S92" s="1">
        <f>SUM(MC[[#This Row],[Blk1]:[Blk8]])</f>
        <v>6000</v>
      </c>
      <c r="T92" s="106"/>
      <c r="U92" s="106"/>
      <c r="V92" s="106"/>
      <c r="W92" s="106"/>
      <c r="X92" s="106"/>
      <c r="Y92" s="106"/>
      <c r="Z92" s="106"/>
    </row>
    <row r="93" spans="1:26" x14ac:dyDescent="0.25">
      <c r="A93" s="106">
        <v>91</v>
      </c>
      <c r="B93" s="103">
        <f t="shared" si="3"/>
        <v>45290</v>
      </c>
      <c r="C93" s="109">
        <f>YEAR(MC[[#This Row],[Date]])+IF(MONTH(MC[[#This Row],[Date]])&gt;=4,1,0)</f>
        <v>2024</v>
      </c>
      <c r="D93" s="110">
        <f>YEAR(MC[[#This Row],[Date]])</f>
        <v>2023</v>
      </c>
      <c r="E93" s="101" t="s">
        <v>73</v>
      </c>
      <c r="F93" s="101" t="s">
        <v>73</v>
      </c>
      <c r="G93" s="102" t="str">
        <f>TEXT(MC[[#This Row],[Date]],"mmm-yy")</f>
        <v>Dec-23</v>
      </c>
      <c r="H93" s="102">
        <f>DAY(EOMONTH(MC[[#This Row],[Month Year]],0))</f>
        <v>31</v>
      </c>
      <c r="I93" s="106"/>
      <c r="J93" s="106"/>
      <c r="K93" s="106"/>
      <c r="L93" s="106"/>
      <c r="M93" s="106"/>
      <c r="N93" s="106"/>
      <c r="O93" s="106"/>
      <c r="P93" s="106"/>
      <c r="Q93" s="106"/>
      <c r="R93" s="106">
        <f t="shared" si="2"/>
        <v>6000</v>
      </c>
      <c r="S93" s="1">
        <f>SUM(MC[[#This Row],[Blk1]:[Blk8]])</f>
        <v>6000</v>
      </c>
      <c r="T93" s="106"/>
      <c r="U93" s="106"/>
      <c r="V93" s="106"/>
      <c r="W93" s="106"/>
      <c r="X93" s="106"/>
      <c r="Y93" s="106"/>
      <c r="Z93" s="106"/>
    </row>
    <row r="94" spans="1:26" x14ac:dyDescent="0.25">
      <c r="A94" s="106">
        <v>92</v>
      </c>
      <c r="B94" s="103">
        <f t="shared" si="3"/>
        <v>45291</v>
      </c>
      <c r="C94" s="109">
        <f>YEAR(MC[[#This Row],[Date]])+IF(MONTH(MC[[#This Row],[Date]])&gt;=4,1,0)</f>
        <v>2024</v>
      </c>
      <c r="D94" s="110">
        <f>YEAR(MC[[#This Row],[Date]])</f>
        <v>2023</v>
      </c>
      <c r="E94" s="101" t="s">
        <v>73</v>
      </c>
      <c r="F94" s="101" t="s">
        <v>73</v>
      </c>
      <c r="G94" s="102" t="str">
        <f>TEXT(MC[[#This Row],[Date]],"mmm-yy")</f>
        <v>Dec-23</v>
      </c>
      <c r="H94" s="102">
        <f>DAY(EOMONTH(MC[[#This Row],[Month Year]],0))</f>
        <v>31</v>
      </c>
      <c r="I94" s="106"/>
      <c r="J94" s="106"/>
      <c r="K94" s="106"/>
      <c r="L94" s="106"/>
      <c r="M94" s="106"/>
      <c r="N94" s="106"/>
      <c r="O94" s="106"/>
      <c r="P94" s="106"/>
      <c r="Q94" s="106"/>
      <c r="R94" s="106">
        <f t="shared" si="2"/>
        <v>6000</v>
      </c>
      <c r="S94" s="1">
        <f>SUM(MC[[#This Row],[Blk1]:[Blk8]])</f>
        <v>6000</v>
      </c>
      <c r="T94" s="106"/>
      <c r="U94" s="106"/>
      <c r="V94" s="106"/>
      <c r="W94" s="106"/>
      <c r="X94" s="106"/>
      <c r="Y94" s="106"/>
      <c r="Z94" s="106"/>
    </row>
    <row r="95" spans="1:26" x14ac:dyDescent="0.25">
      <c r="A95" s="106">
        <v>93</v>
      </c>
      <c r="B95" s="103">
        <f t="shared" si="3"/>
        <v>45292</v>
      </c>
      <c r="C95" s="109">
        <f>YEAR(MC[[#This Row],[Date]])+IF(MONTH(MC[[#This Row],[Date]])&gt;=4,1,0)</f>
        <v>2024</v>
      </c>
      <c r="D95" s="110">
        <f>YEAR(MC[[#This Row],[Date]])</f>
        <v>2024</v>
      </c>
      <c r="E95" s="101" t="s">
        <v>73</v>
      </c>
      <c r="F95" s="101" t="s">
        <v>73</v>
      </c>
      <c r="G95" s="102" t="str">
        <f>TEXT(MC[[#This Row],[Date]],"mmm-yy")</f>
        <v>Jan-24</v>
      </c>
      <c r="H95" s="102">
        <f>DAY(EOMONTH(MC[[#This Row],[Month Year]],0))</f>
        <v>31</v>
      </c>
      <c r="I95" s="106"/>
      <c r="J95" s="106"/>
      <c r="K95" s="106"/>
      <c r="L95" s="106"/>
      <c r="M95" s="106"/>
      <c r="N95" s="106"/>
      <c r="O95" s="106"/>
      <c r="P95" s="106"/>
      <c r="Q95" s="106"/>
      <c r="R95" s="106">
        <f t="shared" si="2"/>
        <v>6000</v>
      </c>
      <c r="S95" s="1">
        <f>SUM(MC[[#This Row],[Blk1]:[Blk8]])</f>
        <v>6000</v>
      </c>
      <c r="T95" s="106"/>
      <c r="U95" s="106"/>
      <c r="V95" s="106"/>
      <c r="W95" s="106"/>
      <c r="X95" s="106"/>
      <c r="Y95" s="106"/>
      <c r="Z95" s="106"/>
    </row>
    <row r="96" spans="1:26" x14ac:dyDescent="0.25">
      <c r="A96" s="106">
        <v>94</v>
      </c>
      <c r="B96" s="103">
        <f t="shared" si="3"/>
        <v>45293</v>
      </c>
      <c r="C96" s="109">
        <f>YEAR(MC[[#This Row],[Date]])+IF(MONTH(MC[[#This Row],[Date]])&gt;=4,1,0)</f>
        <v>2024</v>
      </c>
      <c r="D96" s="110">
        <f>YEAR(MC[[#This Row],[Date]])</f>
        <v>2024</v>
      </c>
      <c r="E96" s="101" t="s">
        <v>73</v>
      </c>
      <c r="F96" s="101" t="s">
        <v>73</v>
      </c>
      <c r="G96" s="102" t="str">
        <f>TEXT(MC[[#This Row],[Date]],"mmm-yy")</f>
        <v>Jan-24</v>
      </c>
      <c r="H96" s="102">
        <f>DAY(EOMONTH(MC[[#This Row],[Month Year]],0))</f>
        <v>31</v>
      </c>
      <c r="I96" s="106"/>
      <c r="J96" s="106"/>
      <c r="K96" s="106"/>
      <c r="L96" s="106"/>
      <c r="M96" s="106"/>
      <c r="N96" s="106"/>
      <c r="O96" s="106"/>
      <c r="P96" s="106"/>
      <c r="Q96" s="106"/>
      <c r="R96" s="106">
        <f t="shared" si="2"/>
        <v>6000</v>
      </c>
      <c r="S96" s="1">
        <f>SUM(MC[[#This Row],[Blk1]:[Blk8]])</f>
        <v>6000</v>
      </c>
      <c r="T96" s="107"/>
      <c r="U96" s="106"/>
      <c r="V96" s="106"/>
      <c r="W96" s="107"/>
      <c r="X96" s="106"/>
      <c r="Y96" s="106"/>
      <c r="Z96" s="106"/>
    </row>
    <row r="97" spans="1:26" x14ac:dyDescent="0.25">
      <c r="A97" s="106">
        <v>95</v>
      </c>
      <c r="B97" s="103">
        <f t="shared" si="3"/>
        <v>45294</v>
      </c>
      <c r="C97" s="109">
        <f>YEAR(MC[[#This Row],[Date]])+IF(MONTH(MC[[#This Row],[Date]])&gt;=4,1,0)</f>
        <v>2024</v>
      </c>
      <c r="D97" s="110">
        <f>YEAR(MC[[#This Row],[Date]])</f>
        <v>2024</v>
      </c>
      <c r="E97" s="101" t="s">
        <v>73</v>
      </c>
      <c r="F97" s="101" t="s">
        <v>73</v>
      </c>
      <c r="G97" s="102" t="str">
        <f>TEXT(MC[[#This Row],[Date]],"mmm-yy")</f>
        <v>Jan-24</v>
      </c>
      <c r="H97" s="102">
        <f>DAY(EOMONTH(MC[[#This Row],[Month Year]],0))</f>
        <v>31</v>
      </c>
      <c r="I97" s="106"/>
      <c r="J97" s="106"/>
      <c r="K97" s="106"/>
      <c r="L97" s="106"/>
      <c r="M97" s="106"/>
      <c r="N97" s="106"/>
      <c r="O97" s="106"/>
      <c r="P97" s="106"/>
      <c r="Q97" s="106"/>
      <c r="R97" s="106">
        <f t="shared" si="2"/>
        <v>6000</v>
      </c>
      <c r="S97" s="1">
        <f>SUM(MC[[#This Row],[Blk1]:[Blk8]])</f>
        <v>6000</v>
      </c>
      <c r="T97" s="106"/>
      <c r="U97" s="106"/>
      <c r="V97" s="106"/>
      <c r="W97" s="106"/>
      <c r="X97" s="106"/>
      <c r="Y97" s="106"/>
      <c r="Z97" s="106"/>
    </row>
    <row r="98" spans="1:26" x14ac:dyDescent="0.25">
      <c r="A98" s="106">
        <v>96</v>
      </c>
      <c r="B98" s="103">
        <f t="shared" si="3"/>
        <v>45295</v>
      </c>
      <c r="C98" s="109">
        <f>YEAR(MC[[#This Row],[Date]])+IF(MONTH(MC[[#This Row],[Date]])&gt;=4,1,0)</f>
        <v>2024</v>
      </c>
      <c r="D98" s="110">
        <f>YEAR(MC[[#This Row],[Date]])</f>
        <v>2024</v>
      </c>
      <c r="E98" s="101" t="s">
        <v>73</v>
      </c>
      <c r="F98" s="101" t="s">
        <v>73</v>
      </c>
      <c r="G98" s="102" t="str">
        <f>TEXT(MC[[#This Row],[Date]],"mmm-yy")</f>
        <v>Jan-24</v>
      </c>
      <c r="H98" s="102">
        <f>DAY(EOMONTH(MC[[#This Row],[Month Year]],0))</f>
        <v>31</v>
      </c>
      <c r="I98" s="106"/>
      <c r="J98" s="106"/>
      <c r="K98" s="106"/>
      <c r="L98" s="106"/>
      <c r="M98" s="106"/>
      <c r="N98" s="106"/>
      <c r="O98" s="106"/>
      <c r="P98" s="106"/>
      <c r="Q98" s="106"/>
      <c r="R98" s="106">
        <f t="shared" si="2"/>
        <v>6000</v>
      </c>
      <c r="S98" s="1">
        <f>SUM(MC[[#This Row],[Blk1]:[Blk8]])</f>
        <v>6000</v>
      </c>
      <c r="T98" s="106"/>
      <c r="U98" s="106"/>
      <c r="V98" s="106"/>
      <c r="W98" s="106"/>
      <c r="X98" s="106"/>
      <c r="Y98" s="106"/>
      <c r="Z98" s="106"/>
    </row>
    <row r="99" spans="1:26" x14ac:dyDescent="0.25">
      <c r="A99" s="106">
        <v>97</v>
      </c>
      <c r="B99" s="103">
        <f t="shared" si="3"/>
        <v>45296</v>
      </c>
      <c r="C99" s="109">
        <f>YEAR(MC[[#This Row],[Date]])+IF(MONTH(MC[[#This Row],[Date]])&gt;=4,1,0)</f>
        <v>2024</v>
      </c>
      <c r="D99" s="110">
        <f>YEAR(MC[[#This Row],[Date]])</f>
        <v>2024</v>
      </c>
      <c r="E99" s="101" t="s">
        <v>73</v>
      </c>
      <c r="F99" s="101" t="s">
        <v>73</v>
      </c>
      <c r="G99" s="102" t="str">
        <f>TEXT(MC[[#This Row],[Date]],"mmm-yy")</f>
        <v>Jan-24</v>
      </c>
      <c r="H99" s="102">
        <f>DAY(EOMONTH(MC[[#This Row],[Month Year]],0))</f>
        <v>31</v>
      </c>
      <c r="I99" s="106"/>
      <c r="J99" s="106"/>
      <c r="K99" s="106"/>
      <c r="L99" s="106"/>
      <c r="M99" s="106"/>
      <c r="N99" s="106"/>
      <c r="O99" s="106"/>
      <c r="P99" s="106"/>
      <c r="Q99" s="106"/>
      <c r="R99" s="106">
        <f t="shared" si="2"/>
        <v>6000</v>
      </c>
      <c r="S99" s="1">
        <f>SUM(MC[[#This Row],[Blk1]:[Blk8]])</f>
        <v>6000</v>
      </c>
      <c r="T99" s="106"/>
      <c r="U99" s="106"/>
      <c r="V99" s="106"/>
      <c r="W99" s="106"/>
      <c r="X99" s="106"/>
      <c r="Y99" s="106"/>
      <c r="Z99" s="106"/>
    </row>
    <row r="100" spans="1:26" x14ac:dyDescent="0.25">
      <c r="A100" s="106">
        <v>98</v>
      </c>
      <c r="B100" s="103">
        <f t="shared" si="3"/>
        <v>45297</v>
      </c>
      <c r="C100" s="109">
        <f>YEAR(MC[[#This Row],[Date]])+IF(MONTH(MC[[#This Row],[Date]])&gt;=4,1,0)</f>
        <v>2024</v>
      </c>
      <c r="D100" s="110">
        <f>YEAR(MC[[#This Row],[Date]])</f>
        <v>2024</v>
      </c>
      <c r="E100" s="101" t="s">
        <v>73</v>
      </c>
      <c r="F100" s="101" t="s">
        <v>73</v>
      </c>
      <c r="G100" s="102" t="str">
        <f>TEXT(MC[[#This Row],[Date]],"mmm-yy")</f>
        <v>Jan-24</v>
      </c>
      <c r="H100" s="102">
        <f>DAY(EOMONTH(MC[[#This Row],[Month Year]],0))</f>
        <v>31</v>
      </c>
      <c r="I100" s="106"/>
      <c r="J100" s="106"/>
      <c r="K100" s="106"/>
      <c r="L100" s="106"/>
      <c r="M100" s="106"/>
      <c r="N100" s="106"/>
      <c r="O100" s="106"/>
      <c r="P100" s="106"/>
      <c r="Q100" s="106"/>
      <c r="R100" s="106">
        <f t="shared" si="2"/>
        <v>6000</v>
      </c>
      <c r="S100" s="1">
        <f>SUM(MC[[#This Row],[Blk1]:[Blk8]])</f>
        <v>6000</v>
      </c>
      <c r="T100" s="106"/>
      <c r="U100" s="106"/>
      <c r="V100" s="106"/>
      <c r="W100" s="106"/>
      <c r="X100" s="106"/>
      <c r="Y100" s="106"/>
      <c r="Z100" s="106"/>
    </row>
    <row r="101" spans="1:26" x14ac:dyDescent="0.25">
      <c r="A101" s="106">
        <v>99</v>
      </c>
      <c r="B101" s="103">
        <f t="shared" si="3"/>
        <v>45298</v>
      </c>
      <c r="C101" s="109">
        <f>YEAR(MC[[#This Row],[Date]])+IF(MONTH(MC[[#This Row],[Date]])&gt;=4,1,0)</f>
        <v>2024</v>
      </c>
      <c r="D101" s="110">
        <f>YEAR(MC[[#This Row],[Date]])</f>
        <v>2024</v>
      </c>
      <c r="E101" s="101" t="s">
        <v>73</v>
      </c>
      <c r="F101" s="101" t="s">
        <v>73</v>
      </c>
      <c r="G101" s="102" t="str">
        <f>TEXT(MC[[#This Row],[Date]],"mmm-yy")</f>
        <v>Jan-24</v>
      </c>
      <c r="H101" s="102">
        <f>DAY(EOMONTH(MC[[#This Row],[Month Year]],0))</f>
        <v>31</v>
      </c>
      <c r="I101" s="106"/>
      <c r="J101" s="106"/>
      <c r="K101" s="106"/>
      <c r="L101" s="106"/>
      <c r="M101" s="106"/>
      <c r="N101" s="106"/>
      <c r="O101" s="106"/>
      <c r="P101" s="106"/>
      <c r="Q101" s="106"/>
      <c r="R101" s="106">
        <f t="shared" si="2"/>
        <v>6000</v>
      </c>
      <c r="S101" s="1">
        <f>SUM(MC[[#This Row],[Blk1]:[Blk8]])</f>
        <v>6000</v>
      </c>
      <c r="T101" s="106"/>
      <c r="U101" s="106"/>
      <c r="V101" s="106"/>
      <c r="W101" s="106"/>
      <c r="X101" s="106"/>
      <c r="Y101" s="106"/>
      <c r="Z101" s="106"/>
    </row>
    <row r="102" spans="1:26" x14ac:dyDescent="0.25">
      <c r="A102" s="106">
        <v>100</v>
      </c>
      <c r="B102" s="103">
        <f t="shared" si="3"/>
        <v>45299</v>
      </c>
      <c r="C102" s="109">
        <f>YEAR(MC[[#This Row],[Date]])+IF(MONTH(MC[[#This Row],[Date]])&gt;=4,1,0)</f>
        <v>2024</v>
      </c>
      <c r="D102" s="110">
        <f>YEAR(MC[[#This Row],[Date]])</f>
        <v>2024</v>
      </c>
      <c r="E102" s="101" t="s">
        <v>73</v>
      </c>
      <c r="F102" s="101" t="s">
        <v>73</v>
      </c>
      <c r="G102" s="102" t="str">
        <f>TEXT(MC[[#This Row],[Date]],"mmm-yy")</f>
        <v>Jan-24</v>
      </c>
      <c r="H102" s="102">
        <f>DAY(EOMONTH(MC[[#This Row],[Month Year]],0))</f>
        <v>31</v>
      </c>
      <c r="I102" s="106"/>
      <c r="J102" s="106"/>
      <c r="K102" s="106"/>
      <c r="L102" s="106"/>
      <c r="M102" s="106"/>
      <c r="N102" s="106"/>
      <c r="O102" s="106"/>
      <c r="P102" s="106"/>
      <c r="Q102" s="106"/>
      <c r="R102" s="106">
        <f t="shared" si="2"/>
        <v>6000</v>
      </c>
      <c r="S102" s="1">
        <f>SUM(MC[[#This Row],[Blk1]:[Blk8]])</f>
        <v>6000</v>
      </c>
      <c r="T102" s="106"/>
      <c r="U102" s="106"/>
      <c r="V102" s="106"/>
      <c r="W102" s="106"/>
      <c r="X102" s="106"/>
      <c r="Y102" s="106"/>
      <c r="Z102" s="106"/>
    </row>
    <row r="103" spans="1:26" x14ac:dyDescent="0.25">
      <c r="A103" s="106">
        <v>101</v>
      </c>
      <c r="B103" s="103">
        <f t="shared" si="3"/>
        <v>45300</v>
      </c>
      <c r="C103" s="109">
        <f>YEAR(MC[[#This Row],[Date]])+IF(MONTH(MC[[#This Row],[Date]])&gt;=4,1,0)</f>
        <v>2024</v>
      </c>
      <c r="D103" s="110">
        <f>YEAR(MC[[#This Row],[Date]])</f>
        <v>2024</v>
      </c>
      <c r="E103" s="101" t="s">
        <v>73</v>
      </c>
      <c r="F103" s="101" t="s">
        <v>73</v>
      </c>
      <c r="G103" s="102" t="str">
        <f>TEXT(MC[[#This Row],[Date]],"mmm-yy")</f>
        <v>Jan-24</v>
      </c>
      <c r="H103" s="102">
        <f>DAY(EOMONTH(MC[[#This Row],[Month Year]],0))</f>
        <v>31</v>
      </c>
      <c r="I103" s="106"/>
      <c r="J103" s="106"/>
      <c r="K103" s="106"/>
      <c r="L103" s="106"/>
      <c r="M103" s="106"/>
      <c r="N103" s="106"/>
      <c r="O103" s="106"/>
      <c r="P103" s="106"/>
      <c r="Q103" s="106"/>
      <c r="R103" s="106">
        <f t="shared" si="2"/>
        <v>6000</v>
      </c>
      <c r="S103" s="1">
        <f>SUM(MC[[#This Row],[Blk1]:[Blk8]])</f>
        <v>6000</v>
      </c>
      <c r="T103" s="106"/>
      <c r="U103" s="106"/>
      <c r="V103" s="106"/>
      <c r="W103" s="106"/>
      <c r="X103" s="106"/>
      <c r="Y103" s="106"/>
      <c r="Z103" s="106"/>
    </row>
    <row r="104" spans="1:26" x14ac:dyDescent="0.25">
      <c r="A104" s="106">
        <v>102</v>
      </c>
      <c r="B104" s="103">
        <f t="shared" si="3"/>
        <v>45301</v>
      </c>
      <c r="C104" s="109">
        <f>YEAR(MC[[#This Row],[Date]])+IF(MONTH(MC[[#This Row],[Date]])&gt;=4,1,0)</f>
        <v>2024</v>
      </c>
      <c r="D104" s="110">
        <f>YEAR(MC[[#This Row],[Date]])</f>
        <v>2024</v>
      </c>
      <c r="E104" s="101" t="s">
        <v>73</v>
      </c>
      <c r="F104" s="101" t="s">
        <v>73</v>
      </c>
      <c r="G104" s="102" t="str">
        <f>TEXT(MC[[#This Row],[Date]],"mmm-yy")</f>
        <v>Jan-24</v>
      </c>
      <c r="H104" s="102">
        <f>DAY(EOMONTH(MC[[#This Row],[Month Year]],0))</f>
        <v>31</v>
      </c>
      <c r="I104" s="106"/>
      <c r="J104" s="106"/>
      <c r="K104" s="106"/>
      <c r="L104" s="106"/>
      <c r="M104" s="106"/>
      <c r="N104" s="106"/>
      <c r="O104" s="106"/>
      <c r="P104" s="106"/>
      <c r="Q104" s="106"/>
      <c r="R104" s="106">
        <f t="shared" si="2"/>
        <v>6000</v>
      </c>
      <c r="S104" s="1">
        <f>SUM(MC[[#This Row],[Blk1]:[Blk8]])</f>
        <v>6000</v>
      </c>
      <c r="T104" s="106"/>
      <c r="U104" s="106"/>
      <c r="V104" s="106"/>
      <c r="W104" s="106"/>
      <c r="X104" s="106"/>
      <c r="Y104" s="106"/>
      <c r="Z104" s="106"/>
    </row>
    <row r="105" spans="1:26" x14ac:dyDescent="0.25">
      <c r="A105" s="106">
        <v>103</v>
      </c>
      <c r="B105" s="103">
        <f t="shared" si="3"/>
        <v>45302</v>
      </c>
      <c r="C105" s="109">
        <f>YEAR(MC[[#This Row],[Date]])+IF(MONTH(MC[[#This Row],[Date]])&gt;=4,1,0)</f>
        <v>2024</v>
      </c>
      <c r="D105" s="110">
        <f>YEAR(MC[[#This Row],[Date]])</f>
        <v>2024</v>
      </c>
      <c r="E105" s="101" t="s">
        <v>73</v>
      </c>
      <c r="F105" s="101" t="s">
        <v>73</v>
      </c>
      <c r="G105" s="102" t="str">
        <f>TEXT(MC[[#This Row],[Date]],"mmm-yy")</f>
        <v>Jan-24</v>
      </c>
      <c r="H105" s="102">
        <f>DAY(EOMONTH(MC[[#This Row],[Month Year]],0))</f>
        <v>31</v>
      </c>
      <c r="I105" s="106"/>
      <c r="J105" s="106"/>
      <c r="K105" s="106"/>
      <c r="L105" s="106"/>
      <c r="M105" s="106"/>
      <c r="N105" s="106"/>
      <c r="O105" s="106"/>
      <c r="P105" s="106"/>
      <c r="Q105" s="106"/>
      <c r="R105" s="106">
        <f t="shared" si="2"/>
        <v>6000</v>
      </c>
      <c r="S105" s="1">
        <f>SUM(MC[[#This Row],[Blk1]:[Blk8]])</f>
        <v>6000</v>
      </c>
      <c r="T105" s="106"/>
      <c r="U105" s="106"/>
      <c r="V105" s="107"/>
      <c r="W105" s="107"/>
      <c r="X105" s="106"/>
      <c r="Y105" s="106"/>
      <c r="Z105" s="106"/>
    </row>
    <row r="106" spans="1:26" x14ac:dyDescent="0.25">
      <c r="A106" s="106">
        <v>104</v>
      </c>
      <c r="B106" s="103">
        <f t="shared" si="3"/>
        <v>45303</v>
      </c>
      <c r="C106" s="109">
        <f>YEAR(MC[[#This Row],[Date]])+IF(MONTH(MC[[#This Row],[Date]])&gt;=4,1,0)</f>
        <v>2024</v>
      </c>
      <c r="D106" s="110">
        <f>YEAR(MC[[#This Row],[Date]])</f>
        <v>2024</v>
      </c>
      <c r="E106" s="101" t="s">
        <v>73</v>
      </c>
      <c r="F106" s="101" t="s">
        <v>73</v>
      </c>
      <c r="G106" s="102" t="str">
        <f>TEXT(MC[[#This Row],[Date]],"mmm-yy")</f>
        <v>Jan-24</v>
      </c>
      <c r="H106" s="102">
        <f>DAY(EOMONTH(MC[[#This Row],[Month Year]],0))</f>
        <v>31</v>
      </c>
      <c r="I106" s="106"/>
      <c r="J106" s="106"/>
      <c r="K106" s="106"/>
      <c r="L106" s="106"/>
      <c r="M106" s="106"/>
      <c r="N106" s="106"/>
      <c r="O106" s="106"/>
      <c r="P106" s="106"/>
      <c r="Q106" s="106"/>
      <c r="R106" s="106">
        <f t="shared" si="2"/>
        <v>6000</v>
      </c>
      <c r="S106" s="1">
        <f>SUM(MC[[#This Row],[Blk1]:[Blk8]])</f>
        <v>6000</v>
      </c>
      <c r="T106" s="107"/>
      <c r="U106" s="107"/>
      <c r="V106" s="107"/>
      <c r="W106" s="107"/>
      <c r="X106" s="106"/>
      <c r="Y106" s="106"/>
      <c r="Z106" s="106"/>
    </row>
    <row r="107" spans="1:26" x14ac:dyDescent="0.25">
      <c r="A107" s="106">
        <v>105</v>
      </c>
      <c r="B107" s="103">
        <f t="shared" si="3"/>
        <v>45304</v>
      </c>
      <c r="C107" s="109">
        <f>YEAR(MC[[#This Row],[Date]])+IF(MONTH(MC[[#This Row],[Date]])&gt;=4,1,0)</f>
        <v>2024</v>
      </c>
      <c r="D107" s="110">
        <f>YEAR(MC[[#This Row],[Date]])</f>
        <v>2024</v>
      </c>
      <c r="E107" s="101" t="s">
        <v>73</v>
      </c>
      <c r="F107" s="101" t="s">
        <v>73</v>
      </c>
      <c r="G107" s="102" t="str">
        <f>TEXT(MC[[#This Row],[Date]],"mmm-yy")</f>
        <v>Jan-24</v>
      </c>
      <c r="H107" s="102">
        <f>DAY(EOMONTH(MC[[#This Row],[Month Year]],0))</f>
        <v>31</v>
      </c>
      <c r="I107" s="106"/>
      <c r="J107" s="106"/>
      <c r="K107" s="106"/>
      <c r="L107" s="106"/>
      <c r="M107" s="106"/>
      <c r="N107" s="106"/>
      <c r="O107" s="106"/>
      <c r="P107" s="106"/>
      <c r="Q107" s="106"/>
      <c r="R107" s="106">
        <f t="shared" si="2"/>
        <v>6000</v>
      </c>
      <c r="S107" s="1">
        <f>SUM(MC[[#This Row],[Blk1]:[Blk8]])</f>
        <v>6000</v>
      </c>
      <c r="T107" s="107"/>
      <c r="U107" s="107"/>
      <c r="V107" s="106"/>
      <c r="W107" s="106"/>
      <c r="X107" s="106"/>
      <c r="Y107" s="106"/>
      <c r="Z107" s="106"/>
    </row>
    <row r="108" spans="1:26" x14ac:dyDescent="0.25">
      <c r="A108" s="106">
        <v>106</v>
      </c>
      <c r="B108" s="103">
        <f t="shared" si="3"/>
        <v>45305</v>
      </c>
      <c r="C108" s="109">
        <f>YEAR(MC[[#This Row],[Date]])+IF(MONTH(MC[[#This Row],[Date]])&gt;=4,1,0)</f>
        <v>2024</v>
      </c>
      <c r="D108" s="110">
        <f>YEAR(MC[[#This Row],[Date]])</f>
        <v>2024</v>
      </c>
      <c r="E108" s="101" t="s">
        <v>73</v>
      </c>
      <c r="F108" s="101" t="s">
        <v>73</v>
      </c>
      <c r="G108" s="102" t="str">
        <f>TEXT(MC[[#This Row],[Date]],"mmm-yy")</f>
        <v>Jan-24</v>
      </c>
      <c r="H108" s="102">
        <f>DAY(EOMONTH(MC[[#This Row],[Month Year]],0))</f>
        <v>31</v>
      </c>
      <c r="I108" s="106"/>
      <c r="J108" s="106"/>
      <c r="K108" s="106"/>
      <c r="L108" s="106"/>
      <c r="M108" s="106"/>
      <c r="N108" s="106"/>
      <c r="O108" s="106"/>
      <c r="P108" s="106"/>
      <c r="Q108" s="106"/>
      <c r="R108" s="106">
        <f t="shared" si="2"/>
        <v>6000</v>
      </c>
      <c r="S108" s="1">
        <f>SUM(MC[[#This Row],[Blk1]:[Blk8]])</f>
        <v>6000</v>
      </c>
      <c r="T108" s="106"/>
      <c r="U108" s="106"/>
      <c r="V108" s="106"/>
      <c r="W108" s="106"/>
      <c r="X108" s="106"/>
      <c r="Y108" s="106"/>
      <c r="Z108" s="106"/>
    </row>
    <row r="109" spans="1:26" x14ac:dyDescent="0.25">
      <c r="A109" s="106">
        <v>107</v>
      </c>
      <c r="B109" s="103">
        <f t="shared" si="3"/>
        <v>45306</v>
      </c>
      <c r="C109" s="109">
        <f>YEAR(MC[[#This Row],[Date]])+IF(MONTH(MC[[#This Row],[Date]])&gt;=4,1,0)</f>
        <v>2024</v>
      </c>
      <c r="D109" s="110">
        <f>YEAR(MC[[#This Row],[Date]])</f>
        <v>2024</v>
      </c>
      <c r="E109" s="101" t="s">
        <v>73</v>
      </c>
      <c r="F109" s="101" t="s">
        <v>73</v>
      </c>
      <c r="G109" s="102" t="str">
        <f>TEXT(MC[[#This Row],[Date]],"mmm-yy")</f>
        <v>Jan-24</v>
      </c>
      <c r="H109" s="102">
        <f>DAY(EOMONTH(MC[[#This Row],[Month Year]],0))</f>
        <v>31</v>
      </c>
      <c r="I109" s="106"/>
      <c r="J109" s="106"/>
      <c r="K109" s="106"/>
      <c r="L109" s="106"/>
      <c r="M109" s="106"/>
      <c r="N109" s="106"/>
      <c r="O109" s="106"/>
      <c r="P109" s="106"/>
      <c r="Q109" s="106"/>
      <c r="R109" s="106">
        <f t="shared" si="2"/>
        <v>6000</v>
      </c>
      <c r="S109" s="1">
        <f>SUM(MC[[#This Row],[Blk1]:[Blk8]])</f>
        <v>6000</v>
      </c>
      <c r="T109" s="106"/>
      <c r="U109" s="106"/>
      <c r="V109" s="106"/>
      <c r="W109" s="106"/>
      <c r="X109" s="106"/>
      <c r="Y109" s="106"/>
      <c r="Z109" s="106"/>
    </row>
    <row r="110" spans="1:26" x14ac:dyDescent="0.25">
      <c r="A110" s="106">
        <v>108</v>
      </c>
      <c r="B110" s="103">
        <f t="shared" si="3"/>
        <v>45307</v>
      </c>
      <c r="C110" s="109">
        <f>YEAR(MC[[#This Row],[Date]])+IF(MONTH(MC[[#This Row],[Date]])&gt;=4,1,0)</f>
        <v>2024</v>
      </c>
      <c r="D110" s="110">
        <f>YEAR(MC[[#This Row],[Date]])</f>
        <v>2024</v>
      </c>
      <c r="E110" s="101" t="s">
        <v>73</v>
      </c>
      <c r="F110" s="101" t="s">
        <v>73</v>
      </c>
      <c r="G110" s="102" t="str">
        <f>TEXT(MC[[#This Row],[Date]],"mmm-yy")</f>
        <v>Jan-24</v>
      </c>
      <c r="H110" s="102">
        <f>DAY(EOMONTH(MC[[#This Row],[Month Year]],0))</f>
        <v>31</v>
      </c>
      <c r="I110" s="106"/>
      <c r="J110" s="106"/>
      <c r="K110" s="106"/>
      <c r="L110" s="106"/>
      <c r="M110" s="106"/>
      <c r="N110" s="106"/>
      <c r="O110" s="106"/>
      <c r="P110" s="106"/>
      <c r="Q110" s="106"/>
      <c r="R110" s="106">
        <f t="shared" si="2"/>
        <v>6000</v>
      </c>
      <c r="S110" s="1">
        <f>SUM(MC[[#This Row],[Blk1]:[Blk8]])</f>
        <v>6000</v>
      </c>
      <c r="T110" s="106"/>
      <c r="U110" s="106"/>
      <c r="V110" s="107"/>
      <c r="W110" s="107"/>
      <c r="X110" s="106"/>
      <c r="Y110" s="106"/>
      <c r="Z110" s="106"/>
    </row>
    <row r="111" spans="1:26" x14ac:dyDescent="0.25">
      <c r="A111" s="106">
        <v>109</v>
      </c>
      <c r="B111" s="103">
        <f t="shared" si="3"/>
        <v>45308</v>
      </c>
      <c r="C111" s="109">
        <f>YEAR(MC[[#This Row],[Date]])+IF(MONTH(MC[[#This Row],[Date]])&gt;=4,1,0)</f>
        <v>2024</v>
      </c>
      <c r="D111" s="110">
        <f>YEAR(MC[[#This Row],[Date]])</f>
        <v>2024</v>
      </c>
      <c r="E111" s="101" t="s">
        <v>73</v>
      </c>
      <c r="F111" s="101" t="s">
        <v>73</v>
      </c>
      <c r="G111" s="102" t="str">
        <f>TEXT(MC[[#This Row],[Date]],"mmm-yy")</f>
        <v>Jan-24</v>
      </c>
      <c r="H111" s="102">
        <f>DAY(EOMONTH(MC[[#This Row],[Month Year]],0))</f>
        <v>31</v>
      </c>
      <c r="I111" s="106"/>
      <c r="J111" s="106"/>
      <c r="K111" s="106"/>
      <c r="L111" s="106"/>
      <c r="M111" s="106"/>
      <c r="N111" s="106"/>
      <c r="O111" s="106"/>
      <c r="P111" s="106"/>
      <c r="Q111" s="106"/>
      <c r="R111" s="106">
        <f t="shared" si="2"/>
        <v>6000</v>
      </c>
      <c r="S111" s="1">
        <f>SUM(MC[[#This Row],[Blk1]:[Blk8]])</f>
        <v>6000</v>
      </c>
      <c r="T111" s="107"/>
      <c r="U111" s="107"/>
      <c r="V111" s="107"/>
      <c r="W111" s="107"/>
      <c r="X111" s="106"/>
      <c r="Y111" s="106"/>
      <c r="Z111" s="106"/>
    </row>
    <row r="112" spans="1:26" x14ac:dyDescent="0.25">
      <c r="A112" s="106">
        <v>110</v>
      </c>
      <c r="B112" s="103">
        <f t="shared" si="3"/>
        <v>45309</v>
      </c>
      <c r="C112" s="109">
        <f>YEAR(MC[[#This Row],[Date]])+IF(MONTH(MC[[#This Row],[Date]])&gt;=4,1,0)</f>
        <v>2024</v>
      </c>
      <c r="D112" s="110">
        <f>YEAR(MC[[#This Row],[Date]])</f>
        <v>2024</v>
      </c>
      <c r="E112" s="101" t="s">
        <v>73</v>
      </c>
      <c r="F112" s="101" t="s">
        <v>73</v>
      </c>
      <c r="G112" s="102" t="str">
        <f>TEXT(MC[[#This Row],[Date]],"mmm-yy")</f>
        <v>Jan-24</v>
      </c>
      <c r="H112" s="102">
        <f>DAY(EOMONTH(MC[[#This Row],[Month Year]],0))</f>
        <v>31</v>
      </c>
      <c r="I112" s="106"/>
      <c r="J112" s="106"/>
      <c r="K112" s="106"/>
      <c r="L112" s="106"/>
      <c r="M112" s="106"/>
      <c r="N112" s="106"/>
      <c r="O112" s="106"/>
      <c r="P112" s="106"/>
      <c r="Q112" s="106"/>
      <c r="R112" s="106">
        <f t="shared" si="2"/>
        <v>6000</v>
      </c>
      <c r="S112" s="1">
        <f>SUM(MC[[#This Row],[Blk1]:[Blk8]])</f>
        <v>6000</v>
      </c>
      <c r="T112" s="107"/>
      <c r="U112" s="107"/>
      <c r="V112" s="107"/>
      <c r="W112" s="107"/>
      <c r="X112" s="106"/>
      <c r="Y112" s="106"/>
      <c r="Z112" s="106"/>
    </row>
    <row r="113" spans="1:26" x14ac:dyDescent="0.25">
      <c r="A113" s="106">
        <v>111</v>
      </c>
      <c r="B113" s="103">
        <f t="shared" si="3"/>
        <v>45310</v>
      </c>
      <c r="C113" s="109">
        <f>YEAR(MC[[#This Row],[Date]])+IF(MONTH(MC[[#This Row],[Date]])&gt;=4,1,0)</f>
        <v>2024</v>
      </c>
      <c r="D113" s="110">
        <f>YEAR(MC[[#This Row],[Date]])</f>
        <v>2024</v>
      </c>
      <c r="E113" s="101" t="s">
        <v>73</v>
      </c>
      <c r="F113" s="101" t="s">
        <v>73</v>
      </c>
      <c r="G113" s="102" t="str">
        <f>TEXT(MC[[#This Row],[Date]],"mmm-yy")</f>
        <v>Jan-24</v>
      </c>
      <c r="H113" s="102">
        <f>DAY(EOMONTH(MC[[#This Row],[Month Year]],0))</f>
        <v>31</v>
      </c>
      <c r="I113" s="106"/>
      <c r="J113" s="106"/>
      <c r="K113" s="106"/>
      <c r="L113" s="106"/>
      <c r="M113" s="106"/>
      <c r="N113" s="106"/>
      <c r="O113" s="106"/>
      <c r="P113" s="106"/>
      <c r="Q113" s="106"/>
      <c r="R113" s="106">
        <f t="shared" si="2"/>
        <v>6000</v>
      </c>
      <c r="S113" s="1">
        <f>SUM(MC[[#This Row],[Blk1]:[Blk8]])</f>
        <v>6000</v>
      </c>
      <c r="T113" s="106"/>
      <c r="U113" s="106"/>
      <c r="V113" s="107"/>
      <c r="W113" s="107"/>
      <c r="X113" s="106"/>
      <c r="Y113" s="106"/>
      <c r="Z113" s="106"/>
    </row>
    <row r="114" spans="1:26" x14ac:dyDescent="0.25">
      <c r="A114" s="106">
        <v>112</v>
      </c>
      <c r="B114" s="103">
        <f t="shared" si="3"/>
        <v>45311</v>
      </c>
      <c r="C114" s="109">
        <f>YEAR(MC[[#This Row],[Date]])+IF(MONTH(MC[[#This Row],[Date]])&gt;=4,1,0)</f>
        <v>2024</v>
      </c>
      <c r="D114" s="110">
        <f>YEAR(MC[[#This Row],[Date]])</f>
        <v>2024</v>
      </c>
      <c r="E114" s="101" t="s">
        <v>73</v>
      </c>
      <c r="F114" s="101" t="s">
        <v>73</v>
      </c>
      <c r="G114" s="102" t="str">
        <f>TEXT(MC[[#This Row],[Date]],"mmm-yy")</f>
        <v>Jan-24</v>
      </c>
      <c r="H114" s="102">
        <f>DAY(EOMONTH(MC[[#This Row],[Month Year]],0))</f>
        <v>31</v>
      </c>
      <c r="I114" s="106"/>
      <c r="J114" s="106"/>
      <c r="K114" s="106"/>
      <c r="L114" s="106"/>
      <c r="M114" s="106"/>
      <c r="N114" s="106"/>
      <c r="O114" s="106"/>
      <c r="P114" s="106"/>
      <c r="Q114" s="106"/>
      <c r="R114" s="106">
        <f t="shared" si="2"/>
        <v>6000</v>
      </c>
      <c r="S114" s="1">
        <f>SUM(MC[[#This Row],[Blk1]:[Blk8]])</f>
        <v>6000</v>
      </c>
      <c r="T114" s="107"/>
      <c r="U114" s="107"/>
      <c r="V114" s="107"/>
      <c r="W114" s="107"/>
      <c r="X114" s="106"/>
      <c r="Y114" s="106"/>
      <c r="Z114" s="106"/>
    </row>
    <row r="115" spans="1:26" x14ac:dyDescent="0.25">
      <c r="A115" s="106">
        <v>113</v>
      </c>
      <c r="B115" s="103">
        <f t="shared" si="3"/>
        <v>45312</v>
      </c>
      <c r="C115" s="109">
        <f>YEAR(MC[[#This Row],[Date]])+IF(MONTH(MC[[#This Row],[Date]])&gt;=4,1,0)</f>
        <v>2024</v>
      </c>
      <c r="D115" s="110">
        <f>YEAR(MC[[#This Row],[Date]])</f>
        <v>2024</v>
      </c>
      <c r="E115" s="101" t="s">
        <v>73</v>
      </c>
      <c r="F115" s="101" t="s">
        <v>73</v>
      </c>
      <c r="G115" s="102" t="str">
        <f>TEXT(MC[[#This Row],[Date]],"mmm-yy")</f>
        <v>Jan-24</v>
      </c>
      <c r="H115" s="102">
        <f>DAY(EOMONTH(MC[[#This Row],[Month Year]],0))</f>
        <v>31</v>
      </c>
      <c r="I115" s="106"/>
      <c r="J115" s="106"/>
      <c r="K115" s="106"/>
      <c r="L115" s="106"/>
      <c r="M115" s="106"/>
      <c r="N115" s="106"/>
      <c r="O115" s="106"/>
      <c r="P115" s="106"/>
      <c r="Q115" s="106"/>
      <c r="R115" s="106">
        <f t="shared" si="2"/>
        <v>6000</v>
      </c>
      <c r="S115" s="1">
        <f>SUM(MC[[#This Row],[Blk1]:[Blk8]])</f>
        <v>6000</v>
      </c>
      <c r="T115" s="107"/>
      <c r="U115" s="107"/>
      <c r="V115" s="107"/>
      <c r="W115" s="107"/>
      <c r="X115" s="106"/>
      <c r="Y115" s="106"/>
      <c r="Z115" s="106"/>
    </row>
    <row r="116" spans="1:26" x14ac:dyDescent="0.25">
      <c r="A116" s="106">
        <v>114</v>
      </c>
      <c r="B116" s="103">
        <f t="shared" si="3"/>
        <v>45313</v>
      </c>
      <c r="C116" s="109">
        <f>YEAR(MC[[#This Row],[Date]])+IF(MONTH(MC[[#This Row],[Date]])&gt;=4,1,0)</f>
        <v>2024</v>
      </c>
      <c r="D116" s="110">
        <f>YEAR(MC[[#This Row],[Date]])</f>
        <v>2024</v>
      </c>
      <c r="E116" s="101" t="s">
        <v>73</v>
      </c>
      <c r="F116" s="101" t="s">
        <v>73</v>
      </c>
      <c r="G116" s="102" t="str">
        <f>TEXT(MC[[#This Row],[Date]],"mmm-yy")</f>
        <v>Jan-24</v>
      </c>
      <c r="H116" s="102">
        <f>DAY(EOMONTH(MC[[#This Row],[Month Year]],0))</f>
        <v>31</v>
      </c>
      <c r="I116" s="106"/>
      <c r="J116" s="106"/>
      <c r="K116" s="106"/>
      <c r="L116" s="106"/>
      <c r="M116" s="106"/>
      <c r="N116" s="106"/>
      <c r="O116" s="106"/>
      <c r="P116" s="106"/>
      <c r="Q116" s="106"/>
      <c r="R116" s="106">
        <f t="shared" si="2"/>
        <v>6000</v>
      </c>
      <c r="S116" s="1">
        <f>SUM(MC[[#This Row],[Blk1]:[Blk8]])</f>
        <v>6000</v>
      </c>
      <c r="T116" s="107"/>
      <c r="U116" s="107"/>
      <c r="V116" s="107"/>
      <c r="W116" s="107"/>
      <c r="X116" s="106"/>
      <c r="Y116" s="106"/>
      <c r="Z116" s="106"/>
    </row>
    <row r="117" spans="1:26" x14ac:dyDescent="0.25">
      <c r="A117" s="106">
        <v>115</v>
      </c>
      <c r="B117" s="103">
        <f t="shared" si="3"/>
        <v>45314</v>
      </c>
      <c r="C117" s="109">
        <f>YEAR(MC[[#This Row],[Date]])+IF(MONTH(MC[[#This Row],[Date]])&gt;=4,1,0)</f>
        <v>2024</v>
      </c>
      <c r="D117" s="110">
        <f>YEAR(MC[[#This Row],[Date]])</f>
        <v>2024</v>
      </c>
      <c r="E117" s="101" t="s">
        <v>73</v>
      </c>
      <c r="F117" s="101" t="s">
        <v>73</v>
      </c>
      <c r="G117" s="102" t="str">
        <f>TEXT(MC[[#This Row],[Date]],"mmm-yy")</f>
        <v>Jan-24</v>
      </c>
      <c r="H117" s="102">
        <f>DAY(EOMONTH(MC[[#This Row],[Month Year]],0))</f>
        <v>31</v>
      </c>
      <c r="I117" s="106"/>
      <c r="J117" s="106"/>
      <c r="K117" s="106"/>
      <c r="L117" s="106"/>
      <c r="M117" s="106"/>
      <c r="N117" s="106"/>
      <c r="O117" s="106"/>
      <c r="P117" s="106"/>
      <c r="Q117" s="106"/>
      <c r="R117" s="106">
        <f t="shared" si="2"/>
        <v>6000</v>
      </c>
      <c r="S117" s="1">
        <f>SUM(MC[[#This Row],[Blk1]:[Blk8]])</f>
        <v>6000</v>
      </c>
      <c r="T117" s="107"/>
      <c r="U117" s="107"/>
      <c r="V117" s="106"/>
      <c r="W117" s="106"/>
      <c r="X117" s="106"/>
      <c r="Y117" s="106"/>
      <c r="Z117" s="106"/>
    </row>
    <row r="118" spans="1:26" x14ac:dyDescent="0.25">
      <c r="A118" s="106">
        <v>116</v>
      </c>
      <c r="B118" s="103">
        <f t="shared" si="3"/>
        <v>45315</v>
      </c>
      <c r="C118" s="109">
        <f>YEAR(MC[[#This Row],[Date]])+IF(MONTH(MC[[#This Row],[Date]])&gt;=4,1,0)</f>
        <v>2024</v>
      </c>
      <c r="D118" s="110">
        <f>YEAR(MC[[#This Row],[Date]])</f>
        <v>2024</v>
      </c>
      <c r="E118" s="101" t="s">
        <v>73</v>
      </c>
      <c r="F118" s="101" t="s">
        <v>73</v>
      </c>
      <c r="G118" s="102" t="str">
        <f>TEXT(MC[[#This Row],[Date]],"mmm-yy")</f>
        <v>Jan-24</v>
      </c>
      <c r="H118" s="102">
        <f>DAY(EOMONTH(MC[[#This Row],[Month Year]],0))</f>
        <v>31</v>
      </c>
      <c r="I118" s="106"/>
      <c r="J118" s="106"/>
      <c r="K118" s="106"/>
      <c r="L118" s="106"/>
      <c r="M118" s="106"/>
      <c r="N118" s="106"/>
      <c r="O118" s="106"/>
      <c r="P118" s="106"/>
      <c r="Q118" s="106"/>
      <c r="R118" s="106">
        <f t="shared" si="2"/>
        <v>6000</v>
      </c>
      <c r="S118" s="1">
        <f>SUM(MC[[#This Row],[Blk1]:[Blk8]])</f>
        <v>6000</v>
      </c>
      <c r="T118" s="106"/>
      <c r="U118" s="106"/>
      <c r="V118" s="106"/>
      <c r="W118" s="106"/>
      <c r="X118" s="106"/>
      <c r="Y118" s="106"/>
      <c r="Z118" s="106"/>
    </row>
    <row r="119" spans="1:26" x14ac:dyDescent="0.25">
      <c r="A119" s="106">
        <v>117</v>
      </c>
      <c r="B119" s="103">
        <f t="shared" si="3"/>
        <v>45316</v>
      </c>
      <c r="C119" s="109">
        <f>YEAR(MC[[#This Row],[Date]])+IF(MONTH(MC[[#This Row],[Date]])&gt;=4,1,0)</f>
        <v>2024</v>
      </c>
      <c r="D119" s="110">
        <f>YEAR(MC[[#This Row],[Date]])</f>
        <v>2024</v>
      </c>
      <c r="E119" s="101" t="s">
        <v>73</v>
      </c>
      <c r="F119" s="101" t="s">
        <v>73</v>
      </c>
      <c r="G119" s="102" t="str">
        <f>TEXT(MC[[#This Row],[Date]],"mmm-yy")</f>
        <v>Jan-24</v>
      </c>
      <c r="H119" s="102">
        <f>DAY(EOMONTH(MC[[#This Row],[Month Year]],0))</f>
        <v>31</v>
      </c>
      <c r="I119" s="106"/>
      <c r="J119" s="106"/>
      <c r="K119" s="106"/>
      <c r="L119" s="106"/>
      <c r="M119" s="106"/>
      <c r="N119" s="106"/>
      <c r="O119" s="106"/>
      <c r="P119" s="106"/>
      <c r="Q119" s="106"/>
      <c r="R119" s="106">
        <f t="shared" si="2"/>
        <v>6000</v>
      </c>
      <c r="S119" s="1">
        <f>SUM(MC[[#This Row],[Blk1]:[Blk8]])</f>
        <v>6000</v>
      </c>
      <c r="T119" s="106"/>
      <c r="U119" s="106"/>
      <c r="V119" s="106"/>
      <c r="W119" s="106"/>
      <c r="X119" s="106"/>
      <c r="Y119" s="106"/>
      <c r="Z119" s="106"/>
    </row>
    <row r="120" spans="1:26" x14ac:dyDescent="0.25">
      <c r="A120" s="106">
        <v>118</v>
      </c>
      <c r="B120" s="103">
        <f t="shared" si="3"/>
        <v>45317</v>
      </c>
      <c r="C120" s="109">
        <f>YEAR(MC[[#This Row],[Date]])+IF(MONTH(MC[[#This Row],[Date]])&gt;=4,1,0)</f>
        <v>2024</v>
      </c>
      <c r="D120" s="110">
        <f>YEAR(MC[[#This Row],[Date]])</f>
        <v>2024</v>
      </c>
      <c r="E120" s="101" t="s">
        <v>73</v>
      </c>
      <c r="F120" s="101" t="s">
        <v>73</v>
      </c>
      <c r="G120" s="102" t="str">
        <f>TEXT(MC[[#This Row],[Date]],"mmm-yy")</f>
        <v>Jan-24</v>
      </c>
      <c r="H120" s="102">
        <f>DAY(EOMONTH(MC[[#This Row],[Month Year]],0))</f>
        <v>31</v>
      </c>
      <c r="I120" s="106"/>
      <c r="J120" s="106"/>
      <c r="K120" s="106"/>
      <c r="L120" s="106"/>
      <c r="M120" s="106"/>
      <c r="N120" s="106"/>
      <c r="O120" s="106"/>
      <c r="P120" s="106"/>
      <c r="Q120" s="106"/>
      <c r="R120" s="106">
        <f t="shared" si="2"/>
        <v>6000</v>
      </c>
      <c r="S120" s="1">
        <f>SUM(MC[[#This Row],[Blk1]:[Blk8]])</f>
        <v>6000</v>
      </c>
      <c r="T120" s="106"/>
      <c r="U120" s="106"/>
      <c r="V120" s="106"/>
      <c r="W120" s="106"/>
      <c r="X120" s="106"/>
      <c r="Y120" s="106"/>
      <c r="Z120" s="106"/>
    </row>
    <row r="121" spans="1:26" x14ac:dyDescent="0.25">
      <c r="A121" s="106">
        <v>119</v>
      </c>
      <c r="B121" s="103">
        <f t="shared" si="3"/>
        <v>45318</v>
      </c>
      <c r="C121" s="109">
        <f>YEAR(MC[[#This Row],[Date]])+IF(MONTH(MC[[#This Row],[Date]])&gt;=4,1,0)</f>
        <v>2024</v>
      </c>
      <c r="D121" s="110">
        <f>YEAR(MC[[#This Row],[Date]])</f>
        <v>2024</v>
      </c>
      <c r="E121" s="101" t="s">
        <v>73</v>
      </c>
      <c r="F121" s="101" t="s">
        <v>73</v>
      </c>
      <c r="G121" s="102" t="str">
        <f>TEXT(MC[[#This Row],[Date]],"mmm-yy")</f>
        <v>Jan-24</v>
      </c>
      <c r="H121" s="102">
        <f>DAY(EOMONTH(MC[[#This Row],[Month Year]],0))</f>
        <v>31</v>
      </c>
      <c r="I121" s="106"/>
      <c r="J121" s="106"/>
      <c r="K121" s="106"/>
      <c r="L121" s="106"/>
      <c r="M121" s="106"/>
      <c r="N121" s="106"/>
      <c r="O121" s="106"/>
      <c r="P121" s="106"/>
      <c r="Q121" s="106"/>
      <c r="R121" s="106">
        <f t="shared" si="2"/>
        <v>6000</v>
      </c>
      <c r="S121" s="1">
        <f>SUM(MC[[#This Row],[Blk1]:[Blk8]])</f>
        <v>6000</v>
      </c>
      <c r="T121" s="106"/>
      <c r="U121" s="106"/>
      <c r="V121" s="106"/>
      <c r="W121" s="106"/>
      <c r="X121" s="106"/>
      <c r="Y121" s="106"/>
      <c r="Z121" s="106"/>
    </row>
    <row r="122" spans="1:26" x14ac:dyDescent="0.25">
      <c r="A122" s="106">
        <v>120</v>
      </c>
      <c r="B122" s="103">
        <f t="shared" si="3"/>
        <v>45319</v>
      </c>
      <c r="C122" s="109">
        <f>YEAR(MC[[#This Row],[Date]])+IF(MONTH(MC[[#This Row],[Date]])&gt;=4,1,0)</f>
        <v>2024</v>
      </c>
      <c r="D122" s="110">
        <f>YEAR(MC[[#This Row],[Date]])</f>
        <v>2024</v>
      </c>
      <c r="E122" s="101" t="s">
        <v>73</v>
      </c>
      <c r="F122" s="101" t="s">
        <v>73</v>
      </c>
      <c r="G122" s="102" t="str">
        <f>TEXT(MC[[#This Row],[Date]],"mmm-yy")</f>
        <v>Jan-24</v>
      </c>
      <c r="H122" s="102">
        <f>DAY(EOMONTH(MC[[#This Row],[Month Year]],0))</f>
        <v>31</v>
      </c>
      <c r="I122" s="106"/>
      <c r="J122" s="106"/>
      <c r="K122" s="106"/>
      <c r="L122" s="106"/>
      <c r="M122" s="106"/>
      <c r="N122" s="106"/>
      <c r="O122" s="106"/>
      <c r="P122" s="106"/>
      <c r="Q122" s="106"/>
      <c r="R122" s="106">
        <f t="shared" si="2"/>
        <v>6000</v>
      </c>
      <c r="S122" s="1">
        <f>SUM(MC[[#This Row],[Blk1]:[Blk8]])</f>
        <v>6000</v>
      </c>
      <c r="T122" s="106"/>
      <c r="U122" s="106"/>
      <c r="V122" s="106"/>
      <c r="W122" s="106"/>
      <c r="X122" s="106"/>
      <c r="Y122" s="106"/>
      <c r="Z122" s="106"/>
    </row>
    <row r="123" spans="1:26" x14ac:dyDescent="0.25">
      <c r="A123" s="106">
        <v>120</v>
      </c>
      <c r="B123" s="103">
        <f t="shared" si="3"/>
        <v>45320</v>
      </c>
      <c r="C123" s="109">
        <f>YEAR(MC[[#This Row],[Date]])+IF(MONTH(MC[[#This Row],[Date]])&gt;=4,1,0)</f>
        <v>2024</v>
      </c>
      <c r="D123" s="110">
        <f>YEAR(MC[[#This Row],[Date]])</f>
        <v>2024</v>
      </c>
      <c r="E123" s="101" t="s">
        <v>73</v>
      </c>
      <c r="F123" s="101" t="s">
        <v>73</v>
      </c>
      <c r="G123" s="102" t="str">
        <f>TEXT(MC[[#This Row],[Date]],"mmm-yy")</f>
        <v>Jan-24</v>
      </c>
      <c r="H123" s="102">
        <f>DAY(EOMONTH(MC[[#This Row],[Month Year]],0))</f>
        <v>31</v>
      </c>
      <c r="I123" s="106"/>
      <c r="J123" s="106"/>
      <c r="K123" s="106"/>
      <c r="L123" s="106"/>
      <c r="M123" s="106"/>
      <c r="N123" s="106"/>
      <c r="O123" s="106"/>
      <c r="P123" s="106"/>
      <c r="Q123" s="106"/>
      <c r="R123" s="106">
        <f t="shared" si="2"/>
        <v>6000</v>
      </c>
      <c r="S123" s="1">
        <f>SUM(MC[[#This Row],[Blk1]:[Blk8]])</f>
        <v>6000</v>
      </c>
      <c r="T123" s="106"/>
      <c r="U123" s="106"/>
      <c r="V123" s="106"/>
      <c r="W123" s="106"/>
      <c r="X123" s="106"/>
      <c r="Y123" s="106"/>
      <c r="Z123" s="106"/>
    </row>
    <row r="124" spans="1:26" x14ac:dyDescent="0.25">
      <c r="A124" s="106">
        <v>122</v>
      </c>
      <c r="B124" s="103">
        <f t="shared" si="3"/>
        <v>45321</v>
      </c>
      <c r="C124" s="109">
        <f>YEAR(MC[[#This Row],[Date]])+IF(MONTH(MC[[#This Row],[Date]])&gt;=4,1,0)</f>
        <v>2024</v>
      </c>
      <c r="D124" s="110">
        <f>YEAR(MC[[#This Row],[Date]])</f>
        <v>2024</v>
      </c>
      <c r="E124" s="101" t="s">
        <v>73</v>
      </c>
      <c r="F124" s="101" t="s">
        <v>73</v>
      </c>
      <c r="G124" s="102" t="str">
        <f>TEXT(MC[[#This Row],[Date]],"mmm-yy")</f>
        <v>Jan-24</v>
      </c>
      <c r="H124" s="102">
        <f>DAY(EOMONTH(MC[[#This Row],[Month Year]],0))</f>
        <v>31</v>
      </c>
      <c r="I124" s="106"/>
      <c r="J124" s="106"/>
      <c r="K124" s="106"/>
      <c r="L124" s="106"/>
      <c r="M124" s="106"/>
      <c r="N124" s="106"/>
      <c r="O124" s="106"/>
      <c r="P124" s="106"/>
      <c r="Q124" s="106"/>
      <c r="R124" s="106">
        <f t="shared" si="2"/>
        <v>6000</v>
      </c>
      <c r="S124" s="1">
        <f>SUM(MC[[#This Row],[Blk1]:[Blk8]])</f>
        <v>6000</v>
      </c>
      <c r="T124" s="106"/>
      <c r="U124" s="106"/>
      <c r="V124" s="106"/>
      <c r="W124" s="106"/>
      <c r="X124" s="106"/>
      <c r="Y124" s="106"/>
      <c r="Z124" s="106"/>
    </row>
    <row r="125" spans="1:26" x14ac:dyDescent="0.25">
      <c r="A125" s="106">
        <v>123</v>
      </c>
      <c r="B125" s="103">
        <f t="shared" si="3"/>
        <v>45322</v>
      </c>
      <c r="C125" s="109">
        <f>YEAR(MC[[#This Row],[Date]])+IF(MONTH(MC[[#This Row],[Date]])&gt;=4,1,0)</f>
        <v>2024</v>
      </c>
      <c r="D125" s="110">
        <f>YEAR(MC[[#This Row],[Date]])</f>
        <v>2024</v>
      </c>
      <c r="E125" s="101" t="s">
        <v>73</v>
      </c>
      <c r="F125" s="101" t="s">
        <v>73</v>
      </c>
      <c r="G125" s="102" t="str">
        <f>TEXT(MC[[#This Row],[Date]],"mmm-yy")</f>
        <v>Jan-24</v>
      </c>
      <c r="H125" s="102">
        <f>DAY(EOMONTH(MC[[#This Row],[Month Year]],0))</f>
        <v>31</v>
      </c>
      <c r="I125" s="106"/>
      <c r="J125" s="106"/>
      <c r="K125" s="106"/>
      <c r="L125" s="106"/>
      <c r="M125" s="106"/>
      <c r="N125" s="106"/>
      <c r="O125" s="106"/>
      <c r="P125" s="106"/>
      <c r="Q125" s="106"/>
      <c r="R125" s="106">
        <f t="shared" si="2"/>
        <v>6000</v>
      </c>
      <c r="S125" s="1">
        <f>SUM(MC[[#This Row],[Blk1]:[Blk8]])</f>
        <v>6000</v>
      </c>
      <c r="T125" s="106"/>
      <c r="U125" s="106"/>
      <c r="V125" s="106"/>
      <c r="W125" s="106"/>
      <c r="X125" s="106"/>
      <c r="Y125" s="106"/>
      <c r="Z125" s="106"/>
    </row>
    <row r="126" spans="1:26" x14ac:dyDescent="0.25">
      <c r="A126" s="106">
        <v>124</v>
      </c>
      <c r="B126" s="103">
        <f t="shared" si="3"/>
        <v>45323</v>
      </c>
      <c r="C126" s="109">
        <f>YEAR(MC[[#This Row],[Date]])+IF(MONTH(MC[[#This Row],[Date]])&gt;=4,1,0)</f>
        <v>2024</v>
      </c>
      <c r="D126" s="110">
        <f>YEAR(MC[[#This Row],[Date]])</f>
        <v>2024</v>
      </c>
      <c r="E126" s="101" t="s">
        <v>73</v>
      </c>
      <c r="F126" s="101" t="s">
        <v>73</v>
      </c>
      <c r="G126" s="102" t="str">
        <f>TEXT(MC[[#This Row],[Date]],"mmm-yy")</f>
        <v>Feb-24</v>
      </c>
      <c r="H126" s="102">
        <f>DAY(EOMONTH(MC[[#This Row],[Month Year]],0))</f>
        <v>28</v>
      </c>
      <c r="I126" s="106"/>
      <c r="J126" s="106"/>
      <c r="K126" s="106"/>
      <c r="L126" s="106"/>
      <c r="M126" s="106"/>
      <c r="N126" s="106"/>
      <c r="O126" s="106"/>
      <c r="P126" s="106"/>
      <c r="Q126" s="106"/>
      <c r="R126" s="106">
        <f t="shared" si="2"/>
        <v>6000</v>
      </c>
      <c r="S126" s="1">
        <f>SUM(MC[[#This Row],[Blk1]:[Blk8]])</f>
        <v>6000</v>
      </c>
      <c r="T126" s="106"/>
      <c r="U126" s="106"/>
      <c r="V126" s="106"/>
      <c r="W126" s="106"/>
      <c r="X126" s="106"/>
      <c r="Y126" s="106"/>
      <c r="Z126" s="106"/>
    </row>
    <row r="127" spans="1:26" x14ac:dyDescent="0.25">
      <c r="A127" s="106">
        <v>125</v>
      </c>
      <c r="B127" s="103">
        <f t="shared" si="3"/>
        <v>45324</v>
      </c>
      <c r="C127" s="109">
        <f>YEAR(MC[[#This Row],[Date]])+IF(MONTH(MC[[#This Row],[Date]])&gt;=4,1,0)</f>
        <v>2024</v>
      </c>
      <c r="D127" s="110">
        <f>YEAR(MC[[#This Row],[Date]])</f>
        <v>2024</v>
      </c>
      <c r="E127" s="101" t="s">
        <v>73</v>
      </c>
      <c r="F127" s="101" t="s">
        <v>73</v>
      </c>
      <c r="G127" s="102" t="str">
        <f>TEXT(MC[[#This Row],[Date]],"mmm-yy")</f>
        <v>Feb-24</v>
      </c>
      <c r="H127" s="102">
        <f>DAY(EOMONTH(MC[[#This Row],[Month Year]],0))</f>
        <v>28</v>
      </c>
      <c r="I127" s="106"/>
      <c r="J127" s="106"/>
      <c r="K127" s="106"/>
      <c r="L127" s="106"/>
      <c r="M127" s="106"/>
      <c r="N127" s="106"/>
      <c r="O127" s="106"/>
      <c r="P127" s="106"/>
      <c r="Q127" s="106"/>
      <c r="R127" s="106">
        <f t="shared" si="2"/>
        <v>6000</v>
      </c>
      <c r="S127" s="1">
        <f>SUM(MC[[#This Row],[Blk1]:[Blk8]])</f>
        <v>6000</v>
      </c>
      <c r="T127" s="106"/>
      <c r="U127" s="106"/>
      <c r="V127" s="106"/>
      <c r="W127" s="106"/>
      <c r="X127" s="106"/>
      <c r="Y127" s="106"/>
      <c r="Z127" s="106"/>
    </row>
    <row r="128" spans="1:26" x14ac:dyDescent="0.25">
      <c r="A128" s="106">
        <v>126</v>
      </c>
      <c r="B128" s="103">
        <f t="shared" si="3"/>
        <v>45325</v>
      </c>
      <c r="C128" s="109">
        <f>YEAR(MC[[#This Row],[Date]])+IF(MONTH(MC[[#This Row],[Date]])&gt;=4,1,0)</f>
        <v>2024</v>
      </c>
      <c r="D128" s="110">
        <f>YEAR(MC[[#This Row],[Date]])</f>
        <v>2024</v>
      </c>
      <c r="E128" s="101" t="s">
        <v>73</v>
      </c>
      <c r="F128" s="101" t="s">
        <v>73</v>
      </c>
      <c r="G128" s="102" t="str">
        <f>TEXT(MC[[#This Row],[Date]],"mmm-yy")</f>
        <v>Feb-24</v>
      </c>
      <c r="H128" s="102">
        <f>DAY(EOMONTH(MC[[#This Row],[Month Year]],0))</f>
        <v>28</v>
      </c>
      <c r="I128" s="106"/>
      <c r="J128" s="106"/>
      <c r="K128" s="106"/>
      <c r="L128" s="106"/>
      <c r="M128" s="106"/>
      <c r="N128" s="106"/>
      <c r="O128" s="106"/>
      <c r="P128" s="106"/>
      <c r="Q128" s="106"/>
      <c r="R128" s="106">
        <f t="shared" si="2"/>
        <v>6000</v>
      </c>
      <c r="S128" s="1">
        <f>SUM(MC[[#This Row],[Blk1]:[Blk8]])</f>
        <v>6000</v>
      </c>
      <c r="T128" s="106"/>
      <c r="U128" s="106"/>
      <c r="V128" s="106"/>
      <c r="W128" s="106"/>
      <c r="X128" s="106"/>
      <c r="Y128" s="106"/>
      <c r="Z128" s="106"/>
    </row>
    <row r="129" spans="1:26" x14ac:dyDescent="0.25">
      <c r="A129" s="106">
        <v>127</v>
      </c>
      <c r="B129" s="103">
        <f t="shared" si="3"/>
        <v>45326</v>
      </c>
      <c r="C129" s="109">
        <f>YEAR(MC[[#This Row],[Date]])+IF(MONTH(MC[[#This Row],[Date]])&gt;=4,1,0)</f>
        <v>2024</v>
      </c>
      <c r="D129" s="110">
        <f>YEAR(MC[[#This Row],[Date]])</f>
        <v>2024</v>
      </c>
      <c r="E129" s="101" t="s">
        <v>73</v>
      </c>
      <c r="F129" s="101" t="s">
        <v>73</v>
      </c>
      <c r="G129" s="102" t="str">
        <f>TEXT(MC[[#This Row],[Date]],"mmm-yy")</f>
        <v>Feb-24</v>
      </c>
      <c r="H129" s="102">
        <f>DAY(EOMONTH(MC[[#This Row],[Month Year]],0))</f>
        <v>28</v>
      </c>
      <c r="I129" s="106"/>
      <c r="J129" s="106"/>
      <c r="K129" s="106"/>
      <c r="L129" s="106"/>
      <c r="M129" s="106"/>
      <c r="N129" s="106"/>
      <c r="O129" s="106"/>
      <c r="P129" s="106"/>
      <c r="Q129" s="106"/>
      <c r="R129" s="106">
        <f t="shared" si="2"/>
        <v>6000</v>
      </c>
      <c r="S129" s="1">
        <f>SUM(MC[[#This Row],[Blk1]:[Blk8]])</f>
        <v>6000</v>
      </c>
      <c r="T129" s="106"/>
      <c r="U129" s="106"/>
      <c r="V129" s="106"/>
      <c r="W129" s="106"/>
      <c r="X129" s="106"/>
      <c r="Y129" s="106"/>
      <c r="Z129" s="106"/>
    </row>
    <row r="130" spans="1:26" x14ac:dyDescent="0.25">
      <c r="A130" s="106">
        <v>127</v>
      </c>
      <c r="B130" s="103">
        <f t="shared" si="3"/>
        <v>45327</v>
      </c>
      <c r="C130" s="109">
        <f>YEAR(MC[[#This Row],[Date]])+IF(MONTH(MC[[#This Row],[Date]])&gt;=4,1,0)</f>
        <v>2024</v>
      </c>
      <c r="D130" s="110">
        <f>YEAR(MC[[#This Row],[Date]])</f>
        <v>2024</v>
      </c>
      <c r="E130" s="101" t="s">
        <v>73</v>
      </c>
      <c r="F130" s="101" t="s">
        <v>73</v>
      </c>
      <c r="G130" s="102" t="str">
        <f>TEXT(MC[[#This Row],[Date]],"mmm-yy")</f>
        <v>Feb-24</v>
      </c>
      <c r="H130" s="102">
        <f>DAY(EOMONTH(MC[[#This Row],[Month Year]],0))</f>
        <v>28</v>
      </c>
      <c r="I130" s="106"/>
      <c r="J130" s="106"/>
      <c r="K130" s="106"/>
      <c r="L130" s="106"/>
      <c r="M130" s="106"/>
      <c r="N130" s="106"/>
      <c r="O130" s="106"/>
      <c r="P130" s="106"/>
      <c r="Q130" s="106"/>
      <c r="R130" s="106">
        <f t="shared" si="2"/>
        <v>6000</v>
      </c>
      <c r="S130" s="1">
        <f>SUM(MC[[#This Row],[Blk1]:[Blk8]])</f>
        <v>6000</v>
      </c>
      <c r="T130" s="106"/>
      <c r="U130" s="106"/>
      <c r="V130" s="107">
        <v>0.16666666666666666</v>
      </c>
      <c r="W130" s="107">
        <v>0.375</v>
      </c>
      <c r="X130" s="106" t="s">
        <v>88</v>
      </c>
      <c r="Y130" s="106"/>
      <c r="Z130" s="106"/>
    </row>
    <row r="131" spans="1:26" x14ac:dyDescent="0.25">
      <c r="A131" s="106">
        <v>127</v>
      </c>
      <c r="B131" s="103">
        <f t="shared" si="3"/>
        <v>45328</v>
      </c>
      <c r="C131" s="109">
        <f>YEAR(MC[[#This Row],[Date]])+IF(MONTH(MC[[#This Row],[Date]])&gt;=4,1,0)</f>
        <v>2024</v>
      </c>
      <c r="D131" s="110">
        <f>YEAR(MC[[#This Row],[Date]])</f>
        <v>2024</v>
      </c>
      <c r="E131" s="101" t="s">
        <v>73</v>
      </c>
      <c r="F131" s="101" t="s">
        <v>73</v>
      </c>
      <c r="G131" s="102" t="str">
        <f>TEXT(MC[[#This Row],[Date]],"mmm-yy")</f>
        <v>Feb-24</v>
      </c>
      <c r="H131" s="102">
        <f>DAY(EOMONTH(MC[[#This Row],[Month Year]],0))</f>
        <v>28</v>
      </c>
      <c r="I131" s="106"/>
      <c r="J131" s="106"/>
      <c r="K131" s="106"/>
      <c r="L131" s="106"/>
      <c r="M131" s="106"/>
      <c r="N131" s="106"/>
      <c r="O131" s="106"/>
      <c r="P131" s="106"/>
      <c r="Q131" s="106"/>
      <c r="R131" s="106">
        <f t="shared" ref="R131:R194" si="4">120*50</f>
        <v>6000</v>
      </c>
      <c r="S131" s="1">
        <f>SUM(MC[[#This Row],[Blk1]:[Blk8]])</f>
        <v>6000</v>
      </c>
      <c r="T131" s="106"/>
      <c r="U131" s="106"/>
      <c r="V131" s="107">
        <v>0.16666666666666666</v>
      </c>
      <c r="W131" s="107">
        <v>0.375</v>
      </c>
      <c r="X131" s="106" t="s">
        <v>88</v>
      </c>
      <c r="Y131" s="106"/>
      <c r="Z131" s="106"/>
    </row>
    <row r="132" spans="1:26" x14ac:dyDescent="0.25">
      <c r="A132" s="106">
        <v>127</v>
      </c>
      <c r="B132" s="103">
        <f t="shared" si="3"/>
        <v>45329</v>
      </c>
      <c r="C132" s="109">
        <f>YEAR(MC[[#This Row],[Date]])+IF(MONTH(MC[[#This Row],[Date]])&gt;=4,1,0)</f>
        <v>2024</v>
      </c>
      <c r="D132" s="110">
        <f>YEAR(MC[[#This Row],[Date]])</f>
        <v>2024</v>
      </c>
      <c r="E132" s="101" t="s">
        <v>73</v>
      </c>
      <c r="F132" s="101" t="s">
        <v>73</v>
      </c>
      <c r="G132" s="102" t="str">
        <f>TEXT(MC[[#This Row],[Date]],"mmm-yy")</f>
        <v>Feb-24</v>
      </c>
      <c r="H132" s="102">
        <f>DAY(EOMONTH(MC[[#This Row],[Month Year]],0))</f>
        <v>28</v>
      </c>
      <c r="I132" s="106"/>
      <c r="J132" s="106"/>
      <c r="K132" s="106"/>
      <c r="L132" s="106"/>
      <c r="M132" s="106"/>
      <c r="N132" s="106"/>
      <c r="O132" s="106"/>
      <c r="P132" s="106"/>
      <c r="Q132" s="106"/>
      <c r="R132" s="106">
        <f t="shared" si="4"/>
        <v>6000</v>
      </c>
      <c r="S132" s="1">
        <f>SUM(MC[[#This Row],[Blk1]:[Blk8]])</f>
        <v>6000</v>
      </c>
      <c r="T132" s="106"/>
      <c r="U132" s="106"/>
      <c r="V132" s="107">
        <v>0.16666666666666666</v>
      </c>
      <c r="W132" s="107">
        <v>0.375</v>
      </c>
      <c r="X132" s="106" t="s">
        <v>88</v>
      </c>
      <c r="Y132" s="106"/>
      <c r="Z132" s="106"/>
    </row>
    <row r="133" spans="1:26" x14ac:dyDescent="0.25">
      <c r="A133" s="106">
        <v>127</v>
      </c>
      <c r="B133" s="103">
        <f t="shared" ref="B133:B185" si="5">B132+1</f>
        <v>45330</v>
      </c>
      <c r="C133" s="109">
        <f>YEAR(MC[[#This Row],[Date]])+IF(MONTH(MC[[#This Row],[Date]])&gt;=4,1,0)</f>
        <v>2024</v>
      </c>
      <c r="D133" s="110">
        <f>YEAR(MC[[#This Row],[Date]])</f>
        <v>2024</v>
      </c>
      <c r="E133" s="101" t="s">
        <v>73</v>
      </c>
      <c r="F133" s="101" t="s">
        <v>73</v>
      </c>
      <c r="G133" s="102" t="str">
        <f>TEXT(MC[[#This Row],[Date]],"mmm-yy")</f>
        <v>Feb-24</v>
      </c>
      <c r="H133" s="102">
        <f>DAY(EOMONTH(MC[[#This Row],[Month Year]],0))</f>
        <v>28</v>
      </c>
      <c r="I133" s="106"/>
      <c r="J133" s="106"/>
      <c r="K133" s="106"/>
      <c r="L133" s="106"/>
      <c r="M133" s="106"/>
      <c r="N133" s="106"/>
      <c r="O133" s="106"/>
      <c r="P133" s="106"/>
      <c r="Q133" s="106"/>
      <c r="R133" s="106">
        <f t="shared" si="4"/>
        <v>6000</v>
      </c>
      <c r="S133" s="1">
        <f>SUM(MC[[#This Row],[Blk1]:[Blk8]])</f>
        <v>6000</v>
      </c>
      <c r="T133" s="106"/>
      <c r="U133" s="106"/>
      <c r="V133" s="107">
        <v>0.16666666666666666</v>
      </c>
      <c r="W133" s="107">
        <v>0.375</v>
      </c>
      <c r="X133" s="106" t="s">
        <v>88</v>
      </c>
      <c r="Y133" s="106"/>
      <c r="Z133" s="106"/>
    </row>
    <row r="134" spans="1:26" x14ac:dyDescent="0.25">
      <c r="A134" s="106">
        <v>127</v>
      </c>
      <c r="B134" s="103">
        <f t="shared" si="5"/>
        <v>45331</v>
      </c>
      <c r="C134" s="109">
        <f>YEAR(MC[[#This Row],[Date]])+IF(MONTH(MC[[#This Row],[Date]])&gt;=4,1,0)</f>
        <v>2024</v>
      </c>
      <c r="D134" s="110">
        <f>YEAR(MC[[#This Row],[Date]])</f>
        <v>2024</v>
      </c>
      <c r="E134" s="101" t="s">
        <v>73</v>
      </c>
      <c r="F134" s="101" t="s">
        <v>73</v>
      </c>
      <c r="G134" s="102" t="str">
        <f>TEXT(MC[[#This Row],[Date]],"mmm-yy")</f>
        <v>Feb-24</v>
      </c>
      <c r="H134" s="102">
        <f>DAY(EOMONTH(MC[[#This Row],[Month Year]],0))</f>
        <v>28</v>
      </c>
      <c r="I134" s="106"/>
      <c r="J134" s="106"/>
      <c r="K134" s="106"/>
      <c r="L134" s="106"/>
      <c r="M134" s="106"/>
      <c r="N134" s="106"/>
      <c r="O134" s="106"/>
      <c r="P134" s="106"/>
      <c r="Q134" s="106"/>
      <c r="R134" s="106">
        <f t="shared" si="4"/>
        <v>6000</v>
      </c>
      <c r="S134" s="1">
        <f>SUM(MC[[#This Row],[Blk1]:[Blk8]])</f>
        <v>6000</v>
      </c>
      <c r="T134" s="106"/>
      <c r="U134" s="106"/>
      <c r="V134" s="107">
        <v>0.16666666666666666</v>
      </c>
      <c r="W134" s="107">
        <v>0.375</v>
      </c>
      <c r="X134" s="106" t="s">
        <v>88</v>
      </c>
      <c r="Y134" s="106"/>
      <c r="Z134" s="106"/>
    </row>
    <row r="135" spans="1:26" x14ac:dyDescent="0.25">
      <c r="A135" s="106">
        <v>127</v>
      </c>
      <c r="B135" s="103">
        <f t="shared" si="5"/>
        <v>45332</v>
      </c>
      <c r="C135" s="109">
        <f>YEAR(MC[[#This Row],[Date]])+IF(MONTH(MC[[#This Row],[Date]])&gt;=4,1,0)</f>
        <v>2024</v>
      </c>
      <c r="D135" s="110">
        <f>YEAR(MC[[#This Row],[Date]])</f>
        <v>2024</v>
      </c>
      <c r="E135" s="101" t="s">
        <v>73</v>
      </c>
      <c r="F135" s="101" t="s">
        <v>73</v>
      </c>
      <c r="G135" s="102" t="str">
        <f>TEXT(MC[[#This Row],[Date]],"mmm-yy")</f>
        <v>Feb-24</v>
      </c>
      <c r="H135" s="102">
        <f>DAY(EOMONTH(MC[[#This Row],[Month Year]],0))</f>
        <v>28</v>
      </c>
      <c r="I135" s="106"/>
      <c r="J135" s="106"/>
      <c r="K135" s="106"/>
      <c r="L135" s="106"/>
      <c r="M135" s="106"/>
      <c r="N135" s="106"/>
      <c r="O135" s="106"/>
      <c r="P135" s="106"/>
      <c r="Q135" s="106"/>
      <c r="R135" s="106">
        <f t="shared" si="4"/>
        <v>6000</v>
      </c>
      <c r="S135" s="1">
        <f>SUM(MC[[#This Row],[Blk1]:[Blk8]])</f>
        <v>6000</v>
      </c>
      <c r="T135" s="107"/>
      <c r="U135" s="107"/>
      <c r="V135" s="107">
        <v>0.16666666666666666</v>
      </c>
      <c r="W135" s="107">
        <v>0.375</v>
      </c>
      <c r="X135" s="106" t="s">
        <v>88</v>
      </c>
      <c r="Y135" s="106"/>
      <c r="Z135" s="106"/>
    </row>
    <row r="136" spans="1:26" x14ac:dyDescent="0.25">
      <c r="A136" s="106">
        <v>127</v>
      </c>
      <c r="B136" s="103">
        <f t="shared" si="5"/>
        <v>45333</v>
      </c>
      <c r="C136" s="109">
        <f>YEAR(MC[[#This Row],[Date]])+IF(MONTH(MC[[#This Row],[Date]])&gt;=4,1,0)</f>
        <v>2024</v>
      </c>
      <c r="D136" s="110">
        <f>YEAR(MC[[#This Row],[Date]])</f>
        <v>2024</v>
      </c>
      <c r="E136" s="101" t="s">
        <v>73</v>
      </c>
      <c r="F136" s="101" t="s">
        <v>73</v>
      </c>
      <c r="G136" s="102" t="str">
        <f>TEXT(MC[[#This Row],[Date]],"mmm-yy")</f>
        <v>Feb-24</v>
      </c>
      <c r="H136" s="102">
        <f>DAY(EOMONTH(MC[[#This Row],[Month Year]],0))</f>
        <v>28</v>
      </c>
      <c r="I136" s="106"/>
      <c r="J136" s="106"/>
      <c r="K136" s="106"/>
      <c r="L136" s="106"/>
      <c r="M136" s="106"/>
      <c r="N136" s="106"/>
      <c r="O136" s="106"/>
      <c r="P136" s="106"/>
      <c r="Q136" s="106"/>
      <c r="R136" s="106">
        <f t="shared" si="4"/>
        <v>6000</v>
      </c>
      <c r="S136" s="1">
        <f>SUM(MC[[#This Row],[Blk1]:[Blk8]])</f>
        <v>6000</v>
      </c>
      <c r="T136" s="107"/>
      <c r="U136" s="107"/>
      <c r="V136" s="107">
        <v>0.16666666666666666</v>
      </c>
      <c r="W136" s="107">
        <v>0.375</v>
      </c>
      <c r="X136" s="106" t="s">
        <v>88</v>
      </c>
      <c r="Y136" s="106"/>
      <c r="Z136" s="106" t="s">
        <v>89</v>
      </c>
    </row>
    <row r="137" spans="1:26" x14ac:dyDescent="0.25">
      <c r="A137" s="106">
        <v>127</v>
      </c>
      <c r="B137" s="103">
        <f t="shared" si="5"/>
        <v>45334</v>
      </c>
      <c r="C137" s="109">
        <f>YEAR(MC[[#This Row],[Date]])+IF(MONTH(MC[[#This Row],[Date]])&gt;=4,1,0)</f>
        <v>2024</v>
      </c>
      <c r="D137" s="110">
        <f>YEAR(MC[[#This Row],[Date]])</f>
        <v>2024</v>
      </c>
      <c r="E137" s="101" t="s">
        <v>73</v>
      </c>
      <c r="F137" s="101" t="s">
        <v>73</v>
      </c>
      <c r="G137" s="102" t="str">
        <f>TEXT(MC[[#This Row],[Date]],"mmm-yy")</f>
        <v>Feb-24</v>
      </c>
      <c r="H137" s="102">
        <f>DAY(EOMONTH(MC[[#This Row],[Month Year]],0))</f>
        <v>28</v>
      </c>
      <c r="I137" s="106"/>
      <c r="J137" s="106"/>
      <c r="K137" s="106"/>
      <c r="L137" s="106"/>
      <c r="M137" s="106"/>
      <c r="N137" s="106"/>
      <c r="O137" s="106"/>
      <c r="P137" s="106"/>
      <c r="Q137" s="106"/>
      <c r="R137" s="106">
        <f t="shared" si="4"/>
        <v>6000</v>
      </c>
      <c r="S137" s="1">
        <f>SUM(MC[[#This Row],[Blk1]:[Blk8]])</f>
        <v>6000</v>
      </c>
      <c r="T137" s="107"/>
      <c r="U137" s="107"/>
      <c r="V137" s="107">
        <v>0.16666666666666699</v>
      </c>
      <c r="W137" s="107">
        <v>0.375</v>
      </c>
      <c r="X137" s="106" t="s">
        <v>88</v>
      </c>
      <c r="Y137" s="106"/>
      <c r="Z137" s="106"/>
    </row>
    <row r="138" spans="1:26" x14ac:dyDescent="0.25">
      <c r="A138" s="106">
        <v>127</v>
      </c>
      <c r="B138" s="103">
        <f t="shared" si="5"/>
        <v>45335</v>
      </c>
      <c r="C138" s="109">
        <f>YEAR(MC[[#This Row],[Date]])+IF(MONTH(MC[[#This Row],[Date]])&gt;=4,1,0)</f>
        <v>2024</v>
      </c>
      <c r="D138" s="110">
        <f>YEAR(MC[[#This Row],[Date]])</f>
        <v>2024</v>
      </c>
      <c r="E138" s="101" t="s">
        <v>73</v>
      </c>
      <c r="F138" s="101" t="s">
        <v>73</v>
      </c>
      <c r="G138" s="102" t="str">
        <f>TEXT(MC[[#This Row],[Date]],"mmm-yy")</f>
        <v>Feb-24</v>
      </c>
      <c r="H138" s="102">
        <f>DAY(EOMONTH(MC[[#This Row],[Month Year]],0))</f>
        <v>28</v>
      </c>
      <c r="I138" s="106"/>
      <c r="J138" s="106"/>
      <c r="K138" s="106"/>
      <c r="L138" s="106"/>
      <c r="M138" s="106"/>
      <c r="N138" s="106"/>
      <c r="O138" s="106"/>
      <c r="P138" s="106"/>
      <c r="Q138" s="106"/>
      <c r="R138" s="106">
        <f t="shared" si="4"/>
        <v>6000</v>
      </c>
      <c r="S138" s="1">
        <f>SUM(MC[[#This Row],[Blk1]:[Blk8]])</f>
        <v>6000</v>
      </c>
      <c r="T138" s="107"/>
      <c r="U138" s="107"/>
      <c r="V138" s="107">
        <v>0.16666666666666699</v>
      </c>
      <c r="W138" s="107">
        <v>0.375</v>
      </c>
      <c r="X138" s="106" t="s">
        <v>88</v>
      </c>
      <c r="Y138" s="106"/>
      <c r="Z138" s="106"/>
    </row>
    <row r="139" spans="1:26" x14ac:dyDescent="0.25">
      <c r="A139" s="106">
        <v>127</v>
      </c>
      <c r="B139" s="103">
        <f t="shared" si="5"/>
        <v>45336</v>
      </c>
      <c r="C139" s="109">
        <f>YEAR(MC[[#This Row],[Date]])+IF(MONTH(MC[[#This Row],[Date]])&gt;=4,1,0)</f>
        <v>2024</v>
      </c>
      <c r="D139" s="110">
        <f>YEAR(MC[[#This Row],[Date]])</f>
        <v>2024</v>
      </c>
      <c r="E139" s="101" t="s">
        <v>73</v>
      </c>
      <c r="F139" s="101" t="s">
        <v>73</v>
      </c>
      <c r="G139" s="102" t="str">
        <f>TEXT(MC[[#This Row],[Date]],"mmm-yy")</f>
        <v>Feb-24</v>
      </c>
      <c r="H139" s="102">
        <f>DAY(EOMONTH(MC[[#This Row],[Month Year]],0))</f>
        <v>28</v>
      </c>
      <c r="I139" s="106"/>
      <c r="J139" s="106"/>
      <c r="K139" s="106"/>
      <c r="L139" s="106"/>
      <c r="M139" s="106"/>
      <c r="N139" s="106"/>
      <c r="O139" s="106"/>
      <c r="P139" s="106"/>
      <c r="Q139" s="106"/>
      <c r="R139" s="106">
        <f t="shared" si="4"/>
        <v>6000</v>
      </c>
      <c r="S139" s="1">
        <f>SUM(MC[[#This Row],[Blk1]:[Blk8]])</f>
        <v>6000</v>
      </c>
      <c r="T139" s="107"/>
      <c r="U139" s="107"/>
      <c r="V139" s="107"/>
      <c r="W139" s="107"/>
      <c r="X139" s="106"/>
      <c r="Y139" s="106"/>
      <c r="Z139" s="106" t="s">
        <v>90</v>
      </c>
    </row>
    <row r="140" spans="1:26" x14ac:dyDescent="0.25">
      <c r="A140" s="106">
        <v>127</v>
      </c>
      <c r="B140" s="103">
        <f t="shared" si="5"/>
        <v>45337</v>
      </c>
      <c r="C140" s="109">
        <f>YEAR(MC[[#This Row],[Date]])+IF(MONTH(MC[[#This Row],[Date]])&gt;=4,1,0)</f>
        <v>2024</v>
      </c>
      <c r="D140" s="110">
        <f>YEAR(MC[[#This Row],[Date]])</f>
        <v>2024</v>
      </c>
      <c r="E140" s="101" t="s">
        <v>73</v>
      </c>
      <c r="F140" s="101" t="s">
        <v>73</v>
      </c>
      <c r="G140" s="102" t="str">
        <f>TEXT(MC[[#This Row],[Date]],"mmm-yy")</f>
        <v>Feb-24</v>
      </c>
      <c r="H140" s="102">
        <f>DAY(EOMONTH(MC[[#This Row],[Month Year]],0))</f>
        <v>28</v>
      </c>
      <c r="I140" s="106"/>
      <c r="J140" s="106"/>
      <c r="K140" s="106"/>
      <c r="L140" s="106"/>
      <c r="M140" s="106"/>
      <c r="N140" s="106"/>
      <c r="O140" s="106"/>
      <c r="P140" s="106"/>
      <c r="Q140" s="106"/>
      <c r="R140" s="106">
        <f t="shared" si="4"/>
        <v>6000</v>
      </c>
      <c r="S140" s="1">
        <f>SUM(MC[[#This Row],[Blk1]:[Blk8]])</f>
        <v>6000</v>
      </c>
      <c r="T140" s="107"/>
      <c r="U140" s="107"/>
      <c r="V140" s="107"/>
      <c r="W140" s="107"/>
      <c r="X140" s="106"/>
      <c r="Y140" s="106"/>
      <c r="Z140" s="106" t="s">
        <v>90</v>
      </c>
    </row>
    <row r="141" spans="1:26" x14ac:dyDescent="0.25">
      <c r="A141" s="106">
        <v>139</v>
      </c>
      <c r="B141" s="103">
        <f t="shared" si="5"/>
        <v>45338</v>
      </c>
      <c r="C141" s="109">
        <f>YEAR(MC[[#This Row],[Date]])+IF(MONTH(MC[[#This Row],[Date]])&gt;=4,1,0)</f>
        <v>2024</v>
      </c>
      <c r="D141" s="110">
        <f>YEAR(MC[[#This Row],[Date]])</f>
        <v>2024</v>
      </c>
      <c r="E141" s="101" t="s">
        <v>73</v>
      </c>
      <c r="F141" s="101" t="s">
        <v>73</v>
      </c>
      <c r="G141" s="102" t="str">
        <f>TEXT(MC[[#This Row],[Date]],"mmm-yy")</f>
        <v>Feb-24</v>
      </c>
      <c r="H141" s="102">
        <f>DAY(EOMONTH(MC[[#This Row],[Month Year]],0))</f>
        <v>28</v>
      </c>
      <c r="I141" s="106"/>
      <c r="J141" s="106"/>
      <c r="K141" s="106"/>
      <c r="L141" s="106"/>
      <c r="M141" s="106"/>
      <c r="N141" s="106"/>
      <c r="O141" s="106"/>
      <c r="P141" s="106"/>
      <c r="Q141" s="106"/>
      <c r="R141" s="106">
        <f t="shared" si="4"/>
        <v>6000</v>
      </c>
      <c r="S141" s="1">
        <f>SUM(MC[[#This Row],[Blk1]:[Blk8]])</f>
        <v>6000</v>
      </c>
      <c r="T141" s="107"/>
      <c r="U141" s="106"/>
      <c r="V141" s="107">
        <v>0.16666666666666699</v>
      </c>
      <c r="W141" s="107">
        <v>0.375</v>
      </c>
      <c r="X141" s="106" t="s">
        <v>88</v>
      </c>
      <c r="Y141" s="106"/>
      <c r="Z141" s="106" t="s">
        <v>91</v>
      </c>
    </row>
    <row r="142" spans="1:26" x14ac:dyDescent="0.25">
      <c r="A142" s="106">
        <v>140</v>
      </c>
      <c r="B142" s="103">
        <f t="shared" si="5"/>
        <v>45339</v>
      </c>
      <c r="C142" s="109">
        <f>YEAR(MC[[#This Row],[Date]])+IF(MONTH(MC[[#This Row],[Date]])&gt;=4,1,0)</f>
        <v>2024</v>
      </c>
      <c r="D142" s="110">
        <f>YEAR(MC[[#This Row],[Date]])</f>
        <v>2024</v>
      </c>
      <c r="E142" s="101" t="s">
        <v>73</v>
      </c>
      <c r="F142" s="101" t="s">
        <v>73</v>
      </c>
      <c r="G142" s="102" t="str">
        <f>TEXT(MC[[#This Row],[Date]],"mmm-yy")</f>
        <v>Feb-24</v>
      </c>
      <c r="H142" s="102">
        <f>DAY(EOMONTH(MC[[#This Row],[Month Year]],0))</f>
        <v>28</v>
      </c>
      <c r="I142" s="106"/>
      <c r="J142" s="106"/>
      <c r="K142" s="106"/>
      <c r="L142" s="106"/>
      <c r="M142" s="106"/>
      <c r="N142" s="106"/>
      <c r="O142" s="106"/>
      <c r="P142" s="106"/>
      <c r="Q142" s="106"/>
      <c r="R142" s="106">
        <f t="shared" si="4"/>
        <v>6000</v>
      </c>
      <c r="S142" s="1">
        <f>SUM(MC[[#This Row],[Blk1]:[Blk8]])</f>
        <v>6000</v>
      </c>
      <c r="T142" s="107"/>
      <c r="U142" s="106"/>
      <c r="V142" s="106"/>
      <c r="W142" s="107"/>
      <c r="X142" s="106"/>
      <c r="Y142" s="106"/>
      <c r="Z142" s="106" t="s">
        <v>92</v>
      </c>
    </row>
    <row r="143" spans="1:26" x14ac:dyDescent="0.25">
      <c r="A143" s="106">
        <v>141</v>
      </c>
      <c r="B143" s="103">
        <f t="shared" si="5"/>
        <v>45340</v>
      </c>
      <c r="C143" s="109">
        <f>YEAR(MC[[#This Row],[Date]])+IF(MONTH(MC[[#This Row],[Date]])&gt;=4,1,0)</f>
        <v>2024</v>
      </c>
      <c r="D143" s="110">
        <f>YEAR(MC[[#This Row],[Date]])</f>
        <v>2024</v>
      </c>
      <c r="E143" s="101" t="s">
        <v>73</v>
      </c>
      <c r="F143" s="101" t="s">
        <v>73</v>
      </c>
      <c r="G143" s="102" t="str">
        <f>TEXT(MC[[#This Row],[Date]],"mmm-yy")</f>
        <v>Feb-24</v>
      </c>
      <c r="H143" s="102">
        <f>DAY(EOMONTH(MC[[#This Row],[Month Year]],0))</f>
        <v>28</v>
      </c>
      <c r="I143" s="106"/>
      <c r="J143" s="106"/>
      <c r="K143" s="106"/>
      <c r="L143" s="106"/>
      <c r="M143" s="106"/>
      <c r="N143" s="106"/>
      <c r="O143" s="106"/>
      <c r="P143" s="106"/>
      <c r="Q143" s="106"/>
      <c r="R143" s="106">
        <f t="shared" si="4"/>
        <v>6000</v>
      </c>
      <c r="S143" s="1">
        <f>SUM(MC[[#This Row],[Blk1]:[Blk8]])</f>
        <v>6000</v>
      </c>
      <c r="T143" s="107"/>
      <c r="U143" s="106"/>
      <c r="V143" s="106"/>
      <c r="W143" s="107"/>
      <c r="X143" s="106"/>
      <c r="Y143" s="106"/>
      <c r="Z143" s="106" t="s">
        <v>92</v>
      </c>
    </row>
    <row r="144" spans="1:26" x14ac:dyDescent="0.25">
      <c r="A144" s="106">
        <v>142</v>
      </c>
      <c r="B144" s="103">
        <f t="shared" si="5"/>
        <v>45341</v>
      </c>
      <c r="C144" s="109">
        <f>YEAR(MC[[#This Row],[Date]])+IF(MONTH(MC[[#This Row],[Date]])&gt;=4,1,0)</f>
        <v>2024</v>
      </c>
      <c r="D144" s="110">
        <f>YEAR(MC[[#This Row],[Date]])</f>
        <v>2024</v>
      </c>
      <c r="E144" s="101" t="s">
        <v>73</v>
      </c>
      <c r="F144" s="101" t="s">
        <v>73</v>
      </c>
      <c r="G144" s="102" t="str">
        <f>TEXT(MC[[#This Row],[Date]],"mmm-yy")</f>
        <v>Feb-24</v>
      </c>
      <c r="H144" s="102">
        <f>DAY(EOMONTH(MC[[#This Row],[Month Year]],0))</f>
        <v>28</v>
      </c>
      <c r="I144" s="106"/>
      <c r="J144" s="106"/>
      <c r="K144" s="106"/>
      <c r="L144" s="106"/>
      <c r="M144" s="106"/>
      <c r="N144" s="106"/>
      <c r="O144" s="106"/>
      <c r="P144" s="106"/>
      <c r="Q144" s="106"/>
      <c r="R144" s="106">
        <f t="shared" si="4"/>
        <v>6000</v>
      </c>
      <c r="S144" s="1">
        <f>SUM(MC[[#This Row],[Blk1]:[Blk8]])</f>
        <v>6000</v>
      </c>
      <c r="T144" s="107"/>
      <c r="U144" s="106"/>
      <c r="V144" s="107">
        <v>0.16666666666666699</v>
      </c>
      <c r="W144" s="107">
        <v>0.375</v>
      </c>
      <c r="X144" s="106" t="s">
        <v>88</v>
      </c>
      <c r="Y144" s="106"/>
      <c r="Z144" s="106"/>
    </row>
    <row r="145" spans="1:26" x14ac:dyDescent="0.25">
      <c r="A145" s="106">
        <v>143</v>
      </c>
      <c r="B145" s="103">
        <f t="shared" si="5"/>
        <v>45342</v>
      </c>
      <c r="C145" s="109">
        <f>YEAR(MC[[#This Row],[Date]])+IF(MONTH(MC[[#This Row],[Date]])&gt;=4,1,0)</f>
        <v>2024</v>
      </c>
      <c r="D145" s="110">
        <f>YEAR(MC[[#This Row],[Date]])</f>
        <v>2024</v>
      </c>
      <c r="E145" s="101" t="s">
        <v>73</v>
      </c>
      <c r="F145" s="101" t="s">
        <v>73</v>
      </c>
      <c r="G145" s="102" t="str">
        <f>TEXT(MC[[#This Row],[Date]],"mmm-yy")</f>
        <v>Feb-24</v>
      </c>
      <c r="H145" s="102">
        <f>DAY(EOMONTH(MC[[#This Row],[Month Year]],0))</f>
        <v>28</v>
      </c>
      <c r="I145" s="106"/>
      <c r="J145" s="106"/>
      <c r="K145" s="106"/>
      <c r="L145" s="106"/>
      <c r="M145" s="106"/>
      <c r="N145" s="106"/>
      <c r="O145" s="106"/>
      <c r="P145" s="106"/>
      <c r="Q145" s="106"/>
      <c r="R145" s="106">
        <f t="shared" si="4"/>
        <v>6000</v>
      </c>
      <c r="S145" s="1">
        <f>SUM(MC[[#This Row],[Blk1]:[Blk8]])</f>
        <v>6000</v>
      </c>
      <c r="T145" s="107"/>
      <c r="U145" s="106"/>
      <c r="V145" s="107">
        <v>0.20833333333333334</v>
      </c>
      <c r="W145" s="107">
        <v>0.45833333333333331</v>
      </c>
      <c r="X145" s="106" t="s">
        <v>88</v>
      </c>
      <c r="Y145" s="106"/>
      <c r="Z145" s="106"/>
    </row>
    <row r="146" spans="1:26" x14ac:dyDescent="0.25">
      <c r="A146" s="106">
        <v>144</v>
      </c>
      <c r="B146" s="103">
        <f t="shared" si="5"/>
        <v>45343</v>
      </c>
      <c r="C146" s="109">
        <f>YEAR(MC[[#This Row],[Date]])+IF(MONTH(MC[[#This Row],[Date]])&gt;=4,1,0)</f>
        <v>2024</v>
      </c>
      <c r="D146" s="110">
        <f>YEAR(MC[[#This Row],[Date]])</f>
        <v>2024</v>
      </c>
      <c r="E146" s="101" t="s">
        <v>73</v>
      </c>
      <c r="F146" s="101" t="s">
        <v>73</v>
      </c>
      <c r="G146" s="102" t="str">
        <f>TEXT(MC[[#This Row],[Date]],"mmm-yy")</f>
        <v>Feb-24</v>
      </c>
      <c r="H146" s="102">
        <f>DAY(EOMONTH(MC[[#This Row],[Month Year]],0))</f>
        <v>28</v>
      </c>
      <c r="I146" s="106"/>
      <c r="J146" s="106"/>
      <c r="K146" s="106"/>
      <c r="L146" s="106"/>
      <c r="M146" s="106"/>
      <c r="N146" s="106"/>
      <c r="O146" s="106"/>
      <c r="P146" s="106"/>
      <c r="Q146" s="106"/>
      <c r="R146" s="106">
        <f t="shared" si="4"/>
        <v>6000</v>
      </c>
      <c r="S146" s="1">
        <f>SUM(MC[[#This Row],[Blk1]:[Blk8]])</f>
        <v>6000</v>
      </c>
      <c r="T146" s="107">
        <v>0.22916666666666666</v>
      </c>
      <c r="U146" s="107">
        <v>0.39583333333333331</v>
      </c>
      <c r="V146" s="107">
        <v>0.6875</v>
      </c>
      <c r="W146" s="107">
        <v>0.95833333333333337</v>
      </c>
      <c r="X146" s="106" t="s">
        <v>88</v>
      </c>
      <c r="Y146" s="107"/>
      <c r="Z146" s="106"/>
    </row>
    <row r="147" spans="1:26" x14ac:dyDescent="0.25">
      <c r="A147" s="106">
        <v>145</v>
      </c>
      <c r="B147" s="103">
        <f t="shared" si="5"/>
        <v>45344</v>
      </c>
      <c r="C147" s="109">
        <f>YEAR(MC[[#This Row],[Date]])+IF(MONTH(MC[[#This Row],[Date]])&gt;=4,1,0)</f>
        <v>2024</v>
      </c>
      <c r="D147" s="110">
        <f>YEAR(MC[[#This Row],[Date]])</f>
        <v>2024</v>
      </c>
      <c r="E147" s="101" t="s">
        <v>73</v>
      </c>
      <c r="F147" s="101" t="s">
        <v>73</v>
      </c>
      <c r="G147" s="102" t="str">
        <f>TEXT(MC[[#This Row],[Date]],"mmm-yy")</f>
        <v>Feb-24</v>
      </c>
      <c r="H147" s="102">
        <f>DAY(EOMONTH(MC[[#This Row],[Month Year]],0))</f>
        <v>28</v>
      </c>
      <c r="I147" s="106"/>
      <c r="J147" s="106"/>
      <c r="K147" s="106"/>
      <c r="L147" s="106"/>
      <c r="M147" s="106"/>
      <c r="N147" s="106"/>
      <c r="O147" s="106"/>
      <c r="P147" s="106"/>
      <c r="Q147" s="106"/>
      <c r="R147" s="106">
        <f t="shared" si="4"/>
        <v>6000</v>
      </c>
      <c r="S147" s="1">
        <f>SUM(MC[[#This Row],[Blk1]:[Blk8]])</f>
        <v>6000</v>
      </c>
      <c r="T147" s="107">
        <v>0.22916666666666666</v>
      </c>
      <c r="U147" s="107">
        <v>0.39583333333333331</v>
      </c>
      <c r="V147" s="107">
        <v>0.6875</v>
      </c>
      <c r="W147" s="107">
        <v>0.95833333333333337</v>
      </c>
      <c r="X147" s="106" t="s">
        <v>88</v>
      </c>
      <c r="Y147" s="107"/>
      <c r="Z147" s="106"/>
    </row>
    <row r="148" spans="1:26" x14ac:dyDescent="0.25">
      <c r="A148" s="106">
        <v>146</v>
      </c>
      <c r="B148" s="103">
        <f t="shared" si="5"/>
        <v>45345</v>
      </c>
      <c r="C148" s="109">
        <f>YEAR(MC[[#This Row],[Date]])+IF(MONTH(MC[[#This Row],[Date]])&gt;=4,1,0)</f>
        <v>2024</v>
      </c>
      <c r="D148" s="110">
        <f>YEAR(MC[[#This Row],[Date]])</f>
        <v>2024</v>
      </c>
      <c r="E148" s="101" t="s">
        <v>73</v>
      </c>
      <c r="F148" s="101" t="s">
        <v>73</v>
      </c>
      <c r="G148" s="102" t="str">
        <f>TEXT(MC[[#This Row],[Date]],"mmm-yy")</f>
        <v>Feb-24</v>
      </c>
      <c r="H148" s="102">
        <f>DAY(EOMONTH(MC[[#This Row],[Month Year]],0))</f>
        <v>28</v>
      </c>
      <c r="I148" s="106"/>
      <c r="J148" s="106"/>
      <c r="K148" s="106"/>
      <c r="L148" s="106"/>
      <c r="M148" s="106"/>
      <c r="N148" s="106"/>
      <c r="O148" s="106"/>
      <c r="P148" s="106"/>
      <c r="Q148" s="106"/>
      <c r="R148" s="106">
        <f t="shared" si="4"/>
        <v>6000</v>
      </c>
      <c r="S148" s="1">
        <f>SUM(MC[[#This Row],[Blk1]:[Blk8]])</f>
        <v>6000</v>
      </c>
      <c r="T148" s="107">
        <v>0.22916666666666666</v>
      </c>
      <c r="U148" s="107">
        <v>0.39583333333333331</v>
      </c>
      <c r="V148" s="107">
        <v>0.6875</v>
      </c>
      <c r="W148" s="107">
        <v>0.95833333333333337</v>
      </c>
      <c r="X148" s="106" t="s">
        <v>88</v>
      </c>
      <c r="Y148" s="107"/>
      <c r="Z148" s="106"/>
    </row>
    <row r="149" spans="1:26" x14ac:dyDescent="0.25">
      <c r="A149" s="106">
        <v>147</v>
      </c>
      <c r="B149" s="103">
        <f t="shared" si="5"/>
        <v>45346</v>
      </c>
      <c r="C149" s="109">
        <f>YEAR(MC[[#This Row],[Date]])+IF(MONTH(MC[[#This Row],[Date]])&gt;=4,1,0)</f>
        <v>2024</v>
      </c>
      <c r="D149" s="110">
        <f>YEAR(MC[[#This Row],[Date]])</f>
        <v>2024</v>
      </c>
      <c r="E149" s="101" t="s">
        <v>73</v>
      </c>
      <c r="F149" s="101" t="s">
        <v>73</v>
      </c>
      <c r="G149" s="102" t="str">
        <f>TEXT(MC[[#This Row],[Date]],"mmm-yy")</f>
        <v>Feb-24</v>
      </c>
      <c r="H149" s="102">
        <f>DAY(EOMONTH(MC[[#This Row],[Month Year]],0))</f>
        <v>28</v>
      </c>
      <c r="I149" s="106"/>
      <c r="J149" s="106"/>
      <c r="K149" s="106"/>
      <c r="L149" s="106"/>
      <c r="M149" s="106"/>
      <c r="N149" s="106"/>
      <c r="O149" s="106"/>
      <c r="P149" s="106"/>
      <c r="Q149" s="106"/>
      <c r="R149" s="106">
        <f t="shared" si="4"/>
        <v>6000</v>
      </c>
      <c r="S149" s="1">
        <f>SUM(MC[[#This Row],[Blk1]:[Blk8]])</f>
        <v>6000</v>
      </c>
      <c r="T149" s="107">
        <v>0.22916666666666666</v>
      </c>
      <c r="U149" s="107">
        <v>0.39583333333333331</v>
      </c>
      <c r="V149" s="107">
        <v>0.6875</v>
      </c>
      <c r="W149" s="107">
        <v>0.95833333333333337</v>
      </c>
      <c r="X149" s="106" t="s">
        <v>88</v>
      </c>
      <c r="Y149" s="107"/>
      <c r="Z149" s="106"/>
    </row>
    <row r="150" spans="1:26" x14ac:dyDescent="0.25">
      <c r="A150" s="106">
        <v>148</v>
      </c>
      <c r="B150" s="103">
        <f t="shared" si="5"/>
        <v>45347</v>
      </c>
      <c r="C150" s="109">
        <f>YEAR(MC[[#This Row],[Date]])+IF(MONTH(MC[[#This Row],[Date]])&gt;=4,1,0)</f>
        <v>2024</v>
      </c>
      <c r="D150" s="110">
        <f>YEAR(MC[[#This Row],[Date]])</f>
        <v>2024</v>
      </c>
      <c r="E150" s="101" t="s">
        <v>73</v>
      </c>
      <c r="F150" s="101" t="s">
        <v>73</v>
      </c>
      <c r="G150" s="102" t="str">
        <f>TEXT(MC[[#This Row],[Date]],"mmm-yy")</f>
        <v>Feb-24</v>
      </c>
      <c r="H150" s="102">
        <f>DAY(EOMONTH(MC[[#This Row],[Month Year]],0))</f>
        <v>28</v>
      </c>
      <c r="I150" s="106"/>
      <c r="J150" s="106"/>
      <c r="K150" s="106"/>
      <c r="L150" s="106"/>
      <c r="M150" s="106"/>
      <c r="N150" s="106"/>
      <c r="O150" s="106"/>
      <c r="P150" s="106"/>
      <c r="Q150" s="106"/>
      <c r="R150" s="106">
        <f t="shared" si="4"/>
        <v>6000</v>
      </c>
      <c r="S150" s="1">
        <f>SUM(MC[[#This Row],[Blk1]:[Blk8]])</f>
        <v>6000</v>
      </c>
      <c r="T150" s="107">
        <v>0.22916666666666666</v>
      </c>
      <c r="U150" s="107">
        <v>0.39583333333333331</v>
      </c>
      <c r="V150" s="107">
        <v>0.6875</v>
      </c>
      <c r="W150" s="107">
        <v>0.95833333333333337</v>
      </c>
      <c r="X150" s="106" t="s">
        <v>88</v>
      </c>
      <c r="Y150" s="107"/>
      <c r="Z150" s="106"/>
    </row>
    <row r="151" spans="1:26" x14ac:dyDescent="0.25">
      <c r="A151" s="106">
        <v>149</v>
      </c>
      <c r="B151" s="103">
        <f t="shared" si="5"/>
        <v>45348</v>
      </c>
      <c r="C151" s="109">
        <f>YEAR(MC[[#This Row],[Date]])+IF(MONTH(MC[[#This Row],[Date]])&gt;=4,1,0)</f>
        <v>2024</v>
      </c>
      <c r="D151" s="110">
        <f>YEAR(MC[[#This Row],[Date]])</f>
        <v>2024</v>
      </c>
      <c r="E151" s="101" t="s">
        <v>73</v>
      </c>
      <c r="F151" s="101" t="s">
        <v>73</v>
      </c>
      <c r="G151" s="102" t="str">
        <f>TEXT(MC[[#This Row],[Date]],"mmm-yy")</f>
        <v>Feb-24</v>
      </c>
      <c r="H151" s="102">
        <f>DAY(EOMONTH(MC[[#This Row],[Month Year]],0))</f>
        <v>28</v>
      </c>
      <c r="I151" s="106"/>
      <c r="J151" s="106"/>
      <c r="K151" s="106"/>
      <c r="L151" s="106"/>
      <c r="M151" s="106"/>
      <c r="N151" s="106"/>
      <c r="O151" s="106"/>
      <c r="P151" s="106"/>
      <c r="Q151" s="106"/>
      <c r="R151" s="106">
        <f t="shared" si="4"/>
        <v>6000</v>
      </c>
      <c r="S151" s="1">
        <f>SUM(MC[[#This Row],[Blk1]:[Blk8]])</f>
        <v>6000</v>
      </c>
      <c r="T151" s="107">
        <v>0.22916666666666666</v>
      </c>
      <c r="U151" s="107">
        <v>0.39583333333333331</v>
      </c>
      <c r="V151" s="107">
        <v>0.6875</v>
      </c>
      <c r="W151" s="107">
        <v>0.95833333333333337</v>
      </c>
      <c r="X151" s="106" t="s">
        <v>88</v>
      </c>
      <c r="Y151" s="107"/>
      <c r="Z151" s="106"/>
    </row>
    <row r="152" spans="1:26" x14ac:dyDescent="0.25">
      <c r="A152" s="106">
        <v>150</v>
      </c>
      <c r="B152" s="103">
        <f t="shared" si="5"/>
        <v>45349</v>
      </c>
      <c r="C152" s="109">
        <f>YEAR(MC[[#This Row],[Date]])+IF(MONTH(MC[[#This Row],[Date]])&gt;=4,1,0)</f>
        <v>2024</v>
      </c>
      <c r="D152" s="110">
        <f>YEAR(MC[[#This Row],[Date]])</f>
        <v>2024</v>
      </c>
      <c r="E152" s="101" t="s">
        <v>73</v>
      </c>
      <c r="F152" s="101" t="s">
        <v>73</v>
      </c>
      <c r="G152" s="102" t="str">
        <f>TEXT(MC[[#This Row],[Date]],"mmm-yy")</f>
        <v>Feb-24</v>
      </c>
      <c r="H152" s="102">
        <f>DAY(EOMONTH(MC[[#This Row],[Month Year]],0))</f>
        <v>28</v>
      </c>
      <c r="I152" s="106"/>
      <c r="J152" s="106"/>
      <c r="K152" s="106"/>
      <c r="L152" s="106"/>
      <c r="M152" s="106"/>
      <c r="N152" s="106"/>
      <c r="O152" s="106"/>
      <c r="P152" s="106"/>
      <c r="Q152" s="106"/>
      <c r="R152" s="106">
        <f t="shared" si="4"/>
        <v>6000</v>
      </c>
      <c r="S152" s="1">
        <f>SUM(MC[[#This Row],[Blk1]:[Blk8]])</f>
        <v>6000</v>
      </c>
      <c r="T152" s="107">
        <v>0.22916666666666666</v>
      </c>
      <c r="U152" s="107">
        <v>0.39583333333333331</v>
      </c>
      <c r="V152" s="107">
        <v>0.6875</v>
      </c>
      <c r="W152" s="107">
        <v>0.95833333333333337</v>
      </c>
      <c r="X152" s="106" t="s">
        <v>88</v>
      </c>
      <c r="Y152" s="107"/>
      <c r="Z152" s="106"/>
    </row>
    <row r="153" spans="1:26" x14ac:dyDescent="0.25">
      <c r="A153" s="106">
        <v>151</v>
      </c>
      <c r="B153" s="103">
        <f t="shared" si="5"/>
        <v>45350</v>
      </c>
      <c r="C153" s="109">
        <f>YEAR(MC[[#This Row],[Date]])+IF(MONTH(MC[[#This Row],[Date]])&gt;=4,1,0)</f>
        <v>2024</v>
      </c>
      <c r="D153" s="110">
        <f>YEAR(MC[[#This Row],[Date]])</f>
        <v>2024</v>
      </c>
      <c r="E153" s="101" t="s">
        <v>73</v>
      </c>
      <c r="F153" s="101" t="s">
        <v>73</v>
      </c>
      <c r="G153" s="102" t="str">
        <f>TEXT(MC[[#This Row],[Date]],"mmm-yy")</f>
        <v>Feb-24</v>
      </c>
      <c r="H153" s="102">
        <f>DAY(EOMONTH(MC[[#This Row],[Month Year]],0))</f>
        <v>28</v>
      </c>
      <c r="I153" s="106"/>
      <c r="J153" s="106"/>
      <c r="K153" s="106"/>
      <c r="L153" s="106"/>
      <c r="M153" s="106"/>
      <c r="N153" s="106"/>
      <c r="O153" s="106"/>
      <c r="P153" s="106"/>
      <c r="Q153" s="106"/>
      <c r="R153" s="106">
        <f t="shared" si="4"/>
        <v>6000</v>
      </c>
      <c r="S153" s="1">
        <f>SUM(MC[[#This Row],[Blk1]:[Blk8]])</f>
        <v>6000</v>
      </c>
      <c r="T153" s="107">
        <v>0.22916666666666666</v>
      </c>
      <c r="U153" s="107">
        <v>0.39583333333333331</v>
      </c>
      <c r="V153" s="107">
        <v>0.6875</v>
      </c>
      <c r="W153" s="107">
        <v>0.95833333333333337</v>
      </c>
      <c r="X153" s="106" t="s">
        <v>88</v>
      </c>
      <c r="Y153" s="107"/>
      <c r="Z153" s="106"/>
    </row>
    <row r="154" spans="1:26" x14ac:dyDescent="0.25">
      <c r="A154" s="106">
        <v>152</v>
      </c>
      <c r="B154" s="103">
        <f t="shared" si="5"/>
        <v>45351</v>
      </c>
      <c r="C154" s="109">
        <f>YEAR(MC[[#This Row],[Date]])+IF(MONTH(MC[[#This Row],[Date]])&gt;=4,1,0)</f>
        <v>2024</v>
      </c>
      <c r="D154" s="110">
        <f>YEAR(MC[[#This Row],[Date]])</f>
        <v>2024</v>
      </c>
      <c r="E154" s="101" t="s">
        <v>73</v>
      </c>
      <c r="F154" s="101" t="s">
        <v>73</v>
      </c>
      <c r="G154" s="102" t="str">
        <f>TEXT(MC[[#This Row],[Date]],"mmm-yy")</f>
        <v>Feb-24</v>
      </c>
      <c r="H154" s="102">
        <f>DAY(EOMONTH(MC[[#This Row],[Month Year]],0))</f>
        <v>28</v>
      </c>
      <c r="I154" s="106"/>
      <c r="J154" s="106"/>
      <c r="K154" s="106"/>
      <c r="L154" s="106"/>
      <c r="M154" s="106"/>
      <c r="N154" s="106"/>
      <c r="O154" s="106"/>
      <c r="P154" s="106"/>
      <c r="Q154" s="106"/>
      <c r="R154" s="106">
        <f t="shared" si="4"/>
        <v>6000</v>
      </c>
      <c r="S154" s="1">
        <f>SUM(MC[[#This Row],[Blk1]:[Blk8]])</f>
        <v>6000</v>
      </c>
      <c r="T154" s="107">
        <v>0.22916666666666666</v>
      </c>
      <c r="U154" s="107">
        <v>0.39583333333333331</v>
      </c>
      <c r="V154" s="107">
        <v>0.6875</v>
      </c>
      <c r="W154" s="107">
        <v>0.95833333333333337</v>
      </c>
      <c r="X154" s="106" t="s">
        <v>88</v>
      </c>
      <c r="Y154" s="107"/>
      <c r="Z154" s="106"/>
    </row>
    <row r="155" spans="1:26" x14ac:dyDescent="0.25">
      <c r="A155" s="106">
        <v>153</v>
      </c>
      <c r="B155" s="103">
        <f t="shared" si="5"/>
        <v>45352</v>
      </c>
      <c r="C155" s="109">
        <f>YEAR(MC[[#This Row],[Date]])+IF(MONTH(MC[[#This Row],[Date]])&gt;=4,1,0)</f>
        <v>2024</v>
      </c>
      <c r="D155" s="110">
        <f>YEAR(MC[[#This Row],[Date]])</f>
        <v>2024</v>
      </c>
      <c r="E155" s="101" t="s">
        <v>73</v>
      </c>
      <c r="F155" s="101" t="s">
        <v>73</v>
      </c>
      <c r="G155" s="102" t="str">
        <f>TEXT(MC[[#This Row],[Date]],"mmm-yy")</f>
        <v>Mar-24</v>
      </c>
      <c r="H155" s="102">
        <f>DAY(EOMONTH(MC[[#This Row],[Month Year]],0))</f>
        <v>31</v>
      </c>
      <c r="I155" s="106"/>
      <c r="J155" s="106"/>
      <c r="K155" s="106"/>
      <c r="L155" s="106"/>
      <c r="M155" s="106"/>
      <c r="N155" s="106"/>
      <c r="O155" s="106"/>
      <c r="P155" s="106"/>
      <c r="Q155" s="106"/>
      <c r="R155" s="106">
        <f t="shared" si="4"/>
        <v>6000</v>
      </c>
      <c r="S155" s="1">
        <f>SUM(MC[[#This Row],[Blk1]:[Blk8]])</f>
        <v>6000</v>
      </c>
      <c r="T155" s="107">
        <v>0.22916666666666666</v>
      </c>
      <c r="U155" s="107">
        <v>0.39583333333333331</v>
      </c>
      <c r="V155" s="107">
        <v>0.6875</v>
      </c>
      <c r="W155" s="107">
        <v>0.95833333333333337</v>
      </c>
      <c r="X155" s="106" t="s">
        <v>88</v>
      </c>
      <c r="Y155" s="107"/>
      <c r="Z155" s="106"/>
    </row>
    <row r="156" spans="1:26" x14ac:dyDescent="0.25">
      <c r="A156" s="106">
        <v>154</v>
      </c>
      <c r="B156" s="103">
        <f t="shared" si="5"/>
        <v>45353</v>
      </c>
      <c r="C156" s="109">
        <f>YEAR(MC[[#This Row],[Date]])+IF(MONTH(MC[[#This Row],[Date]])&gt;=4,1,0)</f>
        <v>2024</v>
      </c>
      <c r="D156" s="110">
        <f>YEAR(MC[[#This Row],[Date]])</f>
        <v>2024</v>
      </c>
      <c r="E156" s="101" t="s">
        <v>73</v>
      </c>
      <c r="F156" s="101" t="s">
        <v>73</v>
      </c>
      <c r="G156" s="102" t="str">
        <f>TEXT(MC[[#This Row],[Date]],"mmm-yy")</f>
        <v>Mar-24</v>
      </c>
      <c r="H156" s="102">
        <f>DAY(EOMONTH(MC[[#This Row],[Month Year]],0))</f>
        <v>31</v>
      </c>
      <c r="I156" s="106"/>
      <c r="J156" s="106"/>
      <c r="K156" s="106"/>
      <c r="L156" s="106"/>
      <c r="M156" s="106"/>
      <c r="N156" s="106"/>
      <c r="O156" s="106"/>
      <c r="P156" s="106"/>
      <c r="Q156" s="106"/>
      <c r="R156" s="106">
        <f t="shared" si="4"/>
        <v>6000</v>
      </c>
      <c r="S156" s="1">
        <f>SUM(MC[[#This Row],[Blk1]:[Blk8]])</f>
        <v>6000</v>
      </c>
      <c r="T156" s="107">
        <v>0.22916666666666666</v>
      </c>
      <c r="U156" s="107">
        <v>0.39583333333333331</v>
      </c>
      <c r="V156" s="107">
        <v>0.6875</v>
      </c>
      <c r="W156" s="107">
        <v>0.95833333333333337</v>
      </c>
      <c r="X156" s="106" t="s">
        <v>88</v>
      </c>
      <c r="Y156" s="107"/>
      <c r="Z156" s="106"/>
    </row>
    <row r="157" spans="1:26" x14ac:dyDescent="0.25">
      <c r="A157" s="106">
        <v>155</v>
      </c>
      <c r="B157" s="103">
        <f t="shared" si="5"/>
        <v>45354</v>
      </c>
      <c r="C157" s="109">
        <f>YEAR(MC[[#This Row],[Date]])+IF(MONTH(MC[[#This Row],[Date]])&gt;=4,1,0)</f>
        <v>2024</v>
      </c>
      <c r="D157" s="110">
        <f>YEAR(MC[[#This Row],[Date]])</f>
        <v>2024</v>
      </c>
      <c r="E157" s="101" t="s">
        <v>73</v>
      </c>
      <c r="F157" s="101" t="s">
        <v>73</v>
      </c>
      <c r="G157" s="102" t="str">
        <f>TEXT(MC[[#This Row],[Date]],"mmm-yy")</f>
        <v>Mar-24</v>
      </c>
      <c r="H157" s="102">
        <f>DAY(EOMONTH(MC[[#This Row],[Month Year]],0))</f>
        <v>31</v>
      </c>
      <c r="I157" s="106"/>
      <c r="J157" s="106"/>
      <c r="K157" s="106"/>
      <c r="L157" s="106"/>
      <c r="M157" s="106"/>
      <c r="N157" s="106"/>
      <c r="O157" s="106"/>
      <c r="P157" s="106"/>
      <c r="Q157" s="106"/>
      <c r="R157" s="106">
        <f t="shared" si="4"/>
        <v>6000</v>
      </c>
      <c r="S157" s="1">
        <f>SUM(MC[[#This Row],[Blk1]:[Blk8]])</f>
        <v>6000</v>
      </c>
      <c r="T157" s="107">
        <v>0.22916666666666666</v>
      </c>
      <c r="U157" s="107">
        <v>0.39583333333333331</v>
      </c>
      <c r="V157" s="107">
        <v>0.6875</v>
      </c>
      <c r="W157" s="107">
        <v>0.95833333333333337</v>
      </c>
      <c r="X157" s="106" t="s">
        <v>88</v>
      </c>
      <c r="Y157" s="107"/>
      <c r="Z157" s="106"/>
    </row>
    <row r="158" spans="1:26" x14ac:dyDescent="0.25">
      <c r="A158" s="106">
        <v>156</v>
      </c>
      <c r="B158" s="103">
        <f t="shared" si="5"/>
        <v>45355</v>
      </c>
      <c r="C158" s="109">
        <f>YEAR(MC[[#This Row],[Date]])+IF(MONTH(MC[[#This Row],[Date]])&gt;=4,1,0)</f>
        <v>2024</v>
      </c>
      <c r="D158" s="110">
        <f>YEAR(MC[[#This Row],[Date]])</f>
        <v>2024</v>
      </c>
      <c r="E158" s="101" t="s">
        <v>73</v>
      </c>
      <c r="F158" s="101" t="s">
        <v>73</v>
      </c>
      <c r="G158" s="102" t="str">
        <f>TEXT(MC[[#This Row],[Date]],"mmm-yy")</f>
        <v>Mar-24</v>
      </c>
      <c r="H158" s="102">
        <f>DAY(EOMONTH(MC[[#This Row],[Month Year]],0))</f>
        <v>31</v>
      </c>
      <c r="I158" s="106"/>
      <c r="J158" s="106"/>
      <c r="K158" s="106"/>
      <c r="L158" s="106"/>
      <c r="M158" s="106"/>
      <c r="N158" s="106"/>
      <c r="O158" s="106"/>
      <c r="P158" s="106"/>
      <c r="Q158" s="106"/>
      <c r="R158" s="106">
        <f t="shared" si="4"/>
        <v>6000</v>
      </c>
      <c r="S158" s="1">
        <f>SUM(MC[[#This Row],[Blk1]:[Blk8]])</f>
        <v>6000</v>
      </c>
      <c r="T158" s="107">
        <v>0.22916666666666666</v>
      </c>
      <c r="U158" s="107">
        <v>0.39583333333333331</v>
      </c>
      <c r="V158" s="107">
        <v>0.6875</v>
      </c>
      <c r="W158" s="107">
        <v>0.95833333333333337</v>
      </c>
      <c r="X158" s="106" t="s">
        <v>88</v>
      </c>
      <c r="Y158" s="107"/>
      <c r="Z158" s="106"/>
    </row>
    <row r="159" spans="1:26" x14ac:dyDescent="0.25">
      <c r="A159" s="106">
        <v>157</v>
      </c>
      <c r="B159" s="103">
        <f t="shared" si="5"/>
        <v>45356</v>
      </c>
      <c r="C159" s="109">
        <f>YEAR(MC[[#This Row],[Date]])+IF(MONTH(MC[[#This Row],[Date]])&gt;=4,1,0)</f>
        <v>2024</v>
      </c>
      <c r="D159" s="110">
        <f>YEAR(MC[[#This Row],[Date]])</f>
        <v>2024</v>
      </c>
      <c r="E159" s="101" t="s">
        <v>73</v>
      </c>
      <c r="F159" s="101" t="s">
        <v>73</v>
      </c>
      <c r="G159" s="102" t="str">
        <f>TEXT(MC[[#This Row],[Date]],"mmm-yy")</f>
        <v>Mar-24</v>
      </c>
      <c r="H159" s="102">
        <f>DAY(EOMONTH(MC[[#This Row],[Month Year]],0))</f>
        <v>31</v>
      </c>
      <c r="I159" s="106"/>
      <c r="J159" s="106"/>
      <c r="K159" s="106"/>
      <c r="L159" s="106"/>
      <c r="M159" s="106"/>
      <c r="N159" s="106"/>
      <c r="O159" s="106"/>
      <c r="P159" s="106"/>
      <c r="Q159" s="106"/>
      <c r="R159" s="106">
        <f t="shared" si="4"/>
        <v>6000</v>
      </c>
      <c r="S159" s="1">
        <f>SUM(MC[[#This Row],[Blk1]:[Blk8]])</f>
        <v>6000</v>
      </c>
      <c r="T159" s="107">
        <v>0.22916666666666666</v>
      </c>
      <c r="U159" s="107">
        <v>0.39583333333333331</v>
      </c>
      <c r="V159" s="107">
        <v>0.6875</v>
      </c>
      <c r="W159" s="107">
        <v>0.95833333333333337</v>
      </c>
      <c r="X159" s="106" t="s">
        <v>88</v>
      </c>
      <c r="Y159" s="107"/>
      <c r="Z159" s="106"/>
    </row>
    <row r="160" spans="1:26" x14ac:dyDescent="0.25">
      <c r="A160" s="106">
        <v>158</v>
      </c>
      <c r="B160" s="103">
        <f t="shared" si="5"/>
        <v>45357</v>
      </c>
      <c r="C160" s="109">
        <f>YEAR(MC[[#This Row],[Date]])+IF(MONTH(MC[[#This Row],[Date]])&gt;=4,1,0)</f>
        <v>2024</v>
      </c>
      <c r="D160" s="110">
        <f>YEAR(MC[[#This Row],[Date]])</f>
        <v>2024</v>
      </c>
      <c r="E160" s="101" t="s">
        <v>73</v>
      </c>
      <c r="F160" s="101" t="s">
        <v>73</v>
      </c>
      <c r="G160" s="102" t="str">
        <f>TEXT(MC[[#This Row],[Date]],"mmm-yy")</f>
        <v>Mar-24</v>
      </c>
      <c r="H160" s="102">
        <f>DAY(EOMONTH(MC[[#This Row],[Month Year]],0))</f>
        <v>31</v>
      </c>
      <c r="I160" s="106"/>
      <c r="J160" s="106"/>
      <c r="K160" s="106"/>
      <c r="L160" s="106"/>
      <c r="M160" s="106"/>
      <c r="N160" s="106"/>
      <c r="O160" s="106"/>
      <c r="P160" s="106"/>
      <c r="Q160" s="106"/>
      <c r="R160" s="106">
        <f t="shared" si="4"/>
        <v>6000</v>
      </c>
      <c r="S160" s="1">
        <f>SUM(MC[[#This Row],[Blk1]:[Blk8]])</f>
        <v>6000</v>
      </c>
      <c r="T160" s="107">
        <v>0.22916666666666666</v>
      </c>
      <c r="U160" s="107">
        <v>0.39583333333333331</v>
      </c>
      <c r="V160" s="107">
        <v>0.6875</v>
      </c>
      <c r="W160" s="107">
        <v>0.95833333333333337</v>
      </c>
      <c r="X160" s="106" t="s">
        <v>88</v>
      </c>
      <c r="Y160" s="107"/>
      <c r="Z160" s="106"/>
    </row>
    <row r="161" spans="1:26" x14ac:dyDescent="0.25">
      <c r="A161" s="106">
        <v>159</v>
      </c>
      <c r="B161" s="103">
        <f t="shared" si="5"/>
        <v>45358</v>
      </c>
      <c r="C161" s="109">
        <f>YEAR(MC[[#This Row],[Date]])+IF(MONTH(MC[[#This Row],[Date]])&gt;=4,1,0)</f>
        <v>2024</v>
      </c>
      <c r="D161" s="110">
        <f>YEAR(MC[[#This Row],[Date]])</f>
        <v>2024</v>
      </c>
      <c r="E161" s="101" t="s">
        <v>73</v>
      </c>
      <c r="F161" s="101" t="s">
        <v>73</v>
      </c>
      <c r="G161" s="102" t="str">
        <f>TEXT(MC[[#This Row],[Date]],"mmm-yy")</f>
        <v>Mar-24</v>
      </c>
      <c r="H161" s="102">
        <f>DAY(EOMONTH(MC[[#This Row],[Month Year]],0))</f>
        <v>31</v>
      </c>
      <c r="I161" s="106"/>
      <c r="J161" s="106"/>
      <c r="K161" s="106"/>
      <c r="L161" s="106"/>
      <c r="M161" s="106"/>
      <c r="N161" s="106"/>
      <c r="O161" s="106"/>
      <c r="P161" s="106"/>
      <c r="Q161" s="106"/>
      <c r="R161" s="106">
        <f t="shared" si="4"/>
        <v>6000</v>
      </c>
      <c r="S161" s="1">
        <f>SUM(MC[[#This Row],[Blk1]:[Blk8]])</f>
        <v>6000</v>
      </c>
      <c r="T161" s="107">
        <v>0.22916666666666666</v>
      </c>
      <c r="U161" s="107">
        <v>0.39583333333333331</v>
      </c>
      <c r="V161" s="107">
        <v>0.6875</v>
      </c>
      <c r="W161" s="107">
        <v>0.95833333333333337</v>
      </c>
      <c r="X161" s="106" t="s">
        <v>88</v>
      </c>
      <c r="Y161" s="107"/>
      <c r="Z161" s="106"/>
    </row>
    <row r="162" spans="1:26" x14ac:dyDescent="0.25">
      <c r="A162" s="106">
        <v>160</v>
      </c>
      <c r="B162" s="103">
        <f t="shared" si="5"/>
        <v>45359</v>
      </c>
      <c r="C162" s="109">
        <f>YEAR(MC[[#This Row],[Date]])+IF(MONTH(MC[[#This Row],[Date]])&gt;=4,1,0)</f>
        <v>2024</v>
      </c>
      <c r="D162" s="110">
        <f>YEAR(MC[[#This Row],[Date]])</f>
        <v>2024</v>
      </c>
      <c r="E162" s="101" t="s">
        <v>73</v>
      </c>
      <c r="F162" s="101" t="s">
        <v>73</v>
      </c>
      <c r="G162" s="102" t="str">
        <f>TEXT(MC[[#This Row],[Date]],"mmm-yy")</f>
        <v>Mar-24</v>
      </c>
      <c r="H162" s="102">
        <f>DAY(EOMONTH(MC[[#This Row],[Month Year]],0))</f>
        <v>31</v>
      </c>
      <c r="I162" s="106"/>
      <c r="J162" s="106"/>
      <c r="K162" s="106"/>
      <c r="L162" s="106"/>
      <c r="M162" s="106"/>
      <c r="N162" s="106"/>
      <c r="O162" s="106"/>
      <c r="P162" s="106"/>
      <c r="Q162" s="106"/>
      <c r="R162" s="106">
        <f t="shared" si="4"/>
        <v>6000</v>
      </c>
      <c r="S162" s="1">
        <f>SUM(MC[[#This Row],[Blk1]:[Blk8]])</f>
        <v>6000</v>
      </c>
      <c r="T162" s="107"/>
      <c r="U162" s="106"/>
      <c r="V162" s="106"/>
      <c r="W162" s="107"/>
      <c r="X162" s="106"/>
      <c r="Y162" s="106"/>
      <c r="Z162" s="116" t="s">
        <v>93</v>
      </c>
    </row>
    <row r="163" spans="1:26" x14ac:dyDescent="0.25">
      <c r="A163" s="106">
        <v>161</v>
      </c>
      <c r="B163" s="103">
        <f t="shared" si="5"/>
        <v>45360</v>
      </c>
      <c r="C163" s="109">
        <f>YEAR(MC[[#This Row],[Date]])+IF(MONTH(MC[[#This Row],[Date]])&gt;=4,1,0)</f>
        <v>2024</v>
      </c>
      <c r="D163" s="110">
        <f>YEAR(MC[[#This Row],[Date]])</f>
        <v>2024</v>
      </c>
      <c r="E163" s="101" t="s">
        <v>73</v>
      </c>
      <c r="F163" s="101" t="s">
        <v>73</v>
      </c>
      <c r="G163" s="102" t="str">
        <f>TEXT(MC[[#This Row],[Date]],"mmm-yy")</f>
        <v>Mar-24</v>
      </c>
      <c r="H163" s="102">
        <f>DAY(EOMONTH(MC[[#This Row],[Month Year]],0))</f>
        <v>31</v>
      </c>
      <c r="I163" s="106"/>
      <c r="J163" s="106"/>
      <c r="K163" s="106"/>
      <c r="L163" s="106"/>
      <c r="M163" s="106"/>
      <c r="N163" s="106"/>
      <c r="O163" s="106"/>
      <c r="P163" s="106"/>
      <c r="Q163" s="106"/>
      <c r="R163" s="106">
        <f t="shared" si="4"/>
        <v>6000</v>
      </c>
      <c r="S163" s="1">
        <f>SUM(MC[[#This Row],[Blk1]:[Blk8]])</f>
        <v>6000</v>
      </c>
      <c r="T163" s="107"/>
      <c r="U163" s="106"/>
      <c r="V163" s="107">
        <v>0.6875</v>
      </c>
      <c r="W163" s="107">
        <v>0.95833333333333337</v>
      </c>
      <c r="X163" s="106" t="s">
        <v>88</v>
      </c>
      <c r="Y163" s="106"/>
      <c r="Z163" s="106" t="s">
        <v>94</v>
      </c>
    </row>
    <row r="164" spans="1:26" x14ac:dyDescent="0.25">
      <c r="A164" s="106">
        <v>162</v>
      </c>
      <c r="B164" s="103">
        <f t="shared" si="5"/>
        <v>45361</v>
      </c>
      <c r="C164" s="109">
        <f>YEAR(MC[[#This Row],[Date]])+IF(MONTH(MC[[#This Row],[Date]])&gt;=4,1,0)</f>
        <v>2024</v>
      </c>
      <c r="D164" s="110">
        <f>YEAR(MC[[#This Row],[Date]])</f>
        <v>2024</v>
      </c>
      <c r="E164" s="101" t="s">
        <v>73</v>
      </c>
      <c r="F164" s="101" t="s">
        <v>73</v>
      </c>
      <c r="G164" s="102" t="str">
        <f>TEXT(MC[[#This Row],[Date]],"mmm-yy")</f>
        <v>Mar-24</v>
      </c>
      <c r="H164" s="102">
        <f>DAY(EOMONTH(MC[[#This Row],[Month Year]],0))</f>
        <v>31</v>
      </c>
      <c r="I164" s="106"/>
      <c r="J164" s="106"/>
      <c r="K164" s="106"/>
      <c r="L164" s="106"/>
      <c r="M164" s="106"/>
      <c r="N164" s="106"/>
      <c r="O164" s="106"/>
      <c r="P164" s="106"/>
      <c r="Q164" s="106"/>
      <c r="R164" s="106">
        <f t="shared" si="4"/>
        <v>6000</v>
      </c>
      <c r="S164" s="1">
        <f>SUM(MC[[#This Row],[Blk1]:[Blk8]])</f>
        <v>6000</v>
      </c>
      <c r="T164" s="107"/>
      <c r="U164" s="106"/>
      <c r="V164" s="107">
        <v>0.6875</v>
      </c>
      <c r="W164" s="107">
        <v>0.95833333333333337</v>
      </c>
      <c r="X164" s="106" t="s">
        <v>88</v>
      </c>
      <c r="Y164" s="106"/>
      <c r="Z164" s="106" t="s">
        <v>94</v>
      </c>
    </row>
    <row r="165" spans="1:26" x14ac:dyDescent="0.25">
      <c r="A165" s="106">
        <v>163</v>
      </c>
      <c r="B165" s="103">
        <f t="shared" si="5"/>
        <v>45362</v>
      </c>
      <c r="C165" s="109">
        <f>YEAR(MC[[#This Row],[Date]])+IF(MONTH(MC[[#This Row],[Date]])&gt;=4,1,0)</f>
        <v>2024</v>
      </c>
      <c r="D165" s="110">
        <f>YEAR(MC[[#This Row],[Date]])</f>
        <v>2024</v>
      </c>
      <c r="E165" s="101" t="s">
        <v>73</v>
      </c>
      <c r="F165" s="101" t="s">
        <v>73</v>
      </c>
      <c r="G165" s="102" t="str">
        <f>TEXT(MC[[#This Row],[Date]],"mmm-yy")</f>
        <v>Mar-24</v>
      </c>
      <c r="H165" s="102">
        <f>DAY(EOMONTH(MC[[#This Row],[Month Year]],0))</f>
        <v>31</v>
      </c>
      <c r="I165" s="106"/>
      <c r="J165" s="106"/>
      <c r="K165" s="106"/>
      <c r="L165" s="106"/>
      <c r="M165" s="106"/>
      <c r="N165" s="106"/>
      <c r="O165" s="106"/>
      <c r="P165" s="106"/>
      <c r="Q165" s="106"/>
      <c r="R165" s="106">
        <f t="shared" si="4"/>
        <v>6000</v>
      </c>
      <c r="S165" s="1">
        <f>SUM(MC[[#This Row],[Blk1]:[Blk8]])</f>
        <v>6000</v>
      </c>
      <c r="T165" s="106"/>
      <c r="U165" s="106"/>
      <c r="V165" s="107">
        <v>0.6875</v>
      </c>
      <c r="W165" s="107">
        <v>0.95833333333333337</v>
      </c>
      <c r="X165" s="106" t="s">
        <v>88</v>
      </c>
      <c r="Y165" s="106"/>
      <c r="Z165" s="106" t="s">
        <v>94</v>
      </c>
    </row>
    <row r="166" spans="1:26" x14ac:dyDescent="0.25">
      <c r="A166" s="106">
        <v>164</v>
      </c>
      <c r="B166" s="103">
        <f t="shared" si="5"/>
        <v>45363</v>
      </c>
      <c r="C166" s="109">
        <f>YEAR(MC[[#This Row],[Date]])+IF(MONTH(MC[[#This Row],[Date]])&gt;=4,1,0)</f>
        <v>2024</v>
      </c>
      <c r="D166" s="110">
        <f>YEAR(MC[[#This Row],[Date]])</f>
        <v>2024</v>
      </c>
      <c r="E166" s="101" t="s">
        <v>73</v>
      </c>
      <c r="F166" s="101" t="s">
        <v>73</v>
      </c>
      <c r="G166" s="102" t="str">
        <f>TEXT(MC[[#This Row],[Date]],"mmm-yy")</f>
        <v>Mar-24</v>
      </c>
      <c r="H166" s="102">
        <f>DAY(EOMONTH(MC[[#This Row],[Month Year]],0))</f>
        <v>31</v>
      </c>
      <c r="I166" s="106"/>
      <c r="J166" s="106"/>
      <c r="K166" s="106"/>
      <c r="L166" s="106"/>
      <c r="M166" s="106"/>
      <c r="N166" s="106"/>
      <c r="O166" s="106"/>
      <c r="P166" s="106"/>
      <c r="Q166" s="106"/>
      <c r="R166" s="106">
        <f t="shared" si="4"/>
        <v>6000</v>
      </c>
      <c r="S166" s="1">
        <f>SUM(MC[[#This Row],[Blk1]:[Blk8]])</f>
        <v>6000</v>
      </c>
      <c r="T166" s="106"/>
      <c r="U166" s="106"/>
      <c r="V166" s="107">
        <v>0.6875</v>
      </c>
      <c r="W166" s="107">
        <v>0.95833333333333337</v>
      </c>
      <c r="X166" s="106" t="s">
        <v>88</v>
      </c>
      <c r="Y166" s="106"/>
      <c r="Z166" s="106" t="s">
        <v>94</v>
      </c>
    </row>
    <row r="167" spans="1:26" x14ac:dyDescent="0.25">
      <c r="A167" s="106">
        <v>165</v>
      </c>
      <c r="B167" s="103">
        <f t="shared" si="5"/>
        <v>45364</v>
      </c>
      <c r="C167" s="109">
        <f>YEAR(MC[[#This Row],[Date]])+IF(MONTH(MC[[#This Row],[Date]])&gt;=4,1,0)</f>
        <v>2024</v>
      </c>
      <c r="D167" s="110">
        <f>YEAR(MC[[#This Row],[Date]])</f>
        <v>2024</v>
      </c>
      <c r="E167" s="101" t="s">
        <v>73</v>
      </c>
      <c r="F167" s="101" t="s">
        <v>73</v>
      </c>
      <c r="G167" s="102" t="str">
        <f>TEXT(MC[[#This Row],[Date]],"mmm-yy")</f>
        <v>Mar-24</v>
      </c>
      <c r="H167" s="102">
        <f>DAY(EOMONTH(MC[[#This Row],[Month Year]],0))</f>
        <v>31</v>
      </c>
      <c r="I167" s="106"/>
      <c r="J167" s="106"/>
      <c r="K167" s="106"/>
      <c r="L167" s="106"/>
      <c r="M167" s="106"/>
      <c r="N167" s="106"/>
      <c r="O167" s="106"/>
      <c r="P167" s="106"/>
      <c r="Q167" s="106"/>
      <c r="R167" s="106">
        <f t="shared" si="4"/>
        <v>6000</v>
      </c>
      <c r="S167" s="1">
        <f>SUM(MC[[#This Row],[Blk1]:[Blk8]])</f>
        <v>6000</v>
      </c>
      <c r="T167" s="106"/>
      <c r="U167" s="106"/>
      <c r="V167" s="107">
        <v>0.6875</v>
      </c>
      <c r="W167" s="107">
        <v>0.95833333333333337</v>
      </c>
      <c r="X167" s="106" t="s">
        <v>88</v>
      </c>
      <c r="Y167" s="106"/>
      <c r="Z167" s="106" t="s">
        <v>94</v>
      </c>
    </row>
    <row r="168" spans="1:26" x14ac:dyDescent="0.25">
      <c r="A168" s="106">
        <v>166</v>
      </c>
      <c r="B168" s="103">
        <f t="shared" si="5"/>
        <v>45365</v>
      </c>
      <c r="C168" s="109">
        <f>YEAR(MC[[#This Row],[Date]])+IF(MONTH(MC[[#This Row],[Date]])&gt;=4,1,0)</f>
        <v>2024</v>
      </c>
      <c r="D168" s="110">
        <f>YEAR(MC[[#This Row],[Date]])</f>
        <v>2024</v>
      </c>
      <c r="E168" s="101" t="s">
        <v>73</v>
      </c>
      <c r="F168" s="101" t="s">
        <v>73</v>
      </c>
      <c r="G168" s="102" t="str">
        <f>TEXT(MC[[#This Row],[Date]],"mmm-yy")</f>
        <v>Mar-24</v>
      </c>
      <c r="H168" s="102">
        <f>DAY(EOMONTH(MC[[#This Row],[Month Year]],0))</f>
        <v>31</v>
      </c>
      <c r="I168" s="106"/>
      <c r="J168" s="106"/>
      <c r="K168" s="106"/>
      <c r="L168" s="106"/>
      <c r="M168" s="106"/>
      <c r="N168" s="106"/>
      <c r="O168" s="106"/>
      <c r="P168" s="106"/>
      <c r="Q168" s="106"/>
      <c r="R168" s="106">
        <f t="shared" si="4"/>
        <v>6000</v>
      </c>
      <c r="S168" s="1">
        <f>SUM(MC[[#This Row],[Blk1]:[Blk8]])</f>
        <v>6000</v>
      </c>
      <c r="T168" s="107">
        <v>0.22916666666666666</v>
      </c>
      <c r="U168" s="107">
        <v>0.39583333333333331</v>
      </c>
      <c r="V168" s="107">
        <v>0.6875</v>
      </c>
      <c r="W168" s="107">
        <v>0.95833333333333337</v>
      </c>
      <c r="X168" s="106" t="s">
        <v>88</v>
      </c>
      <c r="Y168" s="106"/>
      <c r="Z168" s="108"/>
    </row>
    <row r="169" spans="1:26" x14ac:dyDescent="0.25">
      <c r="A169" s="106">
        <v>167</v>
      </c>
      <c r="B169" s="103">
        <f t="shared" si="5"/>
        <v>45366</v>
      </c>
      <c r="C169" s="109">
        <f>YEAR(MC[[#This Row],[Date]])+IF(MONTH(MC[[#This Row],[Date]])&gt;=4,1,0)</f>
        <v>2024</v>
      </c>
      <c r="D169" s="110">
        <f>YEAR(MC[[#This Row],[Date]])</f>
        <v>2024</v>
      </c>
      <c r="E169" s="101" t="s">
        <v>73</v>
      </c>
      <c r="F169" s="101" t="s">
        <v>73</v>
      </c>
      <c r="G169" s="102" t="str">
        <f>TEXT(MC[[#This Row],[Date]],"mmm-yy")</f>
        <v>Mar-24</v>
      </c>
      <c r="H169" s="102">
        <f>DAY(EOMONTH(MC[[#This Row],[Month Year]],0))</f>
        <v>31</v>
      </c>
      <c r="I169" s="106"/>
      <c r="J169" s="106"/>
      <c r="K169" s="106"/>
      <c r="L169" s="106"/>
      <c r="M169" s="106"/>
      <c r="N169" s="106"/>
      <c r="O169" s="106"/>
      <c r="P169" s="106"/>
      <c r="Q169" s="106"/>
      <c r="R169" s="106">
        <f t="shared" si="4"/>
        <v>6000</v>
      </c>
      <c r="S169" s="1">
        <f>SUM(MC[[#This Row],[Blk1]:[Blk8]])</f>
        <v>6000</v>
      </c>
      <c r="T169" s="107">
        <v>0.22916666666666666</v>
      </c>
      <c r="U169" s="107">
        <v>0.39583333333333331</v>
      </c>
      <c r="V169" s="107">
        <v>0.6875</v>
      </c>
      <c r="W169" s="107">
        <v>0.95833333333333337</v>
      </c>
      <c r="X169" s="106" t="s">
        <v>88</v>
      </c>
      <c r="Y169" s="106"/>
      <c r="Z169" s="108"/>
    </row>
    <row r="170" spans="1:26" x14ac:dyDescent="0.25">
      <c r="A170" s="106">
        <v>168</v>
      </c>
      <c r="B170" s="103">
        <f t="shared" si="5"/>
        <v>45367</v>
      </c>
      <c r="C170" s="109">
        <f>YEAR(MC[[#This Row],[Date]])+IF(MONTH(MC[[#This Row],[Date]])&gt;=4,1,0)</f>
        <v>2024</v>
      </c>
      <c r="D170" s="110">
        <f>YEAR(MC[[#This Row],[Date]])</f>
        <v>2024</v>
      </c>
      <c r="E170" s="101" t="s">
        <v>73</v>
      </c>
      <c r="F170" s="101" t="s">
        <v>73</v>
      </c>
      <c r="G170" s="102" t="str">
        <f>TEXT(MC[[#This Row],[Date]],"mmm-yy")</f>
        <v>Mar-24</v>
      </c>
      <c r="H170" s="102">
        <f>DAY(EOMONTH(MC[[#This Row],[Month Year]],0))</f>
        <v>31</v>
      </c>
      <c r="I170" s="106"/>
      <c r="J170" s="106"/>
      <c r="K170" s="106"/>
      <c r="L170" s="106"/>
      <c r="M170" s="106"/>
      <c r="N170" s="106"/>
      <c r="O170" s="106"/>
      <c r="P170" s="106"/>
      <c r="Q170" s="106"/>
      <c r="R170" s="106">
        <f t="shared" si="4"/>
        <v>6000</v>
      </c>
      <c r="S170" s="1">
        <f>SUM(MC[[#This Row],[Blk1]:[Blk8]])</f>
        <v>6000</v>
      </c>
      <c r="T170" s="107">
        <v>0.22916666666666666</v>
      </c>
      <c r="U170" s="107">
        <v>0.39583333333333331</v>
      </c>
      <c r="V170" s="107">
        <v>0.6875</v>
      </c>
      <c r="W170" s="107">
        <v>0.95833333333333337</v>
      </c>
      <c r="X170" s="106" t="s">
        <v>88</v>
      </c>
      <c r="Y170" s="106"/>
      <c r="Z170" s="108"/>
    </row>
    <row r="171" spans="1:26" x14ac:dyDescent="0.25">
      <c r="A171" s="106">
        <v>169</v>
      </c>
      <c r="B171" s="103">
        <f t="shared" si="5"/>
        <v>45368</v>
      </c>
      <c r="C171" s="109">
        <f>YEAR(MC[[#This Row],[Date]])+IF(MONTH(MC[[#This Row],[Date]])&gt;=4,1,0)</f>
        <v>2024</v>
      </c>
      <c r="D171" s="110">
        <f>YEAR(MC[[#This Row],[Date]])</f>
        <v>2024</v>
      </c>
      <c r="E171" s="101" t="s">
        <v>73</v>
      </c>
      <c r="F171" s="101" t="s">
        <v>73</v>
      </c>
      <c r="G171" s="102" t="str">
        <f>TEXT(MC[[#This Row],[Date]],"mmm-yy")</f>
        <v>Mar-24</v>
      </c>
      <c r="H171" s="102">
        <f>DAY(EOMONTH(MC[[#This Row],[Month Year]],0))</f>
        <v>31</v>
      </c>
      <c r="I171" s="106"/>
      <c r="J171" s="106"/>
      <c r="K171" s="106"/>
      <c r="L171" s="106"/>
      <c r="M171" s="106"/>
      <c r="N171" s="106"/>
      <c r="O171" s="106"/>
      <c r="P171" s="106"/>
      <c r="Q171" s="106"/>
      <c r="R171" s="106">
        <f t="shared" si="4"/>
        <v>6000</v>
      </c>
      <c r="S171" s="1">
        <f>SUM(MC[[#This Row],[Blk1]:[Blk8]])</f>
        <v>6000</v>
      </c>
      <c r="T171" s="107">
        <v>0.22916666666666666</v>
      </c>
      <c r="U171" s="107">
        <v>0.39583333333333331</v>
      </c>
      <c r="V171" s="107">
        <v>0.6875</v>
      </c>
      <c r="W171" s="107">
        <v>0.95833333333333337</v>
      </c>
      <c r="X171" s="106" t="s">
        <v>88</v>
      </c>
      <c r="Y171" s="106"/>
      <c r="Z171" s="108"/>
    </row>
    <row r="172" spans="1:26" x14ac:dyDescent="0.25">
      <c r="A172" s="106">
        <v>170</v>
      </c>
      <c r="B172" s="103">
        <f t="shared" si="5"/>
        <v>45369</v>
      </c>
      <c r="C172" s="109">
        <f>YEAR(MC[[#This Row],[Date]])+IF(MONTH(MC[[#This Row],[Date]])&gt;=4,1,0)</f>
        <v>2024</v>
      </c>
      <c r="D172" s="110">
        <f>YEAR(MC[[#This Row],[Date]])</f>
        <v>2024</v>
      </c>
      <c r="E172" s="101" t="s">
        <v>73</v>
      </c>
      <c r="F172" s="101" t="s">
        <v>73</v>
      </c>
      <c r="G172" s="102" t="str">
        <f>TEXT(MC[[#This Row],[Date]],"mmm-yy")</f>
        <v>Mar-24</v>
      </c>
      <c r="H172" s="102">
        <f>DAY(EOMONTH(MC[[#This Row],[Month Year]],0))</f>
        <v>31</v>
      </c>
      <c r="I172" s="106"/>
      <c r="J172" s="106"/>
      <c r="K172" s="106"/>
      <c r="L172" s="106"/>
      <c r="M172" s="106"/>
      <c r="N172" s="106"/>
      <c r="O172" s="106"/>
      <c r="P172" s="106"/>
      <c r="Q172" s="106"/>
      <c r="R172" s="106">
        <f t="shared" si="4"/>
        <v>6000</v>
      </c>
      <c r="S172" s="1">
        <f>SUM(MC[[#This Row],[Blk1]:[Blk8]])</f>
        <v>6000</v>
      </c>
      <c r="T172" s="107">
        <v>0.22916666666666666</v>
      </c>
      <c r="U172" s="107">
        <v>0.39583333333333331</v>
      </c>
      <c r="V172" s="107">
        <v>0.6875</v>
      </c>
      <c r="W172" s="107">
        <v>0.95833333333333337</v>
      </c>
      <c r="X172" s="106" t="s">
        <v>88</v>
      </c>
      <c r="Y172" s="106"/>
      <c r="Z172" s="108"/>
    </row>
    <row r="173" spans="1:26" x14ac:dyDescent="0.25">
      <c r="A173" s="106">
        <v>171</v>
      </c>
      <c r="B173" s="103">
        <f t="shared" si="5"/>
        <v>45370</v>
      </c>
      <c r="C173" s="109">
        <f>YEAR(MC[[#This Row],[Date]])+IF(MONTH(MC[[#This Row],[Date]])&gt;=4,1,0)</f>
        <v>2024</v>
      </c>
      <c r="D173" s="110">
        <f>YEAR(MC[[#This Row],[Date]])</f>
        <v>2024</v>
      </c>
      <c r="E173" s="101" t="s">
        <v>73</v>
      </c>
      <c r="F173" s="101" t="s">
        <v>73</v>
      </c>
      <c r="G173" s="102" t="str">
        <f>TEXT(MC[[#This Row],[Date]],"mmm-yy")</f>
        <v>Mar-24</v>
      </c>
      <c r="H173" s="102">
        <f>DAY(EOMONTH(MC[[#This Row],[Month Year]],0))</f>
        <v>31</v>
      </c>
      <c r="I173" s="106"/>
      <c r="J173" s="106"/>
      <c r="K173" s="106"/>
      <c r="L173" s="106"/>
      <c r="M173" s="106"/>
      <c r="N173" s="106"/>
      <c r="O173" s="106"/>
      <c r="P173" s="106"/>
      <c r="Q173" s="106"/>
      <c r="R173" s="106">
        <f t="shared" si="4"/>
        <v>6000</v>
      </c>
      <c r="S173" s="1">
        <f>SUM(MC[[#This Row],[Blk1]:[Blk8]])</f>
        <v>6000</v>
      </c>
      <c r="T173" s="107">
        <v>0.22916666666666666</v>
      </c>
      <c r="U173" s="107">
        <v>0.39583333333333331</v>
      </c>
      <c r="V173" s="107">
        <v>0.6875</v>
      </c>
      <c r="W173" s="107">
        <v>0.95833333333333337</v>
      </c>
      <c r="X173" s="106" t="s">
        <v>88</v>
      </c>
      <c r="Y173" s="106"/>
      <c r="Z173" s="108"/>
    </row>
    <row r="174" spans="1:26" x14ac:dyDescent="0.25">
      <c r="A174" s="106">
        <v>172</v>
      </c>
      <c r="B174" s="103">
        <f t="shared" si="5"/>
        <v>45371</v>
      </c>
      <c r="C174" s="109">
        <f>YEAR(MC[[#This Row],[Date]])+IF(MONTH(MC[[#This Row],[Date]])&gt;=4,1,0)</f>
        <v>2024</v>
      </c>
      <c r="D174" s="110">
        <f>YEAR(MC[[#This Row],[Date]])</f>
        <v>2024</v>
      </c>
      <c r="E174" s="101" t="s">
        <v>73</v>
      </c>
      <c r="F174" s="101" t="s">
        <v>73</v>
      </c>
      <c r="G174" s="102" t="str">
        <f>TEXT(MC[[#This Row],[Date]],"mmm-yy")</f>
        <v>Mar-24</v>
      </c>
      <c r="H174" s="102">
        <f>DAY(EOMONTH(MC[[#This Row],[Month Year]],0))</f>
        <v>31</v>
      </c>
      <c r="I174" s="106"/>
      <c r="J174" s="106"/>
      <c r="K174" s="106"/>
      <c r="L174" s="106"/>
      <c r="M174" s="106"/>
      <c r="N174" s="106"/>
      <c r="O174" s="106"/>
      <c r="P174" s="106"/>
      <c r="Q174" s="106"/>
      <c r="R174" s="106">
        <f t="shared" si="4"/>
        <v>6000</v>
      </c>
      <c r="S174" s="1">
        <f>SUM(MC[[#This Row],[Blk1]:[Blk8]])</f>
        <v>6000</v>
      </c>
      <c r="T174" s="107">
        <v>0.22916666666666666</v>
      </c>
      <c r="U174" s="107">
        <v>0.39583333333333331</v>
      </c>
      <c r="V174" s="107">
        <v>0.6875</v>
      </c>
      <c r="W174" s="107">
        <v>0.95833333333333337</v>
      </c>
      <c r="X174" s="106" t="s">
        <v>88</v>
      </c>
      <c r="Y174" s="106"/>
      <c r="Z174" s="108"/>
    </row>
    <row r="175" spans="1:26" x14ac:dyDescent="0.25">
      <c r="A175" s="106">
        <v>173</v>
      </c>
      <c r="B175" s="103">
        <f t="shared" si="5"/>
        <v>45372</v>
      </c>
      <c r="C175" s="109">
        <f>YEAR(MC[[#This Row],[Date]])+IF(MONTH(MC[[#This Row],[Date]])&gt;=4,1,0)</f>
        <v>2024</v>
      </c>
      <c r="D175" s="110">
        <f>YEAR(MC[[#This Row],[Date]])</f>
        <v>2024</v>
      </c>
      <c r="E175" s="101" t="s">
        <v>73</v>
      </c>
      <c r="F175" s="101" t="s">
        <v>73</v>
      </c>
      <c r="G175" s="102" t="str">
        <f>TEXT(MC[[#This Row],[Date]],"mmm-yy")</f>
        <v>Mar-24</v>
      </c>
      <c r="H175" s="102">
        <f>DAY(EOMONTH(MC[[#This Row],[Month Year]],0))</f>
        <v>31</v>
      </c>
      <c r="I175" s="106"/>
      <c r="J175" s="106"/>
      <c r="K175" s="106"/>
      <c r="L175" s="106"/>
      <c r="M175" s="106"/>
      <c r="N175" s="106"/>
      <c r="O175" s="106"/>
      <c r="P175" s="106"/>
      <c r="Q175" s="106"/>
      <c r="R175" s="106">
        <f t="shared" si="4"/>
        <v>6000</v>
      </c>
      <c r="S175" s="1">
        <f>SUM(MC[[#This Row],[Blk1]:[Blk8]])</f>
        <v>6000</v>
      </c>
      <c r="T175" s="107">
        <v>0.22916666666666666</v>
      </c>
      <c r="U175" s="107">
        <v>0.39583333333333331</v>
      </c>
      <c r="V175" s="107">
        <v>0.6875</v>
      </c>
      <c r="W175" s="107">
        <v>0.95833333333333337</v>
      </c>
      <c r="X175" s="106" t="s">
        <v>88</v>
      </c>
      <c r="Y175" s="106"/>
      <c r="Z175" s="108"/>
    </row>
    <row r="176" spans="1:26" x14ac:dyDescent="0.25">
      <c r="A176" s="106">
        <v>174</v>
      </c>
      <c r="B176" s="103">
        <f t="shared" si="5"/>
        <v>45373</v>
      </c>
      <c r="C176" s="109">
        <f>YEAR(MC[[#This Row],[Date]])+IF(MONTH(MC[[#This Row],[Date]])&gt;=4,1,0)</f>
        <v>2024</v>
      </c>
      <c r="D176" s="110">
        <f>YEAR(MC[[#This Row],[Date]])</f>
        <v>2024</v>
      </c>
      <c r="E176" s="101" t="s">
        <v>73</v>
      </c>
      <c r="F176" s="101" t="s">
        <v>73</v>
      </c>
      <c r="G176" s="102" t="str">
        <f>TEXT(MC[[#This Row],[Date]],"mmm-yy")</f>
        <v>Mar-24</v>
      </c>
      <c r="H176" s="102">
        <f>DAY(EOMONTH(MC[[#This Row],[Month Year]],0))</f>
        <v>31</v>
      </c>
      <c r="I176" s="106"/>
      <c r="J176" s="106"/>
      <c r="K176" s="106"/>
      <c r="L176" s="106"/>
      <c r="M176" s="106"/>
      <c r="N176" s="106"/>
      <c r="O176" s="106"/>
      <c r="P176" s="106"/>
      <c r="Q176" s="106"/>
      <c r="R176" s="106">
        <f t="shared" si="4"/>
        <v>6000</v>
      </c>
      <c r="S176" s="1">
        <f>SUM(MC[[#This Row],[Blk1]:[Blk8]])</f>
        <v>6000</v>
      </c>
      <c r="T176" s="107">
        <v>0.22916666666666666</v>
      </c>
      <c r="U176" s="107">
        <v>0.39583333333333331</v>
      </c>
      <c r="V176" s="107">
        <v>0.6875</v>
      </c>
      <c r="W176" s="107">
        <v>0.95833333333333337</v>
      </c>
      <c r="X176" s="106" t="s">
        <v>88</v>
      </c>
      <c r="Y176" s="106"/>
      <c r="Z176" s="108"/>
    </row>
    <row r="177" spans="1:26" x14ac:dyDescent="0.25">
      <c r="A177" s="106">
        <v>175</v>
      </c>
      <c r="B177" s="103">
        <f t="shared" si="5"/>
        <v>45374</v>
      </c>
      <c r="C177" s="109">
        <f>YEAR(MC[[#This Row],[Date]])+IF(MONTH(MC[[#This Row],[Date]])&gt;=4,1,0)</f>
        <v>2024</v>
      </c>
      <c r="D177" s="110">
        <f>YEAR(MC[[#This Row],[Date]])</f>
        <v>2024</v>
      </c>
      <c r="E177" s="101" t="s">
        <v>73</v>
      </c>
      <c r="F177" s="101" t="s">
        <v>73</v>
      </c>
      <c r="G177" s="102" t="str">
        <f>TEXT(MC[[#This Row],[Date]],"mmm-yy")</f>
        <v>Mar-24</v>
      </c>
      <c r="H177" s="102">
        <f>DAY(EOMONTH(MC[[#This Row],[Month Year]],0))</f>
        <v>31</v>
      </c>
      <c r="I177" s="106"/>
      <c r="J177" s="106"/>
      <c r="K177" s="106"/>
      <c r="L177" s="106"/>
      <c r="M177" s="106"/>
      <c r="N177" s="106"/>
      <c r="O177" s="106"/>
      <c r="P177" s="106"/>
      <c r="Q177" s="106"/>
      <c r="R177" s="106">
        <f t="shared" si="4"/>
        <v>6000</v>
      </c>
      <c r="S177" s="1">
        <f>SUM(MC[[#This Row],[Blk1]:[Blk8]])</f>
        <v>6000</v>
      </c>
      <c r="T177" s="107">
        <v>0.22916666666666666</v>
      </c>
      <c r="U177" s="107">
        <v>0.39583333333333331</v>
      </c>
      <c r="V177" s="107">
        <v>0.6875</v>
      </c>
      <c r="W177" s="107">
        <v>0.95833333333333337</v>
      </c>
      <c r="X177" s="106" t="s">
        <v>88</v>
      </c>
      <c r="Y177" s="106"/>
      <c r="Z177" s="108"/>
    </row>
    <row r="178" spans="1:26" x14ac:dyDescent="0.25">
      <c r="A178" s="106">
        <v>176</v>
      </c>
      <c r="B178" s="103">
        <f t="shared" si="5"/>
        <v>45375</v>
      </c>
      <c r="C178" s="109">
        <f>YEAR(MC[[#This Row],[Date]])+IF(MONTH(MC[[#This Row],[Date]])&gt;=4,1,0)</f>
        <v>2024</v>
      </c>
      <c r="D178" s="110">
        <f>YEAR(MC[[#This Row],[Date]])</f>
        <v>2024</v>
      </c>
      <c r="E178" s="101" t="s">
        <v>73</v>
      </c>
      <c r="F178" s="101" t="s">
        <v>73</v>
      </c>
      <c r="G178" s="102" t="str">
        <f>TEXT(MC[[#This Row],[Date]],"mmm-yy")</f>
        <v>Mar-24</v>
      </c>
      <c r="H178" s="102">
        <f>DAY(EOMONTH(MC[[#This Row],[Month Year]],0))</f>
        <v>31</v>
      </c>
      <c r="I178" s="106"/>
      <c r="J178" s="106"/>
      <c r="K178" s="106"/>
      <c r="L178" s="106"/>
      <c r="M178" s="106"/>
      <c r="N178" s="106"/>
      <c r="O178" s="106"/>
      <c r="P178" s="106"/>
      <c r="Q178" s="106"/>
      <c r="R178" s="106">
        <f t="shared" si="4"/>
        <v>6000</v>
      </c>
      <c r="S178" s="1">
        <f>SUM(MC[[#This Row],[Blk1]:[Blk8]])</f>
        <v>6000</v>
      </c>
      <c r="T178" s="106"/>
      <c r="U178" s="106"/>
      <c r="V178" s="106"/>
      <c r="W178" s="106"/>
      <c r="X178" s="106"/>
      <c r="Y178" s="106"/>
      <c r="Z178" s="108" t="s">
        <v>95</v>
      </c>
    </row>
    <row r="179" spans="1:26" x14ac:dyDescent="0.25">
      <c r="A179" s="106">
        <v>177</v>
      </c>
      <c r="B179" s="103">
        <f t="shared" si="5"/>
        <v>45376</v>
      </c>
      <c r="C179" s="109">
        <f>YEAR(MC[[#This Row],[Date]])+IF(MONTH(MC[[#This Row],[Date]])&gt;=4,1,0)</f>
        <v>2024</v>
      </c>
      <c r="D179" s="110">
        <f>YEAR(MC[[#This Row],[Date]])</f>
        <v>2024</v>
      </c>
      <c r="E179" s="101" t="s">
        <v>73</v>
      </c>
      <c r="F179" s="101" t="s">
        <v>73</v>
      </c>
      <c r="G179" s="102" t="str">
        <f>TEXT(MC[[#This Row],[Date]],"mmm-yy")</f>
        <v>Mar-24</v>
      </c>
      <c r="H179" s="102">
        <f>DAY(EOMONTH(MC[[#This Row],[Month Year]],0))</f>
        <v>31</v>
      </c>
      <c r="I179" s="106"/>
      <c r="J179" s="106"/>
      <c r="K179" s="106"/>
      <c r="L179" s="106"/>
      <c r="M179" s="106"/>
      <c r="N179" s="106"/>
      <c r="O179" s="106"/>
      <c r="P179" s="106"/>
      <c r="Q179" s="106"/>
      <c r="R179" s="106">
        <f t="shared" si="4"/>
        <v>6000</v>
      </c>
      <c r="S179" s="1">
        <f>SUM(MC[[#This Row],[Blk1]:[Blk8]])</f>
        <v>6000</v>
      </c>
      <c r="T179" s="106"/>
      <c r="U179" s="106"/>
      <c r="V179" s="106"/>
      <c r="W179" s="106"/>
      <c r="X179" s="106"/>
      <c r="Y179" s="106"/>
      <c r="Z179" s="108" t="s">
        <v>95</v>
      </c>
    </row>
    <row r="180" spans="1:26" x14ac:dyDescent="0.25">
      <c r="A180" s="106">
        <v>177</v>
      </c>
      <c r="B180" s="103">
        <f t="shared" si="5"/>
        <v>45377</v>
      </c>
      <c r="C180" s="109">
        <f>YEAR(MC[[#This Row],[Date]])+IF(MONTH(MC[[#This Row],[Date]])&gt;=4,1,0)</f>
        <v>2024</v>
      </c>
      <c r="D180" s="110">
        <f>YEAR(MC[[#This Row],[Date]])</f>
        <v>2024</v>
      </c>
      <c r="E180" s="101" t="s">
        <v>73</v>
      </c>
      <c r="F180" s="101" t="s">
        <v>73</v>
      </c>
      <c r="G180" s="102" t="str">
        <f>TEXT(MC[[#This Row],[Date]],"mmm-yy")</f>
        <v>Mar-24</v>
      </c>
      <c r="H180" s="102">
        <f>DAY(EOMONTH(MC[[#This Row],[Month Year]],0))</f>
        <v>31</v>
      </c>
      <c r="I180" s="106"/>
      <c r="J180" s="106"/>
      <c r="K180" s="106"/>
      <c r="L180" s="106"/>
      <c r="M180" s="106"/>
      <c r="N180" s="106"/>
      <c r="O180" s="106"/>
      <c r="P180" s="106"/>
      <c r="Q180" s="106"/>
      <c r="R180" s="106">
        <f t="shared" si="4"/>
        <v>6000</v>
      </c>
      <c r="S180" s="1">
        <f>SUM(MC[[#This Row],[Blk1]:[Blk8]])</f>
        <v>6000</v>
      </c>
      <c r="T180" s="106"/>
      <c r="U180" s="106"/>
      <c r="V180" s="107">
        <v>0.6875</v>
      </c>
      <c r="W180" s="107">
        <v>0.95833333333333337</v>
      </c>
      <c r="X180" s="106" t="s">
        <v>88</v>
      </c>
      <c r="Y180" s="106"/>
      <c r="Z180" s="108"/>
    </row>
    <row r="181" spans="1:26" x14ac:dyDescent="0.25">
      <c r="A181" s="106">
        <v>179</v>
      </c>
      <c r="B181" s="103">
        <f t="shared" si="5"/>
        <v>45378</v>
      </c>
      <c r="C181" s="109">
        <f>YEAR(MC[[#This Row],[Date]])+IF(MONTH(MC[[#This Row],[Date]])&gt;=4,1,0)</f>
        <v>2024</v>
      </c>
      <c r="D181" s="110">
        <f>YEAR(MC[[#This Row],[Date]])</f>
        <v>2024</v>
      </c>
      <c r="E181" s="101" t="s">
        <v>73</v>
      </c>
      <c r="F181" s="101" t="s">
        <v>73</v>
      </c>
      <c r="G181" s="102" t="str">
        <f>TEXT(MC[[#This Row],[Date]],"mmm-yy")</f>
        <v>Mar-24</v>
      </c>
      <c r="H181" s="102">
        <f>DAY(EOMONTH(MC[[#This Row],[Month Year]],0))</f>
        <v>31</v>
      </c>
      <c r="I181" s="106"/>
      <c r="J181" s="106"/>
      <c r="K181" s="106"/>
      <c r="L181" s="106"/>
      <c r="M181" s="106"/>
      <c r="N181" s="106"/>
      <c r="O181" s="106"/>
      <c r="P181" s="106"/>
      <c r="Q181" s="106"/>
      <c r="R181" s="106">
        <f t="shared" si="4"/>
        <v>6000</v>
      </c>
      <c r="S181" s="1">
        <f>SUM(MC[[#This Row],[Blk1]:[Blk8]])</f>
        <v>6000</v>
      </c>
      <c r="T181" s="107"/>
      <c r="U181" s="107"/>
      <c r="V181" s="107">
        <v>0.6875</v>
      </c>
      <c r="W181" s="107">
        <v>0.95833333333333337</v>
      </c>
      <c r="X181" s="106" t="s">
        <v>88</v>
      </c>
      <c r="Y181" s="106"/>
      <c r="Z181" s="116" t="s">
        <v>96</v>
      </c>
    </row>
    <row r="182" spans="1:26" x14ac:dyDescent="0.25">
      <c r="A182" s="106">
        <v>180</v>
      </c>
      <c r="B182" s="103">
        <f t="shared" si="5"/>
        <v>45379</v>
      </c>
      <c r="C182" s="109">
        <f>YEAR(MC[[#This Row],[Date]])+IF(MONTH(MC[[#This Row],[Date]])&gt;=4,1,0)</f>
        <v>2024</v>
      </c>
      <c r="D182" s="110">
        <f>YEAR(MC[[#This Row],[Date]])</f>
        <v>2024</v>
      </c>
      <c r="E182" s="101" t="s">
        <v>73</v>
      </c>
      <c r="F182" s="101" t="s">
        <v>73</v>
      </c>
      <c r="G182" s="102" t="str">
        <f>TEXT(MC[[#This Row],[Date]],"mmm-yy")</f>
        <v>Mar-24</v>
      </c>
      <c r="H182" s="102">
        <f>DAY(EOMONTH(MC[[#This Row],[Month Year]],0))</f>
        <v>31</v>
      </c>
      <c r="I182" s="106"/>
      <c r="J182" s="106"/>
      <c r="K182" s="106"/>
      <c r="L182" s="106"/>
      <c r="M182" s="106"/>
      <c r="N182" s="106"/>
      <c r="O182" s="106"/>
      <c r="P182" s="106"/>
      <c r="Q182" s="106"/>
      <c r="R182" s="106">
        <f t="shared" si="4"/>
        <v>6000</v>
      </c>
      <c r="S182" s="1">
        <f>SUM(MC[[#This Row],[Blk1]:[Blk8]])</f>
        <v>6000</v>
      </c>
      <c r="T182" s="107"/>
      <c r="U182" s="107"/>
      <c r="V182" s="107">
        <v>0.6875</v>
      </c>
      <c r="W182" s="107">
        <v>0.95833333333333337</v>
      </c>
      <c r="X182" s="106" t="s">
        <v>88</v>
      </c>
      <c r="Y182" s="106"/>
      <c r="Z182" s="108"/>
    </row>
    <row r="183" spans="1:26" x14ac:dyDescent="0.25">
      <c r="A183" s="106">
        <v>181</v>
      </c>
      <c r="B183" s="103">
        <f t="shared" si="5"/>
        <v>45380</v>
      </c>
      <c r="C183" s="109">
        <f>YEAR(MC[[#This Row],[Date]])+IF(MONTH(MC[[#This Row],[Date]])&gt;=4,1,0)</f>
        <v>2024</v>
      </c>
      <c r="D183" s="110">
        <f>YEAR(MC[[#This Row],[Date]])</f>
        <v>2024</v>
      </c>
      <c r="E183" s="101" t="s">
        <v>73</v>
      </c>
      <c r="F183" s="101" t="s">
        <v>73</v>
      </c>
      <c r="G183" s="102" t="str">
        <f>TEXT(MC[[#This Row],[Date]],"mmm-yy")</f>
        <v>Mar-24</v>
      </c>
      <c r="H183" s="102">
        <f>DAY(EOMONTH(MC[[#This Row],[Month Year]],0))</f>
        <v>31</v>
      </c>
      <c r="I183" s="106"/>
      <c r="J183" s="106"/>
      <c r="K183" s="106"/>
      <c r="L183" s="106"/>
      <c r="M183" s="106"/>
      <c r="N183" s="106"/>
      <c r="O183" s="106"/>
      <c r="P183" s="106"/>
      <c r="Q183" s="106"/>
      <c r="R183" s="106">
        <f t="shared" si="4"/>
        <v>6000</v>
      </c>
      <c r="S183" s="1">
        <f>SUM(MC[[#This Row],[Blk1]:[Blk8]])</f>
        <v>6000</v>
      </c>
      <c r="T183" s="106"/>
      <c r="U183" s="106"/>
      <c r="V183" s="107">
        <v>0.6875</v>
      </c>
      <c r="W183" s="107">
        <v>0.95833333333333337</v>
      </c>
      <c r="X183" s="106" t="s">
        <v>88</v>
      </c>
      <c r="Y183" s="106"/>
      <c r="Z183" s="108"/>
    </row>
    <row r="184" spans="1:26" x14ac:dyDescent="0.25">
      <c r="A184" s="106">
        <v>182</v>
      </c>
      <c r="B184" s="103">
        <f t="shared" si="5"/>
        <v>45381</v>
      </c>
      <c r="C184" s="109">
        <f>YEAR(MC[[#This Row],[Date]])+IF(MONTH(MC[[#This Row],[Date]])&gt;=4,1,0)</f>
        <v>2024</v>
      </c>
      <c r="D184" s="110">
        <f>YEAR(MC[[#This Row],[Date]])</f>
        <v>2024</v>
      </c>
      <c r="E184" s="101" t="s">
        <v>73</v>
      </c>
      <c r="F184" s="101" t="s">
        <v>73</v>
      </c>
      <c r="G184" s="102" t="str">
        <f>TEXT(MC[[#This Row],[Date]],"mmm-yy")</f>
        <v>Mar-24</v>
      </c>
      <c r="H184" s="102">
        <f>DAY(EOMONTH(MC[[#This Row],[Month Year]],0))</f>
        <v>31</v>
      </c>
      <c r="I184" s="106"/>
      <c r="J184" s="106"/>
      <c r="K184" s="106"/>
      <c r="L184" s="106"/>
      <c r="M184" s="106"/>
      <c r="N184" s="106"/>
      <c r="O184" s="106"/>
      <c r="P184" s="106"/>
      <c r="Q184" s="106"/>
      <c r="R184" s="106">
        <f t="shared" si="4"/>
        <v>6000</v>
      </c>
      <c r="S184" s="1">
        <f>SUM(MC[[#This Row],[Blk1]:[Blk8]])</f>
        <v>6000</v>
      </c>
      <c r="T184" s="106"/>
      <c r="U184" s="106"/>
      <c r="V184" s="107">
        <v>0.6875</v>
      </c>
      <c r="W184" s="107">
        <v>0.95833333333333337</v>
      </c>
      <c r="X184" s="106" t="s">
        <v>88</v>
      </c>
      <c r="Y184" s="106"/>
      <c r="Z184" s="108"/>
    </row>
    <row r="185" spans="1:26" x14ac:dyDescent="0.25">
      <c r="A185" s="106">
        <v>183</v>
      </c>
      <c r="B185" s="103">
        <f t="shared" si="5"/>
        <v>45382</v>
      </c>
      <c r="C185" s="109">
        <f>YEAR(MC[[#This Row],[Date]])+IF(MONTH(MC[[#This Row],[Date]])&gt;=4,1,0)</f>
        <v>2024</v>
      </c>
      <c r="D185" s="110">
        <f>YEAR(MC[[#This Row],[Date]])</f>
        <v>2024</v>
      </c>
      <c r="E185" s="101" t="s">
        <v>73</v>
      </c>
      <c r="F185" s="101" t="s">
        <v>73</v>
      </c>
      <c r="G185" s="102" t="str">
        <f>TEXT(MC[[#This Row],[Date]],"mmm-yy")</f>
        <v>Mar-24</v>
      </c>
      <c r="H185" s="102">
        <f>DAY(EOMONTH(MC[[#This Row],[Month Year]],0))</f>
        <v>31</v>
      </c>
      <c r="I185" s="106"/>
      <c r="J185" s="106"/>
      <c r="K185" s="106"/>
      <c r="L185" s="106"/>
      <c r="M185" s="106"/>
      <c r="N185" s="106"/>
      <c r="O185" s="106"/>
      <c r="P185" s="106"/>
      <c r="Q185" s="106"/>
      <c r="R185" s="106">
        <f t="shared" si="4"/>
        <v>6000</v>
      </c>
      <c r="S185" s="1">
        <f>SUM(MC[[#This Row],[Blk1]:[Blk8]])</f>
        <v>6000</v>
      </c>
      <c r="T185" s="106"/>
      <c r="U185" s="106"/>
      <c r="V185" s="107">
        <v>0.6875</v>
      </c>
      <c r="W185" s="107">
        <v>0.95833333333333337</v>
      </c>
      <c r="X185" s="106" t="s">
        <v>88</v>
      </c>
      <c r="Y185" s="106"/>
      <c r="Z185" s="108"/>
    </row>
    <row r="186" spans="1:26" x14ac:dyDescent="0.25">
      <c r="A186" s="106">
        <v>184</v>
      </c>
      <c r="B186" s="103">
        <f>B185+1</f>
        <v>45383</v>
      </c>
      <c r="C186" s="109">
        <v>2024</v>
      </c>
      <c r="D186" s="110">
        <f>YEAR(MC[[#This Row],[Date]])</f>
        <v>2024</v>
      </c>
      <c r="E186" s="101" t="s">
        <v>73</v>
      </c>
      <c r="F186" s="101" t="s">
        <v>73</v>
      </c>
      <c r="G186" s="102" t="str">
        <f>TEXT(MC[[#This Row],[Date]],"mmm-yy")</f>
        <v>Apr-24</v>
      </c>
      <c r="H186" s="102">
        <f>DAY(EOMONTH(MC[[#This Row],[Month Year]],0))</f>
        <v>30</v>
      </c>
      <c r="I186" s="121"/>
      <c r="J186" s="106"/>
      <c r="K186" s="106"/>
      <c r="L186" s="106"/>
      <c r="M186" s="106"/>
      <c r="N186" s="106"/>
      <c r="O186" s="106"/>
      <c r="P186" s="106"/>
      <c r="Q186" s="106"/>
      <c r="R186" s="106">
        <f t="shared" si="4"/>
        <v>6000</v>
      </c>
      <c r="S186" s="1">
        <f>SUM(MC[[#This Row],[Blk1]:[Blk8]])</f>
        <v>6000</v>
      </c>
      <c r="T186" s="106"/>
      <c r="U186" s="106"/>
      <c r="V186" s="107">
        <v>0.6875</v>
      </c>
      <c r="W186" s="107">
        <v>0.95833333333333337</v>
      </c>
      <c r="X186" s="106" t="s">
        <v>88</v>
      </c>
      <c r="Y186" s="106"/>
      <c r="Z186" s="108"/>
    </row>
    <row r="187" spans="1:26" x14ac:dyDescent="0.25">
      <c r="A187" s="106">
        <v>185</v>
      </c>
      <c r="B187" s="103">
        <f>B186+1</f>
        <v>45384</v>
      </c>
      <c r="C187" s="109">
        <v>2024</v>
      </c>
      <c r="D187" s="110">
        <f>YEAR(MC[[#This Row],[Date]])</f>
        <v>2024</v>
      </c>
      <c r="E187" s="101" t="s">
        <v>73</v>
      </c>
      <c r="F187" s="101" t="s">
        <v>73</v>
      </c>
      <c r="G187" s="102" t="str">
        <f>TEXT(MC[[#This Row],[Date]],"mmm-yy")</f>
        <v>Apr-24</v>
      </c>
      <c r="H187" s="102">
        <f>DAY(EOMONTH(MC[[#This Row],[Month Year]],0))</f>
        <v>30</v>
      </c>
      <c r="I187" s="121"/>
      <c r="J187" s="106"/>
      <c r="K187" s="106"/>
      <c r="L187" s="106"/>
      <c r="M187" s="106"/>
      <c r="N187" s="106"/>
      <c r="O187" s="106"/>
      <c r="P187" s="106"/>
      <c r="Q187" s="106"/>
      <c r="R187" s="106">
        <f t="shared" si="4"/>
        <v>6000</v>
      </c>
      <c r="S187" s="1">
        <f>SUM(MC[[#This Row],[Blk1]:[Blk8]])</f>
        <v>6000</v>
      </c>
      <c r="T187" s="107">
        <v>0.22916666666666666</v>
      </c>
      <c r="U187" s="107">
        <v>0.39583333333333331</v>
      </c>
      <c r="V187" s="107">
        <v>0.6875</v>
      </c>
      <c r="W187" s="107">
        <v>0.95833333333333337</v>
      </c>
      <c r="X187" s="106" t="s">
        <v>88</v>
      </c>
      <c r="Y187" s="106"/>
      <c r="Z187" s="108"/>
    </row>
    <row r="188" spans="1:26" x14ac:dyDescent="0.25">
      <c r="A188" s="106">
        <v>186</v>
      </c>
      <c r="B188" s="103">
        <f>B187+1</f>
        <v>45385</v>
      </c>
      <c r="C188" s="109">
        <v>2024</v>
      </c>
      <c r="D188" s="110">
        <f>YEAR(MC[[#This Row],[Date]])</f>
        <v>2024</v>
      </c>
      <c r="E188" s="101" t="s">
        <v>73</v>
      </c>
      <c r="F188" s="101" t="s">
        <v>73</v>
      </c>
      <c r="G188" s="102" t="str">
        <f>TEXT(MC[[#This Row],[Date]],"mmm-yy")</f>
        <v>Apr-24</v>
      </c>
      <c r="H188" s="102">
        <f>DAY(EOMONTH(MC[[#This Row],[Month Year]],0))</f>
        <v>30</v>
      </c>
      <c r="I188" s="121"/>
      <c r="J188" s="106"/>
      <c r="K188" s="106"/>
      <c r="L188" s="106"/>
      <c r="M188" s="106"/>
      <c r="N188" s="106"/>
      <c r="O188" s="106"/>
      <c r="P188" s="106"/>
      <c r="Q188" s="106"/>
      <c r="R188" s="106">
        <f t="shared" si="4"/>
        <v>6000</v>
      </c>
      <c r="S188" s="1">
        <f>SUM(MC[[#This Row],[Blk1]:[Blk8]])</f>
        <v>6000</v>
      </c>
      <c r="T188" s="107">
        <v>0.22916666666666666</v>
      </c>
      <c r="U188" s="107">
        <v>0.39583333333333331</v>
      </c>
      <c r="V188" s="107">
        <v>0.6875</v>
      </c>
      <c r="W188" s="107">
        <v>0.95833333333333337</v>
      </c>
      <c r="X188" s="106" t="s">
        <v>88</v>
      </c>
      <c r="Y188" s="106"/>
      <c r="Z188" s="108"/>
    </row>
    <row r="189" spans="1:26" x14ac:dyDescent="0.25">
      <c r="A189" s="106">
        <v>187</v>
      </c>
      <c r="B189" s="103">
        <f>B188+1</f>
        <v>45386</v>
      </c>
      <c r="C189" s="109">
        <v>2024</v>
      </c>
      <c r="D189" s="110">
        <f>YEAR(MC[[#This Row],[Date]])</f>
        <v>2024</v>
      </c>
      <c r="E189" s="101" t="s">
        <v>73</v>
      </c>
      <c r="F189" s="101" t="s">
        <v>73</v>
      </c>
      <c r="G189" s="102" t="str">
        <f>TEXT(MC[[#This Row],[Date]],"mmm-yy")</f>
        <v>Apr-24</v>
      </c>
      <c r="H189" s="102">
        <f>DAY(EOMONTH(MC[[#This Row],[Month Year]],0))</f>
        <v>30</v>
      </c>
      <c r="I189" s="121"/>
      <c r="J189" s="106"/>
      <c r="K189" s="106"/>
      <c r="L189" s="106"/>
      <c r="M189" s="106"/>
      <c r="N189" s="106"/>
      <c r="O189" s="106"/>
      <c r="P189" s="106"/>
      <c r="Q189" s="106"/>
      <c r="R189" s="106">
        <f t="shared" si="4"/>
        <v>6000</v>
      </c>
      <c r="S189" s="1">
        <f>SUM(MC[[#This Row],[Blk1]:[Blk8]])</f>
        <v>6000</v>
      </c>
      <c r="T189" s="107">
        <v>0.22916666666666666</v>
      </c>
      <c r="U189" s="107">
        <v>0.39583333333333331</v>
      </c>
      <c r="V189" s="107">
        <v>0.6875</v>
      </c>
      <c r="W189" s="107">
        <v>0.95833333333333337</v>
      </c>
      <c r="X189" s="106" t="s">
        <v>88</v>
      </c>
      <c r="Y189" s="106"/>
      <c r="Z189" s="108"/>
    </row>
    <row r="190" spans="1:26" x14ac:dyDescent="0.25">
      <c r="A190" s="106">
        <v>188</v>
      </c>
      <c r="B190" s="103">
        <f>B189+1</f>
        <v>45387</v>
      </c>
      <c r="C190" s="109">
        <v>2024</v>
      </c>
      <c r="D190" s="110">
        <f>YEAR(MC[[#This Row],[Date]])</f>
        <v>2024</v>
      </c>
      <c r="E190" s="101" t="s">
        <v>73</v>
      </c>
      <c r="F190" s="101" t="s">
        <v>73</v>
      </c>
      <c r="G190" s="102" t="str">
        <f>TEXT(MC[[#This Row],[Date]],"mmm-yy")</f>
        <v>Apr-24</v>
      </c>
      <c r="H190" s="102">
        <f>DAY(EOMONTH(MC[[#This Row],[Month Year]],0))</f>
        <v>30</v>
      </c>
      <c r="I190" s="121"/>
      <c r="J190" s="106"/>
      <c r="K190" s="106"/>
      <c r="L190" s="106"/>
      <c r="M190" s="106"/>
      <c r="N190" s="106"/>
      <c r="O190" s="106"/>
      <c r="P190" s="106"/>
      <c r="Q190" s="106"/>
      <c r="R190" s="106">
        <f t="shared" si="4"/>
        <v>6000</v>
      </c>
      <c r="S190" s="1">
        <f>SUM(MC[[#This Row],[Blk1]:[Blk8]])</f>
        <v>6000</v>
      </c>
      <c r="T190" s="107">
        <v>0.22916666666666666</v>
      </c>
      <c r="U190" s="107">
        <v>0.39583333333333331</v>
      </c>
      <c r="V190" s="107">
        <v>0.6875</v>
      </c>
      <c r="W190" s="107">
        <v>0.95833333333333337</v>
      </c>
      <c r="X190" s="106" t="s">
        <v>88</v>
      </c>
      <c r="Y190" s="106"/>
      <c r="Z190" s="106"/>
    </row>
    <row r="191" spans="1:26" x14ac:dyDescent="0.25">
      <c r="A191" s="106">
        <v>189</v>
      </c>
      <c r="B191" s="103">
        <f t="shared" ref="B191:B254" si="6">B190+1</f>
        <v>45388</v>
      </c>
      <c r="C191" s="109">
        <v>2024</v>
      </c>
      <c r="D191" s="110">
        <f>YEAR(MC[[#This Row],[Date]])</f>
        <v>2024</v>
      </c>
      <c r="E191" s="101" t="s">
        <v>73</v>
      </c>
      <c r="F191" s="101" t="s">
        <v>73</v>
      </c>
      <c r="G191" s="102" t="str">
        <f>TEXT(MC[[#This Row],[Date]],"mmm-yy")</f>
        <v>Apr-24</v>
      </c>
      <c r="H191" s="102">
        <f>DAY(EOMONTH(MC[[#This Row],[Month Year]],0))</f>
        <v>30</v>
      </c>
      <c r="I191" s="121"/>
      <c r="J191" s="106"/>
      <c r="K191" s="106"/>
      <c r="L191" s="106"/>
      <c r="M191" s="106"/>
      <c r="N191" s="106"/>
      <c r="O191" s="106"/>
      <c r="P191" s="106"/>
      <c r="Q191" s="106"/>
      <c r="R191" s="106">
        <f t="shared" si="4"/>
        <v>6000</v>
      </c>
      <c r="S191" s="1">
        <f>SUM(MC[[#This Row],[Blk1]:[Blk8]])</f>
        <v>6000</v>
      </c>
      <c r="T191" s="107">
        <v>0.22916666666666666</v>
      </c>
      <c r="U191" s="107">
        <v>0.39583333333333331</v>
      </c>
      <c r="V191" s="107">
        <v>0.6875</v>
      </c>
      <c r="W191" s="107">
        <v>0.95833333333333337</v>
      </c>
      <c r="X191" s="106" t="s">
        <v>88</v>
      </c>
      <c r="Y191" s="106"/>
      <c r="Z191" s="106"/>
    </row>
    <row r="192" spans="1:26" x14ac:dyDescent="0.25">
      <c r="A192" s="106">
        <v>190</v>
      </c>
      <c r="B192" s="103">
        <f t="shared" si="6"/>
        <v>45389</v>
      </c>
      <c r="C192" s="109">
        <v>2024</v>
      </c>
      <c r="D192" s="110">
        <f>YEAR(MC[[#This Row],[Date]])</f>
        <v>2024</v>
      </c>
      <c r="E192" s="101" t="s">
        <v>73</v>
      </c>
      <c r="F192" s="101" t="s">
        <v>73</v>
      </c>
      <c r="G192" s="102" t="str">
        <f>TEXT(MC[[#This Row],[Date]],"mmm-yy")</f>
        <v>Apr-24</v>
      </c>
      <c r="H192" s="102">
        <f>DAY(EOMONTH(MC[[#This Row],[Month Year]],0))</f>
        <v>30</v>
      </c>
      <c r="I192" s="121"/>
      <c r="J192" s="106"/>
      <c r="K192" s="106"/>
      <c r="L192" s="106"/>
      <c r="M192" s="106"/>
      <c r="N192" s="106"/>
      <c r="O192" s="106"/>
      <c r="P192" s="106"/>
      <c r="Q192" s="106"/>
      <c r="R192" s="106">
        <f t="shared" si="4"/>
        <v>6000</v>
      </c>
      <c r="S192" s="1">
        <f>SUM(MC[[#This Row],[Blk1]:[Blk8]])</f>
        <v>6000</v>
      </c>
      <c r="T192" s="107">
        <v>0.22916666666666666</v>
      </c>
      <c r="U192" s="107">
        <v>0.39583333333333331</v>
      </c>
      <c r="V192" s="107">
        <v>0.6875</v>
      </c>
      <c r="W192" s="107">
        <v>0.95833333333333337</v>
      </c>
      <c r="X192" s="106" t="s">
        <v>88</v>
      </c>
      <c r="Y192" s="106"/>
      <c r="Z192" s="106"/>
    </row>
    <row r="193" spans="1:26" x14ac:dyDescent="0.25">
      <c r="A193" s="106">
        <v>191</v>
      </c>
      <c r="B193" s="103">
        <f t="shared" si="6"/>
        <v>45390</v>
      </c>
      <c r="C193" s="109">
        <v>2024</v>
      </c>
      <c r="D193" s="110">
        <f>YEAR(MC[[#This Row],[Date]])</f>
        <v>2024</v>
      </c>
      <c r="E193" s="101" t="s">
        <v>73</v>
      </c>
      <c r="F193" s="101" t="s">
        <v>73</v>
      </c>
      <c r="G193" s="102" t="str">
        <f>TEXT(MC[[#This Row],[Date]],"mmm-yy")</f>
        <v>Apr-24</v>
      </c>
      <c r="H193" s="102">
        <f>DAY(EOMONTH(MC[[#This Row],[Month Year]],0))</f>
        <v>30</v>
      </c>
      <c r="I193" s="121"/>
      <c r="J193" s="106"/>
      <c r="K193" s="106"/>
      <c r="L193" s="106"/>
      <c r="M193" s="106"/>
      <c r="N193" s="106"/>
      <c r="O193" s="106"/>
      <c r="P193" s="106"/>
      <c r="Q193" s="106"/>
      <c r="R193" s="106">
        <f t="shared" si="4"/>
        <v>6000</v>
      </c>
      <c r="S193" s="1">
        <f>SUM(MC[[#This Row],[Blk1]:[Blk8]])</f>
        <v>6000</v>
      </c>
      <c r="T193" s="107">
        <v>0.22916666666666666</v>
      </c>
      <c r="U193" s="107">
        <v>0.39583333333333331</v>
      </c>
      <c r="V193" s="107">
        <v>0.6875</v>
      </c>
      <c r="W193" s="107">
        <v>0.95833333333333337</v>
      </c>
      <c r="X193" s="106" t="s">
        <v>88</v>
      </c>
      <c r="Y193" s="106"/>
      <c r="Z193" s="106"/>
    </row>
    <row r="194" spans="1:26" x14ac:dyDescent="0.25">
      <c r="A194" s="106">
        <v>192</v>
      </c>
      <c r="B194" s="103">
        <f t="shared" si="6"/>
        <v>45391</v>
      </c>
      <c r="C194" s="109">
        <v>2024</v>
      </c>
      <c r="D194" s="110">
        <f>YEAR(MC[[#This Row],[Date]])</f>
        <v>2024</v>
      </c>
      <c r="E194" s="101" t="s">
        <v>73</v>
      </c>
      <c r="F194" s="101" t="s">
        <v>73</v>
      </c>
      <c r="G194" s="102" t="str">
        <f>TEXT(MC[[#This Row],[Date]],"mmm-yy")</f>
        <v>Apr-24</v>
      </c>
      <c r="H194" s="102">
        <f>DAY(EOMONTH(MC[[#This Row],[Month Year]],0))</f>
        <v>30</v>
      </c>
      <c r="I194" s="121"/>
      <c r="J194" s="106"/>
      <c r="K194" s="106"/>
      <c r="L194" s="106"/>
      <c r="M194" s="106"/>
      <c r="N194" s="106"/>
      <c r="O194" s="106"/>
      <c r="P194" s="106"/>
      <c r="Q194" s="106"/>
      <c r="R194" s="106">
        <f t="shared" si="4"/>
        <v>6000</v>
      </c>
      <c r="S194" s="1">
        <f>SUM(MC[[#This Row],[Blk1]:[Blk8]])</f>
        <v>6000</v>
      </c>
      <c r="T194" s="107">
        <v>0.22916666666666666</v>
      </c>
      <c r="U194" s="107">
        <v>0.39583333333333331</v>
      </c>
      <c r="V194" s="107">
        <v>0.6875</v>
      </c>
      <c r="W194" s="107">
        <v>0.95833333333333337</v>
      </c>
      <c r="X194" s="106" t="s">
        <v>88</v>
      </c>
      <c r="Y194" s="106"/>
      <c r="Z194" s="106"/>
    </row>
    <row r="195" spans="1:26" x14ac:dyDescent="0.25">
      <c r="A195" s="106">
        <v>193</v>
      </c>
      <c r="B195" s="103">
        <f t="shared" si="6"/>
        <v>45392</v>
      </c>
      <c r="C195" s="109">
        <v>2024</v>
      </c>
      <c r="D195" s="110">
        <f>YEAR(MC[[#This Row],[Date]])</f>
        <v>2024</v>
      </c>
      <c r="E195" s="101" t="s">
        <v>73</v>
      </c>
      <c r="F195" s="101" t="s">
        <v>73</v>
      </c>
      <c r="G195" s="102" t="str">
        <f>TEXT(MC[[#This Row],[Date]],"mmm-yy")</f>
        <v>Apr-24</v>
      </c>
      <c r="H195" s="102">
        <f>DAY(EOMONTH(MC[[#This Row],[Month Year]],0))</f>
        <v>30</v>
      </c>
      <c r="I195" s="121"/>
      <c r="J195" s="106"/>
      <c r="K195" s="106"/>
      <c r="L195" s="106"/>
      <c r="M195" s="106"/>
      <c r="N195" s="106"/>
      <c r="O195" s="106"/>
      <c r="P195" s="106"/>
      <c r="Q195" s="106"/>
      <c r="R195" s="106">
        <f t="shared" ref="R195:R258" si="7">120*50</f>
        <v>6000</v>
      </c>
      <c r="S195" s="1">
        <f>SUM(MC[[#This Row],[Blk1]:[Blk8]])</f>
        <v>6000</v>
      </c>
      <c r="T195" s="107">
        <v>0.22916666666666666</v>
      </c>
      <c r="U195" s="107">
        <v>0.39583333333333331</v>
      </c>
      <c r="V195" s="107">
        <v>0.6875</v>
      </c>
      <c r="W195" s="107">
        <v>0.95833333333333337</v>
      </c>
      <c r="X195" s="106" t="s">
        <v>88</v>
      </c>
      <c r="Y195" s="106"/>
      <c r="Z195" s="106"/>
    </row>
    <row r="196" spans="1:26" x14ac:dyDescent="0.25">
      <c r="A196" s="106">
        <v>194</v>
      </c>
      <c r="B196" s="103">
        <f t="shared" si="6"/>
        <v>45393</v>
      </c>
      <c r="C196" s="109">
        <v>2024</v>
      </c>
      <c r="D196" s="110">
        <f>YEAR(MC[[#This Row],[Date]])</f>
        <v>2024</v>
      </c>
      <c r="E196" s="101" t="s">
        <v>73</v>
      </c>
      <c r="F196" s="101" t="s">
        <v>73</v>
      </c>
      <c r="G196" s="102" t="str">
        <f>TEXT(MC[[#This Row],[Date]],"mmm-yy")</f>
        <v>Apr-24</v>
      </c>
      <c r="H196" s="102">
        <f>DAY(EOMONTH(MC[[#This Row],[Month Year]],0))</f>
        <v>30</v>
      </c>
      <c r="I196" s="121"/>
      <c r="J196" s="106"/>
      <c r="K196" s="106"/>
      <c r="L196" s="106"/>
      <c r="M196" s="106"/>
      <c r="N196" s="106"/>
      <c r="O196" s="106"/>
      <c r="P196" s="106"/>
      <c r="Q196" s="106"/>
      <c r="R196" s="106">
        <f t="shared" si="7"/>
        <v>6000</v>
      </c>
      <c r="S196" s="1">
        <f>SUM(MC[[#This Row],[Blk1]:[Blk8]])</f>
        <v>6000</v>
      </c>
      <c r="T196" s="107">
        <v>0.22916666666666666</v>
      </c>
      <c r="U196" s="107">
        <v>0.39583333333333331</v>
      </c>
      <c r="V196" s="107">
        <v>0.6875</v>
      </c>
      <c r="W196" s="107">
        <v>0.95833333333333337</v>
      </c>
      <c r="X196" s="106" t="s">
        <v>88</v>
      </c>
      <c r="Y196" s="106"/>
      <c r="Z196" s="106"/>
    </row>
    <row r="197" spans="1:26" x14ac:dyDescent="0.25">
      <c r="A197" s="106">
        <v>195</v>
      </c>
      <c r="B197" s="103">
        <f t="shared" si="6"/>
        <v>45394</v>
      </c>
      <c r="C197" s="109">
        <v>2024</v>
      </c>
      <c r="D197" s="110">
        <f>YEAR(MC[[#This Row],[Date]])</f>
        <v>2024</v>
      </c>
      <c r="E197" s="101" t="s">
        <v>73</v>
      </c>
      <c r="F197" s="101" t="s">
        <v>73</v>
      </c>
      <c r="G197" s="102" t="str">
        <f>TEXT(MC[[#This Row],[Date]],"mmm-yy")</f>
        <v>Apr-24</v>
      </c>
      <c r="H197" s="102">
        <f>DAY(EOMONTH(MC[[#This Row],[Month Year]],0))</f>
        <v>30</v>
      </c>
      <c r="I197" s="121"/>
      <c r="J197" s="106"/>
      <c r="K197" s="106"/>
      <c r="L197" s="106"/>
      <c r="M197" s="106"/>
      <c r="N197" s="106"/>
      <c r="O197" s="106"/>
      <c r="P197" s="106"/>
      <c r="Q197" s="106"/>
      <c r="R197" s="106">
        <f t="shared" si="7"/>
        <v>6000</v>
      </c>
      <c r="S197" s="1">
        <f>SUM(MC[[#This Row],[Blk1]:[Blk8]])</f>
        <v>6000</v>
      </c>
      <c r="T197" s="107">
        <v>0.22916666666666666</v>
      </c>
      <c r="U197" s="107">
        <v>0.39583333333333331</v>
      </c>
      <c r="V197" s="107">
        <v>0.6875</v>
      </c>
      <c r="W197" s="107">
        <v>0.95833333333333337</v>
      </c>
      <c r="X197" s="106" t="s">
        <v>88</v>
      </c>
      <c r="Y197" s="106"/>
      <c r="Z197" s="106"/>
    </row>
    <row r="198" spans="1:26" x14ac:dyDescent="0.25">
      <c r="A198" s="106">
        <v>196</v>
      </c>
      <c r="B198" s="103">
        <f t="shared" si="6"/>
        <v>45395</v>
      </c>
      <c r="C198" s="109">
        <v>2024</v>
      </c>
      <c r="D198" s="110">
        <f>YEAR(MC[[#This Row],[Date]])</f>
        <v>2024</v>
      </c>
      <c r="E198" s="101" t="s">
        <v>73</v>
      </c>
      <c r="F198" s="101" t="s">
        <v>73</v>
      </c>
      <c r="G198" s="102" t="str">
        <f>TEXT(MC[[#This Row],[Date]],"mmm-yy")</f>
        <v>Apr-24</v>
      </c>
      <c r="H198" s="102">
        <f>DAY(EOMONTH(MC[[#This Row],[Month Year]],0))</f>
        <v>30</v>
      </c>
      <c r="I198" s="121"/>
      <c r="J198" s="106"/>
      <c r="K198" s="106"/>
      <c r="L198" s="106"/>
      <c r="M198" s="106"/>
      <c r="N198" s="106"/>
      <c r="O198" s="106"/>
      <c r="P198" s="106"/>
      <c r="Q198" s="106"/>
      <c r="R198" s="106">
        <f t="shared" si="7"/>
        <v>6000</v>
      </c>
      <c r="S198" s="1">
        <f>SUM(MC[[#This Row],[Blk1]:[Blk8]])</f>
        <v>6000</v>
      </c>
      <c r="T198" s="107">
        <v>0.22916666666666666</v>
      </c>
      <c r="U198" s="107">
        <v>0.39583333333333331</v>
      </c>
      <c r="V198" s="107">
        <v>0.6875</v>
      </c>
      <c r="W198" s="107">
        <v>0.95833333333333337</v>
      </c>
      <c r="X198" s="106" t="s">
        <v>88</v>
      </c>
      <c r="Y198" s="106"/>
      <c r="Z198" s="106"/>
    </row>
    <row r="199" spans="1:26" x14ac:dyDescent="0.25">
      <c r="A199" s="106">
        <v>197</v>
      </c>
      <c r="B199" s="103">
        <f t="shared" si="6"/>
        <v>45396</v>
      </c>
      <c r="C199" s="109">
        <v>2024</v>
      </c>
      <c r="D199" s="110">
        <f>YEAR(MC[[#This Row],[Date]])</f>
        <v>2024</v>
      </c>
      <c r="E199" s="101" t="s">
        <v>73</v>
      </c>
      <c r="F199" s="101" t="s">
        <v>73</v>
      </c>
      <c r="G199" s="102" t="str">
        <f>TEXT(MC[[#This Row],[Date]],"mmm-yy")</f>
        <v>Apr-24</v>
      </c>
      <c r="H199" s="102">
        <f>DAY(EOMONTH(MC[[#This Row],[Month Year]],0))</f>
        <v>30</v>
      </c>
      <c r="I199" s="121"/>
      <c r="J199" s="106"/>
      <c r="K199" s="106"/>
      <c r="L199" s="106"/>
      <c r="M199" s="106"/>
      <c r="N199" s="106"/>
      <c r="O199" s="106"/>
      <c r="P199" s="106"/>
      <c r="Q199" s="106"/>
      <c r="R199" s="106">
        <f t="shared" si="7"/>
        <v>6000</v>
      </c>
      <c r="S199" s="1">
        <f>SUM(MC[[#This Row],[Blk1]:[Blk8]])</f>
        <v>6000</v>
      </c>
      <c r="T199" s="107">
        <v>0.22916666666666666</v>
      </c>
      <c r="U199" s="107">
        <v>0.39583333333333331</v>
      </c>
      <c r="V199" s="107">
        <v>0.6875</v>
      </c>
      <c r="W199" s="107">
        <v>0.95833333333333337</v>
      </c>
      <c r="X199" s="106" t="s">
        <v>88</v>
      </c>
      <c r="Y199" s="106"/>
      <c r="Z199" s="106"/>
    </row>
    <row r="200" spans="1:26" x14ac:dyDescent="0.25">
      <c r="A200" s="106">
        <v>198</v>
      </c>
      <c r="B200" s="103">
        <f t="shared" si="6"/>
        <v>45397</v>
      </c>
      <c r="C200" s="109">
        <v>2024</v>
      </c>
      <c r="D200" s="110">
        <f>YEAR(MC[[#This Row],[Date]])</f>
        <v>2024</v>
      </c>
      <c r="E200" s="101" t="s">
        <v>73</v>
      </c>
      <c r="F200" s="101" t="s">
        <v>73</v>
      </c>
      <c r="G200" s="102" t="str">
        <f>TEXT(MC[[#This Row],[Date]],"mmm-yy")</f>
        <v>Apr-24</v>
      </c>
      <c r="H200" s="102">
        <f>DAY(EOMONTH(MC[[#This Row],[Month Year]],0))</f>
        <v>30</v>
      </c>
      <c r="I200" s="121"/>
      <c r="J200" s="106"/>
      <c r="K200" s="106"/>
      <c r="L200" s="106"/>
      <c r="M200" s="106"/>
      <c r="N200" s="106"/>
      <c r="O200" s="106"/>
      <c r="P200" s="106"/>
      <c r="Q200" s="106"/>
      <c r="R200" s="106">
        <f t="shared" si="7"/>
        <v>6000</v>
      </c>
      <c r="S200" s="1">
        <f>SUM(MC[[#This Row],[Blk1]:[Blk8]])</f>
        <v>6000</v>
      </c>
      <c r="T200" s="107">
        <v>0.22916666666666666</v>
      </c>
      <c r="U200" s="107">
        <v>0.39583333333333331</v>
      </c>
      <c r="V200" s="107">
        <v>0.6875</v>
      </c>
      <c r="W200" s="107">
        <v>0.95833333333333337</v>
      </c>
      <c r="X200" s="106" t="s">
        <v>88</v>
      </c>
      <c r="Y200" s="106"/>
      <c r="Z200" s="106"/>
    </row>
    <row r="201" spans="1:26" x14ac:dyDescent="0.25">
      <c r="A201" s="106">
        <v>199</v>
      </c>
      <c r="B201" s="103">
        <f t="shared" si="6"/>
        <v>45398</v>
      </c>
      <c r="C201" s="109">
        <v>2024</v>
      </c>
      <c r="D201" s="110">
        <f>YEAR(MC[[#This Row],[Date]])</f>
        <v>2024</v>
      </c>
      <c r="E201" s="101" t="s">
        <v>73</v>
      </c>
      <c r="F201" s="101" t="s">
        <v>73</v>
      </c>
      <c r="G201" s="102" t="str">
        <f>TEXT(MC[[#This Row],[Date]],"mmm-yy")</f>
        <v>Apr-24</v>
      </c>
      <c r="H201" s="102">
        <f>DAY(EOMONTH(MC[[#This Row],[Month Year]],0))</f>
        <v>30</v>
      </c>
      <c r="I201" s="121"/>
      <c r="J201" s="106"/>
      <c r="K201" s="106"/>
      <c r="L201" s="106"/>
      <c r="M201" s="106"/>
      <c r="N201" s="106"/>
      <c r="O201" s="106"/>
      <c r="P201" s="106"/>
      <c r="Q201" s="106"/>
      <c r="R201" s="106">
        <f t="shared" si="7"/>
        <v>6000</v>
      </c>
      <c r="S201" s="1">
        <f>SUM(MC[[#This Row],[Blk1]:[Blk8]])</f>
        <v>6000</v>
      </c>
      <c r="T201" s="107">
        <v>0.22916666666666666</v>
      </c>
      <c r="U201" s="107">
        <v>0.39583333333333331</v>
      </c>
      <c r="V201" s="107">
        <v>0.6875</v>
      </c>
      <c r="W201" s="107">
        <v>0.95833333333333337</v>
      </c>
      <c r="X201" s="106" t="s">
        <v>88</v>
      </c>
      <c r="Y201" s="106"/>
      <c r="Z201" s="106"/>
    </row>
    <row r="202" spans="1:26" x14ac:dyDescent="0.25">
      <c r="A202" s="106">
        <v>200</v>
      </c>
      <c r="B202" s="103">
        <f t="shared" si="6"/>
        <v>45399</v>
      </c>
      <c r="C202" s="109">
        <v>2024</v>
      </c>
      <c r="D202" s="110">
        <f>YEAR(MC[[#This Row],[Date]])</f>
        <v>2024</v>
      </c>
      <c r="E202" s="101" t="s">
        <v>73</v>
      </c>
      <c r="F202" s="101" t="s">
        <v>73</v>
      </c>
      <c r="G202" s="102" t="str">
        <f>TEXT(MC[[#This Row],[Date]],"mmm-yy")</f>
        <v>Apr-24</v>
      </c>
      <c r="H202" s="102">
        <f>DAY(EOMONTH(MC[[#This Row],[Month Year]],0))</f>
        <v>30</v>
      </c>
      <c r="I202" s="121"/>
      <c r="J202" s="106"/>
      <c r="K202" s="106"/>
      <c r="L202" s="106"/>
      <c r="M202" s="106"/>
      <c r="N202" s="106"/>
      <c r="O202" s="106"/>
      <c r="P202" s="106"/>
      <c r="Q202" s="106"/>
      <c r="R202" s="106">
        <f t="shared" si="7"/>
        <v>6000</v>
      </c>
      <c r="S202" s="1">
        <f>SUM(MC[[#This Row],[Blk1]:[Blk8]])</f>
        <v>6000</v>
      </c>
      <c r="T202" s="107">
        <v>0.22916666666666666</v>
      </c>
      <c r="U202" s="107">
        <v>0.39583333333333331</v>
      </c>
      <c r="V202" s="107">
        <v>0.6875</v>
      </c>
      <c r="W202" s="107">
        <v>0.95833333333333337</v>
      </c>
      <c r="X202" s="106" t="s">
        <v>88</v>
      </c>
      <c r="Y202" s="106"/>
      <c r="Z202" s="106"/>
    </row>
    <row r="203" spans="1:26" x14ac:dyDescent="0.25">
      <c r="A203" s="106">
        <v>201</v>
      </c>
      <c r="B203" s="103">
        <f t="shared" si="6"/>
        <v>45400</v>
      </c>
      <c r="C203" s="109">
        <v>2024</v>
      </c>
      <c r="D203" s="110">
        <f>YEAR(MC[[#This Row],[Date]])</f>
        <v>2024</v>
      </c>
      <c r="E203" s="101" t="s">
        <v>73</v>
      </c>
      <c r="F203" s="101" t="s">
        <v>73</v>
      </c>
      <c r="G203" s="102" t="str">
        <f>TEXT(MC[[#This Row],[Date]],"mmm-yy")</f>
        <v>Apr-24</v>
      </c>
      <c r="H203" s="102">
        <f>DAY(EOMONTH(MC[[#This Row],[Month Year]],0))</f>
        <v>30</v>
      </c>
      <c r="I203" s="121"/>
      <c r="J203" s="106"/>
      <c r="K203" s="106"/>
      <c r="L203" s="106"/>
      <c r="M203" s="106"/>
      <c r="N203" s="106"/>
      <c r="O203" s="106"/>
      <c r="P203" s="106"/>
      <c r="Q203" s="106"/>
      <c r="R203" s="106">
        <f t="shared" si="7"/>
        <v>6000</v>
      </c>
      <c r="S203" s="1">
        <f>SUM(MC[[#This Row],[Blk1]:[Blk8]])</f>
        <v>6000</v>
      </c>
      <c r="T203" s="107">
        <v>0.22916666666666666</v>
      </c>
      <c r="U203" s="107">
        <v>0.39583333333333331</v>
      </c>
      <c r="V203" s="107">
        <v>0.6875</v>
      </c>
      <c r="W203" s="107">
        <v>0.95833333333333337</v>
      </c>
      <c r="X203" s="106" t="s">
        <v>88</v>
      </c>
      <c r="Y203" s="106"/>
      <c r="Z203" s="106"/>
    </row>
    <row r="204" spans="1:26" x14ac:dyDescent="0.25">
      <c r="A204" s="106">
        <v>202</v>
      </c>
      <c r="B204" s="103">
        <f t="shared" si="6"/>
        <v>45401</v>
      </c>
      <c r="C204" s="109">
        <v>2024</v>
      </c>
      <c r="D204" s="110">
        <f>YEAR(MC[[#This Row],[Date]])</f>
        <v>2024</v>
      </c>
      <c r="E204" s="101" t="s">
        <v>73</v>
      </c>
      <c r="F204" s="101" t="s">
        <v>73</v>
      </c>
      <c r="G204" s="102" t="str">
        <f>TEXT(MC[[#This Row],[Date]],"mmm-yy")</f>
        <v>Apr-24</v>
      </c>
      <c r="H204" s="102">
        <f>DAY(EOMONTH(MC[[#This Row],[Month Year]],0))</f>
        <v>30</v>
      </c>
      <c r="I204" s="121"/>
      <c r="J204" s="106"/>
      <c r="K204" s="106"/>
      <c r="L204" s="106"/>
      <c r="M204" s="106"/>
      <c r="N204" s="106"/>
      <c r="O204" s="106"/>
      <c r="P204" s="106"/>
      <c r="Q204" s="106"/>
      <c r="R204" s="106">
        <f t="shared" si="7"/>
        <v>6000</v>
      </c>
      <c r="S204" s="1">
        <f>SUM(MC[[#This Row],[Blk1]:[Blk8]])</f>
        <v>6000</v>
      </c>
      <c r="T204" s="107">
        <v>0.22916666666666666</v>
      </c>
      <c r="U204" s="107">
        <v>0.39583333333333331</v>
      </c>
      <c r="V204" s="107">
        <v>0.6875</v>
      </c>
      <c r="W204" s="107">
        <v>0.95833333333333337</v>
      </c>
      <c r="X204" s="106" t="s">
        <v>88</v>
      </c>
      <c r="Y204" s="106"/>
      <c r="Z204" s="106"/>
    </row>
    <row r="205" spans="1:26" x14ac:dyDescent="0.25">
      <c r="A205" s="106">
        <v>203</v>
      </c>
      <c r="B205" s="103">
        <f t="shared" si="6"/>
        <v>45402</v>
      </c>
      <c r="C205" s="109">
        <v>2024</v>
      </c>
      <c r="D205" s="110">
        <f>YEAR(MC[[#This Row],[Date]])</f>
        <v>2024</v>
      </c>
      <c r="E205" s="101" t="s">
        <v>73</v>
      </c>
      <c r="F205" s="101" t="s">
        <v>73</v>
      </c>
      <c r="G205" s="1" t="str">
        <f>TEXT(MC[[#This Row],[Date]],"mmm-yy")</f>
        <v>Apr-24</v>
      </c>
      <c r="H205" s="1">
        <f>DAY(EOMONTH(MC[[#This Row],[Month Year]],0))</f>
        <v>30</v>
      </c>
      <c r="I205" s="121"/>
      <c r="J205" s="106"/>
      <c r="K205" s="106"/>
      <c r="L205" s="106"/>
      <c r="M205" s="106"/>
      <c r="N205" s="106"/>
      <c r="O205" s="106"/>
      <c r="P205" s="106"/>
      <c r="Q205" s="106"/>
      <c r="R205" s="106">
        <f t="shared" si="7"/>
        <v>6000</v>
      </c>
      <c r="S205" s="1">
        <f>SUM(MC[[#This Row],[Blk1]:[Blk8]])</f>
        <v>6000</v>
      </c>
      <c r="T205" s="107">
        <v>0.22916666666666666</v>
      </c>
      <c r="U205" s="107">
        <v>0.39583333333333331</v>
      </c>
      <c r="V205" s="107">
        <v>0.6875</v>
      </c>
      <c r="W205" s="107">
        <v>0.95833333333333337</v>
      </c>
      <c r="X205" s="106" t="s">
        <v>88</v>
      </c>
      <c r="Y205" s="106"/>
      <c r="Z205" s="106"/>
    </row>
    <row r="206" spans="1:26" x14ac:dyDescent="0.25">
      <c r="A206" s="106">
        <v>204</v>
      </c>
      <c r="B206" s="103">
        <f t="shared" si="6"/>
        <v>45403</v>
      </c>
      <c r="C206" s="109">
        <v>2024</v>
      </c>
      <c r="D206" s="110">
        <f>YEAR(MC[[#This Row],[Date]])</f>
        <v>2024</v>
      </c>
      <c r="E206" s="101" t="s">
        <v>73</v>
      </c>
      <c r="F206" s="101" t="s">
        <v>73</v>
      </c>
      <c r="G206" s="1" t="str">
        <f>TEXT(MC[[#This Row],[Date]],"mmm-yy")</f>
        <v>Apr-24</v>
      </c>
      <c r="H206" s="1">
        <f>DAY(EOMONTH(MC[[#This Row],[Month Year]],0))</f>
        <v>30</v>
      </c>
      <c r="I206" s="121"/>
      <c r="J206" s="106"/>
      <c r="K206" s="122"/>
      <c r="L206" s="122"/>
      <c r="M206" s="122"/>
      <c r="N206" s="122"/>
      <c r="O206" s="122"/>
      <c r="P206" s="122"/>
      <c r="Q206" s="122"/>
      <c r="R206" s="122">
        <f t="shared" si="7"/>
        <v>6000</v>
      </c>
      <c r="S206" s="1">
        <f>SUM(MC[[#This Row],[Blk1]:[Blk8]])</f>
        <v>6000</v>
      </c>
      <c r="T206" s="107">
        <v>0.22916666666666666</v>
      </c>
      <c r="U206" s="107">
        <v>0.39583333333333331</v>
      </c>
      <c r="V206" s="107">
        <v>0.6875</v>
      </c>
      <c r="W206" s="107">
        <v>0.95833333333333337</v>
      </c>
      <c r="X206" s="106" t="s">
        <v>88</v>
      </c>
      <c r="Y206" s="122"/>
      <c r="Z206" s="122"/>
    </row>
    <row r="207" spans="1:26" x14ac:dyDescent="0.25">
      <c r="A207" s="106">
        <v>205</v>
      </c>
      <c r="B207" s="103">
        <f t="shared" si="6"/>
        <v>45404</v>
      </c>
      <c r="C207" s="109">
        <v>2024</v>
      </c>
      <c r="D207" s="110">
        <f>YEAR(MC[[#This Row],[Date]])</f>
        <v>2024</v>
      </c>
      <c r="E207" s="101" t="s">
        <v>73</v>
      </c>
      <c r="F207" s="101" t="s">
        <v>73</v>
      </c>
      <c r="G207" s="1" t="str">
        <f>TEXT(MC[[#This Row],[Date]],"mmm-yy")</f>
        <v>Apr-24</v>
      </c>
      <c r="H207" s="1">
        <f>DAY(EOMONTH(MC[[#This Row],[Month Year]],0))</f>
        <v>30</v>
      </c>
      <c r="I207" s="121"/>
      <c r="J207" s="106"/>
      <c r="K207" s="122"/>
      <c r="L207" s="122"/>
      <c r="M207" s="122"/>
      <c r="N207" s="122"/>
      <c r="O207" s="122"/>
      <c r="P207" s="122"/>
      <c r="Q207" s="122"/>
      <c r="R207" s="122">
        <f t="shared" si="7"/>
        <v>6000</v>
      </c>
      <c r="S207" s="1">
        <f>SUM(MC[[#This Row],[Blk1]:[Blk8]])</f>
        <v>6000</v>
      </c>
      <c r="T207" s="107">
        <v>0.22916666666666666</v>
      </c>
      <c r="U207" s="107">
        <v>0.39583333333333331</v>
      </c>
      <c r="V207" s="107">
        <v>0.6875</v>
      </c>
      <c r="W207" s="107">
        <v>0.95833333333333337</v>
      </c>
      <c r="X207" s="106" t="s">
        <v>88</v>
      </c>
      <c r="Y207" s="122"/>
      <c r="Z207" s="122"/>
    </row>
    <row r="208" spans="1:26" x14ac:dyDescent="0.25">
      <c r="A208" s="106">
        <v>206</v>
      </c>
      <c r="B208" s="103">
        <f t="shared" si="6"/>
        <v>45405</v>
      </c>
      <c r="C208" s="109">
        <v>2024</v>
      </c>
      <c r="D208" s="110">
        <f>YEAR(MC[[#This Row],[Date]])</f>
        <v>2024</v>
      </c>
      <c r="E208" s="101" t="s">
        <v>73</v>
      </c>
      <c r="F208" s="101" t="s">
        <v>73</v>
      </c>
      <c r="G208" s="1" t="str">
        <f>TEXT(MC[[#This Row],[Date]],"mmm-yy")</f>
        <v>Apr-24</v>
      </c>
      <c r="H208" s="1">
        <f>DAY(EOMONTH(MC[[#This Row],[Month Year]],0))</f>
        <v>30</v>
      </c>
      <c r="I208" s="121"/>
      <c r="J208" s="106"/>
      <c r="K208" s="106"/>
      <c r="L208" s="106"/>
      <c r="M208" s="106"/>
      <c r="N208" s="106"/>
      <c r="O208" s="106"/>
      <c r="P208" s="106"/>
      <c r="Q208" s="106"/>
      <c r="R208" s="106">
        <f t="shared" si="7"/>
        <v>6000</v>
      </c>
      <c r="S208" s="1">
        <f>SUM(MC[[#This Row],[Blk1]:[Blk8]])</f>
        <v>6000</v>
      </c>
      <c r="T208" s="107">
        <v>0.22916666666666666</v>
      </c>
      <c r="U208" s="107">
        <v>0.39583333333333331</v>
      </c>
      <c r="V208" s="107">
        <v>0.6875</v>
      </c>
      <c r="W208" s="107">
        <v>0.95833333333333337</v>
      </c>
      <c r="X208" s="106" t="s">
        <v>88</v>
      </c>
      <c r="Y208" s="106"/>
      <c r="Z208" s="106"/>
    </row>
    <row r="209" spans="1:26" x14ac:dyDescent="0.25">
      <c r="A209" s="106">
        <v>207</v>
      </c>
      <c r="B209" s="103">
        <f t="shared" si="6"/>
        <v>45406</v>
      </c>
      <c r="C209" s="109">
        <v>2024</v>
      </c>
      <c r="D209" s="110">
        <f>YEAR(MC[[#This Row],[Date]])</f>
        <v>2024</v>
      </c>
      <c r="E209" s="101" t="s">
        <v>73</v>
      </c>
      <c r="F209" s="101" t="s">
        <v>73</v>
      </c>
      <c r="G209" s="1" t="str">
        <f>TEXT(MC[[#This Row],[Date]],"mmm-yy")</f>
        <v>Apr-24</v>
      </c>
      <c r="H209" s="1">
        <f>DAY(EOMONTH(MC[[#This Row],[Month Year]],0))</f>
        <v>30</v>
      </c>
      <c r="I209" s="121"/>
      <c r="J209" s="106"/>
      <c r="K209" s="106"/>
      <c r="L209" s="106"/>
      <c r="M209" s="106"/>
      <c r="N209" s="106"/>
      <c r="O209" s="106"/>
      <c r="P209" s="106"/>
      <c r="Q209" s="106"/>
      <c r="R209" s="106">
        <f t="shared" si="7"/>
        <v>6000</v>
      </c>
      <c r="S209" s="1">
        <f>SUM(MC[[#This Row],[Blk1]:[Blk8]])</f>
        <v>6000</v>
      </c>
      <c r="T209" s="107">
        <v>0.22916666666666666</v>
      </c>
      <c r="U209" s="107">
        <v>0.39583333333333331</v>
      </c>
      <c r="V209" s="107">
        <v>0.6875</v>
      </c>
      <c r="W209" s="107">
        <v>0.95833333333333337</v>
      </c>
      <c r="X209" s="106" t="s">
        <v>88</v>
      </c>
      <c r="Y209" s="106"/>
      <c r="Z209" s="106"/>
    </row>
    <row r="210" spans="1:26" x14ac:dyDescent="0.25">
      <c r="A210" s="106">
        <v>208</v>
      </c>
      <c r="B210" s="103">
        <f t="shared" si="6"/>
        <v>45407</v>
      </c>
      <c r="C210" s="109">
        <v>2024</v>
      </c>
      <c r="D210" s="110">
        <f>YEAR(MC[[#This Row],[Date]])</f>
        <v>2024</v>
      </c>
      <c r="E210" s="101" t="s">
        <v>73</v>
      </c>
      <c r="F210" s="101" t="s">
        <v>73</v>
      </c>
      <c r="G210" s="1" t="str">
        <f>TEXT(MC[[#This Row],[Date]],"mmm-yy")</f>
        <v>Apr-24</v>
      </c>
      <c r="H210" s="1">
        <f>DAY(EOMONTH(MC[[#This Row],[Month Year]],0))</f>
        <v>30</v>
      </c>
      <c r="I210" s="121"/>
      <c r="J210" s="106"/>
      <c r="K210" s="106"/>
      <c r="L210" s="106"/>
      <c r="M210" s="106"/>
      <c r="N210" s="106"/>
      <c r="O210" s="106"/>
      <c r="P210" s="106"/>
      <c r="Q210" s="106"/>
      <c r="R210" s="106">
        <f t="shared" si="7"/>
        <v>6000</v>
      </c>
      <c r="S210" s="1">
        <f>SUM(MC[[#This Row],[Blk1]:[Blk8]])</f>
        <v>6000</v>
      </c>
      <c r="T210" s="107">
        <v>0.22916666666666666</v>
      </c>
      <c r="U210" s="107">
        <v>0.39583333333333331</v>
      </c>
      <c r="V210" s="107">
        <v>0.6875</v>
      </c>
      <c r="W210" s="107">
        <v>0.95833333333333337</v>
      </c>
      <c r="X210" s="106" t="s">
        <v>88</v>
      </c>
      <c r="Y210" s="106"/>
      <c r="Z210" s="106"/>
    </row>
    <row r="211" spans="1:26" x14ac:dyDescent="0.25">
      <c r="A211" s="106">
        <v>209</v>
      </c>
      <c r="B211" s="103">
        <f t="shared" si="6"/>
        <v>45408</v>
      </c>
      <c r="C211" s="109">
        <v>2024</v>
      </c>
      <c r="D211" s="110">
        <f>YEAR(MC[[#This Row],[Date]])</f>
        <v>2024</v>
      </c>
      <c r="E211" s="101" t="s">
        <v>73</v>
      </c>
      <c r="F211" s="101" t="s">
        <v>73</v>
      </c>
      <c r="G211" s="1" t="str">
        <f>TEXT(MC[[#This Row],[Date]],"mmm-yy")</f>
        <v>Apr-24</v>
      </c>
      <c r="H211" s="1">
        <f>DAY(EOMONTH(MC[[#This Row],[Month Year]],0))</f>
        <v>30</v>
      </c>
      <c r="I211" s="121"/>
      <c r="J211" s="106"/>
      <c r="K211" s="106"/>
      <c r="L211" s="106"/>
      <c r="M211" s="106"/>
      <c r="N211" s="106"/>
      <c r="O211" s="106"/>
      <c r="P211" s="106"/>
      <c r="Q211" s="106"/>
      <c r="R211" s="106">
        <f t="shared" si="7"/>
        <v>6000</v>
      </c>
      <c r="S211" s="1">
        <f>SUM(MC[[#This Row],[Blk1]:[Blk8]])</f>
        <v>6000</v>
      </c>
      <c r="T211" s="107">
        <v>0.22916666666666666</v>
      </c>
      <c r="U211" s="107">
        <v>0.39583333333333331</v>
      </c>
      <c r="V211" s="107">
        <v>0.6875</v>
      </c>
      <c r="W211" s="107">
        <v>0.95833333333333337</v>
      </c>
      <c r="X211" s="106" t="s">
        <v>88</v>
      </c>
      <c r="Y211" s="106"/>
      <c r="Z211" s="106"/>
    </row>
    <row r="212" spans="1:26" x14ac:dyDescent="0.25">
      <c r="A212" s="106">
        <v>210</v>
      </c>
      <c r="B212" s="103">
        <f t="shared" si="6"/>
        <v>45409</v>
      </c>
      <c r="C212" s="109">
        <v>2024</v>
      </c>
      <c r="D212" s="110">
        <f>YEAR(MC[[#This Row],[Date]])</f>
        <v>2024</v>
      </c>
      <c r="E212" s="101" t="s">
        <v>73</v>
      </c>
      <c r="F212" s="101" t="s">
        <v>73</v>
      </c>
      <c r="G212" s="1" t="str">
        <f>TEXT(MC[[#This Row],[Date]],"mmm-yy")</f>
        <v>Apr-24</v>
      </c>
      <c r="H212" s="1">
        <f>DAY(EOMONTH(MC[[#This Row],[Month Year]],0))</f>
        <v>30</v>
      </c>
      <c r="I212" s="121"/>
      <c r="J212" s="106"/>
      <c r="K212" s="106"/>
      <c r="L212" s="106"/>
      <c r="M212" s="106"/>
      <c r="N212" s="106"/>
      <c r="O212" s="106"/>
      <c r="P212" s="106"/>
      <c r="Q212" s="106"/>
      <c r="R212" s="106">
        <f t="shared" si="7"/>
        <v>6000</v>
      </c>
      <c r="S212" s="1">
        <f>SUM(MC[[#This Row],[Blk1]:[Blk8]])</f>
        <v>6000</v>
      </c>
      <c r="T212" s="107">
        <v>0.22916666666666666</v>
      </c>
      <c r="U212" s="107">
        <v>0.39583333333333331</v>
      </c>
      <c r="V212" s="107">
        <v>0.6875</v>
      </c>
      <c r="W212" s="107">
        <v>0.95833333333333337</v>
      </c>
      <c r="X212" s="106" t="s">
        <v>88</v>
      </c>
      <c r="Y212" s="106"/>
      <c r="Z212" s="106"/>
    </row>
    <row r="213" spans="1:26" x14ac:dyDescent="0.25">
      <c r="A213" s="106">
        <v>211</v>
      </c>
      <c r="B213" s="103">
        <f t="shared" si="6"/>
        <v>45410</v>
      </c>
      <c r="C213" s="109">
        <v>2024</v>
      </c>
      <c r="D213" s="110">
        <f>YEAR(MC[[#This Row],[Date]])</f>
        <v>2024</v>
      </c>
      <c r="E213" s="101" t="s">
        <v>73</v>
      </c>
      <c r="F213" s="101" t="s">
        <v>73</v>
      </c>
      <c r="G213" s="1" t="str">
        <f>TEXT(MC[[#This Row],[Date]],"mmm-yy")</f>
        <v>Apr-24</v>
      </c>
      <c r="H213" s="1">
        <f>DAY(EOMONTH(MC[[#This Row],[Month Year]],0))</f>
        <v>30</v>
      </c>
      <c r="I213" s="121"/>
      <c r="J213" s="106"/>
      <c r="K213" s="106"/>
      <c r="L213" s="106"/>
      <c r="M213" s="106"/>
      <c r="N213" s="106"/>
      <c r="O213" s="106"/>
      <c r="P213" s="106"/>
      <c r="Q213" s="106"/>
      <c r="R213" s="106">
        <f t="shared" si="7"/>
        <v>6000</v>
      </c>
      <c r="S213" s="1">
        <f>SUM(MC[[#This Row],[Blk1]:[Blk8]])</f>
        <v>6000</v>
      </c>
      <c r="T213" s="107">
        <v>0.22916666666666666</v>
      </c>
      <c r="U213" s="107">
        <v>0.39583333333333331</v>
      </c>
      <c r="V213" s="107">
        <v>0.6875</v>
      </c>
      <c r="W213" s="107">
        <v>0.95833333333333337</v>
      </c>
      <c r="X213" s="106" t="s">
        <v>88</v>
      </c>
      <c r="Y213" s="106"/>
      <c r="Z213" s="106"/>
    </row>
    <row r="214" spans="1:26" x14ac:dyDescent="0.25">
      <c r="A214" s="106">
        <v>212</v>
      </c>
      <c r="B214" s="103">
        <f t="shared" si="6"/>
        <v>45411</v>
      </c>
      <c r="C214" s="109">
        <v>2024</v>
      </c>
      <c r="D214" s="110">
        <f>YEAR(MC[[#This Row],[Date]])</f>
        <v>2024</v>
      </c>
      <c r="E214" s="101" t="s">
        <v>73</v>
      </c>
      <c r="F214" s="101" t="s">
        <v>73</v>
      </c>
      <c r="G214" s="1" t="str">
        <f>TEXT(MC[[#This Row],[Date]],"mmm-yy")</f>
        <v>Apr-24</v>
      </c>
      <c r="H214" s="1">
        <f>DAY(EOMONTH(MC[[#This Row],[Month Year]],0))</f>
        <v>30</v>
      </c>
      <c r="I214" s="121"/>
      <c r="J214" s="106"/>
      <c r="K214" s="106"/>
      <c r="L214" s="106"/>
      <c r="M214" s="106"/>
      <c r="N214" s="106"/>
      <c r="O214" s="106"/>
      <c r="P214" s="106"/>
      <c r="Q214" s="106"/>
      <c r="R214" s="106">
        <f t="shared" si="7"/>
        <v>6000</v>
      </c>
      <c r="S214" s="1">
        <f>SUM(MC[[#This Row],[Blk1]:[Blk8]])</f>
        <v>6000</v>
      </c>
      <c r="T214" s="107">
        <v>0.22916666666666666</v>
      </c>
      <c r="U214" s="107">
        <v>0.39583333333333331</v>
      </c>
      <c r="V214" s="107">
        <v>0.6875</v>
      </c>
      <c r="W214" s="107">
        <v>0.95833333333333337</v>
      </c>
      <c r="X214" s="106" t="s">
        <v>88</v>
      </c>
      <c r="Y214" s="106"/>
      <c r="Z214" s="106"/>
    </row>
    <row r="215" spans="1:26" x14ac:dyDescent="0.25">
      <c r="A215" s="106">
        <v>213</v>
      </c>
      <c r="B215" s="103">
        <f t="shared" si="6"/>
        <v>45412</v>
      </c>
      <c r="C215" s="109">
        <v>2024</v>
      </c>
      <c r="D215" s="110">
        <f>YEAR(MC[[#This Row],[Date]])</f>
        <v>2024</v>
      </c>
      <c r="E215" s="101" t="s">
        <v>73</v>
      </c>
      <c r="F215" s="101" t="s">
        <v>73</v>
      </c>
      <c r="G215" s="1" t="str">
        <f>TEXT(MC[[#This Row],[Date]],"mmm-yy")</f>
        <v>Apr-24</v>
      </c>
      <c r="H215" s="1">
        <f>DAY(EOMONTH(MC[[#This Row],[Month Year]],0))</f>
        <v>30</v>
      </c>
      <c r="I215" s="121"/>
      <c r="J215" s="106"/>
      <c r="K215" s="106"/>
      <c r="L215" s="106"/>
      <c r="M215" s="106"/>
      <c r="N215" s="106"/>
      <c r="O215" s="106"/>
      <c r="P215" s="106"/>
      <c r="Q215" s="106"/>
      <c r="R215" s="106">
        <f t="shared" si="7"/>
        <v>6000</v>
      </c>
      <c r="S215" s="1">
        <f>SUM(MC[[#This Row],[Blk1]:[Blk8]])</f>
        <v>6000</v>
      </c>
      <c r="T215" s="107">
        <v>0.22916666666666666</v>
      </c>
      <c r="U215" s="107">
        <v>0.39583333333333331</v>
      </c>
      <c r="V215" s="107">
        <v>0.6875</v>
      </c>
      <c r="W215" s="107">
        <v>0.95833333333333337</v>
      </c>
      <c r="X215" s="106" t="s">
        <v>88</v>
      </c>
      <c r="Y215" s="106"/>
      <c r="Z215" s="106"/>
    </row>
    <row r="216" spans="1:26" x14ac:dyDescent="0.25">
      <c r="A216" s="106">
        <v>214</v>
      </c>
      <c r="B216" s="103">
        <f t="shared" si="6"/>
        <v>45413</v>
      </c>
      <c r="C216" s="109">
        <v>2024</v>
      </c>
      <c r="D216" s="110">
        <f>YEAR(MC[[#This Row],[Date]])</f>
        <v>2024</v>
      </c>
      <c r="E216" s="101" t="s">
        <v>73</v>
      </c>
      <c r="F216" s="101" t="s">
        <v>73</v>
      </c>
      <c r="G216" s="1" t="str">
        <f>TEXT(MC[[#This Row],[Date]],"mmm-yy")</f>
        <v>May-24</v>
      </c>
      <c r="H216" s="1">
        <f>DAY(EOMONTH(MC[[#This Row],[Month Year]],0))</f>
        <v>31</v>
      </c>
      <c r="I216" s="121"/>
      <c r="J216" s="106"/>
      <c r="K216" s="106"/>
      <c r="L216" s="106"/>
      <c r="M216" s="106"/>
      <c r="N216" s="106"/>
      <c r="O216" s="106"/>
      <c r="P216" s="106"/>
      <c r="Q216" s="106"/>
      <c r="R216" s="106">
        <f t="shared" si="7"/>
        <v>6000</v>
      </c>
      <c r="S216" s="1">
        <f>SUM(MC[[#This Row],[Blk1]:[Blk8]])</f>
        <v>6000</v>
      </c>
      <c r="T216" s="107">
        <v>0.22916666666666666</v>
      </c>
      <c r="U216" s="107">
        <v>0.39583333333333331</v>
      </c>
      <c r="V216" s="107">
        <v>0.6875</v>
      </c>
      <c r="W216" s="107">
        <v>0.95833333333333337</v>
      </c>
      <c r="X216" s="106" t="s">
        <v>88</v>
      </c>
      <c r="Y216" s="106"/>
      <c r="Z216" s="106"/>
    </row>
    <row r="217" spans="1:26" x14ac:dyDescent="0.25">
      <c r="A217" s="106">
        <v>215</v>
      </c>
      <c r="B217" s="103">
        <f t="shared" si="6"/>
        <v>45414</v>
      </c>
      <c r="C217" s="109">
        <v>2024</v>
      </c>
      <c r="D217" s="110">
        <f>YEAR(MC[[#This Row],[Date]])</f>
        <v>2024</v>
      </c>
      <c r="E217" s="101" t="s">
        <v>73</v>
      </c>
      <c r="F217" s="101" t="s">
        <v>73</v>
      </c>
      <c r="G217" s="1" t="str">
        <f>TEXT(MC[[#This Row],[Date]],"mmm-yy")</f>
        <v>May-24</v>
      </c>
      <c r="H217" s="1">
        <f>DAY(EOMONTH(MC[[#This Row],[Month Year]],0))</f>
        <v>31</v>
      </c>
      <c r="I217" s="121"/>
      <c r="J217" s="106"/>
      <c r="K217" s="106"/>
      <c r="L217" s="106"/>
      <c r="M217" s="106"/>
      <c r="N217" s="106"/>
      <c r="O217" s="106"/>
      <c r="P217" s="106"/>
      <c r="Q217" s="106"/>
      <c r="R217" s="106">
        <f t="shared" si="7"/>
        <v>6000</v>
      </c>
      <c r="S217" s="1">
        <f>SUM(MC[[#This Row],[Blk1]:[Blk8]])</f>
        <v>6000</v>
      </c>
      <c r="T217" s="107">
        <v>0.22916666666666666</v>
      </c>
      <c r="U217" s="107">
        <v>0.39583333333333331</v>
      </c>
      <c r="V217" s="107"/>
      <c r="W217" s="107"/>
      <c r="X217" s="106" t="s">
        <v>88</v>
      </c>
      <c r="Y217" s="106"/>
      <c r="Z217" s="106" t="s">
        <v>97</v>
      </c>
    </row>
    <row r="218" spans="1:26" x14ac:dyDescent="0.25">
      <c r="A218" s="106">
        <v>216</v>
      </c>
      <c r="B218" s="103">
        <f t="shared" si="6"/>
        <v>45415</v>
      </c>
      <c r="C218" s="109">
        <v>2024</v>
      </c>
      <c r="D218" s="110">
        <f>YEAR(MC[[#This Row],[Date]])</f>
        <v>2024</v>
      </c>
      <c r="E218" s="101" t="s">
        <v>73</v>
      </c>
      <c r="F218" s="101" t="s">
        <v>73</v>
      </c>
      <c r="G218" s="1" t="str">
        <f>TEXT(MC[[#This Row],[Date]],"mmm-yy")</f>
        <v>May-24</v>
      </c>
      <c r="H218" s="1">
        <f>DAY(EOMONTH(MC[[#This Row],[Month Year]],0))</f>
        <v>31</v>
      </c>
      <c r="I218" s="121"/>
      <c r="J218" s="106"/>
      <c r="K218" s="106"/>
      <c r="L218" s="106"/>
      <c r="M218" s="106"/>
      <c r="N218" s="106"/>
      <c r="O218" s="106"/>
      <c r="P218" s="106"/>
      <c r="Q218" s="106"/>
      <c r="R218" s="106">
        <f t="shared" si="7"/>
        <v>6000</v>
      </c>
      <c r="S218" s="1">
        <f>SUM(MC[[#This Row],[Blk1]:[Blk8]])</f>
        <v>6000</v>
      </c>
      <c r="T218" s="107">
        <v>0.22916666666666666</v>
      </c>
      <c r="U218" s="107">
        <v>0.39583333333333331</v>
      </c>
      <c r="V218" s="107">
        <v>0.6875</v>
      </c>
      <c r="W218" s="107">
        <v>0.95833333333333337</v>
      </c>
      <c r="X218" s="106" t="s">
        <v>88</v>
      </c>
      <c r="Y218" s="106"/>
      <c r="Z218" s="106"/>
    </row>
    <row r="219" spans="1:26" x14ac:dyDescent="0.25">
      <c r="A219" s="106">
        <v>217</v>
      </c>
      <c r="B219" s="103">
        <f t="shared" si="6"/>
        <v>45416</v>
      </c>
      <c r="C219" s="109">
        <v>2024</v>
      </c>
      <c r="D219" s="110">
        <f>YEAR(MC[[#This Row],[Date]])</f>
        <v>2024</v>
      </c>
      <c r="E219" s="101" t="s">
        <v>73</v>
      </c>
      <c r="F219" s="101" t="s">
        <v>73</v>
      </c>
      <c r="G219" s="1" t="str">
        <f>TEXT(MC[[#This Row],[Date]],"mmm-yy")</f>
        <v>May-24</v>
      </c>
      <c r="H219" s="1">
        <f>DAY(EOMONTH(MC[[#This Row],[Month Year]],0))</f>
        <v>31</v>
      </c>
      <c r="I219" s="121"/>
      <c r="J219" s="106"/>
      <c r="K219" s="106"/>
      <c r="L219" s="106"/>
      <c r="M219" s="106"/>
      <c r="N219" s="106"/>
      <c r="O219" s="106"/>
      <c r="P219" s="106"/>
      <c r="Q219" s="106"/>
      <c r="R219" s="106">
        <f t="shared" si="7"/>
        <v>6000</v>
      </c>
      <c r="S219" s="1">
        <f>SUM(MC[[#This Row],[Blk1]:[Blk8]])</f>
        <v>6000</v>
      </c>
      <c r="T219" s="107">
        <v>0.22916666666666666</v>
      </c>
      <c r="U219" s="107">
        <v>0.39583333333333331</v>
      </c>
      <c r="V219" s="107">
        <v>0.6875</v>
      </c>
      <c r="W219" s="107">
        <v>0.95833333333333337</v>
      </c>
      <c r="X219" s="106" t="s">
        <v>88</v>
      </c>
      <c r="Y219" s="106"/>
      <c r="Z219" s="106"/>
    </row>
    <row r="220" spans="1:26" x14ac:dyDescent="0.25">
      <c r="A220" s="106">
        <v>218</v>
      </c>
      <c r="B220" s="103">
        <f t="shared" si="6"/>
        <v>45417</v>
      </c>
      <c r="C220" s="109">
        <v>2024</v>
      </c>
      <c r="D220" s="110">
        <f>YEAR(MC[[#This Row],[Date]])</f>
        <v>2024</v>
      </c>
      <c r="E220" s="101" t="s">
        <v>73</v>
      </c>
      <c r="F220" s="101" t="s">
        <v>73</v>
      </c>
      <c r="G220" s="1" t="str">
        <f>TEXT(MC[[#This Row],[Date]],"mmm-yy")</f>
        <v>May-24</v>
      </c>
      <c r="H220" s="1">
        <f>DAY(EOMONTH(MC[[#This Row],[Month Year]],0))</f>
        <v>31</v>
      </c>
      <c r="I220" s="121"/>
      <c r="J220" s="106"/>
      <c r="K220" s="106"/>
      <c r="L220" s="106"/>
      <c r="M220" s="106"/>
      <c r="N220" s="106"/>
      <c r="O220" s="106"/>
      <c r="P220" s="106"/>
      <c r="Q220" s="106"/>
      <c r="R220" s="106">
        <f t="shared" si="7"/>
        <v>6000</v>
      </c>
      <c r="S220" s="1">
        <f>SUM(MC[[#This Row],[Blk1]:[Blk8]])</f>
        <v>6000</v>
      </c>
      <c r="T220" s="107">
        <v>0.22916666666666666</v>
      </c>
      <c r="U220" s="107">
        <v>0.39583333333333331</v>
      </c>
      <c r="V220" s="106"/>
      <c r="W220" s="106"/>
      <c r="X220" s="106" t="s">
        <v>88</v>
      </c>
      <c r="Y220" s="106"/>
      <c r="Z220" s="106" t="s">
        <v>97</v>
      </c>
    </row>
    <row r="221" spans="1:26" x14ac:dyDescent="0.25">
      <c r="A221" s="106">
        <v>219</v>
      </c>
      <c r="B221" s="103">
        <f t="shared" si="6"/>
        <v>45418</v>
      </c>
      <c r="C221" s="109">
        <v>2024</v>
      </c>
      <c r="D221" s="110">
        <f>YEAR(MC[[#This Row],[Date]])</f>
        <v>2024</v>
      </c>
      <c r="E221" s="101" t="s">
        <v>73</v>
      </c>
      <c r="F221" s="101" t="s">
        <v>73</v>
      </c>
      <c r="G221" s="1" t="str">
        <f>TEXT(MC[[#This Row],[Date]],"mmm-yy")</f>
        <v>May-24</v>
      </c>
      <c r="H221" s="1">
        <f>DAY(EOMONTH(MC[[#This Row],[Month Year]],0))</f>
        <v>31</v>
      </c>
      <c r="I221" s="121"/>
      <c r="J221" s="106"/>
      <c r="K221" s="106"/>
      <c r="L221" s="106"/>
      <c r="M221" s="106"/>
      <c r="N221" s="106"/>
      <c r="O221" s="106"/>
      <c r="P221" s="106"/>
      <c r="Q221" s="106"/>
      <c r="R221" s="106">
        <f t="shared" si="7"/>
        <v>6000</v>
      </c>
      <c r="S221" s="1">
        <f>SUM(MC[[#This Row],[Blk1]:[Blk8]])</f>
        <v>6000</v>
      </c>
      <c r="T221" s="107">
        <v>0.22916666666666666</v>
      </c>
      <c r="U221" s="107">
        <v>0.39583333333333331</v>
      </c>
      <c r="V221" s="107">
        <v>0.6875</v>
      </c>
      <c r="W221" s="107">
        <v>0.95833333333333337</v>
      </c>
      <c r="X221" s="106" t="s">
        <v>88</v>
      </c>
      <c r="Y221" s="106"/>
      <c r="Z221" s="106"/>
    </row>
    <row r="222" spans="1:26" x14ac:dyDescent="0.25">
      <c r="A222" s="106">
        <v>220</v>
      </c>
      <c r="B222" s="103">
        <f t="shared" si="6"/>
        <v>45419</v>
      </c>
      <c r="C222" s="109">
        <v>2024</v>
      </c>
      <c r="D222" s="110">
        <f>YEAR(MC[[#This Row],[Date]])</f>
        <v>2024</v>
      </c>
      <c r="E222" s="101" t="s">
        <v>73</v>
      </c>
      <c r="F222" s="101" t="s">
        <v>73</v>
      </c>
      <c r="G222" s="1" t="str">
        <f>TEXT(MC[[#This Row],[Date]],"mmm-yy")</f>
        <v>May-24</v>
      </c>
      <c r="H222" s="1">
        <f>DAY(EOMONTH(MC[[#This Row],[Month Year]],0))</f>
        <v>31</v>
      </c>
      <c r="I222" s="106"/>
      <c r="J222" s="106"/>
      <c r="K222" s="106"/>
      <c r="L222" s="106"/>
      <c r="M222" s="106"/>
      <c r="N222" s="106"/>
      <c r="O222" s="106"/>
      <c r="P222" s="106"/>
      <c r="Q222" s="106"/>
      <c r="R222" s="106">
        <f t="shared" si="7"/>
        <v>6000</v>
      </c>
      <c r="S222" s="1">
        <f>SUM(MC[[#This Row],[Blk1]:[Blk8]])</f>
        <v>6000</v>
      </c>
      <c r="T222" s="107">
        <v>0.22916666666666666</v>
      </c>
      <c r="U222" s="107">
        <v>0.39583333333333331</v>
      </c>
      <c r="V222" s="107">
        <v>0.6875</v>
      </c>
      <c r="W222" s="107">
        <v>0.95833333333333337</v>
      </c>
      <c r="X222" s="106" t="s">
        <v>88</v>
      </c>
      <c r="Y222" s="106"/>
      <c r="Z222" s="106"/>
    </row>
    <row r="223" spans="1:26" x14ac:dyDescent="0.25">
      <c r="A223" s="106">
        <v>221</v>
      </c>
      <c r="B223" s="103">
        <f t="shared" si="6"/>
        <v>45420</v>
      </c>
      <c r="C223" s="109">
        <v>2024</v>
      </c>
      <c r="D223" s="110">
        <f>YEAR(MC[[#This Row],[Date]])</f>
        <v>2024</v>
      </c>
      <c r="E223" s="101" t="s">
        <v>73</v>
      </c>
      <c r="F223" s="101" t="s">
        <v>73</v>
      </c>
      <c r="G223" s="1" t="str">
        <f>TEXT(MC[[#This Row],[Date]],"mmm-yy")</f>
        <v>May-24</v>
      </c>
      <c r="H223" s="1">
        <f>DAY(EOMONTH(MC[[#This Row],[Month Year]],0))</f>
        <v>31</v>
      </c>
      <c r="I223" s="106"/>
      <c r="J223" s="106"/>
      <c r="K223" s="106"/>
      <c r="L223" s="106"/>
      <c r="M223" s="106"/>
      <c r="N223" s="106"/>
      <c r="O223" s="106"/>
      <c r="P223" s="106"/>
      <c r="Q223" s="106"/>
      <c r="R223" s="106">
        <f t="shared" si="7"/>
        <v>6000</v>
      </c>
      <c r="S223" s="1">
        <f>SUM(MC[[#This Row],[Blk1]:[Blk8]])</f>
        <v>6000</v>
      </c>
      <c r="T223" s="107">
        <v>0.22916666666666666</v>
      </c>
      <c r="U223" s="107">
        <v>0.39583333333333331</v>
      </c>
      <c r="V223" s="107">
        <v>0.6875</v>
      </c>
      <c r="W223" s="107">
        <v>0.95833333333333337</v>
      </c>
      <c r="X223" s="106" t="s">
        <v>88</v>
      </c>
      <c r="Y223" s="106"/>
      <c r="Z223" s="106"/>
    </row>
    <row r="224" spans="1:26" x14ac:dyDescent="0.25">
      <c r="A224" s="106">
        <v>222</v>
      </c>
      <c r="B224" s="103">
        <f t="shared" si="6"/>
        <v>45421</v>
      </c>
      <c r="C224" s="109">
        <v>2024</v>
      </c>
      <c r="D224" s="110">
        <f>YEAR(MC[[#This Row],[Date]])</f>
        <v>2024</v>
      </c>
      <c r="E224" s="101" t="s">
        <v>73</v>
      </c>
      <c r="F224" s="101" t="s">
        <v>73</v>
      </c>
      <c r="G224" s="1" t="str">
        <f>TEXT(MC[[#This Row],[Date]],"mmm-yy")</f>
        <v>May-24</v>
      </c>
      <c r="H224" s="1">
        <f>DAY(EOMONTH(MC[[#This Row],[Month Year]],0))</f>
        <v>31</v>
      </c>
      <c r="I224" s="106"/>
      <c r="J224" s="106"/>
      <c r="K224" s="106"/>
      <c r="L224" s="106"/>
      <c r="M224" s="106"/>
      <c r="N224" s="106"/>
      <c r="O224" s="106"/>
      <c r="P224" s="106"/>
      <c r="Q224" s="106"/>
      <c r="R224" s="106">
        <f t="shared" si="7"/>
        <v>6000</v>
      </c>
      <c r="S224" s="1">
        <f>SUM(MC[[#This Row],[Blk1]:[Blk8]])</f>
        <v>6000</v>
      </c>
      <c r="T224" s="107">
        <v>0.22916666666666666</v>
      </c>
      <c r="U224" s="107">
        <v>0.39583333333333331</v>
      </c>
      <c r="V224" s="107"/>
      <c r="W224" s="107"/>
      <c r="X224" s="106" t="s">
        <v>88</v>
      </c>
      <c r="Y224" s="106"/>
      <c r="Z224" s="106" t="s">
        <v>97</v>
      </c>
    </row>
    <row r="225" spans="1:26" x14ac:dyDescent="0.25">
      <c r="A225" s="106">
        <v>223</v>
      </c>
      <c r="B225" s="103">
        <f t="shared" si="6"/>
        <v>45422</v>
      </c>
      <c r="C225" s="109">
        <v>2024</v>
      </c>
      <c r="D225" s="110">
        <f>YEAR(MC[[#This Row],[Date]])</f>
        <v>2024</v>
      </c>
      <c r="E225" s="101" t="s">
        <v>73</v>
      </c>
      <c r="F225" s="101" t="s">
        <v>73</v>
      </c>
      <c r="G225" s="1" t="str">
        <f>TEXT(MC[[#This Row],[Date]],"mmm-yy")</f>
        <v>May-24</v>
      </c>
      <c r="H225" s="1">
        <f>DAY(EOMONTH(MC[[#This Row],[Month Year]],0))</f>
        <v>31</v>
      </c>
      <c r="I225" s="106"/>
      <c r="J225" s="106"/>
      <c r="K225" s="106"/>
      <c r="L225" s="106"/>
      <c r="M225" s="106"/>
      <c r="N225" s="106"/>
      <c r="O225" s="106"/>
      <c r="P225" s="106"/>
      <c r="Q225" s="106"/>
      <c r="R225" s="106">
        <f t="shared" si="7"/>
        <v>6000</v>
      </c>
      <c r="S225" s="1">
        <v>14950</v>
      </c>
      <c r="T225" s="107">
        <v>0.22916666666666666</v>
      </c>
      <c r="U225" s="107">
        <v>0.39583333333333331</v>
      </c>
      <c r="V225" s="107">
        <v>0.6875</v>
      </c>
      <c r="W225" s="107">
        <v>0.95833333333333337</v>
      </c>
      <c r="X225" s="106" t="s">
        <v>88</v>
      </c>
      <c r="Y225" s="106"/>
      <c r="Z225" s="106"/>
    </row>
    <row r="226" spans="1:26" x14ac:dyDescent="0.25">
      <c r="A226" s="106">
        <v>224</v>
      </c>
      <c r="B226" s="103">
        <f t="shared" si="6"/>
        <v>45423</v>
      </c>
      <c r="C226" s="109">
        <v>2024</v>
      </c>
      <c r="D226" s="110">
        <f>YEAR(MC[[#This Row],[Date]])</f>
        <v>2024</v>
      </c>
      <c r="E226" s="101" t="s">
        <v>73</v>
      </c>
      <c r="F226" s="101" t="s">
        <v>73</v>
      </c>
      <c r="G226" s="1" t="str">
        <f>TEXT(MC[[#This Row],[Date]],"mmm-yy")</f>
        <v>May-24</v>
      </c>
      <c r="H226" s="1">
        <f>DAY(EOMONTH(MC[[#This Row],[Month Year]],0))</f>
        <v>31</v>
      </c>
      <c r="I226" s="122"/>
      <c r="J226" s="122"/>
      <c r="K226" s="122"/>
      <c r="L226" s="122"/>
      <c r="M226" s="122"/>
      <c r="N226" s="122"/>
      <c r="O226" s="122"/>
      <c r="P226" s="122"/>
      <c r="Q226" s="122"/>
      <c r="R226" s="122">
        <f t="shared" si="7"/>
        <v>6000</v>
      </c>
      <c r="S226" s="1">
        <f>SUM(MC[[#This Row],[Blk1]:[Blk8]])</f>
        <v>6000</v>
      </c>
      <c r="T226" s="107">
        <v>0.22916666666666666</v>
      </c>
      <c r="U226" s="107">
        <v>0.39583333333333331</v>
      </c>
      <c r="V226" s="107">
        <v>0.6875</v>
      </c>
      <c r="W226" s="107">
        <v>0.95833333333333337</v>
      </c>
      <c r="X226" s="106" t="s">
        <v>88</v>
      </c>
      <c r="Y226" s="122"/>
      <c r="Z226" s="122"/>
    </row>
    <row r="227" spans="1:26" x14ac:dyDescent="0.25">
      <c r="A227" s="106">
        <v>225</v>
      </c>
      <c r="B227" s="103">
        <f t="shared" si="6"/>
        <v>45424</v>
      </c>
      <c r="C227" s="109">
        <v>2024</v>
      </c>
      <c r="D227" s="110">
        <f>YEAR(MC[[#This Row],[Date]])</f>
        <v>2024</v>
      </c>
      <c r="E227" s="101" t="s">
        <v>73</v>
      </c>
      <c r="F227" s="101" t="s">
        <v>73</v>
      </c>
      <c r="G227" s="1" t="str">
        <f>TEXT(MC[[#This Row],[Date]],"mmm-yy")</f>
        <v>May-24</v>
      </c>
      <c r="H227" s="1">
        <f>DAY(EOMONTH(MC[[#This Row],[Month Year]],0))</f>
        <v>31</v>
      </c>
      <c r="I227" s="106"/>
      <c r="J227" s="106"/>
      <c r="K227" s="106"/>
      <c r="L227" s="106"/>
      <c r="M227" s="106"/>
      <c r="N227" s="106"/>
      <c r="O227" s="106"/>
      <c r="P227" s="106"/>
      <c r="Q227" s="106"/>
      <c r="R227" s="106">
        <f t="shared" si="7"/>
        <v>6000</v>
      </c>
      <c r="S227" s="1">
        <f>SUM(MC[[#This Row],[Blk1]:[Blk8]])</f>
        <v>6000</v>
      </c>
      <c r="T227" s="107">
        <v>0.22916666666666666</v>
      </c>
      <c r="U227" s="107">
        <v>0.39583333333333331</v>
      </c>
      <c r="V227" s="107">
        <v>0.6875</v>
      </c>
      <c r="W227" s="107">
        <v>0.95833333333333337</v>
      </c>
      <c r="X227" s="106" t="s">
        <v>88</v>
      </c>
      <c r="Y227" s="106"/>
      <c r="Z227" s="106"/>
    </row>
    <row r="228" spans="1:26" x14ac:dyDescent="0.25">
      <c r="A228" s="106">
        <v>226</v>
      </c>
      <c r="B228" s="103">
        <f t="shared" si="6"/>
        <v>45425</v>
      </c>
      <c r="C228" s="109">
        <v>2024</v>
      </c>
      <c r="D228" s="110">
        <f>YEAR(MC[[#This Row],[Date]])</f>
        <v>2024</v>
      </c>
      <c r="E228" s="101" t="s">
        <v>73</v>
      </c>
      <c r="F228" s="101" t="s">
        <v>73</v>
      </c>
      <c r="G228" s="1" t="str">
        <f>TEXT(MC[[#This Row],[Date]],"mmm-yy")</f>
        <v>May-24</v>
      </c>
      <c r="H228" s="1">
        <f>DAY(EOMONTH(MC[[#This Row],[Month Year]],0))</f>
        <v>31</v>
      </c>
      <c r="I228" s="106"/>
      <c r="J228" s="106"/>
      <c r="K228" s="106"/>
      <c r="L228" s="106"/>
      <c r="M228" s="106"/>
      <c r="N228" s="106"/>
      <c r="O228" s="106"/>
      <c r="P228" s="106"/>
      <c r="Q228" s="106"/>
      <c r="R228" s="106">
        <f t="shared" si="7"/>
        <v>6000</v>
      </c>
      <c r="S228" s="1">
        <f>SUM(MC[[#This Row],[Blk1]:[Blk8]])</f>
        <v>6000</v>
      </c>
      <c r="T228" s="107">
        <v>0.22916666666666666</v>
      </c>
      <c r="U228" s="107">
        <v>0.39583333333333331</v>
      </c>
      <c r="V228" s="107">
        <v>0.6875</v>
      </c>
      <c r="W228" s="107">
        <v>0.95833333333333337</v>
      </c>
      <c r="X228" s="106" t="s">
        <v>88</v>
      </c>
      <c r="Y228" s="106"/>
      <c r="Z228" s="106"/>
    </row>
    <row r="229" spans="1:26" x14ac:dyDescent="0.25">
      <c r="A229" s="106">
        <v>227</v>
      </c>
      <c r="B229" s="103">
        <f t="shared" si="6"/>
        <v>45426</v>
      </c>
      <c r="C229" s="109">
        <v>2024</v>
      </c>
      <c r="D229" s="110">
        <f>YEAR(MC[[#This Row],[Date]])</f>
        <v>2024</v>
      </c>
      <c r="E229" s="101" t="s">
        <v>73</v>
      </c>
      <c r="F229" s="101" t="s">
        <v>73</v>
      </c>
      <c r="G229" s="1" t="str">
        <f>TEXT(MC[[#This Row],[Date]],"mmm-yy")</f>
        <v>May-24</v>
      </c>
      <c r="H229" s="1">
        <f>DAY(EOMONTH(MC[[#This Row],[Month Year]],0))</f>
        <v>31</v>
      </c>
      <c r="I229" s="106"/>
      <c r="J229" s="106"/>
      <c r="K229" s="106"/>
      <c r="L229" s="106"/>
      <c r="M229" s="106"/>
      <c r="N229" s="106"/>
      <c r="O229" s="106"/>
      <c r="P229" s="106"/>
      <c r="Q229" s="106"/>
      <c r="R229" s="106">
        <f t="shared" si="7"/>
        <v>6000</v>
      </c>
      <c r="S229" s="1">
        <f>SUM(MC[[#This Row],[Blk1]:[Blk8]])</f>
        <v>6000</v>
      </c>
      <c r="T229" s="107">
        <v>0.22916666666666666</v>
      </c>
      <c r="U229" s="107">
        <v>0.39583333333333331</v>
      </c>
      <c r="V229" s="107">
        <v>0.6875</v>
      </c>
      <c r="W229" s="107">
        <v>0.95833333333333337</v>
      </c>
      <c r="X229" s="106" t="s">
        <v>88</v>
      </c>
      <c r="Y229" s="106"/>
      <c r="Z229" s="106"/>
    </row>
    <row r="230" spans="1:26" x14ac:dyDescent="0.25">
      <c r="A230" s="106">
        <v>228</v>
      </c>
      <c r="B230" s="103">
        <f t="shared" si="6"/>
        <v>45427</v>
      </c>
      <c r="C230" s="109">
        <v>2024</v>
      </c>
      <c r="D230" s="110">
        <f>YEAR(MC[[#This Row],[Date]])</f>
        <v>2024</v>
      </c>
      <c r="E230" s="101" t="s">
        <v>73</v>
      </c>
      <c r="F230" s="101" t="s">
        <v>73</v>
      </c>
      <c r="G230" s="1" t="str">
        <f>TEXT(MC[[#This Row],[Date]],"mmm-yy")</f>
        <v>May-24</v>
      </c>
      <c r="H230" s="1">
        <f>DAY(EOMONTH(MC[[#This Row],[Month Year]],0))</f>
        <v>31</v>
      </c>
      <c r="I230" s="106"/>
      <c r="J230" s="106"/>
      <c r="K230" s="106"/>
      <c r="L230" s="106"/>
      <c r="M230" s="106"/>
      <c r="N230" s="106"/>
      <c r="O230" s="106"/>
      <c r="P230" s="106"/>
      <c r="Q230" s="106"/>
      <c r="R230" s="106">
        <f t="shared" si="7"/>
        <v>6000</v>
      </c>
      <c r="S230" s="1">
        <f>SUM(MC[[#This Row],[Blk1]:[Blk8]])</f>
        <v>6000</v>
      </c>
      <c r="T230" s="107">
        <v>0.22916666666666666</v>
      </c>
      <c r="U230" s="107">
        <v>0.39583333333333331</v>
      </c>
      <c r="V230" s="107">
        <v>0.6875</v>
      </c>
      <c r="W230" s="107">
        <v>0.95833333333333337</v>
      </c>
      <c r="X230" s="106" t="s">
        <v>88</v>
      </c>
      <c r="Y230" s="106"/>
      <c r="Z230" s="106"/>
    </row>
    <row r="231" spans="1:26" x14ac:dyDescent="0.25">
      <c r="A231" s="106">
        <v>229</v>
      </c>
      <c r="B231" s="103">
        <f t="shared" si="6"/>
        <v>45428</v>
      </c>
      <c r="C231" s="109">
        <v>2024</v>
      </c>
      <c r="D231" s="110">
        <f>YEAR(MC[[#This Row],[Date]])</f>
        <v>2024</v>
      </c>
      <c r="E231" s="101" t="s">
        <v>73</v>
      </c>
      <c r="F231" s="101" t="s">
        <v>73</v>
      </c>
      <c r="G231" s="1" t="str">
        <f>TEXT(MC[[#This Row],[Date]],"mmm-yy")</f>
        <v>May-24</v>
      </c>
      <c r="H231" s="1">
        <f>DAY(EOMONTH(MC[[#This Row],[Month Year]],0))</f>
        <v>31</v>
      </c>
      <c r="I231" s="106"/>
      <c r="J231" s="106"/>
      <c r="K231" s="106"/>
      <c r="L231" s="106"/>
      <c r="M231" s="106"/>
      <c r="N231" s="106"/>
      <c r="O231" s="106"/>
      <c r="P231" s="106"/>
      <c r="Q231" s="106"/>
      <c r="R231" s="106">
        <f t="shared" si="7"/>
        <v>6000</v>
      </c>
      <c r="S231" s="1">
        <f>SUM(MC[[#This Row],[Blk1]:[Blk8]])</f>
        <v>6000</v>
      </c>
      <c r="T231" s="107">
        <v>0.22916666666666666</v>
      </c>
      <c r="U231" s="107">
        <v>0.39583333333333331</v>
      </c>
      <c r="V231" s="107">
        <v>0.6875</v>
      </c>
      <c r="W231" s="107">
        <v>0.95833333333333337</v>
      </c>
      <c r="X231" s="106" t="s">
        <v>88</v>
      </c>
      <c r="Y231" s="106"/>
      <c r="Z231" s="106"/>
    </row>
    <row r="232" spans="1:26" x14ac:dyDescent="0.25">
      <c r="A232" s="106">
        <v>230</v>
      </c>
      <c r="B232" s="103">
        <f t="shared" si="6"/>
        <v>45429</v>
      </c>
      <c r="C232" s="109">
        <v>2024</v>
      </c>
      <c r="D232" s="110">
        <f>YEAR(MC[[#This Row],[Date]])</f>
        <v>2024</v>
      </c>
      <c r="E232" s="101" t="s">
        <v>73</v>
      </c>
      <c r="F232" s="101" t="s">
        <v>73</v>
      </c>
      <c r="G232" s="1" t="str">
        <f>TEXT(MC[[#This Row],[Date]],"mmm-yy")</f>
        <v>May-24</v>
      </c>
      <c r="H232" s="1">
        <f>DAY(EOMONTH(MC[[#This Row],[Month Year]],0))</f>
        <v>31</v>
      </c>
      <c r="I232" s="106"/>
      <c r="J232" s="106"/>
      <c r="K232" s="106"/>
      <c r="L232" s="106"/>
      <c r="M232" s="106"/>
      <c r="N232" s="106"/>
      <c r="O232" s="106"/>
      <c r="P232" s="106"/>
      <c r="Q232" s="106"/>
      <c r="R232" s="106">
        <f t="shared" si="7"/>
        <v>6000</v>
      </c>
      <c r="S232" s="1">
        <f>SUM(MC[[#This Row],[Blk1]:[Blk8]])</f>
        <v>6000</v>
      </c>
      <c r="T232" s="107">
        <v>0.22916666666666666</v>
      </c>
      <c r="U232" s="107">
        <v>0.39583333333333331</v>
      </c>
      <c r="V232" s="107">
        <v>0.6875</v>
      </c>
      <c r="W232" s="107">
        <v>0.95833333333333337</v>
      </c>
      <c r="X232" s="106" t="s">
        <v>88</v>
      </c>
      <c r="Y232" s="106"/>
      <c r="Z232" s="106"/>
    </row>
    <row r="233" spans="1:26" x14ac:dyDescent="0.25">
      <c r="A233" s="106">
        <v>231</v>
      </c>
      <c r="B233" s="103">
        <f t="shared" si="6"/>
        <v>45430</v>
      </c>
      <c r="C233" s="109">
        <v>2024</v>
      </c>
      <c r="D233" s="110">
        <f>YEAR(MC[[#This Row],[Date]])</f>
        <v>2024</v>
      </c>
      <c r="E233" s="101" t="s">
        <v>73</v>
      </c>
      <c r="F233" s="101" t="s">
        <v>73</v>
      </c>
      <c r="G233" s="1" t="str">
        <f>TEXT(MC[[#This Row],[Date]],"mmm-yy")</f>
        <v>May-24</v>
      </c>
      <c r="H233" s="1">
        <f>DAY(EOMONTH(MC[[#This Row],[Month Year]],0))</f>
        <v>31</v>
      </c>
      <c r="I233" s="106"/>
      <c r="J233" s="106"/>
      <c r="K233" s="106"/>
      <c r="L233" s="106"/>
      <c r="M233" s="106"/>
      <c r="N233" s="106"/>
      <c r="O233" s="106"/>
      <c r="P233" s="106"/>
      <c r="Q233" s="106"/>
      <c r="R233" s="106">
        <f t="shared" si="7"/>
        <v>6000</v>
      </c>
      <c r="S233" s="1">
        <f>SUM(MC[[#This Row],[Blk1]:[Blk8]])</f>
        <v>6000</v>
      </c>
      <c r="T233" s="107">
        <v>0.22916666666666666</v>
      </c>
      <c r="U233" s="107">
        <v>0.39583333333333331</v>
      </c>
      <c r="V233" s="107">
        <v>0.6875</v>
      </c>
      <c r="W233" s="107">
        <v>0.95833333333333337</v>
      </c>
      <c r="X233" s="106" t="s">
        <v>88</v>
      </c>
      <c r="Y233" s="106"/>
      <c r="Z233" s="106"/>
    </row>
    <row r="234" spans="1:26" x14ac:dyDescent="0.25">
      <c r="A234" s="106">
        <v>232</v>
      </c>
      <c r="B234" s="103">
        <f t="shared" si="6"/>
        <v>45431</v>
      </c>
      <c r="C234" s="109">
        <v>2024</v>
      </c>
      <c r="D234" s="110">
        <f>YEAR(MC[[#This Row],[Date]])</f>
        <v>2024</v>
      </c>
      <c r="E234" s="101" t="s">
        <v>73</v>
      </c>
      <c r="F234" s="101" t="s">
        <v>73</v>
      </c>
      <c r="G234" s="1" t="str">
        <f>TEXT(MC[[#This Row],[Date]],"mmm-yy")</f>
        <v>May-24</v>
      </c>
      <c r="H234" s="1">
        <f>DAY(EOMONTH(MC[[#This Row],[Month Year]],0))</f>
        <v>31</v>
      </c>
      <c r="I234" s="106"/>
      <c r="J234" s="106"/>
      <c r="K234" s="106"/>
      <c r="L234" s="106"/>
      <c r="M234" s="106"/>
      <c r="N234" s="106"/>
      <c r="O234" s="106"/>
      <c r="P234" s="106"/>
      <c r="Q234" s="106"/>
      <c r="R234" s="106">
        <f t="shared" si="7"/>
        <v>6000</v>
      </c>
      <c r="S234" s="1">
        <f>SUM(MC[[#This Row],[Blk1]:[Blk8]])</f>
        <v>6000</v>
      </c>
      <c r="T234" s="107">
        <v>0.22916666666666666</v>
      </c>
      <c r="U234" s="107">
        <v>0.39583333333333331</v>
      </c>
      <c r="V234" s="107">
        <v>0.6875</v>
      </c>
      <c r="W234" s="107">
        <v>0.95833333333333337</v>
      </c>
      <c r="X234" s="106" t="s">
        <v>88</v>
      </c>
      <c r="Y234" s="106"/>
      <c r="Z234" s="106"/>
    </row>
    <row r="235" spans="1:26" x14ac:dyDescent="0.25">
      <c r="A235" s="106">
        <v>233</v>
      </c>
      <c r="B235" s="103">
        <f t="shared" si="6"/>
        <v>45432</v>
      </c>
      <c r="C235" s="109">
        <v>2024</v>
      </c>
      <c r="D235" s="110">
        <f>YEAR(MC[[#This Row],[Date]])</f>
        <v>2024</v>
      </c>
      <c r="E235" s="101" t="s">
        <v>73</v>
      </c>
      <c r="F235" s="101" t="s">
        <v>73</v>
      </c>
      <c r="G235" s="1" t="str">
        <f>TEXT(MC[[#This Row],[Date]],"mmm-yy")</f>
        <v>May-24</v>
      </c>
      <c r="H235" s="1">
        <f>DAY(EOMONTH(MC[[#This Row],[Month Year]],0))</f>
        <v>31</v>
      </c>
      <c r="I235" s="106"/>
      <c r="J235" s="106"/>
      <c r="K235" s="106"/>
      <c r="L235" s="106"/>
      <c r="M235" s="106"/>
      <c r="N235" s="106"/>
      <c r="O235" s="106"/>
      <c r="P235" s="106"/>
      <c r="Q235" s="106"/>
      <c r="R235" s="106">
        <f t="shared" si="7"/>
        <v>6000</v>
      </c>
      <c r="S235" s="1">
        <f>SUM(MC[[#This Row],[Blk1]:[Blk8]])</f>
        <v>6000</v>
      </c>
      <c r="T235" s="107">
        <v>0.22916666666666666</v>
      </c>
      <c r="U235" s="107">
        <v>0.39583333333333331</v>
      </c>
      <c r="V235" s="107">
        <v>0.6875</v>
      </c>
      <c r="W235" s="107">
        <v>0.95833333333333337</v>
      </c>
      <c r="X235" s="106" t="s">
        <v>88</v>
      </c>
      <c r="Y235" s="106"/>
      <c r="Z235" s="106"/>
    </row>
    <row r="236" spans="1:26" x14ac:dyDescent="0.25">
      <c r="A236" s="106">
        <v>234</v>
      </c>
      <c r="B236" s="103">
        <f t="shared" si="6"/>
        <v>45433</v>
      </c>
      <c r="C236" s="109">
        <v>2024</v>
      </c>
      <c r="D236" s="110">
        <f>YEAR(MC[[#This Row],[Date]])</f>
        <v>2024</v>
      </c>
      <c r="E236" s="101" t="s">
        <v>73</v>
      </c>
      <c r="F236" s="101" t="s">
        <v>73</v>
      </c>
      <c r="G236" s="1" t="str">
        <f>TEXT(MC[[#This Row],[Date]],"mmm-yy")</f>
        <v>May-24</v>
      </c>
      <c r="H236" s="1">
        <f>DAY(EOMONTH(MC[[#This Row],[Month Year]],0))</f>
        <v>31</v>
      </c>
      <c r="I236" s="106"/>
      <c r="J236" s="106"/>
      <c r="K236" s="106"/>
      <c r="L236" s="106"/>
      <c r="M236" s="106"/>
      <c r="N236" s="106"/>
      <c r="O236" s="106"/>
      <c r="P236" s="106"/>
      <c r="Q236" s="106"/>
      <c r="R236" s="106">
        <f t="shared" si="7"/>
        <v>6000</v>
      </c>
      <c r="S236" s="1">
        <f>SUM(MC[[#This Row],[Blk1]:[Blk8]])</f>
        <v>6000</v>
      </c>
      <c r="T236" s="107">
        <v>0.22916666666666666</v>
      </c>
      <c r="U236" s="107">
        <v>0.39583333333333331</v>
      </c>
      <c r="V236" s="107">
        <v>0.6875</v>
      </c>
      <c r="W236" s="107">
        <v>0.95833333333333337</v>
      </c>
      <c r="X236" s="106" t="s">
        <v>88</v>
      </c>
      <c r="Y236" s="106"/>
      <c r="Z236" s="106"/>
    </row>
    <row r="237" spans="1:26" x14ac:dyDescent="0.25">
      <c r="A237" s="106">
        <v>235</v>
      </c>
      <c r="B237" s="103">
        <f t="shared" si="6"/>
        <v>45434</v>
      </c>
      <c r="C237" s="109">
        <v>2024</v>
      </c>
      <c r="D237" s="110">
        <f>YEAR(MC[[#This Row],[Date]])</f>
        <v>2024</v>
      </c>
      <c r="E237" s="101" t="s">
        <v>73</v>
      </c>
      <c r="F237" s="101" t="s">
        <v>73</v>
      </c>
      <c r="G237" s="1" t="str">
        <f>TEXT(MC[[#This Row],[Date]],"mmm-yy")</f>
        <v>May-24</v>
      </c>
      <c r="H237" s="1">
        <f>DAY(EOMONTH(MC[[#This Row],[Month Year]],0))</f>
        <v>31</v>
      </c>
      <c r="I237" s="106"/>
      <c r="J237" s="106"/>
      <c r="K237" s="106"/>
      <c r="L237" s="106"/>
      <c r="M237" s="106"/>
      <c r="N237" s="106"/>
      <c r="O237" s="106"/>
      <c r="P237" s="106"/>
      <c r="Q237" s="106"/>
      <c r="R237" s="106">
        <f t="shared" si="7"/>
        <v>6000</v>
      </c>
      <c r="S237" s="1">
        <f>SUM(MC[[#This Row],[Blk1]:[Blk8]])</f>
        <v>6000</v>
      </c>
      <c r="T237" s="107">
        <v>0.22916666666666666</v>
      </c>
      <c r="U237" s="107">
        <v>0.39583333333333331</v>
      </c>
      <c r="V237" s="107">
        <v>0.6875</v>
      </c>
      <c r="W237" s="107">
        <v>0.95833333333333337</v>
      </c>
      <c r="X237" s="106" t="s">
        <v>88</v>
      </c>
      <c r="Y237" s="106"/>
      <c r="Z237" s="106"/>
    </row>
    <row r="238" spans="1:26" x14ac:dyDescent="0.25">
      <c r="A238" s="106">
        <v>236</v>
      </c>
      <c r="B238" s="103">
        <f t="shared" si="6"/>
        <v>45435</v>
      </c>
      <c r="C238" s="109">
        <v>2024</v>
      </c>
      <c r="D238" s="110">
        <f>YEAR(MC[[#This Row],[Date]])</f>
        <v>2024</v>
      </c>
      <c r="E238" s="101" t="s">
        <v>73</v>
      </c>
      <c r="F238" s="101" t="s">
        <v>73</v>
      </c>
      <c r="G238" s="1" t="str">
        <f>TEXT(MC[[#This Row],[Date]],"mmm-yy")</f>
        <v>May-24</v>
      </c>
      <c r="H238" s="1">
        <f>DAY(EOMONTH(MC[[#This Row],[Month Year]],0))</f>
        <v>31</v>
      </c>
      <c r="I238" s="106"/>
      <c r="J238" s="106"/>
      <c r="K238" s="106"/>
      <c r="L238" s="106"/>
      <c r="M238" s="106"/>
      <c r="N238" s="106"/>
      <c r="O238" s="106"/>
      <c r="P238" s="106"/>
      <c r="Q238" s="106"/>
      <c r="R238" s="106">
        <f t="shared" si="7"/>
        <v>6000</v>
      </c>
      <c r="S238" s="1">
        <f>SUM(MC[[#This Row],[Blk1]:[Blk8]])</f>
        <v>6000</v>
      </c>
      <c r="T238" s="107">
        <v>0.22916666666666666</v>
      </c>
      <c r="U238" s="107">
        <v>0.39583333333333331</v>
      </c>
      <c r="V238" s="107"/>
      <c r="W238" s="107"/>
      <c r="X238" s="106" t="s">
        <v>88</v>
      </c>
      <c r="Y238" s="106"/>
      <c r="Z238" s="106" t="s">
        <v>97</v>
      </c>
    </row>
    <row r="239" spans="1:26" x14ac:dyDescent="0.25">
      <c r="A239" s="106">
        <v>237</v>
      </c>
      <c r="B239" s="103">
        <f t="shared" si="6"/>
        <v>45436</v>
      </c>
      <c r="C239" s="109">
        <v>2024</v>
      </c>
      <c r="D239" s="110">
        <f>YEAR(MC[[#This Row],[Date]])</f>
        <v>2024</v>
      </c>
      <c r="E239" s="101" t="s">
        <v>73</v>
      </c>
      <c r="F239" s="101" t="s">
        <v>73</v>
      </c>
      <c r="G239" s="1" t="str">
        <f>TEXT(MC[[#This Row],[Date]],"mmm-yy")</f>
        <v>May-24</v>
      </c>
      <c r="H239" s="1">
        <f>DAY(EOMONTH(MC[[#This Row],[Month Year]],0))</f>
        <v>31</v>
      </c>
      <c r="I239" s="106"/>
      <c r="J239" s="106"/>
      <c r="K239" s="106"/>
      <c r="L239" s="106"/>
      <c r="M239" s="106"/>
      <c r="N239" s="106"/>
      <c r="O239" s="106"/>
      <c r="P239" s="106"/>
      <c r="Q239" s="106"/>
      <c r="R239" s="106">
        <f t="shared" si="7"/>
        <v>6000</v>
      </c>
      <c r="S239" s="1">
        <f>SUM(MC[[#This Row],[Blk1]:[Blk8]])</f>
        <v>6000</v>
      </c>
      <c r="T239" s="107">
        <v>0.22916666666666666</v>
      </c>
      <c r="U239" s="107">
        <v>0.39583333333333331</v>
      </c>
      <c r="V239" s="107">
        <v>0.6875</v>
      </c>
      <c r="W239" s="107">
        <v>0.95833333333333337</v>
      </c>
      <c r="X239" s="106" t="s">
        <v>88</v>
      </c>
      <c r="Y239" s="106"/>
      <c r="Z239" s="106"/>
    </row>
    <row r="240" spans="1:26" x14ac:dyDescent="0.25">
      <c r="A240" s="106">
        <v>238</v>
      </c>
      <c r="B240" s="103">
        <f t="shared" si="6"/>
        <v>45437</v>
      </c>
      <c r="C240" s="109">
        <v>2024</v>
      </c>
      <c r="D240" s="110">
        <f>YEAR(MC[[#This Row],[Date]])</f>
        <v>2024</v>
      </c>
      <c r="E240" s="101" t="s">
        <v>73</v>
      </c>
      <c r="F240" s="101" t="s">
        <v>73</v>
      </c>
      <c r="G240" s="1" t="str">
        <f>TEXT(MC[[#This Row],[Date]],"mmm-yy")</f>
        <v>May-24</v>
      </c>
      <c r="H240" s="1">
        <f>DAY(EOMONTH(MC[[#This Row],[Month Year]],0))</f>
        <v>31</v>
      </c>
      <c r="I240" s="106"/>
      <c r="J240" s="106"/>
      <c r="K240" s="106"/>
      <c r="L240" s="106"/>
      <c r="M240" s="106"/>
      <c r="N240" s="106"/>
      <c r="O240" s="106"/>
      <c r="P240" s="106"/>
      <c r="Q240" s="106"/>
      <c r="R240" s="106">
        <f t="shared" si="7"/>
        <v>6000</v>
      </c>
      <c r="S240" s="1">
        <f>SUM(MC[[#This Row],[Blk1]:[Blk8]])</f>
        <v>6000</v>
      </c>
      <c r="T240" s="107">
        <v>0.22916666666666666</v>
      </c>
      <c r="U240" s="107">
        <v>0.39583333333333331</v>
      </c>
      <c r="V240" s="107">
        <v>0.6875</v>
      </c>
      <c r="W240" s="107">
        <v>0.95833333333333337</v>
      </c>
      <c r="X240" s="106" t="s">
        <v>88</v>
      </c>
      <c r="Y240" s="106"/>
      <c r="Z240" s="106"/>
    </row>
    <row r="241" spans="1:26" x14ac:dyDescent="0.25">
      <c r="A241" s="106">
        <v>239</v>
      </c>
      <c r="B241" s="103">
        <f t="shared" si="6"/>
        <v>45438</v>
      </c>
      <c r="C241" s="109">
        <v>2024</v>
      </c>
      <c r="D241" s="110">
        <f>YEAR(MC[[#This Row],[Date]])</f>
        <v>2024</v>
      </c>
      <c r="E241" s="101" t="s">
        <v>73</v>
      </c>
      <c r="F241" s="101" t="s">
        <v>73</v>
      </c>
      <c r="G241" s="1" t="str">
        <f>TEXT(MC[[#This Row],[Date]],"mmm-yy")</f>
        <v>May-24</v>
      </c>
      <c r="H241" s="1">
        <f>DAY(EOMONTH(MC[[#This Row],[Month Year]],0))</f>
        <v>31</v>
      </c>
      <c r="I241" s="106"/>
      <c r="J241" s="106"/>
      <c r="K241" s="106"/>
      <c r="L241" s="106"/>
      <c r="M241" s="106"/>
      <c r="N241" s="106"/>
      <c r="O241" s="106"/>
      <c r="P241" s="106"/>
      <c r="Q241" s="106"/>
      <c r="R241" s="106">
        <f t="shared" si="7"/>
        <v>6000</v>
      </c>
      <c r="S241" s="1">
        <f>SUM(MC[[#This Row],[Blk1]:[Blk8]])</f>
        <v>6000</v>
      </c>
      <c r="T241" s="107">
        <v>0.22916666666666666</v>
      </c>
      <c r="U241" s="107">
        <v>0.39583333333333331</v>
      </c>
      <c r="V241" s="107">
        <v>0.6875</v>
      </c>
      <c r="W241" s="107">
        <v>0.95833333333333337</v>
      </c>
      <c r="X241" s="106" t="s">
        <v>88</v>
      </c>
      <c r="Y241" s="106"/>
      <c r="Z241" s="106"/>
    </row>
    <row r="242" spans="1:26" x14ac:dyDescent="0.25">
      <c r="A242" s="106">
        <v>240</v>
      </c>
      <c r="B242" s="103">
        <f t="shared" si="6"/>
        <v>45439</v>
      </c>
      <c r="C242" s="109">
        <v>2024</v>
      </c>
      <c r="D242" s="110">
        <f>YEAR(MC[[#This Row],[Date]])</f>
        <v>2024</v>
      </c>
      <c r="E242" s="101" t="s">
        <v>73</v>
      </c>
      <c r="F242" s="101" t="s">
        <v>73</v>
      </c>
      <c r="G242" s="1" t="str">
        <f>TEXT(MC[[#This Row],[Date]],"mmm-yy")</f>
        <v>May-24</v>
      </c>
      <c r="H242" s="1">
        <f>DAY(EOMONTH(MC[[#This Row],[Month Year]],0))</f>
        <v>31</v>
      </c>
      <c r="I242" s="106"/>
      <c r="J242" s="106"/>
      <c r="K242" s="106"/>
      <c r="L242" s="106"/>
      <c r="M242" s="106"/>
      <c r="N242" s="106"/>
      <c r="O242" s="106"/>
      <c r="P242" s="106"/>
      <c r="Q242" s="106"/>
      <c r="R242" s="106">
        <f t="shared" si="7"/>
        <v>6000</v>
      </c>
      <c r="S242" s="1">
        <f>SUM(MC[[#This Row],[Blk1]:[Blk8]])</f>
        <v>6000</v>
      </c>
      <c r="T242" s="107">
        <v>0.22916666666666666</v>
      </c>
      <c r="U242" s="107">
        <v>0.39583333333333331</v>
      </c>
      <c r="V242" s="107">
        <v>0.6875</v>
      </c>
      <c r="W242" s="107">
        <v>0.95833333333333337</v>
      </c>
      <c r="X242" s="106" t="s">
        <v>88</v>
      </c>
      <c r="Y242" s="106"/>
      <c r="Z242" s="106"/>
    </row>
    <row r="243" spans="1:26" x14ac:dyDescent="0.25">
      <c r="A243" s="106">
        <v>241</v>
      </c>
      <c r="B243" s="103">
        <f t="shared" si="6"/>
        <v>45440</v>
      </c>
      <c r="C243" s="109">
        <v>2024</v>
      </c>
      <c r="D243" s="110">
        <f>YEAR(MC[[#This Row],[Date]])</f>
        <v>2024</v>
      </c>
      <c r="E243" s="101" t="s">
        <v>73</v>
      </c>
      <c r="F243" s="101" t="s">
        <v>73</v>
      </c>
      <c r="G243" s="1" t="str">
        <f>TEXT(MC[[#This Row],[Date]],"mmm-yy")</f>
        <v>May-24</v>
      </c>
      <c r="H243" s="1">
        <f>DAY(EOMONTH(MC[[#This Row],[Month Year]],0))</f>
        <v>31</v>
      </c>
      <c r="I243" s="106"/>
      <c r="J243" s="106"/>
      <c r="K243" s="106"/>
      <c r="L243" s="106"/>
      <c r="M243" s="106"/>
      <c r="N243" s="106"/>
      <c r="O243" s="106"/>
      <c r="P243" s="106"/>
      <c r="Q243" s="106"/>
      <c r="R243" s="106">
        <f t="shared" si="7"/>
        <v>6000</v>
      </c>
      <c r="S243" s="1">
        <f>SUM(MC[[#This Row],[Blk1]:[Blk8]])</f>
        <v>6000</v>
      </c>
      <c r="T243" s="107">
        <v>0.22916666666666666</v>
      </c>
      <c r="U243" s="107">
        <v>0.39583333333333331</v>
      </c>
      <c r="V243" s="106"/>
      <c r="W243" s="106"/>
      <c r="X243" s="106" t="s">
        <v>88</v>
      </c>
      <c r="Y243" s="106"/>
      <c r="Z243" s="106" t="s">
        <v>97</v>
      </c>
    </row>
    <row r="244" spans="1:26" x14ac:dyDescent="0.25">
      <c r="A244" s="106">
        <v>242</v>
      </c>
      <c r="B244" s="103">
        <f t="shared" si="6"/>
        <v>45441</v>
      </c>
      <c r="C244" s="109">
        <v>2024</v>
      </c>
      <c r="D244" s="110">
        <f>YEAR(MC[[#This Row],[Date]])</f>
        <v>2024</v>
      </c>
      <c r="E244" s="101" t="s">
        <v>73</v>
      </c>
      <c r="F244" s="101" t="s">
        <v>73</v>
      </c>
      <c r="G244" s="1" t="str">
        <f>TEXT(MC[[#This Row],[Date]],"mmm-yy")</f>
        <v>May-24</v>
      </c>
      <c r="H244" s="1">
        <f>DAY(EOMONTH(MC[[#This Row],[Month Year]],0))</f>
        <v>31</v>
      </c>
      <c r="I244" s="106"/>
      <c r="J244" s="106"/>
      <c r="K244" s="106"/>
      <c r="L244" s="106"/>
      <c r="M244" s="106"/>
      <c r="N244" s="106"/>
      <c r="O244" s="106"/>
      <c r="P244" s="106"/>
      <c r="Q244" s="106"/>
      <c r="R244" s="106">
        <f t="shared" si="7"/>
        <v>6000</v>
      </c>
      <c r="S244" s="1">
        <f>SUM(MC[[#This Row],[Blk1]:[Blk8]])</f>
        <v>6000</v>
      </c>
      <c r="T244" s="107">
        <v>0.22916666666666666</v>
      </c>
      <c r="U244" s="107">
        <v>0.39583333333333331</v>
      </c>
      <c r="V244" s="106"/>
      <c r="W244" s="106"/>
      <c r="X244" s="106" t="s">
        <v>88</v>
      </c>
      <c r="Y244" s="106"/>
      <c r="Z244" s="106" t="s">
        <v>97</v>
      </c>
    </row>
    <row r="245" spans="1:26" x14ac:dyDescent="0.25">
      <c r="A245" s="106">
        <v>243</v>
      </c>
      <c r="B245" s="103">
        <f t="shared" si="6"/>
        <v>45442</v>
      </c>
      <c r="C245" s="109">
        <v>2024</v>
      </c>
      <c r="D245" s="110">
        <f>YEAR(MC[[#This Row],[Date]])</f>
        <v>2024</v>
      </c>
      <c r="E245" s="101" t="s">
        <v>73</v>
      </c>
      <c r="F245" s="101" t="s">
        <v>73</v>
      </c>
      <c r="G245" s="1" t="str">
        <f>TEXT(MC[[#This Row],[Date]],"mmm-yy")</f>
        <v>May-24</v>
      </c>
      <c r="H245" s="1">
        <f>DAY(EOMONTH(MC[[#This Row],[Month Year]],0))</f>
        <v>31</v>
      </c>
      <c r="I245" s="106"/>
      <c r="J245" s="106"/>
      <c r="K245" s="106"/>
      <c r="L245" s="106"/>
      <c r="M245" s="106"/>
      <c r="N245" s="106"/>
      <c r="O245" s="106"/>
      <c r="P245" s="106"/>
      <c r="Q245" s="106"/>
      <c r="R245" s="106">
        <f t="shared" si="7"/>
        <v>6000</v>
      </c>
      <c r="S245" s="1">
        <f>SUM(MC[[#This Row],[Blk1]:[Blk8]])</f>
        <v>6000</v>
      </c>
      <c r="T245" s="107">
        <v>0.22916666666666666</v>
      </c>
      <c r="U245" s="107">
        <v>0.39583333333333331</v>
      </c>
      <c r="V245" s="107">
        <v>0.6875</v>
      </c>
      <c r="W245" s="107">
        <v>0.95833333333333337</v>
      </c>
      <c r="X245" s="106" t="s">
        <v>88</v>
      </c>
      <c r="Y245" s="106"/>
      <c r="Z245" s="106"/>
    </row>
    <row r="246" spans="1:26" x14ac:dyDescent="0.25">
      <c r="A246" s="106">
        <v>244</v>
      </c>
      <c r="B246" s="103">
        <f t="shared" si="6"/>
        <v>45443</v>
      </c>
      <c r="C246" s="109">
        <v>2024</v>
      </c>
      <c r="D246" s="110">
        <f>YEAR(MC[[#This Row],[Date]])</f>
        <v>2024</v>
      </c>
      <c r="E246" s="101" t="s">
        <v>73</v>
      </c>
      <c r="F246" s="101" t="s">
        <v>73</v>
      </c>
      <c r="G246" s="1" t="str">
        <f>TEXT(MC[[#This Row],[Date]],"mmm-yy")</f>
        <v>May-24</v>
      </c>
      <c r="H246" s="1">
        <f>DAY(EOMONTH(MC[[#This Row],[Month Year]],0))</f>
        <v>31</v>
      </c>
      <c r="I246" s="106"/>
      <c r="J246" s="106"/>
      <c r="K246" s="106"/>
      <c r="L246" s="106"/>
      <c r="M246" s="106"/>
      <c r="N246" s="106"/>
      <c r="O246" s="106"/>
      <c r="P246" s="106"/>
      <c r="Q246" s="106"/>
      <c r="R246" s="106">
        <f t="shared" si="7"/>
        <v>6000</v>
      </c>
      <c r="S246" s="1">
        <f>SUM(MC[[#This Row],[Blk1]:[Blk8]])</f>
        <v>6000</v>
      </c>
      <c r="T246" s="107">
        <v>0.22916666666666666</v>
      </c>
      <c r="U246" s="107">
        <v>0.39583333333333331</v>
      </c>
      <c r="V246" s="107">
        <v>0.6875</v>
      </c>
      <c r="W246" s="107">
        <v>0.95833333333333337</v>
      </c>
      <c r="X246" s="106" t="s">
        <v>88</v>
      </c>
      <c r="Y246" s="106"/>
      <c r="Z246" s="106"/>
    </row>
    <row r="247" spans="1:26" x14ac:dyDescent="0.25">
      <c r="A247" s="106">
        <v>245</v>
      </c>
      <c r="B247" s="103">
        <f t="shared" si="6"/>
        <v>45444</v>
      </c>
      <c r="C247" s="126">
        <v>2024</v>
      </c>
      <c r="D247" s="102">
        <f>YEAR(MC[[#This Row],[Date]])</f>
        <v>2024</v>
      </c>
      <c r="E247" s="101" t="s">
        <v>73</v>
      </c>
      <c r="F247" s="101" t="s">
        <v>73</v>
      </c>
      <c r="G247" s="1" t="str">
        <f>TEXT(MC[[#This Row],[Date]],"mmm-yy")</f>
        <v>Jun-24</v>
      </c>
      <c r="H247" s="1">
        <f>DAY(EOMONTH(MC[[#This Row],[Month Year]],0))</f>
        <v>30</v>
      </c>
      <c r="I247" s="106"/>
      <c r="J247" s="106"/>
      <c r="K247" s="106"/>
      <c r="L247" s="106"/>
      <c r="M247" s="106"/>
      <c r="N247" s="106"/>
      <c r="O247" s="106"/>
      <c r="P247" s="106"/>
      <c r="Q247" s="106"/>
      <c r="R247" s="106">
        <f t="shared" si="7"/>
        <v>6000</v>
      </c>
      <c r="S247" s="1">
        <f>SUM(MC[[#This Row],[Blk1]:[Blk8]])</f>
        <v>6000</v>
      </c>
      <c r="T247" s="107">
        <v>0.22916666666666666</v>
      </c>
      <c r="U247" s="107">
        <v>0.39583333333333331</v>
      </c>
      <c r="V247" s="107">
        <v>0.6875</v>
      </c>
      <c r="W247" s="107">
        <v>0.95833333333333337</v>
      </c>
      <c r="X247" s="106" t="s">
        <v>88</v>
      </c>
      <c r="Y247" s="106"/>
      <c r="Z247" s="106"/>
    </row>
    <row r="248" spans="1:26" x14ac:dyDescent="0.25">
      <c r="A248" s="106">
        <v>246</v>
      </c>
      <c r="B248" s="103">
        <f t="shared" si="6"/>
        <v>45445</v>
      </c>
      <c r="C248" s="126">
        <v>2024</v>
      </c>
      <c r="D248" s="102">
        <f>YEAR(MC[[#This Row],[Date]])</f>
        <v>2024</v>
      </c>
      <c r="E248" s="101" t="s">
        <v>73</v>
      </c>
      <c r="F248" s="101" t="s">
        <v>73</v>
      </c>
      <c r="G248" s="1" t="str">
        <f>TEXT(MC[[#This Row],[Date]],"mmm-yy")</f>
        <v>Jun-24</v>
      </c>
      <c r="H248" s="1">
        <f>DAY(EOMONTH(MC[[#This Row],[Month Year]],0))</f>
        <v>30</v>
      </c>
      <c r="I248" s="122"/>
      <c r="J248" s="122"/>
      <c r="K248" s="122"/>
      <c r="L248" s="122"/>
      <c r="M248" s="122"/>
      <c r="N248" s="122"/>
      <c r="O248" s="122"/>
      <c r="P248" s="122"/>
      <c r="Q248" s="122"/>
      <c r="R248" s="122">
        <f t="shared" si="7"/>
        <v>6000</v>
      </c>
      <c r="S248" s="1">
        <f>SUM(MC[[#This Row],[Blk1]:[Blk8]])</f>
        <v>6000</v>
      </c>
      <c r="T248" s="107">
        <v>0.22916666666666666</v>
      </c>
      <c r="U248" s="107">
        <v>0.39583333333333331</v>
      </c>
      <c r="V248" s="107">
        <v>0.6875</v>
      </c>
      <c r="W248" s="107">
        <v>0.95833333333333337</v>
      </c>
      <c r="X248" s="106" t="s">
        <v>88</v>
      </c>
      <c r="Y248" s="122"/>
      <c r="Z248" s="122"/>
    </row>
    <row r="249" spans="1:26" x14ac:dyDescent="0.25">
      <c r="A249" s="106">
        <v>247</v>
      </c>
      <c r="B249" s="103">
        <f t="shared" si="6"/>
        <v>45446</v>
      </c>
      <c r="C249" s="126">
        <v>2024</v>
      </c>
      <c r="D249" s="102">
        <f>YEAR(MC[[#This Row],[Date]])</f>
        <v>2024</v>
      </c>
      <c r="E249" s="101" t="s">
        <v>73</v>
      </c>
      <c r="F249" s="101" t="s">
        <v>73</v>
      </c>
      <c r="G249" s="1" t="str">
        <f>TEXT(MC[[#This Row],[Date]],"mmm-yy")</f>
        <v>Jun-24</v>
      </c>
      <c r="H249" s="1">
        <f>DAY(EOMONTH(MC[[#This Row],[Month Year]],0))</f>
        <v>30</v>
      </c>
      <c r="I249" s="122"/>
      <c r="J249" s="122"/>
      <c r="K249" s="122"/>
      <c r="L249" s="122"/>
      <c r="M249" s="122"/>
      <c r="N249" s="122"/>
      <c r="O249" s="122"/>
      <c r="P249" s="122"/>
      <c r="Q249" s="122"/>
      <c r="R249" s="122">
        <f t="shared" si="7"/>
        <v>6000</v>
      </c>
      <c r="S249" s="1">
        <f>SUM(MC[[#This Row],[Blk1]:[Blk8]])</f>
        <v>6000</v>
      </c>
      <c r="T249" s="107">
        <v>0.22916666666666666</v>
      </c>
      <c r="U249" s="107">
        <v>0.39583333333333331</v>
      </c>
      <c r="V249" s="107">
        <v>0.6875</v>
      </c>
      <c r="W249" s="107">
        <v>0.95833333333333337</v>
      </c>
      <c r="X249" s="106" t="s">
        <v>88</v>
      </c>
      <c r="Y249" s="122"/>
      <c r="Z249" s="122"/>
    </row>
    <row r="250" spans="1:26" x14ac:dyDescent="0.25">
      <c r="A250" s="106">
        <v>248</v>
      </c>
      <c r="B250" s="103">
        <f t="shared" si="6"/>
        <v>45447</v>
      </c>
      <c r="C250" s="126">
        <v>2024</v>
      </c>
      <c r="D250" s="102">
        <f>YEAR(MC[[#This Row],[Date]])</f>
        <v>2024</v>
      </c>
      <c r="E250" s="101" t="s">
        <v>73</v>
      </c>
      <c r="F250" s="101" t="s">
        <v>73</v>
      </c>
      <c r="G250" s="1" t="str">
        <f>TEXT(MC[[#This Row],[Date]],"mmm-yy")</f>
        <v>Jun-24</v>
      </c>
      <c r="H250" s="1">
        <f>DAY(EOMONTH(MC[[#This Row],[Month Year]],0))</f>
        <v>30</v>
      </c>
      <c r="I250" s="122"/>
      <c r="J250" s="122"/>
      <c r="K250" s="122"/>
      <c r="L250" s="122"/>
      <c r="M250" s="122"/>
      <c r="N250" s="122"/>
      <c r="O250" s="122"/>
      <c r="P250" s="122"/>
      <c r="Q250" s="122"/>
      <c r="R250" s="122">
        <f t="shared" si="7"/>
        <v>6000</v>
      </c>
      <c r="S250" s="1">
        <f>SUM(MC[[#This Row],[Blk1]:[Blk8]])</f>
        <v>6000</v>
      </c>
      <c r="T250" s="107">
        <v>0.22916666666666666</v>
      </c>
      <c r="U250" s="107">
        <v>0.39583333333333331</v>
      </c>
      <c r="V250" s="107">
        <v>0.6875</v>
      </c>
      <c r="W250" s="107">
        <v>0.95833333333333337</v>
      </c>
      <c r="X250" s="106" t="s">
        <v>88</v>
      </c>
      <c r="Y250" s="122"/>
      <c r="Z250" s="122"/>
    </row>
    <row r="251" spans="1:26" x14ac:dyDescent="0.25">
      <c r="A251" s="106">
        <v>249</v>
      </c>
      <c r="B251" s="103">
        <f t="shared" si="6"/>
        <v>45448</v>
      </c>
      <c r="C251" s="126">
        <v>2024</v>
      </c>
      <c r="D251" s="102">
        <f>YEAR(MC[[#This Row],[Date]])</f>
        <v>2024</v>
      </c>
      <c r="E251" s="101" t="s">
        <v>73</v>
      </c>
      <c r="F251" s="101" t="s">
        <v>73</v>
      </c>
      <c r="G251" s="1" t="str">
        <f>TEXT(MC[[#This Row],[Date]],"mmm-yy")</f>
        <v>Jun-24</v>
      </c>
      <c r="H251" s="1">
        <f>DAY(EOMONTH(MC[[#This Row],[Month Year]],0))</f>
        <v>30</v>
      </c>
      <c r="I251" s="122"/>
      <c r="J251" s="122"/>
      <c r="K251" s="106"/>
      <c r="L251" s="106"/>
      <c r="M251" s="106"/>
      <c r="N251" s="106"/>
      <c r="O251" s="106"/>
      <c r="P251" s="106"/>
      <c r="Q251" s="106"/>
      <c r="R251" s="106">
        <f t="shared" si="7"/>
        <v>6000</v>
      </c>
      <c r="S251" s="1">
        <f>SUM(MC[[#This Row],[Blk1]:[Blk8]])</f>
        <v>6000</v>
      </c>
      <c r="T251" s="107">
        <v>0.22916666666666666</v>
      </c>
      <c r="U251" s="107">
        <v>0.39583333333333331</v>
      </c>
      <c r="V251" s="106"/>
      <c r="W251" s="106"/>
      <c r="X251" s="106" t="s">
        <v>88</v>
      </c>
      <c r="Y251" s="106"/>
      <c r="Z251" s="106" t="s">
        <v>97</v>
      </c>
    </row>
    <row r="252" spans="1:26" x14ac:dyDescent="0.25">
      <c r="A252" s="106">
        <v>250</v>
      </c>
      <c r="B252" s="103">
        <f t="shared" si="6"/>
        <v>45449</v>
      </c>
      <c r="C252" s="126">
        <v>2024</v>
      </c>
      <c r="D252" s="102">
        <f>YEAR(MC[[#This Row],[Date]])</f>
        <v>2024</v>
      </c>
      <c r="E252" s="101" t="s">
        <v>73</v>
      </c>
      <c r="F252" s="101" t="s">
        <v>73</v>
      </c>
      <c r="G252" s="1" t="str">
        <f>TEXT(MC[[#This Row],[Date]],"mmm-yy")</f>
        <v>Jun-24</v>
      </c>
      <c r="H252" s="1">
        <f>DAY(EOMONTH(MC[[#This Row],[Month Year]],0))</f>
        <v>30</v>
      </c>
      <c r="I252" s="122"/>
      <c r="J252" s="122"/>
      <c r="K252" s="106"/>
      <c r="L252" s="106"/>
      <c r="M252" s="106"/>
      <c r="N252" s="106"/>
      <c r="O252" s="106"/>
      <c r="P252" s="106"/>
      <c r="Q252" s="106"/>
      <c r="R252" s="106">
        <f t="shared" si="7"/>
        <v>6000</v>
      </c>
      <c r="S252" s="1">
        <f>SUM(MC[[#This Row],[Blk1]:[Blk8]])</f>
        <v>6000</v>
      </c>
      <c r="T252" s="106"/>
      <c r="U252" s="106"/>
      <c r="V252" s="107">
        <v>0.6875</v>
      </c>
      <c r="W252" s="107">
        <v>0.95833333333333337</v>
      </c>
      <c r="X252" s="106" t="s">
        <v>88</v>
      </c>
      <c r="Y252" s="106"/>
      <c r="Z252" s="106"/>
    </row>
    <row r="253" spans="1:26" x14ac:dyDescent="0.25">
      <c r="A253" s="106">
        <v>251</v>
      </c>
      <c r="B253" s="103">
        <f t="shared" si="6"/>
        <v>45450</v>
      </c>
      <c r="C253" s="126">
        <v>2024</v>
      </c>
      <c r="D253" s="102">
        <f>YEAR(MC[[#This Row],[Date]])</f>
        <v>2024</v>
      </c>
      <c r="E253" s="101" t="s">
        <v>73</v>
      </c>
      <c r="F253" s="101" t="s">
        <v>73</v>
      </c>
      <c r="G253" s="1" t="str">
        <f>TEXT(MC[[#This Row],[Date]],"mmm-yy")</f>
        <v>Jun-24</v>
      </c>
      <c r="H253" s="1">
        <f>DAY(EOMONTH(MC[[#This Row],[Month Year]],0))</f>
        <v>30</v>
      </c>
      <c r="I253" s="122"/>
      <c r="J253" s="122"/>
      <c r="K253" s="106"/>
      <c r="L253" s="106"/>
      <c r="M253" s="106"/>
      <c r="N253" s="106"/>
      <c r="O253" s="106"/>
      <c r="P253" s="106"/>
      <c r="Q253" s="106"/>
      <c r="R253" s="106">
        <f t="shared" si="7"/>
        <v>6000</v>
      </c>
      <c r="S253" s="1">
        <f>SUM(MC[[#This Row],[Blk1]:[Blk8]])</f>
        <v>6000</v>
      </c>
      <c r="T253" s="106"/>
      <c r="U253" s="106"/>
      <c r="V253" s="107">
        <v>0.6875</v>
      </c>
      <c r="W253" s="107">
        <v>0.95833333333333337</v>
      </c>
      <c r="X253" s="106" t="s">
        <v>88</v>
      </c>
      <c r="Y253" s="106"/>
      <c r="Z253" s="106"/>
    </row>
    <row r="254" spans="1:26" x14ac:dyDescent="0.25">
      <c r="A254" s="106">
        <v>252</v>
      </c>
      <c r="B254" s="103">
        <f t="shared" si="6"/>
        <v>45451</v>
      </c>
      <c r="C254" s="126">
        <v>2024</v>
      </c>
      <c r="D254" s="102">
        <f>YEAR(MC[[#This Row],[Date]])</f>
        <v>2024</v>
      </c>
      <c r="E254" s="101" t="s">
        <v>73</v>
      </c>
      <c r="F254" s="101" t="s">
        <v>73</v>
      </c>
      <c r="G254" s="1" t="str">
        <f>TEXT(MC[[#This Row],[Date]],"mmm-yy")</f>
        <v>Jun-24</v>
      </c>
      <c r="H254" s="1">
        <f>DAY(EOMONTH(MC[[#This Row],[Month Year]],0))</f>
        <v>30</v>
      </c>
      <c r="I254" s="122"/>
      <c r="J254" s="122"/>
      <c r="K254" s="106"/>
      <c r="L254" s="106"/>
      <c r="M254" s="106"/>
      <c r="N254" s="106"/>
      <c r="O254" s="106"/>
      <c r="P254" s="106"/>
      <c r="Q254" s="106"/>
      <c r="R254" s="106">
        <f t="shared" si="7"/>
        <v>6000</v>
      </c>
      <c r="S254" s="1">
        <f>SUM(MC[[#This Row],[Blk1]:[Blk8]])</f>
        <v>6000</v>
      </c>
      <c r="T254" s="106"/>
      <c r="U254" s="106"/>
      <c r="V254" s="107">
        <v>0.6875</v>
      </c>
      <c r="W254" s="107">
        <v>0.95833333333333337</v>
      </c>
      <c r="X254" s="106" t="s">
        <v>88</v>
      </c>
      <c r="Y254" s="106"/>
      <c r="Z254" s="106"/>
    </row>
    <row r="255" spans="1:26" x14ac:dyDescent="0.25">
      <c r="A255" s="106">
        <v>253</v>
      </c>
      <c r="B255" s="103">
        <f t="shared" ref="B255:B318" si="8">B254+1</f>
        <v>45452</v>
      </c>
      <c r="C255" s="126">
        <v>2024</v>
      </c>
      <c r="D255" s="102">
        <f>YEAR(MC[[#This Row],[Date]])</f>
        <v>2024</v>
      </c>
      <c r="E255" s="101" t="s">
        <v>73</v>
      </c>
      <c r="F255" s="101" t="s">
        <v>73</v>
      </c>
      <c r="G255" s="1" t="str">
        <f>TEXT(MC[[#This Row],[Date]],"mmm-yy")</f>
        <v>Jun-24</v>
      </c>
      <c r="H255" s="1">
        <f>DAY(EOMONTH(MC[[#This Row],[Month Year]],0))</f>
        <v>30</v>
      </c>
      <c r="I255" s="122"/>
      <c r="J255" s="122"/>
      <c r="K255" s="106"/>
      <c r="L255" s="106"/>
      <c r="M255" s="106"/>
      <c r="N255" s="106"/>
      <c r="O255" s="106"/>
      <c r="P255" s="106"/>
      <c r="Q255" s="106"/>
      <c r="R255" s="106">
        <f t="shared" si="7"/>
        <v>6000</v>
      </c>
      <c r="S255" s="1">
        <f>SUM(MC[[#This Row],[Blk1]:[Blk8]])</f>
        <v>6000</v>
      </c>
      <c r="T255" s="106"/>
      <c r="U255" s="106"/>
      <c r="V255" s="107">
        <v>0.6875</v>
      </c>
      <c r="W255" s="107">
        <v>0.95833333333333337</v>
      </c>
      <c r="X255" s="106" t="s">
        <v>88</v>
      </c>
      <c r="Y255" s="106"/>
      <c r="Z255" s="106"/>
    </row>
    <row r="256" spans="1:26" x14ac:dyDescent="0.25">
      <c r="A256" s="106">
        <v>254</v>
      </c>
      <c r="B256" s="103">
        <f t="shared" si="8"/>
        <v>45453</v>
      </c>
      <c r="C256" s="126">
        <v>2024</v>
      </c>
      <c r="D256" s="102">
        <f>YEAR(MC[[#This Row],[Date]])</f>
        <v>2024</v>
      </c>
      <c r="E256" s="101" t="s">
        <v>73</v>
      </c>
      <c r="F256" s="101" t="s">
        <v>73</v>
      </c>
      <c r="G256" s="1" t="str">
        <f>TEXT(MC[[#This Row],[Date]],"mmm-yy")</f>
        <v>Jun-24</v>
      </c>
      <c r="H256" s="1">
        <f>DAY(EOMONTH(MC[[#This Row],[Month Year]],0))</f>
        <v>30</v>
      </c>
      <c r="I256" s="122"/>
      <c r="J256" s="122"/>
      <c r="K256" s="106"/>
      <c r="L256" s="106"/>
      <c r="M256" s="106"/>
      <c r="N256" s="106"/>
      <c r="O256" s="106"/>
      <c r="P256" s="106"/>
      <c r="Q256" s="106"/>
      <c r="R256" s="106">
        <f t="shared" si="7"/>
        <v>6000</v>
      </c>
      <c r="S256" s="1">
        <f>SUM(MC[[#This Row],[Blk1]:[Blk8]])</f>
        <v>6000</v>
      </c>
      <c r="T256" s="106"/>
      <c r="U256" s="106"/>
      <c r="V256" s="107">
        <v>0.6875</v>
      </c>
      <c r="W256" s="107">
        <v>0.95833333333333337</v>
      </c>
      <c r="X256" s="106" t="s">
        <v>88</v>
      </c>
      <c r="Y256" s="106"/>
      <c r="Z256" s="106"/>
    </row>
    <row r="257" spans="1:26" x14ac:dyDescent="0.25">
      <c r="A257" s="106">
        <v>255</v>
      </c>
      <c r="B257" s="103">
        <f t="shared" si="8"/>
        <v>45454</v>
      </c>
      <c r="C257" s="126">
        <v>2024</v>
      </c>
      <c r="D257" s="102">
        <f>YEAR(MC[[#This Row],[Date]])</f>
        <v>2024</v>
      </c>
      <c r="E257" s="101" t="s">
        <v>73</v>
      </c>
      <c r="F257" s="101" t="s">
        <v>73</v>
      </c>
      <c r="G257" s="1" t="str">
        <f>TEXT(MC[[#This Row],[Date]],"mmm-yy")</f>
        <v>Jun-24</v>
      </c>
      <c r="H257" s="1">
        <f>DAY(EOMONTH(MC[[#This Row],[Month Year]],0))</f>
        <v>30</v>
      </c>
      <c r="I257" s="122"/>
      <c r="J257" s="122"/>
      <c r="K257" s="106"/>
      <c r="L257" s="106"/>
      <c r="M257" s="106"/>
      <c r="N257" s="106"/>
      <c r="O257" s="106"/>
      <c r="P257" s="106"/>
      <c r="Q257" s="106"/>
      <c r="R257" s="106">
        <f t="shared" si="7"/>
        <v>6000</v>
      </c>
      <c r="S257" s="1">
        <f>SUM(MC[[#This Row],[Blk1]:[Blk8]])</f>
        <v>6000</v>
      </c>
      <c r="T257" s="106"/>
      <c r="U257" s="106"/>
      <c r="V257" s="107">
        <v>0.6875</v>
      </c>
      <c r="W257" s="107">
        <v>0.95833333333333337</v>
      </c>
      <c r="X257" s="106" t="s">
        <v>88</v>
      </c>
      <c r="Y257" s="106"/>
      <c r="Z257" s="106"/>
    </row>
    <row r="258" spans="1:26" x14ac:dyDescent="0.25">
      <c r="A258" s="106">
        <v>256</v>
      </c>
      <c r="B258" s="103">
        <f t="shared" si="8"/>
        <v>45455</v>
      </c>
      <c r="C258" s="126">
        <v>2024</v>
      </c>
      <c r="D258" s="102">
        <f>YEAR(MC[[#This Row],[Date]])</f>
        <v>2024</v>
      </c>
      <c r="E258" s="101" t="s">
        <v>73</v>
      </c>
      <c r="F258" s="101" t="s">
        <v>73</v>
      </c>
      <c r="G258" s="1" t="str">
        <f>TEXT(MC[[#This Row],[Date]],"mmm-yy")</f>
        <v>Jun-24</v>
      </c>
      <c r="H258" s="1">
        <f>DAY(EOMONTH(MC[[#This Row],[Month Year]],0))</f>
        <v>30</v>
      </c>
      <c r="I258" s="122"/>
      <c r="J258" s="122"/>
      <c r="K258" s="106"/>
      <c r="L258" s="106"/>
      <c r="M258" s="106"/>
      <c r="N258" s="106"/>
      <c r="O258" s="106"/>
      <c r="P258" s="106"/>
      <c r="Q258" s="106"/>
      <c r="R258" s="106">
        <f t="shared" si="7"/>
        <v>6000</v>
      </c>
      <c r="S258" s="1">
        <f>SUM(MC[[#This Row],[Blk1]:[Blk8]])</f>
        <v>6000</v>
      </c>
      <c r="T258" s="106"/>
      <c r="U258" s="106"/>
      <c r="V258" s="107">
        <v>0.6875</v>
      </c>
      <c r="W258" s="107">
        <v>0.95833333333333337</v>
      </c>
      <c r="X258" s="106" t="s">
        <v>88</v>
      </c>
      <c r="Y258" s="106"/>
      <c r="Z258" s="106" t="s">
        <v>97</v>
      </c>
    </row>
    <row r="259" spans="1:26" x14ac:dyDescent="0.25">
      <c r="A259" s="106">
        <v>257</v>
      </c>
      <c r="B259" s="103">
        <f t="shared" si="8"/>
        <v>45456</v>
      </c>
      <c r="C259" s="126">
        <v>2024</v>
      </c>
      <c r="D259" s="102">
        <f>YEAR(MC[[#This Row],[Date]])</f>
        <v>2024</v>
      </c>
      <c r="E259" s="101" t="s">
        <v>73</v>
      </c>
      <c r="F259" s="101" t="s">
        <v>73</v>
      </c>
      <c r="G259" s="1" t="str">
        <f>TEXT(MC[[#This Row],[Date]],"mmm-yy")</f>
        <v>Jun-24</v>
      </c>
      <c r="H259" s="1">
        <f>DAY(EOMONTH(MC[[#This Row],[Month Year]],0))</f>
        <v>30</v>
      </c>
      <c r="I259" s="122"/>
      <c r="J259" s="122"/>
      <c r="K259" s="106"/>
      <c r="L259" s="106"/>
      <c r="M259" s="106"/>
      <c r="N259" s="106"/>
      <c r="O259" s="106"/>
      <c r="P259" s="106"/>
      <c r="Q259" s="106"/>
      <c r="R259" s="106">
        <f t="shared" ref="R259:R322" si="9">120*50</f>
        <v>6000</v>
      </c>
      <c r="S259" s="1">
        <f>SUM(MC[[#This Row],[Blk1]:[Blk8]])</f>
        <v>6000</v>
      </c>
      <c r="T259" s="106"/>
      <c r="U259" s="106"/>
      <c r="V259" s="107">
        <v>0.6875</v>
      </c>
      <c r="W259" s="107">
        <v>0.95833333333333337</v>
      </c>
      <c r="X259" s="106" t="s">
        <v>88</v>
      </c>
      <c r="Y259" s="106"/>
      <c r="Z259" s="106"/>
    </row>
    <row r="260" spans="1:26" x14ac:dyDescent="0.25">
      <c r="A260" s="106">
        <v>258</v>
      </c>
      <c r="B260" s="103">
        <f t="shared" si="8"/>
        <v>45457</v>
      </c>
      <c r="C260" s="126">
        <v>2024</v>
      </c>
      <c r="D260" s="102">
        <f>YEAR(MC[[#This Row],[Date]])</f>
        <v>2024</v>
      </c>
      <c r="E260" s="101" t="s">
        <v>73</v>
      </c>
      <c r="F260" s="101" t="s">
        <v>73</v>
      </c>
      <c r="G260" s="1" t="str">
        <f>TEXT(MC[[#This Row],[Date]],"mmm-yy")</f>
        <v>Jun-24</v>
      </c>
      <c r="H260" s="1">
        <f>DAY(EOMONTH(MC[[#This Row],[Month Year]],0))</f>
        <v>30</v>
      </c>
      <c r="I260" s="122"/>
      <c r="J260" s="122"/>
      <c r="K260" s="106"/>
      <c r="L260" s="106"/>
      <c r="M260" s="106"/>
      <c r="N260" s="106"/>
      <c r="O260" s="106"/>
      <c r="P260" s="106"/>
      <c r="Q260" s="106"/>
      <c r="R260" s="106">
        <f t="shared" si="9"/>
        <v>6000</v>
      </c>
      <c r="S260" s="1">
        <f>SUM(MC[[#This Row],[Blk1]:[Blk8]])</f>
        <v>6000</v>
      </c>
      <c r="T260" s="106"/>
      <c r="U260" s="106"/>
      <c r="V260" s="107">
        <v>0.6875</v>
      </c>
      <c r="W260" s="107">
        <v>0.95833333333333337</v>
      </c>
      <c r="X260" s="106" t="s">
        <v>88</v>
      </c>
      <c r="Y260" s="106"/>
      <c r="Z260" s="106"/>
    </row>
    <row r="261" spans="1:26" x14ac:dyDescent="0.25">
      <c r="A261" s="106">
        <v>259</v>
      </c>
      <c r="B261" s="103">
        <f t="shared" si="8"/>
        <v>45458</v>
      </c>
      <c r="C261" s="126">
        <v>2024</v>
      </c>
      <c r="D261" s="102">
        <f>YEAR(MC[[#This Row],[Date]])</f>
        <v>2024</v>
      </c>
      <c r="E261" s="101" t="s">
        <v>73</v>
      </c>
      <c r="F261" s="101" t="s">
        <v>73</v>
      </c>
      <c r="G261" s="1" t="str">
        <f>TEXT(MC[[#This Row],[Date]],"mmm-yy")</f>
        <v>Jun-24</v>
      </c>
      <c r="H261" s="1">
        <f>DAY(EOMONTH(MC[[#This Row],[Month Year]],0))</f>
        <v>30</v>
      </c>
      <c r="I261" s="122"/>
      <c r="J261" s="122"/>
      <c r="K261" s="106"/>
      <c r="L261" s="106"/>
      <c r="M261" s="106"/>
      <c r="N261" s="106"/>
      <c r="O261" s="106"/>
      <c r="P261" s="106"/>
      <c r="Q261" s="106"/>
      <c r="R261" s="106">
        <f t="shared" si="9"/>
        <v>6000</v>
      </c>
      <c r="S261" s="1">
        <f>SUM(MC[[#This Row],[Blk1]:[Blk8]])</f>
        <v>6000</v>
      </c>
      <c r="T261" s="106"/>
      <c r="U261" s="106"/>
      <c r="V261" s="107">
        <v>0.6875</v>
      </c>
      <c r="W261" s="107">
        <v>0.95833333333333337</v>
      </c>
      <c r="X261" s="106" t="s">
        <v>88</v>
      </c>
      <c r="Y261" s="106"/>
      <c r="Z261" s="106"/>
    </row>
    <row r="262" spans="1:26" x14ac:dyDescent="0.25">
      <c r="A262" s="106">
        <v>260</v>
      </c>
      <c r="B262" s="103">
        <f t="shared" si="8"/>
        <v>45459</v>
      </c>
      <c r="C262" s="126">
        <v>2024</v>
      </c>
      <c r="D262" s="102">
        <f>YEAR(MC[[#This Row],[Date]])</f>
        <v>2024</v>
      </c>
      <c r="E262" s="101" t="s">
        <v>73</v>
      </c>
      <c r="F262" s="101" t="s">
        <v>73</v>
      </c>
      <c r="G262" s="1" t="str">
        <f>TEXT(MC[[#This Row],[Date]],"mmm-yy")</f>
        <v>Jun-24</v>
      </c>
      <c r="H262" s="1">
        <f>DAY(EOMONTH(MC[[#This Row],[Month Year]],0))</f>
        <v>30</v>
      </c>
      <c r="I262" s="122"/>
      <c r="J262" s="122"/>
      <c r="K262" s="106"/>
      <c r="L262" s="106"/>
      <c r="M262" s="106"/>
      <c r="N262" s="106"/>
      <c r="O262" s="106"/>
      <c r="P262" s="106"/>
      <c r="Q262" s="106"/>
      <c r="R262" s="106">
        <f t="shared" si="9"/>
        <v>6000</v>
      </c>
      <c r="S262" s="1">
        <f>SUM(MC[[#This Row],[Blk1]:[Blk8]])</f>
        <v>6000</v>
      </c>
      <c r="T262" s="106"/>
      <c r="U262" s="106"/>
      <c r="V262" s="107">
        <v>0.6875</v>
      </c>
      <c r="W262" s="107">
        <v>0.95833333333333337</v>
      </c>
      <c r="X262" s="106" t="s">
        <v>88</v>
      </c>
      <c r="Y262" s="106"/>
      <c r="Z262" s="106"/>
    </row>
    <row r="263" spans="1:26" x14ac:dyDescent="0.25">
      <c r="A263" s="106">
        <v>261</v>
      </c>
      <c r="B263" s="103">
        <f t="shared" si="8"/>
        <v>45460</v>
      </c>
      <c r="C263" s="126">
        <v>2024</v>
      </c>
      <c r="D263" s="102">
        <f>YEAR(MC[[#This Row],[Date]])</f>
        <v>2024</v>
      </c>
      <c r="E263" s="101" t="s">
        <v>73</v>
      </c>
      <c r="F263" s="101" t="s">
        <v>73</v>
      </c>
      <c r="G263" s="1" t="str">
        <f>TEXT(MC[[#This Row],[Date]],"mmm-yy")</f>
        <v>Jun-24</v>
      </c>
      <c r="H263" s="1">
        <f>DAY(EOMONTH(MC[[#This Row],[Month Year]],0))</f>
        <v>30</v>
      </c>
      <c r="I263" s="122"/>
      <c r="J263" s="122"/>
      <c r="K263" s="106"/>
      <c r="L263" s="106"/>
      <c r="M263" s="106"/>
      <c r="N263" s="106"/>
      <c r="O263" s="106"/>
      <c r="P263" s="106"/>
      <c r="Q263" s="106"/>
      <c r="R263" s="106">
        <f t="shared" si="9"/>
        <v>6000</v>
      </c>
      <c r="S263" s="1">
        <f>SUM(MC[[#This Row],[Blk1]:[Blk8]])</f>
        <v>6000</v>
      </c>
      <c r="T263" s="106"/>
      <c r="U263" s="106"/>
      <c r="V263" s="107">
        <v>0.6875</v>
      </c>
      <c r="W263" s="107">
        <v>0.95833333333333337</v>
      </c>
      <c r="X263" s="106" t="s">
        <v>88</v>
      </c>
      <c r="Y263" s="106"/>
      <c r="Z263" s="106"/>
    </row>
    <row r="264" spans="1:26" x14ac:dyDescent="0.25">
      <c r="A264" s="106">
        <v>262</v>
      </c>
      <c r="B264" s="103">
        <f t="shared" si="8"/>
        <v>45461</v>
      </c>
      <c r="C264" s="126">
        <v>2024</v>
      </c>
      <c r="D264" s="102">
        <f>YEAR(MC[[#This Row],[Date]])</f>
        <v>2024</v>
      </c>
      <c r="E264" s="101" t="s">
        <v>73</v>
      </c>
      <c r="F264" s="101" t="s">
        <v>73</v>
      </c>
      <c r="G264" s="1" t="str">
        <f>TEXT(MC[[#This Row],[Date]],"mmm-yy")</f>
        <v>Jun-24</v>
      </c>
      <c r="H264" s="1">
        <f>DAY(EOMONTH(MC[[#This Row],[Month Year]],0))</f>
        <v>30</v>
      </c>
      <c r="I264" s="122"/>
      <c r="J264" s="122"/>
      <c r="K264" s="106"/>
      <c r="L264" s="106"/>
      <c r="M264" s="106"/>
      <c r="N264" s="106"/>
      <c r="O264" s="106"/>
      <c r="P264" s="106"/>
      <c r="Q264" s="106"/>
      <c r="R264" s="106">
        <f t="shared" si="9"/>
        <v>6000</v>
      </c>
      <c r="S264" s="1">
        <f>SUM(MC[[#This Row],[Blk1]:[Blk8]])</f>
        <v>6000</v>
      </c>
      <c r="T264" s="106"/>
      <c r="U264" s="106"/>
      <c r="V264" s="107">
        <v>0.6875</v>
      </c>
      <c r="W264" s="107">
        <v>0.95833333333333337</v>
      </c>
      <c r="X264" s="106" t="s">
        <v>88</v>
      </c>
      <c r="Y264" s="106"/>
      <c r="Z264" s="106"/>
    </row>
    <row r="265" spans="1:26" x14ac:dyDescent="0.25">
      <c r="A265" s="106">
        <v>263</v>
      </c>
      <c r="B265" s="103">
        <f t="shared" si="8"/>
        <v>45462</v>
      </c>
      <c r="C265" s="126">
        <v>2024</v>
      </c>
      <c r="D265" s="102">
        <f>YEAR(MC[[#This Row],[Date]])</f>
        <v>2024</v>
      </c>
      <c r="E265" s="101" t="s">
        <v>73</v>
      </c>
      <c r="F265" s="101" t="s">
        <v>73</v>
      </c>
      <c r="G265" s="1" t="str">
        <f>TEXT(MC[[#This Row],[Date]],"mmm-yy")</f>
        <v>Jun-24</v>
      </c>
      <c r="H265" s="1">
        <f>DAY(EOMONTH(MC[[#This Row],[Month Year]],0))</f>
        <v>30</v>
      </c>
      <c r="I265" s="122"/>
      <c r="J265" s="122"/>
      <c r="K265" s="106"/>
      <c r="L265" s="106"/>
      <c r="M265" s="106"/>
      <c r="N265" s="106"/>
      <c r="O265" s="106"/>
      <c r="P265" s="106"/>
      <c r="Q265" s="106"/>
      <c r="R265" s="106">
        <f t="shared" si="9"/>
        <v>6000</v>
      </c>
      <c r="S265" s="1">
        <f>SUM(MC[[#This Row],[Blk1]:[Blk8]])</f>
        <v>6000</v>
      </c>
      <c r="T265" s="106"/>
      <c r="U265" s="106"/>
      <c r="V265" s="107">
        <v>0.6875</v>
      </c>
      <c r="W265" s="107">
        <v>0.95833333333333337</v>
      </c>
      <c r="X265" s="106" t="s">
        <v>88</v>
      </c>
      <c r="Y265" s="106"/>
      <c r="Z265" s="106"/>
    </row>
    <row r="266" spans="1:26" x14ac:dyDescent="0.25">
      <c r="A266" s="106">
        <v>264</v>
      </c>
      <c r="B266" s="103">
        <f t="shared" si="8"/>
        <v>45463</v>
      </c>
      <c r="C266" s="126">
        <v>2024</v>
      </c>
      <c r="D266" s="102">
        <f>YEAR(MC[[#This Row],[Date]])</f>
        <v>2024</v>
      </c>
      <c r="E266" s="101" t="s">
        <v>73</v>
      </c>
      <c r="F266" s="101" t="s">
        <v>73</v>
      </c>
      <c r="G266" s="1" t="str">
        <f>TEXT(MC[[#This Row],[Date]],"mmm-yy")</f>
        <v>Jun-24</v>
      </c>
      <c r="H266" s="1">
        <f>DAY(EOMONTH(MC[[#This Row],[Month Year]],0))</f>
        <v>30</v>
      </c>
      <c r="I266" s="122"/>
      <c r="J266" s="122"/>
      <c r="K266" s="106"/>
      <c r="L266" s="106"/>
      <c r="M266" s="106"/>
      <c r="N266" s="106"/>
      <c r="O266" s="106"/>
      <c r="P266" s="106"/>
      <c r="Q266" s="106"/>
      <c r="R266" s="106">
        <f t="shared" si="9"/>
        <v>6000</v>
      </c>
      <c r="S266" s="1">
        <f>SUM(MC[[#This Row],[Blk1]:[Blk8]])</f>
        <v>6000</v>
      </c>
      <c r="T266" s="106"/>
      <c r="U266" s="106"/>
      <c r="V266" s="107">
        <v>0.6875</v>
      </c>
      <c r="W266" s="107">
        <v>0.95833333333333337</v>
      </c>
      <c r="X266" s="106" t="s">
        <v>88</v>
      </c>
      <c r="Y266" s="106"/>
      <c r="Z266" s="106"/>
    </row>
    <row r="267" spans="1:26" x14ac:dyDescent="0.25">
      <c r="A267" s="106">
        <v>265</v>
      </c>
      <c r="B267" s="103">
        <f t="shared" si="8"/>
        <v>45464</v>
      </c>
      <c r="C267" s="126">
        <v>2024</v>
      </c>
      <c r="D267" s="102">
        <f>YEAR(MC[[#This Row],[Date]])</f>
        <v>2024</v>
      </c>
      <c r="E267" s="101" t="s">
        <v>73</v>
      </c>
      <c r="F267" s="101" t="s">
        <v>73</v>
      </c>
      <c r="G267" s="1" t="str">
        <f>TEXT(MC[[#This Row],[Date]],"mmm-yy")</f>
        <v>Jun-24</v>
      </c>
      <c r="H267" s="1">
        <f>DAY(EOMONTH(MC[[#This Row],[Month Year]],0))</f>
        <v>30</v>
      </c>
      <c r="I267" s="122"/>
      <c r="J267" s="122"/>
      <c r="K267" s="106"/>
      <c r="L267" s="106"/>
      <c r="M267" s="106"/>
      <c r="N267" s="106"/>
      <c r="O267" s="106"/>
      <c r="P267" s="106"/>
      <c r="Q267" s="106"/>
      <c r="R267" s="106">
        <f t="shared" si="9"/>
        <v>6000</v>
      </c>
      <c r="S267" s="1">
        <f>SUM(MC[[#This Row],[Blk1]:[Blk8]])</f>
        <v>6000</v>
      </c>
      <c r="T267" s="106"/>
      <c r="U267" s="106"/>
      <c r="V267" s="107">
        <v>0.6875</v>
      </c>
      <c r="W267" s="107">
        <v>0.95833333333333337</v>
      </c>
      <c r="X267" s="106" t="s">
        <v>88</v>
      </c>
      <c r="Y267" s="106"/>
      <c r="Z267" s="106"/>
    </row>
    <row r="268" spans="1:26" x14ac:dyDescent="0.25">
      <c r="A268" s="106">
        <v>266</v>
      </c>
      <c r="B268" s="103">
        <f t="shared" si="8"/>
        <v>45465</v>
      </c>
      <c r="C268" s="126">
        <v>2024</v>
      </c>
      <c r="D268" s="102">
        <f>YEAR(MC[[#This Row],[Date]])</f>
        <v>2024</v>
      </c>
      <c r="E268" s="101" t="s">
        <v>73</v>
      </c>
      <c r="F268" s="101" t="s">
        <v>73</v>
      </c>
      <c r="G268" s="1" t="str">
        <f>TEXT(MC[[#This Row],[Date]],"mmm-yy")</f>
        <v>Jun-24</v>
      </c>
      <c r="H268" s="1">
        <f>DAY(EOMONTH(MC[[#This Row],[Month Year]],0))</f>
        <v>30</v>
      </c>
      <c r="I268" s="122"/>
      <c r="J268" s="122"/>
      <c r="K268" s="106"/>
      <c r="L268" s="106"/>
      <c r="M268" s="106"/>
      <c r="N268" s="106"/>
      <c r="O268" s="106"/>
      <c r="P268" s="106"/>
      <c r="Q268" s="106"/>
      <c r="R268" s="106">
        <f t="shared" si="9"/>
        <v>6000</v>
      </c>
      <c r="S268" s="1">
        <f>SUM(MC[[#This Row],[Blk1]:[Blk8]])</f>
        <v>6000</v>
      </c>
      <c r="T268" s="106"/>
      <c r="U268" s="106"/>
      <c r="V268" s="107">
        <v>0.6875</v>
      </c>
      <c r="W268" s="107">
        <v>0.95833333333333337</v>
      </c>
      <c r="X268" s="106" t="s">
        <v>88</v>
      </c>
      <c r="Y268" s="106"/>
      <c r="Z268" s="106"/>
    </row>
    <row r="269" spans="1:26" x14ac:dyDescent="0.25">
      <c r="A269" s="106">
        <v>267</v>
      </c>
      <c r="B269" s="103">
        <f t="shared" si="8"/>
        <v>45466</v>
      </c>
      <c r="C269" s="126">
        <v>2024</v>
      </c>
      <c r="D269" s="102">
        <f>YEAR(MC[[#This Row],[Date]])</f>
        <v>2024</v>
      </c>
      <c r="E269" s="101" t="s">
        <v>73</v>
      </c>
      <c r="F269" s="101" t="s">
        <v>73</v>
      </c>
      <c r="G269" s="1" t="str">
        <f>TEXT(MC[[#This Row],[Date]],"mmm-yy")</f>
        <v>Jun-24</v>
      </c>
      <c r="H269" s="1">
        <f>DAY(EOMONTH(MC[[#This Row],[Month Year]],0))</f>
        <v>30</v>
      </c>
      <c r="I269" s="122"/>
      <c r="J269" s="122"/>
      <c r="K269" s="106"/>
      <c r="L269" s="106"/>
      <c r="M269" s="106"/>
      <c r="N269" s="106"/>
      <c r="O269" s="106"/>
      <c r="P269" s="106"/>
      <c r="Q269" s="106"/>
      <c r="R269" s="106">
        <f t="shared" si="9"/>
        <v>6000</v>
      </c>
      <c r="S269" s="1">
        <f>SUM(MC[[#This Row],[Blk1]:[Blk8]])</f>
        <v>6000</v>
      </c>
      <c r="T269" s="106"/>
      <c r="U269" s="106"/>
      <c r="V269" s="107">
        <v>0.6875</v>
      </c>
      <c r="W269" s="107">
        <v>0.95833333333333337</v>
      </c>
      <c r="X269" s="106" t="s">
        <v>88</v>
      </c>
      <c r="Y269" s="106"/>
      <c r="Z269" s="106"/>
    </row>
    <row r="270" spans="1:26" x14ac:dyDescent="0.25">
      <c r="A270" s="106">
        <v>268</v>
      </c>
      <c r="B270" s="103">
        <f t="shared" si="8"/>
        <v>45467</v>
      </c>
      <c r="C270" s="126">
        <v>2024</v>
      </c>
      <c r="D270" s="102">
        <f>YEAR(MC[[#This Row],[Date]])</f>
        <v>2024</v>
      </c>
      <c r="E270" s="101" t="s">
        <v>73</v>
      </c>
      <c r="F270" s="101" t="s">
        <v>73</v>
      </c>
      <c r="G270" s="1" t="str">
        <f>TEXT(MC[[#This Row],[Date]],"mmm-yy")</f>
        <v>Jun-24</v>
      </c>
      <c r="H270" s="1">
        <f>DAY(EOMONTH(MC[[#This Row],[Month Year]],0))</f>
        <v>30</v>
      </c>
      <c r="I270" s="122"/>
      <c r="J270" s="122"/>
      <c r="K270" s="106"/>
      <c r="L270" s="106"/>
      <c r="M270" s="106"/>
      <c r="N270" s="106"/>
      <c r="O270" s="106"/>
      <c r="P270" s="106"/>
      <c r="Q270" s="106"/>
      <c r="R270" s="106">
        <f t="shared" si="9"/>
        <v>6000</v>
      </c>
      <c r="S270" s="1">
        <f>SUM(MC[[#This Row],[Blk1]:[Blk8]])</f>
        <v>6000</v>
      </c>
      <c r="T270" s="106"/>
      <c r="U270" s="106"/>
      <c r="V270" s="107">
        <v>0.6875</v>
      </c>
      <c r="W270" s="107">
        <v>0.95833333333333337</v>
      </c>
      <c r="X270" s="106" t="s">
        <v>88</v>
      </c>
      <c r="Y270" s="106"/>
      <c r="Z270" s="106"/>
    </row>
    <row r="271" spans="1:26" x14ac:dyDescent="0.25">
      <c r="A271" s="106">
        <v>269</v>
      </c>
      <c r="B271" s="103">
        <f t="shared" si="8"/>
        <v>45468</v>
      </c>
      <c r="C271" s="126">
        <v>2024</v>
      </c>
      <c r="D271" s="102">
        <f>YEAR(MC[[#This Row],[Date]])</f>
        <v>2024</v>
      </c>
      <c r="E271" s="101" t="s">
        <v>73</v>
      </c>
      <c r="F271" s="101" t="s">
        <v>73</v>
      </c>
      <c r="G271" s="1" t="str">
        <f>TEXT(MC[[#This Row],[Date]],"mmm-yy")</f>
        <v>Jun-24</v>
      </c>
      <c r="H271" s="1">
        <f>DAY(EOMONTH(MC[[#This Row],[Month Year]],0))</f>
        <v>30</v>
      </c>
      <c r="I271" s="122"/>
      <c r="J271" s="122"/>
      <c r="K271" s="106"/>
      <c r="L271" s="106"/>
      <c r="M271" s="106"/>
      <c r="N271" s="106"/>
      <c r="O271" s="106"/>
      <c r="P271" s="106"/>
      <c r="Q271" s="106"/>
      <c r="R271" s="106">
        <f t="shared" si="9"/>
        <v>6000</v>
      </c>
      <c r="S271" s="1">
        <f>SUM(MC[[#This Row],[Blk1]:[Blk8]])</f>
        <v>6000</v>
      </c>
      <c r="T271" s="106"/>
      <c r="U271" s="106"/>
      <c r="V271" s="107">
        <v>0.6875</v>
      </c>
      <c r="W271" s="107">
        <v>0.95833333333333337</v>
      </c>
      <c r="X271" s="106" t="s">
        <v>88</v>
      </c>
      <c r="Y271" s="106"/>
      <c r="Z271" s="106"/>
    </row>
    <row r="272" spans="1:26" x14ac:dyDescent="0.25">
      <c r="A272" s="106">
        <v>270</v>
      </c>
      <c r="B272" s="103">
        <f t="shared" si="8"/>
        <v>45469</v>
      </c>
      <c r="C272" s="126">
        <v>2024</v>
      </c>
      <c r="D272" s="102">
        <f>YEAR(MC[[#This Row],[Date]])</f>
        <v>2024</v>
      </c>
      <c r="E272" s="101" t="s">
        <v>73</v>
      </c>
      <c r="F272" s="101" t="s">
        <v>73</v>
      </c>
      <c r="G272" s="1" t="str">
        <f>TEXT(MC[[#This Row],[Date]],"mmm-yy")</f>
        <v>Jun-24</v>
      </c>
      <c r="H272" s="1">
        <f>DAY(EOMONTH(MC[[#This Row],[Month Year]],0))</f>
        <v>30</v>
      </c>
      <c r="I272" s="122"/>
      <c r="J272" s="122"/>
      <c r="K272" s="106"/>
      <c r="L272" s="106"/>
      <c r="M272" s="106"/>
      <c r="N272" s="106"/>
      <c r="O272" s="106"/>
      <c r="P272" s="106"/>
      <c r="Q272" s="106"/>
      <c r="R272" s="106">
        <f t="shared" si="9"/>
        <v>6000</v>
      </c>
      <c r="S272" s="1">
        <f>SUM(MC[[#This Row],[Blk1]:[Blk8]])</f>
        <v>6000</v>
      </c>
      <c r="T272" s="106"/>
      <c r="U272" s="106"/>
      <c r="V272" s="107"/>
      <c r="W272" s="107"/>
      <c r="X272" s="106"/>
      <c r="Y272" s="106"/>
      <c r="Z272" s="106" t="s">
        <v>98</v>
      </c>
    </row>
    <row r="273" spans="1:26" x14ac:dyDescent="0.25">
      <c r="A273" s="106">
        <v>271</v>
      </c>
      <c r="B273" s="103">
        <f t="shared" si="8"/>
        <v>45470</v>
      </c>
      <c r="C273" s="126">
        <v>2024</v>
      </c>
      <c r="D273" s="102">
        <f>YEAR(MC[[#This Row],[Date]])</f>
        <v>2024</v>
      </c>
      <c r="E273" s="101" t="s">
        <v>73</v>
      </c>
      <c r="F273" s="101" t="s">
        <v>73</v>
      </c>
      <c r="G273" s="1" t="str">
        <f>TEXT(MC[[#This Row],[Date]],"mmm-yy")</f>
        <v>Jun-24</v>
      </c>
      <c r="H273" s="1">
        <f>DAY(EOMONTH(MC[[#This Row],[Month Year]],0))</f>
        <v>30</v>
      </c>
      <c r="I273" s="122"/>
      <c r="J273" s="122"/>
      <c r="K273" s="106"/>
      <c r="L273" s="106"/>
      <c r="M273" s="106"/>
      <c r="N273" s="106"/>
      <c r="O273" s="106"/>
      <c r="P273" s="106"/>
      <c r="Q273" s="106"/>
      <c r="R273" s="106">
        <f t="shared" si="9"/>
        <v>6000</v>
      </c>
      <c r="S273" s="1">
        <f>SUM(MC[[#This Row],[Blk1]:[Blk8]])</f>
        <v>6000</v>
      </c>
      <c r="T273" s="106"/>
      <c r="U273" s="106"/>
      <c r="V273" s="107">
        <v>0.6875</v>
      </c>
      <c r="W273" s="107">
        <v>0.95833333333333337</v>
      </c>
      <c r="X273" s="106" t="s">
        <v>88</v>
      </c>
      <c r="Y273" s="106"/>
      <c r="Z273" s="106"/>
    </row>
    <row r="274" spans="1:26" x14ac:dyDescent="0.25">
      <c r="A274" s="106">
        <v>272</v>
      </c>
      <c r="B274" s="103">
        <f t="shared" si="8"/>
        <v>45471</v>
      </c>
      <c r="C274" s="126">
        <v>2024</v>
      </c>
      <c r="D274" s="102">
        <f>YEAR(MC[[#This Row],[Date]])</f>
        <v>2024</v>
      </c>
      <c r="E274" s="101" t="s">
        <v>73</v>
      </c>
      <c r="F274" s="101" t="s">
        <v>73</v>
      </c>
      <c r="G274" s="1" t="str">
        <f>TEXT(MC[[#This Row],[Date]],"mmm-yy")</f>
        <v>Jun-24</v>
      </c>
      <c r="H274" s="1">
        <f>DAY(EOMONTH(MC[[#This Row],[Month Year]],0))</f>
        <v>30</v>
      </c>
      <c r="I274" s="122"/>
      <c r="J274" s="122"/>
      <c r="K274" s="106"/>
      <c r="L274" s="106"/>
      <c r="M274" s="106"/>
      <c r="N274" s="106"/>
      <c r="O274" s="106"/>
      <c r="P274" s="106"/>
      <c r="Q274" s="106"/>
      <c r="R274" s="106">
        <f t="shared" si="9"/>
        <v>6000</v>
      </c>
      <c r="S274" s="1">
        <f>SUM(MC[[#This Row],[Blk1]:[Blk8]])</f>
        <v>6000</v>
      </c>
      <c r="T274" s="106"/>
      <c r="U274" s="106"/>
      <c r="V274" s="107">
        <v>0.6875</v>
      </c>
      <c r="W274" s="107">
        <v>0.95833333333333337</v>
      </c>
      <c r="X274" s="106" t="s">
        <v>88</v>
      </c>
      <c r="Y274" s="106"/>
      <c r="Z274" s="106"/>
    </row>
    <row r="275" spans="1:26" x14ac:dyDescent="0.25">
      <c r="A275" s="106">
        <v>273</v>
      </c>
      <c r="B275" s="103">
        <f t="shared" si="8"/>
        <v>45472</v>
      </c>
      <c r="C275" s="126">
        <v>2024</v>
      </c>
      <c r="D275" s="102">
        <f>YEAR(MC[[#This Row],[Date]])</f>
        <v>2024</v>
      </c>
      <c r="E275" s="101" t="s">
        <v>73</v>
      </c>
      <c r="F275" s="101" t="s">
        <v>73</v>
      </c>
      <c r="G275" s="1" t="str">
        <f>TEXT(MC[[#This Row],[Date]],"mmm-yy")</f>
        <v>Jun-24</v>
      </c>
      <c r="H275" s="1">
        <f>DAY(EOMONTH(MC[[#This Row],[Month Year]],0))</f>
        <v>30</v>
      </c>
      <c r="I275" s="122"/>
      <c r="J275" s="122"/>
      <c r="K275" s="106"/>
      <c r="L275" s="106"/>
      <c r="M275" s="106"/>
      <c r="N275" s="106"/>
      <c r="O275" s="106"/>
      <c r="P275" s="106"/>
      <c r="Q275" s="106"/>
      <c r="R275" s="106">
        <f t="shared" si="9"/>
        <v>6000</v>
      </c>
      <c r="S275" s="1">
        <f>SUM(MC[[#This Row],[Blk1]:[Blk8]])</f>
        <v>6000</v>
      </c>
      <c r="T275" s="106"/>
      <c r="U275" s="106"/>
      <c r="V275" s="106"/>
      <c r="W275" s="106"/>
      <c r="X275" s="106"/>
      <c r="Y275" s="106"/>
      <c r="Z275" s="106" t="s">
        <v>98</v>
      </c>
    </row>
    <row r="276" spans="1:26" x14ac:dyDescent="0.25">
      <c r="A276" s="106">
        <v>274</v>
      </c>
      <c r="B276" s="103">
        <f t="shared" si="8"/>
        <v>45473</v>
      </c>
      <c r="C276" s="126">
        <v>2024</v>
      </c>
      <c r="D276" s="102">
        <f>YEAR(MC[[#This Row],[Date]])</f>
        <v>2024</v>
      </c>
      <c r="E276" s="101" t="s">
        <v>73</v>
      </c>
      <c r="F276" s="101" t="s">
        <v>73</v>
      </c>
      <c r="G276" s="1" t="str">
        <f>TEXT(MC[[#This Row],[Date]],"mmm-yy")</f>
        <v>Jun-24</v>
      </c>
      <c r="H276" s="1">
        <f>DAY(EOMONTH(MC[[#This Row],[Month Year]],0))</f>
        <v>30</v>
      </c>
      <c r="I276" s="122"/>
      <c r="J276" s="122"/>
      <c r="K276" s="106"/>
      <c r="L276" s="106"/>
      <c r="M276" s="106"/>
      <c r="N276" s="106"/>
      <c r="O276" s="106"/>
      <c r="P276" s="106"/>
      <c r="Q276" s="106"/>
      <c r="R276" s="106">
        <f t="shared" si="9"/>
        <v>6000</v>
      </c>
      <c r="S276" s="1">
        <f>SUM(MC[[#This Row],[Blk1]:[Blk8]])</f>
        <v>6000</v>
      </c>
      <c r="T276" s="106"/>
      <c r="U276" s="106"/>
      <c r="V276" s="107">
        <v>0.6875</v>
      </c>
      <c r="W276" s="107">
        <v>0.95833333333333337</v>
      </c>
      <c r="X276" s="106" t="s">
        <v>88</v>
      </c>
      <c r="Y276" s="106"/>
      <c r="Z276" s="106"/>
    </row>
    <row r="277" spans="1:26" x14ac:dyDescent="0.25">
      <c r="A277" s="106">
        <v>275</v>
      </c>
      <c r="B277" s="103">
        <f t="shared" si="8"/>
        <v>45474</v>
      </c>
      <c r="C277" s="126">
        <v>2024</v>
      </c>
      <c r="D277" s="102">
        <f>YEAR(MC[[#This Row],[Date]])</f>
        <v>2024</v>
      </c>
      <c r="E277" s="101" t="s">
        <v>73</v>
      </c>
      <c r="F277" s="101" t="s">
        <v>73</v>
      </c>
      <c r="G277" s="1" t="str">
        <f>TEXT(MC[[#This Row],[Date]],"mmm-yy")</f>
        <v>Jul-24</v>
      </c>
      <c r="H277" s="1">
        <f>DAY(EOMONTH(MC[[#This Row],[Month Year]],0))</f>
        <v>31</v>
      </c>
      <c r="I277" s="106"/>
      <c r="J277" s="122"/>
      <c r="K277" s="106"/>
      <c r="L277" s="106"/>
      <c r="M277" s="106"/>
      <c r="N277" s="106"/>
      <c r="O277" s="106"/>
      <c r="P277" s="106"/>
      <c r="Q277" s="106"/>
      <c r="R277" s="106">
        <f t="shared" si="9"/>
        <v>6000</v>
      </c>
      <c r="S277" s="1">
        <f>SUM(MC[[#This Row],[Blk1]:[Blk8]])</f>
        <v>6000</v>
      </c>
      <c r="T277" s="106"/>
      <c r="U277" s="106"/>
      <c r="V277" s="107">
        <v>0.6875</v>
      </c>
      <c r="W277" s="107">
        <v>0.95833333333333337</v>
      </c>
      <c r="X277" s="106" t="s">
        <v>88</v>
      </c>
      <c r="Y277" s="106"/>
      <c r="Z277" s="106"/>
    </row>
    <row r="278" spans="1:26" x14ac:dyDescent="0.25">
      <c r="A278" s="106">
        <v>276</v>
      </c>
      <c r="B278" s="103">
        <f t="shared" si="8"/>
        <v>45475</v>
      </c>
      <c r="C278" s="126">
        <v>2024</v>
      </c>
      <c r="D278" s="127">
        <f>YEAR(MC[[#This Row],[Date]])</f>
        <v>2024</v>
      </c>
      <c r="E278" s="101" t="s">
        <v>73</v>
      </c>
      <c r="F278" s="101" t="s">
        <v>73</v>
      </c>
      <c r="G278" s="1" t="str">
        <f>TEXT(MC[[#This Row],[Date]],"mmm-yy")</f>
        <v>Jul-24</v>
      </c>
      <c r="H278" s="1">
        <f>DAY(EOMONTH(MC[[#This Row],[Month Year]],0))</f>
        <v>31</v>
      </c>
      <c r="I278" s="122"/>
      <c r="J278" s="122"/>
      <c r="K278" s="122"/>
      <c r="L278" s="122"/>
      <c r="M278" s="122"/>
      <c r="N278" s="122"/>
      <c r="O278" s="122"/>
      <c r="P278" s="122"/>
      <c r="Q278" s="122"/>
      <c r="R278" s="122">
        <f t="shared" si="9"/>
        <v>6000</v>
      </c>
      <c r="S278" s="1">
        <f>SUM(MC[[#This Row],[Blk1]:[Blk8]])</f>
        <v>6000</v>
      </c>
      <c r="T278" s="122"/>
      <c r="U278" s="122"/>
      <c r="V278" s="107">
        <v>0.6875</v>
      </c>
      <c r="W278" s="107">
        <v>0.95833333333333337</v>
      </c>
      <c r="X278" s="106" t="s">
        <v>88</v>
      </c>
      <c r="Y278" s="122"/>
      <c r="Z278" s="122"/>
    </row>
    <row r="279" spans="1:26" x14ac:dyDescent="0.25">
      <c r="A279" s="106">
        <v>277</v>
      </c>
      <c r="B279" s="103">
        <f t="shared" si="8"/>
        <v>45476</v>
      </c>
      <c r="C279" s="126">
        <v>2024</v>
      </c>
      <c r="D279" s="102">
        <f>YEAR(MC[[#This Row],[Date]])</f>
        <v>2024</v>
      </c>
      <c r="E279" s="101" t="s">
        <v>73</v>
      </c>
      <c r="F279" s="101" t="s">
        <v>73</v>
      </c>
      <c r="G279" s="1" t="str">
        <f>TEXT(MC[[#This Row],[Date]],"mmm-yy")</f>
        <v>Jul-24</v>
      </c>
      <c r="H279" s="1">
        <f>DAY(EOMONTH(MC[[#This Row],[Month Year]],0))</f>
        <v>31</v>
      </c>
      <c r="I279" s="106"/>
      <c r="J279" s="106"/>
      <c r="K279" s="106"/>
      <c r="L279" s="106"/>
      <c r="M279" s="106"/>
      <c r="N279" s="106"/>
      <c r="O279" s="106"/>
      <c r="P279" s="106"/>
      <c r="Q279" s="106"/>
      <c r="R279" s="106">
        <f t="shared" si="9"/>
        <v>6000</v>
      </c>
      <c r="S279" s="1">
        <f>SUM(MC[[#This Row],[Blk1]:[Blk8]])</f>
        <v>6000</v>
      </c>
      <c r="T279" s="106"/>
      <c r="U279" s="106"/>
      <c r="V279" s="107">
        <v>0.6875</v>
      </c>
      <c r="W279" s="107">
        <v>0.95833333333333337</v>
      </c>
      <c r="X279" s="106" t="s">
        <v>88</v>
      </c>
      <c r="Y279" s="106"/>
      <c r="Z279" s="106"/>
    </row>
    <row r="280" spans="1:26" x14ac:dyDescent="0.25">
      <c r="A280" s="106">
        <v>278</v>
      </c>
      <c r="B280" s="103">
        <f t="shared" si="8"/>
        <v>45477</v>
      </c>
      <c r="C280" s="126">
        <v>2024</v>
      </c>
      <c r="D280" s="102">
        <f>YEAR(MC[[#This Row],[Date]])</f>
        <v>2024</v>
      </c>
      <c r="E280" s="101" t="s">
        <v>73</v>
      </c>
      <c r="F280" s="101" t="s">
        <v>73</v>
      </c>
      <c r="G280" s="1" t="str">
        <f>TEXT(MC[[#This Row],[Date]],"mmm-yy")</f>
        <v>Jul-24</v>
      </c>
      <c r="H280" s="1">
        <f>DAY(EOMONTH(MC[[#This Row],[Month Year]],0))</f>
        <v>31</v>
      </c>
      <c r="I280" s="106"/>
      <c r="J280" s="106"/>
      <c r="K280" s="106"/>
      <c r="L280" s="106"/>
      <c r="M280" s="106"/>
      <c r="N280" s="106"/>
      <c r="O280" s="106"/>
      <c r="P280" s="106"/>
      <c r="Q280" s="106"/>
      <c r="R280" s="106">
        <f t="shared" si="9"/>
        <v>6000</v>
      </c>
      <c r="S280" s="1">
        <f>SUM(MC[[#This Row],[Blk1]:[Blk8]])</f>
        <v>6000</v>
      </c>
      <c r="T280" s="106"/>
      <c r="U280" s="106"/>
      <c r="V280" s="106"/>
      <c r="W280" s="106"/>
      <c r="X280" s="106"/>
      <c r="Y280" s="106"/>
      <c r="Z280" s="106" t="s">
        <v>99</v>
      </c>
    </row>
    <row r="281" spans="1:26" x14ac:dyDescent="0.25">
      <c r="A281" s="106">
        <v>279</v>
      </c>
      <c r="B281" s="103">
        <f t="shared" si="8"/>
        <v>45478</v>
      </c>
      <c r="C281" s="126">
        <v>2024</v>
      </c>
      <c r="D281" s="102">
        <f>YEAR(MC[[#This Row],[Date]])</f>
        <v>2024</v>
      </c>
      <c r="E281" s="101" t="s">
        <v>73</v>
      </c>
      <c r="F281" s="101" t="s">
        <v>73</v>
      </c>
      <c r="G281" s="1" t="str">
        <f>TEXT(MC[[#This Row],[Date]],"mmm-yy")</f>
        <v>Jul-24</v>
      </c>
      <c r="H281" s="1">
        <f>DAY(EOMONTH(MC[[#This Row],[Month Year]],0))</f>
        <v>31</v>
      </c>
      <c r="I281" s="106"/>
      <c r="J281" s="106"/>
      <c r="K281" s="106"/>
      <c r="L281" s="106"/>
      <c r="M281" s="106"/>
      <c r="N281" s="106"/>
      <c r="O281" s="106"/>
      <c r="P281" s="106"/>
      <c r="Q281" s="106"/>
      <c r="R281" s="106">
        <f t="shared" si="9"/>
        <v>6000</v>
      </c>
      <c r="S281" s="1">
        <f>SUM(MC[[#This Row],[Blk1]:[Blk8]])</f>
        <v>6000</v>
      </c>
      <c r="T281" s="106"/>
      <c r="U281" s="106"/>
      <c r="V281" s="106"/>
      <c r="W281" s="106"/>
      <c r="X281" s="106"/>
      <c r="Y281" s="106"/>
      <c r="Z281" s="106" t="s">
        <v>100</v>
      </c>
    </row>
    <row r="282" spans="1:26" x14ac:dyDescent="0.25">
      <c r="A282" s="106">
        <v>280</v>
      </c>
      <c r="B282" s="103">
        <f t="shared" si="8"/>
        <v>45479</v>
      </c>
      <c r="C282" s="126">
        <v>2024</v>
      </c>
      <c r="D282" s="102">
        <f>YEAR(MC[[#This Row],[Date]])</f>
        <v>2024</v>
      </c>
      <c r="E282" s="101" t="s">
        <v>73</v>
      </c>
      <c r="F282" s="101" t="s">
        <v>73</v>
      </c>
      <c r="G282" s="1" t="str">
        <f>TEXT(MC[[#This Row],[Date]],"mmm-yy")</f>
        <v>Jul-24</v>
      </c>
      <c r="H282" s="1">
        <f>DAY(EOMONTH(MC[[#This Row],[Month Year]],0))</f>
        <v>31</v>
      </c>
      <c r="I282" s="106"/>
      <c r="J282" s="106"/>
      <c r="K282" s="106"/>
      <c r="L282" s="106"/>
      <c r="M282" s="106"/>
      <c r="N282" s="106"/>
      <c r="O282" s="106"/>
      <c r="P282" s="106"/>
      <c r="Q282" s="106"/>
      <c r="R282" s="106">
        <f t="shared" si="9"/>
        <v>6000</v>
      </c>
      <c r="S282" s="1">
        <f>SUM(MC[[#This Row],[Blk1]:[Blk8]])</f>
        <v>6000</v>
      </c>
      <c r="T282" s="106"/>
      <c r="U282" s="106"/>
      <c r="V282" s="106"/>
      <c r="W282" s="106"/>
      <c r="X282" s="106"/>
      <c r="Y282" s="106"/>
      <c r="Z282" s="106" t="s">
        <v>101</v>
      </c>
    </row>
    <row r="283" spans="1:26" x14ac:dyDescent="0.25">
      <c r="A283" s="106">
        <v>281</v>
      </c>
      <c r="B283" s="103">
        <f t="shared" si="8"/>
        <v>45480</v>
      </c>
      <c r="C283" s="126">
        <v>2024</v>
      </c>
      <c r="D283" s="102">
        <f>YEAR(MC[[#This Row],[Date]])</f>
        <v>2024</v>
      </c>
      <c r="E283" s="101" t="s">
        <v>73</v>
      </c>
      <c r="F283" s="101" t="s">
        <v>73</v>
      </c>
      <c r="G283" s="1" t="str">
        <f>TEXT(MC[[#This Row],[Date]],"mmm-yy")</f>
        <v>Jul-24</v>
      </c>
      <c r="H283" s="1">
        <f>DAY(EOMONTH(MC[[#This Row],[Month Year]],0))</f>
        <v>31</v>
      </c>
      <c r="I283" s="106"/>
      <c r="J283" s="106"/>
      <c r="K283" s="106"/>
      <c r="L283" s="106"/>
      <c r="M283" s="106"/>
      <c r="N283" s="106"/>
      <c r="O283" s="106"/>
      <c r="P283" s="106"/>
      <c r="Q283" s="106"/>
      <c r="R283" s="106">
        <f t="shared" si="9"/>
        <v>6000</v>
      </c>
      <c r="S283" s="1">
        <f>SUM(MC[[#This Row],[Blk1]:[Blk8]])</f>
        <v>6000</v>
      </c>
      <c r="T283" s="106"/>
      <c r="U283" s="106"/>
      <c r="V283" s="106"/>
      <c r="W283" s="106"/>
      <c r="X283" s="106"/>
      <c r="Y283" s="106"/>
      <c r="Z283" s="106" t="s">
        <v>102</v>
      </c>
    </row>
    <row r="284" spans="1:26" x14ac:dyDescent="0.25">
      <c r="A284" s="106">
        <v>282</v>
      </c>
      <c r="B284" s="103">
        <f t="shared" si="8"/>
        <v>45481</v>
      </c>
      <c r="C284" s="126">
        <v>2024</v>
      </c>
      <c r="D284" s="102">
        <f>YEAR(MC[[#This Row],[Date]])</f>
        <v>2024</v>
      </c>
      <c r="E284" s="101" t="s">
        <v>73</v>
      </c>
      <c r="F284" s="101" t="s">
        <v>73</v>
      </c>
      <c r="G284" s="1" t="str">
        <f>TEXT(MC[[#This Row],[Date]],"mmm-yy")</f>
        <v>Jul-24</v>
      </c>
      <c r="H284" s="1">
        <f>DAY(EOMONTH(MC[[#This Row],[Month Year]],0))</f>
        <v>31</v>
      </c>
      <c r="I284" s="106"/>
      <c r="J284" s="106"/>
      <c r="K284" s="106"/>
      <c r="L284" s="106"/>
      <c r="M284" s="106"/>
      <c r="N284" s="106"/>
      <c r="O284" s="106"/>
      <c r="P284" s="106"/>
      <c r="Q284" s="106"/>
      <c r="R284" s="106">
        <f t="shared" si="9"/>
        <v>6000</v>
      </c>
      <c r="S284" s="1">
        <f>SUM(MC[[#This Row],[Blk1]:[Blk8]])</f>
        <v>6000</v>
      </c>
      <c r="T284" s="106"/>
      <c r="U284" s="106"/>
      <c r="V284" s="106"/>
      <c r="W284" s="106"/>
      <c r="X284" s="106"/>
      <c r="Y284" s="106"/>
      <c r="Z284" s="106" t="s">
        <v>103</v>
      </c>
    </row>
    <row r="285" spans="1:26" x14ac:dyDescent="0.25">
      <c r="A285" s="106">
        <v>283</v>
      </c>
      <c r="B285" s="103">
        <f t="shared" si="8"/>
        <v>45482</v>
      </c>
      <c r="C285" s="126">
        <v>2024</v>
      </c>
      <c r="D285" s="102">
        <f>YEAR(MC[[#This Row],[Date]])</f>
        <v>2024</v>
      </c>
      <c r="E285" s="101" t="s">
        <v>73</v>
      </c>
      <c r="F285" s="101" t="s">
        <v>73</v>
      </c>
      <c r="G285" s="1" t="str">
        <f>TEXT(MC[[#This Row],[Date]],"mmm-yy")</f>
        <v>Jul-24</v>
      </c>
      <c r="H285" s="1">
        <f>DAY(EOMONTH(MC[[#This Row],[Month Year]],0))</f>
        <v>31</v>
      </c>
      <c r="I285" s="106"/>
      <c r="J285" s="106"/>
      <c r="K285" s="106"/>
      <c r="L285" s="106"/>
      <c r="M285" s="106"/>
      <c r="N285" s="106"/>
      <c r="O285" s="106"/>
      <c r="P285" s="106"/>
      <c r="Q285" s="106"/>
      <c r="R285" s="106">
        <f t="shared" si="9"/>
        <v>6000</v>
      </c>
      <c r="S285" s="1">
        <f>SUM(MC[[#This Row],[Blk1]:[Blk8]])</f>
        <v>6000</v>
      </c>
      <c r="T285" s="106"/>
      <c r="U285" s="106"/>
      <c r="V285" s="106"/>
      <c r="W285" s="106"/>
      <c r="X285" s="106"/>
      <c r="Y285" s="106"/>
      <c r="Z285" s="106" t="s">
        <v>103</v>
      </c>
    </row>
    <row r="286" spans="1:26" x14ac:dyDescent="0.25">
      <c r="A286" s="106">
        <v>284</v>
      </c>
      <c r="B286" s="103">
        <f t="shared" si="8"/>
        <v>45483</v>
      </c>
      <c r="C286" s="126">
        <v>2024</v>
      </c>
      <c r="D286" s="102">
        <f>YEAR(MC[[#This Row],[Date]])</f>
        <v>2024</v>
      </c>
      <c r="E286" s="101" t="s">
        <v>73</v>
      </c>
      <c r="F286" s="101" t="s">
        <v>73</v>
      </c>
      <c r="G286" s="1" t="str">
        <f>TEXT(MC[[#This Row],[Date]],"mmm-yy")</f>
        <v>Jul-24</v>
      </c>
      <c r="H286" s="1">
        <f>DAY(EOMONTH(MC[[#This Row],[Month Year]],0))</f>
        <v>31</v>
      </c>
      <c r="I286" s="106"/>
      <c r="J286" s="106"/>
      <c r="K286" s="106"/>
      <c r="L286" s="106"/>
      <c r="M286" s="106"/>
      <c r="N286" s="106"/>
      <c r="O286" s="106"/>
      <c r="P286" s="106"/>
      <c r="Q286" s="106"/>
      <c r="R286" s="106">
        <f t="shared" si="9"/>
        <v>6000</v>
      </c>
      <c r="S286" s="1">
        <f>SUM(MC[[#This Row],[Blk1]:[Blk8]])</f>
        <v>6000</v>
      </c>
      <c r="T286" s="106"/>
      <c r="U286" s="106"/>
      <c r="V286" s="106"/>
      <c r="W286" s="106"/>
      <c r="X286" s="106"/>
      <c r="Y286" s="106"/>
      <c r="Z286" s="106" t="s">
        <v>103</v>
      </c>
    </row>
    <row r="287" spans="1:26" x14ac:dyDescent="0.25">
      <c r="A287" s="106">
        <v>285</v>
      </c>
      <c r="B287" s="103">
        <f t="shared" si="8"/>
        <v>45484</v>
      </c>
      <c r="C287" s="126">
        <v>2024</v>
      </c>
      <c r="D287" s="102">
        <f>YEAR(MC[[#This Row],[Date]])</f>
        <v>2024</v>
      </c>
      <c r="E287" s="101" t="s">
        <v>73</v>
      </c>
      <c r="F287" s="101" t="s">
        <v>73</v>
      </c>
      <c r="G287" s="1" t="str">
        <f>TEXT(MC[[#This Row],[Date]],"mmm-yy")</f>
        <v>Jul-24</v>
      </c>
      <c r="H287" s="1">
        <f>DAY(EOMONTH(MC[[#This Row],[Month Year]],0))</f>
        <v>31</v>
      </c>
      <c r="I287" s="106"/>
      <c r="J287" s="106"/>
      <c r="K287" s="106"/>
      <c r="L287" s="106"/>
      <c r="M287" s="106"/>
      <c r="N287" s="106"/>
      <c r="O287" s="106"/>
      <c r="P287" s="106"/>
      <c r="Q287" s="106"/>
      <c r="R287" s="106">
        <f t="shared" si="9"/>
        <v>6000</v>
      </c>
      <c r="S287" s="1">
        <f>SUM(MC[[#This Row],[Blk1]:[Blk8]])</f>
        <v>6000</v>
      </c>
      <c r="T287" s="106"/>
      <c r="U287" s="106"/>
      <c r="V287" s="106"/>
      <c r="W287" s="106"/>
      <c r="X287" s="106"/>
      <c r="Y287" s="106"/>
      <c r="Z287" s="106" t="s">
        <v>104</v>
      </c>
    </row>
    <row r="288" spans="1:26" x14ac:dyDescent="0.25">
      <c r="A288" s="106">
        <v>286</v>
      </c>
      <c r="B288" s="103">
        <f t="shared" si="8"/>
        <v>45485</v>
      </c>
      <c r="C288" s="126">
        <v>2024</v>
      </c>
      <c r="D288" s="102">
        <f>YEAR(MC[[#This Row],[Date]])</f>
        <v>2024</v>
      </c>
      <c r="E288" s="101" t="s">
        <v>73</v>
      </c>
      <c r="F288" s="101" t="s">
        <v>73</v>
      </c>
      <c r="G288" s="1" t="str">
        <f>TEXT(MC[[#This Row],[Date]],"mmm-yy")</f>
        <v>Jul-24</v>
      </c>
      <c r="H288" s="1">
        <f>DAY(EOMONTH(MC[[#This Row],[Month Year]],0))</f>
        <v>31</v>
      </c>
      <c r="I288" s="106"/>
      <c r="J288" s="106"/>
      <c r="K288" s="106"/>
      <c r="L288" s="106"/>
      <c r="M288" s="106"/>
      <c r="N288" s="106"/>
      <c r="O288" s="106"/>
      <c r="P288" s="106"/>
      <c r="Q288" s="106"/>
      <c r="R288" s="106">
        <f t="shared" si="9"/>
        <v>6000</v>
      </c>
      <c r="S288" s="1">
        <f>SUM(MC[[#This Row],[Blk1]:[Blk8]])</f>
        <v>6000</v>
      </c>
      <c r="T288" s="106"/>
      <c r="U288" s="106"/>
      <c r="V288" s="106"/>
      <c r="W288" s="106"/>
      <c r="X288" s="106"/>
      <c r="Y288" s="106"/>
      <c r="Z288" s="106" t="s">
        <v>103</v>
      </c>
    </row>
    <row r="289" spans="1:26" x14ac:dyDescent="0.25">
      <c r="A289" s="106">
        <v>287</v>
      </c>
      <c r="B289" s="103">
        <f t="shared" si="8"/>
        <v>45486</v>
      </c>
      <c r="C289" s="126">
        <v>2024</v>
      </c>
      <c r="D289" s="102">
        <f>YEAR(MC[[#This Row],[Date]])</f>
        <v>2024</v>
      </c>
      <c r="E289" s="101" t="s">
        <v>73</v>
      </c>
      <c r="F289" s="101" t="s">
        <v>73</v>
      </c>
      <c r="G289" s="1" t="str">
        <f>TEXT(MC[[#This Row],[Date]],"mmm-yy")</f>
        <v>Jul-24</v>
      </c>
      <c r="H289" s="1">
        <f>DAY(EOMONTH(MC[[#This Row],[Month Year]],0))</f>
        <v>31</v>
      </c>
      <c r="I289" s="106"/>
      <c r="J289" s="106"/>
      <c r="K289" s="106"/>
      <c r="L289" s="106"/>
      <c r="M289" s="106"/>
      <c r="N289" s="106"/>
      <c r="O289" s="106"/>
      <c r="P289" s="106"/>
      <c r="Q289" s="106"/>
      <c r="R289" s="106">
        <f t="shared" si="9"/>
        <v>6000</v>
      </c>
      <c r="S289" s="1">
        <f>SUM(MC[[#This Row],[Blk1]:[Blk8]])</f>
        <v>6000</v>
      </c>
      <c r="T289" s="106"/>
      <c r="U289" s="106"/>
      <c r="V289" s="106"/>
      <c r="W289" s="106"/>
      <c r="X289" s="106"/>
      <c r="Y289" s="106"/>
      <c r="Z289" s="106" t="s">
        <v>105</v>
      </c>
    </row>
    <row r="290" spans="1:26" x14ac:dyDescent="0.25">
      <c r="A290" s="106">
        <v>288</v>
      </c>
      <c r="B290" s="103">
        <f t="shared" si="8"/>
        <v>45487</v>
      </c>
      <c r="C290" s="126">
        <v>2024</v>
      </c>
      <c r="D290" s="102">
        <f>YEAR(MC[[#This Row],[Date]])</f>
        <v>2024</v>
      </c>
      <c r="E290" s="101" t="s">
        <v>73</v>
      </c>
      <c r="F290" s="101" t="s">
        <v>73</v>
      </c>
      <c r="G290" s="1" t="str">
        <f>TEXT(MC[[#This Row],[Date]],"mmm-yy")</f>
        <v>Jul-24</v>
      </c>
      <c r="H290" s="1">
        <f>DAY(EOMONTH(MC[[#This Row],[Month Year]],0))</f>
        <v>31</v>
      </c>
      <c r="I290" s="106"/>
      <c r="J290" s="106"/>
      <c r="K290" s="106"/>
      <c r="L290" s="106"/>
      <c r="M290" s="106"/>
      <c r="N290" s="106"/>
      <c r="O290" s="106"/>
      <c r="P290" s="106"/>
      <c r="Q290" s="106"/>
      <c r="R290" s="106">
        <f t="shared" si="9"/>
        <v>6000</v>
      </c>
      <c r="S290" s="1">
        <f>SUM(MC[[#This Row],[Blk1]:[Blk8]])</f>
        <v>6000</v>
      </c>
      <c r="T290" s="106"/>
      <c r="U290" s="106"/>
      <c r="V290" s="106"/>
      <c r="W290" s="106"/>
      <c r="X290" s="106"/>
      <c r="Y290" s="106"/>
      <c r="Z290" s="106" t="s">
        <v>103</v>
      </c>
    </row>
    <row r="291" spans="1:26" x14ac:dyDescent="0.25">
      <c r="A291" s="106">
        <v>289</v>
      </c>
      <c r="B291" s="103">
        <f t="shared" si="8"/>
        <v>45488</v>
      </c>
      <c r="C291" s="126">
        <v>2024</v>
      </c>
      <c r="D291" s="102">
        <f>YEAR(MC[[#This Row],[Date]])</f>
        <v>2024</v>
      </c>
      <c r="E291" s="101" t="s">
        <v>73</v>
      </c>
      <c r="F291" s="101" t="s">
        <v>73</v>
      </c>
      <c r="G291" s="1" t="str">
        <f>TEXT(MC[[#This Row],[Date]],"mmm-yy")</f>
        <v>Jul-24</v>
      </c>
      <c r="H291" s="1">
        <f>DAY(EOMONTH(MC[[#This Row],[Month Year]],0))</f>
        <v>31</v>
      </c>
      <c r="I291" s="106"/>
      <c r="J291" s="106"/>
      <c r="K291" s="106"/>
      <c r="L291" s="106"/>
      <c r="M291" s="106"/>
      <c r="N291" s="106"/>
      <c r="O291" s="106"/>
      <c r="P291" s="106"/>
      <c r="Q291" s="106"/>
      <c r="R291" s="106">
        <f t="shared" si="9"/>
        <v>6000</v>
      </c>
      <c r="S291" s="1">
        <f>SUM(MC[[#This Row],[Blk1]:[Blk8]])</f>
        <v>6000</v>
      </c>
      <c r="T291" s="106"/>
      <c r="U291" s="106"/>
      <c r="V291" s="106"/>
      <c r="W291" s="106"/>
      <c r="X291" s="106"/>
      <c r="Y291" s="106"/>
      <c r="Z291" s="106" t="s">
        <v>103</v>
      </c>
    </row>
    <row r="292" spans="1:26" x14ac:dyDescent="0.25">
      <c r="A292" s="106">
        <v>290</v>
      </c>
      <c r="B292" s="103">
        <f t="shared" si="8"/>
        <v>45489</v>
      </c>
      <c r="C292" s="126">
        <v>2024</v>
      </c>
      <c r="D292" s="102">
        <f>YEAR(MC[[#This Row],[Date]])</f>
        <v>2024</v>
      </c>
      <c r="E292" s="101" t="s">
        <v>73</v>
      </c>
      <c r="F292" s="101" t="s">
        <v>73</v>
      </c>
      <c r="G292" s="1" t="str">
        <f>TEXT(MC[[#This Row],[Date]],"mmm-yy")</f>
        <v>Jul-24</v>
      </c>
      <c r="H292" s="1">
        <f>DAY(EOMONTH(MC[[#This Row],[Month Year]],0))</f>
        <v>31</v>
      </c>
      <c r="I292" s="106"/>
      <c r="J292" s="106"/>
      <c r="K292" s="106"/>
      <c r="L292" s="106"/>
      <c r="M292" s="106"/>
      <c r="N292" s="106"/>
      <c r="O292" s="106"/>
      <c r="P292" s="106"/>
      <c r="Q292" s="106"/>
      <c r="R292" s="106">
        <f t="shared" si="9"/>
        <v>6000</v>
      </c>
      <c r="S292" s="1">
        <v>10250</v>
      </c>
      <c r="T292" s="106"/>
      <c r="U292" s="106"/>
      <c r="V292" s="107">
        <v>0.6875</v>
      </c>
      <c r="W292" s="107">
        <v>0.95833333333333337</v>
      </c>
      <c r="X292" s="106" t="s">
        <v>88</v>
      </c>
      <c r="Y292" s="106"/>
      <c r="Z292" s="106"/>
    </row>
    <row r="293" spans="1:26" x14ac:dyDescent="0.25">
      <c r="A293" s="106">
        <v>291</v>
      </c>
      <c r="B293" s="103">
        <f t="shared" si="8"/>
        <v>45490</v>
      </c>
      <c r="C293" s="126">
        <v>2024</v>
      </c>
      <c r="D293" s="102">
        <f>YEAR(MC[[#This Row],[Date]])</f>
        <v>2024</v>
      </c>
      <c r="E293" s="101" t="s">
        <v>73</v>
      </c>
      <c r="F293" s="101" t="s">
        <v>73</v>
      </c>
      <c r="G293" s="1" t="str">
        <f>TEXT(MC[[#This Row],[Date]],"mmm-yy")</f>
        <v>Jul-24</v>
      </c>
      <c r="H293" s="1">
        <f>DAY(EOMONTH(MC[[#This Row],[Month Year]],0))</f>
        <v>31</v>
      </c>
      <c r="I293" s="106"/>
      <c r="J293" s="106"/>
      <c r="K293" s="106"/>
      <c r="L293" s="106"/>
      <c r="M293" s="106"/>
      <c r="N293" s="106"/>
      <c r="O293" s="106"/>
      <c r="P293" s="106"/>
      <c r="Q293" s="106"/>
      <c r="R293" s="106">
        <f t="shared" si="9"/>
        <v>6000</v>
      </c>
      <c r="S293" s="1">
        <f>SUM(MC[[#This Row],[Blk1]:[Blk8]])</f>
        <v>6000</v>
      </c>
      <c r="T293" s="106"/>
      <c r="U293" s="106"/>
      <c r="V293" s="107">
        <v>0.6875</v>
      </c>
      <c r="W293" s="107">
        <v>0.95833333333333337</v>
      </c>
      <c r="X293" s="106" t="s">
        <v>88</v>
      </c>
      <c r="Y293" s="106"/>
      <c r="Z293" s="106"/>
    </row>
    <row r="294" spans="1:26" x14ac:dyDescent="0.25">
      <c r="A294" s="106">
        <v>292</v>
      </c>
      <c r="B294" s="103">
        <f t="shared" si="8"/>
        <v>45491</v>
      </c>
      <c r="C294" s="126">
        <v>2024</v>
      </c>
      <c r="D294" s="102">
        <f>YEAR(MC[[#This Row],[Date]])</f>
        <v>2024</v>
      </c>
      <c r="E294" s="101" t="s">
        <v>73</v>
      </c>
      <c r="F294" s="101" t="s">
        <v>73</v>
      </c>
      <c r="G294" s="1" t="str">
        <f>TEXT(MC[[#This Row],[Date]],"mmm-yy")</f>
        <v>Jul-24</v>
      </c>
      <c r="H294" s="1">
        <f>DAY(EOMONTH(MC[[#This Row],[Month Year]],0))</f>
        <v>31</v>
      </c>
      <c r="I294" s="106"/>
      <c r="J294" s="106"/>
      <c r="K294" s="106"/>
      <c r="L294" s="106"/>
      <c r="M294" s="106"/>
      <c r="N294" s="106"/>
      <c r="O294" s="106"/>
      <c r="P294" s="106"/>
      <c r="Q294" s="106"/>
      <c r="R294" s="106">
        <f t="shared" si="9"/>
        <v>6000</v>
      </c>
      <c r="S294" s="1">
        <f>SUM(MC[[#This Row],[Blk1]:[Blk8]])</f>
        <v>6000</v>
      </c>
      <c r="T294" s="106"/>
      <c r="U294" s="106"/>
      <c r="V294" s="107">
        <v>0.6875</v>
      </c>
      <c r="W294" s="107">
        <v>0.95833333333333337</v>
      </c>
      <c r="X294" s="106" t="s">
        <v>88</v>
      </c>
      <c r="Y294" s="106"/>
      <c r="Z294" s="106"/>
    </row>
    <row r="295" spans="1:26" x14ac:dyDescent="0.25">
      <c r="A295" s="106">
        <v>293</v>
      </c>
      <c r="B295" s="103">
        <f t="shared" si="8"/>
        <v>45492</v>
      </c>
      <c r="C295" s="126">
        <v>2024</v>
      </c>
      <c r="D295" s="102">
        <f>YEAR(MC[[#This Row],[Date]])</f>
        <v>2024</v>
      </c>
      <c r="E295" s="101" t="s">
        <v>73</v>
      </c>
      <c r="F295" s="101" t="s">
        <v>73</v>
      </c>
      <c r="G295" s="1" t="str">
        <f>TEXT(MC[[#This Row],[Date]],"mmm-yy")</f>
        <v>Jul-24</v>
      </c>
      <c r="H295" s="1">
        <f>DAY(EOMONTH(MC[[#This Row],[Month Year]],0))</f>
        <v>31</v>
      </c>
      <c r="I295" s="106"/>
      <c r="J295" s="106"/>
      <c r="K295" s="106"/>
      <c r="L295" s="106"/>
      <c r="M295" s="106"/>
      <c r="N295" s="106"/>
      <c r="O295" s="106"/>
      <c r="P295" s="106"/>
      <c r="Q295" s="106"/>
      <c r="R295" s="106">
        <f t="shared" si="9"/>
        <v>6000</v>
      </c>
      <c r="S295" s="1">
        <f>SUM(MC[[#This Row],[Blk1]:[Blk8]])</f>
        <v>6000</v>
      </c>
      <c r="T295" s="106"/>
      <c r="U295" s="106"/>
      <c r="V295" s="106"/>
      <c r="W295" s="106"/>
      <c r="X295" s="106"/>
      <c r="Y295" s="106"/>
      <c r="Z295" s="106" t="s">
        <v>106</v>
      </c>
    </row>
    <row r="296" spans="1:26" x14ac:dyDescent="0.25">
      <c r="A296" s="106">
        <v>294</v>
      </c>
      <c r="B296" s="103">
        <f t="shared" si="8"/>
        <v>45493</v>
      </c>
      <c r="C296" s="126">
        <v>2024</v>
      </c>
      <c r="D296" s="102">
        <f>YEAR(MC[[#This Row],[Date]])</f>
        <v>2024</v>
      </c>
      <c r="E296" s="101" t="s">
        <v>73</v>
      </c>
      <c r="F296" s="101" t="s">
        <v>73</v>
      </c>
      <c r="G296" s="1" t="str">
        <f>TEXT(MC[[#This Row],[Date]],"mmm-yy")</f>
        <v>Jul-24</v>
      </c>
      <c r="H296" s="1">
        <f>DAY(EOMONTH(MC[[#This Row],[Month Year]],0))</f>
        <v>31</v>
      </c>
      <c r="I296" s="106"/>
      <c r="J296" s="106"/>
      <c r="K296" s="106"/>
      <c r="L296" s="106"/>
      <c r="M296" s="106"/>
      <c r="N296" s="106"/>
      <c r="O296" s="106"/>
      <c r="P296" s="106"/>
      <c r="Q296" s="106"/>
      <c r="R296" s="106">
        <f t="shared" si="9"/>
        <v>6000</v>
      </c>
      <c r="S296" s="1">
        <f>SUM(MC[[#This Row],[Blk1]:[Blk8]])</f>
        <v>6000</v>
      </c>
      <c r="T296" s="106"/>
      <c r="U296" s="106"/>
      <c r="V296" s="107">
        <v>0.6875</v>
      </c>
      <c r="W296" s="107">
        <v>0.95833333333333337</v>
      </c>
      <c r="X296" s="106" t="s">
        <v>88</v>
      </c>
      <c r="Y296" s="106"/>
      <c r="Z296" s="106"/>
    </row>
    <row r="297" spans="1:26" x14ac:dyDescent="0.25">
      <c r="A297" s="106">
        <v>295</v>
      </c>
      <c r="B297" s="103">
        <f t="shared" si="8"/>
        <v>45494</v>
      </c>
      <c r="C297" s="126">
        <v>2024</v>
      </c>
      <c r="D297" s="102">
        <f>YEAR(MC[[#This Row],[Date]])</f>
        <v>2024</v>
      </c>
      <c r="E297" s="101" t="s">
        <v>73</v>
      </c>
      <c r="F297" s="101" t="s">
        <v>73</v>
      </c>
      <c r="G297" s="1" t="str">
        <f>TEXT(MC[[#This Row],[Date]],"mmm-yy")</f>
        <v>Jul-24</v>
      </c>
      <c r="H297" s="1">
        <f>DAY(EOMONTH(MC[[#This Row],[Month Year]],0))</f>
        <v>31</v>
      </c>
      <c r="I297" s="106"/>
      <c r="J297" s="106"/>
      <c r="K297" s="106"/>
      <c r="L297" s="106"/>
      <c r="M297" s="106"/>
      <c r="N297" s="106"/>
      <c r="O297" s="106"/>
      <c r="P297" s="106"/>
      <c r="Q297" s="106"/>
      <c r="R297" s="106">
        <f t="shared" si="9"/>
        <v>6000</v>
      </c>
      <c r="S297" s="1">
        <f>SUM(MC[[#This Row],[Blk1]:[Blk8]])</f>
        <v>6000</v>
      </c>
      <c r="T297" s="106"/>
      <c r="U297" s="106"/>
      <c r="V297" s="107">
        <v>0.6875</v>
      </c>
      <c r="W297" s="107">
        <v>0.95833333333333337</v>
      </c>
      <c r="X297" s="106" t="s">
        <v>88</v>
      </c>
      <c r="Y297" s="106"/>
      <c r="Z297" s="106"/>
    </row>
    <row r="298" spans="1:26" x14ac:dyDescent="0.25">
      <c r="A298" s="106">
        <v>296</v>
      </c>
      <c r="B298" s="103">
        <f t="shared" si="8"/>
        <v>45495</v>
      </c>
      <c r="C298" s="126">
        <v>2024</v>
      </c>
      <c r="D298" s="102">
        <f>YEAR(MC[[#This Row],[Date]])</f>
        <v>2024</v>
      </c>
      <c r="E298" s="101" t="s">
        <v>73</v>
      </c>
      <c r="F298" s="101" t="s">
        <v>73</v>
      </c>
      <c r="G298" s="1" t="str">
        <f>TEXT(MC[[#This Row],[Date]],"mmm-yy")</f>
        <v>Jul-24</v>
      </c>
      <c r="H298" s="1">
        <f>DAY(EOMONTH(MC[[#This Row],[Month Year]],0))</f>
        <v>31</v>
      </c>
      <c r="I298" s="106"/>
      <c r="J298" s="106"/>
      <c r="K298" s="106"/>
      <c r="L298" s="106"/>
      <c r="M298" s="106"/>
      <c r="N298" s="106"/>
      <c r="O298" s="106"/>
      <c r="P298" s="106"/>
      <c r="Q298" s="106"/>
      <c r="R298" s="106">
        <f t="shared" si="9"/>
        <v>6000</v>
      </c>
      <c r="S298" s="1">
        <f>SUM(MC[[#This Row],[Blk1]:[Blk8]])</f>
        <v>6000</v>
      </c>
      <c r="T298" s="106"/>
      <c r="U298" s="106"/>
      <c r="V298" s="107">
        <v>0.6875</v>
      </c>
      <c r="W298" s="107">
        <v>0.95833333333333337</v>
      </c>
      <c r="X298" s="106" t="s">
        <v>88</v>
      </c>
      <c r="Y298" s="106"/>
      <c r="Z298" s="106"/>
    </row>
    <row r="299" spans="1:26" x14ac:dyDescent="0.25">
      <c r="A299" s="106">
        <v>297</v>
      </c>
      <c r="B299" s="103">
        <f t="shared" si="8"/>
        <v>45496</v>
      </c>
      <c r="C299" s="126">
        <v>2024</v>
      </c>
      <c r="D299" s="102">
        <f>YEAR(MC[[#This Row],[Date]])</f>
        <v>2024</v>
      </c>
      <c r="E299" s="101" t="s">
        <v>73</v>
      </c>
      <c r="F299" s="101" t="s">
        <v>73</v>
      </c>
      <c r="G299" s="1" t="str">
        <f>TEXT(MC[[#This Row],[Date]],"mmm-yy")</f>
        <v>Jul-24</v>
      </c>
      <c r="H299" s="1">
        <f>DAY(EOMONTH(MC[[#This Row],[Month Year]],0))</f>
        <v>31</v>
      </c>
      <c r="I299" s="106"/>
      <c r="J299" s="106"/>
      <c r="K299" s="106"/>
      <c r="L299" s="106"/>
      <c r="M299" s="106"/>
      <c r="N299" s="106"/>
      <c r="O299" s="106"/>
      <c r="P299" s="106"/>
      <c r="Q299" s="106"/>
      <c r="R299" s="106">
        <f t="shared" si="9"/>
        <v>6000</v>
      </c>
      <c r="S299" s="1">
        <f>SUM(MC[[#This Row],[Blk1]:[Blk8]])</f>
        <v>6000</v>
      </c>
      <c r="T299" s="106"/>
      <c r="U299" s="106"/>
      <c r="V299" s="106"/>
      <c r="W299" s="106"/>
      <c r="X299" s="106"/>
      <c r="Y299" s="106"/>
      <c r="Z299" s="106" t="s">
        <v>107</v>
      </c>
    </row>
    <row r="300" spans="1:26" x14ac:dyDescent="0.25">
      <c r="A300" s="106">
        <v>298</v>
      </c>
      <c r="B300" s="103">
        <f t="shared" si="8"/>
        <v>45497</v>
      </c>
      <c r="C300" s="126">
        <v>2024</v>
      </c>
      <c r="D300" s="102">
        <f>YEAR(MC[[#This Row],[Date]])</f>
        <v>2024</v>
      </c>
      <c r="E300" s="101" t="s">
        <v>73</v>
      </c>
      <c r="F300" s="101" t="s">
        <v>73</v>
      </c>
      <c r="G300" s="1" t="str">
        <f>TEXT(MC[[#This Row],[Date]],"mmm-yy")</f>
        <v>Jul-24</v>
      </c>
      <c r="H300" s="1">
        <f>DAY(EOMONTH(MC[[#This Row],[Month Year]],0))</f>
        <v>31</v>
      </c>
      <c r="I300" s="106"/>
      <c r="J300" s="106"/>
      <c r="K300" s="106"/>
      <c r="L300" s="106"/>
      <c r="M300" s="106"/>
      <c r="N300" s="106"/>
      <c r="O300" s="106"/>
      <c r="P300" s="106"/>
      <c r="Q300" s="106"/>
      <c r="R300" s="106">
        <f t="shared" si="9"/>
        <v>6000</v>
      </c>
      <c r="S300" s="1">
        <f>SUM(MC[[#This Row],[Blk1]:[Blk8]])</f>
        <v>6000</v>
      </c>
      <c r="T300" s="106"/>
      <c r="U300" s="106"/>
      <c r="V300" s="106"/>
      <c r="W300" s="106"/>
      <c r="X300" s="106"/>
      <c r="Y300" s="106"/>
      <c r="Z300" s="106" t="s">
        <v>108</v>
      </c>
    </row>
    <row r="301" spans="1:26" x14ac:dyDescent="0.25">
      <c r="A301" s="106">
        <v>299</v>
      </c>
      <c r="B301" s="103">
        <f t="shared" si="8"/>
        <v>45498</v>
      </c>
      <c r="C301" s="126">
        <v>2024</v>
      </c>
      <c r="D301" s="102">
        <f>YEAR(MC[[#This Row],[Date]])</f>
        <v>2024</v>
      </c>
      <c r="E301" s="101" t="s">
        <v>73</v>
      </c>
      <c r="F301" s="101" t="s">
        <v>73</v>
      </c>
      <c r="G301" s="1" t="str">
        <f>TEXT(MC[[#This Row],[Date]],"mmm-yy")</f>
        <v>Jul-24</v>
      </c>
      <c r="H301" s="1">
        <f>DAY(EOMONTH(MC[[#This Row],[Month Year]],0))</f>
        <v>31</v>
      </c>
      <c r="I301" s="106"/>
      <c r="J301" s="106"/>
      <c r="K301" s="106"/>
      <c r="L301" s="106"/>
      <c r="M301" s="106"/>
      <c r="N301" s="106"/>
      <c r="O301" s="106"/>
      <c r="P301" s="106"/>
      <c r="Q301" s="106"/>
      <c r="R301" s="106">
        <f t="shared" si="9"/>
        <v>6000</v>
      </c>
      <c r="S301" s="1">
        <f>SUM(MC[[#This Row],[Blk1]:[Blk8]])</f>
        <v>6000</v>
      </c>
      <c r="T301" s="106"/>
      <c r="U301" s="106"/>
      <c r="V301" s="107">
        <v>0.6875</v>
      </c>
      <c r="W301" s="107">
        <v>0.95833333333333337</v>
      </c>
      <c r="X301" s="106" t="s">
        <v>88</v>
      </c>
      <c r="Y301" s="106"/>
      <c r="Z301" s="106"/>
    </row>
    <row r="302" spans="1:26" x14ac:dyDescent="0.25">
      <c r="A302" s="106">
        <v>300</v>
      </c>
      <c r="B302" s="103">
        <f t="shared" si="8"/>
        <v>45499</v>
      </c>
      <c r="C302" s="126">
        <v>2024</v>
      </c>
      <c r="D302" s="102">
        <f>YEAR(MC[[#This Row],[Date]])</f>
        <v>2024</v>
      </c>
      <c r="E302" s="101" t="s">
        <v>73</v>
      </c>
      <c r="F302" s="101" t="s">
        <v>73</v>
      </c>
      <c r="G302" s="1" t="str">
        <f>TEXT(MC[[#This Row],[Date]],"mmm-yy")</f>
        <v>Jul-24</v>
      </c>
      <c r="H302" s="1">
        <f>DAY(EOMONTH(MC[[#This Row],[Month Year]],0))</f>
        <v>31</v>
      </c>
      <c r="I302" s="106"/>
      <c r="J302" s="106"/>
      <c r="K302" s="106"/>
      <c r="L302" s="106"/>
      <c r="M302" s="106"/>
      <c r="N302" s="106"/>
      <c r="O302" s="106"/>
      <c r="P302" s="106"/>
      <c r="Q302" s="106"/>
      <c r="R302" s="106">
        <f t="shared" si="9"/>
        <v>6000</v>
      </c>
      <c r="S302" s="1">
        <f>SUM(MC[[#This Row],[Blk1]:[Blk8]])</f>
        <v>6000</v>
      </c>
      <c r="T302" s="106"/>
      <c r="U302" s="106"/>
      <c r="V302" s="106"/>
      <c r="W302" s="106"/>
      <c r="X302" s="106"/>
      <c r="Y302" s="106"/>
      <c r="Z302" s="106" t="s">
        <v>109</v>
      </c>
    </row>
    <row r="303" spans="1:26" x14ac:dyDescent="0.25">
      <c r="A303" s="106">
        <v>301</v>
      </c>
      <c r="B303" s="103">
        <f t="shared" si="8"/>
        <v>45500</v>
      </c>
      <c r="C303" s="126">
        <v>2024</v>
      </c>
      <c r="D303" s="102">
        <f>YEAR(MC[[#This Row],[Date]])</f>
        <v>2024</v>
      </c>
      <c r="E303" s="101" t="s">
        <v>73</v>
      </c>
      <c r="F303" s="101" t="s">
        <v>73</v>
      </c>
      <c r="G303" s="1" t="str">
        <f>TEXT(MC[[#This Row],[Date]],"mmm-yy")</f>
        <v>Jul-24</v>
      </c>
      <c r="H303" s="1">
        <f>DAY(EOMONTH(MC[[#This Row],[Month Year]],0))</f>
        <v>31</v>
      </c>
      <c r="I303" s="106"/>
      <c r="J303" s="106"/>
      <c r="K303" s="106"/>
      <c r="L303" s="106"/>
      <c r="M303" s="106"/>
      <c r="N303" s="106"/>
      <c r="O303" s="106"/>
      <c r="P303" s="106"/>
      <c r="Q303" s="106"/>
      <c r="R303" s="106">
        <f t="shared" si="9"/>
        <v>6000</v>
      </c>
      <c r="S303" s="1">
        <f>SUM(MC[[#This Row],[Blk1]:[Blk8]])</f>
        <v>6000</v>
      </c>
      <c r="T303" s="106"/>
      <c r="U303" s="106"/>
      <c r="V303" s="106"/>
      <c r="W303" s="106"/>
      <c r="X303" s="106"/>
      <c r="Y303" s="106"/>
      <c r="Z303" s="106" t="s">
        <v>110</v>
      </c>
    </row>
    <row r="304" spans="1:26" x14ac:dyDescent="0.25">
      <c r="A304" s="106">
        <v>302</v>
      </c>
      <c r="B304" s="103">
        <f t="shared" si="8"/>
        <v>45501</v>
      </c>
      <c r="C304" s="126">
        <v>2024</v>
      </c>
      <c r="D304" s="102">
        <f>YEAR(MC[[#This Row],[Date]])</f>
        <v>2024</v>
      </c>
      <c r="E304" s="101" t="s">
        <v>73</v>
      </c>
      <c r="F304" s="101" t="s">
        <v>73</v>
      </c>
      <c r="G304" s="1" t="str">
        <f>TEXT(MC[[#This Row],[Date]],"mmm-yy")</f>
        <v>Jul-24</v>
      </c>
      <c r="H304" s="1">
        <f>DAY(EOMONTH(MC[[#This Row],[Month Year]],0))</f>
        <v>31</v>
      </c>
      <c r="I304" s="106"/>
      <c r="J304" s="106"/>
      <c r="K304" s="106"/>
      <c r="L304" s="106"/>
      <c r="M304" s="106"/>
      <c r="N304" s="106"/>
      <c r="O304" s="106"/>
      <c r="P304" s="106"/>
      <c r="Q304" s="106"/>
      <c r="R304" s="106">
        <f t="shared" si="9"/>
        <v>6000</v>
      </c>
      <c r="S304" s="1">
        <f>SUM(MC[[#This Row],[Blk1]:[Blk8]])</f>
        <v>6000</v>
      </c>
      <c r="T304" s="106"/>
      <c r="U304" s="106"/>
      <c r="V304" s="107">
        <v>0.6875</v>
      </c>
      <c r="W304" s="107">
        <v>0.95833333333333337</v>
      </c>
      <c r="X304" s="106" t="s">
        <v>88</v>
      </c>
      <c r="Y304" s="106"/>
      <c r="Z304" s="106"/>
    </row>
    <row r="305" spans="1:26" x14ac:dyDescent="0.25">
      <c r="A305" s="106">
        <v>303</v>
      </c>
      <c r="B305" s="103">
        <f t="shared" si="8"/>
        <v>45502</v>
      </c>
      <c r="C305" s="126">
        <v>2024</v>
      </c>
      <c r="D305" s="102">
        <f>YEAR(MC[[#This Row],[Date]])</f>
        <v>2024</v>
      </c>
      <c r="E305" s="101" t="s">
        <v>73</v>
      </c>
      <c r="F305" s="101" t="s">
        <v>73</v>
      </c>
      <c r="G305" s="1" t="str">
        <f>TEXT(MC[[#This Row],[Date]],"mmm-yy")</f>
        <v>Jul-24</v>
      </c>
      <c r="H305" s="1">
        <f>DAY(EOMONTH(MC[[#This Row],[Month Year]],0))</f>
        <v>31</v>
      </c>
      <c r="I305" s="106"/>
      <c r="J305" s="106"/>
      <c r="K305" s="106"/>
      <c r="L305" s="106"/>
      <c r="M305" s="106"/>
      <c r="N305" s="106"/>
      <c r="O305" s="106"/>
      <c r="P305" s="106"/>
      <c r="Q305" s="106"/>
      <c r="R305" s="106">
        <f t="shared" si="9"/>
        <v>6000</v>
      </c>
      <c r="S305" s="1">
        <f>SUM(MC[[#This Row],[Blk1]:[Blk8]])</f>
        <v>6000</v>
      </c>
      <c r="T305" s="106"/>
      <c r="U305" s="106"/>
      <c r="V305" s="107">
        <v>0.6875</v>
      </c>
      <c r="W305" s="107">
        <v>0.95833333333333337</v>
      </c>
      <c r="X305" s="106" t="s">
        <v>88</v>
      </c>
      <c r="Y305" s="106"/>
      <c r="Z305" s="106"/>
    </row>
    <row r="306" spans="1:26" x14ac:dyDescent="0.25">
      <c r="A306" s="106">
        <v>304</v>
      </c>
      <c r="B306" s="103">
        <f t="shared" si="8"/>
        <v>45503</v>
      </c>
      <c r="C306" s="126">
        <v>2024</v>
      </c>
      <c r="D306" s="102">
        <f>YEAR(MC[[#This Row],[Date]])</f>
        <v>2024</v>
      </c>
      <c r="E306" s="101" t="s">
        <v>73</v>
      </c>
      <c r="F306" s="101" t="s">
        <v>73</v>
      </c>
      <c r="G306" s="1" t="str">
        <f>TEXT(MC[[#This Row],[Date]],"mmm-yy")</f>
        <v>Jul-24</v>
      </c>
      <c r="H306" s="1">
        <f>DAY(EOMONTH(MC[[#This Row],[Month Year]],0))</f>
        <v>31</v>
      </c>
      <c r="I306" s="106"/>
      <c r="J306" s="106"/>
      <c r="K306" s="106"/>
      <c r="L306" s="106"/>
      <c r="M306" s="106"/>
      <c r="N306" s="106"/>
      <c r="O306" s="106"/>
      <c r="P306" s="106"/>
      <c r="Q306" s="106"/>
      <c r="R306" s="106">
        <f t="shared" si="9"/>
        <v>6000</v>
      </c>
      <c r="S306" s="1">
        <f>SUM(MC[[#This Row],[Blk1]:[Blk8]])</f>
        <v>6000</v>
      </c>
      <c r="T306" s="106"/>
      <c r="U306" s="106"/>
      <c r="V306" s="107">
        <v>0.6875</v>
      </c>
      <c r="W306" s="107">
        <v>0.95833333333333337</v>
      </c>
      <c r="X306" s="106" t="s">
        <v>88</v>
      </c>
      <c r="Y306" s="106"/>
      <c r="Z306" s="106"/>
    </row>
    <row r="307" spans="1:26" x14ac:dyDescent="0.25">
      <c r="A307" s="106">
        <v>305</v>
      </c>
      <c r="B307" s="103">
        <f t="shared" si="8"/>
        <v>45504</v>
      </c>
      <c r="C307" s="126">
        <v>2024</v>
      </c>
      <c r="D307" s="102">
        <f>YEAR(MC[[#This Row],[Date]])</f>
        <v>2024</v>
      </c>
      <c r="E307" s="101" t="s">
        <v>73</v>
      </c>
      <c r="F307" s="101" t="s">
        <v>73</v>
      </c>
      <c r="G307" s="1" t="str">
        <f>TEXT(MC[[#This Row],[Date]],"mmm-yy")</f>
        <v>Jul-24</v>
      </c>
      <c r="H307" s="1">
        <f>DAY(EOMONTH(MC[[#This Row],[Month Year]],0))</f>
        <v>31</v>
      </c>
      <c r="I307" s="106"/>
      <c r="J307" s="106"/>
      <c r="K307" s="106"/>
      <c r="L307" s="106"/>
      <c r="M307" s="106"/>
      <c r="N307" s="106"/>
      <c r="O307" s="106"/>
      <c r="P307" s="106"/>
      <c r="Q307" s="106"/>
      <c r="R307" s="106">
        <f t="shared" si="9"/>
        <v>6000</v>
      </c>
      <c r="S307" s="1">
        <f>SUM(MC[[#This Row],[Blk1]:[Blk8]])</f>
        <v>6000</v>
      </c>
      <c r="T307" s="106"/>
      <c r="U307" s="106"/>
      <c r="V307" s="106"/>
      <c r="W307" s="106"/>
      <c r="X307" s="106"/>
      <c r="Y307" s="106"/>
      <c r="Z307" s="106" t="s">
        <v>111</v>
      </c>
    </row>
    <row r="308" spans="1:26" x14ac:dyDescent="0.25">
      <c r="A308" s="106">
        <v>306</v>
      </c>
      <c r="B308" s="103">
        <f t="shared" si="8"/>
        <v>45505</v>
      </c>
      <c r="C308" s="126">
        <v>2024</v>
      </c>
      <c r="D308" s="102">
        <f>YEAR(MC[[#This Row],[Date]])</f>
        <v>2024</v>
      </c>
      <c r="E308" s="101" t="s">
        <v>73</v>
      </c>
      <c r="F308" s="101" t="s">
        <v>73</v>
      </c>
      <c r="G308" s="1" t="str">
        <f>TEXT(MC[[#This Row],[Date]],"mmm-yy")</f>
        <v>Aug-24</v>
      </c>
      <c r="H308" s="1">
        <f>DAY(EOMONTH(MC[[#This Row],[Month Year]],0))</f>
        <v>31</v>
      </c>
      <c r="I308" s="106"/>
      <c r="J308" s="106"/>
      <c r="K308" s="106"/>
      <c r="L308" s="106"/>
      <c r="M308" s="106"/>
      <c r="N308" s="106"/>
      <c r="O308" s="106"/>
      <c r="P308" s="106"/>
      <c r="Q308" s="106"/>
      <c r="R308" s="106">
        <f t="shared" si="9"/>
        <v>6000</v>
      </c>
      <c r="S308" s="1">
        <f>SUM(MC[[#This Row],[Blk1]:[Blk8]])</f>
        <v>6000</v>
      </c>
      <c r="T308" s="106"/>
      <c r="U308" s="106"/>
      <c r="V308" s="106"/>
      <c r="W308" s="106"/>
      <c r="X308" s="106"/>
      <c r="Y308" s="106"/>
      <c r="Z308" s="106" t="s">
        <v>108</v>
      </c>
    </row>
    <row r="309" spans="1:26" x14ac:dyDescent="0.25">
      <c r="A309" s="106">
        <v>307</v>
      </c>
      <c r="B309" s="103">
        <f t="shared" si="8"/>
        <v>45506</v>
      </c>
      <c r="C309" s="126">
        <v>2024</v>
      </c>
      <c r="D309" s="102">
        <f>YEAR(MC[[#This Row],[Date]])</f>
        <v>2024</v>
      </c>
      <c r="E309" s="101" t="s">
        <v>73</v>
      </c>
      <c r="F309" s="101" t="s">
        <v>73</v>
      </c>
      <c r="G309" s="1" t="str">
        <f>TEXT(MC[[#This Row],[Date]],"mmm-yy")</f>
        <v>Aug-24</v>
      </c>
      <c r="H309" s="1">
        <f>DAY(EOMONTH(MC[[#This Row],[Month Year]],0))</f>
        <v>31</v>
      </c>
      <c r="I309" s="106"/>
      <c r="J309" s="106"/>
      <c r="K309" s="106"/>
      <c r="L309" s="106"/>
      <c r="M309" s="106"/>
      <c r="N309" s="106"/>
      <c r="O309" s="106"/>
      <c r="P309" s="106"/>
      <c r="Q309" s="106"/>
      <c r="R309" s="106">
        <f t="shared" si="9"/>
        <v>6000</v>
      </c>
      <c r="S309" s="1">
        <f>SUM(MC[[#This Row],[Blk1]:[Blk8]])</f>
        <v>6000</v>
      </c>
      <c r="T309" s="106"/>
      <c r="U309" s="106"/>
      <c r="V309" s="107">
        <v>0.6875</v>
      </c>
      <c r="W309" s="107">
        <v>0.95833333333333337</v>
      </c>
      <c r="X309" s="106" t="s">
        <v>88</v>
      </c>
      <c r="Y309" s="106"/>
      <c r="Z309" s="106"/>
    </row>
    <row r="310" spans="1:26" x14ac:dyDescent="0.25">
      <c r="A310" s="106">
        <v>308</v>
      </c>
      <c r="B310" s="103">
        <f t="shared" si="8"/>
        <v>45507</v>
      </c>
      <c r="C310" s="126">
        <v>2024</v>
      </c>
      <c r="D310" s="102">
        <f>YEAR(MC[[#This Row],[Date]])</f>
        <v>2024</v>
      </c>
      <c r="E310" s="101" t="s">
        <v>73</v>
      </c>
      <c r="F310" s="101" t="s">
        <v>73</v>
      </c>
      <c r="G310" s="1" t="str">
        <f>TEXT(MC[[#This Row],[Date]],"mmm-yy")</f>
        <v>Aug-24</v>
      </c>
      <c r="H310" s="1">
        <f>DAY(EOMONTH(MC[[#This Row],[Month Year]],0))</f>
        <v>31</v>
      </c>
      <c r="I310" s="106"/>
      <c r="J310" s="106"/>
      <c r="K310" s="106"/>
      <c r="L310" s="106"/>
      <c r="M310" s="106"/>
      <c r="N310" s="106"/>
      <c r="O310" s="106"/>
      <c r="P310" s="106"/>
      <c r="Q310" s="106"/>
      <c r="R310" s="106">
        <f t="shared" si="9"/>
        <v>6000</v>
      </c>
      <c r="S310" s="1">
        <f>SUM(MC[[#This Row],[Blk1]:[Blk8]])</f>
        <v>6000</v>
      </c>
      <c r="T310" s="106"/>
      <c r="U310" s="106"/>
      <c r="V310" s="107">
        <v>0.6875</v>
      </c>
      <c r="W310" s="107">
        <v>0.95833333333333337</v>
      </c>
      <c r="X310" s="106" t="s">
        <v>88</v>
      </c>
      <c r="Y310" s="106"/>
      <c r="Z310" s="106"/>
    </row>
    <row r="311" spans="1:26" x14ac:dyDescent="0.25">
      <c r="A311" s="106">
        <v>309</v>
      </c>
      <c r="B311" s="103">
        <f t="shared" si="8"/>
        <v>45508</v>
      </c>
      <c r="C311" s="126">
        <v>2024</v>
      </c>
      <c r="D311" s="102">
        <f>YEAR(MC[[#This Row],[Date]])</f>
        <v>2024</v>
      </c>
      <c r="E311" s="101" t="s">
        <v>73</v>
      </c>
      <c r="F311" s="101" t="s">
        <v>73</v>
      </c>
      <c r="G311" s="1" t="str">
        <f>TEXT(MC[[#This Row],[Date]],"mmm-yy")</f>
        <v>Aug-24</v>
      </c>
      <c r="H311" s="1">
        <f>DAY(EOMONTH(MC[[#This Row],[Month Year]],0))</f>
        <v>31</v>
      </c>
      <c r="I311" s="106"/>
      <c r="J311" s="106"/>
      <c r="K311" s="106"/>
      <c r="L311" s="106"/>
      <c r="M311" s="106"/>
      <c r="N311" s="106"/>
      <c r="O311" s="106"/>
      <c r="P311" s="106"/>
      <c r="Q311" s="106"/>
      <c r="R311" s="106">
        <f t="shared" si="9"/>
        <v>6000</v>
      </c>
      <c r="S311" s="1">
        <f>SUM(MC[[#This Row],[Blk1]:[Blk8]])</f>
        <v>6000</v>
      </c>
      <c r="T311" s="106"/>
      <c r="U311" s="106"/>
      <c r="V311" s="106"/>
      <c r="W311" s="106"/>
      <c r="X311" s="106"/>
      <c r="Y311" s="106"/>
      <c r="Z311" s="106" t="s">
        <v>112</v>
      </c>
    </row>
    <row r="312" spans="1:26" x14ac:dyDescent="0.25">
      <c r="A312" s="106">
        <v>310</v>
      </c>
      <c r="B312" s="103">
        <f t="shared" si="8"/>
        <v>45509</v>
      </c>
      <c r="C312" s="126">
        <v>2024</v>
      </c>
      <c r="D312" s="102">
        <f>YEAR(MC[[#This Row],[Date]])</f>
        <v>2024</v>
      </c>
      <c r="E312" s="101" t="s">
        <v>73</v>
      </c>
      <c r="F312" s="101" t="s">
        <v>73</v>
      </c>
      <c r="G312" s="1" t="str">
        <f>TEXT(MC[[#This Row],[Date]],"mmm-yy")</f>
        <v>Aug-24</v>
      </c>
      <c r="H312" s="1">
        <f>DAY(EOMONTH(MC[[#This Row],[Month Year]],0))</f>
        <v>31</v>
      </c>
      <c r="I312" s="106"/>
      <c r="J312" s="106"/>
      <c r="K312" s="106"/>
      <c r="L312" s="106"/>
      <c r="M312" s="106"/>
      <c r="N312" s="106"/>
      <c r="O312" s="106"/>
      <c r="P312" s="106"/>
      <c r="Q312" s="106"/>
      <c r="R312" s="106">
        <f t="shared" si="9"/>
        <v>6000</v>
      </c>
      <c r="S312" s="1">
        <f>SUM(MC[[#This Row],[Blk1]:[Blk8]])</f>
        <v>6000</v>
      </c>
      <c r="T312" s="106"/>
      <c r="U312" s="106"/>
      <c r="V312" s="106"/>
      <c r="W312" s="106"/>
      <c r="X312" s="106"/>
      <c r="Y312" s="106"/>
      <c r="Z312" s="106" t="s">
        <v>113</v>
      </c>
    </row>
    <row r="313" spans="1:26" x14ac:dyDescent="0.25">
      <c r="A313" s="106">
        <v>311</v>
      </c>
      <c r="B313" s="103">
        <f t="shared" si="8"/>
        <v>45510</v>
      </c>
      <c r="C313" s="126">
        <v>2024</v>
      </c>
      <c r="D313" s="102">
        <f>YEAR(MC[[#This Row],[Date]])</f>
        <v>2024</v>
      </c>
      <c r="E313" s="101" t="s">
        <v>73</v>
      </c>
      <c r="F313" s="101" t="s">
        <v>73</v>
      </c>
      <c r="G313" s="1" t="str">
        <f>TEXT(MC[[#This Row],[Date]],"mmm-yy")</f>
        <v>Aug-24</v>
      </c>
      <c r="H313" s="1">
        <f>DAY(EOMONTH(MC[[#This Row],[Month Year]],0))</f>
        <v>31</v>
      </c>
      <c r="I313" s="106"/>
      <c r="J313" s="106"/>
      <c r="K313" s="106"/>
      <c r="L313" s="106"/>
      <c r="M313" s="106"/>
      <c r="N313" s="106"/>
      <c r="O313" s="106"/>
      <c r="P313" s="106"/>
      <c r="Q313" s="106"/>
      <c r="R313" s="106">
        <f t="shared" si="9"/>
        <v>6000</v>
      </c>
      <c r="S313" s="1">
        <f>SUM(MC[[#This Row],[Blk1]:[Blk8]])</f>
        <v>6000</v>
      </c>
      <c r="T313" s="106"/>
      <c r="U313" s="106"/>
      <c r="V313" s="107">
        <v>0.6875</v>
      </c>
      <c r="W313" s="107">
        <v>0.95833333333333337</v>
      </c>
      <c r="X313" s="106" t="s">
        <v>88</v>
      </c>
      <c r="Y313" s="106"/>
      <c r="Z313" s="106"/>
    </row>
    <row r="314" spans="1:26" x14ac:dyDescent="0.25">
      <c r="A314" s="106">
        <v>312</v>
      </c>
      <c r="B314" s="103">
        <f t="shared" si="8"/>
        <v>45511</v>
      </c>
      <c r="C314" s="126">
        <v>2024</v>
      </c>
      <c r="D314" s="102">
        <f>YEAR(MC[[#This Row],[Date]])</f>
        <v>2024</v>
      </c>
      <c r="E314" s="101" t="s">
        <v>73</v>
      </c>
      <c r="F314" s="101" t="s">
        <v>73</v>
      </c>
      <c r="G314" s="1" t="str">
        <f>TEXT(MC[[#This Row],[Date]],"mmm-yy")</f>
        <v>Aug-24</v>
      </c>
      <c r="H314" s="1">
        <f>DAY(EOMONTH(MC[[#This Row],[Month Year]],0))</f>
        <v>31</v>
      </c>
      <c r="I314" s="106"/>
      <c r="J314" s="106"/>
      <c r="K314" s="106"/>
      <c r="L314" s="106"/>
      <c r="M314" s="106"/>
      <c r="N314" s="106"/>
      <c r="O314" s="106"/>
      <c r="P314" s="106"/>
      <c r="Q314" s="106"/>
      <c r="R314" s="106">
        <f t="shared" si="9"/>
        <v>6000</v>
      </c>
      <c r="S314" s="1">
        <f>SUM(MC[[#This Row],[Blk1]:[Blk8]])</f>
        <v>6000</v>
      </c>
      <c r="T314" s="106"/>
      <c r="U314" s="106"/>
      <c r="V314" s="106"/>
      <c r="W314" s="106"/>
      <c r="X314" s="106"/>
      <c r="Y314" s="106"/>
      <c r="Z314" s="106" t="s">
        <v>114</v>
      </c>
    </row>
    <row r="315" spans="1:26" x14ac:dyDescent="0.25">
      <c r="A315" s="106">
        <v>313</v>
      </c>
      <c r="B315" s="103">
        <f t="shared" si="8"/>
        <v>45512</v>
      </c>
      <c r="C315" s="126">
        <v>2024</v>
      </c>
      <c r="D315" s="102">
        <f>YEAR(MC[[#This Row],[Date]])</f>
        <v>2024</v>
      </c>
      <c r="E315" s="101" t="s">
        <v>73</v>
      </c>
      <c r="F315" s="101" t="s">
        <v>73</v>
      </c>
      <c r="G315" s="1" t="str">
        <f>TEXT(MC[[#This Row],[Date]],"mmm-yy")</f>
        <v>Aug-24</v>
      </c>
      <c r="H315" s="1">
        <f>DAY(EOMONTH(MC[[#This Row],[Month Year]],0))</f>
        <v>31</v>
      </c>
      <c r="I315" s="106"/>
      <c r="J315" s="106"/>
      <c r="K315" s="106"/>
      <c r="L315" s="106"/>
      <c r="M315" s="106"/>
      <c r="N315" s="106"/>
      <c r="O315" s="106"/>
      <c r="P315" s="106"/>
      <c r="Q315" s="106"/>
      <c r="R315" s="106">
        <f t="shared" si="9"/>
        <v>6000</v>
      </c>
      <c r="S315" s="1">
        <f>SUM(MC[[#This Row],[Blk1]:[Blk8]])</f>
        <v>6000</v>
      </c>
      <c r="T315" s="106"/>
      <c r="U315" s="106"/>
      <c r="V315" s="106"/>
      <c r="W315" s="106"/>
      <c r="X315" s="106"/>
      <c r="Y315" s="106"/>
      <c r="Z315" s="106" t="s">
        <v>115</v>
      </c>
    </row>
    <row r="316" spans="1:26" x14ac:dyDescent="0.25">
      <c r="A316" s="106">
        <v>314</v>
      </c>
      <c r="B316" s="103">
        <f t="shared" si="8"/>
        <v>45513</v>
      </c>
      <c r="C316" s="126">
        <v>2024</v>
      </c>
      <c r="D316" s="102">
        <f>YEAR(MC[[#This Row],[Date]])</f>
        <v>2024</v>
      </c>
      <c r="E316" s="101" t="s">
        <v>73</v>
      </c>
      <c r="F316" s="101" t="s">
        <v>73</v>
      </c>
      <c r="G316" s="1" t="str">
        <f>TEXT(MC[[#This Row],[Date]],"mmm-yy")</f>
        <v>Aug-24</v>
      </c>
      <c r="H316" s="1">
        <f>DAY(EOMONTH(MC[[#This Row],[Month Year]],0))</f>
        <v>31</v>
      </c>
      <c r="I316" s="106"/>
      <c r="J316" s="106"/>
      <c r="K316" s="106"/>
      <c r="L316" s="106"/>
      <c r="M316" s="106"/>
      <c r="N316" s="106"/>
      <c r="O316" s="106"/>
      <c r="P316" s="106"/>
      <c r="Q316" s="106"/>
      <c r="R316" s="106">
        <f t="shared" si="9"/>
        <v>6000</v>
      </c>
      <c r="S316" s="1">
        <f>SUM(MC[[#This Row],[Blk1]:[Blk8]])</f>
        <v>6000</v>
      </c>
      <c r="T316" s="106"/>
      <c r="U316" s="106"/>
      <c r="V316" s="106"/>
      <c r="W316" s="106"/>
      <c r="X316" s="106"/>
      <c r="Y316" s="106"/>
      <c r="Z316" s="106" t="s">
        <v>116</v>
      </c>
    </row>
    <row r="317" spans="1:26" x14ac:dyDescent="0.25">
      <c r="A317" s="106">
        <v>315</v>
      </c>
      <c r="B317" s="103">
        <f t="shared" si="8"/>
        <v>45514</v>
      </c>
      <c r="C317" s="126">
        <v>2024</v>
      </c>
      <c r="D317" s="102">
        <f>YEAR(MC[[#This Row],[Date]])</f>
        <v>2024</v>
      </c>
      <c r="E317" s="101" t="s">
        <v>73</v>
      </c>
      <c r="F317" s="101" t="s">
        <v>73</v>
      </c>
      <c r="G317" s="1" t="str">
        <f>TEXT(MC[[#This Row],[Date]],"mmm-yy")</f>
        <v>Aug-24</v>
      </c>
      <c r="H317" s="1">
        <f>DAY(EOMONTH(MC[[#This Row],[Month Year]],0))</f>
        <v>31</v>
      </c>
      <c r="I317" s="106"/>
      <c r="J317" s="106"/>
      <c r="K317" s="106"/>
      <c r="L317" s="106"/>
      <c r="M317" s="106"/>
      <c r="N317" s="106"/>
      <c r="O317" s="106"/>
      <c r="P317" s="106"/>
      <c r="Q317" s="106"/>
      <c r="R317" s="106">
        <f t="shared" si="9"/>
        <v>6000</v>
      </c>
      <c r="S317" s="1">
        <f>SUM(MC[[#This Row],[Blk1]:[Blk8]])</f>
        <v>6000</v>
      </c>
      <c r="T317" s="106"/>
      <c r="U317" s="106"/>
      <c r="V317" s="106"/>
      <c r="W317" s="106"/>
      <c r="X317" s="106"/>
      <c r="Y317" s="106"/>
      <c r="Z317" s="106" t="s">
        <v>117</v>
      </c>
    </row>
    <row r="318" spans="1:26" x14ac:dyDescent="0.25">
      <c r="A318" s="106">
        <v>316</v>
      </c>
      <c r="B318" s="103">
        <f t="shared" si="8"/>
        <v>45515</v>
      </c>
      <c r="C318" s="126">
        <v>2024</v>
      </c>
      <c r="D318" s="102">
        <f>YEAR(MC[[#This Row],[Date]])</f>
        <v>2024</v>
      </c>
      <c r="E318" s="101" t="s">
        <v>73</v>
      </c>
      <c r="F318" s="101" t="s">
        <v>73</v>
      </c>
      <c r="G318" s="1" t="str">
        <f>TEXT(MC[[#This Row],[Date]],"mmm-yy")</f>
        <v>Aug-24</v>
      </c>
      <c r="H318" s="1">
        <f>DAY(EOMONTH(MC[[#This Row],[Month Year]],0))</f>
        <v>31</v>
      </c>
      <c r="I318" s="106"/>
      <c r="J318" s="106"/>
      <c r="K318" s="106"/>
      <c r="L318" s="106"/>
      <c r="M318" s="106"/>
      <c r="N318" s="106"/>
      <c r="O318" s="106"/>
      <c r="P318" s="106"/>
      <c r="Q318" s="106"/>
      <c r="R318" s="106">
        <f t="shared" si="9"/>
        <v>6000</v>
      </c>
      <c r="S318" s="1">
        <f>SUM(MC[[#This Row],[Blk1]:[Blk8]])</f>
        <v>6000</v>
      </c>
      <c r="T318" s="106"/>
      <c r="U318" s="106"/>
      <c r="V318" s="106"/>
      <c r="W318" s="106"/>
      <c r="X318" s="106"/>
      <c r="Y318" s="106"/>
      <c r="Z318" s="106" t="s">
        <v>118</v>
      </c>
    </row>
    <row r="319" spans="1:26" x14ac:dyDescent="0.25">
      <c r="A319" s="106">
        <v>317</v>
      </c>
      <c r="B319" s="103">
        <f t="shared" ref="B319:B382" si="10">B318+1</f>
        <v>45516</v>
      </c>
      <c r="C319" s="126">
        <v>2024</v>
      </c>
      <c r="D319" s="102">
        <f>YEAR(MC[[#This Row],[Date]])</f>
        <v>2024</v>
      </c>
      <c r="E319" s="101" t="s">
        <v>73</v>
      </c>
      <c r="F319" s="101" t="s">
        <v>73</v>
      </c>
      <c r="G319" s="1" t="str">
        <f>TEXT(MC[[#This Row],[Date]],"mmm-yy")</f>
        <v>Aug-24</v>
      </c>
      <c r="H319" s="1">
        <f>DAY(EOMONTH(MC[[#This Row],[Month Year]],0))</f>
        <v>31</v>
      </c>
      <c r="I319" s="106"/>
      <c r="J319" s="106"/>
      <c r="K319" s="106"/>
      <c r="L319" s="106"/>
      <c r="M319" s="106"/>
      <c r="N319" s="106"/>
      <c r="O319" s="106"/>
      <c r="P319" s="106"/>
      <c r="Q319" s="106"/>
      <c r="R319" s="106">
        <f t="shared" si="9"/>
        <v>6000</v>
      </c>
      <c r="S319" s="1">
        <f>SUM(MC[[#This Row],[Blk1]:[Blk8]])</f>
        <v>6000</v>
      </c>
      <c r="T319" s="106"/>
      <c r="U319" s="106"/>
      <c r="V319" s="106"/>
      <c r="W319" s="106"/>
      <c r="X319" s="106"/>
      <c r="Y319" s="106"/>
      <c r="Z319" s="106" t="s">
        <v>119</v>
      </c>
    </row>
    <row r="320" spans="1:26" x14ac:dyDescent="0.25">
      <c r="A320" s="106">
        <v>318</v>
      </c>
      <c r="B320" s="103">
        <f t="shared" si="10"/>
        <v>45517</v>
      </c>
      <c r="C320" s="126">
        <v>2024</v>
      </c>
      <c r="D320" s="102">
        <f>YEAR(MC[[#This Row],[Date]])</f>
        <v>2024</v>
      </c>
      <c r="E320" s="101" t="s">
        <v>73</v>
      </c>
      <c r="F320" s="101" t="s">
        <v>73</v>
      </c>
      <c r="G320" s="1" t="str">
        <f>TEXT(MC[[#This Row],[Date]],"mmm-yy")</f>
        <v>Aug-24</v>
      </c>
      <c r="H320" s="1">
        <f>DAY(EOMONTH(MC[[#This Row],[Month Year]],0))</f>
        <v>31</v>
      </c>
      <c r="I320" s="106"/>
      <c r="J320" s="106"/>
      <c r="K320" s="106"/>
      <c r="L320" s="106"/>
      <c r="M320" s="106"/>
      <c r="N320" s="106"/>
      <c r="O320" s="106"/>
      <c r="P320" s="106"/>
      <c r="Q320" s="106"/>
      <c r="R320" s="106">
        <f t="shared" si="9"/>
        <v>6000</v>
      </c>
      <c r="S320" s="1">
        <f>SUM(MC[[#This Row],[Blk1]:[Blk8]])</f>
        <v>6000</v>
      </c>
      <c r="T320" s="106"/>
      <c r="U320" s="106"/>
      <c r="V320" s="106"/>
      <c r="W320" s="106"/>
      <c r="X320" s="106"/>
      <c r="Y320" s="106"/>
      <c r="Z320" s="106" t="s">
        <v>116</v>
      </c>
    </row>
    <row r="321" spans="1:26" x14ac:dyDescent="0.25">
      <c r="A321" s="106">
        <v>319</v>
      </c>
      <c r="B321" s="103">
        <f t="shared" si="10"/>
        <v>45518</v>
      </c>
      <c r="C321" s="126">
        <v>2024</v>
      </c>
      <c r="D321" s="102">
        <f>YEAR(MC[[#This Row],[Date]])</f>
        <v>2024</v>
      </c>
      <c r="E321" s="101" t="s">
        <v>73</v>
      </c>
      <c r="F321" s="101" t="s">
        <v>73</v>
      </c>
      <c r="G321" s="1" t="str">
        <f>TEXT(MC[[#This Row],[Date]],"mmm-yy")</f>
        <v>Aug-24</v>
      </c>
      <c r="H321" s="1">
        <f>DAY(EOMONTH(MC[[#This Row],[Month Year]],0))</f>
        <v>31</v>
      </c>
      <c r="I321" s="106"/>
      <c r="J321" s="106"/>
      <c r="K321" s="106"/>
      <c r="L321" s="106"/>
      <c r="M321" s="106"/>
      <c r="N321" s="106"/>
      <c r="O321" s="106"/>
      <c r="P321" s="106"/>
      <c r="Q321" s="106"/>
      <c r="R321" s="106">
        <f t="shared" si="9"/>
        <v>6000</v>
      </c>
      <c r="S321" s="1">
        <f>SUM(MC[[#This Row],[Blk1]:[Blk8]])</f>
        <v>6000</v>
      </c>
      <c r="T321" s="106"/>
      <c r="U321" s="106"/>
      <c r="V321" s="106"/>
      <c r="W321" s="106"/>
      <c r="X321" s="106"/>
      <c r="Y321" s="106"/>
      <c r="Z321" s="106" t="s">
        <v>120</v>
      </c>
    </row>
    <row r="322" spans="1:26" x14ac:dyDescent="0.25">
      <c r="A322" s="106">
        <v>320</v>
      </c>
      <c r="B322" s="103">
        <f t="shared" si="10"/>
        <v>45519</v>
      </c>
      <c r="C322" s="126">
        <v>2024</v>
      </c>
      <c r="D322" s="102">
        <f>YEAR(MC[[#This Row],[Date]])</f>
        <v>2024</v>
      </c>
      <c r="E322" s="101" t="s">
        <v>73</v>
      </c>
      <c r="F322" s="101" t="s">
        <v>73</v>
      </c>
      <c r="G322" s="1" t="str">
        <f>TEXT(MC[[#This Row],[Date]],"mmm-yy")</f>
        <v>Aug-24</v>
      </c>
      <c r="H322" s="1">
        <f>DAY(EOMONTH(MC[[#This Row],[Month Year]],0))</f>
        <v>31</v>
      </c>
      <c r="I322" s="106"/>
      <c r="J322" s="106"/>
      <c r="K322" s="106"/>
      <c r="L322" s="106"/>
      <c r="M322" s="106"/>
      <c r="N322" s="106"/>
      <c r="O322" s="106"/>
      <c r="P322" s="106"/>
      <c r="Q322" s="106"/>
      <c r="R322" s="106">
        <f t="shared" si="9"/>
        <v>6000</v>
      </c>
      <c r="S322" s="1">
        <f>SUM(MC[[#This Row],[Blk1]:[Blk8]])</f>
        <v>6000</v>
      </c>
      <c r="T322" s="106"/>
      <c r="U322" s="106"/>
      <c r="V322" s="106"/>
      <c r="W322" s="106"/>
      <c r="X322" s="106"/>
      <c r="Y322" s="106"/>
      <c r="Z322" s="106" t="s">
        <v>121</v>
      </c>
    </row>
    <row r="323" spans="1:26" x14ac:dyDescent="0.25">
      <c r="A323" s="106">
        <v>321</v>
      </c>
      <c r="B323" s="103">
        <f t="shared" si="10"/>
        <v>45520</v>
      </c>
      <c r="C323" s="126">
        <v>2024</v>
      </c>
      <c r="D323" s="102">
        <f>YEAR(MC[[#This Row],[Date]])</f>
        <v>2024</v>
      </c>
      <c r="E323" s="101" t="s">
        <v>73</v>
      </c>
      <c r="F323" s="101" t="s">
        <v>73</v>
      </c>
      <c r="G323" s="1" t="str">
        <f>TEXT(MC[[#This Row],[Date]],"mmm-yy")</f>
        <v>Aug-24</v>
      </c>
      <c r="H323" s="1">
        <f>DAY(EOMONTH(MC[[#This Row],[Month Year]],0))</f>
        <v>31</v>
      </c>
      <c r="I323" s="106"/>
      <c r="J323" s="106"/>
      <c r="K323" s="106"/>
      <c r="L323" s="106"/>
      <c r="M323" s="106"/>
      <c r="N323" s="106"/>
      <c r="O323" s="106"/>
      <c r="P323" s="106"/>
      <c r="Q323" s="106"/>
      <c r="R323" s="106">
        <f t="shared" ref="R323:R386" si="11">120*50</f>
        <v>6000</v>
      </c>
      <c r="S323" s="1">
        <f>SUM(MC[[#This Row],[Blk1]:[Blk8]])</f>
        <v>6000</v>
      </c>
      <c r="T323" s="106"/>
      <c r="U323" s="106"/>
      <c r="V323" s="106"/>
      <c r="W323" s="106"/>
      <c r="X323" s="106"/>
      <c r="Y323" s="106"/>
      <c r="Z323" s="106"/>
    </row>
    <row r="324" spans="1:26" x14ac:dyDescent="0.25">
      <c r="A324" s="106">
        <v>322</v>
      </c>
      <c r="B324" s="103">
        <f t="shared" si="10"/>
        <v>45521</v>
      </c>
      <c r="C324" s="126">
        <v>2024</v>
      </c>
      <c r="D324" s="102">
        <f>YEAR(MC[[#This Row],[Date]])</f>
        <v>2024</v>
      </c>
      <c r="E324" s="101" t="s">
        <v>73</v>
      </c>
      <c r="F324" s="101" t="s">
        <v>73</v>
      </c>
      <c r="G324" s="1" t="str">
        <f>TEXT(MC[[#This Row],[Date]],"mmm-yy")</f>
        <v>Aug-24</v>
      </c>
      <c r="H324" s="1">
        <f>DAY(EOMONTH(MC[[#This Row],[Month Year]],0))</f>
        <v>31</v>
      </c>
      <c r="I324" s="106"/>
      <c r="J324" s="106"/>
      <c r="K324" s="106"/>
      <c r="L324" s="106"/>
      <c r="M324" s="106"/>
      <c r="N324" s="106"/>
      <c r="O324" s="106"/>
      <c r="P324" s="106"/>
      <c r="Q324" s="106"/>
      <c r="R324" s="106">
        <f t="shared" si="11"/>
        <v>6000</v>
      </c>
      <c r="S324" s="1">
        <f>SUM(MC[[#This Row],[Blk1]:[Blk8]])</f>
        <v>6000</v>
      </c>
      <c r="T324" s="106"/>
      <c r="U324" s="106"/>
      <c r="V324" s="106"/>
      <c r="W324" s="106"/>
      <c r="X324" s="106"/>
      <c r="Y324" s="106"/>
      <c r="Z324" s="106" t="s">
        <v>122</v>
      </c>
    </row>
    <row r="325" spans="1:26" x14ac:dyDescent="0.25">
      <c r="A325" s="106">
        <v>323</v>
      </c>
      <c r="B325" s="103">
        <f t="shared" si="10"/>
        <v>45522</v>
      </c>
      <c r="C325" s="126">
        <v>2024</v>
      </c>
      <c r="D325" s="102">
        <f>YEAR(MC[[#This Row],[Date]])</f>
        <v>2024</v>
      </c>
      <c r="E325" s="101" t="s">
        <v>73</v>
      </c>
      <c r="F325" s="101" t="s">
        <v>73</v>
      </c>
      <c r="G325" s="1" t="str">
        <f>TEXT(MC[[#This Row],[Date]],"mmm-yy")</f>
        <v>Aug-24</v>
      </c>
      <c r="H325" s="1">
        <f>DAY(EOMONTH(MC[[#This Row],[Month Year]],0))</f>
        <v>31</v>
      </c>
      <c r="I325" s="106"/>
      <c r="J325" s="106"/>
      <c r="K325" s="106"/>
      <c r="L325" s="106"/>
      <c r="M325" s="106"/>
      <c r="N325" s="106"/>
      <c r="O325" s="106"/>
      <c r="P325" s="106"/>
      <c r="Q325" s="106"/>
      <c r="R325" s="106">
        <f t="shared" si="11"/>
        <v>6000</v>
      </c>
      <c r="S325" s="1">
        <f>SUM(MC[[#This Row],[Blk1]:[Blk8]])</f>
        <v>6000</v>
      </c>
      <c r="T325" s="106"/>
      <c r="U325" s="106"/>
      <c r="V325" s="106"/>
      <c r="W325" s="106"/>
      <c r="X325" s="106"/>
      <c r="Y325" s="106"/>
      <c r="Z325" s="106" t="s">
        <v>123</v>
      </c>
    </row>
    <row r="326" spans="1:26" x14ac:dyDescent="0.25">
      <c r="A326" s="106">
        <v>324</v>
      </c>
      <c r="B326" s="103">
        <f t="shared" si="10"/>
        <v>45523</v>
      </c>
      <c r="C326" s="126">
        <v>2024</v>
      </c>
      <c r="D326" s="102">
        <f>YEAR(MC[[#This Row],[Date]])</f>
        <v>2024</v>
      </c>
      <c r="E326" s="101" t="s">
        <v>73</v>
      </c>
      <c r="F326" s="101" t="s">
        <v>73</v>
      </c>
      <c r="G326" s="1" t="str">
        <f>TEXT(MC[[#This Row],[Date]],"mmm-yy")</f>
        <v>Aug-24</v>
      </c>
      <c r="H326" s="1">
        <f>DAY(EOMONTH(MC[[#This Row],[Month Year]],0))</f>
        <v>31</v>
      </c>
      <c r="I326" s="106"/>
      <c r="J326" s="106"/>
      <c r="K326" s="106"/>
      <c r="L326" s="106"/>
      <c r="M326" s="106"/>
      <c r="N326" s="106"/>
      <c r="O326" s="106"/>
      <c r="P326" s="106"/>
      <c r="Q326" s="106"/>
      <c r="R326" s="106">
        <f t="shared" si="11"/>
        <v>6000</v>
      </c>
      <c r="S326" s="1">
        <f>SUM(MC[[#This Row],[Blk1]:[Blk8]])</f>
        <v>6000</v>
      </c>
      <c r="T326" s="106"/>
      <c r="U326" s="106"/>
      <c r="V326" s="106"/>
      <c r="W326" s="106"/>
      <c r="X326" s="106"/>
      <c r="Y326" s="106"/>
      <c r="Z326" s="106" t="s">
        <v>124</v>
      </c>
    </row>
    <row r="327" spans="1:26" x14ac:dyDescent="0.25">
      <c r="A327" s="106">
        <v>325</v>
      </c>
      <c r="B327" s="103">
        <f t="shared" si="10"/>
        <v>45524</v>
      </c>
      <c r="C327" s="126">
        <v>2024</v>
      </c>
      <c r="D327" s="102">
        <f>YEAR(MC[[#This Row],[Date]])</f>
        <v>2024</v>
      </c>
      <c r="E327" s="101" t="s">
        <v>73</v>
      </c>
      <c r="F327" s="101" t="s">
        <v>73</v>
      </c>
      <c r="G327" s="1" t="str">
        <f>TEXT(MC[[#This Row],[Date]],"mmm-yy")</f>
        <v>Aug-24</v>
      </c>
      <c r="H327" s="1">
        <f>DAY(EOMONTH(MC[[#This Row],[Month Year]],0))</f>
        <v>31</v>
      </c>
      <c r="I327" s="106"/>
      <c r="J327" s="106"/>
      <c r="K327" s="106"/>
      <c r="L327" s="106"/>
      <c r="M327" s="106"/>
      <c r="N327" s="106"/>
      <c r="O327" s="106"/>
      <c r="P327" s="106"/>
      <c r="Q327" s="106"/>
      <c r="R327" s="106">
        <f t="shared" si="11"/>
        <v>6000</v>
      </c>
      <c r="S327" s="1">
        <f>SUM(MC[[#This Row],[Blk1]:[Blk8]])</f>
        <v>6000</v>
      </c>
      <c r="T327" s="106"/>
      <c r="U327" s="106"/>
      <c r="V327" s="106"/>
      <c r="W327" s="106"/>
      <c r="X327" s="106"/>
      <c r="Y327" s="106"/>
      <c r="Z327" s="106" t="s">
        <v>125</v>
      </c>
    </row>
    <row r="328" spans="1:26" x14ac:dyDescent="0.25">
      <c r="A328" s="106">
        <v>326</v>
      </c>
      <c r="B328" s="103">
        <f t="shared" si="10"/>
        <v>45525</v>
      </c>
      <c r="C328" s="126">
        <v>2024</v>
      </c>
      <c r="D328" s="102">
        <f>YEAR(MC[[#This Row],[Date]])</f>
        <v>2024</v>
      </c>
      <c r="E328" s="101" t="s">
        <v>73</v>
      </c>
      <c r="F328" s="101" t="s">
        <v>73</v>
      </c>
      <c r="G328" s="1" t="str">
        <f>TEXT(MC[[#This Row],[Date]],"mmm-yy")</f>
        <v>Aug-24</v>
      </c>
      <c r="H328" s="1">
        <f>DAY(EOMONTH(MC[[#This Row],[Month Year]],0))</f>
        <v>31</v>
      </c>
      <c r="I328" s="106"/>
      <c r="J328" s="106"/>
      <c r="K328" s="106"/>
      <c r="L328" s="106"/>
      <c r="M328" s="106"/>
      <c r="N328" s="106"/>
      <c r="O328" s="106"/>
      <c r="P328" s="106"/>
      <c r="Q328" s="106"/>
      <c r="R328" s="106">
        <f t="shared" si="11"/>
        <v>6000</v>
      </c>
      <c r="S328" s="1">
        <f>SUM(MC[[#This Row],[Blk1]:[Blk8]])</f>
        <v>6000</v>
      </c>
      <c r="T328" s="106"/>
      <c r="U328" s="106"/>
      <c r="V328" s="107">
        <v>0.6875</v>
      </c>
      <c r="W328" s="107">
        <v>0.95833333333333337</v>
      </c>
      <c r="X328" s="106" t="s">
        <v>88</v>
      </c>
      <c r="Y328" s="106"/>
      <c r="Z328" s="106"/>
    </row>
    <row r="329" spans="1:26" x14ac:dyDescent="0.25">
      <c r="A329" s="106">
        <v>327</v>
      </c>
      <c r="B329" s="103">
        <f t="shared" si="10"/>
        <v>45526</v>
      </c>
      <c r="C329" s="126">
        <v>2024</v>
      </c>
      <c r="D329" s="102">
        <f>YEAR(MC[[#This Row],[Date]])</f>
        <v>2024</v>
      </c>
      <c r="E329" s="101" t="s">
        <v>73</v>
      </c>
      <c r="F329" s="101" t="s">
        <v>73</v>
      </c>
      <c r="G329" s="1" t="str">
        <f>TEXT(MC[[#This Row],[Date]],"mmm-yy")</f>
        <v>Aug-24</v>
      </c>
      <c r="H329" s="1">
        <f>DAY(EOMONTH(MC[[#This Row],[Month Year]],0))</f>
        <v>31</v>
      </c>
      <c r="I329" s="106"/>
      <c r="J329" s="106"/>
      <c r="K329" s="106"/>
      <c r="L329" s="106"/>
      <c r="M329" s="106"/>
      <c r="N329" s="106"/>
      <c r="O329" s="106"/>
      <c r="P329" s="106"/>
      <c r="Q329" s="106"/>
      <c r="R329" s="106">
        <f t="shared" si="11"/>
        <v>6000</v>
      </c>
      <c r="S329" s="1">
        <f>SUM(MC[[#This Row],[Blk1]:[Blk8]])</f>
        <v>6000</v>
      </c>
      <c r="T329" s="106"/>
      <c r="U329" s="106"/>
      <c r="V329" s="106"/>
      <c r="W329" s="106"/>
      <c r="X329" s="106"/>
      <c r="Y329" s="106"/>
      <c r="Z329" s="106"/>
    </row>
    <row r="330" spans="1:26" x14ac:dyDescent="0.25">
      <c r="A330" s="106">
        <v>328</v>
      </c>
      <c r="B330" s="103">
        <f t="shared" si="10"/>
        <v>45527</v>
      </c>
      <c r="C330" s="126">
        <v>2024</v>
      </c>
      <c r="D330" s="102">
        <f>YEAR(MC[[#This Row],[Date]])</f>
        <v>2024</v>
      </c>
      <c r="E330" s="101" t="s">
        <v>73</v>
      </c>
      <c r="F330" s="101" t="s">
        <v>73</v>
      </c>
      <c r="G330" s="1" t="str">
        <f>TEXT(MC[[#This Row],[Date]],"mmm-yy")</f>
        <v>Aug-24</v>
      </c>
      <c r="H330" s="1">
        <f>DAY(EOMONTH(MC[[#This Row],[Month Year]],0))</f>
        <v>31</v>
      </c>
      <c r="I330" s="106"/>
      <c r="J330" s="106"/>
      <c r="K330" s="106"/>
      <c r="L330" s="106"/>
      <c r="M330" s="106"/>
      <c r="N330" s="106"/>
      <c r="O330" s="106"/>
      <c r="P330" s="106"/>
      <c r="Q330" s="106"/>
      <c r="R330" s="106">
        <f t="shared" si="11"/>
        <v>6000</v>
      </c>
      <c r="S330" s="1">
        <f>SUM(MC[[#This Row],[Blk1]:[Blk8]])</f>
        <v>6000</v>
      </c>
      <c r="T330" s="106"/>
      <c r="U330" s="106"/>
      <c r="V330" s="106"/>
      <c r="W330" s="106"/>
      <c r="X330" s="106"/>
      <c r="Y330" s="106"/>
      <c r="Z330" s="106" t="s">
        <v>126</v>
      </c>
    </row>
    <row r="331" spans="1:26" x14ac:dyDescent="0.25">
      <c r="A331" s="106">
        <v>329</v>
      </c>
      <c r="B331" s="103">
        <f t="shared" si="10"/>
        <v>45528</v>
      </c>
      <c r="C331" s="126">
        <v>2024</v>
      </c>
      <c r="D331" s="102">
        <f>YEAR(MC[[#This Row],[Date]])</f>
        <v>2024</v>
      </c>
      <c r="E331" s="101" t="s">
        <v>73</v>
      </c>
      <c r="F331" s="101" t="s">
        <v>73</v>
      </c>
      <c r="G331" s="1" t="str">
        <f>TEXT(MC[[#This Row],[Date]],"mmm-yy")</f>
        <v>Aug-24</v>
      </c>
      <c r="H331" s="1">
        <f>DAY(EOMONTH(MC[[#This Row],[Month Year]],0))</f>
        <v>31</v>
      </c>
      <c r="I331" s="106"/>
      <c r="J331" s="106"/>
      <c r="K331" s="106"/>
      <c r="L331" s="106"/>
      <c r="M331" s="106"/>
      <c r="N331" s="106"/>
      <c r="O331" s="106"/>
      <c r="P331" s="106"/>
      <c r="Q331" s="106"/>
      <c r="R331" s="106">
        <f t="shared" si="11"/>
        <v>6000</v>
      </c>
      <c r="S331" s="1">
        <f>SUM(MC[[#This Row],[Blk1]:[Blk8]])</f>
        <v>6000</v>
      </c>
      <c r="T331" s="106"/>
      <c r="U331" s="106"/>
      <c r="V331" s="106"/>
      <c r="W331" s="106"/>
      <c r="X331" s="106"/>
      <c r="Y331" s="106"/>
      <c r="Z331" s="106"/>
    </row>
    <row r="332" spans="1:26" x14ac:dyDescent="0.25">
      <c r="A332" s="106">
        <v>330</v>
      </c>
      <c r="B332" s="103">
        <f t="shared" si="10"/>
        <v>45529</v>
      </c>
      <c r="C332" s="126">
        <v>2024</v>
      </c>
      <c r="D332" s="102">
        <f>YEAR(MC[[#This Row],[Date]])</f>
        <v>2024</v>
      </c>
      <c r="E332" s="101" t="s">
        <v>73</v>
      </c>
      <c r="F332" s="101" t="s">
        <v>73</v>
      </c>
      <c r="G332" s="1" t="str">
        <f>TEXT(MC[[#This Row],[Date]],"mmm-yy")</f>
        <v>Aug-24</v>
      </c>
      <c r="H332" s="1">
        <f>DAY(EOMONTH(MC[[#This Row],[Month Year]],0))</f>
        <v>31</v>
      </c>
      <c r="I332" s="106"/>
      <c r="J332" s="106"/>
      <c r="K332" s="106"/>
      <c r="L332" s="106"/>
      <c r="M332" s="106"/>
      <c r="N332" s="106"/>
      <c r="O332" s="106"/>
      <c r="P332" s="106"/>
      <c r="Q332" s="106"/>
      <c r="R332" s="106">
        <f t="shared" si="11"/>
        <v>6000</v>
      </c>
      <c r="S332" s="1">
        <f>SUM(MC[[#This Row],[Blk1]:[Blk8]])</f>
        <v>6000</v>
      </c>
      <c r="T332" s="106"/>
      <c r="U332" s="106"/>
      <c r="V332" s="106"/>
      <c r="W332" s="106"/>
      <c r="X332" s="106"/>
      <c r="Y332" s="106"/>
      <c r="Z332" s="106" t="s">
        <v>127</v>
      </c>
    </row>
    <row r="333" spans="1:26" x14ac:dyDescent="0.25">
      <c r="A333" s="106">
        <v>331</v>
      </c>
      <c r="B333" s="103">
        <f t="shared" si="10"/>
        <v>45530</v>
      </c>
      <c r="C333" s="126">
        <v>2024</v>
      </c>
      <c r="D333" s="102">
        <f>YEAR(MC[[#This Row],[Date]])</f>
        <v>2024</v>
      </c>
      <c r="E333" s="101" t="s">
        <v>73</v>
      </c>
      <c r="F333" s="101" t="s">
        <v>73</v>
      </c>
      <c r="G333" s="1" t="str">
        <f>TEXT(MC[[#This Row],[Date]],"mmm-yy")</f>
        <v>Aug-24</v>
      </c>
      <c r="H333" s="1">
        <f>DAY(EOMONTH(MC[[#This Row],[Month Year]],0))</f>
        <v>31</v>
      </c>
      <c r="I333" s="106"/>
      <c r="J333" s="106"/>
      <c r="K333" s="106"/>
      <c r="L333" s="106"/>
      <c r="M333" s="106"/>
      <c r="N333" s="106"/>
      <c r="O333" s="106"/>
      <c r="P333" s="106"/>
      <c r="Q333" s="106"/>
      <c r="R333" s="106">
        <f t="shared" si="11"/>
        <v>6000</v>
      </c>
      <c r="S333" s="1">
        <f>SUM(MC[[#This Row],[Blk1]:[Blk8]])</f>
        <v>6000</v>
      </c>
      <c r="T333" s="106"/>
      <c r="U333" s="106"/>
      <c r="V333" s="106"/>
      <c r="W333" s="106"/>
      <c r="X333" s="106"/>
      <c r="Y333" s="106"/>
      <c r="Z333" s="106" t="s">
        <v>128</v>
      </c>
    </row>
    <row r="334" spans="1:26" x14ac:dyDescent="0.25">
      <c r="A334" s="106">
        <v>332</v>
      </c>
      <c r="B334" s="103">
        <f t="shared" si="10"/>
        <v>45531</v>
      </c>
      <c r="C334" s="126">
        <v>2024</v>
      </c>
      <c r="D334" s="102">
        <f>YEAR(MC[[#This Row],[Date]])</f>
        <v>2024</v>
      </c>
      <c r="E334" s="101" t="s">
        <v>73</v>
      </c>
      <c r="F334" s="101" t="s">
        <v>73</v>
      </c>
      <c r="G334" s="1" t="str">
        <f>TEXT(MC[[#This Row],[Date]],"mmm-yy")</f>
        <v>Aug-24</v>
      </c>
      <c r="H334" s="1">
        <f>DAY(EOMONTH(MC[[#This Row],[Month Year]],0))</f>
        <v>31</v>
      </c>
      <c r="I334" s="106"/>
      <c r="J334" s="106"/>
      <c r="K334" s="106"/>
      <c r="L334" s="106"/>
      <c r="M334" s="106"/>
      <c r="N334" s="106"/>
      <c r="O334" s="106"/>
      <c r="P334" s="106"/>
      <c r="Q334" s="106"/>
      <c r="R334" s="106">
        <f t="shared" si="11"/>
        <v>6000</v>
      </c>
      <c r="S334" s="1">
        <f>SUM(MC[[#This Row],[Blk1]:[Blk8]])</f>
        <v>6000</v>
      </c>
      <c r="T334" s="106"/>
      <c r="U334" s="106"/>
      <c r="V334" s="106"/>
      <c r="W334" s="106"/>
      <c r="X334" s="106"/>
      <c r="Y334" s="106"/>
      <c r="Z334" s="106" t="s">
        <v>129</v>
      </c>
    </row>
    <row r="335" spans="1:26" x14ac:dyDescent="0.25">
      <c r="A335" s="106">
        <v>333</v>
      </c>
      <c r="B335" s="103">
        <f t="shared" si="10"/>
        <v>45532</v>
      </c>
      <c r="C335" s="126">
        <v>2024</v>
      </c>
      <c r="D335" s="102">
        <f>YEAR(MC[[#This Row],[Date]])</f>
        <v>2024</v>
      </c>
      <c r="E335" s="101" t="s">
        <v>73</v>
      </c>
      <c r="F335" s="101" t="s">
        <v>73</v>
      </c>
      <c r="G335" s="1" t="str">
        <f>TEXT(MC[[#This Row],[Date]],"mmm-yy")</f>
        <v>Aug-24</v>
      </c>
      <c r="H335" s="1">
        <f>DAY(EOMONTH(MC[[#This Row],[Month Year]],0))</f>
        <v>31</v>
      </c>
      <c r="I335" s="106"/>
      <c r="J335" s="106"/>
      <c r="K335" s="106"/>
      <c r="L335" s="106"/>
      <c r="M335" s="106"/>
      <c r="N335" s="106"/>
      <c r="O335" s="106"/>
      <c r="P335" s="106"/>
      <c r="Q335" s="106"/>
      <c r="R335" s="106">
        <f t="shared" si="11"/>
        <v>6000</v>
      </c>
      <c r="S335" s="1">
        <f>SUM(MC[[#This Row],[Blk1]:[Blk8]])</f>
        <v>6000</v>
      </c>
      <c r="T335" s="106"/>
      <c r="U335" s="106"/>
      <c r="V335" s="106"/>
      <c r="W335" s="106"/>
      <c r="X335" s="106"/>
      <c r="Y335" s="106"/>
      <c r="Z335" s="106" t="s">
        <v>130</v>
      </c>
    </row>
    <row r="336" spans="1:26" x14ac:dyDescent="0.25">
      <c r="A336" s="106">
        <v>334</v>
      </c>
      <c r="B336" s="103">
        <f t="shared" si="10"/>
        <v>45533</v>
      </c>
      <c r="C336" s="126">
        <v>2024</v>
      </c>
      <c r="D336" s="102">
        <f>YEAR(MC[[#This Row],[Date]])</f>
        <v>2024</v>
      </c>
      <c r="E336" s="101" t="s">
        <v>73</v>
      </c>
      <c r="F336" s="101" t="s">
        <v>73</v>
      </c>
      <c r="G336" s="1" t="str">
        <f>TEXT(MC[[#This Row],[Date]],"mmm-yy")</f>
        <v>Aug-24</v>
      </c>
      <c r="H336" s="1">
        <f>DAY(EOMONTH(MC[[#This Row],[Month Year]],0))</f>
        <v>31</v>
      </c>
      <c r="I336" s="106"/>
      <c r="J336" s="106"/>
      <c r="K336" s="106"/>
      <c r="L336" s="106"/>
      <c r="M336" s="106"/>
      <c r="N336" s="106"/>
      <c r="O336" s="106"/>
      <c r="P336" s="106"/>
      <c r="Q336" s="106"/>
      <c r="R336" s="106">
        <f t="shared" si="11"/>
        <v>6000</v>
      </c>
      <c r="S336" s="1">
        <f>SUM(MC[[#This Row],[Blk1]:[Blk8]])</f>
        <v>6000</v>
      </c>
      <c r="T336" s="106"/>
      <c r="U336" s="106"/>
      <c r="V336" s="106"/>
      <c r="W336" s="106"/>
      <c r="X336" s="106"/>
      <c r="Y336" s="106"/>
      <c r="Z336" s="106" t="s">
        <v>128</v>
      </c>
    </row>
    <row r="337" spans="1:26" x14ac:dyDescent="0.25">
      <c r="A337" s="106">
        <v>335</v>
      </c>
      <c r="B337" s="103">
        <f t="shared" si="10"/>
        <v>45534</v>
      </c>
      <c r="C337" s="126">
        <v>2024</v>
      </c>
      <c r="D337" s="102">
        <f>YEAR(MC[[#This Row],[Date]])</f>
        <v>2024</v>
      </c>
      <c r="E337" s="101" t="s">
        <v>73</v>
      </c>
      <c r="F337" s="101" t="s">
        <v>73</v>
      </c>
      <c r="G337" s="1" t="str">
        <f>TEXT(MC[[#This Row],[Date]],"mmm-yy")</f>
        <v>Aug-24</v>
      </c>
      <c r="H337" s="1">
        <f>DAY(EOMONTH(MC[[#This Row],[Month Year]],0))</f>
        <v>31</v>
      </c>
      <c r="I337" s="106"/>
      <c r="J337" s="106"/>
      <c r="K337" s="106"/>
      <c r="L337" s="106"/>
      <c r="M337" s="106"/>
      <c r="N337" s="106"/>
      <c r="O337" s="106"/>
      <c r="P337" s="106"/>
      <c r="Q337" s="106"/>
      <c r="R337" s="106">
        <f t="shared" si="11"/>
        <v>6000</v>
      </c>
      <c r="S337" s="1">
        <f>SUM(MC[[#This Row],[Blk1]:[Blk8]])</f>
        <v>6000</v>
      </c>
      <c r="T337" s="106"/>
      <c r="U337" s="106"/>
      <c r="V337" s="106"/>
      <c r="W337" s="106"/>
      <c r="X337" s="106"/>
      <c r="Y337" s="106"/>
      <c r="Z337" s="106" t="s">
        <v>131</v>
      </c>
    </row>
    <row r="338" spans="1:26" x14ac:dyDescent="0.25">
      <c r="A338" s="106">
        <v>336</v>
      </c>
      <c r="B338" s="103">
        <f t="shared" si="10"/>
        <v>45535</v>
      </c>
      <c r="C338" s="126">
        <v>2024</v>
      </c>
      <c r="D338" s="102">
        <f>YEAR(MC[[#This Row],[Date]])</f>
        <v>2024</v>
      </c>
      <c r="E338" s="101" t="s">
        <v>73</v>
      </c>
      <c r="F338" s="101" t="s">
        <v>73</v>
      </c>
      <c r="G338" s="1" t="str">
        <f>TEXT(MC[[#This Row],[Date]],"mmm-yy")</f>
        <v>Aug-24</v>
      </c>
      <c r="H338" s="1">
        <f>DAY(EOMONTH(MC[[#This Row],[Month Year]],0))</f>
        <v>31</v>
      </c>
      <c r="I338" s="106"/>
      <c r="J338" s="106"/>
      <c r="K338" s="106"/>
      <c r="L338" s="106"/>
      <c r="M338" s="106"/>
      <c r="N338" s="106"/>
      <c r="O338" s="106"/>
      <c r="P338" s="106"/>
      <c r="Q338" s="106"/>
      <c r="R338" s="106">
        <f t="shared" si="11"/>
        <v>6000</v>
      </c>
      <c r="S338" s="1">
        <f>SUM(MC[[#This Row],[Blk1]:[Blk8]])</f>
        <v>6000</v>
      </c>
      <c r="T338" s="106"/>
      <c r="U338" s="106"/>
      <c r="V338" s="106"/>
      <c r="W338" s="106"/>
      <c r="X338" s="106"/>
      <c r="Y338" s="106"/>
      <c r="Z338" s="106"/>
    </row>
    <row r="339" spans="1:26" x14ac:dyDescent="0.25">
      <c r="A339" s="106">
        <v>337</v>
      </c>
      <c r="B339" s="103">
        <f t="shared" si="10"/>
        <v>45536</v>
      </c>
      <c r="C339" s="126">
        <v>2024</v>
      </c>
      <c r="D339" s="102">
        <f>YEAR(MC[[#This Row],[Date]])</f>
        <v>2024</v>
      </c>
      <c r="E339" s="101" t="s">
        <v>73</v>
      </c>
      <c r="F339" s="101" t="s">
        <v>73</v>
      </c>
      <c r="G339" s="1" t="str">
        <f>TEXT(MC[[#This Row],[Date]],"mmm-yy")</f>
        <v>Sep-24</v>
      </c>
      <c r="H339" s="1">
        <f>DAY(EOMONTH(MC[[#This Row],[Month Year]],0))</f>
        <v>30</v>
      </c>
      <c r="I339" s="106"/>
      <c r="J339" s="106"/>
      <c r="K339" s="106"/>
      <c r="L339" s="106"/>
      <c r="M339" s="106"/>
      <c r="N339" s="106"/>
      <c r="O339" s="106"/>
      <c r="P339" s="106"/>
      <c r="Q339" s="106"/>
      <c r="R339" s="106">
        <f t="shared" si="11"/>
        <v>6000</v>
      </c>
      <c r="S339" s="1">
        <f>SUM(MC[[#This Row],[Blk1]:[Blk8]])</f>
        <v>6000</v>
      </c>
      <c r="T339" s="106"/>
      <c r="U339" s="106"/>
      <c r="V339" s="107">
        <v>0.6875</v>
      </c>
      <c r="W339" s="107">
        <v>0.95833333333333337</v>
      </c>
      <c r="X339" s="106" t="s">
        <v>88</v>
      </c>
      <c r="Y339" s="106"/>
      <c r="Z339" s="106"/>
    </row>
    <row r="340" spans="1:26" x14ac:dyDescent="0.25">
      <c r="A340" s="106">
        <v>338</v>
      </c>
      <c r="B340" s="103">
        <f t="shared" si="10"/>
        <v>45537</v>
      </c>
      <c r="C340" s="126">
        <v>2024</v>
      </c>
      <c r="D340" s="102">
        <f>YEAR(MC[[#This Row],[Date]])</f>
        <v>2024</v>
      </c>
      <c r="E340" s="101" t="s">
        <v>73</v>
      </c>
      <c r="F340" s="101" t="s">
        <v>73</v>
      </c>
      <c r="G340" s="1" t="str">
        <f>TEXT(MC[[#This Row],[Date]],"mmm-yy")</f>
        <v>Sep-24</v>
      </c>
      <c r="H340" s="1">
        <f>DAY(EOMONTH(MC[[#This Row],[Month Year]],0))</f>
        <v>30</v>
      </c>
      <c r="I340" s="106"/>
      <c r="J340" s="106"/>
      <c r="K340" s="106"/>
      <c r="L340" s="106"/>
      <c r="M340" s="106"/>
      <c r="N340" s="106"/>
      <c r="O340" s="106"/>
      <c r="P340" s="106"/>
      <c r="Q340" s="106"/>
      <c r="R340" s="106">
        <f t="shared" si="11"/>
        <v>6000</v>
      </c>
      <c r="S340" s="1">
        <f>SUM(MC[[#This Row],[Blk1]:[Blk8]])</f>
        <v>6000</v>
      </c>
      <c r="T340" s="106"/>
      <c r="U340" s="106"/>
      <c r="V340" s="107">
        <v>0.6875</v>
      </c>
      <c r="W340" s="107">
        <v>0.95833333333333337</v>
      </c>
      <c r="X340" s="106" t="s">
        <v>88</v>
      </c>
      <c r="Y340" s="106"/>
      <c r="Z340" s="106"/>
    </row>
    <row r="341" spans="1:26" x14ac:dyDescent="0.25">
      <c r="A341" s="106">
        <v>339</v>
      </c>
      <c r="B341" s="103">
        <f t="shared" si="10"/>
        <v>45538</v>
      </c>
      <c r="C341" s="126">
        <v>2024</v>
      </c>
      <c r="D341" s="102">
        <f>YEAR(MC[[#This Row],[Date]])</f>
        <v>2024</v>
      </c>
      <c r="E341" s="101" t="s">
        <v>73</v>
      </c>
      <c r="F341" s="101" t="s">
        <v>73</v>
      </c>
      <c r="G341" s="1" t="str">
        <f>TEXT(MC[[#This Row],[Date]],"mmm-yy")</f>
        <v>Sep-24</v>
      </c>
      <c r="H341" s="1">
        <f>DAY(EOMONTH(MC[[#This Row],[Month Year]],0))</f>
        <v>30</v>
      </c>
      <c r="I341" s="106"/>
      <c r="J341" s="106"/>
      <c r="K341" s="106"/>
      <c r="L341" s="106"/>
      <c r="M341" s="106"/>
      <c r="N341" s="106"/>
      <c r="O341" s="106"/>
      <c r="P341" s="106"/>
      <c r="Q341" s="106"/>
      <c r="R341" s="106">
        <f t="shared" si="11"/>
        <v>6000</v>
      </c>
      <c r="S341" s="1">
        <f>SUM(MC[[#This Row],[Blk1]:[Blk8]])</f>
        <v>6000</v>
      </c>
      <c r="T341" s="106"/>
      <c r="U341" s="106"/>
      <c r="V341" s="106"/>
      <c r="W341" s="106"/>
      <c r="X341" s="106"/>
      <c r="Y341" s="106"/>
      <c r="Z341" s="106" t="s">
        <v>132</v>
      </c>
    </row>
    <row r="342" spans="1:26" x14ac:dyDescent="0.25">
      <c r="A342" s="106">
        <v>340</v>
      </c>
      <c r="B342" s="103">
        <f t="shared" si="10"/>
        <v>45539</v>
      </c>
      <c r="C342" s="126">
        <v>2024</v>
      </c>
      <c r="D342" s="102">
        <f>YEAR(MC[[#This Row],[Date]])</f>
        <v>2024</v>
      </c>
      <c r="E342" s="101" t="s">
        <v>73</v>
      </c>
      <c r="F342" s="101" t="s">
        <v>73</v>
      </c>
      <c r="G342" s="1" t="str">
        <f>TEXT(MC[[#This Row],[Date]],"mmm-yy")</f>
        <v>Sep-24</v>
      </c>
      <c r="H342" s="1">
        <f>DAY(EOMONTH(MC[[#This Row],[Month Year]],0))</f>
        <v>30</v>
      </c>
      <c r="I342" s="106"/>
      <c r="J342" s="106"/>
      <c r="K342" s="106"/>
      <c r="L342" s="106"/>
      <c r="M342" s="106"/>
      <c r="N342" s="106"/>
      <c r="O342" s="106"/>
      <c r="P342" s="106"/>
      <c r="Q342" s="106"/>
      <c r="R342" s="106">
        <f t="shared" si="11"/>
        <v>6000</v>
      </c>
      <c r="S342" s="1">
        <f>SUM(MC[[#This Row],[Blk1]:[Blk8]])</f>
        <v>6000</v>
      </c>
      <c r="T342" s="106"/>
      <c r="U342" s="106"/>
      <c r="V342" s="106"/>
      <c r="W342" s="106"/>
      <c r="X342" s="106"/>
      <c r="Y342" s="106"/>
      <c r="Z342" s="106" t="s">
        <v>133</v>
      </c>
    </row>
    <row r="343" spans="1:26" x14ac:dyDescent="0.25">
      <c r="A343" s="106">
        <v>341</v>
      </c>
      <c r="B343" s="103">
        <f t="shared" si="10"/>
        <v>45540</v>
      </c>
      <c r="C343" s="126">
        <v>2024</v>
      </c>
      <c r="D343" s="102">
        <f>YEAR(MC[[#This Row],[Date]])</f>
        <v>2024</v>
      </c>
      <c r="E343" s="101" t="s">
        <v>73</v>
      </c>
      <c r="F343" s="101" t="s">
        <v>73</v>
      </c>
      <c r="G343" s="1" t="str">
        <f>TEXT(MC[[#This Row],[Date]],"mmm-yy")</f>
        <v>Sep-24</v>
      </c>
      <c r="H343" s="1">
        <f>DAY(EOMONTH(MC[[#This Row],[Month Year]],0))</f>
        <v>30</v>
      </c>
      <c r="I343" s="106"/>
      <c r="J343" s="106"/>
      <c r="K343" s="106"/>
      <c r="L343" s="106"/>
      <c r="M343" s="106"/>
      <c r="N343" s="106"/>
      <c r="O343" s="106"/>
      <c r="P343" s="106"/>
      <c r="Q343" s="106"/>
      <c r="R343" s="106">
        <f t="shared" si="11"/>
        <v>6000</v>
      </c>
      <c r="S343" s="1">
        <f>SUM(MC[[#This Row],[Blk1]:[Blk8]])</f>
        <v>6000</v>
      </c>
      <c r="T343" s="106"/>
      <c r="U343" s="106"/>
      <c r="V343" s="106"/>
      <c r="W343" s="106"/>
      <c r="X343" s="106"/>
      <c r="Y343" s="106"/>
      <c r="Z343" s="106" t="s">
        <v>134</v>
      </c>
    </row>
    <row r="344" spans="1:26" x14ac:dyDescent="0.25">
      <c r="A344" s="106">
        <v>342</v>
      </c>
      <c r="B344" s="103">
        <f t="shared" si="10"/>
        <v>45541</v>
      </c>
      <c r="C344" s="126">
        <v>2024</v>
      </c>
      <c r="D344" s="102">
        <f>YEAR(MC[[#This Row],[Date]])</f>
        <v>2024</v>
      </c>
      <c r="E344" s="101" t="s">
        <v>73</v>
      </c>
      <c r="F344" s="101" t="s">
        <v>73</v>
      </c>
      <c r="G344" s="1" t="str">
        <f>TEXT(MC[[#This Row],[Date]],"mmm-yy")</f>
        <v>Sep-24</v>
      </c>
      <c r="H344" s="1">
        <f>DAY(EOMONTH(MC[[#This Row],[Month Year]],0))</f>
        <v>30</v>
      </c>
      <c r="I344" s="106"/>
      <c r="J344" s="106"/>
      <c r="K344" s="106"/>
      <c r="L344" s="106"/>
      <c r="M344" s="106"/>
      <c r="N344" s="106"/>
      <c r="O344" s="106"/>
      <c r="P344" s="106"/>
      <c r="Q344" s="106"/>
      <c r="R344" s="106">
        <f t="shared" si="11"/>
        <v>6000</v>
      </c>
      <c r="S344" s="1">
        <f>SUM(MC[[#This Row],[Blk1]:[Blk8]])</f>
        <v>6000</v>
      </c>
      <c r="T344" s="106"/>
      <c r="U344" s="106"/>
      <c r="V344" s="106"/>
      <c r="W344" s="106"/>
      <c r="X344" s="106"/>
      <c r="Y344" s="106"/>
      <c r="Z344" s="106" t="s">
        <v>135</v>
      </c>
    </row>
    <row r="345" spans="1:26" x14ac:dyDescent="0.25">
      <c r="A345" s="106">
        <v>343</v>
      </c>
      <c r="B345" s="103">
        <f t="shared" si="10"/>
        <v>45542</v>
      </c>
      <c r="C345" s="126">
        <v>2024</v>
      </c>
      <c r="D345" s="102">
        <f>YEAR(MC[[#This Row],[Date]])</f>
        <v>2024</v>
      </c>
      <c r="E345" s="101" t="s">
        <v>73</v>
      </c>
      <c r="F345" s="101" t="s">
        <v>73</v>
      </c>
      <c r="G345" s="1" t="str">
        <f>TEXT(MC[[#This Row],[Date]],"mmm-yy")</f>
        <v>Sep-24</v>
      </c>
      <c r="H345" s="1">
        <f>DAY(EOMONTH(MC[[#This Row],[Month Year]],0))</f>
        <v>30</v>
      </c>
      <c r="I345" s="106"/>
      <c r="J345" s="106"/>
      <c r="K345" s="106"/>
      <c r="L345" s="106"/>
      <c r="M345" s="106"/>
      <c r="N345" s="106"/>
      <c r="O345" s="106"/>
      <c r="P345" s="106"/>
      <c r="Q345" s="106"/>
      <c r="R345" s="106">
        <f t="shared" si="11"/>
        <v>6000</v>
      </c>
      <c r="S345" s="1">
        <f>SUM(MC[[#This Row],[Blk1]:[Blk8]])</f>
        <v>6000</v>
      </c>
      <c r="T345" s="106"/>
      <c r="U345" s="106"/>
      <c r="V345" s="106"/>
      <c r="W345" s="106"/>
      <c r="X345" s="106"/>
      <c r="Y345" s="106"/>
      <c r="Z345" s="106"/>
    </row>
    <row r="346" spans="1:26" x14ac:dyDescent="0.25">
      <c r="A346" s="106">
        <v>344</v>
      </c>
      <c r="B346" s="103">
        <f t="shared" si="10"/>
        <v>45543</v>
      </c>
      <c r="C346" s="126">
        <v>2024</v>
      </c>
      <c r="D346" s="102">
        <f>YEAR(MC[[#This Row],[Date]])</f>
        <v>2024</v>
      </c>
      <c r="E346" s="101" t="s">
        <v>73</v>
      </c>
      <c r="F346" s="101" t="s">
        <v>73</v>
      </c>
      <c r="G346" s="1" t="str">
        <f>TEXT(MC[[#This Row],[Date]],"mmm-yy")</f>
        <v>Sep-24</v>
      </c>
      <c r="H346" s="1">
        <f>DAY(EOMONTH(MC[[#This Row],[Month Year]],0))</f>
        <v>30</v>
      </c>
      <c r="I346" s="106"/>
      <c r="J346" s="106"/>
      <c r="K346" s="106"/>
      <c r="L346" s="106"/>
      <c r="M346" s="106"/>
      <c r="N346" s="106"/>
      <c r="O346" s="106"/>
      <c r="P346" s="106"/>
      <c r="Q346" s="106"/>
      <c r="R346" s="106">
        <f t="shared" si="11"/>
        <v>6000</v>
      </c>
      <c r="S346" s="1">
        <f>SUM(MC[[#This Row],[Blk1]:[Blk8]])</f>
        <v>6000</v>
      </c>
      <c r="T346" s="106"/>
      <c r="U346" s="106"/>
      <c r="V346" s="106"/>
      <c r="W346" s="106"/>
      <c r="X346" s="106"/>
      <c r="Y346" s="106"/>
      <c r="Z346" s="106"/>
    </row>
    <row r="347" spans="1:26" x14ac:dyDescent="0.25">
      <c r="A347" s="106">
        <v>345</v>
      </c>
      <c r="B347" s="103">
        <f t="shared" si="10"/>
        <v>45544</v>
      </c>
      <c r="C347" s="126">
        <v>2024</v>
      </c>
      <c r="D347" s="102">
        <f>YEAR(MC[[#This Row],[Date]])</f>
        <v>2024</v>
      </c>
      <c r="E347" s="101" t="s">
        <v>73</v>
      </c>
      <c r="F347" s="101" t="s">
        <v>73</v>
      </c>
      <c r="G347" s="1" t="str">
        <f>TEXT(MC[[#This Row],[Date]],"mmm-yy")</f>
        <v>Sep-24</v>
      </c>
      <c r="H347" s="1">
        <f>DAY(EOMONTH(MC[[#This Row],[Month Year]],0))</f>
        <v>30</v>
      </c>
      <c r="I347" s="106"/>
      <c r="J347" s="106"/>
      <c r="K347" s="106"/>
      <c r="L347" s="106"/>
      <c r="M347" s="106"/>
      <c r="N347" s="106"/>
      <c r="O347" s="106"/>
      <c r="P347" s="106"/>
      <c r="Q347" s="106"/>
      <c r="R347" s="106">
        <f t="shared" si="11"/>
        <v>6000</v>
      </c>
      <c r="S347" s="1">
        <f>SUM(MC[[#This Row],[Blk1]:[Blk8]])</f>
        <v>6000</v>
      </c>
      <c r="T347" s="106"/>
      <c r="U347" s="106"/>
      <c r="V347" s="106"/>
      <c r="W347" s="106"/>
      <c r="X347" s="106"/>
      <c r="Y347" s="106"/>
      <c r="Z347" s="106"/>
    </row>
    <row r="348" spans="1:26" x14ac:dyDescent="0.25">
      <c r="A348" s="106">
        <v>346</v>
      </c>
      <c r="B348" s="103">
        <f t="shared" si="10"/>
        <v>45545</v>
      </c>
      <c r="C348" s="126">
        <v>2024</v>
      </c>
      <c r="D348" s="102">
        <f>YEAR(MC[[#This Row],[Date]])</f>
        <v>2024</v>
      </c>
      <c r="E348" s="101" t="s">
        <v>73</v>
      </c>
      <c r="F348" s="101" t="s">
        <v>73</v>
      </c>
      <c r="G348" s="1" t="str">
        <f>TEXT(MC[[#This Row],[Date]],"mmm-yy")</f>
        <v>Sep-24</v>
      </c>
      <c r="H348" s="1">
        <f>DAY(EOMONTH(MC[[#This Row],[Month Year]],0))</f>
        <v>30</v>
      </c>
      <c r="I348" s="106"/>
      <c r="J348" s="106"/>
      <c r="K348" s="106"/>
      <c r="L348" s="106"/>
      <c r="M348" s="106"/>
      <c r="N348" s="106"/>
      <c r="O348" s="106"/>
      <c r="P348" s="106"/>
      <c r="Q348" s="106"/>
      <c r="R348" s="106">
        <f t="shared" si="11"/>
        <v>6000</v>
      </c>
      <c r="S348" s="1">
        <f>SUM(MC[[#This Row],[Blk1]:[Blk8]])</f>
        <v>6000</v>
      </c>
      <c r="T348" s="106"/>
      <c r="U348" s="106"/>
      <c r="V348" s="106"/>
      <c r="W348" s="106"/>
      <c r="X348" s="106"/>
      <c r="Y348" s="106"/>
      <c r="Z348" s="106"/>
    </row>
    <row r="349" spans="1:26" x14ac:dyDescent="0.25">
      <c r="A349" s="106">
        <v>347</v>
      </c>
      <c r="B349" s="103">
        <f t="shared" si="10"/>
        <v>45546</v>
      </c>
      <c r="C349" s="126">
        <v>2024</v>
      </c>
      <c r="D349" s="102">
        <f>YEAR(MC[[#This Row],[Date]])</f>
        <v>2024</v>
      </c>
      <c r="E349" s="101" t="s">
        <v>73</v>
      </c>
      <c r="F349" s="101" t="s">
        <v>73</v>
      </c>
      <c r="G349" s="1" t="str">
        <f>TEXT(MC[[#This Row],[Date]],"mmm-yy")</f>
        <v>Sep-24</v>
      </c>
      <c r="H349" s="1">
        <f>DAY(EOMONTH(MC[[#This Row],[Month Year]],0))</f>
        <v>30</v>
      </c>
      <c r="I349" s="106"/>
      <c r="J349" s="106"/>
      <c r="K349" s="106"/>
      <c r="L349" s="106"/>
      <c r="M349" s="106"/>
      <c r="N349" s="106"/>
      <c r="O349" s="106"/>
      <c r="P349" s="106"/>
      <c r="Q349" s="106"/>
      <c r="R349" s="106">
        <f t="shared" si="11"/>
        <v>6000</v>
      </c>
      <c r="S349" s="1">
        <f>SUM(MC[[#This Row],[Blk1]:[Blk8]])</f>
        <v>6000</v>
      </c>
      <c r="T349" s="106"/>
      <c r="U349" s="106"/>
      <c r="V349" s="106"/>
      <c r="W349" s="106"/>
      <c r="X349" s="106"/>
      <c r="Y349" s="106"/>
      <c r="Z349" s="106"/>
    </row>
    <row r="350" spans="1:26" x14ac:dyDescent="0.25">
      <c r="A350" s="106">
        <v>348</v>
      </c>
      <c r="B350" s="103">
        <f t="shared" si="10"/>
        <v>45547</v>
      </c>
      <c r="C350" s="126">
        <v>2024</v>
      </c>
      <c r="D350" s="102">
        <f>YEAR(MC[[#This Row],[Date]])</f>
        <v>2024</v>
      </c>
      <c r="E350" s="101" t="s">
        <v>73</v>
      </c>
      <c r="F350" s="101" t="s">
        <v>73</v>
      </c>
      <c r="G350" s="1" t="str">
        <f>TEXT(MC[[#This Row],[Date]],"mmm-yy")</f>
        <v>Sep-24</v>
      </c>
      <c r="H350" s="1">
        <f>DAY(EOMONTH(MC[[#This Row],[Month Year]],0))</f>
        <v>30</v>
      </c>
      <c r="I350" s="106"/>
      <c r="J350" s="106"/>
      <c r="K350" s="106"/>
      <c r="L350" s="106"/>
      <c r="M350" s="106"/>
      <c r="N350" s="106"/>
      <c r="O350" s="106"/>
      <c r="P350" s="106"/>
      <c r="Q350" s="106"/>
      <c r="R350" s="106">
        <f t="shared" si="11"/>
        <v>6000</v>
      </c>
      <c r="S350" s="1">
        <f>SUM(MC[[#This Row],[Blk1]:[Blk8]])</f>
        <v>6000</v>
      </c>
      <c r="T350" s="106"/>
      <c r="U350" s="106"/>
      <c r="V350" s="106"/>
      <c r="W350" s="106"/>
      <c r="X350" s="106"/>
      <c r="Y350" s="106"/>
      <c r="Z350" s="106"/>
    </row>
    <row r="351" spans="1:26" x14ac:dyDescent="0.25">
      <c r="A351" s="106">
        <v>349</v>
      </c>
      <c r="B351" s="103">
        <f t="shared" si="10"/>
        <v>45548</v>
      </c>
      <c r="C351" s="126">
        <v>2024</v>
      </c>
      <c r="D351" s="102">
        <f>YEAR(MC[[#This Row],[Date]])</f>
        <v>2024</v>
      </c>
      <c r="E351" s="101" t="s">
        <v>73</v>
      </c>
      <c r="F351" s="101" t="s">
        <v>73</v>
      </c>
      <c r="G351" s="1" t="str">
        <f>TEXT(MC[[#This Row],[Date]],"mmm-yy")</f>
        <v>Sep-24</v>
      </c>
      <c r="H351" s="1">
        <f>DAY(EOMONTH(MC[[#This Row],[Month Year]],0))</f>
        <v>30</v>
      </c>
      <c r="I351" s="106"/>
      <c r="J351" s="106"/>
      <c r="K351" s="106"/>
      <c r="L351" s="106"/>
      <c r="M351" s="106"/>
      <c r="N351" s="106"/>
      <c r="O351" s="106"/>
      <c r="P351" s="106"/>
      <c r="Q351" s="106"/>
      <c r="R351" s="106">
        <f t="shared" si="11"/>
        <v>6000</v>
      </c>
      <c r="S351" s="1">
        <f>SUM(MC[[#This Row],[Blk1]:[Blk8]])</f>
        <v>6000</v>
      </c>
      <c r="T351" s="106"/>
      <c r="U351" s="106"/>
      <c r="V351" s="106"/>
      <c r="W351" s="106"/>
      <c r="X351" s="106"/>
      <c r="Y351" s="106"/>
      <c r="Z351" s="106"/>
    </row>
    <row r="352" spans="1:26" x14ac:dyDescent="0.25">
      <c r="A352" s="106">
        <v>350</v>
      </c>
      <c r="B352" s="103">
        <f t="shared" si="10"/>
        <v>45549</v>
      </c>
      <c r="C352" s="126">
        <v>2024</v>
      </c>
      <c r="D352" s="102">
        <f>YEAR(MC[[#This Row],[Date]])</f>
        <v>2024</v>
      </c>
      <c r="E352" s="101" t="s">
        <v>73</v>
      </c>
      <c r="F352" s="101" t="s">
        <v>73</v>
      </c>
      <c r="G352" s="1" t="str">
        <f>TEXT(MC[[#This Row],[Date]],"mmm-yy")</f>
        <v>Sep-24</v>
      </c>
      <c r="H352" s="1">
        <f>DAY(EOMONTH(MC[[#This Row],[Month Year]],0))</f>
        <v>30</v>
      </c>
      <c r="I352" s="106"/>
      <c r="J352" s="106"/>
      <c r="K352" s="106"/>
      <c r="L352" s="106"/>
      <c r="M352" s="106"/>
      <c r="N352" s="106"/>
      <c r="O352" s="106"/>
      <c r="P352" s="106"/>
      <c r="Q352" s="106"/>
      <c r="R352" s="106">
        <f t="shared" si="11"/>
        <v>6000</v>
      </c>
      <c r="S352" s="1">
        <f>SUM(MC[[#This Row],[Blk1]:[Blk8]])</f>
        <v>6000</v>
      </c>
      <c r="T352" s="106"/>
      <c r="U352" s="106"/>
      <c r="V352" s="106"/>
      <c r="W352" s="106"/>
      <c r="X352" s="106"/>
      <c r="Y352" s="106"/>
      <c r="Z352" s="106"/>
    </row>
    <row r="353" spans="1:26" x14ac:dyDescent="0.25">
      <c r="A353" s="106">
        <v>351</v>
      </c>
      <c r="B353" s="103">
        <f t="shared" si="10"/>
        <v>45550</v>
      </c>
      <c r="C353" s="126">
        <v>2024</v>
      </c>
      <c r="D353" s="102">
        <f>YEAR(MC[[#This Row],[Date]])</f>
        <v>2024</v>
      </c>
      <c r="E353" s="101" t="s">
        <v>73</v>
      </c>
      <c r="F353" s="101" t="s">
        <v>73</v>
      </c>
      <c r="G353" s="1" t="str">
        <f>TEXT(MC[[#This Row],[Date]],"mmm-yy")</f>
        <v>Sep-24</v>
      </c>
      <c r="H353" s="1">
        <f>DAY(EOMONTH(MC[[#This Row],[Month Year]],0))</f>
        <v>30</v>
      </c>
      <c r="I353" s="106"/>
      <c r="J353" s="106"/>
      <c r="K353" s="106"/>
      <c r="L353" s="106"/>
      <c r="M353" s="106"/>
      <c r="N353" s="106"/>
      <c r="O353" s="106"/>
      <c r="P353" s="106"/>
      <c r="Q353" s="106"/>
      <c r="R353" s="106">
        <f t="shared" si="11"/>
        <v>6000</v>
      </c>
      <c r="S353" s="1">
        <f>SUM(MC[[#This Row],[Blk1]:[Blk8]])</f>
        <v>6000</v>
      </c>
      <c r="T353" s="106"/>
      <c r="U353" s="106"/>
      <c r="V353" s="106"/>
      <c r="W353" s="106"/>
      <c r="X353" s="106"/>
      <c r="Y353" s="106"/>
      <c r="Z353" s="106"/>
    </row>
    <row r="354" spans="1:26" x14ac:dyDescent="0.25">
      <c r="A354" s="106">
        <v>352</v>
      </c>
      <c r="B354" s="103">
        <f t="shared" si="10"/>
        <v>45551</v>
      </c>
      <c r="C354" s="126">
        <v>2024</v>
      </c>
      <c r="D354" s="102">
        <f>YEAR(MC[[#This Row],[Date]])</f>
        <v>2024</v>
      </c>
      <c r="E354" s="101" t="s">
        <v>73</v>
      </c>
      <c r="F354" s="101" t="s">
        <v>73</v>
      </c>
      <c r="G354" s="1" t="str">
        <f>TEXT(MC[[#This Row],[Date]],"mmm-yy")</f>
        <v>Sep-24</v>
      </c>
      <c r="H354" s="1">
        <f>DAY(EOMONTH(MC[[#This Row],[Month Year]],0))</f>
        <v>30</v>
      </c>
      <c r="I354" s="106"/>
      <c r="J354" s="106"/>
      <c r="K354" s="106"/>
      <c r="L354" s="106"/>
      <c r="M354" s="106"/>
      <c r="N354" s="106"/>
      <c r="O354" s="106"/>
      <c r="P354" s="106"/>
      <c r="Q354" s="106"/>
      <c r="R354" s="106">
        <f t="shared" si="11"/>
        <v>6000</v>
      </c>
      <c r="S354" s="1">
        <f>SUM(MC[[#This Row],[Blk1]:[Blk8]])</f>
        <v>6000</v>
      </c>
      <c r="T354" s="106"/>
      <c r="U354" s="106"/>
      <c r="V354" s="106"/>
      <c r="W354" s="106"/>
      <c r="X354" s="106"/>
      <c r="Y354" s="106"/>
      <c r="Z354" s="106"/>
    </row>
    <row r="355" spans="1:26" x14ac:dyDescent="0.25">
      <c r="A355" s="106">
        <v>353</v>
      </c>
      <c r="B355" s="103">
        <f t="shared" si="10"/>
        <v>45552</v>
      </c>
      <c r="C355" s="126">
        <v>2024</v>
      </c>
      <c r="D355" s="102">
        <f>YEAR(MC[[#This Row],[Date]])</f>
        <v>2024</v>
      </c>
      <c r="E355" s="101" t="s">
        <v>73</v>
      </c>
      <c r="F355" s="101" t="s">
        <v>73</v>
      </c>
      <c r="G355" s="1" t="str">
        <f>TEXT(MC[[#This Row],[Date]],"mmm-yy")</f>
        <v>Sep-24</v>
      </c>
      <c r="H355" s="1">
        <f>DAY(EOMONTH(MC[[#This Row],[Month Year]],0))</f>
        <v>30</v>
      </c>
      <c r="I355" s="106"/>
      <c r="J355" s="106"/>
      <c r="K355" s="106"/>
      <c r="L355" s="106"/>
      <c r="M355" s="106"/>
      <c r="N355" s="106"/>
      <c r="O355" s="106"/>
      <c r="P355" s="106"/>
      <c r="Q355" s="106"/>
      <c r="R355" s="106">
        <f t="shared" si="11"/>
        <v>6000</v>
      </c>
      <c r="S355" s="1">
        <f>SUM(MC[[#This Row],[Blk1]:[Blk8]])</f>
        <v>6000</v>
      </c>
      <c r="T355" s="106"/>
      <c r="U355" s="106"/>
      <c r="V355" s="106"/>
      <c r="W355" s="106"/>
      <c r="X355" s="106"/>
      <c r="Y355" s="106"/>
      <c r="Z355" s="106"/>
    </row>
    <row r="356" spans="1:26" x14ac:dyDescent="0.25">
      <c r="A356" s="106">
        <v>354</v>
      </c>
      <c r="B356" s="103">
        <f t="shared" si="10"/>
        <v>45553</v>
      </c>
      <c r="C356" s="126">
        <v>2024</v>
      </c>
      <c r="D356" s="102">
        <f>YEAR(MC[[#This Row],[Date]])</f>
        <v>2024</v>
      </c>
      <c r="E356" s="101" t="s">
        <v>73</v>
      </c>
      <c r="F356" s="101" t="s">
        <v>73</v>
      </c>
      <c r="G356" s="1" t="str">
        <f>TEXT(MC[[#This Row],[Date]],"mmm-yy")</f>
        <v>Sep-24</v>
      </c>
      <c r="H356" s="1">
        <f>DAY(EOMONTH(MC[[#This Row],[Month Year]],0))</f>
        <v>30</v>
      </c>
      <c r="I356" s="106"/>
      <c r="J356" s="106"/>
      <c r="K356" s="106"/>
      <c r="L356" s="106"/>
      <c r="M356" s="106"/>
      <c r="N356" s="106"/>
      <c r="O356" s="106"/>
      <c r="P356" s="106"/>
      <c r="Q356" s="106"/>
      <c r="R356" s="106">
        <f t="shared" si="11"/>
        <v>6000</v>
      </c>
      <c r="S356" s="1">
        <f>SUM(MC[[#This Row],[Blk1]:[Blk8]])</f>
        <v>6000</v>
      </c>
      <c r="T356" s="106"/>
      <c r="U356" s="106"/>
      <c r="V356" s="106"/>
      <c r="W356" s="106"/>
      <c r="X356" s="106"/>
      <c r="Y356" s="106"/>
      <c r="Z356" s="106"/>
    </row>
    <row r="357" spans="1:26" x14ac:dyDescent="0.25">
      <c r="A357" s="106">
        <v>355</v>
      </c>
      <c r="B357" s="103">
        <f t="shared" si="10"/>
        <v>45554</v>
      </c>
      <c r="C357" s="126">
        <v>2024</v>
      </c>
      <c r="D357" s="102">
        <f>YEAR(MC[[#This Row],[Date]])</f>
        <v>2024</v>
      </c>
      <c r="E357" s="101" t="s">
        <v>73</v>
      </c>
      <c r="F357" s="101" t="s">
        <v>73</v>
      </c>
      <c r="G357" s="1" t="str">
        <f>TEXT(MC[[#This Row],[Date]],"mmm-yy")</f>
        <v>Sep-24</v>
      </c>
      <c r="H357" s="1">
        <f>DAY(EOMONTH(MC[[#This Row],[Month Year]],0))</f>
        <v>30</v>
      </c>
      <c r="I357" s="106"/>
      <c r="J357" s="106"/>
      <c r="K357" s="106"/>
      <c r="L357" s="106"/>
      <c r="M357" s="106"/>
      <c r="N357" s="106"/>
      <c r="O357" s="106"/>
      <c r="P357" s="106"/>
      <c r="Q357" s="106"/>
      <c r="R357" s="106">
        <f t="shared" si="11"/>
        <v>6000</v>
      </c>
      <c r="S357" s="1">
        <f>SUM(MC[[#This Row],[Blk1]:[Blk8]])</f>
        <v>6000</v>
      </c>
      <c r="T357" s="106"/>
      <c r="U357" s="106"/>
      <c r="V357" s="106"/>
      <c r="W357" s="106"/>
      <c r="X357" s="106"/>
      <c r="Y357" s="106"/>
      <c r="Z357" s="106"/>
    </row>
    <row r="358" spans="1:26" x14ac:dyDescent="0.25">
      <c r="A358" s="106">
        <v>356</v>
      </c>
      <c r="B358" s="103">
        <f t="shared" si="10"/>
        <v>45555</v>
      </c>
      <c r="C358" s="126">
        <v>2024</v>
      </c>
      <c r="D358" s="102">
        <f>YEAR(MC[[#This Row],[Date]])</f>
        <v>2024</v>
      </c>
      <c r="E358" s="101" t="s">
        <v>73</v>
      </c>
      <c r="F358" s="101" t="s">
        <v>73</v>
      </c>
      <c r="G358" s="1" t="str">
        <f>TEXT(MC[[#This Row],[Date]],"mmm-yy")</f>
        <v>Sep-24</v>
      </c>
      <c r="H358" s="1">
        <f>DAY(EOMONTH(MC[[#This Row],[Month Year]],0))</f>
        <v>30</v>
      </c>
      <c r="I358" s="106"/>
      <c r="J358" s="106"/>
      <c r="K358" s="106"/>
      <c r="L358" s="106"/>
      <c r="M358" s="106"/>
      <c r="N358" s="106"/>
      <c r="O358" s="106"/>
      <c r="P358" s="106"/>
      <c r="Q358" s="106"/>
      <c r="R358" s="106">
        <f t="shared" si="11"/>
        <v>6000</v>
      </c>
      <c r="S358" s="1">
        <f>SUM(MC[[#This Row],[Blk1]:[Blk8]])</f>
        <v>6000</v>
      </c>
      <c r="T358" s="106"/>
      <c r="U358" s="106"/>
      <c r="V358" s="106"/>
      <c r="W358" s="106"/>
      <c r="X358" s="106"/>
      <c r="Y358" s="106"/>
      <c r="Z358" s="106"/>
    </row>
    <row r="359" spans="1:26" x14ac:dyDescent="0.25">
      <c r="A359" s="106">
        <v>357</v>
      </c>
      <c r="B359" s="103">
        <f t="shared" si="10"/>
        <v>45556</v>
      </c>
      <c r="C359" s="126">
        <v>2024</v>
      </c>
      <c r="D359" s="102">
        <f>YEAR(MC[[#This Row],[Date]])</f>
        <v>2024</v>
      </c>
      <c r="E359" s="101" t="s">
        <v>73</v>
      </c>
      <c r="F359" s="101" t="s">
        <v>73</v>
      </c>
      <c r="G359" s="1" t="str">
        <f>TEXT(MC[[#This Row],[Date]],"mmm-yy")</f>
        <v>Sep-24</v>
      </c>
      <c r="H359" s="1">
        <f>DAY(EOMONTH(MC[[#This Row],[Month Year]],0))</f>
        <v>30</v>
      </c>
      <c r="I359" s="106"/>
      <c r="J359" s="106"/>
      <c r="K359" s="106"/>
      <c r="L359" s="106"/>
      <c r="M359" s="106"/>
      <c r="N359" s="106"/>
      <c r="O359" s="106"/>
      <c r="P359" s="106"/>
      <c r="Q359" s="106"/>
      <c r="R359" s="106">
        <f t="shared" si="11"/>
        <v>6000</v>
      </c>
      <c r="S359" s="1">
        <f>SUM(MC[[#This Row],[Blk1]:[Blk8]])</f>
        <v>6000</v>
      </c>
      <c r="T359" s="106"/>
      <c r="U359" s="106"/>
      <c r="V359" s="106"/>
      <c r="W359" s="106"/>
      <c r="X359" s="106"/>
      <c r="Y359" s="106"/>
      <c r="Z359" s="106"/>
    </row>
    <row r="360" spans="1:26" x14ac:dyDescent="0.25">
      <c r="A360" s="106">
        <v>358</v>
      </c>
      <c r="B360" s="103">
        <f t="shared" si="10"/>
        <v>45557</v>
      </c>
      <c r="C360" s="126">
        <v>2024</v>
      </c>
      <c r="D360" s="102">
        <f>YEAR(MC[[#This Row],[Date]])</f>
        <v>2024</v>
      </c>
      <c r="E360" s="101" t="s">
        <v>73</v>
      </c>
      <c r="F360" s="101" t="s">
        <v>73</v>
      </c>
      <c r="G360" s="1" t="str">
        <f>TEXT(MC[[#This Row],[Date]],"mmm-yy")</f>
        <v>Sep-24</v>
      </c>
      <c r="H360" s="1">
        <f>DAY(EOMONTH(MC[[#This Row],[Month Year]],0))</f>
        <v>30</v>
      </c>
      <c r="I360" s="106"/>
      <c r="J360" s="106"/>
      <c r="K360" s="106"/>
      <c r="L360" s="106"/>
      <c r="M360" s="106"/>
      <c r="N360" s="106"/>
      <c r="O360" s="106"/>
      <c r="P360" s="106"/>
      <c r="Q360" s="106"/>
      <c r="R360" s="106">
        <f t="shared" si="11"/>
        <v>6000</v>
      </c>
      <c r="S360" s="1">
        <f>SUM(MC[[#This Row],[Blk1]:[Blk8]])</f>
        <v>6000</v>
      </c>
      <c r="T360" s="106"/>
      <c r="U360" s="106"/>
      <c r="V360" s="106"/>
      <c r="W360" s="106"/>
      <c r="X360" s="106"/>
      <c r="Y360" s="106"/>
      <c r="Z360" s="106"/>
    </row>
    <row r="361" spans="1:26" x14ac:dyDescent="0.25">
      <c r="A361" s="106">
        <v>359</v>
      </c>
      <c r="B361" s="103">
        <f t="shared" si="10"/>
        <v>45558</v>
      </c>
      <c r="C361" s="126">
        <v>2024</v>
      </c>
      <c r="D361" s="102">
        <f>YEAR(MC[[#This Row],[Date]])</f>
        <v>2024</v>
      </c>
      <c r="E361" s="101" t="s">
        <v>73</v>
      </c>
      <c r="F361" s="101" t="s">
        <v>73</v>
      </c>
      <c r="G361" s="1" t="str">
        <f>TEXT(MC[[#This Row],[Date]],"mmm-yy")</f>
        <v>Sep-24</v>
      </c>
      <c r="H361" s="1">
        <f>DAY(EOMONTH(MC[[#This Row],[Month Year]],0))</f>
        <v>30</v>
      </c>
      <c r="I361" s="106"/>
      <c r="J361" s="106"/>
      <c r="K361" s="106"/>
      <c r="L361" s="106"/>
      <c r="M361" s="106"/>
      <c r="N361" s="106"/>
      <c r="O361" s="106"/>
      <c r="P361" s="106"/>
      <c r="Q361" s="106"/>
      <c r="R361" s="106">
        <f t="shared" si="11"/>
        <v>6000</v>
      </c>
      <c r="S361" s="1">
        <f>SUM(MC[[#This Row],[Blk1]:[Blk8]])</f>
        <v>6000</v>
      </c>
      <c r="T361" s="106"/>
      <c r="U361" s="106"/>
      <c r="V361" s="106"/>
      <c r="W361" s="106"/>
      <c r="X361" s="106"/>
      <c r="Y361" s="106"/>
      <c r="Z361" s="106"/>
    </row>
    <row r="362" spans="1:26" x14ac:dyDescent="0.25">
      <c r="A362" s="106">
        <v>360</v>
      </c>
      <c r="B362" s="103">
        <f t="shared" si="10"/>
        <v>45559</v>
      </c>
      <c r="C362" s="126">
        <v>2024</v>
      </c>
      <c r="D362" s="102">
        <f>YEAR(MC[[#This Row],[Date]])</f>
        <v>2024</v>
      </c>
      <c r="E362" s="101" t="s">
        <v>73</v>
      </c>
      <c r="F362" s="101" t="s">
        <v>73</v>
      </c>
      <c r="G362" s="1" t="str">
        <f>TEXT(MC[[#This Row],[Date]],"mmm-yy")</f>
        <v>Sep-24</v>
      </c>
      <c r="H362" s="1">
        <f>DAY(EOMONTH(MC[[#This Row],[Month Year]],0))</f>
        <v>30</v>
      </c>
      <c r="I362" s="106"/>
      <c r="J362" s="106"/>
      <c r="K362" s="106"/>
      <c r="L362" s="106"/>
      <c r="M362" s="106"/>
      <c r="N362" s="106"/>
      <c r="O362" s="106"/>
      <c r="P362" s="106"/>
      <c r="Q362" s="106"/>
      <c r="R362" s="106">
        <f t="shared" si="11"/>
        <v>6000</v>
      </c>
      <c r="S362" s="1">
        <f>SUM(MC[[#This Row],[Blk1]:[Blk8]])</f>
        <v>6000</v>
      </c>
      <c r="T362" s="106"/>
      <c r="U362" s="106"/>
      <c r="V362" s="106"/>
      <c r="W362" s="106"/>
      <c r="X362" s="106"/>
      <c r="Y362" s="106"/>
      <c r="Z362" s="106"/>
    </row>
    <row r="363" spans="1:26" x14ac:dyDescent="0.25">
      <c r="A363" s="106">
        <v>361</v>
      </c>
      <c r="B363" s="103">
        <f t="shared" si="10"/>
        <v>45560</v>
      </c>
      <c r="C363" s="126">
        <v>2024</v>
      </c>
      <c r="D363" s="102">
        <f>YEAR(MC[[#This Row],[Date]])</f>
        <v>2024</v>
      </c>
      <c r="E363" s="101" t="s">
        <v>73</v>
      </c>
      <c r="F363" s="101" t="s">
        <v>73</v>
      </c>
      <c r="G363" s="1" t="str">
        <f>TEXT(MC[[#This Row],[Date]],"mmm-yy")</f>
        <v>Sep-24</v>
      </c>
      <c r="H363" s="1">
        <f>DAY(EOMONTH(MC[[#This Row],[Month Year]],0))</f>
        <v>30</v>
      </c>
      <c r="I363" s="106"/>
      <c r="J363" s="106"/>
      <c r="K363" s="106"/>
      <c r="L363" s="106"/>
      <c r="M363" s="106"/>
      <c r="N363" s="106"/>
      <c r="O363" s="106"/>
      <c r="P363" s="106"/>
      <c r="Q363" s="106"/>
      <c r="R363" s="106">
        <f t="shared" si="11"/>
        <v>6000</v>
      </c>
      <c r="S363" s="1">
        <f>SUM(MC[[#This Row],[Blk1]:[Blk8]])</f>
        <v>6000</v>
      </c>
      <c r="T363" s="106"/>
      <c r="U363" s="106"/>
      <c r="V363" s="106"/>
      <c r="W363" s="106"/>
      <c r="X363" s="106"/>
      <c r="Y363" s="106"/>
      <c r="Z363" s="106"/>
    </row>
    <row r="364" spans="1:26" x14ac:dyDescent="0.25">
      <c r="A364" s="106">
        <v>362</v>
      </c>
      <c r="B364" s="103">
        <f t="shared" si="10"/>
        <v>45561</v>
      </c>
      <c r="C364" s="126">
        <v>2024</v>
      </c>
      <c r="D364" s="102">
        <f>YEAR(MC[[#This Row],[Date]])</f>
        <v>2024</v>
      </c>
      <c r="E364" s="101" t="s">
        <v>73</v>
      </c>
      <c r="F364" s="101" t="s">
        <v>73</v>
      </c>
      <c r="G364" s="1" t="str">
        <f>TEXT(MC[[#This Row],[Date]],"mmm-yy")</f>
        <v>Sep-24</v>
      </c>
      <c r="H364" s="1">
        <f>DAY(EOMONTH(MC[[#This Row],[Month Year]],0))</f>
        <v>30</v>
      </c>
      <c r="I364" s="106"/>
      <c r="J364" s="106"/>
      <c r="K364" s="106"/>
      <c r="L364" s="106"/>
      <c r="M364" s="106"/>
      <c r="N364" s="106"/>
      <c r="O364" s="106"/>
      <c r="P364" s="106"/>
      <c r="Q364" s="106"/>
      <c r="R364" s="106">
        <f t="shared" si="11"/>
        <v>6000</v>
      </c>
      <c r="S364" s="1">
        <f>SUM(MC[[#This Row],[Blk1]:[Blk8]])</f>
        <v>6000</v>
      </c>
      <c r="T364" s="106"/>
      <c r="U364" s="106"/>
      <c r="V364" s="106"/>
      <c r="W364" s="106"/>
      <c r="X364" s="106"/>
      <c r="Y364" s="106"/>
      <c r="Z364" s="106"/>
    </row>
    <row r="365" spans="1:26" x14ac:dyDescent="0.25">
      <c r="A365" s="106">
        <v>363</v>
      </c>
      <c r="B365" s="103">
        <f t="shared" si="10"/>
        <v>45562</v>
      </c>
      <c r="C365" s="126">
        <v>2024</v>
      </c>
      <c r="D365" s="102">
        <f>YEAR(MC[[#This Row],[Date]])</f>
        <v>2024</v>
      </c>
      <c r="E365" s="101" t="s">
        <v>73</v>
      </c>
      <c r="F365" s="101" t="s">
        <v>73</v>
      </c>
      <c r="G365" s="1" t="str">
        <f>TEXT(MC[[#This Row],[Date]],"mmm-yy")</f>
        <v>Sep-24</v>
      </c>
      <c r="H365" s="1">
        <f>DAY(EOMONTH(MC[[#This Row],[Month Year]],0))</f>
        <v>30</v>
      </c>
      <c r="I365" s="106"/>
      <c r="J365" s="106"/>
      <c r="K365" s="106"/>
      <c r="L365" s="106"/>
      <c r="M365" s="106"/>
      <c r="N365" s="106"/>
      <c r="O365" s="106"/>
      <c r="P365" s="106"/>
      <c r="Q365" s="106"/>
      <c r="R365" s="106">
        <f t="shared" si="11"/>
        <v>6000</v>
      </c>
      <c r="S365" s="1">
        <f>SUM(MC[[#This Row],[Blk1]:[Blk8]])</f>
        <v>6000</v>
      </c>
      <c r="T365" s="106"/>
      <c r="U365" s="106"/>
      <c r="V365" s="106"/>
      <c r="W365" s="106"/>
      <c r="X365" s="106"/>
      <c r="Y365" s="106"/>
      <c r="Z365" s="106"/>
    </row>
    <row r="366" spans="1:26" x14ac:dyDescent="0.25">
      <c r="A366" s="106">
        <v>364</v>
      </c>
      <c r="B366" s="103">
        <f t="shared" si="10"/>
        <v>45563</v>
      </c>
      <c r="C366" s="126">
        <v>2024</v>
      </c>
      <c r="D366" s="102">
        <f>YEAR(MC[[#This Row],[Date]])</f>
        <v>2024</v>
      </c>
      <c r="E366" s="101" t="s">
        <v>73</v>
      </c>
      <c r="F366" s="101" t="s">
        <v>73</v>
      </c>
      <c r="G366" s="1" t="str">
        <f>TEXT(MC[[#This Row],[Date]],"mmm-yy")</f>
        <v>Sep-24</v>
      </c>
      <c r="H366" s="1">
        <f>DAY(EOMONTH(MC[[#This Row],[Month Year]],0))</f>
        <v>30</v>
      </c>
      <c r="I366" s="106"/>
      <c r="J366" s="106"/>
      <c r="K366" s="106"/>
      <c r="L366" s="106"/>
      <c r="M366" s="106"/>
      <c r="N366" s="106"/>
      <c r="O366" s="106"/>
      <c r="P366" s="106"/>
      <c r="Q366" s="106"/>
      <c r="R366" s="106">
        <f t="shared" si="11"/>
        <v>6000</v>
      </c>
      <c r="S366" s="1">
        <f>SUM(MC[[#This Row],[Blk1]:[Blk8]])</f>
        <v>6000</v>
      </c>
      <c r="T366" s="106"/>
      <c r="U366" s="106"/>
      <c r="V366" s="106"/>
      <c r="W366" s="106"/>
      <c r="X366" s="106"/>
      <c r="Y366" s="106"/>
      <c r="Z366" s="106"/>
    </row>
    <row r="367" spans="1:26" x14ac:dyDescent="0.25">
      <c r="A367" s="106">
        <v>365</v>
      </c>
      <c r="B367" s="103">
        <f t="shared" si="10"/>
        <v>45564</v>
      </c>
      <c r="C367" s="126">
        <v>2024</v>
      </c>
      <c r="D367" s="102">
        <f>YEAR(MC[[#This Row],[Date]])</f>
        <v>2024</v>
      </c>
      <c r="E367" s="101" t="s">
        <v>73</v>
      </c>
      <c r="F367" s="101" t="s">
        <v>73</v>
      </c>
      <c r="G367" s="1" t="str">
        <f>TEXT(MC[[#This Row],[Date]],"mmm-yy")</f>
        <v>Sep-24</v>
      </c>
      <c r="H367" s="1">
        <f>DAY(EOMONTH(MC[[#This Row],[Month Year]],0))</f>
        <v>30</v>
      </c>
      <c r="I367" s="106"/>
      <c r="J367" s="106"/>
      <c r="K367" s="106"/>
      <c r="L367" s="106"/>
      <c r="M367" s="106"/>
      <c r="N367" s="106"/>
      <c r="O367" s="106"/>
      <c r="P367" s="106"/>
      <c r="Q367" s="106"/>
      <c r="R367" s="106">
        <f t="shared" si="11"/>
        <v>6000</v>
      </c>
      <c r="S367" s="1">
        <f>SUM(MC[[#This Row],[Blk1]:[Blk8]])</f>
        <v>6000</v>
      </c>
      <c r="T367" s="106"/>
      <c r="U367" s="106"/>
      <c r="V367" s="106"/>
      <c r="W367" s="106"/>
      <c r="X367" s="106"/>
      <c r="Y367" s="106"/>
      <c r="Z367" s="106"/>
    </row>
    <row r="368" spans="1:26" x14ac:dyDescent="0.25">
      <c r="A368" s="106">
        <v>366</v>
      </c>
      <c r="B368" s="103">
        <f t="shared" si="10"/>
        <v>45565</v>
      </c>
      <c r="C368" s="126">
        <v>2024</v>
      </c>
      <c r="D368" s="102">
        <f>YEAR(MC[[#This Row],[Date]])</f>
        <v>2024</v>
      </c>
      <c r="E368" s="101" t="s">
        <v>73</v>
      </c>
      <c r="F368" s="101" t="s">
        <v>73</v>
      </c>
      <c r="G368" s="1" t="str">
        <f>TEXT(MC[[#This Row],[Date]],"mmm-yy")</f>
        <v>Sep-24</v>
      </c>
      <c r="H368" s="1">
        <f>DAY(EOMONTH(MC[[#This Row],[Month Year]],0))</f>
        <v>30</v>
      </c>
      <c r="I368" s="106"/>
      <c r="J368" s="106"/>
      <c r="K368" s="106"/>
      <c r="L368" s="106"/>
      <c r="M368" s="106"/>
      <c r="N368" s="106"/>
      <c r="O368" s="106"/>
      <c r="P368" s="106"/>
      <c r="Q368" s="106"/>
      <c r="R368" s="106">
        <f t="shared" si="11"/>
        <v>6000</v>
      </c>
      <c r="S368" s="1">
        <f>SUM(MC[[#This Row],[Blk1]:[Blk8]])</f>
        <v>6000</v>
      </c>
      <c r="T368" s="106"/>
      <c r="U368" s="106"/>
      <c r="V368" s="106"/>
      <c r="W368" s="106"/>
      <c r="X368" s="106"/>
      <c r="Y368" s="106"/>
      <c r="Z368" s="106"/>
    </row>
    <row r="369" spans="1:26" x14ac:dyDescent="0.25">
      <c r="A369" s="106">
        <v>367</v>
      </c>
      <c r="B369" s="103">
        <f t="shared" si="10"/>
        <v>45566</v>
      </c>
      <c r="C369" s="126">
        <v>2024</v>
      </c>
      <c r="D369" s="102">
        <f>YEAR(MC[[#This Row],[Date]])</f>
        <v>2024</v>
      </c>
      <c r="E369" s="101" t="s">
        <v>73</v>
      </c>
      <c r="F369" s="101" t="s">
        <v>73</v>
      </c>
      <c r="G369" s="1" t="str">
        <f>TEXT(MC[[#This Row],[Date]],"mmm-yy")</f>
        <v>Oct-24</v>
      </c>
      <c r="H369" s="1">
        <f>DAY(EOMONTH(MC[[#This Row],[Month Year]],0))</f>
        <v>31</v>
      </c>
      <c r="I369" s="106"/>
      <c r="J369" s="106"/>
      <c r="K369" s="106"/>
      <c r="L369" s="106"/>
      <c r="M369" s="106"/>
      <c r="N369" s="106"/>
      <c r="O369" s="106"/>
      <c r="P369" s="106"/>
      <c r="Q369" s="106"/>
      <c r="R369" s="106">
        <f t="shared" si="11"/>
        <v>6000</v>
      </c>
      <c r="S369" s="1">
        <f>SUM(MC[[#This Row],[Blk1]:[Blk8]])</f>
        <v>6000</v>
      </c>
      <c r="T369" s="106"/>
      <c r="U369" s="106"/>
      <c r="V369" s="106"/>
      <c r="W369" s="106"/>
      <c r="X369" s="106"/>
      <c r="Y369" s="106"/>
      <c r="Z369" s="106"/>
    </row>
    <row r="370" spans="1:26" x14ac:dyDescent="0.25">
      <c r="A370" s="106">
        <v>368</v>
      </c>
      <c r="B370" s="103">
        <f t="shared" si="10"/>
        <v>45567</v>
      </c>
      <c r="C370" s="126">
        <v>2024</v>
      </c>
      <c r="D370" s="102">
        <f>YEAR(MC[[#This Row],[Date]])</f>
        <v>2024</v>
      </c>
      <c r="E370" s="101" t="s">
        <v>73</v>
      </c>
      <c r="F370" s="101" t="s">
        <v>73</v>
      </c>
      <c r="G370" s="1" t="str">
        <f>TEXT(MC[[#This Row],[Date]],"mmm-yy")</f>
        <v>Oct-24</v>
      </c>
      <c r="H370" s="1">
        <f>DAY(EOMONTH(MC[[#This Row],[Month Year]],0))</f>
        <v>31</v>
      </c>
      <c r="I370" s="106"/>
      <c r="J370" s="106"/>
      <c r="K370" s="106"/>
      <c r="L370" s="106"/>
      <c r="M370" s="106"/>
      <c r="N370" s="106"/>
      <c r="O370" s="106"/>
      <c r="P370" s="106"/>
      <c r="Q370" s="106"/>
      <c r="R370" s="106">
        <f t="shared" si="11"/>
        <v>6000</v>
      </c>
      <c r="S370" s="1">
        <f>SUM(MC[[#This Row],[Blk1]:[Blk8]])</f>
        <v>6000</v>
      </c>
      <c r="T370" s="106"/>
      <c r="U370" s="106"/>
      <c r="V370" s="106"/>
      <c r="W370" s="106"/>
      <c r="X370" s="106"/>
      <c r="Y370" s="106"/>
      <c r="Z370" s="106"/>
    </row>
    <row r="371" spans="1:26" x14ac:dyDescent="0.25">
      <c r="A371" s="106">
        <v>369</v>
      </c>
      <c r="B371" s="103">
        <f t="shared" si="10"/>
        <v>45568</v>
      </c>
      <c r="C371" s="126">
        <v>2024</v>
      </c>
      <c r="D371" s="102">
        <f>YEAR(MC[[#This Row],[Date]])</f>
        <v>2024</v>
      </c>
      <c r="E371" s="101" t="s">
        <v>73</v>
      </c>
      <c r="F371" s="101" t="s">
        <v>73</v>
      </c>
      <c r="G371" s="1" t="str">
        <f>TEXT(MC[[#This Row],[Date]],"mmm-yy")</f>
        <v>Oct-24</v>
      </c>
      <c r="H371" s="1">
        <f>DAY(EOMONTH(MC[[#This Row],[Month Year]],0))</f>
        <v>31</v>
      </c>
      <c r="I371" s="106"/>
      <c r="J371" s="106"/>
      <c r="K371" s="106"/>
      <c r="L371" s="106"/>
      <c r="M371" s="106"/>
      <c r="N371" s="106"/>
      <c r="O371" s="106"/>
      <c r="P371" s="106"/>
      <c r="Q371" s="106"/>
      <c r="R371" s="106">
        <f t="shared" si="11"/>
        <v>6000</v>
      </c>
      <c r="S371" s="1">
        <f>SUM(MC[[#This Row],[Blk1]:[Blk8]])</f>
        <v>6000</v>
      </c>
      <c r="T371" s="106"/>
      <c r="U371" s="106"/>
      <c r="V371" s="106"/>
      <c r="W371" s="106"/>
      <c r="X371" s="106"/>
      <c r="Y371" s="106"/>
      <c r="Z371" s="106"/>
    </row>
    <row r="372" spans="1:26" x14ac:dyDescent="0.25">
      <c r="A372" s="106">
        <v>370</v>
      </c>
      <c r="B372" s="103">
        <f t="shared" si="10"/>
        <v>45569</v>
      </c>
      <c r="C372" s="126">
        <v>2024</v>
      </c>
      <c r="D372" s="102">
        <f>YEAR(MC[[#This Row],[Date]])</f>
        <v>2024</v>
      </c>
      <c r="E372" s="101" t="s">
        <v>73</v>
      </c>
      <c r="F372" s="101" t="s">
        <v>73</v>
      </c>
      <c r="G372" s="1" t="str">
        <f>TEXT(MC[[#This Row],[Date]],"mmm-yy")</f>
        <v>Oct-24</v>
      </c>
      <c r="H372" s="1">
        <f>DAY(EOMONTH(MC[[#This Row],[Month Year]],0))</f>
        <v>31</v>
      </c>
      <c r="I372" s="106"/>
      <c r="J372" s="106"/>
      <c r="K372" s="106"/>
      <c r="L372" s="106"/>
      <c r="M372" s="106"/>
      <c r="N372" s="106"/>
      <c r="O372" s="106"/>
      <c r="P372" s="106"/>
      <c r="Q372" s="106"/>
      <c r="R372" s="106">
        <f t="shared" si="11"/>
        <v>6000</v>
      </c>
      <c r="S372" s="1">
        <f>SUM(MC[[#This Row],[Blk1]:[Blk8]])</f>
        <v>6000</v>
      </c>
      <c r="T372" s="106"/>
      <c r="U372" s="106"/>
      <c r="V372" s="106"/>
      <c r="W372" s="106"/>
      <c r="X372" s="106"/>
      <c r="Y372" s="106"/>
      <c r="Z372" s="106"/>
    </row>
    <row r="373" spans="1:26" x14ac:dyDescent="0.25">
      <c r="A373" s="106">
        <v>371</v>
      </c>
      <c r="B373" s="103">
        <f t="shared" si="10"/>
        <v>45570</v>
      </c>
      <c r="C373" s="126">
        <v>2024</v>
      </c>
      <c r="D373" s="102">
        <f>YEAR(MC[[#This Row],[Date]])</f>
        <v>2024</v>
      </c>
      <c r="E373" s="101" t="s">
        <v>73</v>
      </c>
      <c r="F373" s="101" t="s">
        <v>73</v>
      </c>
      <c r="G373" s="1" t="str">
        <f>TEXT(MC[[#This Row],[Date]],"mmm-yy")</f>
        <v>Oct-24</v>
      </c>
      <c r="H373" s="1">
        <f>DAY(EOMONTH(MC[[#This Row],[Month Year]],0))</f>
        <v>31</v>
      </c>
      <c r="I373" s="106"/>
      <c r="J373" s="106"/>
      <c r="K373" s="106"/>
      <c r="L373" s="106"/>
      <c r="M373" s="106"/>
      <c r="N373" s="106"/>
      <c r="O373" s="106"/>
      <c r="P373" s="106"/>
      <c r="Q373" s="106"/>
      <c r="R373" s="106">
        <f t="shared" si="11"/>
        <v>6000</v>
      </c>
      <c r="S373" s="1">
        <f>SUM(MC[[#This Row],[Blk1]:[Blk8]])</f>
        <v>6000</v>
      </c>
      <c r="T373" s="106"/>
      <c r="U373" s="106"/>
      <c r="V373" s="107">
        <v>0.66666666666666663</v>
      </c>
      <c r="W373" s="107">
        <v>0.79166666666666663</v>
      </c>
      <c r="X373" s="106" t="s">
        <v>88</v>
      </c>
      <c r="Y373" s="106"/>
      <c r="Z373" s="106"/>
    </row>
    <row r="374" spans="1:26" x14ac:dyDescent="0.25">
      <c r="A374" s="106">
        <v>372</v>
      </c>
      <c r="B374" s="103">
        <f t="shared" si="10"/>
        <v>45571</v>
      </c>
      <c r="C374" s="126">
        <v>2024</v>
      </c>
      <c r="D374" s="102">
        <f>YEAR(MC[[#This Row],[Date]])</f>
        <v>2024</v>
      </c>
      <c r="E374" s="101" t="s">
        <v>73</v>
      </c>
      <c r="F374" s="101" t="s">
        <v>73</v>
      </c>
      <c r="G374" s="1" t="str">
        <f>TEXT(MC[[#This Row],[Date]],"mmm-yy")</f>
        <v>Oct-24</v>
      </c>
      <c r="H374" s="1">
        <f>DAY(EOMONTH(MC[[#This Row],[Month Year]],0))</f>
        <v>31</v>
      </c>
      <c r="I374" s="106"/>
      <c r="J374" s="106"/>
      <c r="K374" s="106"/>
      <c r="L374" s="106"/>
      <c r="M374" s="106"/>
      <c r="N374" s="106"/>
      <c r="O374" s="106"/>
      <c r="P374" s="106"/>
      <c r="Q374" s="106"/>
      <c r="R374" s="106">
        <f t="shared" si="11"/>
        <v>6000</v>
      </c>
      <c r="S374" s="1">
        <f>SUM(MC[[#This Row],[Blk1]:[Blk8]])</f>
        <v>6000</v>
      </c>
      <c r="T374" s="106"/>
      <c r="U374" s="106"/>
      <c r="V374" s="107">
        <v>0.66666666666666663</v>
      </c>
      <c r="W374" s="107">
        <v>0.79166666666666663</v>
      </c>
      <c r="X374" s="106" t="s">
        <v>88</v>
      </c>
      <c r="Y374" s="106"/>
      <c r="Z374" s="106"/>
    </row>
    <row r="375" spans="1:26" x14ac:dyDescent="0.25">
      <c r="A375" s="106">
        <v>373</v>
      </c>
      <c r="B375" s="103">
        <f t="shared" si="10"/>
        <v>45572</v>
      </c>
      <c r="C375" s="126">
        <v>2024</v>
      </c>
      <c r="D375" s="102">
        <f>YEAR(MC[[#This Row],[Date]])</f>
        <v>2024</v>
      </c>
      <c r="E375" s="101" t="s">
        <v>73</v>
      </c>
      <c r="F375" s="101" t="s">
        <v>73</v>
      </c>
      <c r="G375" s="1" t="str">
        <f>TEXT(MC[[#This Row],[Date]],"mmm-yy")</f>
        <v>Oct-24</v>
      </c>
      <c r="H375" s="1">
        <f>DAY(EOMONTH(MC[[#This Row],[Month Year]],0))</f>
        <v>31</v>
      </c>
      <c r="I375" s="106"/>
      <c r="J375" s="106"/>
      <c r="K375" s="106"/>
      <c r="L375" s="106"/>
      <c r="M375" s="106"/>
      <c r="N375" s="106"/>
      <c r="O375" s="106"/>
      <c r="P375" s="106"/>
      <c r="Q375" s="106"/>
      <c r="R375" s="106">
        <f t="shared" si="11"/>
        <v>6000</v>
      </c>
      <c r="S375" s="1">
        <f>SUM(MC[[#This Row],[Blk1]:[Blk8]])</f>
        <v>6000</v>
      </c>
      <c r="T375" s="106"/>
      <c r="U375" s="106"/>
      <c r="V375" s="107">
        <v>0.66666666666666663</v>
      </c>
      <c r="W375" s="107">
        <v>0.79166666666666663</v>
      </c>
      <c r="X375" s="106" t="s">
        <v>88</v>
      </c>
      <c r="Y375" s="106"/>
      <c r="Z375" s="106"/>
    </row>
    <row r="376" spans="1:26" x14ac:dyDescent="0.25">
      <c r="A376" s="106">
        <v>374</v>
      </c>
      <c r="B376" s="103">
        <f t="shared" si="10"/>
        <v>45573</v>
      </c>
      <c r="C376" s="126">
        <v>2024</v>
      </c>
      <c r="D376" s="102">
        <f>YEAR(MC[[#This Row],[Date]])</f>
        <v>2024</v>
      </c>
      <c r="E376" s="101" t="s">
        <v>73</v>
      </c>
      <c r="F376" s="101" t="s">
        <v>73</v>
      </c>
      <c r="G376" s="1" t="str">
        <f>TEXT(MC[[#This Row],[Date]],"mmm-yy")</f>
        <v>Oct-24</v>
      </c>
      <c r="H376" s="1">
        <f>DAY(EOMONTH(MC[[#This Row],[Month Year]],0))</f>
        <v>31</v>
      </c>
      <c r="I376" s="106"/>
      <c r="J376" s="106"/>
      <c r="K376" s="106"/>
      <c r="L376" s="106"/>
      <c r="M376" s="106"/>
      <c r="N376" s="106"/>
      <c r="O376" s="106"/>
      <c r="P376" s="106"/>
      <c r="Q376" s="106"/>
      <c r="R376" s="106">
        <f t="shared" si="11"/>
        <v>6000</v>
      </c>
      <c r="S376" s="1">
        <f>SUM(MC[[#This Row],[Blk1]:[Blk8]])</f>
        <v>6000</v>
      </c>
      <c r="T376" s="106"/>
      <c r="U376" s="106"/>
      <c r="V376" s="107">
        <v>0.66666666666666663</v>
      </c>
      <c r="W376" s="107">
        <v>0.79166666666666663</v>
      </c>
      <c r="X376" s="106" t="s">
        <v>88</v>
      </c>
      <c r="Y376" s="106"/>
      <c r="Z376" s="106"/>
    </row>
    <row r="377" spans="1:26" x14ac:dyDescent="0.25">
      <c r="A377" s="106">
        <v>375</v>
      </c>
      <c r="B377" s="103">
        <f t="shared" si="10"/>
        <v>45574</v>
      </c>
      <c r="C377" s="126">
        <v>2024</v>
      </c>
      <c r="D377" s="102">
        <f>YEAR(MC[[#This Row],[Date]])</f>
        <v>2024</v>
      </c>
      <c r="E377" s="101" t="s">
        <v>73</v>
      </c>
      <c r="F377" s="101" t="s">
        <v>73</v>
      </c>
      <c r="G377" s="1" t="str">
        <f>TEXT(MC[[#This Row],[Date]],"mmm-yy")</f>
        <v>Oct-24</v>
      </c>
      <c r="H377" s="1">
        <f>DAY(EOMONTH(MC[[#This Row],[Month Year]],0))</f>
        <v>31</v>
      </c>
      <c r="I377" s="106"/>
      <c r="J377" s="106"/>
      <c r="K377" s="106"/>
      <c r="L377" s="106"/>
      <c r="M377" s="106"/>
      <c r="N377" s="106"/>
      <c r="O377" s="106"/>
      <c r="P377" s="106"/>
      <c r="Q377" s="106"/>
      <c r="R377" s="106">
        <f t="shared" si="11"/>
        <v>6000</v>
      </c>
      <c r="S377" s="1">
        <f>SUM(MC[[#This Row],[Blk1]:[Blk8]])</f>
        <v>6000</v>
      </c>
      <c r="T377" s="106"/>
      <c r="U377" s="106"/>
      <c r="V377" s="107">
        <v>0.66666666666666663</v>
      </c>
      <c r="W377" s="107">
        <v>0.79166666666666663</v>
      </c>
      <c r="X377" s="106" t="s">
        <v>88</v>
      </c>
      <c r="Y377" s="106"/>
      <c r="Z377" s="106"/>
    </row>
    <row r="378" spans="1:26" x14ac:dyDescent="0.25">
      <c r="A378" s="106">
        <v>376</v>
      </c>
      <c r="B378" s="103">
        <f t="shared" si="10"/>
        <v>45575</v>
      </c>
      <c r="C378" s="126">
        <v>2024</v>
      </c>
      <c r="D378" s="102">
        <f>YEAR(MC[[#This Row],[Date]])</f>
        <v>2024</v>
      </c>
      <c r="E378" s="101" t="s">
        <v>73</v>
      </c>
      <c r="F378" s="101" t="s">
        <v>73</v>
      </c>
      <c r="G378" s="1" t="str">
        <f>TEXT(MC[[#This Row],[Date]],"mmm-yy")</f>
        <v>Oct-24</v>
      </c>
      <c r="H378" s="1">
        <f>DAY(EOMONTH(MC[[#This Row],[Month Year]],0))</f>
        <v>31</v>
      </c>
      <c r="I378" s="106"/>
      <c r="J378" s="106"/>
      <c r="K378" s="106"/>
      <c r="L378" s="106"/>
      <c r="M378" s="106"/>
      <c r="N378" s="106"/>
      <c r="O378" s="106"/>
      <c r="P378" s="106"/>
      <c r="Q378" s="106"/>
      <c r="R378" s="106">
        <f t="shared" si="11"/>
        <v>6000</v>
      </c>
      <c r="S378" s="1">
        <f>SUM(MC[[#This Row],[Blk1]:[Blk8]])</f>
        <v>6000</v>
      </c>
      <c r="T378" s="106"/>
      <c r="U378" s="106"/>
      <c r="V378" s="107">
        <v>0.66666666666666663</v>
      </c>
      <c r="W378" s="107">
        <v>0.79166666666666663</v>
      </c>
      <c r="X378" s="106" t="s">
        <v>88</v>
      </c>
      <c r="Y378" s="106"/>
      <c r="Z378" s="106"/>
    </row>
    <row r="379" spans="1:26" x14ac:dyDescent="0.25">
      <c r="A379" s="106">
        <v>377</v>
      </c>
      <c r="B379" s="103">
        <f t="shared" si="10"/>
        <v>45576</v>
      </c>
      <c r="C379" s="126">
        <v>2024</v>
      </c>
      <c r="D379" s="102">
        <f>YEAR(MC[[#This Row],[Date]])</f>
        <v>2024</v>
      </c>
      <c r="E379" s="101" t="s">
        <v>73</v>
      </c>
      <c r="F379" s="101" t="s">
        <v>73</v>
      </c>
      <c r="G379" s="1" t="str">
        <f>TEXT(MC[[#This Row],[Date]],"mmm-yy")</f>
        <v>Oct-24</v>
      </c>
      <c r="H379" s="1">
        <f>DAY(EOMONTH(MC[[#This Row],[Month Year]],0))</f>
        <v>31</v>
      </c>
      <c r="I379" s="106"/>
      <c r="J379" s="106"/>
      <c r="K379" s="106"/>
      <c r="L379" s="106"/>
      <c r="M379" s="106"/>
      <c r="N379" s="106"/>
      <c r="O379" s="106"/>
      <c r="P379" s="106"/>
      <c r="Q379" s="106"/>
      <c r="R379" s="106">
        <f t="shared" si="11"/>
        <v>6000</v>
      </c>
      <c r="S379" s="1">
        <f>SUM(MC[[#This Row],[Blk1]:[Blk8]])</f>
        <v>6000</v>
      </c>
      <c r="T379" s="106"/>
      <c r="U379" s="106"/>
      <c r="V379" s="107">
        <v>0.66666666666666663</v>
      </c>
      <c r="W379" s="107">
        <v>0.79166666666666663</v>
      </c>
      <c r="X379" s="106" t="s">
        <v>88</v>
      </c>
      <c r="Y379" s="106"/>
      <c r="Z379" s="106"/>
    </row>
    <row r="380" spans="1:26" x14ac:dyDescent="0.25">
      <c r="A380" s="106">
        <v>378</v>
      </c>
      <c r="B380" s="103">
        <f t="shared" si="10"/>
        <v>45577</v>
      </c>
      <c r="C380" s="126">
        <v>2024</v>
      </c>
      <c r="D380" s="102">
        <f>YEAR(MC[[#This Row],[Date]])</f>
        <v>2024</v>
      </c>
      <c r="E380" s="101" t="s">
        <v>73</v>
      </c>
      <c r="F380" s="101" t="s">
        <v>73</v>
      </c>
      <c r="G380" s="1" t="str">
        <f>TEXT(MC[[#This Row],[Date]],"mmm-yy")</f>
        <v>Oct-24</v>
      </c>
      <c r="H380" s="1">
        <f>DAY(EOMONTH(MC[[#This Row],[Month Year]],0))</f>
        <v>31</v>
      </c>
      <c r="I380" s="106"/>
      <c r="J380" s="106"/>
      <c r="K380" s="106"/>
      <c r="L380" s="106"/>
      <c r="M380" s="106"/>
      <c r="N380" s="106"/>
      <c r="O380" s="106"/>
      <c r="P380" s="106"/>
      <c r="Q380" s="106"/>
      <c r="R380" s="106">
        <f t="shared" si="11"/>
        <v>6000</v>
      </c>
      <c r="S380" s="1">
        <f>SUM(MC[[#This Row],[Blk1]:[Blk8]])</f>
        <v>6000</v>
      </c>
      <c r="T380" s="106"/>
      <c r="U380" s="106"/>
      <c r="V380" s="107">
        <v>0.66666666666666663</v>
      </c>
      <c r="W380" s="107">
        <v>0.79166666666666663</v>
      </c>
      <c r="X380" s="106" t="s">
        <v>88</v>
      </c>
      <c r="Y380" s="106"/>
      <c r="Z380" s="106"/>
    </row>
    <row r="381" spans="1:26" x14ac:dyDescent="0.25">
      <c r="A381" s="106">
        <v>379</v>
      </c>
      <c r="B381" s="103">
        <f t="shared" si="10"/>
        <v>45578</v>
      </c>
      <c r="C381" s="126">
        <v>2024</v>
      </c>
      <c r="D381" s="102">
        <f>YEAR(MC[[#This Row],[Date]])</f>
        <v>2024</v>
      </c>
      <c r="E381" s="101" t="s">
        <v>73</v>
      </c>
      <c r="F381" s="101" t="s">
        <v>73</v>
      </c>
      <c r="G381" s="1" t="str">
        <f>TEXT(MC[[#This Row],[Date]],"mmm-yy")</f>
        <v>Oct-24</v>
      </c>
      <c r="H381" s="1">
        <f>DAY(EOMONTH(MC[[#This Row],[Month Year]],0))</f>
        <v>31</v>
      </c>
      <c r="I381" s="106"/>
      <c r="J381" s="106"/>
      <c r="K381" s="106"/>
      <c r="L381" s="106"/>
      <c r="M381" s="106"/>
      <c r="N381" s="106"/>
      <c r="O381" s="106"/>
      <c r="P381" s="106"/>
      <c r="Q381" s="106"/>
      <c r="R381" s="106">
        <f t="shared" si="11"/>
        <v>6000</v>
      </c>
      <c r="S381" s="1">
        <f>SUM(MC[[#This Row],[Blk1]:[Blk8]])</f>
        <v>6000</v>
      </c>
      <c r="T381" s="106"/>
      <c r="U381" s="106"/>
      <c r="V381" s="107">
        <v>0.66666666666666663</v>
      </c>
      <c r="W381" s="107">
        <v>0.79166666666666663</v>
      </c>
      <c r="X381" s="106" t="s">
        <v>88</v>
      </c>
      <c r="Y381" s="106"/>
      <c r="Z381" s="106"/>
    </row>
    <row r="382" spans="1:26" x14ac:dyDescent="0.25">
      <c r="A382" s="106">
        <v>380</v>
      </c>
      <c r="B382" s="103">
        <f t="shared" si="10"/>
        <v>45579</v>
      </c>
      <c r="C382" s="126">
        <v>2024</v>
      </c>
      <c r="D382" s="102">
        <f>YEAR(MC[[#This Row],[Date]])</f>
        <v>2024</v>
      </c>
      <c r="E382" s="101" t="s">
        <v>73</v>
      </c>
      <c r="F382" s="101" t="s">
        <v>73</v>
      </c>
      <c r="G382" s="1" t="str">
        <f>TEXT(MC[[#This Row],[Date]],"mmm-yy")</f>
        <v>Oct-24</v>
      </c>
      <c r="H382" s="1">
        <f>DAY(EOMONTH(MC[[#This Row],[Month Year]],0))</f>
        <v>31</v>
      </c>
      <c r="I382" s="106"/>
      <c r="J382" s="106"/>
      <c r="K382" s="106"/>
      <c r="L382" s="106"/>
      <c r="M382" s="106"/>
      <c r="N382" s="106"/>
      <c r="O382" s="106"/>
      <c r="P382" s="106"/>
      <c r="Q382" s="106"/>
      <c r="R382" s="106">
        <f t="shared" si="11"/>
        <v>6000</v>
      </c>
      <c r="S382" s="1">
        <f>SUM(MC[[#This Row],[Blk1]:[Blk8]])</f>
        <v>6000</v>
      </c>
      <c r="T382" s="106"/>
      <c r="U382" s="106"/>
      <c r="V382" s="107">
        <v>0.66666666666666663</v>
      </c>
      <c r="W382" s="107">
        <v>0.79166666666666663</v>
      </c>
      <c r="X382" s="106" t="s">
        <v>88</v>
      </c>
      <c r="Y382" s="106"/>
      <c r="Z382" s="106"/>
    </row>
    <row r="383" spans="1:26" x14ac:dyDescent="0.25">
      <c r="A383" s="106">
        <v>381</v>
      </c>
      <c r="B383" s="103">
        <f t="shared" ref="B383:B446" si="12">B382+1</f>
        <v>45580</v>
      </c>
      <c r="C383" s="126">
        <v>2024</v>
      </c>
      <c r="D383" s="102">
        <f>YEAR(MC[[#This Row],[Date]])</f>
        <v>2024</v>
      </c>
      <c r="E383" s="101" t="s">
        <v>73</v>
      </c>
      <c r="F383" s="101" t="s">
        <v>73</v>
      </c>
      <c r="G383" s="1" t="str">
        <f>TEXT(MC[[#This Row],[Date]],"mmm-yy")</f>
        <v>Oct-24</v>
      </c>
      <c r="H383" s="1">
        <f>DAY(EOMONTH(MC[[#This Row],[Month Year]],0))</f>
        <v>31</v>
      </c>
      <c r="I383" s="106"/>
      <c r="J383" s="106"/>
      <c r="K383" s="106"/>
      <c r="L383" s="106"/>
      <c r="M383" s="106"/>
      <c r="N383" s="106"/>
      <c r="O383" s="106"/>
      <c r="P383" s="106"/>
      <c r="Q383" s="106"/>
      <c r="R383" s="106">
        <f t="shared" si="11"/>
        <v>6000</v>
      </c>
      <c r="S383" s="1">
        <f>SUM(MC[[#This Row],[Blk1]:[Blk8]])</f>
        <v>6000</v>
      </c>
      <c r="T383" s="106"/>
      <c r="U383" s="106"/>
      <c r="V383" s="107">
        <v>0.66666666666666663</v>
      </c>
      <c r="W383" s="107">
        <v>0.79166666666666663</v>
      </c>
      <c r="X383" s="106" t="s">
        <v>88</v>
      </c>
      <c r="Y383" s="106"/>
      <c r="Z383" s="106"/>
    </row>
    <row r="384" spans="1:26" x14ac:dyDescent="0.25">
      <c r="A384" s="106">
        <v>382</v>
      </c>
      <c r="B384" s="103">
        <f t="shared" si="12"/>
        <v>45581</v>
      </c>
      <c r="C384" s="126">
        <v>2024</v>
      </c>
      <c r="D384" s="102">
        <f>YEAR(MC[[#This Row],[Date]])</f>
        <v>2024</v>
      </c>
      <c r="E384" s="101" t="s">
        <v>73</v>
      </c>
      <c r="F384" s="101" t="s">
        <v>73</v>
      </c>
      <c r="G384" s="1" t="str">
        <f>TEXT(MC[[#This Row],[Date]],"mmm-yy")</f>
        <v>Oct-24</v>
      </c>
      <c r="H384" s="1">
        <f>DAY(EOMONTH(MC[[#This Row],[Month Year]],0))</f>
        <v>31</v>
      </c>
      <c r="I384" s="106"/>
      <c r="J384" s="106"/>
      <c r="K384" s="106"/>
      <c r="L384" s="106"/>
      <c r="M384" s="106"/>
      <c r="N384" s="106"/>
      <c r="O384" s="106"/>
      <c r="P384" s="106"/>
      <c r="Q384" s="106"/>
      <c r="R384" s="106">
        <f t="shared" si="11"/>
        <v>6000</v>
      </c>
      <c r="S384" s="1">
        <f>SUM(MC[[#This Row],[Blk1]:[Blk8]])</f>
        <v>6000</v>
      </c>
      <c r="T384" s="106"/>
      <c r="U384" s="106"/>
      <c r="V384" s="107">
        <v>0.66666666666666663</v>
      </c>
      <c r="W384" s="107">
        <v>0.79166666666666663</v>
      </c>
      <c r="X384" s="106" t="s">
        <v>88</v>
      </c>
      <c r="Y384" s="106"/>
      <c r="Z384" s="106"/>
    </row>
    <row r="385" spans="1:26" x14ac:dyDescent="0.25">
      <c r="A385" s="106">
        <v>383</v>
      </c>
      <c r="B385" s="103">
        <f t="shared" si="12"/>
        <v>45582</v>
      </c>
      <c r="C385" s="126">
        <v>2024</v>
      </c>
      <c r="D385" s="102">
        <f>YEAR(MC[[#This Row],[Date]])</f>
        <v>2024</v>
      </c>
      <c r="E385" s="101" t="s">
        <v>73</v>
      </c>
      <c r="F385" s="101" t="s">
        <v>73</v>
      </c>
      <c r="G385" s="1" t="str">
        <f>TEXT(MC[[#This Row],[Date]],"mmm-yy")</f>
        <v>Oct-24</v>
      </c>
      <c r="H385" s="1">
        <f>DAY(EOMONTH(MC[[#This Row],[Month Year]],0))</f>
        <v>31</v>
      </c>
      <c r="I385" s="106"/>
      <c r="J385" s="106"/>
      <c r="K385" s="106"/>
      <c r="L385" s="106"/>
      <c r="M385" s="106"/>
      <c r="N385" s="106"/>
      <c r="O385" s="106"/>
      <c r="P385" s="106"/>
      <c r="Q385" s="106"/>
      <c r="R385" s="106">
        <f t="shared" si="11"/>
        <v>6000</v>
      </c>
      <c r="S385" s="1">
        <f>SUM(MC[[#This Row],[Blk1]:[Blk8]])</f>
        <v>6000</v>
      </c>
      <c r="T385" s="106"/>
      <c r="U385" s="106"/>
      <c r="V385" s="106"/>
      <c r="W385" s="106"/>
      <c r="X385" s="106"/>
      <c r="Y385" s="106"/>
      <c r="Z385" s="106"/>
    </row>
    <row r="386" spans="1:26" x14ac:dyDescent="0.25">
      <c r="A386" s="106">
        <v>384</v>
      </c>
      <c r="B386" s="103">
        <f t="shared" si="12"/>
        <v>45583</v>
      </c>
      <c r="C386" s="126">
        <v>2024</v>
      </c>
      <c r="D386" s="102">
        <f>YEAR(MC[[#This Row],[Date]])</f>
        <v>2024</v>
      </c>
      <c r="E386" s="101" t="s">
        <v>73</v>
      </c>
      <c r="F386" s="101" t="s">
        <v>73</v>
      </c>
      <c r="G386" s="1" t="str">
        <f>TEXT(MC[[#This Row],[Date]],"mmm-yy")</f>
        <v>Oct-24</v>
      </c>
      <c r="H386" s="1">
        <f>DAY(EOMONTH(MC[[#This Row],[Month Year]],0))</f>
        <v>31</v>
      </c>
      <c r="I386" s="106"/>
      <c r="J386" s="106"/>
      <c r="K386" s="106"/>
      <c r="L386" s="106"/>
      <c r="M386" s="106"/>
      <c r="N386" s="106"/>
      <c r="O386" s="106"/>
      <c r="P386" s="106"/>
      <c r="Q386" s="106"/>
      <c r="R386" s="106">
        <f t="shared" si="11"/>
        <v>6000</v>
      </c>
      <c r="S386" s="1">
        <f>SUM(MC[[#This Row],[Blk1]:[Blk8]])</f>
        <v>6000</v>
      </c>
      <c r="T386" s="106"/>
      <c r="U386" s="106"/>
      <c r="V386" s="107">
        <v>0.66666666666666663</v>
      </c>
      <c r="W386" s="107">
        <v>0.79166666666666663</v>
      </c>
      <c r="X386" s="106" t="s">
        <v>88</v>
      </c>
      <c r="Y386" s="106"/>
      <c r="Z386" s="106"/>
    </row>
    <row r="387" spans="1:26" x14ac:dyDescent="0.25">
      <c r="A387" s="106">
        <v>385</v>
      </c>
      <c r="B387" s="103">
        <f t="shared" si="12"/>
        <v>45584</v>
      </c>
      <c r="C387" s="126">
        <v>2024</v>
      </c>
      <c r="D387" s="102">
        <f>YEAR(MC[[#This Row],[Date]])</f>
        <v>2024</v>
      </c>
      <c r="E387" s="101" t="s">
        <v>73</v>
      </c>
      <c r="F387" s="101" t="s">
        <v>73</v>
      </c>
      <c r="G387" s="1" t="str">
        <f>TEXT(MC[[#This Row],[Date]],"mmm-yy")</f>
        <v>Oct-24</v>
      </c>
      <c r="H387" s="1">
        <f>DAY(EOMONTH(MC[[#This Row],[Month Year]],0))</f>
        <v>31</v>
      </c>
      <c r="I387" s="106"/>
      <c r="J387" s="106"/>
      <c r="K387" s="106"/>
      <c r="L387" s="106"/>
      <c r="M387" s="106"/>
      <c r="N387" s="106"/>
      <c r="O387" s="106"/>
      <c r="P387" s="106"/>
      <c r="Q387" s="106"/>
      <c r="R387" s="106">
        <f t="shared" ref="R387:R450" si="13">120*50</f>
        <v>6000</v>
      </c>
      <c r="S387" s="1">
        <f>SUM(MC[[#This Row],[Blk1]:[Blk8]])</f>
        <v>6000</v>
      </c>
      <c r="T387" s="106"/>
      <c r="U387" s="106"/>
      <c r="V387" s="107">
        <v>0.66666666666666663</v>
      </c>
      <c r="W387" s="107">
        <v>0.79166666666666663</v>
      </c>
      <c r="X387" s="106" t="s">
        <v>88</v>
      </c>
      <c r="Y387" s="106"/>
      <c r="Z387" s="106"/>
    </row>
    <row r="388" spans="1:26" x14ac:dyDescent="0.25">
      <c r="A388" s="106">
        <v>386</v>
      </c>
      <c r="B388" s="103">
        <f t="shared" si="12"/>
        <v>45585</v>
      </c>
      <c r="C388" s="126">
        <v>2024</v>
      </c>
      <c r="D388" s="102">
        <f>YEAR(MC[[#This Row],[Date]])</f>
        <v>2024</v>
      </c>
      <c r="E388" s="101" t="s">
        <v>73</v>
      </c>
      <c r="F388" s="101" t="s">
        <v>73</v>
      </c>
      <c r="G388" s="1" t="str">
        <f>TEXT(MC[[#This Row],[Date]],"mmm-yy")</f>
        <v>Oct-24</v>
      </c>
      <c r="H388" s="1">
        <f>DAY(EOMONTH(MC[[#This Row],[Month Year]],0))</f>
        <v>31</v>
      </c>
      <c r="I388" s="106"/>
      <c r="J388" s="106"/>
      <c r="K388" s="106"/>
      <c r="L388" s="106"/>
      <c r="M388" s="106"/>
      <c r="N388" s="106"/>
      <c r="O388" s="106"/>
      <c r="P388" s="106"/>
      <c r="Q388" s="106"/>
      <c r="R388" s="106">
        <f t="shared" si="13"/>
        <v>6000</v>
      </c>
      <c r="S388" s="1">
        <f>SUM(MC[[#This Row],[Blk1]:[Blk8]])</f>
        <v>6000</v>
      </c>
      <c r="T388" s="106"/>
      <c r="U388" s="106"/>
      <c r="V388" s="107">
        <v>0.66666666666666663</v>
      </c>
      <c r="W388" s="107">
        <v>0.79166666666666663</v>
      </c>
      <c r="X388" s="106" t="s">
        <v>88</v>
      </c>
      <c r="Y388" s="106"/>
      <c r="Z388" s="106"/>
    </row>
    <row r="389" spans="1:26" x14ac:dyDescent="0.25">
      <c r="A389" s="106">
        <v>387</v>
      </c>
      <c r="B389" s="103">
        <f t="shared" si="12"/>
        <v>45586</v>
      </c>
      <c r="C389" s="126">
        <v>2024</v>
      </c>
      <c r="D389" s="102">
        <f>YEAR(MC[[#This Row],[Date]])</f>
        <v>2024</v>
      </c>
      <c r="E389" s="101" t="s">
        <v>73</v>
      </c>
      <c r="F389" s="101" t="s">
        <v>73</v>
      </c>
      <c r="G389" s="1" t="str">
        <f>TEXT(MC[[#This Row],[Date]],"mmm-yy")</f>
        <v>Oct-24</v>
      </c>
      <c r="H389" s="1">
        <f>DAY(EOMONTH(MC[[#This Row],[Month Year]],0))</f>
        <v>31</v>
      </c>
      <c r="I389" s="106"/>
      <c r="J389" s="106"/>
      <c r="K389" s="106"/>
      <c r="L389" s="106"/>
      <c r="M389" s="106"/>
      <c r="N389" s="106"/>
      <c r="O389" s="106"/>
      <c r="P389" s="106"/>
      <c r="Q389" s="106"/>
      <c r="R389" s="106">
        <f t="shared" si="13"/>
        <v>6000</v>
      </c>
      <c r="S389" s="1">
        <f>SUM(MC[[#This Row],[Blk1]:[Blk8]])</f>
        <v>6000</v>
      </c>
      <c r="T389" s="106"/>
      <c r="U389" s="106"/>
      <c r="V389" s="107">
        <v>0.66666666666666663</v>
      </c>
      <c r="W389" s="107">
        <v>0.79166666666666663</v>
      </c>
      <c r="X389" s="106" t="s">
        <v>88</v>
      </c>
      <c r="Y389" s="106"/>
      <c r="Z389" s="106"/>
    </row>
    <row r="390" spans="1:26" x14ac:dyDescent="0.25">
      <c r="A390" s="106">
        <v>388</v>
      </c>
      <c r="B390" s="103">
        <f t="shared" si="12"/>
        <v>45587</v>
      </c>
      <c r="C390" s="126">
        <v>2024</v>
      </c>
      <c r="D390" s="102">
        <f>YEAR(MC[[#This Row],[Date]])</f>
        <v>2024</v>
      </c>
      <c r="E390" s="101" t="s">
        <v>73</v>
      </c>
      <c r="F390" s="101" t="s">
        <v>73</v>
      </c>
      <c r="G390" s="1" t="str">
        <f>TEXT(MC[[#This Row],[Date]],"mmm-yy")</f>
        <v>Oct-24</v>
      </c>
      <c r="H390" s="1">
        <f>DAY(EOMONTH(MC[[#This Row],[Month Year]],0))</f>
        <v>31</v>
      </c>
      <c r="I390" s="106"/>
      <c r="J390" s="106"/>
      <c r="K390" s="106"/>
      <c r="L390" s="106"/>
      <c r="M390" s="106"/>
      <c r="N390" s="106"/>
      <c r="O390" s="106"/>
      <c r="P390" s="106"/>
      <c r="Q390" s="106"/>
      <c r="R390" s="106">
        <f t="shared" si="13"/>
        <v>6000</v>
      </c>
      <c r="S390" s="1">
        <f>SUM(MC[[#This Row],[Blk1]:[Blk8]])</f>
        <v>6000</v>
      </c>
      <c r="T390" s="106"/>
      <c r="U390" s="106"/>
      <c r="V390" s="107">
        <v>0.66666666666666663</v>
      </c>
      <c r="W390" s="107">
        <v>0.79166666666666663</v>
      </c>
      <c r="X390" s="106" t="s">
        <v>88</v>
      </c>
      <c r="Y390" s="106"/>
      <c r="Z390" s="106"/>
    </row>
    <row r="391" spans="1:26" x14ac:dyDescent="0.25">
      <c r="A391" s="106">
        <v>389</v>
      </c>
      <c r="B391" s="103">
        <f t="shared" si="12"/>
        <v>45588</v>
      </c>
      <c r="C391" s="126">
        <v>2024</v>
      </c>
      <c r="D391" s="102">
        <f>YEAR(MC[[#This Row],[Date]])</f>
        <v>2024</v>
      </c>
      <c r="E391" s="101" t="s">
        <v>73</v>
      </c>
      <c r="F391" s="101" t="s">
        <v>73</v>
      </c>
      <c r="G391" s="1" t="str">
        <f>TEXT(MC[[#This Row],[Date]],"mmm-yy")</f>
        <v>Oct-24</v>
      </c>
      <c r="H391" s="1">
        <f>DAY(EOMONTH(MC[[#This Row],[Month Year]],0))</f>
        <v>31</v>
      </c>
      <c r="I391" s="106"/>
      <c r="J391" s="106"/>
      <c r="K391" s="106"/>
      <c r="L391" s="106"/>
      <c r="M391" s="106"/>
      <c r="N391" s="106"/>
      <c r="O391" s="106"/>
      <c r="P391" s="106"/>
      <c r="Q391" s="106"/>
      <c r="R391" s="106">
        <f t="shared" si="13"/>
        <v>6000</v>
      </c>
      <c r="S391" s="1">
        <f>SUM(MC[[#This Row],[Blk1]:[Blk8]])</f>
        <v>6000</v>
      </c>
      <c r="T391" s="106"/>
      <c r="U391" s="106"/>
      <c r="V391" s="107">
        <v>0.66666666666666663</v>
      </c>
      <c r="W391" s="107">
        <v>0.79166666666666663</v>
      </c>
      <c r="X391" s="106" t="s">
        <v>88</v>
      </c>
      <c r="Y391" s="106"/>
      <c r="Z391" s="106"/>
    </row>
    <row r="392" spans="1:26" x14ac:dyDescent="0.25">
      <c r="A392" s="106">
        <v>390</v>
      </c>
      <c r="B392" s="103">
        <f t="shared" si="12"/>
        <v>45589</v>
      </c>
      <c r="C392" s="126">
        <v>2024</v>
      </c>
      <c r="D392" s="102">
        <f>YEAR(MC[[#This Row],[Date]])</f>
        <v>2024</v>
      </c>
      <c r="E392" s="101" t="s">
        <v>73</v>
      </c>
      <c r="F392" s="101" t="s">
        <v>73</v>
      </c>
      <c r="G392" s="1" t="str">
        <f>TEXT(MC[[#This Row],[Date]],"mmm-yy")</f>
        <v>Oct-24</v>
      </c>
      <c r="H392" s="1">
        <f>DAY(EOMONTH(MC[[#This Row],[Month Year]],0))</f>
        <v>31</v>
      </c>
      <c r="I392" s="106"/>
      <c r="J392" s="106"/>
      <c r="K392" s="106"/>
      <c r="L392" s="106"/>
      <c r="M392" s="106"/>
      <c r="N392" s="106"/>
      <c r="O392" s="106"/>
      <c r="P392" s="106"/>
      <c r="Q392" s="106"/>
      <c r="R392" s="106">
        <f t="shared" si="13"/>
        <v>6000</v>
      </c>
      <c r="S392" s="1">
        <f>SUM(MC[[#This Row],[Blk1]:[Blk8]])</f>
        <v>6000</v>
      </c>
      <c r="T392" s="106"/>
      <c r="U392" s="106"/>
      <c r="V392" s="107">
        <v>0.66666666666666663</v>
      </c>
      <c r="W392" s="107">
        <v>0.79166666666666663</v>
      </c>
      <c r="X392" s="106" t="s">
        <v>88</v>
      </c>
      <c r="Y392" s="106"/>
      <c r="Z392" s="106"/>
    </row>
    <row r="393" spans="1:26" x14ac:dyDescent="0.25">
      <c r="A393" s="106">
        <v>391</v>
      </c>
      <c r="B393" s="103">
        <f t="shared" si="12"/>
        <v>45590</v>
      </c>
      <c r="C393" s="126">
        <v>2024</v>
      </c>
      <c r="D393" s="102">
        <f>YEAR(MC[[#This Row],[Date]])</f>
        <v>2024</v>
      </c>
      <c r="E393" s="101" t="s">
        <v>73</v>
      </c>
      <c r="F393" s="101" t="s">
        <v>73</v>
      </c>
      <c r="G393" s="1" t="str">
        <f>TEXT(MC[[#This Row],[Date]],"mmm-yy")</f>
        <v>Oct-24</v>
      </c>
      <c r="H393" s="1">
        <f>DAY(EOMONTH(MC[[#This Row],[Month Year]],0))</f>
        <v>31</v>
      </c>
      <c r="I393" s="106"/>
      <c r="J393" s="106"/>
      <c r="K393" s="106"/>
      <c r="L393" s="106"/>
      <c r="M393" s="106"/>
      <c r="N393" s="106"/>
      <c r="O393" s="106"/>
      <c r="P393" s="106"/>
      <c r="Q393" s="106"/>
      <c r="R393" s="106">
        <f t="shared" si="13"/>
        <v>6000</v>
      </c>
      <c r="S393" s="1">
        <f>SUM(MC[[#This Row],[Blk1]:[Blk8]])</f>
        <v>6000</v>
      </c>
      <c r="T393" s="106"/>
      <c r="U393" s="106"/>
      <c r="V393" s="107">
        <v>0.66666666666666663</v>
      </c>
      <c r="W393" s="107">
        <v>0.79166666666666663</v>
      </c>
      <c r="X393" s="106" t="s">
        <v>88</v>
      </c>
      <c r="Y393" s="106"/>
      <c r="Z393" s="106"/>
    </row>
    <row r="394" spans="1:26" x14ac:dyDescent="0.25">
      <c r="A394" s="106">
        <v>392</v>
      </c>
      <c r="B394" s="103">
        <f t="shared" si="12"/>
        <v>45591</v>
      </c>
      <c r="C394" s="126">
        <v>2024</v>
      </c>
      <c r="D394" s="102">
        <f>YEAR(MC[[#This Row],[Date]])</f>
        <v>2024</v>
      </c>
      <c r="E394" s="101" t="s">
        <v>73</v>
      </c>
      <c r="F394" s="101" t="s">
        <v>73</v>
      </c>
      <c r="G394" s="1" t="str">
        <f>TEXT(MC[[#This Row],[Date]],"mmm-yy")</f>
        <v>Oct-24</v>
      </c>
      <c r="H394" s="1">
        <f>DAY(EOMONTH(MC[[#This Row],[Month Year]],0))</f>
        <v>31</v>
      </c>
      <c r="I394" s="106"/>
      <c r="J394" s="106"/>
      <c r="K394" s="106"/>
      <c r="L394" s="106"/>
      <c r="M394" s="106"/>
      <c r="N394" s="106"/>
      <c r="O394" s="106"/>
      <c r="P394" s="106"/>
      <c r="Q394" s="106"/>
      <c r="R394" s="106">
        <f t="shared" si="13"/>
        <v>6000</v>
      </c>
      <c r="S394" s="1">
        <f>SUM(MC[[#This Row],[Blk1]:[Blk8]])</f>
        <v>6000</v>
      </c>
      <c r="T394" s="106"/>
      <c r="U394" s="106"/>
      <c r="V394" s="107">
        <v>0.66666666666666663</v>
      </c>
      <c r="W394" s="107">
        <v>0.79166666666666663</v>
      </c>
      <c r="X394" s="106" t="s">
        <v>88</v>
      </c>
      <c r="Y394" s="106"/>
      <c r="Z394" s="106"/>
    </row>
    <row r="395" spans="1:26" x14ac:dyDescent="0.25">
      <c r="A395" s="106">
        <v>393</v>
      </c>
      <c r="B395" s="103">
        <f t="shared" si="12"/>
        <v>45592</v>
      </c>
      <c r="C395" s="126">
        <v>2024</v>
      </c>
      <c r="D395" s="102">
        <f>YEAR(MC[[#This Row],[Date]])</f>
        <v>2024</v>
      </c>
      <c r="E395" s="101" t="s">
        <v>73</v>
      </c>
      <c r="F395" s="101" t="s">
        <v>73</v>
      </c>
      <c r="G395" s="1" t="str">
        <f>TEXT(MC[[#This Row],[Date]],"mmm-yy")</f>
        <v>Oct-24</v>
      </c>
      <c r="H395" s="1">
        <f>DAY(EOMONTH(MC[[#This Row],[Month Year]],0))</f>
        <v>31</v>
      </c>
      <c r="I395" s="106"/>
      <c r="J395" s="106"/>
      <c r="K395" s="106"/>
      <c r="L395" s="106"/>
      <c r="M395" s="106"/>
      <c r="N395" s="106"/>
      <c r="O395" s="106"/>
      <c r="P395" s="106"/>
      <c r="Q395" s="106"/>
      <c r="R395" s="106">
        <f t="shared" si="13"/>
        <v>6000</v>
      </c>
      <c r="S395" s="1">
        <f>SUM(MC[[#This Row],[Blk1]:[Blk8]])</f>
        <v>6000</v>
      </c>
      <c r="T395" s="106"/>
      <c r="U395" s="106"/>
      <c r="V395" s="107">
        <v>0.66666666666666663</v>
      </c>
      <c r="W395" s="107">
        <v>0.79166666666666663</v>
      </c>
      <c r="X395" s="106" t="s">
        <v>88</v>
      </c>
      <c r="Y395" s="106"/>
      <c r="Z395" s="106"/>
    </row>
    <row r="396" spans="1:26" x14ac:dyDescent="0.25">
      <c r="A396" s="106">
        <v>394</v>
      </c>
      <c r="B396" s="103">
        <f t="shared" si="12"/>
        <v>45593</v>
      </c>
      <c r="C396" s="126">
        <v>2024</v>
      </c>
      <c r="D396" s="102">
        <f>YEAR(MC[[#This Row],[Date]])</f>
        <v>2024</v>
      </c>
      <c r="E396" s="101" t="s">
        <v>73</v>
      </c>
      <c r="F396" s="101" t="s">
        <v>73</v>
      </c>
      <c r="G396" s="1" t="str">
        <f>TEXT(MC[[#This Row],[Date]],"mmm-yy")</f>
        <v>Oct-24</v>
      </c>
      <c r="H396" s="1">
        <f>DAY(EOMONTH(MC[[#This Row],[Month Year]],0))</f>
        <v>31</v>
      </c>
      <c r="I396" s="106"/>
      <c r="J396" s="106"/>
      <c r="K396" s="106"/>
      <c r="L396" s="106"/>
      <c r="M396" s="106"/>
      <c r="N396" s="106"/>
      <c r="O396" s="106"/>
      <c r="P396" s="106"/>
      <c r="Q396" s="106"/>
      <c r="R396" s="106">
        <f t="shared" si="13"/>
        <v>6000</v>
      </c>
      <c r="S396" s="1">
        <f>SUM(MC[[#This Row],[Blk1]:[Blk8]])</f>
        <v>6000</v>
      </c>
      <c r="T396" s="106"/>
      <c r="U396" s="106"/>
      <c r="V396" s="107">
        <v>0.66666666666666663</v>
      </c>
      <c r="W396" s="107">
        <v>0.79166666666666663</v>
      </c>
      <c r="X396" s="106" t="s">
        <v>88</v>
      </c>
      <c r="Y396" s="106"/>
      <c r="Z396" s="106"/>
    </row>
    <row r="397" spans="1:26" x14ac:dyDescent="0.25">
      <c r="A397" s="106">
        <v>395</v>
      </c>
      <c r="B397" s="103">
        <f t="shared" si="12"/>
        <v>45594</v>
      </c>
      <c r="C397" s="126">
        <v>2024</v>
      </c>
      <c r="D397" s="102">
        <f>YEAR(MC[[#This Row],[Date]])</f>
        <v>2024</v>
      </c>
      <c r="E397" s="101" t="s">
        <v>73</v>
      </c>
      <c r="F397" s="101" t="s">
        <v>73</v>
      </c>
      <c r="G397" s="1" t="str">
        <f>TEXT(MC[[#This Row],[Date]],"mmm-yy")</f>
        <v>Oct-24</v>
      </c>
      <c r="H397" s="1">
        <f>DAY(EOMONTH(MC[[#This Row],[Month Year]],0))</f>
        <v>31</v>
      </c>
      <c r="I397" s="106"/>
      <c r="J397" s="106"/>
      <c r="K397" s="106"/>
      <c r="L397" s="106"/>
      <c r="M397" s="106"/>
      <c r="N397" s="106"/>
      <c r="O397" s="106"/>
      <c r="P397" s="106"/>
      <c r="Q397" s="106"/>
      <c r="R397" s="106">
        <f t="shared" si="13"/>
        <v>6000</v>
      </c>
      <c r="S397" s="1">
        <f>SUM(MC[[#This Row],[Blk1]:[Blk8]])</f>
        <v>6000</v>
      </c>
      <c r="T397" s="106"/>
      <c r="U397" s="106"/>
      <c r="V397" s="107">
        <v>0.66666666666666663</v>
      </c>
      <c r="W397" s="107">
        <v>0.79166666666666663</v>
      </c>
      <c r="X397" s="106" t="s">
        <v>88</v>
      </c>
      <c r="Y397" s="106"/>
      <c r="Z397" s="106"/>
    </row>
    <row r="398" spans="1:26" x14ac:dyDescent="0.25">
      <c r="A398" s="106">
        <v>396</v>
      </c>
      <c r="B398" s="103">
        <f t="shared" si="12"/>
        <v>45595</v>
      </c>
      <c r="C398" s="126">
        <v>2024</v>
      </c>
      <c r="D398" s="102">
        <f>YEAR(MC[[#This Row],[Date]])</f>
        <v>2024</v>
      </c>
      <c r="E398" s="101" t="s">
        <v>73</v>
      </c>
      <c r="F398" s="101" t="s">
        <v>73</v>
      </c>
      <c r="G398" s="1" t="str">
        <f>TEXT(MC[[#This Row],[Date]],"mmm-yy")</f>
        <v>Oct-24</v>
      </c>
      <c r="H398" s="1">
        <f>DAY(EOMONTH(MC[[#This Row],[Month Year]],0))</f>
        <v>31</v>
      </c>
      <c r="I398" s="106"/>
      <c r="J398" s="106"/>
      <c r="K398" s="106"/>
      <c r="L398" s="106"/>
      <c r="M398" s="106"/>
      <c r="N398" s="106"/>
      <c r="O398" s="106"/>
      <c r="P398" s="106"/>
      <c r="Q398" s="106"/>
      <c r="R398" s="106">
        <f t="shared" si="13"/>
        <v>6000</v>
      </c>
      <c r="S398" s="1">
        <f>SUM(MC[[#This Row],[Blk1]:[Blk8]])</f>
        <v>6000</v>
      </c>
      <c r="T398" s="106"/>
      <c r="U398" s="106"/>
      <c r="V398" s="107">
        <v>0.66666666666666663</v>
      </c>
      <c r="W398" s="107">
        <v>0.79166666666666663</v>
      </c>
      <c r="X398" s="106" t="s">
        <v>88</v>
      </c>
      <c r="Y398" s="106"/>
      <c r="Z398" s="106"/>
    </row>
    <row r="399" spans="1:26" x14ac:dyDescent="0.25">
      <c r="A399" s="106">
        <v>397</v>
      </c>
      <c r="B399" s="103">
        <f t="shared" si="12"/>
        <v>45596</v>
      </c>
      <c r="C399" s="126">
        <v>2024</v>
      </c>
      <c r="D399" s="102">
        <f>YEAR(MC[[#This Row],[Date]])</f>
        <v>2024</v>
      </c>
      <c r="E399" s="101" t="s">
        <v>73</v>
      </c>
      <c r="F399" s="101" t="s">
        <v>73</v>
      </c>
      <c r="G399" s="1" t="str">
        <f>TEXT(MC[[#This Row],[Date]],"mmm-yy")</f>
        <v>Oct-24</v>
      </c>
      <c r="H399" s="1">
        <f>DAY(EOMONTH(MC[[#This Row],[Month Year]],0))</f>
        <v>31</v>
      </c>
      <c r="I399" s="106"/>
      <c r="J399" s="106"/>
      <c r="K399" s="106"/>
      <c r="L399" s="106"/>
      <c r="M399" s="106"/>
      <c r="N399" s="106"/>
      <c r="O399" s="106"/>
      <c r="P399" s="106"/>
      <c r="Q399" s="106"/>
      <c r="R399" s="106">
        <f t="shared" si="13"/>
        <v>6000</v>
      </c>
      <c r="S399" s="1">
        <f>SUM(MC[[#This Row],[Blk1]:[Blk8]])</f>
        <v>6000</v>
      </c>
      <c r="T399" s="106"/>
      <c r="U399" s="106"/>
      <c r="V399" s="106"/>
      <c r="W399" s="106"/>
      <c r="X399" s="106"/>
      <c r="Y399" s="106"/>
      <c r="Z399" s="106"/>
    </row>
    <row r="400" spans="1:26" x14ac:dyDescent="0.25">
      <c r="A400" s="106">
        <v>398</v>
      </c>
      <c r="B400" s="103">
        <f t="shared" si="12"/>
        <v>45597</v>
      </c>
      <c r="C400" s="126">
        <v>2024</v>
      </c>
      <c r="D400" s="102">
        <f>YEAR(MC[[#This Row],[Date]])</f>
        <v>2024</v>
      </c>
      <c r="E400" s="101" t="s">
        <v>73</v>
      </c>
      <c r="F400" s="101" t="s">
        <v>73</v>
      </c>
      <c r="G400" s="1" t="str">
        <f>TEXT(MC[[#This Row],[Date]],"mmm-yy")</f>
        <v>Nov-24</v>
      </c>
      <c r="H400" s="1">
        <f>DAY(EOMONTH(MC[[#This Row],[Month Year]],0))</f>
        <v>30</v>
      </c>
      <c r="I400" s="106"/>
      <c r="J400" s="106"/>
      <c r="K400" s="106"/>
      <c r="L400" s="106"/>
      <c r="M400" s="106"/>
      <c r="N400" s="106"/>
      <c r="O400" s="106"/>
      <c r="P400" s="106"/>
      <c r="Q400" s="106"/>
      <c r="R400" s="106">
        <f t="shared" si="13"/>
        <v>6000</v>
      </c>
      <c r="S400" s="1">
        <f>SUM(MC[[#This Row],[Blk1]:[Blk8]])</f>
        <v>6000</v>
      </c>
      <c r="T400" s="106"/>
      <c r="U400" s="106"/>
      <c r="V400" s="107">
        <v>0.66666666666666663</v>
      </c>
      <c r="W400" s="107">
        <v>0.79166666666666663</v>
      </c>
      <c r="X400" s="106" t="s">
        <v>88</v>
      </c>
      <c r="Y400" s="106"/>
      <c r="Z400" s="106"/>
    </row>
    <row r="401" spans="1:26" x14ac:dyDescent="0.25">
      <c r="A401" s="106">
        <v>399</v>
      </c>
      <c r="B401" s="103">
        <f t="shared" si="12"/>
        <v>45598</v>
      </c>
      <c r="C401" s="126">
        <v>2024</v>
      </c>
      <c r="D401" s="102">
        <f>YEAR(MC[[#This Row],[Date]])</f>
        <v>2024</v>
      </c>
      <c r="E401" s="101" t="s">
        <v>73</v>
      </c>
      <c r="F401" s="101" t="s">
        <v>73</v>
      </c>
      <c r="G401" s="1" t="str">
        <f>TEXT(MC[[#This Row],[Date]],"mmm-yy")</f>
        <v>Nov-24</v>
      </c>
      <c r="H401" s="1">
        <f>DAY(EOMONTH(MC[[#This Row],[Month Year]],0))</f>
        <v>30</v>
      </c>
      <c r="I401" s="106"/>
      <c r="J401" s="106"/>
      <c r="K401" s="106"/>
      <c r="L401" s="106"/>
      <c r="M401" s="106"/>
      <c r="N401" s="106"/>
      <c r="O401" s="106"/>
      <c r="P401" s="106"/>
      <c r="Q401" s="106"/>
      <c r="R401" s="106">
        <f t="shared" si="13"/>
        <v>6000</v>
      </c>
      <c r="S401" s="1">
        <f>SUM(MC[[#This Row],[Blk1]:[Blk8]])</f>
        <v>6000</v>
      </c>
      <c r="T401" s="106"/>
      <c r="U401" s="106"/>
      <c r="V401" s="107">
        <v>0.66666666666666663</v>
      </c>
      <c r="W401" s="107">
        <v>0.79166666666666663</v>
      </c>
      <c r="X401" s="106" t="s">
        <v>88</v>
      </c>
      <c r="Y401" s="106"/>
      <c r="Z401" s="106"/>
    </row>
    <row r="402" spans="1:26" hidden="1" x14ac:dyDescent="0.25">
      <c r="A402" s="106">
        <v>400</v>
      </c>
      <c r="B402" s="103">
        <f t="shared" si="12"/>
        <v>45599</v>
      </c>
      <c r="C402" s="126">
        <v>2024</v>
      </c>
      <c r="D402" s="102">
        <f>YEAR(MC[[#This Row],[Date]])</f>
        <v>2024</v>
      </c>
      <c r="E402" s="101" t="s">
        <v>73</v>
      </c>
      <c r="F402" s="101" t="s">
        <v>73</v>
      </c>
      <c r="G402" s="1" t="str">
        <f>TEXT(MC[[#This Row],[Date]],"mmm-yy")</f>
        <v>Nov-24</v>
      </c>
      <c r="H402" s="1">
        <f>DAY(EOMONTH(MC[[#This Row],[Month Year]],0))</f>
        <v>30</v>
      </c>
      <c r="I402" s="106"/>
      <c r="J402" s="106"/>
      <c r="K402" s="106"/>
      <c r="L402" s="106"/>
      <c r="M402" s="106"/>
      <c r="N402" s="106"/>
      <c r="O402" s="106"/>
      <c r="P402" s="106"/>
      <c r="Q402" s="106"/>
      <c r="R402" s="106">
        <f t="shared" si="13"/>
        <v>6000</v>
      </c>
      <c r="S402" s="1">
        <f>SUM(MC[[#This Row],[Blk1]:[Blk8]])</f>
        <v>6000</v>
      </c>
      <c r="T402" s="106"/>
      <c r="U402" s="106"/>
      <c r="V402" s="107">
        <v>0.66666666666666663</v>
      </c>
      <c r="W402" s="107">
        <v>0.79166666666666663</v>
      </c>
      <c r="X402" s="106" t="s">
        <v>88</v>
      </c>
      <c r="Y402" s="106"/>
      <c r="Z402" s="106"/>
    </row>
    <row r="403" spans="1:26" hidden="1" x14ac:dyDescent="0.25">
      <c r="A403" s="106">
        <v>401</v>
      </c>
      <c r="B403" s="103">
        <f t="shared" si="12"/>
        <v>45600</v>
      </c>
      <c r="C403" s="126">
        <v>2024</v>
      </c>
      <c r="D403" s="102">
        <f>YEAR(MC[[#This Row],[Date]])</f>
        <v>2024</v>
      </c>
      <c r="E403" s="101" t="s">
        <v>73</v>
      </c>
      <c r="F403" s="101" t="s">
        <v>73</v>
      </c>
      <c r="G403" s="1" t="str">
        <f>TEXT(MC[[#This Row],[Date]],"mmm-yy")</f>
        <v>Nov-24</v>
      </c>
      <c r="H403" s="1">
        <f>DAY(EOMONTH(MC[[#This Row],[Month Year]],0))</f>
        <v>30</v>
      </c>
      <c r="I403" s="106"/>
      <c r="J403" s="106"/>
      <c r="K403" s="106"/>
      <c r="L403" s="106"/>
      <c r="M403" s="106"/>
      <c r="N403" s="106"/>
      <c r="O403" s="106"/>
      <c r="P403" s="106"/>
      <c r="Q403" s="106"/>
      <c r="R403" s="106">
        <f t="shared" si="13"/>
        <v>6000</v>
      </c>
      <c r="S403" s="1">
        <f>SUM(MC[[#This Row],[Blk1]:[Blk8]])</f>
        <v>6000</v>
      </c>
      <c r="T403" s="106"/>
      <c r="U403" s="106"/>
      <c r="V403" s="107">
        <v>0.66666666666666663</v>
      </c>
      <c r="W403" s="107">
        <v>0.79166666666666663</v>
      </c>
      <c r="X403" s="106" t="s">
        <v>88</v>
      </c>
      <c r="Y403" s="106"/>
      <c r="Z403" s="106"/>
    </row>
    <row r="404" spans="1:26" hidden="1" x14ac:dyDescent="0.25">
      <c r="A404" s="106">
        <v>402</v>
      </c>
      <c r="B404" s="103">
        <f t="shared" si="12"/>
        <v>45601</v>
      </c>
      <c r="C404" s="126">
        <v>2024</v>
      </c>
      <c r="D404" s="102">
        <f>YEAR(MC[[#This Row],[Date]])</f>
        <v>2024</v>
      </c>
      <c r="E404" s="101" t="s">
        <v>73</v>
      </c>
      <c r="F404" s="101" t="s">
        <v>73</v>
      </c>
      <c r="G404" s="1" t="str">
        <f>TEXT(MC[[#This Row],[Date]],"mmm-yy")</f>
        <v>Nov-24</v>
      </c>
      <c r="H404" s="1">
        <f>DAY(EOMONTH(MC[[#This Row],[Month Year]],0))</f>
        <v>30</v>
      </c>
      <c r="I404" s="106"/>
      <c r="J404" s="106"/>
      <c r="K404" s="106"/>
      <c r="L404" s="106"/>
      <c r="M404" s="106"/>
      <c r="N404" s="106"/>
      <c r="O404" s="106"/>
      <c r="P404" s="106"/>
      <c r="Q404" s="106"/>
      <c r="R404" s="106">
        <f t="shared" si="13"/>
        <v>6000</v>
      </c>
      <c r="S404" s="1">
        <f>SUM(MC[[#This Row],[Blk1]:[Blk8]])</f>
        <v>6000</v>
      </c>
      <c r="T404" s="106"/>
      <c r="U404" s="106"/>
      <c r="V404" s="107">
        <v>0.66666666666666663</v>
      </c>
      <c r="W404" s="107">
        <v>0.79166666666666663</v>
      </c>
      <c r="X404" s="106" t="s">
        <v>88</v>
      </c>
      <c r="Y404" s="106"/>
      <c r="Z404" s="106"/>
    </row>
    <row r="405" spans="1:26" hidden="1" x14ac:dyDescent="0.25">
      <c r="A405" s="106">
        <v>403</v>
      </c>
      <c r="B405" s="103">
        <f t="shared" si="12"/>
        <v>45602</v>
      </c>
      <c r="C405" s="126">
        <v>2024</v>
      </c>
      <c r="D405" s="102">
        <f>YEAR(MC[[#This Row],[Date]])</f>
        <v>2024</v>
      </c>
      <c r="E405" s="101" t="s">
        <v>73</v>
      </c>
      <c r="F405" s="101" t="s">
        <v>73</v>
      </c>
      <c r="G405" s="1" t="str">
        <f>TEXT(MC[[#This Row],[Date]],"mmm-yy")</f>
        <v>Nov-24</v>
      </c>
      <c r="H405" s="1">
        <f>DAY(EOMONTH(MC[[#This Row],[Month Year]],0))</f>
        <v>30</v>
      </c>
      <c r="I405" s="106"/>
      <c r="J405" s="106"/>
      <c r="K405" s="106"/>
      <c r="L405" s="106"/>
      <c r="M405" s="106"/>
      <c r="N405" s="106"/>
      <c r="O405" s="106"/>
      <c r="P405" s="106"/>
      <c r="Q405" s="106"/>
      <c r="R405" s="106">
        <f t="shared" si="13"/>
        <v>6000</v>
      </c>
      <c r="S405" s="1">
        <f>SUM(MC[[#This Row],[Blk1]:[Blk8]])</f>
        <v>6000</v>
      </c>
      <c r="T405" s="106"/>
      <c r="U405" s="106"/>
      <c r="V405" s="107">
        <v>0.66666666666666663</v>
      </c>
      <c r="W405" s="107">
        <v>0.79166666666666663</v>
      </c>
      <c r="X405" s="106" t="s">
        <v>88</v>
      </c>
      <c r="Y405" s="106"/>
      <c r="Z405" s="106"/>
    </row>
    <row r="406" spans="1:26" hidden="1" x14ac:dyDescent="0.25">
      <c r="A406" s="106">
        <v>404</v>
      </c>
      <c r="B406" s="103">
        <f t="shared" si="12"/>
        <v>45603</v>
      </c>
      <c r="C406" s="126">
        <v>2024</v>
      </c>
      <c r="D406" s="102">
        <f>YEAR(MC[[#This Row],[Date]])</f>
        <v>2024</v>
      </c>
      <c r="E406" s="101" t="s">
        <v>73</v>
      </c>
      <c r="F406" s="101" t="s">
        <v>73</v>
      </c>
      <c r="G406" s="1" t="str">
        <f>TEXT(MC[[#This Row],[Date]],"mmm-yy")</f>
        <v>Nov-24</v>
      </c>
      <c r="H406" s="1">
        <f>DAY(EOMONTH(MC[[#This Row],[Month Year]],0))</f>
        <v>30</v>
      </c>
      <c r="I406" s="106"/>
      <c r="J406" s="106"/>
      <c r="K406" s="106"/>
      <c r="L406" s="106"/>
      <c r="M406" s="106"/>
      <c r="N406" s="106"/>
      <c r="O406" s="106"/>
      <c r="P406" s="106"/>
      <c r="Q406" s="106"/>
      <c r="R406" s="106">
        <f t="shared" si="13"/>
        <v>6000</v>
      </c>
      <c r="S406" s="1">
        <f>SUM(MC[[#This Row],[Blk1]:[Blk8]])</f>
        <v>6000</v>
      </c>
      <c r="T406" s="106"/>
      <c r="U406" s="106"/>
      <c r="V406" s="107">
        <v>0.66666666666666663</v>
      </c>
      <c r="W406" s="107">
        <v>0.79166666666666663</v>
      </c>
      <c r="X406" s="106" t="s">
        <v>88</v>
      </c>
      <c r="Y406" s="106"/>
      <c r="Z406" s="106"/>
    </row>
    <row r="407" spans="1:26" hidden="1" x14ac:dyDescent="0.25">
      <c r="A407" s="106">
        <v>405</v>
      </c>
      <c r="B407" s="103">
        <f t="shared" si="12"/>
        <v>45604</v>
      </c>
      <c r="C407" s="126">
        <v>2024</v>
      </c>
      <c r="D407" s="102">
        <f>YEAR(MC[[#This Row],[Date]])</f>
        <v>2024</v>
      </c>
      <c r="E407" s="101" t="s">
        <v>73</v>
      </c>
      <c r="F407" s="101" t="s">
        <v>73</v>
      </c>
      <c r="G407" s="1" t="str">
        <f>TEXT(MC[[#This Row],[Date]],"mmm-yy")</f>
        <v>Nov-24</v>
      </c>
      <c r="H407" s="1">
        <f>DAY(EOMONTH(MC[[#This Row],[Month Year]],0))</f>
        <v>30</v>
      </c>
      <c r="I407" s="106"/>
      <c r="J407" s="106"/>
      <c r="K407" s="106"/>
      <c r="L407" s="106"/>
      <c r="M407" s="106"/>
      <c r="N407" s="106"/>
      <c r="O407" s="106"/>
      <c r="P407" s="106"/>
      <c r="Q407" s="106"/>
      <c r="R407" s="106">
        <f t="shared" si="13"/>
        <v>6000</v>
      </c>
      <c r="S407" s="1">
        <f>SUM(MC[[#This Row],[Blk1]:[Blk8]])</f>
        <v>6000</v>
      </c>
      <c r="T407" s="106"/>
      <c r="U407" s="106"/>
      <c r="V407" s="107">
        <v>0.66666666666666663</v>
      </c>
      <c r="W407" s="107">
        <v>0.79166666666666663</v>
      </c>
      <c r="X407" s="106" t="s">
        <v>88</v>
      </c>
      <c r="Y407" s="106"/>
      <c r="Z407" s="106"/>
    </row>
    <row r="408" spans="1:26" hidden="1" x14ac:dyDescent="0.25">
      <c r="A408" s="106">
        <v>406</v>
      </c>
      <c r="B408" s="103">
        <f t="shared" si="12"/>
        <v>45605</v>
      </c>
      <c r="C408" s="126">
        <v>2024</v>
      </c>
      <c r="D408" s="102">
        <f>YEAR(MC[[#This Row],[Date]])</f>
        <v>2024</v>
      </c>
      <c r="E408" s="101" t="s">
        <v>73</v>
      </c>
      <c r="F408" s="101" t="s">
        <v>73</v>
      </c>
      <c r="G408" s="1" t="str">
        <f>TEXT(MC[[#This Row],[Date]],"mmm-yy")</f>
        <v>Nov-24</v>
      </c>
      <c r="H408" s="1">
        <f>DAY(EOMONTH(MC[[#This Row],[Month Year]],0))</f>
        <v>30</v>
      </c>
      <c r="I408" s="106"/>
      <c r="J408" s="106"/>
      <c r="K408" s="106"/>
      <c r="L408" s="106"/>
      <c r="M408" s="106"/>
      <c r="N408" s="106"/>
      <c r="O408" s="106"/>
      <c r="P408" s="106"/>
      <c r="Q408" s="106"/>
      <c r="R408" s="106">
        <f t="shared" si="13"/>
        <v>6000</v>
      </c>
      <c r="S408" s="1">
        <f>SUM(MC[[#This Row],[Blk1]:[Blk8]])</f>
        <v>6000</v>
      </c>
      <c r="T408" s="106"/>
      <c r="U408" s="106"/>
      <c r="V408" s="107">
        <v>0.66666666666666663</v>
      </c>
      <c r="W408" s="107">
        <v>0.79166666666666663</v>
      </c>
      <c r="X408" s="106" t="s">
        <v>88</v>
      </c>
      <c r="Y408" s="106"/>
      <c r="Z408" s="106"/>
    </row>
    <row r="409" spans="1:26" hidden="1" x14ac:dyDescent="0.25">
      <c r="A409" s="106">
        <v>407</v>
      </c>
      <c r="B409" s="103">
        <f t="shared" si="12"/>
        <v>45606</v>
      </c>
      <c r="C409" s="126">
        <v>2024</v>
      </c>
      <c r="D409" s="102">
        <f>YEAR(MC[[#This Row],[Date]])</f>
        <v>2024</v>
      </c>
      <c r="E409" s="101" t="s">
        <v>73</v>
      </c>
      <c r="F409" s="101" t="s">
        <v>73</v>
      </c>
      <c r="G409" s="1" t="str">
        <f>TEXT(MC[[#This Row],[Date]],"mmm-yy")</f>
        <v>Nov-24</v>
      </c>
      <c r="H409" s="1">
        <f>DAY(EOMONTH(MC[[#This Row],[Month Year]],0))</f>
        <v>30</v>
      </c>
      <c r="I409" s="106"/>
      <c r="J409" s="106"/>
      <c r="K409" s="106"/>
      <c r="L409" s="106"/>
      <c r="M409" s="106"/>
      <c r="N409" s="106"/>
      <c r="O409" s="106"/>
      <c r="P409" s="106"/>
      <c r="Q409" s="106"/>
      <c r="R409" s="106">
        <f t="shared" si="13"/>
        <v>6000</v>
      </c>
      <c r="S409" s="1">
        <f>SUM(MC[[#This Row],[Blk1]:[Blk8]])</f>
        <v>6000</v>
      </c>
      <c r="T409" s="106"/>
      <c r="U409" s="106"/>
      <c r="V409" s="107">
        <v>0.66666666666666663</v>
      </c>
      <c r="W409" s="107">
        <v>0.79166666666666663</v>
      </c>
      <c r="X409" s="106" t="s">
        <v>88</v>
      </c>
      <c r="Y409" s="106"/>
      <c r="Z409" s="106"/>
    </row>
    <row r="410" spans="1:26" hidden="1" x14ac:dyDescent="0.25">
      <c r="A410" s="106">
        <v>408</v>
      </c>
      <c r="B410" s="103">
        <f t="shared" si="12"/>
        <v>45607</v>
      </c>
      <c r="C410" s="126">
        <v>2024</v>
      </c>
      <c r="D410" s="102">
        <f>YEAR(MC[[#This Row],[Date]])</f>
        <v>2024</v>
      </c>
      <c r="E410" s="101" t="s">
        <v>73</v>
      </c>
      <c r="F410" s="101" t="s">
        <v>73</v>
      </c>
      <c r="G410" s="1" t="str">
        <f>TEXT(MC[[#This Row],[Date]],"mmm-yy")</f>
        <v>Nov-24</v>
      </c>
      <c r="H410" s="1">
        <f>DAY(EOMONTH(MC[[#This Row],[Month Year]],0))</f>
        <v>30</v>
      </c>
      <c r="I410" s="106"/>
      <c r="J410" s="106"/>
      <c r="K410" s="106"/>
      <c r="L410" s="106"/>
      <c r="M410" s="106"/>
      <c r="N410" s="106"/>
      <c r="O410" s="106"/>
      <c r="P410" s="106"/>
      <c r="Q410" s="106"/>
      <c r="R410" s="106">
        <f t="shared" si="13"/>
        <v>6000</v>
      </c>
      <c r="S410" s="1">
        <f>SUM(MC[[#This Row],[Blk1]:[Blk8]])</f>
        <v>6000</v>
      </c>
      <c r="T410" s="106"/>
      <c r="U410" s="106"/>
      <c r="V410" s="107">
        <v>0.66666666666666663</v>
      </c>
      <c r="W410" s="107">
        <v>0.79166666666666663</v>
      </c>
      <c r="X410" s="106" t="s">
        <v>88</v>
      </c>
      <c r="Y410" s="106"/>
      <c r="Z410" s="106" t="s">
        <v>136</v>
      </c>
    </row>
    <row r="411" spans="1:26" hidden="1" x14ac:dyDescent="0.25">
      <c r="A411" s="106">
        <v>409</v>
      </c>
      <c r="B411" s="103">
        <f t="shared" si="12"/>
        <v>45608</v>
      </c>
      <c r="C411" s="126">
        <v>2024</v>
      </c>
      <c r="D411" s="102">
        <f>YEAR(MC[[#This Row],[Date]])</f>
        <v>2024</v>
      </c>
      <c r="E411" s="101" t="s">
        <v>73</v>
      </c>
      <c r="F411" s="101" t="s">
        <v>73</v>
      </c>
      <c r="G411" s="1" t="str">
        <f>TEXT(MC[[#This Row],[Date]],"mmm-yy")</f>
        <v>Nov-24</v>
      </c>
      <c r="H411" s="1">
        <f>DAY(EOMONTH(MC[[#This Row],[Month Year]],0))</f>
        <v>30</v>
      </c>
      <c r="I411" s="106"/>
      <c r="J411" s="106"/>
      <c r="K411" s="106"/>
      <c r="L411" s="106"/>
      <c r="M411" s="106"/>
      <c r="N411" s="106"/>
      <c r="O411" s="106"/>
      <c r="P411" s="106"/>
      <c r="Q411" s="106"/>
      <c r="R411" s="106">
        <f t="shared" si="13"/>
        <v>6000</v>
      </c>
      <c r="S411" s="1">
        <f>SUM(MC[[#This Row],[Blk1]:[Blk8]])</f>
        <v>6000</v>
      </c>
      <c r="T411" s="106"/>
      <c r="U411" s="106"/>
      <c r="V411" s="107">
        <v>0.66666666666666663</v>
      </c>
      <c r="W411" s="107">
        <v>0.79166666666666663</v>
      </c>
      <c r="X411" s="106" t="s">
        <v>88</v>
      </c>
      <c r="Y411" s="106"/>
      <c r="Z411" s="106"/>
    </row>
    <row r="412" spans="1:26" hidden="1" x14ac:dyDescent="0.25">
      <c r="A412" s="106">
        <v>410</v>
      </c>
      <c r="B412" s="103">
        <f t="shared" si="12"/>
        <v>45609</v>
      </c>
      <c r="C412" s="126">
        <v>2024</v>
      </c>
      <c r="D412" s="102">
        <f>YEAR(MC[[#This Row],[Date]])</f>
        <v>2024</v>
      </c>
      <c r="E412" s="101" t="s">
        <v>73</v>
      </c>
      <c r="F412" s="101" t="s">
        <v>73</v>
      </c>
      <c r="G412" s="1" t="str">
        <f>TEXT(MC[[#This Row],[Date]],"mmm-yy")</f>
        <v>Nov-24</v>
      </c>
      <c r="H412" s="1">
        <f>DAY(EOMONTH(MC[[#This Row],[Month Year]],0))</f>
        <v>30</v>
      </c>
      <c r="I412" s="106"/>
      <c r="J412" s="106"/>
      <c r="K412" s="106"/>
      <c r="L412" s="106"/>
      <c r="M412" s="106"/>
      <c r="N412" s="106"/>
      <c r="O412" s="106"/>
      <c r="P412" s="106"/>
      <c r="Q412" s="106"/>
      <c r="R412" s="106">
        <f t="shared" si="13"/>
        <v>6000</v>
      </c>
      <c r="S412" s="1">
        <f>SUM(MC[[#This Row],[Blk1]:[Blk8]])</f>
        <v>6000</v>
      </c>
      <c r="T412" s="106"/>
      <c r="U412" s="106"/>
      <c r="V412" s="107">
        <v>0.66666666666666663</v>
      </c>
      <c r="W412" s="107">
        <v>0.79166666666666663</v>
      </c>
      <c r="X412" s="106" t="s">
        <v>88</v>
      </c>
      <c r="Y412" s="106"/>
      <c r="Z412" s="106"/>
    </row>
    <row r="413" spans="1:26" hidden="1" x14ac:dyDescent="0.25">
      <c r="A413" s="106">
        <v>411</v>
      </c>
      <c r="B413" s="103">
        <f t="shared" si="12"/>
        <v>45610</v>
      </c>
      <c r="C413" s="126">
        <v>2024</v>
      </c>
      <c r="D413" s="102">
        <f>YEAR(MC[[#This Row],[Date]])</f>
        <v>2024</v>
      </c>
      <c r="E413" s="101" t="s">
        <v>73</v>
      </c>
      <c r="F413" s="101" t="s">
        <v>73</v>
      </c>
      <c r="G413" s="1" t="str">
        <f>TEXT(MC[[#This Row],[Date]],"mmm-yy")</f>
        <v>Nov-24</v>
      </c>
      <c r="H413" s="1">
        <f>DAY(EOMONTH(MC[[#This Row],[Month Year]],0))</f>
        <v>30</v>
      </c>
      <c r="I413" s="106"/>
      <c r="J413" s="106"/>
      <c r="K413" s="106"/>
      <c r="L413" s="106"/>
      <c r="M413" s="106"/>
      <c r="N413" s="106"/>
      <c r="O413" s="106"/>
      <c r="P413" s="106"/>
      <c r="Q413" s="106"/>
      <c r="R413" s="106">
        <f t="shared" si="13"/>
        <v>6000</v>
      </c>
      <c r="S413" s="1">
        <f>SUM(MC[[#This Row],[Blk1]:[Blk8]])</f>
        <v>6000</v>
      </c>
      <c r="T413" s="106"/>
      <c r="U413" s="106"/>
      <c r="V413" s="107">
        <v>0.66666666666666663</v>
      </c>
      <c r="W413" s="107">
        <v>0.79166666666666663</v>
      </c>
      <c r="X413" s="106" t="s">
        <v>88</v>
      </c>
      <c r="Y413" s="106"/>
      <c r="Z413" s="106"/>
    </row>
    <row r="414" spans="1:26" hidden="1" x14ac:dyDescent="0.25">
      <c r="A414" s="106">
        <v>412</v>
      </c>
      <c r="B414" s="103">
        <f t="shared" si="12"/>
        <v>45611</v>
      </c>
      <c r="C414" s="126">
        <v>2024</v>
      </c>
      <c r="D414" s="102">
        <f>YEAR(MC[[#This Row],[Date]])</f>
        <v>2024</v>
      </c>
      <c r="E414" s="101" t="s">
        <v>73</v>
      </c>
      <c r="F414" s="101" t="s">
        <v>73</v>
      </c>
      <c r="G414" s="1" t="str">
        <f>TEXT(MC[[#This Row],[Date]],"mmm-yy")</f>
        <v>Nov-24</v>
      </c>
      <c r="H414" s="1">
        <f>DAY(EOMONTH(MC[[#This Row],[Month Year]],0))</f>
        <v>30</v>
      </c>
      <c r="I414" s="106"/>
      <c r="J414" s="106"/>
      <c r="K414" s="106"/>
      <c r="L414" s="106"/>
      <c r="M414" s="106"/>
      <c r="N414" s="106"/>
      <c r="O414" s="106"/>
      <c r="P414" s="106"/>
      <c r="Q414" s="106"/>
      <c r="R414" s="106">
        <f t="shared" si="13"/>
        <v>6000</v>
      </c>
      <c r="S414" s="1">
        <f>SUM(MC[[#This Row],[Blk1]:[Blk8]])</f>
        <v>6000</v>
      </c>
      <c r="T414" s="106"/>
      <c r="U414" s="106"/>
      <c r="V414" s="107">
        <v>0.66666666666666663</v>
      </c>
      <c r="W414" s="107">
        <v>0.79166666666666663</v>
      </c>
      <c r="X414" s="106" t="s">
        <v>88</v>
      </c>
      <c r="Y414" s="106"/>
      <c r="Z414" s="106"/>
    </row>
    <row r="415" spans="1:26" hidden="1" x14ac:dyDescent="0.25">
      <c r="A415" s="106">
        <v>413</v>
      </c>
      <c r="B415" s="103">
        <f t="shared" si="12"/>
        <v>45612</v>
      </c>
      <c r="C415" s="126">
        <v>2024</v>
      </c>
      <c r="D415" s="102">
        <f>YEAR(MC[[#This Row],[Date]])</f>
        <v>2024</v>
      </c>
      <c r="E415" s="101" t="s">
        <v>73</v>
      </c>
      <c r="F415" s="101" t="s">
        <v>73</v>
      </c>
      <c r="G415" s="1" t="str">
        <f>TEXT(MC[[#This Row],[Date]],"mmm-yy")</f>
        <v>Nov-24</v>
      </c>
      <c r="H415" s="1">
        <f>DAY(EOMONTH(MC[[#This Row],[Month Year]],0))</f>
        <v>30</v>
      </c>
      <c r="I415" s="106"/>
      <c r="J415" s="106"/>
      <c r="K415" s="106"/>
      <c r="L415" s="106"/>
      <c r="M415" s="106"/>
      <c r="N415" s="106"/>
      <c r="O415" s="106"/>
      <c r="P415" s="106"/>
      <c r="Q415" s="106"/>
      <c r="R415" s="106">
        <f t="shared" si="13"/>
        <v>6000</v>
      </c>
      <c r="S415" s="1">
        <f>SUM(MC[[#This Row],[Blk1]:[Blk8]])</f>
        <v>6000</v>
      </c>
      <c r="T415" s="106"/>
      <c r="U415" s="106"/>
      <c r="V415" s="107">
        <v>0.66666666666666663</v>
      </c>
      <c r="W415" s="107">
        <v>0.79166666666666663</v>
      </c>
      <c r="X415" s="106" t="s">
        <v>88</v>
      </c>
      <c r="Y415" s="106"/>
      <c r="Z415" s="106" t="s">
        <v>137</v>
      </c>
    </row>
    <row r="416" spans="1:26" hidden="1" x14ac:dyDescent="0.25">
      <c r="A416" s="106">
        <v>414</v>
      </c>
      <c r="B416" s="103">
        <f t="shared" si="12"/>
        <v>45613</v>
      </c>
      <c r="C416" s="126">
        <v>2024</v>
      </c>
      <c r="D416" s="102">
        <f>YEAR(MC[[#This Row],[Date]])</f>
        <v>2024</v>
      </c>
      <c r="E416" s="101" t="s">
        <v>73</v>
      </c>
      <c r="F416" s="101" t="s">
        <v>73</v>
      </c>
      <c r="G416" s="1" t="str">
        <f>TEXT(MC[[#This Row],[Date]],"mmm-yy")</f>
        <v>Nov-24</v>
      </c>
      <c r="H416" s="1">
        <f>DAY(EOMONTH(MC[[#This Row],[Month Year]],0))</f>
        <v>30</v>
      </c>
      <c r="I416" s="106"/>
      <c r="J416" s="106"/>
      <c r="K416" s="106"/>
      <c r="L416" s="106"/>
      <c r="M416" s="106"/>
      <c r="N416" s="106"/>
      <c r="O416" s="106"/>
      <c r="P416" s="106"/>
      <c r="Q416" s="106"/>
      <c r="R416" s="106">
        <f t="shared" si="13"/>
        <v>6000</v>
      </c>
      <c r="S416" s="1">
        <f>SUM(MC[[#This Row],[Blk1]:[Blk8]])</f>
        <v>6000</v>
      </c>
      <c r="T416" s="106"/>
      <c r="U416" s="106"/>
      <c r="V416" s="107">
        <v>0.66666666666666663</v>
      </c>
      <c r="W416" s="107">
        <v>0.79166666666666663</v>
      </c>
      <c r="X416" s="106" t="s">
        <v>88</v>
      </c>
      <c r="Y416" s="106"/>
      <c r="Z416" s="106" t="s">
        <v>137</v>
      </c>
    </row>
    <row r="417" spans="1:26" hidden="1" x14ac:dyDescent="0.25">
      <c r="A417" s="106">
        <v>415</v>
      </c>
      <c r="B417" s="103">
        <f t="shared" si="12"/>
        <v>45614</v>
      </c>
      <c r="C417" s="126">
        <v>2024</v>
      </c>
      <c r="D417" s="102">
        <f>YEAR(MC[[#This Row],[Date]])</f>
        <v>2024</v>
      </c>
      <c r="E417" s="101" t="s">
        <v>73</v>
      </c>
      <c r="F417" s="101" t="s">
        <v>73</v>
      </c>
      <c r="G417" s="1" t="str">
        <f>TEXT(MC[[#This Row],[Date]],"mmm-yy")</f>
        <v>Nov-24</v>
      </c>
      <c r="H417" s="1">
        <f>DAY(EOMONTH(MC[[#This Row],[Month Year]],0))</f>
        <v>30</v>
      </c>
      <c r="I417" s="106"/>
      <c r="J417" s="106"/>
      <c r="K417" s="106"/>
      <c r="L417" s="106"/>
      <c r="M417" s="106"/>
      <c r="N417" s="106"/>
      <c r="O417" s="106"/>
      <c r="P417" s="106"/>
      <c r="Q417" s="106"/>
      <c r="R417" s="106">
        <f t="shared" si="13"/>
        <v>6000</v>
      </c>
      <c r="S417" s="1">
        <f>SUM(MC[[#This Row],[Blk1]:[Blk8]])</f>
        <v>6000</v>
      </c>
      <c r="T417" s="106"/>
      <c r="U417" s="106"/>
      <c r="V417" s="107">
        <v>0.66666666666666663</v>
      </c>
      <c r="W417" s="107">
        <v>0.79166666666666663</v>
      </c>
      <c r="X417" s="106" t="s">
        <v>88</v>
      </c>
      <c r="Y417" s="106"/>
      <c r="Z417" s="106" t="s">
        <v>137</v>
      </c>
    </row>
    <row r="418" spans="1:26" x14ac:dyDescent="0.25">
      <c r="A418" s="106">
        <v>416</v>
      </c>
      <c r="B418" s="103">
        <f t="shared" si="12"/>
        <v>45615</v>
      </c>
      <c r="C418" s="126">
        <v>2024</v>
      </c>
      <c r="D418" s="102">
        <f>YEAR(MC[[#This Row],[Date]])</f>
        <v>2024</v>
      </c>
      <c r="E418" s="101" t="s">
        <v>73</v>
      </c>
      <c r="F418" s="101" t="s">
        <v>73</v>
      </c>
      <c r="G418" s="1" t="str">
        <f>TEXT(MC[[#This Row],[Date]],"mmm-yy")</f>
        <v>Nov-24</v>
      </c>
      <c r="H418" s="1">
        <f>DAY(EOMONTH(MC[[#This Row],[Month Year]],0))</f>
        <v>30</v>
      </c>
      <c r="I418" s="106"/>
      <c r="J418" s="106"/>
      <c r="K418" s="106"/>
      <c r="L418" s="106"/>
      <c r="M418" s="106"/>
      <c r="N418" s="106"/>
      <c r="O418" s="106"/>
      <c r="P418" s="106"/>
      <c r="Q418" s="106"/>
      <c r="R418" s="106">
        <f t="shared" si="13"/>
        <v>6000</v>
      </c>
      <c r="S418" s="1">
        <f>SUM(MC[[#This Row],[Blk1]:[Blk8]])</f>
        <v>6000</v>
      </c>
      <c r="T418" s="106"/>
      <c r="U418" s="106"/>
      <c r="V418" s="107">
        <v>0.66666666666666663</v>
      </c>
      <c r="W418" s="107">
        <v>0.79166666666666663</v>
      </c>
      <c r="X418" s="106" t="s">
        <v>88</v>
      </c>
      <c r="Y418" s="106"/>
      <c r="Z418" s="106" t="s">
        <v>137</v>
      </c>
    </row>
    <row r="419" spans="1:26" x14ac:dyDescent="0.25">
      <c r="A419" s="106">
        <v>417</v>
      </c>
      <c r="B419" s="103">
        <f t="shared" si="12"/>
        <v>45616</v>
      </c>
      <c r="C419" s="126">
        <v>2024</v>
      </c>
      <c r="D419" s="102">
        <f>YEAR(MC[[#This Row],[Date]])</f>
        <v>2024</v>
      </c>
      <c r="E419" s="101" t="s">
        <v>73</v>
      </c>
      <c r="F419" s="101" t="s">
        <v>73</v>
      </c>
      <c r="G419" s="1" t="str">
        <f>TEXT(MC[[#This Row],[Date]],"mmm-yy")</f>
        <v>Nov-24</v>
      </c>
      <c r="H419" s="1">
        <f>DAY(EOMONTH(MC[[#This Row],[Month Year]],0))</f>
        <v>30</v>
      </c>
      <c r="I419" s="106"/>
      <c r="J419" s="106"/>
      <c r="K419" s="106"/>
      <c r="L419" s="106"/>
      <c r="M419" s="106"/>
      <c r="N419" s="106"/>
      <c r="O419" s="106"/>
      <c r="P419" s="106"/>
      <c r="Q419" s="106"/>
      <c r="R419" s="106">
        <f t="shared" si="13"/>
        <v>6000</v>
      </c>
      <c r="S419" s="1">
        <f>SUM(MC[[#This Row],[Blk1]:[Blk8]])</f>
        <v>6000</v>
      </c>
      <c r="T419" s="106"/>
      <c r="U419" s="106"/>
      <c r="V419" s="107">
        <v>0.66666666666666663</v>
      </c>
      <c r="W419" s="107">
        <v>0.79166666666666663</v>
      </c>
      <c r="X419" s="106" t="s">
        <v>88</v>
      </c>
      <c r="Y419" s="106"/>
      <c r="Z419" s="106"/>
    </row>
    <row r="420" spans="1:26" x14ac:dyDescent="0.25">
      <c r="A420" s="106">
        <v>418</v>
      </c>
      <c r="B420" s="103">
        <f t="shared" si="12"/>
        <v>45617</v>
      </c>
      <c r="C420" s="126">
        <v>2024</v>
      </c>
      <c r="D420" s="102">
        <f>YEAR(MC[[#This Row],[Date]])</f>
        <v>2024</v>
      </c>
      <c r="E420" s="101" t="s">
        <v>73</v>
      </c>
      <c r="F420" s="101" t="s">
        <v>73</v>
      </c>
      <c r="G420" s="1" t="str">
        <f>TEXT(MC[[#This Row],[Date]],"mmm-yy")</f>
        <v>Nov-24</v>
      </c>
      <c r="H420" s="1">
        <f>DAY(EOMONTH(MC[[#This Row],[Month Year]],0))</f>
        <v>30</v>
      </c>
      <c r="I420" s="106"/>
      <c r="J420" s="106"/>
      <c r="K420" s="106"/>
      <c r="L420" s="106"/>
      <c r="M420" s="106"/>
      <c r="N420" s="106"/>
      <c r="O420" s="106"/>
      <c r="P420" s="106"/>
      <c r="Q420" s="106"/>
      <c r="R420" s="106">
        <f t="shared" si="13"/>
        <v>6000</v>
      </c>
      <c r="S420" s="1">
        <f>SUM(MC[[#This Row],[Blk1]:[Blk8]])</f>
        <v>6000</v>
      </c>
      <c r="T420" s="106"/>
      <c r="U420" s="106"/>
      <c r="V420" s="107">
        <v>0.66666666666666663</v>
      </c>
      <c r="W420" s="107">
        <v>0.79166666666666663</v>
      </c>
      <c r="X420" s="106" t="s">
        <v>88</v>
      </c>
      <c r="Y420" s="106"/>
      <c r="Z420" s="106"/>
    </row>
    <row r="421" spans="1:26" x14ac:dyDescent="0.25">
      <c r="A421" s="106">
        <v>419</v>
      </c>
      <c r="B421" s="103">
        <f t="shared" si="12"/>
        <v>45618</v>
      </c>
      <c r="C421" s="126">
        <v>2024</v>
      </c>
      <c r="D421" s="102">
        <f>YEAR(MC[[#This Row],[Date]])</f>
        <v>2024</v>
      </c>
      <c r="E421" s="101" t="s">
        <v>73</v>
      </c>
      <c r="F421" s="101" t="s">
        <v>73</v>
      </c>
      <c r="G421" s="1" t="str">
        <f>TEXT(MC[[#This Row],[Date]],"mmm-yy")</f>
        <v>Nov-24</v>
      </c>
      <c r="H421" s="1">
        <f>DAY(EOMONTH(MC[[#This Row],[Month Year]],0))</f>
        <v>30</v>
      </c>
      <c r="I421" s="106"/>
      <c r="J421" s="106"/>
      <c r="K421" s="106"/>
      <c r="L421" s="106"/>
      <c r="M421" s="106"/>
      <c r="N421" s="106"/>
      <c r="O421" s="106"/>
      <c r="P421" s="106"/>
      <c r="Q421" s="106"/>
      <c r="R421" s="106">
        <f t="shared" si="13"/>
        <v>6000</v>
      </c>
      <c r="S421" s="1">
        <f>SUM(MC[[#This Row],[Blk1]:[Blk8]])</f>
        <v>6000</v>
      </c>
      <c r="T421" s="106"/>
      <c r="U421" s="106"/>
      <c r="V421" s="107">
        <v>0.66666666666666663</v>
      </c>
      <c r="W421" s="107">
        <v>0.79166666666666663</v>
      </c>
      <c r="X421" s="106" t="s">
        <v>88</v>
      </c>
      <c r="Y421" s="106"/>
      <c r="Z421" s="106"/>
    </row>
    <row r="422" spans="1:26" x14ac:dyDescent="0.25">
      <c r="A422" s="106">
        <v>420</v>
      </c>
      <c r="B422" s="103">
        <f t="shared" si="12"/>
        <v>45619</v>
      </c>
      <c r="C422" s="126">
        <v>2024</v>
      </c>
      <c r="D422" s="102">
        <f>YEAR(MC[[#This Row],[Date]])</f>
        <v>2024</v>
      </c>
      <c r="E422" s="101" t="s">
        <v>73</v>
      </c>
      <c r="F422" s="101" t="s">
        <v>73</v>
      </c>
      <c r="G422" s="1" t="str">
        <f>TEXT(MC[[#This Row],[Date]],"mmm-yy")</f>
        <v>Nov-24</v>
      </c>
      <c r="H422" s="1">
        <f>DAY(EOMONTH(MC[[#This Row],[Month Year]],0))</f>
        <v>30</v>
      </c>
      <c r="I422" s="106"/>
      <c r="J422" s="106"/>
      <c r="K422" s="106"/>
      <c r="L422" s="106"/>
      <c r="M422" s="106"/>
      <c r="N422" s="106"/>
      <c r="O422" s="106"/>
      <c r="P422" s="106"/>
      <c r="Q422" s="106"/>
      <c r="R422" s="106">
        <f t="shared" si="13"/>
        <v>6000</v>
      </c>
      <c r="S422" s="1">
        <f>SUM(MC[[#This Row],[Blk1]:[Blk8]])</f>
        <v>6000</v>
      </c>
      <c r="T422" s="107">
        <v>0.29166666666666669</v>
      </c>
      <c r="U422" s="107">
        <v>0.41666666666666669</v>
      </c>
      <c r="V422" s="107">
        <v>0.66666666666666663</v>
      </c>
      <c r="W422" s="107">
        <v>0.79166666666666663</v>
      </c>
      <c r="X422" s="106" t="s">
        <v>88</v>
      </c>
      <c r="Y422" s="106"/>
      <c r="Z422" s="106"/>
    </row>
    <row r="423" spans="1:26" x14ac:dyDescent="0.25">
      <c r="A423" s="106">
        <v>421</v>
      </c>
      <c r="B423" s="103">
        <f t="shared" si="12"/>
        <v>45620</v>
      </c>
      <c r="C423" s="126">
        <v>2024</v>
      </c>
      <c r="D423" s="102">
        <f>YEAR(MC[[#This Row],[Date]])</f>
        <v>2024</v>
      </c>
      <c r="E423" s="101" t="s">
        <v>73</v>
      </c>
      <c r="F423" s="101" t="s">
        <v>73</v>
      </c>
      <c r="G423" s="1" t="str">
        <f>TEXT(MC[[#This Row],[Date]],"mmm-yy")</f>
        <v>Nov-24</v>
      </c>
      <c r="H423" s="1">
        <f>DAY(EOMONTH(MC[[#This Row],[Month Year]],0))</f>
        <v>30</v>
      </c>
      <c r="I423" s="106"/>
      <c r="J423" s="106"/>
      <c r="K423" s="106"/>
      <c r="L423" s="106"/>
      <c r="M423" s="106"/>
      <c r="N423" s="106"/>
      <c r="O423" s="106"/>
      <c r="P423" s="106"/>
      <c r="Q423" s="106"/>
      <c r="R423" s="106">
        <f t="shared" si="13"/>
        <v>6000</v>
      </c>
      <c r="S423" s="1">
        <f>SUM(MC[[#This Row],[Blk1]:[Blk8]])</f>
        <v>6000</v>
      </c>
      <c r="T423" s="107">
        <v>0.29166666666666669</v>
      </c>
      <c r="U423" s="107">
        <v>0.41666666666666669</v>
      </c>
      <c r="V423" s="107">
        <v>0.66666666666666663</v>
      </c>
      <c r="W423" s="107">
        <v>0.79166666666666663</v>
      </c>
      <c r="X423" s="106" t="s">
        <v>88</v>
      </c>
      <c r="Y423" s="106"/>
      <c r="Z423" s="106"/>
    </row>
    <row r="424" spans="1:26" x14ac:dyDescent="0.25">
      <c r="A424" s="106">
        <v>422</v>
      </c>
      <c r="B424" s="103">
        <f t="shared" si="12"/>
        <v>45621</v>
      </c>
      <c r="C424" s="126">
        <v>2024</v>
      </c>
      <c r="D424" s="102">
        <f>YEAR(MC[[#This Row],[Date]])</f>
        <v>2024</v>
      </c>
      <c r="E424" s="101" t="s">
        <v>73</v>
      </c>
      <c r="F424" s="101" t="s">
        <v>73</v>
      </c>
      <c r="G424" s="1" t="str">
        <f>TEXT(MC[[#This Row],[Date]],"mmm-yy")</f>
        <v>Nov-24</v>
      </c>
      <c r="H424" s="1">
        <f>DAY(EOMONTH(MC[[#This Row],[Month Year]],0))</f>
        <v>30</v>
      </c>
      <c r="I424" s="106"/>
      <c r="J424" s="106"/>
      <c r="K424" s="106"/>
      <c r="L424" s="106"/>
      <c r="M424" s="106"/>
      <c r="N424" s="106"/>
      <c r="O424" s="106"/>
      <c r="P424" s="106"/>
      <c r="Q424" s="106"/>
      <c r="R424" s="106">
        <f t="shared" si="13"/>
        <v>6000</v>
      </c>
      <c r="S424" s="1">
        <f>SUM(MC[[#This Row],[Blk1]:[Blk8]])</f>
        <v>6000</v>
      </c>
      <c r="T424" s="107">
        <v>0.29166666666666669</v>
      </c>
      <c r="U424" s="107">
        <v>0.41666666666666669</v>
      </c>
      <c r="V424" s="107">
        <v>0.66666666666666663</v>
      </c>
      <c r="W424" s="107">
        <v>0.79166666666666663</v>
      </c>
      <c r="X424" s="106" t="s">
        <v>88</v>
      </c>
      <c r="Y424" s="106"/>
      <c r="Z424" s="106"/>
    </row>
    <row r="425" spans="1:26" x14ac:dyDescent="0.25">
      <c r="A425" s="106">
        <v>423</v>
      </c>
      <c r="B425" s="103">
        <f t="shared" si="12"/>
        <v>45622</v>
      </c>
      <c r="C425" s="126">
        <v>2024</v>
      </c>
      <c r="D425" s="102">
        <f>YEAR(MC[[#This Row],[Date]])</f>
        <v>2024</v>
      </c>
      <c r="E425" s="101" t="s">
        <v>73</v>
      </c>
      <c r="F425" s="101" t="s">
        <v>73</v>
      </c>
      <c r="G425" s="1" t="str">
        <f>TEXT(MC[[#This Row],[Date]],"mmm-yy")</f>
        <v>Nov-24</v>
      </c>
      <c r="H425" s="1">
        <f>DAY(EOMONTH(MC[[#This Row],[Month Year]],0))</f>
        <v>30</v>
      </c>
      <c r="I425" s="106"/>
      <c r="J425" s="106"/>
      <c r="K425" s="106"/>
      <c r="L425" s="106"/>
      <c r="M425" s="106"/>
      <c r="N425" s="106"/>
      <c r="O425" s="106"/>
      <c r="P425" s="106"/>
      <c r="Q425" s="106"/>
      <c r="R425" s="106">
        <f t="shared" si="13"/>
        <v>6000</v>
      </c>
      <c r="S425" s="1">
        <f>SUM(MC[[#This Row],[Blk1]:[Blk8]])</f>
        <v>6000</v>
      </c>
      <c r="T425" s="107">
        <v>0.29166666666666669</v>
      </c>
      <c r="U425" s="107">
        <v>0.41666666666666669</v>
      </c>
      <c r="V425" s="107">
        <v>0.66666666666666663</v>
      </c>
      <c r="W425" s="107">
        <v>0.79166666666666663</v>
      </c>
      <c r="X425" s="106" t="s">
        <v>88</v>
      </c>
      <c r="Y425" s="106"/>
      <c r="Z425" s="106"/>
    </row>
    <row r="426" spans="1:26" x14ac:dyDescent="0.25">
      <c r="A426" s="106">
        <v>424</v>
      </c>
      <c r="B426" s="103">
        <f t="shared" si="12"/>
        <v>45623</v>
      </c>
      <c r="C426" s="126">
        <v>2024</v>
      </c>
      <c r="D426" s="102">
        <f>YEAR(MC[[#This Row],[Date]])</f>
        <v>2024</v>
      </c>
      <c r="E426" s="101" t="s">
        <v>73</v>
      </c>
      <c r="F426" s="101" t="s">
        <v>73</v>
      </c>
      <c r="G426" s="1" t="str">
        <f>TEXT(MC[[#This Row],[Date]],"mmm-yy")</f>
        <v>Nov-24</v>
      </c>
      <c r="H426" s="1">
        <f>DAY(EOMONTH(MC[[#This Row],[Month Year]],0))</f>
        <v>30</v>
      </c>
      <c r="I426" s="106"/>
      <c r="J426" s="106"/>
      <c r="K426" s="106"/>
      <c r="L426" s="106"/>
      <c r="M426" s="106"/>
      <c r="N426" s="106"/>
      <c r="O426" s="106"/>
      <c r="P426" s="106"/>
      <c r="Q426" s="106"/>
      <c r="R426" s="106">
        <f t="shared" si="13"/>
        <v>6000</v>
      </c>
      <c r="S426" s="1">
        <f>SUM(MC[[#This Row],[Blk1]:[Blk8]])</f>
        <v>6000</v>
      </c>
      <c r="T426" s="107">
        <v>0.29166666666666669</v>
      </c>
      <c r="U426" s="107">
        <v>0.41666666666666669</v>
      </c>
      <c r="V426" s="107">
        <v>0.66666666666666663</v>
      </c>
      <c r="W426" s="107">
        <v>0.79166666666666663</v>
      </c>
      <c r="X426" s="106" t="s">
        <v>88</v>
      </c>
      <c r="Y426" s="106"/>
      <c r="Z426" s="106"/>
    </row>
    <row r="427" spans="1:26" x14ac:dyDescent="0.25">
      <c r="A427" s="106">
        <v>425</v>
      </c>
      <c r="B427" s="103">
        <f t="shared" si="12"/>
        <v>45624</v>
      </c>
      <c r="C427" s="126">
        <v>2024</v>
      </c>
      <c r="D427" s="102">
        <f>YEAR(MC[[#This Row],[Date]])</f>
        <v>2024</v>
      </c>
      <c r="E427" s="101" t="s">
        <v>73</v>
      </c>
      <c r="F427" s="101" t="s">
        <v>73</v>
      </c>
      <c r="G427" s="1" t="str">
        <f>TEXT(MC[[#This Row],[Date]],"mmm-yy")</f>
        <v>Nov-24</v>
      </c>
      <c r="H427" s="1">
        <f>DAY(EOMONTH(MC[[#This Row],[Month Year]],0))</f>
        <v>30</v>
      </c>
      <c r="I427" s="106"/>
      <c r="J427" s="106"/>
      <c r="K427" s="106"/>
      <c r="L427" s="106"/>
      <c r="M427" s="106"/>
      <c r="N427" s="106"/>
      <c r="O427" s="106"/>
      <c r="P427" s="106"/>
      <c r="Q427" s="106"/>
      <c r="R427" s="106">
        <f t="shared" si="13"/>
        <v>6000</v>
      </c>
      <c r="S427" s="1">
        <f>SUM(MC[[#This Row],[Blk1]:[Blk8]])</f>
        <v>6000</v>
      </c>
      <c r="T427" s="107">
        <v>0.29166666666666669</v>
      </c>
      <c r="U427" s="107">
        <v>0.41666666666666669</v>
      </c>
      <c r="V427" s="107">
        <v>0.66666666666666663</v>
      </c>
      <c r="W427" s="107">
        <v>0.79166666666666663</v>
      </c>
      <c r="X427" s="106" t="s">
        <v>88</v>
      </c>
      <c r="Y427" s="106"/>
      <c r="Z427" s="106"/>
    </row>
    <row r="428" spans="1:26" x14ac:dyDescent="0.25">
      <c r="A428" s="106">
        <v>426</v>
      </c>
      <c r="B428" s="103">
        <f t="shared" si="12"/>
        <v>45625</v>
      </c>
      <c r="C428" s="126">
        <v>2024</v>
      </c>
      <c r="D428" s="102">
        <f>YEAR(MC[[#This Row],[Date]])</f>
        <v>2024</v>
      </c>
      <c r="E428" s="101" t="s">
        <v>73</v>
      </c>
      <c r="F428" s="101" t="s">
        <v>73</v>
      </c>
      <c r="G428" s="1" t="str">
        <f>TEXT(MC[[#This Row],[Date]],"mmm-yy")</f>
        <v>Nov-24</v>
      </c>
      <c r="H428" s="1">
        <f>DAY(EOMONTH(MC[[#This Row],[Month Year]],0))</f>
        <v>30</v>
      </c>
      <c r="I428" s="106"/>
      <c r="J428" s="106"/>
      <c r="K428" s="106"/>
      <c r="L428" s="106"/>
      <c r="M428" s="106"/>
      <c r="N428" s="106"/>
      <c r="O428" s="106"/>
      <c r="P428" s="106"/>
      <c r="Q428" s="106"/>
      <c r="R428" s="106">
        <f t="shared" si="13"/>
        <v>6000</v>
      </c>
      <c r="S428" s="1">
        <f>SUM(MC[[#This Row],[Blk1]:[Blk8]])</f>
        <v>6000</v>
      </c>
      <c r="T428" s="107">
        <v>0.29166666666666669</v>
      </c>
      <c r="U428" s="107">
        <v>0.41666666666666669</v>
      </c>
      <c r="V428" s="107">
        <v>0.66666666666666663</v>
      </c>
      <c r="W428" s="107">
        <v>0.79166666666666663</v>
      </c>
      <c r="X428" s="106" t="s">
        <v>88</v>
      </c>
      <c r="Y428" s="106"/>
      <c r="Z428" s="106"/>
    </row>
    <row r="429" spans="1:26" x14ac:dyDescent="0.25">
      <c r="A429" s="106">
        <v>427</v>
      </c>
      <c r="B429" s="103">
        <f t="shared" si="12"/>
        <v>45626</v>
      </c>
      <c r="C429" s="126">
        <v>2024</v>
      </c>
      <c r="D429" s="102">
        <f>YEAR(MC[[#This Row],[Date]])</f>
        <v>2024</v>
      </c>
      <c r="E429" s="101" t="s">
        <v>73</v>
      </c>
      <c r="F429" s="101" t="s">
        <v>73</v>
      </c>
      <c r="G429" s="1" t="str">
        <f>TEXT(MC[[#This Row],[Date]],"mmm-yy")</f>
        <v>Nov-24</v>
      </c>
      <c r="H429" s="1">
        <f>DAY(EOMONTH(MC[[#This Row],[Month Year]],0))</f>
        <v>30</v>
      </c>
      <c r="I429" s="106"/>
      <c r="J429" s="106"/>
      <c r="K429" s="106"/>
      <c r="L429" s="106"/>
      <c r="M429" s="106"/>
      <c r="N429" s="106"/>
      <c r="O429" s="106"/>
      <c r="P429" s="106"/>
      <c r="Q429" s="106"/>
      <c r="R429" s="106">
        <f t="shared" si="13"/>
        <v>6000</v>
      </c>
      <c r="S429" s="1">
        <f>SUM(MC[[#This Row],[Blk1]:[Blk8]])</f>
        <v>6000</v>
      </c>
      <c r="T429" s="107">
        <v>0.29166666666666669</v>
      </c>
      <c r="U429" s="107">
        <v>0.41666666666666669</v>
      </c>
      <c r="V429" s="107">
        <v>0.66666666666666663</v>
      </c>
      <c r="W429" s="107">
        <v>0.79166666666666663</v>
      </c>
      <c r="X429" s="106" t="s">
        <v>88</v>
      </c>
      <c r="Y429" s="106"/>
      <c r="Z429" s="106"/>
    </row>
    <row r="430" spans="1:26" x14ac:dyDescent="0.25">
      <c r="A430" s="106">
        <v>428</v>
      </c>
      <c r="B430" s="103">
        <f t="shared" si="12"/>
        <v>45627</v>
      </c>
      <c r="C430" s="126">
        <v>2024</v>
      </c>
      <c r="D430" s="102">
        <f>YEAR(MC[[#This Row],[Date]])</f>
        <v>2024</v>
      </c>
      <c r="E430" s="101" t="s">
        <v>73</v>
      </c>
      <c r="F430" s="101" t="s">
        <v>73</v>
      </c>
      <c r="G430" s="1" t="str">
        <f>TEXT(MC[[#This Row],[Date]],"mmm-yy")</f>
        <v>Dec-24</v>
      </c>
      <c r="H430" s="1">
        <f>DAY(EOMONTH(MC[[#This Row],[Month Year]],0))</f>
        <v>31</v>
      </c>
      <c r="I430" s="106"/>
      <c r="J430" s="106"/>
      <c r="K430" s="106"/>
      <c r="L430" s="106"/>
      <c r="M430" s="106"/>
      <c r="N430" s="106"/>
      <c r="O430" s="106"/>
      <c r="P430" s="106"/>
      <c r="Q430" s="106"/>
      <c r="R430" s="106">
        <f t="shared" si="13"/>
        <v>6000</v>
      </c>
      <c r="S430" s="1">
        <f>SUM(MC[[#This Row],[Blk1]:[Blk8]])</f>
        <v>6000</v>
      </c>
      <c r="T430" s="107">
        <v>0.29166666666666669</v>
      </c>
      <c r="U430" s="107">
        <v>0.41666666666666669</v>
      </c>
      <c r="V430" s="107">
        <v>0.66666666666666663</v>
      </c>
      <c r="W430" s="107">
        <v>0.79166666666666663</v>
      </c>
      <c r="X430" s="106" t="s">
        <v>88</v>
      </c>
      <c r="Y430" s="106"/>
      <c r="Z430" s="106"/>
    </row>
    <row r="431" spans="1:26" x14ac:dyDescent="0.25">
      <c r="A431" s="106">
        <v>429</v>
      </c>
      <c r="B431" s="103">
        <f t="shared" si="12"/>
        <v>45628</v>
      </c>
      <c r="C431" s="126">
        <v>2024</v>
      </c>
      <c r="D431" s="102">
        <f>YEAR(MC[[#This Row],[Date]])</f>
        <v>2024</v>
      </c>
      <c r="E431" s="101" t="s">
        <v>73</v>
      </c>
      <c r="F431" s="101" t="s">
        <v>73</v>
      </c>
      <c r="G431" s="1" t="str">
        <f>TEXT(MC[[#This Row],[Date]],"mmm-yy")</f>
        <v>Dec-24</v>
      </c>
      <c r="H431" s="1">
        <f>DAY(EOMONTH(MC[[#This Row],[Month Year]],0))</f>
        <v>31</v>
      </c>
      <c r="I431" s="106"/>
      <c r="J431" s="106"/>
      <c r="K431" s="106"/>
      <c r="L431" s="106"/>
      <c r="M431" s="106"/>
      <c r="N431" s="106"/>
      <c r="O431" s="106"/>
      <c r="P431" s="106"/>
      <c r="Q431" s="106"/>
      <c r="R431" s="106">
        <f t="shared" si="13"/>
        <v>6000</v>
      </c>
      <c r="S431" s="1">
        <f>SUM(MC[[#This Row],[Blk1]:[Blk8]])</f>
        <v>6000</v>
      </c>
      <c r="T431" s="107">
        <v>0.29166666666666669</v>
      </c>
      <c r="U431" s="107">
        <v>0.41666666666666669</v>
      </c>
      <c r="V431" s="107">
        <v>0.66666666666666663</v>
      </c>
      <c r="W431" s="107">
        <v>0.79166666666666663</v>
      </c>
      <c r="X431" s="106" t="s">
        <v>88</v>
      </c>
      <c r="Y431" s="106"/>
      <c r="Z431" s="106"/>
    </row>
    <row r="432" spans="1:26" x14ac:dyDescent="0.25">
      <c r="A432" s="106">
        <v>430</v>
      </c>
      <c r="B432" s="103">
        <f t="shared" si="12"/>
        <v>45629</v>
      </c>
      <c r="C432" s="126">
        <v>2024</v>
      </c>
      <c r="D432" s="102">
        <f>YEAR(MC[[#This Row],[Date]])</f>
        <v>2024</v>
      </c>
      <c r="E432" s="101" t="s">
        <v>73</v>
      </c>
      <c r="F432" s="101" t="s">
        <v>73</v>
      </c>
      <c r="G432" s="1" t="str">
        <f>TEXT(MC[[#This Row],[Date]],"mmm-yy")</f>
        <v>Dec-24</v>
      </c>
      <c r="H432" s="1">
        <f>DAY(EOMONTH(MC[[#This Row],[Month Year]],0))</f>
        <v>31</v>
      </c>
      <c r="I432" s="106"/>
      <c r="J432" s="106"/>
      <c r="K432" s="106"/>
      <c r="L432" s="106"/>
      <c r="M432" s="106"/>
      <c r="N432" s="106"/>
      <c r="O432" s="106"/>
      <c r="P432" s="106"/>
      <c r="Q432" s="106"/>
      <c r="R432" s="106">
        <f t="shared" si="13"/>
        <v>6000</v>
      </c>
      <c r="S432" s="1">
        <f>SUM(MC[[#This Row],[Blk1]:[Blk8]])</f>
        <v>6000</v>
      </c>
      <c r="T432" s="107">
        <v>0.29166666666666669</v>
      </c>
      <c r="U432" s="107">
        <v>0.41666666666666669</v>
      </c>
      <c r="V432" s="107">
        <v>0.66666666666666663</v>
      </c>
      <c r="W432" s="107">
        <v>0.79166666666666663</v>
      </c>
      <c r="X432" s="106" t="s">
        <v>88</v>
      </c>
      <c r="Y432" s="106"/>
      <c r="Z432" s="106"/>
    </row>
    <row r="433" spans="1:26" x14ac:dyDescent="0.25">
      <c r="A433" s="106">
        <v>431</v>
      </c>
      <c r="B433" s="103">
        <f t="shared" si="12"/>
        <v>45630</v>
      </c>
      <c r="C433" s="126">
        <v>2024</v>
      </c>
      <c r="D433" s="102">
        <f>YEAR(MC[[#This Row],[Date]])</f>
        <v>2024</v>
      </c>
      <c r="E433" s="101" t="s">
        <v>73</v>
      </c>
      <c r="F433" s="101" t="s">
        <v>73</v>
      </c>
      <c r="G433" s="1" t="str">
        <f>TEXT(MC[[#This Row],[Date]],"mmm-yy")</f>
        <v>Dec-24</v>
      </c>
      <c r="H433" s="1">
        <f>DAY(EOMONTH(MC[[#This Row],[Month Year]],0))</f>
        <v>31</v>
      </c>
      <c r="I433" s="106"/>
      <c r="J433" s="106"/>
      <c r="K433" s="106"/>
      <c r="L433" s="106"/>
      <c r="M433" s="106"/>
      <c r="N433" s="106"/>
      <c r="O433" s="106"/>
      <c r="P433" s="106"/>
      <c r="Q433" s="106"/>
      <c r="R433" s="106">
        <f t="shared" si="13"/>
        <v>6000</v>
      </c>
      <c r="S433" s="1">
        <f>SUM(MC[[#This Row],[Blk1]:[Blk8]])</f>
        <v>6000</v>
      </c>
      <c r="T433" s="107">
        <v>0.29166666666666669</v>
      </c>
      <c r="U433" s="107">
        <v>0.41666666666666669</v>
      </c>
      <c r="V433" s="107">
        <v>0.66666666666666663</v>
      </c>
      <c r="W433" s="107">
        <v>0.79166666666666663</v>
      </c>
      <c r="X433" s="106" t="s">
        <v>88</v>
      </c>
      <c r="Y433" s="106"/>
      <c r="Z433" s="106"/>
    </row>
    <row r="434" spans="1:26" x14ac:dyDescent="0.25">
      <c r="A434" s="106">
        <v>432</v>
      </c>
      <c r="B434" s="103">
        <f t="shared" si="12"/>
        <v>45631</v>
      </c>
      <c r="C434" s="126">
        <v>2024</v>
      </c>
      <c r="D434" s="102">
        <f>YEAR(MC[[#This Row],[Date]])</f>
        <v>2024</v>
      </c>
      <c r="E434" s="101" t="s">
        <v>73</v>
      </c>
      <c r="F434" s="101" t="s">
        <v>73</v>
      </c>
      <c r="G434" s="1" t="str">
        <f>TEXT(MC[[#This Row],[Date]],"mmm-yy")</f>
        <v>Dec-24</v>
      </c>
      <c r="H434" s="1">
        <f>DAY(EOMONTH(MC[[#This Row],[Month Year]],0))</f>
        <v>31</v>
      </c>
      <c r="I434" s="106"/>
      <c r="J434" s="106"/>
      <c r="K434" s="106"/>
      <c r="L434" s="106"/>
      <c r="M434" s="106"/>
      <c r="N434" s="106"/>
      <c r="O434" s="106"/>
      <c r="P434" s="106"/>
      <c r="Q434" s="106"/>
      <c r="R434" s="106">
        <f t="shared" si="13"/>
        <v>6000</v>
      </c>
      <c r="S434" s="1">
        <f>SUM(MC[[#This Row],[Blk1]:[Blk8]])</f>
        <v>6000</v>
      </c>
      <c r="T434" s="107">
        <v>0.29166666666666669</v>
      </c>
      <c r="U434" s="107">
        <v>0.41666666666666669</v>
      </c>
      <c r="V434" s="107">
        <v>0.66666666666666663</v>
      </c>
      <c r="W434" s="107">
        <v>0.79166666666666663</v>
      </c>
      <c r="X434" s="106" t="s">
        <v>88</v>
      </c>
      <c r="Y434" s="106"/>
      <c r="Z434" s="106"/>
    </row>
    <row r="435" spans="1:26" x14ac:dyDescent="0.25">
      <c r="A435" s="106">
        <v>433</v>
      </c>
      <c r="B435" s="103">
        <f t="shared" si="12"/>
        <v>45632</v>
      </c>
      <c r="C435" s="126">
        <v>2024</v>
      </c>
      <c r="D435" s="102">
        <f>YEAR(MC[[#This Row],[Date]])</f>
        <v>2024</v>
      </c>
      <c r="E435" s="101" t="s">
        <v>73</v>
      </c>
      <c r="F435" s="101" t="s">
        <v>73</v>
      </c>
      <c r="G435" s="1" t="str">
        <f>TEXT(MC[[#This Row],[Date]],"mmm-yy")</f>
        <v>Dec-24</v>
      </c>
      <c r="H435" s="1">
        <f>DAY(EOMONTH(MC[[#This Row],[Month Year]],0))</f>
        <v>31</v>
      </c>
      <c r="I435" s="106"/>
      <c r="J435" s="106"/>
      <c r="K435" s="106"/>
      <c r="L435" s="106"/>
      <c r="M435" s="106"/>
      <c r="N435" s="106"/>
      <c r="O435" s="106"/>
      <c r="P435" s="106"/>
      <c r="Q435" s="106"/>
      <c r="R435" s="106">
        <f t="shared" si="13"/>
        <v>6000</v>
      </c>
      <c r="S435" s="1">
        <f>SUM(MC[[#This Row],[Blk1]:[Blk8]])</f>
        <v>6000</v>
      </c>
      <c r="T435" s="107">
        <v>0.29166666666666669</v>
      </c>
      <c r="U435" s="107">
        <v>0.41666666666666669</v>
      </c>
      <c r="V435" s="107">
        <v>0.66666666666666663</v>
      </c>
      <c r="W435" s="107">
        <v>0.79166666666666663</v>
      </c>
      <c r="X435" s="106" t="s">
        <v>88</v>
      </c>
      <c r="Y435" s="106"/>
      <c r="Z435" s="106"/>
    </row>
    <row r="436" spans="1:26" x14ac:dyDescent="0.25">
      <c r="A436" s="106">
        <v>434</v>
      </c>
      <c r="B436" s="103">
        <f t="shared" si="12"/>
        <v>45633</v>
      </c>
      <c r="C436" s="126">
        <v>2024</v>
      </c>
      <c r="D436" s="102">
        <f>YEAR(MC[[#This Row],[Date]])</f>
        <v>2024</v>
      </c>
      <c r="E436" s="101" t="s">
        <v>73</v>
      </c>
      <c r="F436" s="101" t="s">
        <v>73</v>
      </c>
      <c r="G436" s="1" t="str">
        <f>TEXT(MC[[#This Row],[Date]],"mmm-yy")</f>
        <v>Dec-24</v>
      </c>
      <c r="H436" s="1">
        <f>DAY(EOMONTH(MC[[#This Row],[Month Year]],0))</f>
        <v>31</v>
      </c>
      <c r="I436" s="106"/>
      <c r="J436" s="106"/>
      <c r="K436" s="106"/>
      <c r="L436" s="106"/>
      <c r="M436" s="106"/>
      <c r="N436" s="106"/>
      <c r="O436" s="106"/>
      <c r="P436" s="106"/>
      <c r="Q436" s="106"/>
      <c r="R436" s="106">
        <f t="shared" si="13"/>
        <v>6000</v>
      </c>
      <c r="S436" s="1">
        <f>SUM(MC[[#This Row],[Blk1]:[Blk8]])</f>
        <v>6000</v>
      </c>
      <c r="T436" s="107">
        <v>0.29166666666666669</v>
      </c>
      <c r="U436" s="107">
        <v>0.41666666666666669</v>
      </c>
      <c r="V436" s="107">
        <v>0.66666666666666663</v>
      </c>
      <c r="W436" s="107">
        <v>0.79166666666666663</v>
      </c>
      <c r="X436" s="106" t="s">
        <v>88</v>
      </c>
      <c r="Y436" s="106"/>
      <c r="Z436" s="106"/>
    </row>
    <row r="437" spans="1:26" x14ac:dyDescent="0.25">
      <c r="A437" s="106">
        <v>435</v>
      </c>
      <c r="B437" s="103">
        <f t="shared" si="12"/>
        <v>45634</v>
      </c>
      <c r="C437" s="126">
        <v>2024</v>
      </c>
      <c r="D437" s="102">
        <f>YEAR(MC[[#This Row],[Date]])</f>
        <v>2024</v>
      </c>
      <c r="E437" s="101" t="s">
        <v>73</v>
      </c>
      <c r="F437" s="101" t="s">
        <v>73</v>
      </c>
      <c r="G437" s="1" t="str">
        <f>TEXT(MC[[#This Row],[Date]],"mmm-yy")</f>
        <v>Dec-24</v>
      </c>
      <c r="H437" s="1">
        <f>DAY(EOMONTH(MC[[#This Row],[Month Year]],0))</f>
        <v>31</v>
      </c>
      <c r="I437" s="106"/>
      <c r="J437" s="106"/>
      <c r="K437" s="106"/>
      <c r="L437" s="106"/>
      <c r="M437" s="106"/>
      <c r="N437" s="106"/>
      <c r="O437" s="106"/>
      <c r="P437" s="106"/>
      <c r="Q437" s="106"/>
      <c r="R437" s="106">
        <f t="shared" si="13"/>
        <v>6000</v>
      </c>
      <c r="S437" s="1">
        <f>SUM(MC[[#This Row],[Blk1]:[Blk8]])</f>
        <v>6000</v>
      </c>
      <c r="T437" s="107">
        <v>0.29166666666666669</v>
      </c>
      <c r="U437" s="107">
        <v>0.41666666666666669</v>
      </c>
      <c r="V437" s="107">
        <v>0.66666666666666663</v>
      </c>
      <c r="W437" s="107">
        <v>0.79166666666666663</v>
      </c>
      <c r="X437" s="106" t="s">
        <v>88</v>
      </c>
      <c r="Y437" s="106"/>
      <c r="Z437" s="106"/>
    </row>
    <row r="438" spans="1:26" x14ac:dyDescent="0.25">
      <c r="A438" s="106">
        <v>436</v>
      </c>
      <c r="B438" s="103">
        <f t="shared" si="12"/>
        <v>45635</v>
      </c>
      <c r="C438" s="126">
        <v>2024</v>
      </c>
      <c r="D438" s="102">
        <f>YEAR(MC[[#This Row],[Date]])</f>
        <v>2024</v>
      </c>
      <c r="E438" s="101" t="s">
        <v>73</v>
      </c>
      <c r="F438" s="101" t="s">
        <v>73</v>
      </c>
      <c r="G438" s="1" t="str">
        <f>TEXT(MC[[#This Row],[Date]],"mmm-yy")</f>
        <v>Dec-24</v>
      </c>
      <c r="H438" s="1">
        <f>DAY(EOMONTH(MC[[#This Row],[Month Year]],0))</f>
        <v>31</v>
      </c>
      <c r="I438" s="106"/>
      <c r="J438" s="106"/>
      <c r="K438" s="106"/>
      <c r="L438" s="106"/>
      <c r="M438" s="106"/>
      <c r="N438" s="106"/>
      <c r="O438" s="106"/>
      <c r="P438" s="106"/>
      <c r="Q438" s="106"/>
      <c r="R438" s="106">
        <f t="shared" si="13"/>
        <v>6000</v>
      </c>
      <c r="S438" s="1">
        <f>SUM(MC[[#This Row],[Blk1]:[Blk8]])</f>
        <v>6000</v>
      </c>
      <c r="T438" s="107">
        <v>0.29166666666666669</v>
      </c>
      <c r="U438" s="107">
        <v>0.41666666666666669</v>
      </c>
      <c r="V438" s="107">
        <v>0.66666666666666663</v>
      </c>
      <c r="W438" s="107">
        <v>0.79166666666666663</v>
      </c>
      <c r="X438" s="106" t="s">
        <v>88</v>
      </c>
      <c r="Y438" s="106"/>
      <c r="Z438" s="106"/>
    </row>
    <row r="439" spans="1:26" x14ac:dyDescent="0.25">
      <c r="A439" s="106">
        <v>437</v>
      </c>
      <c r="B439" s="103">
        <f t="shared" si="12"/>
        <v>45636</v>
      </c>
      <c r="C439" s="126">
        <v>2024</v>
      </c>
      <c r="D439" s="102">
        <f>YEAR(MC[[#This Row],[Date]])</f>
        <v>2024</v>
      </c>
      <c r="E439" s="101" t="s">
        <v>73</v>
      </c>
      <c r="F439" s="101" t="s">
        <v>73</v>
      </c>
      <c r="G439" s="1" t="str">
        <f>TEXT(MC[[#This Row],[Date]],"mmm-yy")</f>
        <v>Dec-24</v>
      </c>
      <c r="H439" s="1">
        <f>DAY(EOMONTH(MC[[#This Row],[Month Year]],0))</f>
        <v>31</v>
      </c>
      <c r="I439" s="106"/>
      <c r="J439" s="106"/>
      <c r="K439" s="106"/>
      <c r="L439" s="106"/>
      <c r="M439" s="106"/>
      <c r="N439" s="106"/>
      <c r="O439" s="106"/>
      <c r="P439" s="106"/>
      <c r="Q439" s="106"/>
      <c r="R439" s="106">
        <f t="shared" si="13"/>
        <v>6000</v>
      </c>
      <c r="S439" s="1">
        <f>SUM(MC[[#This Row],[Blk1]:[Blk8]])</f>
        <v>6000</v>
      </c>
      <c r="T439" s="107">
        <v>0.29166666666666669</v>
      </c>
      <c r="U439" s="107">
        <v>0.41666666666666669</v>
      </c>
      <c r="V439" s="107">
        <v>0.66666666666666663</v>
      </c>
      <c r="W439" s="107">
        <v>0.79166666666666663</v>
      </c>
      <c r="X439" s="106" t="s">
        <v>88</v>
      </c>
      <c r="Y439" s="106"/>
      <c r="Z439" s="106"/>
    </row>
    <row r="440" spans="1:26" x14ac:dyDescent="0.25">
      <c r="A440" s="106">
        <v>438</v>
      </c>
      <c r="B440" s="103">
        <f t="shared" si="12"/>
        <v>45637</v>
      </c>
      <c r="C440" s="126">
        <v>2024</v>
      </c>
      <c r="D440" s="102">
        <f>YEAR(MC[[#This Row],[Date]])</f>
        <v>2024</v>
      </c>
      <c r="E440" s="101" t="s">
        <v>73</v>
      </c>
      <c r="F440" s="101" t="s">
        <v>73</v>
      </c>
      <c r="G440" s="1" t="str">
        <f>TEXT(MC[[#This Row],[Date]],"mmm-yy")</f>
        <v>Dec-24</v>
      </c>
      <c r="H440" s="1">
        <f>DAY(EOMONTH(MC[[#This Row],[Month Year]],0))</f>
        <v>31</v>
      </c>
      <c r="I440" s="106"/>
      <c r="J440" s="106"/>
      <c r="K440" s="106"/>
      <c r="L440" s="106"/>
      <c r="M440" s="106"/>
      <c r="N440" s="106"/>
      <c r="O440" s="106"/>
      <c r="P440" s="106"/>
      <c r="Q440" s="106"/>
      <c r="R440" s="106">
        <f t="shared" si="13"/>
        <v>6000</v>
      </c>
      <c r="S440" s="1">
        <f>SUM(MC[[#This Row],[Blk1]:[Blk8]])</f>
        <v>6000</v>
      </c>
      <c r="T440" s="107">
        <v>0.29166666666666669</v>
      </c>
      <c r="U440" s="107">
        <v>0.41666666666666669</v>
      </c>
      <c r="V440" s="107">
        <v>0.66666666666666663</v>
      </c>
      <c r="W440" s="107">
        <v>0.79166666666666663</v>
      </c>
      <c r="X440" s="106" t="s">
        <v>88</v>
      </c>
      <c r="Y440" s="106"/>
      <c r="Z440" s="106"/>
    </row>
    <row r="441" spans="1:26" x14ac:dyDescent="0.25">
      <c r="A441" s="106">
        <v>439</v>
      </c>
      <c r="B441" s="103">
        <f t="shared" si="12"/>
        <v>45638</v>
      </c>
      <c r="C441" s="126">
        <v>2024</v>
      </c>
      <c r="D441" s="102">
        <f>YEAR(MC[[#This Row],[Date]])</f>
        <v>2024</v>
      </c>
      <c r="E441" s="101" t="s">
        <v>73</v>
      </c>
      <c r="F441" s="101" t="s">
        <v>73</v>
      </c>
      <c r="G441" s="1" t="str">
        <f>TEXT(MC[[#This Row],[Date]],"mmm-yy")</f>
        <v>Dec-24</v>
      </c>
      <c r="H441" s="1">
        <f>DAY(EOMONTH(MC[[#This Row],[Month Year]],0))</f>
        <v>31</v>
      </c>
      <c r="I441" s="106"/>
      <c r="J441" s="106"/>
      <c r="K441" s="106"/>
      <c r="L441" s="106"/>
      <c r="M441" s="106"/>
      <c r="N441" s="106"/>
      <c r="O441" s="106"/>
      <c r="P441" s="106"/>
      <c r="Q441" s="106"/>
      <c r="R441" s="106">
        <f t="shared" si="13"/>
        <v>6000</v>
      </c>
      <c r="S441" s="1">
        <f>SUM(MC[[#This Row],[Blk1]:[Blk8]])</f>
        <v>6000</v>
      </c>
      <c r="T441" s="107">
        <v>0.29166666666666669</v>
      </c>
      <c r="U441" s="107">
        <v>0.41666666666666669</v>
      </c>
      <c r="V441" s="107">
        <v>0.66666666666666663</v>
      </c>
      <c r="W441" s="107">
        <v>0.79166666666666663</v>
      </c>
      <c r="X441" s="106" t="s">
        <v>88</v>
      </c>
      <c r="Y441" s="106"/>
      <c r="Z441" s="106"/>
    </row>
    <row r="442" spans="1:26" x14ac:dyDescent="0.25">
      <c r="A442" s="106">
        <v>440</v>
      </c>
      <c r="B442" s="103">
        <f t="shared" si="12"/>
        <v>45639</v>
      </c>
      <c r="C442" s="126">
        <v>2024</v>
      </c>
      <c r="D442" s="102">
        <f>YEAR(MC[[#This Row],[Date]])</f>
        <v>2024</v>
      </c>
      <c r="E442" s="101" t="s">
        <v>73</v>
      </c>
      <c r="F442" s="101" t="s">
        <v>73</v>
      </c>
      <c r="G442" s="1" t="str">
        <f>TEXT(MC[[#This Row],[Date]],"mmm-yy")</f>
        <v>Dec-24</v>
      </c>
      <c r="H442" s="1">
        <f>DAY(EOMONTH(MC[[#This Row],[Month Year]],0))</f>
        <v>31</v>
      </c>
      <c r="I442" s="106"/>
      <c r="J442" s="106"/>
      <c r="K442" s="106"/>
      <c r="L442" s="106"/>
      <c r="M442" s="106"/>
      <c r="N442" s="106"/>
      <c r="O442" s="106"/>
      <c r="P442" s="106"/>
      <c r="Q442" s="106"/>
      <c r="R442" s="106">
        <f t="shared" si="13"/>
        <v>6000</v>
      </c>
      <c r="S442" s="1">
        <f>SUM(MC[[#This Row],[Blk1]:[Blk8]])</f>
        <v>6000</v>
      </c>
      <c r="T442" s="107">
        <v>0.29166666666666669</v>
      </c>
      <c r="U442" s="107">
        <v>0.41666666666666669</v>
      </c>
      <c r="V442" s="107">
        <v>0.66666666666666663</v>
      </c>
      <c r="W442" s="107">
        <v>0.79166666666666663</v>
      </c>
      <c r="X442" s="106" t="s">
        <v>88</v>
      </c>
      <c r="Y442" s="106"/>
      <c r="Z442" s="106"/>
    </row>
    <row r="443" spans="1:26" x14ac:dyDescent="0.25">
      <c r="A443" s="106">
        <v>441</v>
      </c>
      <c r="B443" s="103">
        <f t="shared" si="12"/>
        <v>45640</v>
      </c>
      <c r="C443" s="126">
        <v>2024</v>
      </c>
      <c r="D443" s="102">
        <f>YEAR(MC[[#This Row],[Date]])</f>
        <v>2024</v>
      </c>
      <c r="E443" s="101" t="s">
        <v>73</v>
      </c>
      <c r="F443" s="101" t="s">
        <v>73</v>
      </c>
      <c r="G443" s="1" t="str">
        <f>TEXT(MC[[#This Row],[Date]],"mmm-yy")</f>
        <v>Dec-24</v>
      </c>
      <c r="H443" s="1">
        <f>DAY(EOMONTH(MC[[#This Row],[Month Year]],0))</f>
        <v>31</v>
      </c>
      <c r="I443" s="106"/>
      <c r="J443" s="106"/>
      <c r="K443" s="106"/>
      <c r="L443" s="106"/>
      <c r="M443" s="106"/>
      <c r="N443" s="106"/>
      <c r="O443" s="106"/>
      <c r="P443" s="106"/>
      <c r="Q443" s="106"/>
      <c r="R443" s="106">
        <f t="shared" si="13"/>
        <v>6000</v>
      </c>
      <c r="S443" s="1">
        <f>SUM(MC[[#This Row],[Blk1]:[Blk8]])</f>
        <v>6000</v>
      </c>
      <c r="T443" s="107">
        <v>0.29166666666666669</v>
      </c>
      <c r="U443" s="107">
        <v>0.41666666666666669</v>
      </c>
      <c r="V443" s="107">
        <v>0.66666666666666663</v>
      </c>
      <c r="W443" s="107">
        <v>0.79166666666666663</v>
      </c>
      <c r="X443" s="106" t="s">
        <v>88</v>
      </c>
      <c r="Y443" s="106"/>
      <c r="Z443" s="106"/>
    </row>
    <row r="444" spans="1:26" x14ac:dyDescent="0.25">
      <c r="A444" s="106">
        <v>442</v>
      </c>
      <c r="B444" s="103">
        <f t="shared" si="12"/>
        <v>45641</v>
      </c>
      <c r="C444" s="126">
        <v>2024</v>
      </c>
      <c r="D444" s="102">
        <f>YEAR(MC[[#This Row],[Date]])</f>
        <v>2024</v>
      </c>
      <c r="E444" s="101" t="s">
        <v>73</v>
      </c>
      <c r="F444" s="101" t="s">
        <v>73</v>
      </c>
      <c r="G444" s="1" t="str">
        <f>TEXT(MC[[#This Row],[Date]],"mmm-yy")</f>
        <v>Dec-24</v>
      </c>
      <c r="H444" s="1">
        <f>DAY(EOMONTH(MC[[#This Row],[Month Year]],0))</f>
        <v>31</v>
      </c>
      <c r="I444" s="106"/>
      <c r="J444" s="106"/>
      <c r="K444" s="106"/>
      <c r="L444" s="106"/>
      <c r="M444" s="106"/>
      <c r="N444" s="106"/>
      <c r="O444" s="106"/>
      <c r="P444" s="106"/>
      <c r="Q444" s="106"/>
      <c r="R444" s="106">
        <f t="shared" si="13"/>
        <v>6000</v>
      </c>
      <c r="S444" s="1">
        <f>SUM(MC[[#This Row],[Blk1]:[Blk8]])</f>
        <v>6000</v>
      </c>
      <c r="T444" s="107">
        <v>0.29166666666666669</v>
      </c>
      <c r="U444" s="107">
        <v>0.41666666666666669</v>
      </c>
      <c r="V444" s="107">
        <v>0.66666666666666663</v>
      </c>
      <c r="W444" s="107">
        <v>0.79166666666666663</v>
      </c>
      <c r="X444" s="106" t="s">
        <v>88</v>
      </c>
      <c r="Y444" s="106"/>
      <c r="Z444" s="106"/>
    </row>
    <row r="445" spans="1:26" x14ac:dyDescent="0.25">
      <c r="A445" s="106">
        <v>443</v>
      </c>
      <c r="B445" s="103">
        <f t="shared" si="12"/>
        <v>45642</v>
      </c>
      <c r="C445" s="126">
        <v>2024</v>
      </c>
      <c r="D445" s="102">
        <f>YEAR(MC[[#This Row],[Date]])</f>
        <v>2024</v>
      </c>
      <c r="E445" s="101" t="s">
        <v>73</v>
      </c>
      <c r="F445" s="101" t="s">
        <v>73</v>
      </c>
      <c r="G445" s="1" t="str">
        <f>TEXT(MC[[#This Row],[Date]],"mmm-yy")</f>
        <v>Dec-24</v>
      </c>
      <c r="H445" s="1">
        <f>DAY(EOMONTH(MC[[#This Row],[Month Year]],0))</f>
        <v>31</v>
      </c>
      <c r="I445" s="106"/>
      <c r="J445" s="106"/>
      <c r="K445" s="106"/>
      <c r="L445" s="106"/>
      <c r="M445" s="106"/>
      <c r="N445" s="106"/>
      <c r="O445" s="106"/>
      <c r="P445" s="106"/>
      <c r="Q445" s="106"/>
      <c r="R445" s="106">
        <f t="shared" si="13"/>
        <v>6000</v>
      </c>
      <c r="S445" s="1">
        <f>SUM(MC[[#This Row],[Blk1]:[Blk8]])</f>
        <v>6000</v>
      </c>
      <c r="T445" s="107">
        <v>0.29166666666666669</v>
      </c>
      <c r="U445" s="107">
        <v>0.41666666666666669</v>
      </c>
      <c r="V445" s="107">
        <v>0.66666666666666663</v>
      </c>
      <c r="W445" s="107">
        <v>0.79166666666666663</v>
      </c>
      <c r="X445" s="106" t="s">
        <v>88</v>
      </c>
      <c r="Y445" s="106"/>
      <c r="Z445" s="106"/>
    </row>
    <row r="446" spans="1:26" x14ac:dyDescent="0.25">
      <c r="A446" s="106">
        <v>444</v>
      </c>
      <c r="B446" s="103">
        <f t="shared" si="12"/>
        <v>45643</v>
      </c>
      <c r="C446" s="126">
        <v>2024</v>
      </c>
      <c r="D446" s="102">
        <f>YEAR(MC[[#This Row],[Date]])</f>
        <v>2024</v>
      </c>
      <c r="E446" s="101" t="s">
        <v>73</v>
      </c>
      <c r="F446" s="101" t="s">
        <v>73</v>
      </c>
      <c r="G446" s="1" t="str">
        <f>TEXT(MC[[#This Row],[Date]],"mmm-yy")</f>
        <v>Dec-24</v>
      </c>
      <c r="H446" s="1">
        <f>DAY(EOMONTH(MC[[#This Row],[Month Year]],0))</f>
        <v>31</v>
      </c>
      <c r="I446" s="106"/>
      <c r="J446" s="106"/>
      <c r="K446" s="106"/>
      <c r="L446" s="106"/>
      <c r="M446" s="106"/>
      <c r="N446" s="106"/>
      <c r="O446" s="106"/>
      <c r="P446" s="106"/>
      <c r="Q446" s="106"/>
      <c r="R446" s="106">
        <f t="shared" si="13"/>
        <v>6000</v>
      </c>
      <c r="S446" s="1">
        <f>SUM(MC[[#This Row],[Blk1]:[Blk8]])</f>
        <v>6000</v>
      </c>
      <c r="T446" s="107">
        <v>0.29166666666666669</v>
      </c>
      <c r="U446" s="107">
        <v>0.41666666666666669</v>
      </c>
      <c r="V446" s="107">
        <v>0.66666666666666663</v>
      </c>
      <c r="W446" s="107">
        <v>0.79166666666666663</v>
      </c>
      <c r="X446" s="106" t="s">
        <v>88</v>
      </c>
      <c r="Y446" s="106"/>
      <c r="Z446" s="106"/>
    </row>
    <row r="447" spans="1:26" x14ac:dyDescent="0.25">
      <c r="A447" s="106">
        <v>445</v>
      </c>
      <c r="B447" s="103">
        <f t="shared" ref="B447:B491" si="14">B446+1</f>
        <v>45644</v>
      </c>
      <c r="C447" s="126">
        <v>2024</v>
      </c>
      <c r="D447" s="102">
        <f>YEAR(MC[[#This Row],[Date]])</f>
        <v>2024</v>
      </c>
      <c r="E447" s="101" t="s">
        <v>73</v>
      </c>
      <c r="F447" s="101" t="s">
        <v>73</v>
      </c>
      <c r="G447" s="1" t="str">
        <f>TEXT(MC[[#This Row],[Date]],"mmm-yy")</f>
        <v>Dec-24</v>
      </c>
      <c r="H447" s="1">
        <f>DAY(EOMONTH(MC[[#This Row],[Month Year]],0))</f>
        <v>31</v>
      </c>
      <c r="I447" s="106"/>
      <c r="J447" s="106"/>
      <c r="K447" s="106"/>
      <c r="L447" s="106"/>
      <c r="M447" s="106"/>
      <c r="N447" s="106"/>
      <c r="O447" s="106"/>
      <c r="P447" s="106"/>
      <c r="Q447" s="106"/>
      <c r="R447" s="106">
        <f t="shared" si="13"/>
        <v>6000</v>
      </c>
      <c r="S447" s="1">
        <f>SUM(MC[[#This Row],[Blk1]:[Blk8]])</f>
        <v>6000</v>
      </c>
      <c r="T447" s="107">
        <v>0.29166666666666669</v>
      </c>
      <c r="U447" s="107">
        <v>0.41666666666666669</v>
      </c>
      <c r="V447" s="107">
        <v>0.66666666666666663</v>
      </c>
      <c r="W447" s="107">
        <v>0.79166666666666663</v>
      </c>
      <c r="X447" s="106" t="s">
        <v>88</v>
      </c>
      <c r="Y447" s="106"/>
      <c r="Z447" s="106"/>
    </row>
    <row r="448" spans="1:26" x14ac:dyDescent="0.25">
      <c r="A448" s="106">
        <v>446</v>
      </c>
      <c r="B448" s="103">
        <f t="shared" si="14"/>
        <v>45645</v>
      </c>
      <c r="C448" s="126">
        <v>2024</v>
      </c>
      <c r="D448" s="102">
        <f>YEAR(MC[[#This Row],[Date]])</f>
        <v>2024</v>
      </c>
      <c r="E448" s="101" t="s">
        <v>73</v>
      </c>
      <c r="F448" s="101" t="s">
        <v>73</v>
      </c>
      <c r="G448" s="1" t="str">
        <f>TEXT(MC[[#This Row],[Date]],"mmm-yy")</f>
        <v>Dec-24</v>
      </c>
      <c r="H448" s="1">
        <f>DAY(EOMONTH(MC[[#This Row],[Month Year]],0))</f>
        <v>31</v>
      </c>
      <c r="I448" s="106"/>
      <c r="J448" s="106"/>
      <c r="K448" s="106"/>
      <c r="L448" s="106"/>
      <c r="M448" s="106"/>
      <c r="N448" s="106"/>
      <c r="O448" s="106"/>
      <c r="P448" s="106"/>
      <c r="Q448" s="106"/>
      <c r="R448" s="106">
        <f t="shared" si="13"/>
        <v>6000</v>
      </c>
      <c r="S448" s="1">
        <f>SUM(MC[[#This Row],[Blk1]:[Blk8]])</f>
        <v>6000</v>
      </c>
      <c r="T448" s="107">
        <v>0.29166666666666669</v>
      </c>
      <c r="U448" s="107">
        <v>0.41666666666666669</v>
      </c>
      <c r="V448" s="107">
        <v>0.66666666666666663</v>
      </c>
      <c r="W448" s="107">
        <v>0.79166666666666663</v>
      </c>
      <c r="X448" s="106" t="s">
        <v>88</v>
      </c>
      <c r="Y448" s="106"/>
      <c r="Z448" s="106"/>
    </row>
    <row r="449" spans="1:26" x14ac:dyDescent="0.25">
      <c r="A449" s="106">
        <v>447</v>
      </c>
      <c r="B449" s="103">
        <f t="shared" si="14"/>
        <v>45646</v>
      </c>
      <c r="C449" s="126">
        <v>2024</v>
      </c>
      <c r="D449" s="102">
        <f>YEAR(MC[[#This Row],[Date]])</f>
        <v>2024</v>
      </c>
      <c r="E449" s="101" t="s">
        <v>73</v>
      </c>
      <c r="F449" s="101" t="s">
        <v>73</v>
      </c>
      <c r="G449" s="1" t="str">
        <f>TEXT(MC[[#This Row],[Date]],"mmm-yy")</f>
        <v>Dec-24</v>
      </c>
      <c r="H449" s="1">
        <f>DAY(EOMONTH(MC[[#This Row],[Month Year]],0))</f>
        <v>31</v>
      </c>
      <c r="I449" s="106"/>
      <c r="J449" s="106"/>
      <c r="K449" s="106"/>
      <c r="L449" s="106"/>
      <c r="M449" s="106"/>
      <c r="N449" s="106"/>
      <c r="O449" s="106"/>
      <c r="P449" s="106"/>
      <c r="Q449" s="106"/>
      <c r="R449" s="106">
        <f t="shared" si="13"/>
        <v>6000</v>
      </c>
      <c r="S449" s="1">
        <f>SUM(MC[[#This Row],[Blk1]:[Blk8]])</f>
        <v>6000</v>
      </c>
      <c r="T449" s="107">
        <v>0.29166666666666669</v>
      </c>
      <c r="U449" s="107">
        <v>0.41666666666666669</v>
      </c>
      <c r="V449" s="107">
        <v>0.66666666666666663</v>
      </c>
      <c r="W449" s="107">
        <v>0.79166666666666663</v>
      </c>
      <c r="X449" s="106" t="s">
        <v>88</v>
      </c>
      <c r="Y449" s="106"/>
      <c r="Z449" s="106"/>
    </row>
    <row r="450" spans="1:26" x14ac:dyDescent="0.25">
      <c r="A450" s="106">
        <v>448</v>
      </c>
      <c r="B450" s="103">
        <f t="shared" si="14"/>
        <v>45647</v>
      </c>
      <c r="C450" s="126">
        <v>2024</v>
      </c>
      <c r="D450" s="102">
        <f>YEAR(MC[[#This Row],[Date]])</f>
        <v>2024</v>
      </c>
      <c r="E450" s="101" t="s">
        <v>73</v>
      </c>
      <c r="F450" s="101" t="s">
        <v>73</v>
      </c>
      <c r="G450" s="1" t="str">
        <f>TEXT(MC[[#This Row],[Date]],"mmm-yy")</f>
        <v>Dec-24</v>
      </c>
      <c r="H450" s="1">
        <f>DAY(EOMONTH(MC[[#This Row],[Month Year]],0))</f>
        <v>31</v>
      </c>
      <c r="I450" s="106"/>
      <c r="J450" s="106"/>
      <c r="K450" s="106"/>
      <c r="L450" s="106"/>
      <c r="M450" s="106"/>
      <c r="N450" s="106"/>
      <c r="O450" s="106"/>
      <c r="P450" s="106"/>
      <c r="Q450" s="106"/>
      <c r="R450" s="106">
        <f t="shared" si="13"/>
        <v>6000</v>
      </c>
      <c r="S450" s="1">
        <f>SUM(MC[[#This Row],[Blk1]:[Blk8]])</f>
        <v>6000</v>
      </c>
      <c r="T450" s="107">
        <v>0.29166666666666669</v>
      </c>
      <c r="U450" s="107">
        <v>0.41666666666666669</v>
      </c>
      <c r="V450" s="107">
        <v>0.66666666666666663</v>
      </c>
      <c r="W450" s="107">
        <v>0.79166666666666663</v>
      </c>
      <c r="X450" s="106" t="s">
        <v>88</v>
      </c>
      <c r="Y450" s="106"/>
      <c r="Z450" s="106"/>
    </row>
    <row r="451" spans="1:26" x14ac:dyDescent="0.25">
      <c r="A451" s="106">
        <v>449</v>
      </c>
      <c r="B451" s="103">
        <f t="shared" si="14"/>
        <v>45648</v>
      </c>
      <c r="C451" s="126">
        <v>2024</v>
      </c>
      <c r="D451" s="102">
        <f>YEAR(MC[[#This Row],[Date]])</f>
        <v>2024</v>
      </c>
      <c r="E451" s="101" t="s">
        <v>73</v>
      </c>
      <c r="F451" s="101" t="s">
        <v>73</v>
      </c>
      <c r="G451" s="1" t="str">
        <f>TEXT(MC[[#This Row],[Date]],"mmm-yy")</f>
        <v>Dec-24</v>
      </c>
      <c r="H451" s="1">
        <f>DAY(EOMONTH(MC[[#This Row],[Month Year]],0))</f>
        <v>31</v>
      </c>
      <c r="I451" s="106"/>
      <c r="J451" s="106"/>
      <c r="K451" s="106"/>
      <c r="L451" s="106"/>
      <c r="M451" s="106"/>
      <c r="N451" s="106"/>
      <c r="O451" s="106"/>
      <c r="P451" s="106"/>
      <c r="Q451" s="106"/>
      <c r="R451" s="106">
        <f t="shared" ref="R451:R514" si="15">120*50</f>
        <v>6000</v>
      </c>
      <c r="S451" s="1">
        <f>SUM(MC[[#This Row],[Blk1]:[Blk8]])</f>
        <v>6000</v>
      </c>
      <c r="T451" s="107">
        <v>0.29166666666666669</v>
      </c>
      <c r="U451" s="107">
        <v>0.41666666666666669</v>
      </c>
      <c r="V451" s="107">
        <v>0.66666666666666663</v>
      </c>
      <c r="W451" s="107">
        <v>0.79166666666666663</v>
      </c>
      <c r="X451" s="106" t="s">
        <v>88</v>
      </c>
      <c r="Y451" s="106"/>
      <c r="Z451" s="106"/>
    </row>
    <row r="452" spans="1:26" x14ac:dyDescent="0.25">
      <c r="A452" s="106">
        <v>450</v>
      </c>
      <c r="B452" s="103">
        <f t="shared" si="14"/>
        <v>45649</v>
      </c>
      <c r="C452" s="126">
        <v>2024</v>
      </c>
      <c r="D452" s="102">
        <f>YEAR(MC[[#This Row],[Date]])</f>
        <v>2024</v>
      </c>
      <c r="E452" s="101" t="s">
        <v>73</v>
      </c>
      <c r="F452" s="101" t="s">
        <v>73</v>
      </c>
      <c r="G452" s="1" t="str">
        <f>TEXT(MC[[#This Row],[Date]],"mmm-yy")</f>
        <v>Dec-24</v>
      </c>
      <c r="H452" s="1">
        <f>DAY(EOMONTH(MC[[#This Row],[Month Year]],0))</f>
        <v>31</v>
      </c>
      <c r="I452" s="106"/>
      <c r="J452" s="106"/>
      <c r="K452" s="106"/>
      <c r="L452" s="106"/>
      <c r="M452" s="106"/>
      <c r="N452" s="106"/>
      <c r="O452" s="106"/>
      <c r="P452" s="106"/>
      <c r="Q452" s="106"/>
      <c r="R452" s="106">
        <f t="shared" si="15"/>
        <v>6000</v>
      </c>
      <c r="S452" s="1">
        <f>SUM(MC[[#This Row],[Blk1]:[Blk8]])</f>
        <v>6000</v>
      </c>
      <c r="T452" s="107">
        <v>0.29166666666666669</v>
      </c>
      <c r="U452" s="107">
        <v>0.41666666666666669</v>
      </c>
      <c r="V452" s="107">
        <v>0.66666666666666663</v>
      </c>
      <c r="W452" s="107">
        <v>0.79166666666666663</v>
      </c>
      <c r="X452" s="106" t="s">
        <v>88</v>
      </c>
      <c r="Y452" s="106"/>
      <c r="Z452" s="106"/>
    </row>
    <row r="453" spans="1:26" x14ac:dyDescent="0.25">
      <c r="A453" s="106">
        <v>451</v>
      </c>
      <c r="B453" s="103">
        <f t="shared" si="14"/>
        <v>45650</v>
      </c>
      <c r="C453" s="126">
        <v>2024</v>
      </c>
      <c r="D453" s="102">
        <f>YEAR(MC[[#This Row],[Date]])</f>
        <v>2024</v>
      </c>
      <c r="E453" s="101" t="s">
        <v>73</v>
      </c>
      <c r="F453" s="101" t="s">
        <v>73</v>
      </c>
      <c r="G453" s="1" t="str">
        <f>TEXT(MC[[#This Row],[Date]],"mmm-yy")</f>
        <v>Dec-24</v>
      </c>
      <c r="H453" s="1">
        <f>DAY(EOMONTH(MC[[#This Row],[Month Year]],0))</f>
        <v>31</v>
      </c>
      <c r="I453" s="106"/>
      <c r="J453" s="106"/>
      <c r="K453" s="106"/>
      <c r="L453" s="106"/>
      <c r="M453" s="106"/>
      <c r="N453" s="106"/>
      <c r="O453" s="106"/>
      <c r="P453" s="106"/>
      <c r="Q453" s="106"/>
      <c r="R453" s="106">
        <f t="shared" si="15"/>
        <v>6000</v>
      </c>
      <c r="S453" s="1">
        <f>SUM(MC[[#This Row],[Blk1]:[Blk8]])</f>
        <v>6000</v>
      </c>
      <c r="T453" s="107">
        <v>0.29166666666666669</v>
      </c>
      <c r="U453" s="107">
        <v>0.41666666666666669</v>
      </c>
      <c r="V453" s="107">
        <v>0.66666666666666663</v>
      </c>
      <c r="W453" s="107">
        <v>0.79166666666666663</v>
      </c>
      <c r="X453" s="106" t="s">
        <v>88</v>
      </c>
      <c r="Y453" s="106"/>
      <c r="Z453" s="106"/>
    </row>
    <row r="454" spans="1:26" x14ac:dyDescent="0.25">
      <c r="A454" s="106">
        <v>452</v>
      </c>
      <c r="B454" s="103">
        <f t="shared" si="14"/>
        <v>45651</v>
      </c>
      <c r="C454" s="126">
        <v>2024</v>
      </c>
      <c r="D454" s="102">
        <f>YEAR(MC[[#This Row],[Date]])</f>
        <v>2024</v>
      </c>
      <c r="E454" s="101" t="s">
        <v>73</v>
      </c>
      <c r="F454" s="101" t="s">
        <v>73</v>
      </c>
      <c r="G454" s="1" t="str">
        <f>TEXT(MC[[#This Row],[Date]],"mmm-yy")</f>
        <v>Dec-24</v>
      </c>
      <c r="H454" s="1">
        <f>DAY(EOMONTH(MC[[#This Row],[Month Year]],0))</f>
        <v>31</v>
      </c>
      <c r="I454" s="106"/>
      <c r="J454" s="106"/>
      <c r="K454" s="106"/>
      <c r="L454" s="106"/>
      <c r="M454" s="106"/>
      <c r="N454" s="106"/>
      <c r="O454" s="106"/>
      <c r="P454" s="106"/>
      <c r="Q454" s="106"/>
      <c r="R454" s="106">
        <f t="shared" si="15"/>
        <v>6000</v>
      </c>
      <c r="S454" s="1">
        <f>SUM(MC[[#This Row],[Blk1]:[Blk8]])</f>
        <v>6000</v>
      </c>
      <c r="T454" s="107">
        <v>0.29166666666666669</v>
      </c>
      <c r="U454" s="107">
        <v>0.41666666666666669</v>
      </c>
      <c r="V454" s="107">
        <v>0.66666666666666663</v>
      </c>
      <c r="W454" s="107">
        <v>0.79166666666666663</v>
      </c>
      <c r="X454" s="106" t="s">
        <v>88</v>
      </c>
      <c r="Y454" s="106"/>
      <c r="Z454" s="106"/>
    </row>
    <row r="455" spans="1:26" x14ac:dyDescent="0.25">
      <c r="A455" s="106">
        <v>453</v>
      </c>
      <c r="B455" s="103">
        <f t="shared" si="14"/>
        <v>45652</v>
      </c>
      <c r="C455" s="126">
        <v>2024</v>
      </c>
      <c r="D455" s="102">
        <f>YEAR(MC[[#This Row],[Date]])</f>
        <v>2024</v>
      </c>
      <c r="E455" s="101" t="s">
        <v>73</v>
      </c>
      <c r="F455" s="101" t="s">
        <v>73</v>
      </c>
      <c r="G455" s="1" t="str">
        <f>TEXT(MC[[#This Row],[Date]],"mmm-yy")</f>
        <v>Dec-24</v>
      </c>
      <c r="H455" s="1">
        <f>DAY(EOMONTH(MC[[#This Row],[Month Year]],0))</f>
        <v>31</v>
      </c>
      <c r="I455" s="106"/>
      <c r="J455" s="106"/>
      <c r="K455" s="106"/>
      <c r="L455" s="106"/>
      <c r="M455" s="106"/>
      <c r="N455" s="106"/>
      <c r="O455" s="106"/>
      <c r="P455" s="106"/>
      <c r="Q455" s="106"/>
      <c r="R455" s="106">
        <f t="shared" si="15"/>
        <v>6000</v>
      </c>
      <c r="S455" s="1">
        <f>SUM(MC[[#This Row],[Blk1]:[Blk8]])</f>
        <v>6000</v>
      </c>
      <c r="T455" s="107">
        <v>0.29166666666666669</v>
      </c>
      <c r="U455" s="107">
        <v>0.41666666666666669</v>
      </c>
      <c r="V455" s="107">
        <v>0.66666666666666663</v>
      </c>
      <c r="W455" s="107">
        <v>0.79166666666666663</v>
      </c>
      <c r="X455" s="106" t="s">
        <v>88</v>
      </c>
      <c r="Y455" s="106"/>
      <c r="Z455" s="106"/>
    </row>
    <row r="456" spans="1:26" x14ac:dyDescent="0.25">
      <c r="A456" s="106">
        <v>454</v>
      </c>
      <c r="B456" s="103">
        <f t="shared" si="14"/>
        <v>45653</v>
      </c>
      <c r="C456" s="126">
        <v>2024</v>
      </c>
      <c r="D456" s="102">
        <f>YEAR(MC[[#This Row],[Date]])</f>
        <v>2024</v>
      </c>
      <c r="E456" s="101" t="s">
        <v>73</v>
      </c>
      <c r="F456" s="101" t="s">
        <v>73</v>
      </c>
      <c r="G456" s="1" t="str">
        <f>TEXT(MC[[#This Row],[Date]],"mmm-yy")</f>
        <v>Dec-24</v>
      </c>
      <c r="H456" s="1">
        <f>DAY(EOMONTH(MC[[#This Row],[Month Year]],0))</f>
        <v>31</v>
      </c>
      <c r="I456" s="106"/>
      <c r="J456" s="106"/>
      <c r="K456" s="106"/>
      <c r="L456" s="106"/>
      <c r="M456" s="106"/>
      <c r="N456" s="106"/>
      <c r="O456" s="106"/>
      <c r="P456" s="106"/>
      <c r="Q456" s="106"/>
      <c r="R456" s="106">
        <f t="shared" si="15"/>
        <v>6000</v>
      </c>
      <c r="S456" s="1">
        <f>SUM(MC[[#This Row],[Blk1]:[Blk8]])</f>
        <v>6000</v>
      </c>
      <c r="T456" s="107">
        <v>0.29166666666666669</v>
      </c>
      <c r="U456" s="107">
        <v>0.41666666666666669</v>
      </c>
      <c r="V456" s="107">
        <v>0.66666666666666663</v>
      </c>
      <c r="W456" s="107">
        <v>0.79166666666666663</v>
      </c>
      <c r="X456" s="106" t="s">
        <v>88</v>
      </c>
      <c r="Y456" s="106"/>
      <c r="Z456" s="106"/>
    </row>
    <row r="457" spans="1:26" x14ac:dyDescent="0.25">
      <c r="A457" s="106">
        <v>455</v>
      </c>
      <c r="B457" s="103">
        <f t="shared" si="14"/>
        <v>45654</v>
      </c>
      <c r="C457" s="126">
        <v>2024</v>
      </c>
      <c r="D457" s="102">
        <f>YEAR(MC[[#This Row],[Date]])</f>
        <v>2024</v>
      </c>
      <c r="E457" s="101" t="s">
        <v>73</v>
      </c>
      <c r="F457" s="101" t="s">
        <v>73</v>
      </c>
      <c r="G457" s="1" t="str">
        <f>TEXT(MC[[#This Row],[Date]],"mmm-yy")</f>
        <v>Dec-24</v>
      </c>
      <c r="H457" s="1">
        <f>DAY(EOMONTH(MC[[#This Row],[Month Year]],0))</f>
        <v>31</v>
      </c>
      <c r="I457" s="106"/>
      <c r="J457" s="106"/>
      <c r="K457" s="106"/>
      <c r="L457" s="106"/>
      <c r="M457" s="106"/>
      <c r="N457" s="106"/>
      <c r="O457" s="106"/>
      <c r="P457" s="106"/>
      <c r="Q457" s="106"/>
      <c r="R457" s="106">
        <f t="shared" si="15"/>
        <v>6000</v>
      </c>
      <c r="S457" s="1">
        <f>SUM(MC[[#This Row],[Blk1]:[Blk8]])</f>
        <v>6000</v>
      </c>
      <c r="T457" s="107">
        <v>0.29166666666666669</v>
      </c>
      <c r="U457" s="107">
        <v>0.41666666666666669</v>
      </c>
      <c r="V457" s="107">
        <v>0.66666666666666663</v>
      </c>
      <c r="W457" s="107">
        <v>0.79166666666666663</v>
      </c>
      <c r="X457" s="106" t="s">
        <v>88</v>
      </c>
      <c r="Y457" s="106"/>
      <c r="Z457" s="106"/>
    </row>
    <row r="458" spans="1:26" x14ac:dyDescent="0.25">
      <c r="A458" s="106">
        <v>456</v>
      </c>
      <c r="B458" s="103">
        <f t="shared" si="14"/>
        <v>45655</v>
      </c>
      <c r="C458" s="126">
        <v>2024</v>
      </c>
      <c r="D458" s="102">
        <f>YEAR(MC[[#This Row],[Date]])</f>
        <v>2024</v>
      </c>
      <c r="E458" s="101" t="s">
        <v>73</v>
      </c>
      <c r="F458" s="101" t="s">
        <v>73</v>
      </c>
      <c r="G458" s="1" t="str">
        <f>TEXT(MC[[#This Row],[Date]],"mmm-yy")</f>
        <v>Dec-24</v>
      </c>
      <c r="H458" s="1">
        <f>DAY(EOMONTH(MC[[#This Row],[Month Year]],0))</f>
        <v>31</v>
      </c>
      <c r="I458" s="106"/>
      <c r="J458" s="106"/>
      <c r="K458" s="106"/>
      <c r="L458" s="106"/>
      <c r="M458" s="106"/>
      <c r="N458" s="106"/>
      <c r="O458" s="106"/>
      <c r="P458" s="106"/>
      <c r="Q458" s="106"/>
      <c r="R458" s="106">
        <f t="shared" si="15"/>
        <v>6000</v>
      </c>
      <c r="S458" s="1">
        <f>SUM(MC[[#This Row],[Blk1]:[Blk8]])</f>
        <v>6000</v>
      </c>
      <c r="T458" s="107">
        <v>0.29166666666666669</v>
      </c>
      <c r="U458" s="107">
        <v>0.41666666666666669</v>
      </c>
      <c r="V458" s="107">
        <v>0.66666666666666663</v>
      </c>
      <c r="W458" s="107">
        <v>0.79166666666666663</v>
      </c>
      <c r="X458" s="106" t="s">
        <v>88</v>
      </c>
      <c r="Y458" s="106"/>
      <c r="Z458" s="106"/>
    </row>
    <row r="459" spans="1:26" x14ac:dyDescent="0.25">
      <c r="A459" s="106">
        <v>457</v>
      </c>
      <c r="B459" s="103">
        <f t="shared" si="14"/>
        <v>45656</v>
      </c>
      <c r="C459" s="126">
        <v>2024</v>
      </c>
      <c r="D459" s="102">
        <f>YEAR(MC[[#This Row],[Date]])</f>
        <v>2024</v>
      </c>
      <c r="E459" s="101" t="s">
        <v>73</v>
      </c>
      <c r="F459" s="101" t="s">
        <v>73</v>
      </c>
      <c r="G459" s="1" t="str">
        <f>TEXT(MC[[#This Row],[Date]],"mmm-yy")</f>
        <v>Dec-24</v>
      </c>
      <c r="H459" s="1">
        <f>DAY(EOMONTH(MC[[#This Row],[Month Year]],0))</f>
        <v>31</v>
      </c>
      <c r="I459" s="106"/>
      <c r="J459" s="106"/>
      <c r="K459" s="106"/>
      <c r="L459" s="106"/>
      <c r="M459" s="106"/>
      <c r="N459" s="106"/>
      <c r="O459" s="106"/>
      <c r="P459" s="106"/>
      <c r="Q459" s="106"/>
      <c r="R459" s="106">
        <f t="shared" si="15"/>
        <v>6000</v>
      </c>
      <c r="S459" s="1">
        <f>SUM(MC[[#This Row],[Blk1]:[Blk8]])</f>
        <v>6000</v>
      </c>
      <c r="T459" s="107">
        <v>0.29166666666666669</v>
      </c>
      <c r="U459" s="107">
        <v>0.41666666666666669</v>
      </c>
      <c r="V459" s="107">
        <v>0.66666666666666663</v>
      </c>
      <c r="W459" s="107">
        <v>0.79166666666666663</v>
      </c>
      <c r="X459" s="106" t="s">
        <v>88</v>
      </c>
      <c r="Y459" s="106"/>
      <c r="Z459" s="106"/>
    </row>
    <row r="460" spans="1:26" x14ac:dyDescent="0.25">
      <c r="A460" s="106">
        <v>458</v>
      </c>
      <c r="B460" s="103">
        <f t="shared" si="14"/>
        <v>45657</v>
      </c>
      <c r="C460" s="126">
        <v>2024</v>
      </c>
      <c r="D460" s="102">
        <f>YEAR(MC[[#This Row],[Date]])</f>
        <v>2024</v>
      </c>
      <c r="E460" s="101" t="s">
        <v>73</v>
      </c>
      <c r="F460" s="101" t="s">
        <v>73</v>
      </c>
      <c r="G460" s="1" t="str">
        <f>TEXT(MC[[#This Row],[Date]],"mmm-yy")</f>
        <v>Dec-24</v>
      </c>
      <c r="H460" s="1">
        <f>DAY(EOMONTH(MC[[#This Row],[Month Year]],0))</f>
        <v>31</v>
      </c>
      <c r="I460" s="106"/>
      <c r="J460" s="106"/>
      <c r="K460" s="106"/>
      <c r="L460" s="106"/>
      <c r="M460" s="106"/>
      <c r="N460" s="106"/>
      <c r="O460" s="106"/>
      <c r="P460" s="106"/>
      <c r="Q460" s="106"/>
      <c r="R460" s="106">
        <f t="shared" si="15"/>
        <v>6000</v>
      </c>
      <c r="S460" s="1">
        <v>17250</v>
      </c>
      <c r="T460" s="107">
        <v>0.29166666666666669</v>
      </c>
      <c r="U460" s="107">
        <v>0.41666666666666669</v>
      </c>
      <c r="V460" s="107">
        <v>0.66666666666666663</v>
      </c>
      <c r="W460" s="107">
        <v>0.79166666666666663</v>
      </c>
      <c r="X460" s="106" t="s">
        <v>88</v>
      </c>
      <c r="Y460" s="106"/>
      <c r="Z460" s="106"/>
    </row>
    <row r="461" spans="1:26" x14ac:dyDescent="0.25">
      <c r="A461" s="106">
        <v>459</v>
      </c>
      <c r="B461" s="103">
        <f t="shared" si="14"/>
        <v>45658</v>
      </c>
      <c r="C461" s="126">
        <v>2024</v>
      </c>
      <c r="D461" s="102">
        <f>YEAR(MC[[#This Row],[Date]])</f>
        <v>2025</v>
      </c>
      <c r="E461" s="101" t="s">
        <v>73</v>
      </c>
      <c r="F461" s="101" t="s">
        <v>73</v>
      </c>
      <c r="G461" s="1" t="str">
        <f>TEXT(MC[[#This Row],[Date]],"mmm-yy")</f>
        <v>Jan-25</v>
      </c>
      <c r="H461" s="1">
        <f>DAY(EOMONTH(MC[[#This Row],[Month Year]],0))</f>
        <v>31</v>
      </c>
      <c r="I461" s="106"/>
      <c r="J461" s="106"/>
      <c r="K461" s="106"/>
      <c r="L461" s="106"/>
      <c r="M461" s="106"/>
      <c r="N461" s="106"/>
      <c r="O461" s="106"/>
      <c r="P461" s="106"/>
      <c r="Q461" s="106"/>
      <c r="R461" s="106">
        <f t="shared" si="15"/>
        <v>6000</v>
      </c>
      <c r="S461" s="1">
        <f>SUM(MC[[#This Row],[Blk1]:[Blk8]])</f>
        <v>6000</v>
      </c>
      <c r="T461" s="106"/>
      <c r="U461" s="106"/>
      <c r="V461" s="106"/>
      <c r="W461" s="106"/>
      <c r="X461" s="106"/>
      <c r="Y461" s="106"/>
      <c r="Z461" s="106" t="s">
        <v>138</v>
      </c>
    </row>
    <row r="462" spans="1:26" x14ac:dyDescent="0.25">
      <c r="A462" s="106">
        <v>460</v>
      </c>
      <c r="B462" s="103">
        <f t="shared" si="14"/>
        <v>45659</v>
      </c>
      <c r="C462" s="126">
        <v>2024</v>
      </c>
      <c r="D462" s="102">
        <f>YEAR(MC[[#This Row],[Date]])</f>
        <v>2025</v>
      </c>
      <c r="E462" s="101" t="s">
        <v>73</v>
      </c>
      <c r="F462" s="101" t="s">
        <v>73</v>
      </c>
      <c r="G462" s="1" t="str">
        <f>TEXT(MC[[#This Row],[Date]],"mmm-yy")</f>
        <v>Jan-25</v>
      </c>
      <c r="H462" s="1">
        <f>DAY(EOMONTH(MC[[#This Row],[Month Year]],0))</f>
        <v>31</v>
      </c>
      <c r="I462" s="106"/>
      <c r="J462" s="106"/>
      <c r="K462" s="106"/>
      <c r="L462" s="106"/>
      <c r="M462" s="106"/>
      <c r="N462" s="106"/>
      <c r="O462" s="106"/>
      <c r="P462" s="106"/>
      <c r="Q462" s="106"/>
      <c r="R462" s="106">
        <f t="shared" si="15"/>
        <v>6000</v>
      </c>
      <c r="S462" s="1">
        <f>SUM(MC[[#This Row],[Blk1]:[Blk8]])</f>
        <v>6000</v>
      </c>
      <c r="T462" s="107">
        <v>0.29166666666666669</v>
      </c>
      <c r="U462" s="107">
        <v>0.41666666666666669</v>
      </c>
      <c r="V462" s="107">
        <v>0.66666666666666663</v>
      </c>
      <c r="W462" s="107">
        <v>0.79166666666666663</v>
      </c>
      <c r="X462" s="106" t="s">
        <v>88</v>
      </c>
      <c r="Y462" s="106"/>
      <c r="Z462" s="106"/>
    </row>
    <row r="463" spans="1:26" x14ac:dyDescent="0.25">
      <c r="A463" s="106">
        <v>461</v>
      </c>
      <c r="B463" s="103">
        <f t="shared" si="14"/>
        <v>45660</v>
      </c>
      <c r="C463" s="126">
        <v>2024</v>
      </c>
      <c r="D463" s="102">
        <f>YEAR(MC[[#This Row],[Date]])</f>
        <v>2025</v>
      </c>
      <c r="E463" s="101" t="s">
        <v>73</v>
      </c>
      <c r="F463" s="101" t="s">
        <v>73</v>
      </c>
      <c r="G463" s="1" t="str">
        <f>TEXT(MC[[#This Row],[Date]],"mmm-yy")</f>
        <v>Jan-25</v>
      </c>
      <c r="H463" s="1">
        <f>DAY(EOMONTH(MC[[#This Row],[Month Year]],0))</f>
        <v>31</v>
      </c>
      <c r="I463" s="106"/>
      <c r="J463" s="106"/>
      <c r="K463" s="106"/>
      <c r="L463" s="106"/>
      <c r="M463" s="106"/>
      <c r="N463" s="106"/>
      <c r="O463" s="106"/>
      <c r="P463" s="106"/>
      <c r="Q463" s="106"/>
      <c r="R463" s="106">
        <f t="shared" si="15"/>
        <v>6000</v>
      </c>
      <c r="S463" s="1">
        <v>14250</v>
      </c>
      <c r="T463" s="107">
        <v>0.29166666666666669</v>
      </c>
      <c r="U463" s="107">
        <v>0.41666666666666669</v>
      </c>
      <c r="V463" s="107">
        <v>0.66666666666666663</v>
      </c>
      <c r="W463" s="107">
        <v>0.79166666666666663</v>
      </c>
      <c r="X463" s="106" t="s">
        <v>88</v>
      </c>
      <c r="Y463" s="106"/>
      <c r="Z463" s="106"/>
    </row>
    <row r="464" spans="1:26" x14ac:dyDescent="0.25">
      <c r="A464" s="106">
        <v>462</v>
      </c>
      <c r="B464" s="103">
        <f t="shared" si="14"/>
        <v>45661</v>
      </c>
      <c r="C464" s="126">
        <v>2024</v>
      </c>
      <c r="D464" s="102">
        <f>YEAR(MC[[#This Row],[Date]])</f>
        <v>2025</v>
      </c>
      <c r="E464" s="101" t="s">
        <v>73</v>
      </c>
      <c r="F464" s="101" t="s">
        <v>73</v>
      </c>
      <c r="G464" s="1" t="str">
        <f>TEXT(MC[[#This Row],[Date]],"mmm-yy")</f>
        <v>Jan-25</v>
      </c>
      <c r="H464" s="1">
        <f>DAY(EOMONTH(MC[[#This Row],[Month Year]],0))</f>
        <v>31</v>
      </c>
      <c r="I464" s="106"/>
      <c r="J464" s="106"/>
      <c r="K464" s="106"/>
      <c r="L464" s="106"/>
      <c r="M464" s="106"/>
      <c r="N464" s="106"/>
      <c r="O464" s="106"/>
      <c r="P464" s="106"/>
      <c r="Q464" s="106"/>
      <c r="R464" s="106">
        <f t="shared" si="15"/>
        <v>6000</v>
      </c>
      <c r="S464" s="1">
        <f>SUM(MC[[#This Row],[Blk1]:[Blk8]])</f>
        <v>6000</v>
      </c>
      <c r="T464" s="107">
        <v>0.29166666666666669</v>
      </c>
      <c r="U464" s="107">
        <v>0.41666666666666669</v>
      </c>
      <c r="V464" s="107">
        <v>0.66666666666666663</v>
      </c>
      <c r="W464" s="107">
        <v>0.79166666666666663</v>
      </c>
      <c r="X464" s="106" t="s">
        <v>88</v>
      </c>
      <c r="Y464" s="106"/>
      <c r="Z464" s="106"/>
    </row>
    <row r="465" spans="1:26" x14ac:dyDescent="0.25">
      <c r="A465" s="106">
        <v>463</v>
      </c>
      <c r="B465" s="103">
        <f t="shared" si="14"/>
        <v>45662</v>
      </c>
      <c r="C465" s="126">
        <v>2024</v>
      </c>
      <c r="D465" s="102">
        <f>YEAR(MC[[#This Row],[Date]])</f>
        <v>2025</v>
      </c>
      <c r="E465" s="101" t="s">
        <v>73</v>
      </c>
      <c r="F465" s="101" t="s">
        <v>73</v>
      </c>
      <c r="G465" s="1" t="str">
        <f>TEXT(MC[[#This Row],[Date]],"mmm-yy")</f>
        <v>Jan-25</v>
      </c>
      <c r="H465" s="1">
        <f>DAY(EOMONTH(MC[[#This Row],[Month Year]],0))</f>
        <v>31</v>
      </c>
      <c r="I465" s="106"/>
      <c r="J465" s="106"/>
      <c r="K465" s="106"/>
      <c r="L465" s="106"/>
      <c r="M465" s="106"/>
      <c r="N465" s="106"/>
      <c r="O465" s="106"/>
      <c r="P465" s="106"/>
      <c r="Q465" s="106"/>
      <c r="R465" s="106">
        <f t="shared" si="15"/>
        <v>6000</v>
      </c>
      <c r="S465" s="1">
        <f>SUM(MC[[#This Row],[Blk1]:[Blk8]])</f>
        <v>6000</v>
      </c>
      <c r="T465" s="107">
        <v>0.29166666666666669</v>
      </c>
      <c r="U465" s="107">
        <v>0.41666666666666669</v>
      </c>
      <c r="V465" s="107">
        <v>0.66666666666666663</v>
      </c>
      <c r="W465" s="107">
        <v>0.79166666666666663</v>
      </c>
      <c r="X465" s="106" t="s">
        <v>88</v>
      </c>
      <c r="Y465" s="106"/>
      <c r="Z465" s="106"/>
    </row>
    <row r="466" spans="1:26" x14ac:dyDescent="0.25">
      <c r="A466" s="106">
        <v>464</v>
      </c>
      <c r="B466" s="103">
        <f t="shared" si="14"/>
        <v>45663</v>
      </c>
      <c r="C466" s="126">
        <v>2024</v>
      </c>
      <c r="D466" s="102">
        <f>YEAR(MC[[#This Row],[Date]])</f>
        <v>2025</v>
      </c>
      <c r="E466" s="101" t="s">
        <v>73</v>
      </c>
      <c r="F466" s="101" t="s">
        <v>73</v>
      </c>
      <c r="G466" s="1" t="str">
        <f>TEXT(MC[[#This Row],[Date]],"mmm-yy")</f>
        <v>Jan-25</v>
      </c>
      <c r="H466" s="1">
        <f>DAY(EOMONTH(MC[[#This Row],[Month Year]],0))</f>
        <v>31</v>
      </c>
      <c r="I466" s="106"/>
      <c r="J466" s="106"/>
      <c r="K466" s="106"/>
      <c r="L466" s="106"/>
      <c r="M466" s="106"/>
      <c r="N466" s="106"/>
      <c r="O466" s="106"/>
      <c r="P466" s="106"/>
      <c r="Q466" s="106"/>
      <c r="R466" s="106">
        <f t="shared" si="15"/>
        <v>6000</v>
      </c>
      <c r="S466" s="1">
        <f>SUM(MC[[#This Row],[Blk1]:[Blk8]])</f>
        <v>6000</v>
      </c>
      <c r="T466" s="107">
        <v>0.29166666666666669</v>
      </c>
      <c r="U466" s="107">
        <v>0.41666666666666669</v>
      </c>
      <c r="V466" s="107">
        <v>0.66666666666666663</v>
      </c>
      <c r="W466" s="107">
        <v>0.79166666666666663</v>
      </c>
      <c r="X466" s="106" t="s">
        <v>88</v>
      </c>
      <c r="Y466" s="106"/>
      <c r="Z466" s="106"/>
    </row>
    <row r="467" spans="1:26" x14ac:dyDescent="0.25">
      <c r="A467" s="106">
        <v>465</v>
      </c>
      <c r="B467" s="103">
        <f t="shared" si="14"/>
        <v>45664</v>
      </c>
      <c r="C467" s="126">
        <v>2024</v>
      </c>
      <c r="D467" s="102">
        <f>YEAR(MC[[#This Row],[Date]])</f>
        <v>2025</v>
      </c>
      <c r="E467" s="101" t="s">
        <v>73</v>
      </c>
      <c r="F467" s="101" t="s">
        <v>73</v>
      </c>
      <c r="G467" s="1" t="str">
        <f>TEXT(MC[[#This Row],[Date]],"mmm-yy")</f>
        <v>Jan-25</v>
      </c>
      <c r="H467" s="1">
        <f>DAY(EOMONTH(MC[[#This Row],[Month Year]],0))</f>
        <v>31</v>
      </c>
      <c r="I467" s="106"/>
      <c r="J467" s="106"/>
      <c r="K467" s="106"/>
      <c r="L467" s="106"/>
      <c r="M467" s="106"/>
      <c r="N467" s="106"/>
      <c r="O467" s="106"/>
      <c r="P467" s="106"/>
      <c r="Q467" s="106"/>
      <c r="R467" s="106">
        <f t="shared" si="15"/>
        <v>6000</v>
      </c>
      <c r="S467" s="1">
        <f>SUM(MC[[#This Row],[Blk1]:[Blk8]])</f>
        <v>6000</v>
      </c>
      <c r="T467" s="107">
        <v>0.29166666666666669</v>
      </c>
      <c r="U467" s="107">
        <v>0.41666666666666669</v>
      </c>
      <c r="V467" s="107">
        <v>0.66666666666666663</v>
      </c>
      <c r="W467" s="107">
        <v>0.79166666666666663</v>
      </c>
      <c r="X467" s="106" t="s">
        <v>88</v>
      </c>
      <c r="Y467" s="106"/>
      <c r="Z467" s="106"/>
    </row>
    <row r="468" spans="1:26" x14ac:dyDescent="0.25">
      <c r="A468" s="106">
        <v>466</v>
      </c>
      <c r="B468" s="103">
        <f t="shared" si="14"/>
        <v>45665</v>
      </c>
      <c r="C468" s="126">
        <v>2024</v>
      </c>
      <c r="D468" s="102">
        <f>YEAR(MC[[#This Row],[Date]])</f>
        <v>2025</v>
      </c>
      <c r="E468" s="101" t="s">
        <v>73</v>
      </c>
      <c r="F468" s="101" t="s">
        <v>73</v>
      </c>
      <c r="G468" s="1" t="str">
        <f>TEXT(MC[[#This Row],[Date]],"mmm-yy")</f>
        <v>Jan-25</v>
      </c>
      <c r="H468" s="1">
        <f>DAY(EOMONTH(MC[[#This Row],[Month Year]],0))</f>
        <v>31</v>
      </c>
      <c r="I468" s="106"/>
      <c r="J468" s="106"/>
      <c r="K468" s="106"/>
      <c r="L468" s="106"/>
      <c r="M468" s="106"/>
      <c r="N468" s="106"/>
      <c r="O468" s="106"/>
      <c r="P468" s="106"/>
      <c r="Q468" s="106"/>
      <c r="R468" s="106">
        <f t="shared" si="15"/>
        <v>6000</v>
      </c>
      <c r="S468" s="1">
        <f>SUM(MC[[#This Row],[Blk1]:[Blk8]])</f>
        <v>6000</v>
      </c>
      <c r="T468" s="107">
        <v>0.29166666666666669</v>
      </c>
      <c r="U468" s="107">
        <v>0.41666666666666669</v>
      </c>
      <c r="V468" s="107">
        <v>0.66666666666666663</v>
      </c>
      <c r="W468" s="107">
        <v>0.79166666666666663</v>
      </c>
      <c r="X468" s="106" t="s">
        <v>88</v>
      </c>
      <c r="Y468" s="106"/>
      <c r="Z468" s="106"/>
    </row>
    <row r="469" spans="1:26" x14ac:dyDescent="0.25">
      <c r="A469" s="106">
        <v>467</v>
      </c>
      <c r="B469" s="103">
        <f t="shared" si="14"/>
        <v>45666</v>
      </c>
      <c r="C469" s="126">
        <v>2024</v>
      </c>
      <c r="D469" s="102">
        <f>YEAR(MC[[#This Row],[Date]])</f>
        <v>2025</v>
      </c>
      <c r="E469" s="101" t="s">
        <v>73</v>
      </c>
      <c r="F469" s="101" t="s">
        <v>73</v>
      </c>
      <c r="G469" s="1" t="str">
        <f>TEXT(MC[[#This Row],[Date]],"mmm-yy")</f>
        <v>Jan-25</v>
      </c>
      <c r="H469" s="1">
        <f>DAY(EOMONTH(MC[[#This Row],[Month Year]],0))</f>
        <v>31</v>
      </c>
      <c r="I469" s="106"/>
      <c r="J469" s="106"/>
      <c r="K469" s="106"/>
      <c r="L469" s="106"/>
      <c r="M469" s="106"/>
      <c r="N469" s="106"/>
      <c r="O469" s="106"/>
      <c r="P469" s="106"/>
      <c r="Q469" s="106"/>
      <c r="R469" s="106">
        <f t="shared" si="15"/>
        <v>6000</v>
      </c>
      <c r="S469" s="1">
        <f>SUM(MC[[#This Row],[Blk1]:[Blk8]])</f>
        <v>6000</v>
      </c>
      <c r="T469" s="107">
        <v>0.29166666666666669</v>
      </c>
      <c r="U469" s="107">
        <v>0.41666666666666669</v>
      </c>
      <c r="V469" s="107">
        <v>0.66666666666666663</v>
      </c>
      <c r="W469" s="107">
        <v>0.79166666666666663</v>
      </c>
      <c r="X469" s="106" t="s">
        <v>88</v>
      </c>
      <c r="Y469" s="106"/>
      <c r="Z469" s="106"/>
    </row>
    <row r="470" spans="1:26" x14ac:dyDescent="0.25">
      <c r="A470" s="106">
        <v>468</v>
      </c>
      <c r="B470" s="103">
        <f t="shared" si="14"/>
        <v>45667</v>
      </c>
      <c r="C470" s="126">
        <v>2024</v>
      </c>
      <c r="D470" s="102">
        <f>YEAR(MC[[#This Row],[Date]])</f>
        <v>2025</v>
      </c>
      <c r="E470" s="101" t="s">
        <v>73</v>
      </c>
      <c r="F470" s="101" t="s">
        <v>73</v>
      </c>
      <c r="G470" s="1" t="str">
        <f>TEXT(MC[[#This Row],[Date]],"mmm-yy")</f>
        <v>Jan-25</v>
      </c>
      <c r="H470" s="1">
        <f>DAY(EOMONTH(MC[[#This Row],[Month Year]],0))</f>
        <v>31</v>
      </c>
      <c r="I470" s="106"/>
      <c r="J470" s="106"/>
      <c r="K470" s="106"/>
      <c r="L470" s="106"/>
      <c r="M470" s="106"/>
      <c r="N470" s="106"/>
      <c r="O470" s="106"/>
      <c r="P470" s="106"/>
      <c r="Q470" s="106"/>
      <c r="R470" s="106">
        <f t="shared" si="15"/>
        <v>6000</v>
      </c>
      <c r="S470" s="1">
        <f>SUM(MC[[#This Row],[Blk1]:[Blk8]])</f>
        <v>6000</v>
      </c>
      <c r="T470" s="107">
        <v>0.29166666666666669</v>
      </c>
      <c r="U470" s="107">
        <v>0.41666666666666669</v>
      </c>
      <c r="V470" s="107">
        <v>0.66666666666666663</v>
      </c>
      <c r="W470" s="107">
        <v>0.79166666666666663</v>
      </c>
      <c r="X470" s="106" t="s">
        <v>88</v>
      </c>
      <c r="Y470" s="106"/>
      <c r="Z470" s="106"/>
    </row>
    <row r="471" spans="1:26" x14ac:dyDescent="0.25">
      <c r="A471" s="106">
        <v>469</v>
      </c>
      <c r="B471" s="103">
        <f t="shared" si="14"/>
        <v>45668</v>
      </c>
      <c r="C471" s="126">
        <v>2024</v>
      </c>
      <c r="D471" s="102">
        <f>YEAR(MC[[#This Row],[Date]])</f>
        <v>2025</v>
      </c>
      <c r="E471" s="101" t="s">
        <v>73</v>
      </c>
      <c r="F471" s="101" t="s">
        <v>73</v>
      </c>
      <c r="G471" s="1" t="str">
        <f>TEXT(MC[[#This Row],[Date]],"mmm-yy")</f>
        <v>Jan-25</v>
      </c>
      <c r="H471" s="1">
        <f>DAY(EOMONTH(MC[[#This Row],[Month Year]],0))</f>
        <v>31</v>
      </c>
      <c r="I471" s="106"/>
      <c r="J471" s="106"/>
      <c r="K471" s="106"/>
      <c r="L471" s="106"/>
      <c r="M471" s="106"/>
      <c r="N471" s="106"/>
      <c r="O471" s="106"/>
      <c r="P471" s="106"/>
      <c r="Q471" s="106"/>
      <c r="R471" s="106">
        <f t="shared" si="15"/>
        <v>6000</v>
      </c>
      <c r="S471" s="1">
        <f>SUM(MC[[#This Row],[Blk1]:[Blk8]])</f>
        <v>6000</v>
      </c>
      <c r="T471" s="107">
        <v>0.29166666666666669</v>
      </c>
      <c r="U471" s="107">
        <v>0.41666666666666669</v>
      </c>
      <c r="V471" s="107">
        <v>0.66666666666666663</v>
      </c>
      <c r="W471" s="107">
        <v>0.79166666666666663</v>
      </c>
      <c r="X471" s="106" t="s">
        <v>88</v>
      </c>
      <c r="Y471" s="106"/>
      <c r="Z471" s="106"/>
    </row>
    <row r="472" spans="1:26" x14ac:dyDescent="0.25">
      <c r="A472" s="106">
        <v>470</v>
      </c>
      <c r="B472" s="103">
        <f t="shared" si="14"/>
        <v>45669</v>
      </c>
      <c r="C472" s="126">
        <v>2024</v>
      </c>
      <c r="D472" s="102">
        <f>YEAR(MC[[#This Row],[Date]])</f>
        <v>2025</v>
      </c>
      <c r="E472" s="101" t="s">
        <v>73</v>
      </c>
      <c r="F472" s="101" t="s">
        <v>73</v>
      </c>
      <c r="G472" s="1" t="str">
        <f>TEXT(MC[[#This Row],[Date]],"mmm-yy")</f>
        <v>Jan-25</v>
      </c>
      <c r="H472" s="1">
        <f>DAY(EOMONTH(MC[[#This Row],[Month Year]],0))</f>
        <v>31</v>
      </c>
      <c r="I472" s="106"/>
      <c r="J472" s="106"/>
      <c r="K472" s="106"/>
      <c r="L472" s="106"/>
      <c r="M472" s="106"/>
      <c r="N472" s="106"/>
      <c r="O472" s="106"/>
      <c r="P472" s="106"/>
      <c r="Q472" s="106"/>
      <c r="R472" s="106">
        <f t="shared" si="15"/>
        <v>6000</v>
      </c>
      <c r="S472" s="1">
        <f>SUM(MC[[#This Row],[Blk1]:[Blk8]])</f>
        <v>6000</v>
      </c>
      <c r="T472" s="107">
        <v>0.29166666666666669</v>
      </c>
      <c r="U472" s="107">
        <v>0.41666666666666669</v>
      </c>
      <c r="V472" s="107">
        <v>0.66666666666666663</v>
      </c>
      <c r="W472" s="107">
        <v>0.79166666666666663</v>
      </c>
      <c r="X472" s="106" t="s">
        <v>88</v>
      </c>
      <c r="Y472" s="106"/>
      <c r="Z472" s="106"/>
    </row>
    <row r="473" spans="1:26" x14ac:dyDescent="0.25">
      <c r="A473" s="106">
        <v>471</v>
      </c>
      <c r="B473" s="103">
        <f t="shared" si="14"/>
        <v>45670</v>
      </c>
      <c r="C473" s="126">
        <v>2024</v>
      </c>
      <c r="D473" s="102">
        <f>YEAR(MC[[#This Row],[Date]])</f>
        <v>2025</v>
      </c>
      <c r="E473" s="101" t="s">
        <v>73</v>
      </c>
      <c r="F473" s="101" t="s">
        <v>73</v>
      </c>
      <c r="G473" s="1" t="str">
        <f>TEXT(MC[[#This Row],[Date]],"mmm-yy")</f>
        <v>Jan-25</v>
      </c>
      <c r="H473" s="1">
        <f>DAY(EOMONTH(MC[[#This Row],[Month Year]],0))</f>
        <v>31</v>
      </c>
      <c r="I473" s="106"/>
      <c r="J473" s="106"/>
      <c r="K473" s="106"/>
      <c r="L473" s="106"/>
      <c r="M473" s="106"/>
      <c r="N473" s="106"/>
      <c r="O473" s="106"/>
      <c r="P473" s="106"/>
      <c r="Q473" s="106"/>
      <c r="R473" s="106">
        <f t="shared" si="15"/>
        <v>6000</v>
      </c>
      <c r="S473" s="1">
        <f>SUM(MC[[#This Row],[Blk1]:[Blk8]])</f>
        <v>6000</v>
      </c>
      <c r="T473" s="107">
        <v>0.29166666666666669</v>
      </c>
      <c r="U473" s="107">
        <v>0.41666666666666669</v>
      </c>
      <c r="V473" s="107">
        <v>0.66666666666666663</v>
      </c>
      <c r="W473" s="107">
        <v>0.79166666666666663</v>
      </c>
      <c r="X473" s="106" t="s">
        <v>88</v>
      </c>
      <c r="Y473" s="106"/>
      <c r="Z473" s="106"/>
    </row>
    <row r="474" spans="1:26" x14ac:dyDescent="0.25">
      <c r="A474" s="106">
        <v>472</v>
      </c>
      <c r="B474" s="103">
        <f t="shared" si="14"/>
        <v>45671</v>
      </c>
      <c r="C474" s="126">
        <v>2024</v>
      </c>
      <c r="D474" s="102">
        <f>YEAR(MC[[#This Row],[Date]])</f>
        <v>2025</v>
      </c>
      <c r="E474" s="101" t="s">
        <v>73</v>
      </c>
      <c r="F474" s="101" t="s">
        <v>73</v>
      </c>
      <c r="G474" s="1" t="str">
        <f>TEXT(MC[[#This Row],[Date]],"mmm-yy")</f>
        <v>Jan-25</v>
      </c>
      <c r="H474" s="1">
        <f>DAY(EOMONTH(MC[[#This Row],[Month Year]],0))</f>
        <v>31</v>
      </c>
      <c r="I474" s="106"/>
      <c r="J474" s="106"/>
      <c r="K474" s="106"/>
      <c r="L474" s="106"/>
      <c r="M474" s="106"/>
      <c r="N474" s="106"/>
      <c r="O474" s="106"/>
      <c r="P474" s="106"/>
      <c r="Q474" s="106"/>
      <c r="R474" s="106">
        <f t="shared" si="15"/>
        <v>6000</v>
      </c>
      <c r="S474" s="1">
        <f>SUM(MC[[#This Row],[Blk1]:[Blk8]])</f>
        <v>6000</v>
      </c>
      <c r="T474" s="107">
        <v>0.29166666666666669</v>
      </c>
      <c r="U474" s="107">
        <v>0.41666666666666669</v>
      </c>
      <c r="V474" s="107">
        <v>0.66666666666666663</v>
      </c>
      <c r="W474" s="107">
        <v>0.79166666666666663</v>
      </c>
      <c r="X474" s="106" t="s">
        <v>88</v>
      </c>
      <c r="Y474" s="106"/>
      <c r="Z474" s="106"/>
    </row>
    <row r="475" spans="1:26" x14ac:dyDescent="0.25">
      <c r="A475" s="106">
        <v>473</v>
      </c>
      <c r="B475" s="103">
        <f t="shared" si="14"/>
        <v>45672</v>
      </c>
      <c r="C475" s="126">
        <v>2024</v>
      </c>
      <c r="D475" s="102">
        <f>YEAR(MC[[#This Row],[Date]])</f>
        <v>2025</v>
      </c>
      <c r="E475" s="101" t="s">
        <v>73</v>
      </c>
      <c r="F475" s="101" t="s">
        <v>73</v>
      </c>
      <c r="G475" s="1" t="str">
        <f>TEXT(MC[[#This Row],[Date]],"mmm-yy")</f>
        <v>Jan-25</v>
      </c>
      <c r="H475" s="1">
        <f>DAY(EOMONTH(MC[[#This Row],[Month Year]],0))</f>
        <v>31</v>
      </c>
      <c r="I475" s="106"/>
      <c r="J475" s="106"/>
      <c r="K475" s="106"/>
      <c r="L475" s="106"/>
      <c r="M475" s="106"/>
      <c r="N475" s="106"/>
      <c r="O475" s="106"/>
      <c r="P475" s="106"/>
      <c r="Q475" s="106"/>
      <c r="R475" s="106">
        <f t="shared" si="15"/>
        <v>6000</v>
      </c>
      <c r="S475" s="1">
        <f>SUM(MC[[#This Row],[Blk1]:[Blk8]])</f>
        <v>6000</v>
      </c>
      <c r="T475" s="107">
        <v>0.29166666666666669</v>
      </c>
      <c r="U475" s="107">
        <v>0.41666666666666669</v>
      </c>
      <c r="V475" s="107">
        <v>0.66666666666666663</v>
      </c>
      <c r="W475" s="107">
        <v>0.79166666666666663</v>
      </c>
      <c r="X475" s="106" t="s">
        <v>88</v>
      </c>
      <c r="Y475" s="106"/>
      <c r="Z475" s="106"/>
    </row>
    <row r="476" spans="1:26" x14ac:dyDescent="0.25">
      <c r="A476" s="106">
        <v>474</v>
      </c>
      <c r="B476" s="103">
        <f t="shared" si="14"/>
        <v>45673</v>
      </c>
      <c r="C476" s="126">
        <v>2024</v>
      </c>
      <c r="D476" s="102">
        <f>YEAR(MC[[#This Row],[Date]])</f>
        <v>2025</v>
      </c>
      <c r="E476" s="101" t="s">
        <v>73</v>
      </c>
      <c r="F476" s="101" t="s">
        <v>73</v>
      </c>
      <c r="G476" s="1" t="str">
        <f>TEXT(MC[[#This Row],[Date]],"mmm-yy")</f>
        <v>Jan-25</v>
      </c>
      <c r="H476" s="1">
        <f>DAY(EOMONTH(MC[[#This Row],[Month Year]],0))</f>
        <v>31</v>
      </c>
      <c r="I476" s="106"/>
      <c r="J476" s="106"/>
      <c r="K476" s="106"/>
      <c r="L476" s="106"/>
      <c r="M476" s="106"/>
      <c r="N476" s="106"/>
      <c r="O476" s="106"/>
      <c r="P476" s="106"/>
      <c r="Q476" s="106"/>
      <c r="R476" s="106">
        <f t="shared" si="15"/>
        <v>6000</v>
      </c>
      <c r="S476" s="1">
        <f>SUM(MC[[#This Row],[Blk1]:[Blk8]])</f>
        <v>6000</v>
      </c>
      <c r="T476" s="107">
        <v>0.29166666666666669</v>
      </c>
      <c r="U476" s="107">
        <v>0.41666666666666669</v>
      </c>
      <c r="V476" s="107">
        <v>0.66666666666666663</v>
      </c>
      <c r="W476" s="107">
        <v>0.79166666666666663</v>
      </c>
      <c r="X476" s="106" t="s">
        <v>88</v>
      </c>
      <c r="Y476" s="106"/>
      <c r="Z476" s="106"/>
    </row>
    <row r="477" spans="1:26" x14ac:dyDescent="0.25">
      <c r="A477" s="106">
        <v>475</v>
      </c>
      <c r="B477" s="103">
        <f t="shared" si="14"/>
        <v>45674</v>
      </c>
      <c r="C477" s="126">
        <v>2024</v>
      </c>
      <c r="D477" s="102">
        <f>YEAR(MC[[#This Row],[Date]])</f>
        <v>2025</v>
      </c>
      <c r="E477" s="101" t="s">
        <v>73</v>
      </c>
      <c r="F477" s="101" t="s">
        <v>73</v>
      </c>
      <c r="G477" s="1" t="str">
        <f>TEXT(MC[[#This Row],[Date]],"mmm-yy")</f>
        <v>Jan-25</v>
      </c>
      <c r="H477" s="1">
        <f>DAY(EOMONTH(MC[[#This Row],[Month Year]],0))</f>
        <v>31</v>
      </c>
      <c r="I477" s="106"/>
      <c r="J477" s="106"/>
      <c r="K477" s="106"/>
      <c r="L477" s="106"/>
      <c r="M477" s="106"/>
      <c r="N477" s="106"/>
      <c r="O477" s="106"/>
      <c r="P477" s="106"/>
      <c r="Q477" s="106"/>
      <c r="R477" s="106">
        <f t="shared" si="15"/>
        <v>6000</v>
      </c>
      <c r="S477" s="1">
        <f>SUM(MC[[#This Row],[Blk1]:[Blk8]])</f>
        <v>6000</v>
      </c>
      <c r="T477" s="107">
        <v>0.29166666666666669</v>
      </c>
      <c r="U477" s="107">
        <v>0.41666666666666669</v>
      </c>
      <c r="V477" s="107">
        <v>0.66666666666666663</v>
      </c>
      <c r="W477" s="107">
        <v>0.79166666666666663</v>
      </c>
      <c r="X477" s="106" t="s">
        <v>88</v>
      </c>
      <c r="Y477" s="106"/>
      <c r="Z477" s="106"/>
    </row>
    <row r="478" spans="1:26" x14ac:dyDescent="0.25">
      <c r="A478" s="106">
        <v>476</v>
      </c>
      <c r="B478" s="103">
        <f t="shared" si="14"/>
        <v>45675</v>
      </c>
      <c r="C478" s="126">
        <v>2024</v>
      </c>
      <c r="D478" s="102">
        <f>YEAR(MC[[#This Row],[Date]])</f>
        <v>2025</v>
      </c>
      <c r="E478" s="101" t="s">
        <v>73</v>
      </c>
      <c r="F478" s="101" t="s">
        <v>73</v>
      </c>
      <c r="G478" s="1" t="str">
        <f>TEXT(MC[[#This Row],[Date]],"mmm-yy")</f>
        <v>Jan-25</v>
      </c>
      <c r="H478" s="1">
        <f>DAY(EOMONTH(MC[[#This Row],[Month Year]],0))</f>
        <v>31</v>
      </c>
      <c r="I478" s="106"/>
      <c r="J478" s="106"/>
      <c r="K478" s="106"/>
      <c r="L478" s="106"/>
      <c r="M478" s="106"/>
      <c r="N478" s="106"/>
      <c r="O478" s="106"/>
      <c r="P478" s="106"/>
      <c r="Q478" s="106"/>
      <c r="R478" s="106">
        <f t="shared" si="15"/>
        <v>6000</v>
      </c>
      <c r="S478" s="1">
        <f>SUM(MC[[#This Row],[Blk1]:[Blk8]])</f>
        <v>6000</v>
      </c>
      <c r="T478" s="107">
        <v>0.29166666666666669</v>
      </c>
      <c r="U478" s="107">
        <v>0.41666666666666669</v>
      </c>
      <c r="V478" s="107">
        <v>0.66666666666666663</v>
      </c>
      <c r="W478" s="107">
        <v>0.79166666666666663</v>
      </c>
      <c r="X478" s="106" t="s">
        <v>88</v>
      </c>
      <c r="Y478" s="106"/>
      <c r="Z478" s="106"/>
    </row>
    <row r="479" spans="1:26" x14ac:dyDescent="0.25">
      <c r="A479" s="106">
        <v>477</v>
      </c>
      <c r="B479" s="103">
        <f t="shared" si="14"/>
        <v>45676</v>
      </c>
      <c r="C479" s="126">
        <v>2024</v>
      </c>
      <c r="D479" s="102">
        <f>YEAR(MC[[#This Row],[Date]])</f>
        <v>2025</v>
      </c>
      <c r="E479" s="101" t="s">
        <v>73</v>
      </c>
      <c r="F479" s="101" t="s">
        <v>73</v>
      </c>
      <c r="G479" s="1" t="str">
        <f>TEXT(MC[[#This Row],[Date]],"mmm-yy")</f>
        <v>Jan-25</v>
      </c>
      <c r="H479" s="1">
        <f>DAY(EOMONTH(MC[[#This Row],[Month Year]],0))</f>
        <v>31</v>
      </c>
      <c r="I479" s="106"/>
      <c r="J479" s="106"/>
      <c r="K479" s="106"/>
      <c r="L479" s="106"/>
      <c r="M479" s="106"/>
      <c r="N479" s="106"/>
      <c r="O479" s="106"/>
      <c r="P479" s="106"/>
      <c r="Q479" s="106"/>
      <c r="R479" s="106">
        <f t="shared" si="15"/>
        <v>6000</v>
      </c>
      <c r="S479" s="1">
        <f>SUM(MC[[#This Row],[Blk1]:[Blk8]])</f>
        <v>6000</v>
      </c>
      <c r="T479" s="107">
        <v>0.29166666666666669</v>
      </c>
      <c r="U479" s="107">
        <v>0.41666666666666669</v>
      </c>
      <c r="V479" s="107">
        <v>0.66666666666666663</v>
      </c>
      <c r="W479" s="107">
        <v>0.79166666666666663</v>
      </c>
      <c r="X479" s="106" t="s">
        <v>88</v>
      </c>
      <c r="Y479" s="106"/>
      <c r="Z479" s="106"/>
    </row>
    <row r="480" spans="1:26" x14ac:dyDescent="0.25">
      <c r="A480" s="106">
        <v>478</v>
      </c>
      <c r="B480" s="103">
        <f t="shared" si="14"/>
        <v>45677</v>
      </c>
      <c r="C480" s="126">
        <v>2024</v>
      </c>
      <c r="D480" s="102">
        <f>YEAR(MC[[#This Row],[Date]])</f>
        <v>2025</v>
      </c>
      <c r="E480" s="101" t="s">
        <v>73</v>
      </c>
      <c r="F480" s="101" t="s">
        <v>73</v>
      </c>
      <c r="G480" s="1" t="str">
        <f>TEXT(MC[[#This Row],[Date]],"mmm-yy")</f>
        <v>Jan-25</v>
      </c>
      <c r="H480" s="1">
        <f>DAY(EOMONTH(MC[[#This Row],[Month Year]],0))</f>
        <v>31</v>
      </c>
      <c r="I480" s="106"/>
      <c r="J480" s="106"/>
      <c r="K480" s="106"/>
      <c r="L480" s="106"/>
      <c r="M480" s="106"/>
      <c r="N480" s="106"/>
      <c r="O480" s="106"/>
      <c r="P480" s="106"/>
      <c r="Q480" s="106"/>
      <c r="R480" s="106">
        <f t="shared" si="15"/>
        <v>6000</v>
      </c>
      <c r="S480" s="1">
        <f>SUM(MC[[#This Row],[Blk1]:[Blk8]])</f>
        <v>6000</v>
      </c>
      <c r="T480" s="107">
        <v>0.29166666666666669</v>
      </c>
      <c r="U480" s="107">
        <v>0.41666666666666669</v>
      </c>
      <c r="V480" s="107">
        <v>0.66666666666666663</v>
      </c>
      <c r="W480" s="107">
        <v>0.79166666666666663</v>
      </c>
      <c r="X480" s="106" t="s">
        <v>88</v>
      </c>
      <c r="Y480" s="106"/>
      <c r="Z480" s="106"/>
    </row>
    <row r="481" spans="1:26" x14ac:dyDescent="0.25">
      <c r="A481" s="106">
        <v>479</v>
      </c>
      <c r="B481" s="103">
        <f t="shared" si="14"/>
        <v>45678</v>
      </c>
      <c r="C481" s="126">
        <v>2024</v>
      </c>
      <c r="D481" s="102">
        <f>YEAR(MC[[#This Row],[Date]])</f>
        <v>2025</v>
      </c>
      <c r="E481" s="101" t="s">
        <v>73</v>
      </c>
      <c r="F481" s="101" t="s">
        <v>73</v>
      </c>
      <c r="G481" s="1" t="str">
        <f>TEXT(MC[[#This Row],[Date]],"mmm-yy")</f>
        <v>Jan-25</v>
      </c>
      <c r="H481" s="1">
        <f>DAY(EOMONTH(MC[[#This Row],[Month Year]],0))</f>
        <v>31</v>
      </c>
      <c r="I481" s="106"/>
      <c r="J481" s="106"/>
      <c r="K481" s="106"/>
      <c r="L481" s="106"/>
      <c r="M481" s="106"/>
      <c r="N481" s="106"/>
      <c r="O481" s="106"/>
      <c r="P481" s="106"/>
      <c r="Q481" s="106"/>
      <c r="R481" s="106">
        <f t="shared" si="15"/>
        <v>6000</v>
      </c>
      <c r="S481" s="1">
        <f>SUM(MC[[#This Row],[Blk1]:[Blk8]])</f>
        <v>6000</v>
      </c>
      <c r="T481" s="107">
        <v>0.29166666666666669</v>
      </c>
      <c r="U481" s="107">
        <v>0.41666666666666669</v>
      </c>
      <c r="V481" s="107">
        <v>0.66666666666666663</v>
      </c>
      <c r="W481" s="107">
        <v>0.79166666666666663</v>
      </c>
      <c r="X481" s="106" t="s">
        <v>88</v>
      </c>
      <c r="Y481" s="106"/>
      <c r="Z481" s="106"/>
    </row>
    <row r="482" spans="1:26" x14ac:dyDescent="0.25">
      <c r="A482" s="106">
        <v>480</v>
      </c>
      <c r="B482" s="103">
        <f t="shared" si="14"/>
        <v>45679</v>
      </c>
      <c r="C482" s="126">
        <v>2024</v>
      </c>
      <c r="D482" s="102">
        <f>YEAR(MC[[#This Row],[Date]])</f>
        <v>2025</v>
      </c>
      <c r="E482" s="101" t="s">
        <v>73</v>
      </c>
      <c r="F482" s="101" t="s">
        <v>73</v>
      </c>
      <c r="G482" s="1" t="str">
        <f>TEXT(MC[[#This Row],[Date]],"mmm-yy")</f>
        <v>Jan-25</v>
      </c>
      <c r="H482" s="1">
        <f>DAY(EOMONTH(MC[[#This Row],[Month Year]],0))</f>
        <v>31</v>
      </c>
      <c r="I482" s="106"/>
      <c r="J482" s="106"/>
      <c r="K482" s="106"/>
      <c r="L482" s="106"/>
      <c r="M482" s="106"/>
      <c r="N482" s="106"/>
      <c r="O482" s="106"/>
      <c r="P482" s="106"/>
      <c r="Q482" s="106"/>
      <c r="R482" s="106">
        <f t="shared" si="15"/>
        <v>6000</v>
      </c>
      <c r="S482" s="1">
        <f>SUM(MC[[#This Row],[Blk1]:[Blk8]])</f>
        <v>6000</v>
      </c>
      <c r="T482" s="107">
        <v>0.29166666666666669</v>
      </c>
      <c r="U482" s="107">
        <v>0.41666666666666669</v>
      </c>
      <c r="V482" s="107">
        <v>0.66666666666666663</v>
      </c>
      <c r="W482" s="107">
        <v>0.79166666666666663</v>
      </c>
      <c r="X482" s="106" t="s">
        <v>88</v>
      </c>
      <c r="Y482" s="106"/>
      <c r="Z482" s="106"/>
    </row>
    <row r="483" spans="1:26" x14ac:dyDescent="0.25">
      <c r="A483" s="106">
        <v>481</v>
      </c>
      <c r="B483" s="103">
        <f t="shared" si="14"/>
        <v>45680</v>
      </c>
      <c r="C483" s="126">
        <v>2024</v>
      </c>
      <c r="D483" s="102">
        <f>YEAR(MC[[#This Row],[Date]])</f>
        <v>2025</v>
      </c>
      <c r="E483" s="101" t="s">
        <v>73</v>
      </c>
      <c r="F483" s="101" t="s">
        <v>73</v>
      </c>
      <c r="G483" s="1" t="str">
        <f>TEXT(MC[[#This Row],[Date]],"mmm-yy")</f>
        <v>Jan-25</v>
      </c>
      <c r="H483" s="1">
        <f>DAY(EOMONTH(MC[[#This Row],[Month Year]],0))</f>
        <v>31</v>
      </c>
      <c r="I483" s="106"/>
      <c r="J483" s="106"/>
      <c r="K483" s="106"/>
      <c r="L483" s="106"/>
      <c r="M483" s="106"/>
      <c r="N483" s="106"/>
      <c r="O483" s="106"/>
      <c r="P483" s="106"/>
      <c r="Q483" s="106"/>
      <c r="R483" s="106">
        <f t="shared" si="15"/>
        <v>6000</v>
      </c>
      <c r="S483" s="1">
        <f>SUM(MC[[#This Row],[Blk1]:[Blk8]])</f>
        <v>6000</v>
      </c>
      <c r="T483" s="107"/>
      <c r="U483" s="107"/>
      <c r="V483" s="107"/>
      <c r="W483" s="107"/>
      <c r="X483" s="106"/>
      <c r="Y483" s="106"/>
      <c r="Z483" s="106" t="s">
        <v>139</v>
      </c>
    </row>
    <row r="484" spans="1:26" x14ac:dyDescent="0.25">
      <c r="A484" s="106">
        <v>482</v>
      </c>
      <c r="B484" s="103">
        <f t="shared" si="14"/>
        <v>45681</v>
      </c>
      <c r="C484" s="126">
        <v>2024</v>
      </c>
      <c r="D484" s="102">
        <f>YEAR(MC[[#This Row],[Date]])</f>
        <v>2025</v>
      </c>
      <c r="E484" s="101" t="s">
        <v>73</v>
      </c>
      <c r="F484" s="101" t="s">
        <v>73</v>
      </c>
      <c r="G484" s="1" t="str">
        <f>TEXT(MC[[#This Row],[Date]],"mmm-yy")</f>
        <v>Jan-25</v>
      </c>
      <c r="H484" s="1">
        <f>DAY(EOMONTH(MC[[#This Row],[Month Year]],0))</f>
        <v>31</v>
      </c>
      <c r="I484" s="106"/>
      <c r="J484" s="106"/>
      <c r="K484" s="106"/>
      <c r="L484" s="106"/>
      <c r="M484" s="106"/>
      <c r="N484" s="106"/>
      <c r="O484" s="106"/>
      <c r="P484" s="106"/>
      <c r="Q484" s="106"/>
      <c r="R484" s="106">
        <f t="shared" si="15"/>
        <v>6000</v>
      </c>
      <c r="S484" s="1">
        <f>SUM(MC[[#This Row],[Blk1]:[Blk8]])</f>
        <v>6000</v>
      </c>
      <c r="T484" s="107">
        <v>0.29166666666666669</v>
      </c>
      <c r="U484" s="107">
        <v>0.41666666666666669</v>
      </c>
      <c r="V484" s="107">
        <v>0.66666666666666663</v>
      </c>
      <c r="W484" s="107">
        <v>0.79166666666666663</v>
      </c>
      <c r="X484" s="106" t="s">
        <v>88</v>
      </c>
      <c r="Y484" s="106"/>
      <c r="Z484" s="106"/>
    </row>
    <row r="485" spans="1:26" x14ac:dyDescent="0.25">
      <c r="A485" s="106">
        <v>483</v>
      </c>
      <c r="B485" s="103">
        <f t="shared" si="14"/>
        <v>45682</v>
      </c>
      <c r="C485" s="126">
        <v>2024</v>
      </c>
      <c r="D485" s="102">
        <f>YEAR(MC[[#This Row],[Date]])</f>
        <v>2025</v>
      </c>
      <c r="E485" s="101" t="s">
        <v>73</v>
      </c>
      <c r="F485" s="101" t="s">
        <v>73</v>
      </c>
      <c r="G485" s="1" t="str">
        <f>TEXT(MC[[#This Row],[Date]],"mmm-yy")</f>
        <v>Jan-25</v>
      </c>
      <c r="H485" s="1">
        <f>DAY(EOMONTH(MC[[#This Row],[Month Year]],0))</f>
        <v>31</v>
      </c>
      <c r="I485" s="106"/>
      <c r="J485" s="106"/>
      <c r="K485" s="106"/>
      <c r="L485" s="106"/>
      <c r="M485" s="106"/>
      <c r="N485" s="106"/>
      <c r="O485" s="106"/>
      <c r="P485" s="106"/>
      <c r="Q485" s="106"/>
      <c r="R485" s="106">
        <f t="shared" si="15"/>
        <v>6000</v>
      </c>
      <c r="S485" s="1">
        <f>SUM(MC[[#This Row],[Blk1]:[Blk8]])</f>
        <v>6000</v>
      </c>
      <c r="T485" s="107">
        <v>0.29166666666666669</v>
      </c>
      <c r="U485" s="107">
        <v>0.41666666666666669</v>
      </c>
      <c r="V485" s="107">
        <v>0.66666666666666663</v>
      </c>
      <c r="W485" s="107">
        <v>0.79166666666666663</v>
      </c>
      <c r="X485" s="106" t="s">
        <v>88</v>
      </c>
      <c r="Y485" s="106"/>
      <c r="Z485" s="106"/>
    </row>
    <row r="486" spans="1:26" x14ac:dyDescent="0.25">
      <c r="A486" s="106">
        <v>484</v>
      </c>
      <c r="B486" s="103">
        <f t="shared" si="14"/>
        <v>45683</v>
      </c>
      <c r="C486" s="126">
        <v>2024</v>
      </c>
      <c r="D486" s="102">
        <f>YEAR(MC[[#This Row],[Date]])</f>
        <v>2025</v>
      </c>
      <c r="E486" s="101" t="s">
        <v>73</v>
      </c>
      <c r="F486" s="101" t="s">
        <v>73</v>
      </c>
      <c r="G486" s="1" t="str">
        <f>TEXT(MC[[#This Row],[Date]],"mmm-yy")</f>
        <v>Jan-25</v>
      </c>
      <c r="H486" s="1">
        <f>DAY(EOMONTH(MC[[#This Row],[Month Year]],0))</f>
        <v>31</v>
      </c>
      <c r="I486" s="106"/>
      <c r="J486" s="106"/>
      <c r="K486" s="106"/>
      <c r="L486" s="106"/>
      <c r="M486" s="106"/>
      <c r="N486" s="106"/>
      <c r="O486" s="106"/>
      <c r="P486" s="106"/>
      <c r="Q486" s="106"/>
      <c r="R486" s="106">
        <f t="shared" si="15"/>
        <v>6000</v>
      </c>
      <c r="S486" s="1">
        <f>SUM(MC[[#This Row],[Blk1]:[Blk8]])</f>
        <v>6000</v>
      </c>
      <c r="T486" s="107">
        <v>0.29166666666666669</v>
      </c>
      <c r="U486" s="107">
        <v>0.41666666666666669</v>
      </c>
      <c r="V486" s="107">
        <v>0.66666666666666663</v>
      </c>
      <c r="W486" s="107">
        <v>0.79166666666666663</v>
      </c>
      <c r="X486" s="106" t="s">
        <v>88</v>
      </c>
      <c r="Y486" s="106"/>
      <c r="Z486" s="106"/>
    </row>
    <row r="487" spans="1:26" x14ac:dyDescent="0.25">
      <c r="A487" s="106">
        <v>485</v>
      </c>
      <c r="B487" s="103">
        <f t="shared" si="14"/>
        <v>45684</v>
      </c>
      <c r="C487" s="126">
        <v>2024</v>
      </c>
      <c r="D487" s="102">
        <f>YEAR(MC[[#This Row],[Date]])</f>
        <v>2025</v>
      </c>
      <c r="E487" s="101" t="s">
        <v>73</v>
      </c>
      <c r="F487" s="101" t="s">
        <v>73</v>
      </c>
      <c r="G487" s="1" t="str">
        <f>TEXT(MC[[#This Row],[Date]],"mmm-yy")</f>
        <v>Jan-25</v>
      </c>
      <c r="H487" s="1">
        <f>DAY(EOMONTH(MC[[#This Row],[Month Year]],0))</f>
        <v>31</v>
      </c>
      <c r="I487" s="106"/>
      <c r="J487" s="106"/>
      <c r="K487" s="106"/>
      <c r="L487" s="106"/>
      <c r="M487" s="106"/>
      <c r="N487" s="106"/>
      <c r="O487" s="106"/>
      <c r="P487" s="106"/>
      <c r="Q487" s="106"/>
      <c r="R487" s="106">
        <f t="shared" si="15"/>
        <v>6000</v>
      </c>
      <c r="S487" s="1">
        <f>SUM(MC[[#This Row],[Blk1]:[Blk8]])</f>
        <v>6000</v>
      </c>
      <c r="T487" s="107">
        <v>0.29166666666666669</v>
      </c>
      <c r="U487" s="107">
        <v>0.41666666666666669</v>
      </c>
      <c r="V487" s="107">
        <v>0.66666666666666663</v>
      </c>
      <c r="W487" s="107">
        <v>0.79166666666666663</v>
      </c>
      <c r="X487" s="106" t="s">
        <v>88</v>
      </c>
      <c r="Y487" s="106"/>
      <c r="Z487" s="106"/>
    </row>
    <row r="488" spans="1:26" x14ac:dyDescent="0.25">
      <c r="A488" s="106">
        <v>486</v>
      </c>
      <c r="B488" s="103">
        <f t="shared" si="14"/>
        <v>45685</v>
      </c>
      <c r="C488" s="126">
        <v>2024</v>
      </c>
      <c r="D488" s="102">
        <f>YEAR(MC[[#This Row],[Date]])</f>
        <v>2025</v>
      </c>
      <c r="E488" s="101" t="s">
        <v>73</v>
      </c>
      <c r="F488" s="101" t="s">
        <v>73</v>
      </c>
      <c r="G488" s="1" t="str">
        <f>TEXT(MC[[#This Row],[Date]],"mmm-yy")</f>
        <v>Jan-25</v>
      </c>
      <c r="H488" s="1">
        <f>DAY(EOMONTH(MC[[#This Row],[Month Year]],0))</f>
        <v>31</v>
      </c>
      <c r="I488" s="106"/>
      <c r="J488" s="106"/>
      <c r="K488" s="106"/>
      <c r="L488" s="106"/>
      <c r="M488" s="106"/>
      <c r="N488" s="106"/>
      <c r="O488" s="106"/>
      <c r="P488" s="106"/>
      <c r="Q488" s="106"/>
      <c r="R488" s="106">
        <f t="shared" si="15"/>
        <v>6000</v>
      </c>
      <c r="S488" s="1">
        <f>SUM(MC[[#This Row],[Blk1]:[Blk8]])</f>
        <v>6000</v>
      </c>
      <c r="T488" s="107">
        <v>0.29166666666666669</v>
      </c>
      <c r="U488" s="107">
        <v>0.41666666666666669</v>
      </c>
      <c r="V488" s="107">
        <v>0.66666666666666663</v>
      </c>
      <c r="W488" s="107">
        <v>0.79166666666666663</v>
      </c>
      <c r="X488" s="106" t="s">
        <v>88</v>
      </c>
      <c r="Y488" s="106"/>
      <c r="Z488" s="106"/>
    </row>
    <row r="489" spans="1:26" x14ac:dyDescent="0.25">
      <c r="A489" s="106">
        <v>487</v>
      </c>
      <c r="B489" s="103">
        <f t="shared" si="14"/>
        <v>45686</v>
      </c>
      <c r="C489" s="126">
        <v>2024</v>
      </c>
      <c r="D489" s="102">
        <f>YEAR(MC[[#This Row],[Date]])</f>
        <v>2025</v>
      </c>
      <c r="E489" s="101" t="s">
        <v>73</v>
      </c>
      <c r="F489" s="101" t="s">
        <v>73</v>
      </c>
      <c r="G489" s="1" t="str">
        <f>TEXT(MC[[#This Row],[Date]],"mmm-yy")</f>
        <v>Jan-25</v>
      </c>
      <c r="H489" s="1">
        <f>DAY(EOMONTH(MC[[#This Row],[Month Year]],0))</f>
        <v>31</v>
      </c>
      <c r="I489" s="106"/>
      <c r="J489" s="106"/>
      <c r="K489" s="106"/>
      <c r="L489" s="106"/>
      <c r="M489" s="106"/>
      <c r="N489" s="106"/>
      <c r="O489" s="106"/>
      <c r="P489" s="106"/>
      <c r="Q489" s="106"/>
      <c r="R489" s="106">
        <f t="shared" si="15"/>
        <v>6000</v>
      </c>
      <c r="S489" s="1">
        <f>SUM(MC[[#This Row],[Blk1]:[Blk8]])</f>
        <v>6000</v>
      </c>
      <c r="T489" s="107">
        <v>0.29166666666666669</v>
      </c>
      <c r="U489" s="107">
        <v>0.41666666666666669</v>
      </c>
      <c r="V489" s="107">
        <v>0.66666666666666663</v>
      </c>
      <c r="W489" s="107">
        <v>0.79166666666666663</v>
      </c>
      <c r="X489" s="106" t="s">
        <v>88</v>
      </c>
      <c r="Y489" s="106"/>
      <c r="Z489" s="106"/>
    </row>
    <row r="490" spans="1:26" x14ac:dyDescent="0.25">
      <c r="A490" s="106">
        <v>488</v>
      </c>
      <c r="B490" s="103">
        <f t="shared" si="14"/>
        <v>45687</v>
      </c>
      <c r="C490" s="126">
        <v>2024</v>
      </c>
      <c r="D490" s="102">
        <f>YEAR(MC[[#This Row],[Date]])</f>
        <v>2025</v>
      </c>
      <c r="E490" s="101" t="s">
        <v>73</v>
      </c>
      <c r="F490" s="101" t="s">
        <v>73</v>
      </c>
      <c r="G490" s="1" t="str">
        <f>TEXT(MC[[#This Row],[Date]],"mmm-yy")</f>
        <v>Jan-25</v>
      </c>
      <c r="H490" s="1">
        <f>DAY(EOMONTH(MC[[#This Row],[Month Year]],0))</f>
        <v>31</v>
      </c>
      <c r="I490" s="106"/>
      <c r="J490" s="106"/>
      <c r="K490" s="106"/>
      <c r="L490" s="106"/>
      <c r="M490" s="106"/>
      <c r="N490" s="106"/>
      <c r="O490" s="106"/>
      <c r="P490" s="106"/>
      <c r="Q490" s="106"/>
      <c r="R490" s="106">
        <f t="shared" si="15"/>
        <v>6000</v>
      </c>
      <c r="S490" s="1">
        <f>SUM(MC[[#This Row],[Blk1]:[Blk8]])</f>
        <v>6000</v>
      </c>
      <c r="T490" s="107">
        <v>0.29166666666666669</v>
      </c>
      <c r="U490" s="107">
        <v>0.41666666666666669</v>
      </c>
      <c r="V490" s="107">
        <v>0.66666666666666663</v>
      </c>
      <c r="W490" s="107">
        <v>0.79166666666666663</v>
      </c>
      <c r="X490" s="106" t="s">
        <v>88</v>
      </c>
      <c r="Y490" s="106"/>
      <c r="Z490" s="106"/>
    </row>
    <row r="491" spans="1:26" x14ac:dyDescent="0.25">
      <c r="A491" s="106">
        <v>489</v>
      </c>
      <c r="B491" s="103">
        <f t="shared" si="14"/>
        <v>45688</v>
      </c>
      <c r="C491" s="126">
        <v>2024</v>
      </c>
      <c r="D491" s="102">
        <f>YEAR(MC[[#This Row],[Date]])</f>
        <v>2025</v>
      </c>
      <c r="E491" s="101" t="s">
        <v>73</v>
      </c>
      <c r="F491" s="101" t="s">
        <v>73</v>
      </c>
      <c r="G491" s="1" t="str">
        <f>TEXT(MC[[#This Row],[Date]],"mmm-yy")</f>
        <v>Jan-25</v>
      </c>
      <c r="H491" s="1">
        <f>DAY(EOMONTH(MC[[#This Row],[Month Year]],0))</f>
        <v>31</v>
      </c>
      <c r="I491" s="106"/>
      <c r="J491" s="106"/>
      <c r="K491" s="106"/>
      <c r="L491" s="106"/>
      <c r="M491" s="106"/>
      <c r="N491" s="106"/>
      <c r="O491" s="106"/>
      <c r="P491" s="106"/>
      <c r="Q491" s="106"/>
      <c r="R491" s="106">
        <f t="shared" si="15"/>
        <v>6000</v>
      </c>
      <c r="S491" s="1">
        <f>SUM(MC[[#This Row],[Blk1]:[Blk8]])</f>
        <v>6000</v>
      </c>
      <c r="T491" s="107">
        <v>0.29166666666666669</v>
      </c>
      <c r="U491" s="107">
        <v>0.41666666666666669</v>
      </c>
      <c r="V491" s="107">
        <v>0.66666666666666663</v>
      </c>
      <c r="W491" s="107">
        <v>0.79166666666666663</v>
      </c>
      <c r="X491" s="106" t="s">
        <v>88</v>
      </c>
      <c r="Y491" s="106"/>
      <c r="Z491" s="106"/>
    </row>
    <row r="492" spans="1:26" x14ac:dyDescent="0.25">
      <c r="A492" s="106">
        <v>490</v>
      </c>
      <c r="B492" s="103">
        <f t="shared" ref="B492:B503" si="16">B491+1</f>
        <v>45689</v>
      </c>
      <c r="C492" s="126">
        <v>2024</v>
      </c>
      <c r="D492" s="102">
        <f>YEAR(MC[[#This Row],[Date]])</f>
        <v>2025</v>
      </c>
      <c r="E492" s="101" t="s">
        <v>73</v>
      </c>
      <c r="F492" s="101" t="s">
        <v>73</v>
      </c>
      <c r="G492" s="1" t="str">
        <f>TEXT(MC[[#This Row],[Date]],"mmm-yy")</f>
        <v>Feb-25</v>
      </c>
      <c r="H492" s="1">
        <f>DAY(EOMONTH(MC[[#This Row],[Month Year]],0))</f>
        <v>28</v>
      </c>
      <c r="I492" s="106"/>
      <c r="J492" s="106"/>
      <c r="K492" s="106"/>
      <c r="L492" s="106"/>
      <c r="M492" s="106"/>
      <c r="N492" s="106"/>
      <c r="O492" s="106"/>
      <c r="P492" s="106"/>
      <c r="Q492" s="106"/>
      <c r="R492" s="106">
        <f t="shared" si="15"/>
        <v>6000</v>
      </c>
      <c r="S492" s="1">
        <f>SUM(MC[[#This Row],[Blk1]:[Blk8]])</f>
        <v>6000</v>
      </c>
      <c r="T492" s="107">
        <v>0.29166666666666669</v>
      </c>
      <c r="U492" s="107">
        <v>0.41666666666666669</v>
      </c>
      <c r="V492" s="107">
        <v>0.66666666666666663</v>
      </c>
      <c r="W492" s="107">
        <v>0.79166666666666663</v>
      </c>
      <c r="X492" s="106" t="s">
        <v>88</v>
      </c>
      <c r="Y492" s="106"/>
      <c r="Z492" s="106"/>
    </row>
    <row r="493" spans="1:26" x14ac:dyDescent="0.25">
      <c r="A493" s="106">
        <v>491</v>
      </c>
      <c r="B493" s="103">
        <f t="shared" si="16"/>
        <v>45690</v>
      </c>
      <c r="C493" s="126">
        <v>2024</v>
      </c>
      <c r="D493" s="102">
        <f>YEAR(MC[[#This Row],[Date]])</f>
        <v>2025</v>
      </c>
      <c r="E493" s="101" t="s">
        <v>73</v>
      </c>
      <c r="F493" s="101" t="s">
        <v>73</v>
      </c>
      <c r="G493" s="1" t="str">
        <f>TEXT(MC[[#This Row],[Date]],"mmm-yy")</f>
        <v>Feb-25</v>
      </c>
      <c r="H493" s="1">
        <f>DAY(EOMONTH(MC[[#This Row],[Month Year]],0))</f>
        <v>28</v>
      </c>
      <c r="I493" s="106"/>
      <c r="J493" s="106"/>
      <c r="K493" s="106"/>
      <c r="L493" s="106"/>
      <c r="M493" s="106"/>
      <c r="N493" s="106"/>
      <c r="O493" s="106"/>
      <c r="P493" s="106"/>
      <c r="Q493" s="106"/>
      <c r="R493" s="106">
        <f t="shared" si="15"/>
        <v>6000</v>
      </c>
      <c r="S493" s="1">
        <f>SUM(MC[[#This Row],[Blk1]:[Blk8]])</f>
        <v>6000</v>
      </c>
      <c r="T493" s="107">
        <v>0.29166666666666669</v>
      </c>
      <c r="U493" s="107">
        <v>0.41666666666666669</v>
      </c>
      <c r="V493" s="107">
        <v>0.66666666666666663</v>
      </c>
      <c r="W493" s="107">
        <v>0.79166666666666663</v>
      </c>
      <c r="X493" s="106" t="s">
        <v>88</v>
      </c>
      <c r="Y493" s="106"/>
      <c r="Z493" s="106"/>
    </row>
    <row r="494" spans="1:26" x14ac:dyDescent="0.25">
      <c r="A494" s="106">
        <v>492</v>
      </c>
      <c r="B494" s="103">
        <f t="shared" si="16"/>
        <v>45691</v>
      </c>
      <c r="C494" s="126">
        <v>2024</v>
      </c>
      <c r="D494" s="102">
        <f>YEAR(MC[[#This Row],[Date]])</f>
        <v>2025</v>
      </c>
      <c r="E494" s="101" t="s">
        <v>73</v>
      </c>
      <c r="F494" s="101" t="s">
        <v>73</v>
      </c>
      <c r="G494" s="1" t="str">
        <f>TEXT(MC[[#This Row],[Date]],"mmm-yy")</f>
        <v>Feb-25</v>
      </c>
      <c r="H494" s="1">
        <f>DAY(EOMONTH(MC[[#This Row],[Month Year]],0))</f>
        <v>28</v>
      </c>
      <c r="I494" s="106"/>
      <c r="J494" s="106"/>
      <c r="K494" s="106"/>
      <c r="L494" s="106"/>
      <c r="M494" s="106"/>
      <c r="N494" s="106"/>
      <c r="O494" s="106"/>
      <c r="P494" s="106"/>
      <c r="Q494" s="106"/>
      <c r="R494" s="106">
        <f t="shared" si="15"/>
        <v>6000</v>
      </c>
      <c r="S494" s="1">
        <f>SUM(MC[[#This Row],[Blk1]:[Blk8]])</f>
        <v>6000</v>
      </c>
      <c r="T494" s="107">
        <v>0.29166666666666669</v>
      </c>
      <c r="U494" s="107">
        <v>0.41666666666666669</v>
      </c>
      <c r="V494" s="107">
        <v>0.66666666666666663</v>
      </c>
      <c r="W494" s="107">
        <v>0.79166666666666663</v>
      </c>
      <c r="X494" s="106" t="s">
        <v>88</v>
      </c>
      <c r="Y494" s="106"/>
      <c r="Z494" s="106"/>
    </row>
    <row r="495" spans="1:26" x14ac:dyDescent="0.25">
      <c r="A495" s="106">
        <v>493</v>
      </c>
      <c r="B495" s="103">
        <f t="shared" si="16"/>
        <v>45692</v>
      </c>
      <c r="C495" s="126">
        <v>2024</v>
      </c>
      <c r="D495" s="102">
        <f>YEAR(MC[[#This Row],[Date]])</f>
        <v>2025</v>
      </c>
      <c r="E495" s="101" t="s">
        <v>73</v>
      </c>
      <c r="F495" s="101" t="s">
        <v>73</v>
      </c>
      <c r="G495" s="1" t="str">
        <f>TEXT(MC[[#This Row],[Date]],"mmm-yy")</f>
        <v>Feb-25</v>
      </c>
      <c r="H495" s="1">
        <f>DAY(EOMONTH(MC[[#This Row],[Month Year]],0))</f>
        <v>28</v>
      </c>
      <c r="I495" s="106"/>
      <c r="J495" s="106"/>
      <c r="K495" s="106"/>
      <c r="L495" s="106"/>
      <c r="M495" s="106"/>
      <c r="N495" s="106"/>
      <c r="O495" s="106"/>
      <c r="P495" s="106"/>
      <c r="Q495" s="106"/>
      <c r="R495" s="106">
        <f t="shared" si="15"/>
        <v>6000</v>
      </c>
      <c r="S495" s="1">
        <f>SUM(MC[[#This Row],[Blk1]:[Blk8]])</f>
        <v>6000</v>
      </c>
      <c r="T495" s="107">
        <v>0.29166666666666669</v>
      </c>
      <c r="U495" s="107">
        <v>0.41666666666666669</v>
      </c>
      <c r="V495" s="107">
        <v>0.66666666666666663</v>
      </c>
      <c r="W495" s="107">
        <v>0.79166666666666663</v>
      </c>
      <c r="X495" s="106" t="s">
        <v>88</v>
      </c>
      <c r="Y495" s="106"/>
      <c r="Z495" s="106"/>
    </row>
    <row r="496" spans="1:26" x14ac:dyDescent="0.25">
      <c r="A496" s="106">
        <v>494</v>
      </c>
      <c r="B496" s="103">
        <f t="shared" si="16"/>
        <v>45693</v>
      </c>
      <c r="C496" s="126">
        <v>2024</v>
      </c>
      <c r="D496" s="102">
        <f>YEAR(MC[[#This Row],[Date]])</f>
        <v>2025</v>
      </c>
      <c r="E496" s="101" t="s">
        <v>73</v>
      </c>
      <c r="F496" s="101" t="s">
        <v>73</v>
      </c>
      <c r="G496" s="1" t="str">
        <f>TEXT(MC[[#This Row],[Date]],"mmm-yy")</f>
        <v>Feb-25</v>
      </c>
      <c r="H496" s="1">
        <f>DAY(EOMONTH(MC[[#This Row],[Month Year]],0))</f>
        <v>28</v>
      </c>
      <c r="I496" s="106"/>
      <c r="J496" s="106"/>
      <c r="K496" s="106"/>
      <c r="L496" s="106"/>
      <c r="M496" s="106"/>
      <c r="N496" s="106"/>
      <c r="O496" s="106"/>
      <c r="P496" s="106"/>
      <c r="Q496" s="106"/>
      <c r="R496" s="106">
        <f t="shared" si="15"/>
        <v>6000</v>
      </c>
      <c r="S496" s="1">
        <f>SUM(MC[[#This Row],[Blk1]:[Blk8]])</f>
        <v>6000</v>
      </c>
      <c r="T496" s="107">
        <v>0.29166666666666669</v>
      </c>
      <c r="U496" s="107">
        <v>0.41666666666666669</v>
      </c>
      <c r="V496" s="107">
        <v>0.66666666666666663</v>
      </c>
      <c r="W496" s="107">
        <v>0.79166666666666663</v>
      </c>
      <c r="X496" s="106" t="s">
        <v>88</v>
      </c>
      <c r="Y496" s="106"/>
      <c r="Z496" s="106"/>
    </row>
    <row r="497" spans="1:26" x14ac:dyDescent="0.25">
      <c r="A497" s="106">
        <v>495</v>
      </c>
      <c r="B497" s="103">
        <f t="shared" si="16"/>
        <v>45694</v>
      </c>
      <c r="C497" s="126">
        <v>2024</v>
      </c>
      <c r="D497" s="102">
        <f>YEAR(MC[[#This Row],[Date]])</f>
        <v>2025</v>
      </c>
      <c r="E497" s="101" t="s">
        <v>73</v>
      </c>
      <c r="F497" s="101" t="s">
        <v>73</v>
      </c>
      <c r="G497" s="1" t="str">
        <f>TEXT(MC[[#This Row],[Date]],"mmm-yy")</f>
        <v>Feb-25</v>
      </c>
      <c r="H497" s="1">
        <f>DAY(EOMONTH(MC[[#This Row],[Month Year]],0))</f>
        <v>28</v>
      </c>
      <c r="I497" s="106"/>
      <c r="J497" s="106"/>
      <c r="K497" s="106"/>
      <c r="L497" s="106"/>
      <c r="M497" s="106"/>
      <c r="N497" s="106"/>
      <c r="O497" s="106"/>
      <c r="P497" s="106"/>
      <c r="Q497" s="106"/>
      <c r="R497" s="106">
        <f t="shared" si="15"/>
        <v>6000</v>
      </c>
      <c r="S497" s="1">
        <f>SUM(MC[[#This Row],[Blk1]:[Blk8]])</f>
        <v>6000</v>
      </c>
      <c r="T497" s="107">
        <v>0.29166666666666669</v>
      </c>
      <c r="U497" s="107">
        <v>0.41666666666666669</v>
      </c>
      <c r="V497" s="107">
        <v>0.66666666666666663</v>
      </c>
      <c r="W497" s="107">
        <v>0.79166666666666663</v>
      </c>
      <c r="X497" s="106" t="s">
        <v>88</v>
      </c>
      <c r="Y497" s="106"/>
      <c r="Z497" s="106"/>
    </row>
    <row r="498" spans="1:26" x14ac:dyDescent="0.25">
      <c r="A498" s="106">
        <v>496</v>
      </c>
      <c r="B498" s="103">
        <f t="shared" si="16"/>
        <v>45695</v>
      </c>
      <c r="C498" s="126">
        <v>2024</v>
      </c>
      <c r="D498" s="102">
        <f>YEAR(MC[[#This Row],[Date]])</f>
        <v>2025</v>
      </c>
      <c r="E498" s="101" t="s">
        <v>73</v>
      </c>
      <c r="F498" s="101" t="s">
        <v>73</v>
      </c>
      <c r="G498" s="1" t="str">
        <f>TEXT(MC[[#This Row],[Date]],"mmm-yy")</f>
        <v>Feb-25</v>
      </c>
      <c r="H498" s="1">
        <f>DAY(EOMONTH(MC[[#This Row],[Month Year]],0))</f>
        <v>28</v>
      </c>
      <c r="I498" s="122"/>
      <c r="J498" s="106"/>
      <c r="K498" s="122"/>
      <c r="L498" s="122"/>
      <c r="M498" s="122"/>
      <c r="N498" s="122"/>
      <c r="O498" s="122"/>
      <c r="P498" s="122"/>
      <c r="Q498" s="122"/>
      <c r="R498" s="122">
        <f t="shared" si="15"/>
        <v>6000</v>
      </c>
      <c r="S498" s="1">
        <f>SUM(MC[[#This Row],[Blk1]:[Blk8]])</f>
        <v>6000</v>
      </c>
      <c r="T498" s="107">
        <v>0.29166666666666669</v>
      </c>
      <c r="U498" s="107">
        <v>0.41666666666666669</v>
      </c>
      <c r="V498" s="107">
        <v>0.66666666666666663</v>
      </c>
      <c r="W498" s="107">
        <v>0.79166666666666663</v>
      </c>
      <c r="X498" s="106" t="s">
        <v>88</v>
      </c>
      <c r="Y498" s="122"/>
      <c r="Z498" s="122"/>
    </row>
    <row r="499" spans="1:26" x14ac:dyDescent="0.25">
      <c r="A499" s="106">
        <v>497</v>
      </c>
      <c r="B499" s="103">
        <f t="shared" si="16"/>
        <v>45696</v>
      </c>
      <c r="C499" s="126">
        <v>2024</v>
      </c>
      <c r="D499" s="102">
        <f>YEAR(MC[[#This Row],[Date]])</f>
        <v>2025</v>
      </c>
      <c r="E499" s="101" t="s">
        <v>73</v>
      </c>
      <c r="F499" s="101" t="s">
        <v>73</v>
      </c>
      <c r="G499" s="1" t="str">
        <f>TEXT(MC[[#This Row],[Date]],"mmm-yy")</f>
        <v>Feb-25</v>
      </c>
      <c r="H499" s="1">
        <f>DAY(EOMONTH(MC[[#This Row],[Month Year]],0))</f>
        <v>28</v>
      </c>
      <c r="I499" s="106"/>
      <c r="J499" s="106"/>
      <c r="K499" s="106"/>
      <c r="L499" s="106"/>
      <c r="M499" s="106"/>
      <c r="N499" s="106"/>
      <c r="O499" s="106"/>
      <c r="P499" s="106"/>
      <c r="Q499" s="106"/>
      <c r="R499" s="106">
        <f t="shared" si="15"/>
        <v>6000</v>
      </c>
      <c r="S499" s="1">
        <f>SUM(MC[[#This Row],[Blk1]:[Blk8]])</f>
        <v>6000</v>
      </c>
      <c r="T499" s="107">
        <v>0.29166666666666669</v>
      </c>
      <c r="U499" s="107">
        <v>0.41666666666666669</v>
      </c>
      <c r="V499" s="107">
        <v>0.66666666666666663</v>
      </c>
      <c r="W499" s="107">
        <v>0.79166666666666663</v>
      </c>
      <c r="X499" s="106" t="s">
        <v>88</v>
      </c>
      <c r="Y499" s="106"/>
      <c r="Z499" s="106"/>
    </row>
    <row r="500" spans="1:26" x14ac:dyDescent="0.25">
      <c r="A500" s="106">
        <v>498</v>
      </c>
      <c r="B500" s="103">
        <f t="shared" si="16"/>
        <v>45697</v>
      </c>
      <c r="C500" s="126">
        <v>2024</v>
      </c>
      <c r="D500" s="102">
        <f>YEAR(MC[[#This Row],[Date]])</f>
        <v>2025</v>
      </c>
      <c r="E500" s="101" t="s">
        <v>73</v>
      </c>
      <c r="F500" s="101" t="s">
        <v>73</v>
      </c>
      <c r="G500" s="1" t="str">
        <f>TEXT(MC[[#This Row],[Date]],"mmm-yy")</f>
        <v>Feb-25</v>
      </c>
      <c r="H500" s="1">
        <f>DAY(EOMONTH(MC[[#This Row],[Month Year]],0))</f>
        <v>28</v>
      </c>
      <c r="I500" s="106"/>
      <c r="J500" s="106"/>
      <c r="K500" s="106"/>
      <c r="L500" s="106"/>
      <c r="M500" s="106"/>
      <c r="N500" s="106"/>
      <c r="O500" s="106"/>
      <c r="P500" s="106"/>
      <c r="Q500" s="106"/>
      <c r="R500" s="106">
        <f t="shared" si="15"/>
        <v>6000</v>
      </c>
      <c r="S500" s="1">
        <f>SUM(MC[[#This Row],[Blk1]:[Blk8]])</f>
        <v>6000</v>
      </c>
      <c r="T500" s="106"/>
      <c r="U500" s="106"/>
      <c r="V500" s="106"/>
      <c r="W500" s="106"/>
      <c r="X500" s="106"/>
      <c r="Y500" s="106"/>
      <c r="Z500" s="106" t="s">
        <v>140</v>
      </c>
    </row>
    <row r="501" spans="1:26" x14ac:dyDescent="0.25">
      <c r="A501" s="106">
        <v>499</v>
      </c>
      <c r="B501" s="103">
        <f t="shared" si="16"/>
        <v>45698</v>
      </c>
      <c r="C501" s="126">
        <v>2024</v>
      </c>
      <c r="D501" s="102">
        <f>YEAR(MC[[#This Row],[Date]])</f>
        <v>2025</v>
      </c>
      <c r="E501" s="101" t="s">
        <v>73</v>
      </c>
      <c r="F501" s="101" t="s">
        <v>73</v>
      </c>
      <c r="G501" s="1" t="str">
        <f>TEXT(MC[[#This Row],[Date]],"mmm-yy")</f>
        <v>Feb-25</v>
      </c>
      <c r="H501" s="1">
        <f>DAY(EOMONTH(MC[[#This Row],[Month Year]],0))</f>
        <v>28</v>
      </c>
      <c r="I501" s="106"/>
      <c r="J501" s="106"/>
      <c r="K501" s="106"/>
      <c r="L501" s="106"/>
      <c r="M501" s="106"/>
      <c r="N501" s="106"/>
      <c r="O501" s="106"/>
      <c r="P501" s="106"/>
      <c r="Q501" s="106"/>
      <c r="R501" s="106">
        <f t="shared" si="15"/>
        <v>6000</v>
      </c>
      <c r="S501" s="1">
        <f>SUM(MC[[#This Row],[Blk1]:[Blk8]])</f>
        <v>6000</v>
      </c>
      <c r="T501" s="107">
        <v>0.29166666666666669</v>
      </c>
      <c r="U501" s="107">
        <v>0.41666666666666669</v>
      </c>
      <c r="V501" s="107">
        <v>0.66666666666666663</v>
      </c>
      <c r="W501" s="107">
        <v>0.79166666666666663</v>
      </c>
      <c r="X501" s="106" t="s">
        <v>88</v>
      </c>
      <c r="Y501" s="106"/>
      <c r="Z501" s="106"/>
    </row>
    <row r="502" spans="1:26" x14ac:dyDescent="0.25">
      <c r="A502" s="106">
        <v>500</v>
      </c>
      <c r="B502" s="103">
        <f t="shared" si="16"/>
        <v>45699</v>
      </c>
      <c r="C502" s="126">
        <v>2024</v>
      </c>
      <c r="D502" s="102">
        <f>YEAR(MC[[#This Row],[Date]])</f>
        <v>2025</v>
      </c>
      <c r="E502" s="101" t="s">
        <v>73</v>
      </c>
      <c r="F502" s="101" t="s">
        <v>73</v>
      </c>
      <c r="G502" s="1" t="str">
        <f>TEXT(MC[[#This Row],[Date]],"mmm-yy")</f>
        <v>Feb-25</v>
      </c>
      <c r="H502" s="1">
        <f>DAY(EOMONTH(MC[[#This Row],[Month Year]],0))</f>
        <v>28</v>
      </c>
      <c r="I502" s="106"/>
      <c r="J502" s="106"/>
      <c r="K502" s="106"/>
      <c r="L502" s="106"/>
      <c r="M502" s="106"/>
      <c r="N502" s="106"/>
      <c r="O502" s="106"/>
      <c r="P502" s="106"/>
      <c r="Q502" s="106"/>
      <c r="R502" s="106">
        <f t="shared" si="15"/>
        <v>6000</v>
      </c>
      <c r="S502" s="1">
        <f>SUM(MC[[#This Row],[Blk1]:[Blk8]])</f>
        <v>6000</v>
      </c>
      <c r="T502" s="106"/>
      <c r="U502" s="106"/>
      <c r="V502" s="106"/>
      <c r="W502" s="106"/>
      <c r="X502" s="106"/>
      <c r="Y502" s="106"/>
      <c r="Z502" s="106" t="s">
        <v>140</v>
      </c>
    </row>
    <row r="503" spans="1:26" x14ac:dyDescent="0.25">
      <c r="A503" s="106">
        <v>501</v>
      </c>
      <c r="B503" s="103">
        <f t="shared" si="16"/>
        <v>45700</v>
      </c>
      <c r="C503" s="126">
        <v>2024</v>
      </c>
      <c r="D503" s="102">
        <f>YEAR(MC[[#This Row],[Date]])</f>
        <v>2025</v>
      </c>
      <c r="E503" s="101" t="s">
        <v>73</v>
      </c>
      <c r="F503" s="101" t="s">
        <v>73</v>
      </c>
      <c r="G503" s="1" t="str">
        <f>TEXT(MC[[#This Row],[Date]],"mmm-yy")</f>
        <v>Feb-25</v>
      </c>
      <c r="H503" s="1">
        <f>DAY(EOMONTH(MC[[#This Row],[Month Year]],0))</f>
        <v>28</v>
      </c>
      <c r="I503" s="106"/>
      <c r="J503" s="106"/>
      <c r="K503" s="106"/>
      <c r="L503" s="106"/>
      <c r="M503" s="106"/>
      <c r="N503" s="106"/>
      <c r="O503" s="106"/>
      <c r="P503" s="106"/>
      <c r="Q503" s="106"/>
      <c r="R503" s="106">
        <f t="shared" si="15"/>
        <v>6000</v>
      </c>
      <c r="S503" s="1">
        <f>SUM(MC[[#This Row],[Blk1]:[Blk8]])</f>
        <v>6000</v>
      </c>
      <c r="T503" s="106"/>
      <c r="U503" s="106"/>
      <c r="V503" s="106"/>
      <c r="W503" s="106"/>
      <c r="X503" s="106"/>
      <c r="Y503" s="106"/>
      <c r="Z503" s="106"/>
    </row>
    <row r="504" spans="1:26" x14ac:dyDescent="0.25">
      <c r="A504" s="106">
        <v>502</v>
      </c>
      <c r="B504" s="103">
        <f t="shared" ref="B504:B525" si="17">B503+1</f>
        <v>45701</v>
      </c>
      <c r="C504" s="126">
        <f>YEAR(MC[[#This Row],[Date]])+IF(MONTH(MC[[#This Row],[Date]])&gt;=4,1,0)</f>
        <v>2025</v>
      </c>
      <c r="D504" s="102">
        <f>YEAR(MC[[#This Row],[Date]])</f>
        <v>2025</v>
      </c>
      <c r="E504" s="167"/>
      <c r="F504" s="106"/>
      <c r="G504" s="1" t="str">
        <f>TEXT(MC[[#This Row],[Date]],"mmm-yy")</f>
        <v>Feb-25</v>
      </c>
      <c r="H504" s="1">
        <f>DAY(EOMONTH(MC[[#This Row],[Month Year]],0))</f>
        <v>28</v>
      </c>
      <c r="I504" s="106"/>
      <c r="J504" s="106"/>
      <c r="K504" s="106"/>
      <c r="L504" s="106"/>
      <c r="M504" s="106"/>
      <c r="N504" s="106"/>
      <c r="O504" s="106"/>
      <c r="P504" s="106"/>
      <c r="Q504" s="106"/>
      <c r="R504" s="106">
        <f t="shared" si="15"/>
        <v>6000</v>
      </c>
      <c r="S504" s="1">
        <f>SUM(MC[[#This Row],[Blk1]:[Blk8]])</f>
        <v>6000</v>
      </c>
      <c r="T504" s="107">
        <v>0.29166666666666669</v>
      </c>
      <c r="U504" s="107">
        <v>0.41666666666666669</v>
      </c>
      <c r="V504" s="107">
        <v>0.66666666666666663</v>
      </c>
      <c r="W504" s="107">
        <v>0.79166666666666663</v>
      </c>
      <c r="X504" s="106" t="s">
        <v>88</v>
      </c>
      <c r="Y504" s="106"/>
      <c r="Z504" s="106"/>
    </row>
    <row r="505" spans="1:26" x14ac:dyDescent="0.25">
      <c r="A505" s="106">
        <v>503</v>
      </c>
      <c r="B505" s="103">
        <f t="shared" si="17"/>
        <v>45702</v>
      </c>
      <c r="C505" s="126">
        <f>YEAR(MC[[#This Row],[Date]])+IF(MONTH(MC[[#This Row],[Date]])&gt;=4,1,0)</f>
        <v>2025</v>
      </c>
      <c r="D505" s="102">
        <f>YEAR(MC[[#This Row],[Date]])</f>
        <v>2025</v>
      </c>
      <c r="E505" s="167"/>
      <c r="F505" s="106"/>
      <c r="G505" s="1" t="str">
        <f>TEXT(MC[[#This Row],[Date]],"mmm-yy")</f>
        <v>Feb-25</v>
      </c>
      <c r="H505" s="1">
        <f>DAY(EOMONTH(MC[[#This Row],[Month Year]],0))</f>
        <v>28</v>
      </c>
      <c r="I505" s="106"/>
      <c r="J505" s="106"/>
      <c r="K505" s="106"/>
      <c r="L505" s="106"/>
      <c r="M505" s="106"/>
      <c r="N505" s="106"/>
      <c r="O505" s="106"/>
      <c r="P505" s="106"/>
      <c r="Q505" s="106"/>
      <c r="R505" s="106">
        <f t="shared" si="15"/>
        <v>6000</v>
      </c>
      <c r="S505" s="1">
        <f>SUM(MC[[#This Row],[Blk1]:[Blk8]])</f>
        <v>6000</v>
      </c>
      <c r="T505" s="107">
        <v>0.29166666666666669</v>
      </c>
      <c r="U505" s="107">
        <v>0.41666666666666669</v>
      </c>
      <c r="V505" s="107">
        <v>0.66666666666666663</v>
      </c>
      <c r="W505" s="107">
        <v>0.79166666666666663</v>
      </c>
      <c r="X505" s="106" t="s">
        <v>88</v>
      </c>
      <c r="Y505" s="106"/>
      <c r="Z505" s="106"/>
    </row>
    <row r="506" spans="1:26" x14ac:dyDescent="0.25">
      <c r="A506" s="106">
        <v>504</v>
      </c>
      <c r="B506" s="103">
        <f t="shared" si="17"/>
        <v>45703</v>
      </c>
      <c r="C506" s="126">
        <f>YEAR(MC[[#This Row],[Date]])+IF(MONTH(MC[[#This Row],[Date]])&gt;=4,1,0)</f>
        <v>2025</v>
      </c>
      <c r="D506" s="102">
        <f>YEAR(MC[[#This Row],[Date]])</f>
        <v>2025</v>
      </c>
      <c r="E506" s="167"/>
      <c r="F506" s="106"/>
      <c r="G506" s="1" t="str">
        <f>TEXT(MC[[#This Row],[Date]],"mmm-yy")</f>
        <v>Feb-25</v>
      </c>
      <c r="H506" s="1">
        <f>DAY(EOMONTH(MC[[#This Row],[Month Year]],0))</f>
        <v>28</v>
      </c>
      <c r="I506" s="106"/>
      <c r="J506" s="106"/>
      <c r="K506" s="106"/>
      <c r="L506" s="106"/>
      <c r="M506" s="106"/>
      <c r="N506" s="106"/>
      <c r="O506" s="106"/>
      <c r="P506" s="106"/>
      <c r="Q506" s="106"/>
      <c r="R506" s="106">
        <f t="shared" si="15"/>
        <v>6000</v>
      </c>
      <c r="S506" s="1">
        <f>SUM(MC[[#This Row],[Blk1]:[Blk8]])</f>
        <v>6000</v>
      </c>
      <c r="T506" s="107">
        <v>0.29166666666666669</v>
      </c>
      <c r="U506" s="107">
        <v>0.41666666666666669</v>
      </c>
      <c r="V506" s="107">
        <v>0.66666666666666663</v>
      </c>
      <c r="W506" s="107">
        <v>0.79166666666666663</v>
      </c>
      <c r="X506" s="106" t="s">
        <v>88</v>
      </c>
      <c r="Y506" s="106"/>
      <c r="Z506" s="106"/>
    </row>
    <row r="507" spans="1:26" x14ac:dyDescent="0.25">
      <c r="A507" s="106">
        <v>505</v>
      </c>
      <c r="B507" s="103">
        <f t="shared" si="17"/>
        <v>45704</v>
      </c>
      <c r="C507" s="126">
        <f>YEAR(MC[[#This Row],[Date]])+IF(MONTH(MC[[#This Row],[Date]])&gt;=4,1,0)</f>
        <v>2025</v>
      </c>
      <c r="D507" s="102">
        <f>YEAR(MC[[#This Row],[Date]])</f>
        <v>2025</v>
      </c>
      <c r="E507" s="167"/>
      <c r="F507" s="106"/>
      <c r="G507" s="1" t="str">
        <f>TEXT(MC[[#This Row],[Date]],"mmm-yy")</f>
        <v>Feb-25</v>
      </c>
      <c r="H507" s="1">
        <f>DAY(EOMONTH(MC[[#This Row],[Month Year]],0))</f>
        <v>28</v>
      </c>
      <c r="I507" s="106"/>
      <c r="J507" s="106"/>
      <c r="K507" s="106"/>
      <c r="L507" s="106"/>
      <c r="M507" s="106"/>
      <c r="N507" s="106"/>
      <c r="O507" s="106"/>
      <c r="P507" s="106"/>
      <c r="Q507" s="106"/>
      <c r="R507" s="106">
        <f t="shared" si="15"/>
        <v>6000</v>
      </c>
      <c r="S507" s="1">
        <f>SUM(MC[[#This Row],[Blk1]:[Blk8]])</f>
        <v>6000</v>
      </c>
      <c r="T507" s="107">
        <v>0.29166666666666669</v>
      </c>
      <c r="U507" s="107">
        <v>0.41666666666666669</v>
      </c>
      <c r="V507" s="107">
        <v>0.66666666666666663</v>
      </c>
      <c r="W507" s="107">
        <v>0.79166666666666663</v>
      </c>
      <c r="X507" s="106" t="s">
        <v>88</v>
      </c>
      <c r="Y507" s="106"/>
      <c r="Z507" s="106"/>
    </row>
    <row r="508" spans="1:26" x14ac:dyDescent="0.25">
      <c r="A508" s="106">
        <v>506</v>
      </c>
      <c r="B508" s="103">
        <f t="shared" si="17"/>
        <v>45705</v>
      </c>
      <c r="C508" s="126">
        <f>YEAR(MC[[#This Row],[Date]])+IF(MONTH(MC[[#This Row],[Date]])&gt;=4,1,0)</f>
        <v>2025</v>
      </c>
      <c r="D508" s="102">
        <f>YEAR(MC[[#This Row],[Date]])</f>
        <v>2025</v>
      </c>
      <c r="E508" s="167"/>
      <c r="F508" s="106"/>
      <c r="G508" s="1" t="str">
        <f>TEXT(MC[[#This Row],[Date]],"mmm-yy")</f>
        <v>Feb-25</v>
      </c>
      <c r="H508" s="1">
        <f>DAY(EOMONTH(MC[[#This Row],[Month Year]],0))</f>
        <v>28</v>
      </c>
      <c r="I508" s="106"/>
      <c r="J508" s="106"/>
      <c r="K508" s="106"/>
      <c r="L508" s="106"/>
      <c r="M508" s="106"/>
      <c r="N508" s="106"/>
      <c r="O508" s="106"/>
      <c r="P508" s="106"/>
      <c r="Q508" s="106"/>
      <c r="R508" s="106">
        <f t="shared" si="15"/>
        <v>6000</v>
      </c>
      <c r="S508" s="1">
        <f>SUM(MC[[#This Row],[Blk1]:[Blk8]])</f>
        <v>6000</v>
      </c>
      <c r="T508" s="107">
        <v>0.29166666666666669</v>
      </c>
      <c r="U508" s="107">
        <v>0.41666666666666669</v>
      </c>
      <c r="V508" s="107">
        <v>0.66666666666666663</v>
      </c>
      <c r="W508" s="107">
        <v>0.79166666666666663</v>
      </c>
      <c r="X508" s="106" t="s">
        <v>88</v>
      </c>
      <c r="Y508" s="106"/>
      <c r="Z508" s="106"/>
    </row>
    <row r="509" spans="1:26" x14ac:dyDescent="0.25">
      <c r="A509" s="106">
        <v>507</v>
      </c>
      <c r="B509" s="103">
        <f t="shared" si="17"/>
        <v>45706</v>
      </c>
      <c r="C509" s="126">
        <f>YEAR(MC[[#This Row],[Date]])+IF(MONTH(MC[[#This Row],[Date]])&gt;=4,1,0)</f>
        <v>2025</v>
      </c>
      <c r="D509" s="102">
        <f>YEAR(MC[[#This Row],[Date]])</f>
        <v>2025</v>
      </c>
      <c r="E509" s="167"/>
      <c r="F509" s="106"/>
      <c r="G509" s="1" t="str">
        <f>TEXT(MC[[#This Row],[Date]],"mmm-yy")</f>
        <v>Feb-25</v>
      </c>
      <c r="H509" s="1">
        <f>DAY(EOMONTH(MC[[#This Row],[Month Year]],0))</f>
        <v>28</v>
      </c>
      <c r="I509" s="106"/>
      <c r="J509" s="106"/>
      <c r="K509" s="106"/>
      <c r="L509" s="106"/>
      <c r="M509" s="106"/>
      <c r="N509" s="106"/>
      <c r="O509" s="106"/>
      <c r="P509" s="106"/>
      <c r="Q509" s="106"/>
      <c r="R509" s="106">
        <f t="shared" si="15"/>
        <v>6000</v>
      </c>
      <c r="S509" s="1">
        <f>SUM(MC[[#This Row],[Blk1]:[Blk8]])</f>
        <v>6000</v>
      </c>
      <c r="T509" s="107">
        <v>0.29166666666666669</v>
      </c>
      <c r="U509" s="107">
        <v>0.41666666666666669</v>
      </c>
      <c r="V509" s="107">
        <v>0.66666666666666663</v>
      </c>
      <c r="W509" s="107">
        <v>0.79166666666666663</v>
      </c>
      <c r="X509" s="106" t="s">
        <v>88</v>
      </c>
      <c r="Y509" s="106"/>
      <c r="Z509" s="106"/>
    </row>
    <row r="510" spans="1:26" x14ac:dyDescent="0.25">
      <c r="A510" s="106">
        <v>508</v>
      </c>
      <c r="B510" s="103">
        <f t="shared" si="17"/>
        <v>45707</v>
      </c>
      <c r="C510" s="126">
        <f>YEAR(MC[[#This Row],[Date]])+IF(MONTH(MC[[#This Row],[Date]])&gt;=4,1,0)</f>
        <v>2025</v>
      </c>
      <c r="D510" s="102">
        <f>YEAR(MC[[#This Row],[Date]])</f>
        <v>2025</v>
      </c>
      <c r="E510" s="167"/>
      <c r="F510" s="106"/>
      <c r="G510" s="1" t="str">
        <f>TEXT(MC[[#This Row],[Date]],"mmm-yy")</f>
        <v>Feb-25</v>
      </c>
      <c r="H510" s="1">
        <f>DAY(EOMONTH(MC[[#This Row],[Month Year]],0))</f>
        <v>28</v>
      </c>
      <c r="I510" s="106"/>
      <c r="J510" s="106"/>
      <c r="K510" s="106"/>
      <c r="L510" s="106"/>
      <c r="M510" s="106"/>
      <c r="N510" s="106"/>
      <c r="O510" s="106"/>
      <c r="P510" s="106"/>
      <c r="Q510" s="106"/>
      <c r="R510" s="106">
        <f t="shared" si="15"/>
        <v>6000</v>
      </c>
      <c r="S510" s="1">
        <f>SUM(MC[[#This Row],[Blk1]:[Blk8]])</f>
        <v>6000</v>
      </c>
      <c r="T510" s="107">
        <v>0.29166666666666669</v>
      </c>
      <c r="U510" s="107">
        <v>0.41666666666666669</v>
      </c>
      <c r="V510" s="107">
        <v>0.66666666666666663</v>
      </c>
      <c r="W510" s="107">
        <v>0.79166666666666663</v>
      </c>
      <c r="X510" s="106" t="s">
        <v>88</v>
      </c>
      <c r="Y510" s="106"/>
      <c r="Z510" s="106"/>
    </row>
    <row r="511" spans="1:26" x14ac:dyDescent="0.25">
      <c r="A511" s="106">
        <v>509</v>
      </c>
      <c r="B511" s="103">
        <f t="shared" si="17"/>
        <v>45708</v>
      </c>
      <c r="C511" s="126">
        <f>YEAR(MC[[#This Row],[Date]])+IF(MONTH(MC[[#This Row],[Date]])&gt;=4,1,0)</f>
        <v>2025</v>
      </c>
      <c r="D511" s="102">
        <f>YEAR(MC[[#This Row],[Date]])</f>
        <v>2025</v>
      </c>
      <c r="E511" s="167"/>
      <c r="F511" s="106"/>
      <c r="G511" s="1" t="str">
        <f>TEXT(MC[[#This Row],[Date]],"mmm-yy")</f>
        <v>Feb-25</v>
      </c>
      <c r="H511" s="1">
        <f>DAY(EOMONTH(MC[[#This Row],[Month Year]],0))</f>
        <v>28</v>
      </c>
      <c r="I511" s="106"/>
      <c r="J511" s="106"/>
      <c r="K511" s="106"/>
      <c r="L511" s="106"/>
      <c r="M511" s="106"/>
      <c r="N511" s="106"/>
      <c r="O511" s="106"/>
      <c r="P511" s="106"/>
      <c r="Q511" s="106"/>
      <c r="R511" s="106">
        <f t="shared" si="15"/>
        <v>6000</v>
      </c>
      <c r="S511" s="1">
        <f>SUM(MC[[#This Row],[Blk1]:[Blk8]])</f>
        <v>6000</v>
      </c>
      <c r="T511" s="107">
        <v>0.29166666666666669</v>
      </c>
      <c r="U511" s="107">
        <v>0.41666666666666669</v>
      </c>
      <c r="V511" s="107">
        <v>0.66666666666666663</v>
      </c>
      <c r="W511" s="107">
        <v>0.79166666666666663</v>
      </c>
      <c r="X511" s="106" t="s">
        <v>88</v>
      </c>
      <c r="Y511" s="106"/>
      <c r="Z511" s="106"/>
    </row>
    <row r="512" spans="1:26" x14ac:dyDescent="0.25">
      <c r="A512" s="106">
        <v>510</v>
      </c>
      <c r="B512" s="103">
        <f t="shared" si="17"/>
        <v>45709</v>
      </c>
      <c r="C512" s="126">
        <f>YEAR(MC[[#This Row],[Date]])+IF(MONTH(MC[[#This Row],[Date]])&gt;=4,1,0)</f>
        <v>2025</v>
      </c>
      <c r="D512" s="102">
        <f>YEAR(MC[[#This Row],[Date]])</f>
        <v>2025</v>
      </c>
      <c r="E512" s="167"/>
      <c r="F512" s="106"/>
      <c r="G512" s="1" t="str">
        <f>TEXT(MC[[#This Row],[Date]],"mmm-yy")</f>
        <v>Feb-25</v>
      </c>
      <c r="H512" s="1">
        <f>DAY(EOMONTH(MC[[#This Row],[Month Year]],0))</f>
        <v>28</v>
      </c>
      <c r="I512" s="106"/>
      <c r="J512" s="106"/>
      <c r="K512" s="106"/>
      <c r="L512" s="106"/>
      <c r="M512" s="106"/>
      <c r="N512" s="106"/>
      <c r="O512" s="106"/>
      <c r="P512" s="106"/>
      <c r="Q512" s="106"/>
      <c r="R512" s="106">
        <f t="shared" si="15"/>
        <v>6000</v>
      </c>
      <c r="S512" s="1">
        <f>SUM(MC[[#This Row],[Blk1]:[Blk8]])</f>
        <v>6000</v>
      </c>
      <c r="T512" s="107">
        <v>0.29166666666666669</v>
      </c>
      <c r="U512" s="107">
        <v>0.41666666666666669</v>
      </c>
      <c r="V512" s="107">
        <v>0.66666666666666663</v>
      </c>
      <c r="W512" s="107">
        <v>0.79166666666666663</v>
      </c>
      <c r="X512" s="106" t="s">
        <v>88</v>
      </c>
      <c r="Y512" s="106"/>
      <c r="Z512" s="106"/>
    </row>
    <row r="513" spans="1:26" x14ac:dyDescent="0.25">
      <c r="A513" s="106">
        <v>511</v>
      </c>
      <c r="B513" s="103">
        <f t="shared" si="17"/>
        <v>45710</v>
      </c>
      <c r="C513" s="126">
        <f>YEAR(MC[[#This Row],[Date]])+IF(MONTH(MC[[#This Row],[Date]])&gt;=4,1,0)</f>
        <v>2025</v>
      </c>
      <c r="D513" s="102">
        <f>YEAR(MC[[#This Row],[Date]])</f>
        <v>2025</v>
      </c>
      <c r="E513" s="167"/>
      <c r="F513" s="106"/>
      <c r="G513" s="1" t="str">
        <f>TEXT(MC[[#This Row],[Date]],"mmm-yy")</f>
        <v>Feb-25</v>
      </c>
      <c r="H513" s="1">
        <f>DAY(EOMONTH(MC[[#This Row],[Month Year]],0))</f>
        <v>28</v>
      </c>
      <c r="I513" s="106"/>
      <c r="J513" s="106"/>
      <c r="K513" s="106"/>
      <c r="L513" s="106"/>
      <c r="M513" s="106"/>
      <c r="N513" s="106"/>
      <c r="O513" s="106"/>
      <c r="P513" s="106"/>
      <c r="Q513" s="106"/>
      <c r="R513" s="106">
        <f t="shared" si="15"/>
        <v>6000</v>
      </c>
      <c r="S513" s="1">
        <f>SUM(MC[[#This Row],[Blk1]:[Blk8]])</f>
        <v>6000</v>
      </c>
      <c r="T513" s="107">
        <v>0.29166666666666669</v>
      </c>
      <c r="U513" s="107">
        <v>0.41666666666666669</v>
      </c>
      <c r="V513" s="107">
        <v>0.66666666666666663</v>
      </c>
      <c r="W513" s="107">
        <v>0.79166666666666663</v>
      </c>
      <c r="X513" s="106" t="s">
        <v>88</v>
      </c>
      <c r="Y513" s="106"/>
      <c r="Z513" s="106"/>
    </row>
    <row r="514" spans="1:26" x14ac:dyDescent="0.25">
      <c r="A514" s="106">
        <v>512</v>
      </c>
      <c r="B514" s="103">
        <f t="shared" si="17"/>
        <v>45711</v>
      </c>
      <c r="C514" s="126">
        <f>YEAR(MC[[#This Row],[Date]])+IF(MONTH(MC[[#This Row],[Date]])&gt;=4,1,0)</f>
        <v>2025</v>
      </c>
      <c r="D514" s="102">
        <f>YEAR(MC[[#This Row],[Date]])</f>
        <v>2025</v>
      </c>
      <c r="E514" s="167"/>
      <c r="F514" s="106"/>
      <c r="G514" s="1" t="str">
        <f>TEXT(MC[[#This Row],[Date]],"mmm-yy")</f>
        <v>Feb-25</v>
      </c>
      <c r="H514" s="1">
        <f>DAY(EOMONTH(MC[[#This Row],[Month Year]],0))</f>
        <v>28</v>
      </c>
      <c r="I514" s="106"/>
      <c r="J514" s="106"/>
      <c r="K514" s="106"/>
      <c r="L514" s="106"/>
      <c r="M514" s="106"/>
      <c r="N514" s="106"/>
      <c r="O514" s="106"/>
      <c r="P514" s="106"/>
      <c r="Q514" s="106"/>
      <c r="R514" s="106">
        <f t="shared" si="15"/>
        <v>6000</v>
      </c>
      <c r="S514" s="1">
        <f>SUM(MC[[#This Row],[Blk1]:[Blk8]])</f>
        <v>6000</v>
      </c>
      <c r="T514" s="107">
        <v>0.29166666666666669</v>
      </c>
      <c r="U514" s="107">
        <v>0.41666666666666669</v>
      </c>
      <c r="V514" s="107">
        <v>0.66666666666666663</v>
      </c>
      <c r="W514" s="107">
        <v>0.79166666666666663</v>
      </c>
      <c r="X514" s="106" t="s">
        <v>88</v>
      </c>
      <c r="Y514" s="106"/>
      <c r="Z514" s="106"/>
    </row>
    <row r="515" spans="1:26" x14ac:dyDescent="0.25">
      <c r="A515" s="106">
        <v>513</v>
      </c>
      <c r="B515" s="103">
        <f t="shared" si="17"/>
        <v>45712</v>
      </c>
      <c r="C515" s="126">
        <f>YEAR(MC[[#This Row],[Date]])+IF(MONTH(MC[[#This Row],[Date]])&gt;=4,1,0)</f>
        <v>2025</v>
      </c>
      <c r="D515" s="102">
        <f>YEAR(MC[[#This Row],[Date]])</f>
        <v>2025</v>
      </c>
      <c r="E515" s="167"/>
      <c r="F515" s="106"/>
      <c r="G515" s="1" t="str">
        <f>TEXT(MC[[#This Row],[Date]],"mmm-yy")</f>
        <v>Feb-25</v>
      </c>
      <c r="H515" s="1">
        <f>DAY(EOMONTH(MC[[#This Row],[Month Year]],0))</f>
        <v>28</v>
      </c>
      <c r="I515" s="106"/>
      <c r="J515" s="106"/>
      <c r="K515" s="106"/>
      <c r="L515" s="106"/>
      <c r="M515" s="106"/>
      <c r="N515" s="106"/>
      <c r="O515" s="106"/>
      <c r="P515" s="106"/>
      <c r="Q515" s="106"/>
      <c r="R515" s="106">
        <f t="shared" ref="R515:R579" si="18">120*50</f>
        <v>6000</v>
      </c>
      <c r="S515" s="1">
        <f>SUM(MC[[#This Row],[Blk1]:[Blk8]])</f>
        <v>6000</v>
      </c>
      <c r="T515" s="107">
        <v>0.29166666666666669</v>
      </c>
      <c r="U515" s="107">
        <v>0.41666666666666669</v>
      </c>
      <c r="V515" s="107">
        <v>0.66666666666666663</v>
      </c>
      <c r="W515" s="107">
        <v>0.79166666666666663</v>
      </c>
      <c r="X515" s="106" t="s">
        <v>88</v>
      </c>
      <c r="Y515" s="106"/>
      <c r="Z515" s="106"/>
    </row>
    <row r="516" spans="1:26" x14ac:dyDescent="0.25">
      <c r="A516" s="106">
        <v>514</v>
      </c>
      <c r="B516" s="103">
        <f t="shared" si="17"/>
        <v>45713</v>
      </c>
      <c r="C516" s="126">
        <f>YEAR(MC[[#This Row],[Date]])+IF(MONTH(MC[[#This Row],[Date]])&gt;=4,1,0)</f>
        <v>2025</v>
      </c>
      <c r="D516" s="102">
        <f>YEAR(MC[[#This Row],[Date]])</f>
        <v>2025</v>
      </c>
      <c r="E516" s="167"/>
      <c r="F516" s="106"/>
      <c r="G516" s="1" t="str">
        <f>TEXT(MC[[#This Row],[Date]],"mmm-yy")</f>
        <v>Feb-25</v>
      </c>
      <c r="H516" s="1">
        <f>DAY(EOMONTH(MC[[#This Row],[Month Year]],0))</f>
        <v>28</v>
      </c>
      <c r="I516" s="106"/>
      <c r="J516" s="106"/>
      <c r="K516" s="106"/>
      <c r="L516" s="106"/>
      <c r="M516" s="106"/>
      <c r="N516" s="106"/>
      <c r="O516" s="106"/>
      <c r="P516" s="106"/>
      <c r="Q516" s="106"/>
      <c r="R516" s="106">
        <f t="shared" si="18"/>
        <v>6000</v>
      </c>
      <c r="S516" s="1">
        <f>SUM(MC[[#This Row],[Blk1]:[Blk8]])</f>
        <v>6000</v>
      </c>
      <c r="T516" s="107">
        <v>0.29166666666666669</v>
      </c>
      <c r="U516" s="107">
        <v>0.41666666666666669</v>
      </c>
      <c r="V516" s="107">
        <v>0.66666666666666663</v>
      </c>
      <c r="W516" s="107">
        <v>0.79166666666666663</v>
      </c>
      <c r="X516" s="106" t="s">
        <v>88</v>
      </c>
      <c r="Y516" s="106"/>
      <c r="Z516" s="106"/>
    </row>
    <row r="517" spans="1:26" x14ac:dyDescent="0.25">
      <c r="A517" s="106">
        <v>515</v>
      </c>
      <c r="B517" s="103">
        <f t="shared" si="17"/>
        <v>45714</v>
      </c>
      <c r="C517" s="126">
        <f>YEAR(MC[[#This Row],[Date]])+IF(MONTH(MC[[#This Row],[Date]])&gt;=4,1,0)</f>
        <v>2025</v>
      </c>
      <c r="D517" s="102">
        <f>YEAR(MC[[#This Row],[Date]])</f>
        <v>2025</v>
      </c>
      <c r="E517" s="167"/>
      <c r="F517" s="106"/>
      <c r="G517" s="1" t="str">
        <f>TEXT(MC[[#This Row],[Date]],"mmm-yy")</f>
        <v>Feb-25</v>
      </c>
      <c r="H517" s="1">
        <f>DAY(EOMONTH(MC[[#This Row],[Month Year]],0))</f>
        <v>28</v>
      </c>
      <c r="I517" s="106"/>
      <c r="J517" s="106"/>
      <c r="K517" s="106"/>
      <c r="L517" s="106"/>
      <c r="M517" s="106"/>
      <c r="N517" s="106"/>
      <c r="O517" s="106"/>
      <c r="P517" s="106"/>
      <c r="Q517" s="106"/>
      <c r="R517" s="106">
        <f t="shared" si="18"/>
        <v>6000</v>
      </c>
      <c r="S517" s="1">
        <f>SUM(MC[[#This Row],[Blk1]:[Blk8]])</f>
        <v>6000</v>
      </c>
      <c r="T517" s="107">
        <v>0.29166666666666669</v>
      </c>
      <c r="U517" s="107">
        <v>0.41666666666666669</v>
      </c>
      <c r="V517" s="107">
        <v>0.66666666666666663</v>
      </c>
      <c r="W517" s="107">
        <v>0.79166666666666663</v>
      </c>
      <c r="X517" s="106" t="s">
        <v>88</v>
      </c>
      <c r="Y517" s="106"/>
      <c r="Z517" s="106"/>
    </row>
    <row r="518" spans="1:26" x14ac:dyDescent="0.25">
      <c r="A518" s="106">
        <v>516</v>
      </c>
      <c r="B518" s="103">
        <f t="shared" si="17"/>
        <v>45715</v>
      </c>
      <c r="C518" s="126">
        <f>YEAR(MC[[#This Row],[Date]])+IF(MONTH(MC[[#This Row],[Date]])&gt;=4,1,0)</f>
        <v>2025</v>
      </c>
      <c r="D518" s="102">
        <f>YEAR(MC[[#This Row],[Date]])</f>
        <v>2025</v>
      </c>
      <c r="E518" s="167"/>
      <c r="F518" s="106"/>
      <c r="G518" s="1" t="str">
        <f>TEXT(MC[[#This Row],[Date]],"mmm-yy")</f>
        <v>Feb-25</v>
      </c>
      <c r="H518" s="1">
        <f>DAY(EOMONTH(MC[[#This Row],[Month Year]],0))</f>
        <v>28</v>
      </c>
      <c r="I518" s="106"/>
      <c r="J518" s="106"/>
      <c r="K518" s="106"/>
      <c r="L518" s="106"/>
      <c r="M518" s="106"/>
      <c r="N518" s="106"/>
      <c r="O518" s="106"/>
      <c r="P518" s="106"/>
      <c r="Q518" s="106"/>
      <c r="R518" s="106">
        <f t="shared" si="18"/>
        <v>6000</v>
      </c>
      <c r="S518" s="1">
        <f>SUM(MC[[#This Row],[Blk1]:[Blk8]])</f>
        <v>6000</v>
      </c>
      <c r="T518" s="107">
        <v>0.29166666666666669</v>
      </c>
      <c r="U518" s="107">
        <v>0.41666666666666669</v>
      </c>
      <c r="V518" s="107">
        <v>0.66666666666666663</v>
      </c>
      <c r="W518" s="107">
        <v>0.79166666666666663</v>
      </c>
      <c r="X518" s="106" t="s">
        <v>88</v>
      </c>
      <c r="Y518" s="106"/>
      <c r="Z518" s="106"/>
    </row>
    <row r="519" spans="1:26" x14ac:dyDescent="0.25">
      <c r="A519" s="106">
        <v>517</v>
      </c>
      <c r="B519" s="103">
        <f t="shared" si="17"/>
        <v>45716</v>
      </c>
      <c r="C519" s="126">
        <f>YEAR(MC[[#This Row],[Date]])+IF(MONTH(MC[[#This Row],[Date]])&gt;=4,1,0)</f>
        <v>2025</v>
      </c>
      <c r="D519" s="102">
        <f>YEAR(MC[[#This Row],[Date]])</f>
        <v>2025</v>
      </c>
      <c r="E519" s="167"/>
      <c r="F519" s="106"/>
      <c r="G519" s="1" t="str">
        <f>TEXT(MC[[#This Row],[Date]],"mmm-yy")</f>
        <v>Feb-25</v>
      </c>
      <c r="H519" s="1">
        <f>DAY(EOMONTH(MC[[#This Row],[Month Year]],0))</f>
        <v>28</v>
      </c>
      <c r="I519" s="106"/>
      <c r="J519" s="106"/>
      <c r="K519" s="106"/>
      <c r="L519" s="106"/>
      <c r="M519" s="106"/>
      <c r="N519" s="106"/>
      <c r="O519" s="106"/>
      <c r="P519" s="106"/>
      <c r="Q519" s="106"/>
      <c r="R519" s="106">
        <f t="shared" si="18"/>
        <v>6000</v>
      </c>
      <c r="S519" s="1">
        <f>SUM(MC[[#This Row],[Blk1]:[Blk8]])</f>
        <v>6000</v>
      </c>
      <c r="T519" s="106"/>
      <c r="U519" s="106"/>
      <c r="V519" s="106"/>
      <c r="W519" s="106"/>
      <c r="X519" s="106"/>
      <c r="Y519" s="106"/>
      <c r="Z519" s="106"/>
    </row>
    <row r="520" spans="1:26" x14ac:dyDescent="0.25">
      <c r="A520" s="106">
        <v>518</v>
      </c>
      <c r="B520" s="103">
        <f t="shared" si="17"/>
        <v>45717</v>
      </c>
      <c r="C520" s="126">
        <f>YEAR(MC[[#This Row],[Date]])+IF(MONTH(MC[[#This Row],[Date]])&gt;=4,1,0)</f>
        <v>2025</v>
      </c>
      <c r="D520" s="102">
        <f>YEAR(MC[[#This Row],[Date]])</f>
        <v>2025</v>
      </c>
      <c r="E520" s="167"/>
      <c r="F520" s="106"/>
      <c r="G520" s="1" t="str">
        <f>TEXT(MC[[#This Row],[Date]],"mmm-yy")</f>
        <v>Mar-25</v>
      </c>
      <c r="H520" s="1">
        <f>DAY(EOMONTH(MC[[#This Row],[Month Year]],0))</f>
        <v>31</v>
      </c>
      <c r="I520" s="106"/>
      <c r="J520" s="106"/>
      <c r="K520" s="106"/>
      <c r="L520" s="106"/>
      <c r="M520" s="106"/>
      <c r="N520" s="106"/>
      <c r="O520" s="106"/>
      <c r="P520" s="106"/>
      <c r="Q520" s="106"/>
      <c r="R520" s="106">
        <f t="shared" si="18"/>
        <v>6000</v>
      </c>
      <c r="S520" s="1">
        <f>SUM(MC[[#This Row],[Blk1]:[Blk8]])</f>
        <v>6000</v>
      </c>
      <c r="T520" s="106"/>
      <c r="U520" s="106"/>
      <c r="V520" s="106"/>
      <c r="W520" s="106"/>
      <c r="X520" s="106"/>
      <c r="Y520" s="106"/>
      <c r="Z520" s="106"/>
    </row>
    <row r="521" spans="1:26" x14ac:dyDescent="0.25">
      <c r="A521" s="106">
        <v>519</v>
      </c>
      <c r="B521" s="168">
        <f t="shared" si="17"/>
        <v>45718</v>
      </c>
      <c r="C521" s="126">
        <f>YEAR(MC[[#This Row],[Date]])+IF(MONTH(MC[[#This Row],[Date]])&gt;=4,1,0)</f>
        <v>2025</v>
      </c>
      <c r="D521" s="102">
        <f>YEAR(MC[[#This Row],[Date]])</f>
        <v>2025</v>
      </c>
      <c r="E521" s="167"/>
      <c r="F521" s="106"/>
      <c r="G521" s="1" t="str">
        <f>TEXT(MC[[#This Row],[Date]],"mmm-yy")</f>
        <v>Mar-25</v>
      </c>
      <c r="H521" s="1">
        <f>DAY(EOMONTH(MC[[#This Row],[Month Year]],0))</f>
        <v>31</v>
      </c>
      <c r="I521" s="106"/>
      <c r="J521" s="106"/>
      <c r="K521" s="106"/>
      <c r="L521" s="106"/>
      <c r="M521" s="106"/>
      <c r="N521" s="106"/>
      <c r="O521" s="106"/>
      <c r="P521" s="106"/>
      <c r="Q521" s="106"/>
      <c r="R521" s="106">
        <f t="shared" si="18"/>
        <v>6000</v>
      </c>
      <c r="S521" s="1">
        <f>SUM(MC[[#This Row],[Blk1]:[Blk8]])</f>
        <v>6000</v>
      </c>
      <c r="T521" s="107"/>
      <c r="U521" s="107"/>
      <c r="V521" s="107"/>
      <c r="W521" s="107"/>
      <c r="X521" s="106"/>
      <c r="Y521" s="106"/>
      <c r="Z521" s="106"/>
    </row>
    <row r="522" spans="1:26" x14ac:dyDescent="0.25">
      <c r="A522" s="106">
        <v>520</v>
      </c>
      <c r="B522" s="168">
        <f t="shared" si="17"/>
        <v>45719</v>
      </c>
      <c r="C522" s="126">
        <f>YEAR(MC[[#This Row],[Date]])+IF(MONTH(MC[[#This Row],[Date]])&gt;=4,1,0)</f>
        <v>2025</v>
      </c>
      <c r="D522" s="102">
        <f>YEAR(MC[[#This Row],[Date]])</f>
        <v>2025</v>
      </c>
      <c r="E522" s="167"/>
      <c r="F522" s="106"/>
      <c r="G522" s="1" t="str">
        <f>TEXT(MC[[#This Row],[Date]],"mmm-yy")</f>
        <v>Mar-25</v>
      </c>
      <c r="H522" s="1">
        <f>DAY(EOMONTH(MC[[#This Row],[Month Year]],0))</f>
        <v>31</v>
      </c>
      <c r="I522" s="106"/>
      <c r="J522" s="106"/>
      <c r="K522" s="106"/>
      <c r="L522" s="106"/>
      <c r="M522" s="106"/>
      <c r="N522" s="106"/>
      <c r="O522" s="106"/>
      <c r="P522" s="106"/>
      <c r="Q522" s="106"/>
      <c r="R522" s="106">
        <f t="shared" si="18"/>
        <v>6000</v>
      </c>
      <c r="S522" s="1">
        <f>SUM(MC[[#This Row],[Blk1]:[Blk8]])</f>
        <v>6000</v>
      </c>
      <c r="T522" s="107"/>
      <c r="U522" s="107"/>
      <c r="V522" s="107"/>
      <c r="W522" s="107"/>
      <c r="X522" s="106"/>
      <c r="Y522" s="106"/>
      <c r="Z522" s="106"/>
    </row>
    <row r="523" spans="1:26" x14ac:dyDescent="0.25">
      <c r="A523" s="106">
        <v>521</v>
      </c>
      <c r="B523" s="168">
        <f t="shared" si="17"/>
        <v>45720</v>
      </c>
      <c r="C523" s="126">
        <f>YEAR(MC[[#This Row],[Date]])+IF(MONTH(MC[[#This Row],[Date]])&gt;=4,1,0)</f>
        <v>2025</v>
      </c>
      <c r="D523" s="102">
        <f>YEAR(MC[[#This Row],[Date]])</f>
        <v>2025</v>
      </c>
      <c r="E523" s="167"/>
      <c r="F523" s="106"/>
      <c r="G523" s="1" t="str">
        <f>TEXT(MC[[#This Row],[Date]],"mmm-yy")</f>
        <v>Mar-25</v>
      </c>
      <c r="H523" s="1">
        <f>DAY(EOMONTH(MC[[#This Row],[Month Year]],0))</f>
        <v>31</v>
      </c>
      <c r="I523" s="106"/>
      <c r="J523" s="106"/>
      <c r="K523" s="106"/>
      <c r="L523" s="106"/>
      <c r="M523" s="106"/>
      <c r="N523" s="106"/>
      <c r="O523" s="106"/>
      <c r="P523" s="106"/>
      <c r="Q523" s="106"/>
      <c r="R523" s="106">
        <f t="shared" si="18"/>
        <v>6000</v>
      </c>
      <c r="S523" s="1">
        <f>SUM(MC[[#This Row],[Blk1]:[Blk8]])</f>
        <v>6000</v>
      </c>
      <c r="T523" s="107"/>
      <c r="U523" s="107"/>
      <c r="V523" s="107"/>
      <c r="W523" s="107"/>
      <c r="X523" s="106"/>
      <c r="Y523" s="106"/>
      <c r="Z523" s="106"/>
    </row>
    <row r="524" spans="1:26" x14ac:dyDescent="0.25">
      <c r="A524" s="106">
        <v>522</v>
      </c>
      <c r="B524" s="168">
        <f t="shared" si="17"/>
        <v>45721</v>
      </c>
      <c r="C524" s="126">
        <f>YEAR(MC[[#This Row],[Date]])+IF(MONTH(MC[[#This Row],[Date]])&gt;=4,1,0)</f>
        <v>2025</v>
      </c>
      <c r="D524" s="102">
        <f>YEAR(MC[[#This Row],[Date]])</f>
        <v>2025</v>
      </c>
      <c r="E524" s="167"/>
      <c r="F524" s="106"/>
      <c r="G524" s="1" t="str">
        <f>TEXT(MC[[#This Row],[Date]],"mmm-yy")</f>
        <v>Mar-25</v>
      </c>
      <c r="H524" s="1">
        <f>DAY(EOMONTH(MC[[#This Row],[Month Year]],0))</f>
        <v>31</v>
      </c>
      <c r="I524" s="106"/>
      <c r="J524" s="106"/>
      <c r="K524" s="106"/>
      <c r="L524" s="106"/>
      <c r="M524" s="106"/>
      <c r="N524" s="106"/>
      <c r="O524" s="106"/>
      <c r="P524" s="106"/>
      <c r="Q524" s="106"/>
      <c r="R524" s="106">
        <f t="shared" si="18"/>
        <v>6000</v>
      </c>
      <c r="S524" s="1">
        <f>SUM(MC[[#This Row],[Blk1]:[Blk8]])</f>
        <v>6000</v>
      </c>
      <c r="T524" s="107"/>
      <c r="U524" s="107"/>
      <c r="V524" s="107"/>
      <c r="W524" s="107"/>
      <c r="X524" s="106"/>
      <c r="Y524" s="106"/>
      <c r="Z524" s="106"/>
    </row>
    <row r="525" spans="1:26" x14ac:dyDescent="0.25">
      <c r="A525" s="106">
        <v>523</v>
      </c>
      <c r="B525" s="168">
        <f t="shared" si="17"/>
        <v>45722</v>
      </c>
      <c r="C525" s="126">
        <f>YEAR(MC[[#This Row],[Date]])+IF(MONTH(MC[[#This Row],[Date]])&gt;=4,1,0)</f>
        <v>2025</v>
      </c>
      <c r="D525" s="102">
        <f>YEAR(MC[[#This Row],[Date]])</f>
        <v>2025</v>
      </c>
      <c r="E525" s="167"/>
      <c r="F525" s="106"/>
      <c r="G525" s="1" t="str">
        <f>TEXT(MC[[#This Row],[Date]],"mmm-yy")</f>
        <v>Mar-25</v>
      </c>
      <c r="H525" s="1">
        <f>DAY(EOMONTH(MC[[#This Row],[Month Year]],0))</f>
        <v>31</v>
      </c>
      <c r="I525" s="106"/>
      <c r="J525" s="106"/>
      <c r="K525" s="106"/>
      <c r="L525" s="106"/>
      <c r="M525" s="106"/>
      <c r="N525" s="106"/>
      <c r="O525" s="106"/>
      <c r="P525" s="106"/>
      <c r="Q525" s="106"/>
      <c r="R525" s="106">
        <f t="shared" si="18"/>
        <v>6000</v>
      </c>
      <c r="S525" s="1">
        <f>SUM(MC[[#This Row],[Blk1]:[Blk8]])</f>
        <v>6000</v>
      </c>
      <c r="T525" s="107">
        <v>0.29166666666666669</v>
      </c>
      <c r="U525" s="107">
        <v>0.41666666666666669</v>
      </c>
      <c r="V525" s="107">
        <v>0.66666666666666663</v>
      </c>
      <c r="W525" s="107">
        <v>0.79166666666666663</v>
      </c>
      <c r="X525" s="106" t="s">
        <v>88</v>
      </c>
      <c r="Y525" s="106"/>
      <c r="Z525" s="106"/>
    </row>
    <row r="526" spans="1:26" x14ac:dyDescent="0.25">
      <c r="A526" s="106">
        <v>524</v>
      </c>
      <c r="B526" s="168">
        <f>B525+1</f>
        <v>45723</v>
      </c>
      <c r="C526" s="126">
        <f>YEAR(MC[[#This Row],[Date]])+IF(MONTH(MC[[#This Row],[Date]])&gt;=4,1,0)</f>
        <v>2025</v>
      </c>
      <c r="D526" s="102">
        <f>YEAR(MC[[#This Row],[Date]])</f>
        <v>2025</v>
      </c>
      <c r="E526" s="167"/>
      <c r="F526" s="106"/>
      <c r="G526" s="1" t="str">
        <f>TEXT(MC[[#This Row],[Date]],"mmm-yy")</f>
        <v>Mar-25</v>
      </c>
      <c r="H526" s="1">
        <f>DAY(EOMONTH(MC[[#This Row],[Month Year]],0))</f>
        <v>31</v>
      </c>
      <c r="I526" s="106"/>
      <c r="J526" s="106"/>
      <c r="K526" s="106"/>
      <c r="L526" s="106"/>
      <c r="M526" s="106"/>
      <c r="N526" s="106"/>
      <c r="O526" s="106"/>
      <c r="P526" s="106"/>
      <c r="Q526" s="106"/>
      <c r="R526" s="106">
        <f t="shared" si="18"/>
        <v>6000</v>
      </c>
      <c r="S526" s="1">
        <f>SUM(MC[[#This Row],[Blk1]:[Blk8]])</f>
        <v>6000</v>
      </c>
      <c r="T526" s="106"/>
      <c r="U526" s="106"/>
      <c r="V526" s="106"/>
      <c r="W526" s="106"/>
      <c r="X526" s="106"/>
      <c r="Y526" s="106"/>
      <c r="Z526" s="106" t="s">
        <v>141</v>
      </c>
    </row>
    <row r="527" spans="1:26" x14ac:dyDescent="0.25">
      <c r="A527" s="106">
        <v>525</v>
      </c>
      <c r="B527" s="168">
        <f>B526+1</f>
        <v>45724</v>
      </c>
      <c r="C527" s="126">
        <f>YEAR(MC[[#This Row],[Date]])+IF(MONTH(MC[[#This Row],[Date]])&gt;=4,1,0)</f>
        <v>2025</v>
      </c>
      <c r="D527" s="102">
        <f>YEAR(MC[[#This Row],[Date]])</f>
        <v>2025</v>
      </c>
      <c r="E527" s="167"/>
      <c r="F527" s="106"/>
      <c r="G527" s="1" t="str">
        <f>TEXT(MC[[#This Row],[Date]],"mmm-yy")</f>
        <v>Mar-25</v>
      </c>
      <c r="H527" s="1">
        <f>DAY(EOMONTH(MC[[#This Row],[Month Year]],0))</f>
        <v>31</v>
      </c>
      <c r="I527" s="106"/>
      <c r="J527" s="106"/>
      <c r="K527" s="106"/>
      <c r="L527" s="106"/>
      <c r="M527" s="106"/>
      <c r="N527" s="106"/>
      <c r="O527" s="106"/>
      <c r="P527" s="106"/>
      <c r="Q527" s="106"/>
      <c r="R527" s="106">
        <f t="shared" si="18"/>
        <v>6000</v>
      </c>
      <c r="S527" s="1">
        <f>SUM(MC[[#This Row],[Blk1]:[Blk8]])</f>
        <v>6000</v>
      </c>
      <c r="T527" s="107">
        <v>0.29166666666666669</v>
      </c>
      <c r="U527" s="107">
        <v>0.41666666666666669</v>
      </c>
      <c r="V527" s="107">
        <v>0.66666666666666663</v>
      </c>
      <c r="W527" s="107">
        <v>0.79166666666666663</v>
      </c>
      <c r="X527" s="106" t="s">
        <v>88</v>
      </c>
      <c r="Y527" s="106"/>
      <c r="Z527" s="106"/>
    </row>
    <row r="528" spans="1:26" x14ac:dyDescent="0.25">
      <c r="A528" s="106">
        <v>526</v>
      </c>
      <c r="B528" s="168">
        <f t="shared" ref="B528:B591" si="19">B527+1</f>
        <v>45725</v>
      </c>
      <c r="C528" s="126">
        <f>YEAR(MC[[#This Row],[Date]])+IF(MONTH(MC[[#This Row],[Date]])&gt;=4,1,0)</f>
        <v>2025</v>
      </c>
      <c r="D528" s="102">
        <f>YEAR(MC[[#This Row],[Date]])</f>
        <v>2025</v>
      </c>
      <c r="E528" s="167"/>
      <c r="F528" s="106"/>
      <c r="G528" s="1" t="str">
        <f>TEXT(MC[[#This Row],[Date]],"mmm-yy")</f>
        <v>Mar-25</v>
      </c>
      <c r="H528" s="1">
        <f>DAY(EOMONTH(MC[[#This Row],[Month Year]],0))</f>
        <v>31</v>
      </c>
      <c r="I528" s="106"/>
      <c r="J528" s="106"/>
      <c r="K528" s="106"/>
      <c r="L528" s="106"/>
      <c r="M528" s="106"/>
      <c r="N528" s="106"/>
      <c r="O528" s="106"/>
      <c r="P528" s="106"/>
      <c r="Q528" s="106"/>
      <c r="R528" s="106">
        <f t="shared" si="18"/>
        <v>6000</v>
      </c>
      <c r="S528" s="1">
        <f>SUM(MC[[#This Row],[Blk1]:[Blk8]])</f>
        <v>6000</v>
      </c>
      <c r="T528" s="107">
        <v>0.29166666666666669</v>
      </c>
      <c r="U528" s="107">
        <v>0.41666666666666669</v>
      </c>
      <c r="V528" s="107">
        <v>0.66666666666666663</v>
      </c>
      <c r="W528" s="107">
        <v>0.79166666666666663</v>
      </c>
      <c r="X528" s="106" t="s">
        <v>88</v>
      </c>
      <c r="Y528" s="106"/>
      <c r="Z528" s="106"/>
    </row>
    <row r="529" spans="1:26" x14ac:dyDescent="0.25">
      <c r="A529" s="106">
        <v>527</v>
      </c>
      <c r="B529" s="168">
        <f t="shared" si="19"/>
        <v>45726</v>
      </c>
      <c r="C529" s="126">
        <f>YEAR(MC[[#This Row],[Date]])+IF(MONTH(MC[[#This Row],[Date]])&gt;=4,1,0)</f>
        <v>2025</v>
      </c>
      <c r="D529" s="102">
        <f>YEAR(MC[[#This Row],[Date]])</f>
        <v>2025</v>
      </c>
      <c r="E529" s="167"/>
      <c r="F529" s="106"/>
      <c r="G529" s="1" t="str">
        <f>TEXT(MC[[#This Row],[Date]],"mmm-yy")</f>
        <v>Mar-25</v>
      </c>
      <c r="H529" s="1">
        <f>DAY(EOMONTH(MC[[#This Row],[Month Year]],0))</f>
        <v>31</v>
      </c>
      <c r="I529" s="106"/>
      <c r="J529" s="106"/>
      <c r="K529" s="106"/>
      <c r="L529" s="106"/>
      <c r="M529" s="106"/>
      <c r="N529" s="106"/>
      <c r="O529" s="106"/>
      <c r="P529" s="106"/>
      <c r="Q529" s="106"/>
      <c r="R529" s="106">
        <f t="shared" si="18"/>
        <v>6000</v>
      </c>
      <c r="S529" s="1">
        <f>SUM(MC[[#This Row],[Blk1]:[Blk8]])</f>
        <v>6000</v>
      </c>
      <c r="T529" s="107">
        <v>0.29166666666666669</v>
      </c>
      <c r="U529" s="107">
        <v>0.41666666666666669</v>
      </c>
      <c r="V529" s="107">
        <v>0.66666666666666663</v>
      </c>
      <c r="W529" s="107">
        <v>0.79166666666666663</v>
      </c>
      <c r="X529" s="106" t="s">
        <v>88</v>
      </c>
      <c r="Y529" s="106"/>
      <c r="Z529" s="106"/>
    </row>
    <row r="530" spans="1:26" x14ac:dyDescent="0.25">
      <c r="A530" s="106">
        <v>528</v>
      </c>
      <c r="B530" s="168">
        <f t="shared" si="19"/>
        <v>45727</v>
      </c>
      <c r="C530" s="126">
        <f>YEAR(MC[[#This Row],[Date]])+IF(MONTH(MC[[#This Row],[Date]])&gt;=4,1,0)</f>
        <v>2025</v>
      </c>
      <c r="D530" s="102">
        <f>YEAR(MC[[#This Row],[Date]])</f>
        <v>2025</v>
      </c>
      <c r="E530" s="167"/>
      <c r="F530" s="106"/>
      <c r="G530" s="1" t="str">
        <f>TEXT(MC[[#This Row],[Date]],"mmm-yy")</f>
        <v>Mar-25</v>
      </c>
      <c r="H530" s="1">
        <f>DAY(EOMONTH(MC[[#This Row],[Month Year]],0))</f>
        <v>31</v>
      </c>
      <c r="I530" s="106"/>
      <c r="J530" s="106"/>
      <c r="K530" s="106"/>
      <c r="L530" s="106"/>
      <c r="M530" s="106"/>
      <c r="N530" s="106"/>
      <c r="O530" s="106"/>
      <c r="P530" s="106"/>
      <c r="Q530" s="106"/>
      <c r="R530" s="106">
        <f t="shared" si="18"/>
        <v>6000</v>
      </c>
      <c r="S530" s="1">
        <f>SUM(MC[[#This Row],[Blk1]:[Blk8]])</f>
        <v>6000</v>
      </c>
      <c r="T530" s="107">
        <v>0.29166666666666669</v>
      </c>
      <c r="U530" s="107">
        <v>0.41666666666666669</v>
      </c>
      <c r="V530" s="107">
        <v>0.66666666666666663</v>
      </c>
      <c r="W530" s="107">
        <v>0.79166666666666663</v>
      </c>
      <c r="X530" s="106" t="s">
        <v>88</v>
      </c>
      <c r="Y530" s="106"/>
      <c r="Z530" s="106"/>
    </row>
    <row r="531" spans="1:26" x14ac:dyDescent="0.25">
      <c r="A531" s="106">
        <v>529</v>
      </c>
      <c r="B531" s="168">
        <f t="shared" si="19"/>
        <v>45728</v>
      </c>
      <c r="C531" s="126">
        <f>YEAR(MC[[#This Row],[Date]])+IF(MONTH(MC[[#This Row],[Date]])&gt;=4,1,0)</f>
        <v>2025</v>
      </c>
      <c r="D531" s="102">
        <f>YEAR(MC[[#This Row],[Date]])</f>
        <v>2025</v>
      </c>
      <c r="E531" s="167"/>
      <c r="F531" s="106"/>
      <c r="G531" s="1" t="str">
        <f>TEXT(MC[[#This Row],[Date]],"mmm-yy")</f>
        <v>Mar-25</v>
      </c>
      <c r="H531" s="1">
        <f>DAY(EOMONTH(MC[[#This Row],[Month Year]],0))</f>
        <v>31</v>
      </c>
      <c r="I531" s="106"/>
      <c r="J531" s="106"/>
      <c r="K531" s="106"/>
      <c r="L531" s="106"/>
      <c r="M531" s="106"/>
      <c r="N531" s="106"/>
      <c r="O531" s="106"/>
      <c r="P531" s="106"/>
      <c r="Q531" s="106"/>
      <c r="R531" s="106">
        <f t="shared" si="18"/>
        <v>6000</v>
      </c>
      <c r="S531" s="1">
        <f>SUM(MC[[#This Row],[Blk1]:[Blk8]])</f>
        <v>6000</v>
      </c>
      <c r="T531" s="107">
        <v>0.29166666666666669</v>
      </c>
      <c r="U531" s="107">
        <v>0.41666666666666669</v>
      </c>
      <c r="V531" s="107">
        <v>0.66666666666666663</v>
      </c>
      <c r="W531" s="107">
        <v>0.79166666666666663</v>
      </c>
      <c r="X531" s="106" t="s">
        <v>88</v>
      </c>
      <c r="Y531" s="106"/>
      <c r="Z531" s="106"/>
    </row>
    <row r="532" spans="1:26" x14ac:dyDescent="0.25">
      <c r="A532" s="106">
        <v>530</v>
      </c>
      <c r="B532" s="168">
        <f t="shared" si="19"/>
        <v>45729</v>
      </c>
      <c r="C532" s="126">
        <f>YEAR(MC[[#This Row],[Date]])+IF(MONTH(MC[[#This Row],[Date]])&gt;=4,1,0)</f>
        <v>2025</v>
      </c>
      <c r="D532" s="102">
        <f>YEAR(MC[[#This Row],[Date]])</f>
        <v>2025</v>
      </c>
      <c r="E532" s="167"/>
      <c r="F532" s="106"/>
      <c r="G532" s="1" t="str">
        <f>TEXT(MC[[#This Row],[Date]],"mmm-yy")</f>
        <v>Mar-25</v>
      </c>
      <c r="H532" s="1">
        <f>DAY(EOMONTH(MC[[#This Row],[Month Year]],0))</f>
        <v>31</v>
      </c>
      <c r="I532" s="106"/>
      <c r="J532" s="106"/>
      <c r="K532" s="106"/>
      <c r="L532" s="106"/>
      <c r="M532" s="106"/>
      <c r="N532" s="106"/>
      <c r="O532" s="106"/>
      <c r="P532" s="106"/>
      <c r="Q532" s="106"/>
      <c r="R532" s="106">
        <f t="shared" si="18"/>
        <v>6000</v>
      </c>
      <c r="S532" s="1">
        <f>SUM(MC[[#This Row],[Blk1]:[Blk8]])</f>
        <v>6000</v>
      </c>
      <c r="T532" s="106"/>
      <c r="U532" s="106"/>
      <c r="V532" s="106"/>
      <c r="W532" s="106"/>
      <c r="X532" s="106"/>
      <c r="Y532" s="106"/>
      <c r="Z532" s="106"/>
    </row>
    <row r="533" spans="1:26" x14ac:dyDescent="0.25">
      <c r="A533" s="106">
        <v>531</v>
      </c>
      <c r="B533" s="168">
        <f t="shared" si="19"/>
        <v>45730</v>
      </c>
      <c r="C533" s="126">
        <f>YEAR(MC[[#This Row],[Date]])+IF(MONTH(MC[[#This Row],[Date]])&gt;=4,1,0)</f>
        <v>2025</v>
      </c>
      <c r="D533" s="102">
        <f>YEAR(MC[[#This Row],[Date]])</f>
        <v>2025</v>
      </c>
      <c r="E533" s="167"/>
      <c r="F533" s="106"/>
      <c r="G533" s="1" t="str">
        <f>TEXT(MC[[#This Row],[Date]],"mmm-yy")</f>
        <v>Mar-25</v>
      </c>
      <c r="H533" s="1">
        <f>DAY(EOMONTH(MC[[#This Row],[Month Year]],0))</f>
        <v>31</v>
      </c>
      <c r="I533" s="106"/>
      <c r="J533" s="106"/>
      <c r="K533" s="106"/>
      <c r="L533" s="106"/>
      <c r="M533" s="106"/>
      <c r="N533" s="106"/>
      <c r="O533" s="106"/>
      <c r="P533" s="106"/>
      <c r="Q533" s="106"/>
      <c r="R533" s="106">
        <f t="shared" si="18"/>
        <v>6000</v>
      </c>
      <c r="S533" s="1">
        <f>SUM(MC[[#This Row],[Blk1]:[Blk8]])</f>
        <v>6000</v>
      </c>
      <c r="T533" s="106"/>
      <c r="U533" s="106"/>
      <c r="V533" s="106"/>
      <c r="W533" s="106"/>
      <c r="X533" s="106"/>
      <c r="Y533" s="106"/>
      <c r="Z533" s="106"/>
    </row>
    <row r="534" spans="1:26" x14ac:dyDescent="0.25">
      <c r="A534" s="106">
        <v>532</v>
      </c>
      <c r="B534" s="168">
        <f t="shared" si="19"/>
        <v>45731</v>
      </c>
      <c r="C534" s="126">
        <f>YEAR(MC[[#This Row],[Date]])+IF(MONTH(MC[[#This Row],[Date]])&gt;=4,1,0)</f>
        <v>2025</v>
      </c>
      <c r="D534" s="102">
        <f>YEAR(MC[[#This Row],[Date]])</f>
        <v>2025</v>
      </c>
      <c r="E534" s="167"/>
      <c r="F534" s="106"/>
      <c r="G534" s="1" t="str">
        <f>TEXT(MC[[#This Row],[Date]],"mmm-yy")</f>
        <v>Mar-25</v>
      </c>
      <c r="H534" s="1">
        <f>DAY(EOMONTH(MC[[#This Row],[Month Year]],0))</f>
        <v>31</v>
      </c>
      <c r="I534" s="106"/>
      <c r="J534" s="106"/>
      <c r="K534" s="106"/>
      <c r="L534" s="106"/>
      <c r="M534" s="106"/>
      <c r="N534" s="106"/>
      <c r="O534" s="106"/>
      <c r="P534" s="106"/>
      <c r="Q534" s="106"/>
      <c r="R534" s="106">
        <f t="shared" si="18"/>
        <v>6000</v>
      </c>
      <c r="S534" s="1">
        <f>SUM(MC[[#This Row],[Blk1]:[Blk8]])</f>
        <v>6000</v>
      </c>
      <c r="T534" s="107">
        <v>0.29166666666666669</v>
      </c>
      <c r="U534" s="107">
        <v>0.41666666666666669</v>
      </c>
      <c r="V534" s="107">
        <v>0.66666666666666663</v>
      </c>
      <c r="W534" s="107">
        <v>0.79166666666666663</v>
      </c>
      <c r="X534" s="106" t="s">
        <v>88</v>
      </c>
      <c r="Y534" s="106"/>
      <c r="Z534" s="106"/>
    </row>
    <row r="535" spans="1:26" x14ac:dyDescent="0.25">
      <c r="A535" s="106">
        <v>533</v>
      </c>
      <c r="B535" s="168">
        <f t="shared" si="19"/>
        <v>45732</v>
      </c>
      <c r="C535" s="126">
        <f>YEAR(MC[[#This Row],[Date]])+IF(MONTH(MC[[#This Row],[Date]])&gt;=4,1,0)</f>
        <v>2025</v>
      </c>
      <c r="D535" s="102">
        <f>YEAR(MC[[#This Row],[Date]])</f>
        <v>2025</v>
      </c>
      <c r="E535" s="167"/>
      <c r="F535" s="106"/>
      <c r="G535" s="1" t="str">
        <f>TEXT(MC[[#This Row],[Date]],"mmm-yy")</f>
        <v>Mar-25</v>
      </c>
      <c r="H535" s="1">
        <f>DAY(EOMONTH(MC[[#This Row],[Month Year]],0))</f>
        <v>31</v>
      </c>
      <c r="I535" s="106"/>
      <c r="J535" s="106"/>
      <c r="K535" s="106"/>
      <c r="L535" s="106"/>
      <c r="M535" s="106"/>
      <c r="N535" s="106"/>
      <c r="O535" s="106"/>
      <c r="P535" s="106"/>
      <c r="Q535" s="106"/>
      <c r="R535" s="106">
        <f t="shared" si="18"/>
        <v>6000</v>
      </c>
      <c r="S535" s="1">
        <f>SUM(MC[[#This Row],[Blk1]:[Blk8]])</f>
        <v>6000</v>
      </c>
      <c r="T535" s="107">
        <v>0.29166666666666669</v>
      </c>
      <c r="U535" s="107">
        <v>0.41666666666666669</v>
      </c>
      <c r="V535" s="107">
        <v>0.66666666666666663</v>
      </c>
      <c r="W535" s="107">
        <v>0.79166666666666663</v>
      </c>
      <c r="X535" s="106" t="s">
        <v>88</v>
      </c>
      <c r="Y535" s="106"/>
      <c r="Z535" s="106"/>
    </row>
    <row r="536" spans="1:26" x14ac:dyDescent="0.25">
      <c r="A536" s="106">
        <v>534</v>
      </c>
      <c r="B536" s="168">
        <f t="shared" si="19"/>
        <v>45733</v>
      </c>
      <c r="C536" s="126">
        <f>YEAR(MC[[#This Row],[Date]])+IF(MONTH(MC[[#This Row],[Date]])&gt;=4,1,0)</f>
        <v>2025</v>
      </c>
      <c r="D536" s="102">
        <f>YEAR(MC[[#This Row],[Date]])</f>
        <v>2025</v>
      </c>
      <c r="E536" s="167"/>
      <c r="F536" s="106"/>
      <c r="G536" s="1" t="str">
        <f>TEXT(MC[[#This Row],[Date]],"mmm-yy")</f>
        <v>Mar-25</v>
      </c>
      <c r="H536" s="1">
        <f>DAY(EOMONTH(MC[[#This Row],[Month Year]],0))</f>
        <v>31</v>
      </c>
      <c r="I536" s="106"/>
      <c r="J536" s="106"/>
      <c r="K536" s="106"/>
      <c r="L536" s="106"/>
      <c r="M536" s="106"/>
      <c r="N536" s="106"/>
      <c r="O536" s="106"/>
      <c r="P536" s="106"/>
      <c r="Q536" s="106"/>
      <c r="R536" s="106">
        <f t="shared" si="18"/>
        <v>6000</v>
      </c>
      <c r="S536" s="1">
        <f>SUM(MC[[#This Row],[Blk1]:[Blk8]])</f>
        <v>6000</v>
      </c>
      <c r="T536" s="107">
        <v>0.29166666666666669</v>
      </c>
      <c r="U536" s="107">
        <v>0.41666666666666669</v>
      </c>
      <c r="V536" s="107">
        <v>0.66666666666666663</v>
      </c>
      <c r="W536" s="107">
        <v>0.79166666666666663</v>
      </c>
      <c r="X536" s="106" t="s">
        <v>88</v>
      </c>
      <c r="Y536" s="106"/>
      <c r="Z536" s="106"/>
    </row>
    <row r="537" spans="1:26" x14ac:dyDescent="0.25">
      <c r="A537" s="106">
        <v>535</v>
      </c>
      <c r="B537" s="168">
        <f t="shared" si="19"/>
        <v>45734</v>
      </c>
      <c r="C537" s="126">
        <f>YEAR(MC[[#This Row],[Date]])+IF(MONTH(MC[[#This Row],[Date]])&gt;=4,1,0)</f>
        <v>2025</v>
      </c>
      <c r="D537" s="102">
        <f>YEAR(MC[[#This Row],[Date]])</f>
        <v>2025</v>
      </c>
      <c r="E537" s="167"/>
      <c r="F537" s="106"/>
      <c r="G537" s="1" t="str">
        <f>TEXT(MC[[#This Row],[Date]],"mmm-yy")</f>
        <v>Mar-25</v>
      </c>
      <c r="H537" s="1">
        <f>DAY(EOMONTH(MC[[#This Row],[Month Year]],0))</f>
        <v>31</v>
      </c>
      <c r="I537" s="106"/>
      <c r="J537" s="106"/>
      <c r="K537" s="106"/>
      <c r="L537" s="106"/>
      <c r="M537" s="106"/>
      <c r="N537" s="106"/>
      <c r="O537" s="106"/>
      <c r="P537" s="106"/>
      <c r="Q537" s="106"/>
      <c r="R537" s="106">
        <f t="shared" si="18"/>
        <v>6000</v>
      </c>
      <c r="S537" s="1">
        <f>SUM(MC[[#This Row],[Blk1]:[Blk8]])</f>
        <v>6000</v>
      </c>
      <c r="T537" s="106"/>
      <c r="U537" s="106"/>
      <c r="V537" s="106"/>
      <c r="W537" s="106"/>
      <c r="X537" s="106"/>
      <c r="Y537" s="106"/>
      <c r="Z537" s="106"/>
    </row>
    <row r="538" spans="1:26" x14ac:dyDescent="0.25">
      <c r="A538" s="106">
        <v>536</v>
      </c>
      <c r="B538" s="168">
        <f t="shared" si="19"/>
        <v>45735</v>
      </c>
      <c r="C538" s="126">
        <f>YEAR(MC[[#This Row],[Date]])+IF(MONTH(MC[[#This Row],[Date]])&gt;=4,1,0)</f>
        <v>2025</v>
      </c>
      <c r="D538" s="102">
        <f>YEAR(MC[[#This Row],[Date]])</f>
        <v>2025</v>
      </c>
      <c r="E538" s="167"/>
      <c r="F538" s="106"/>
      <c r="G538" s="1" t="str">
        <f>TEXT(MC[[#This Row],[Date]],"mmm-yy")</f>
        <v>Mar-25</v>
      </c>
      <c r="H538" s="1">
        <f>DAY(EOMONTH(MC[[#This Row],[Month Year]],0))</f>
        <v>31</v>
      </c>
      <c r="I538" s="106"/>
      <c r="J538" s="106"/>
      <c r="K538" s="106"/>
      <c r="L538" s="106"/>
      <c r="M538" s="106"/>
      <c r="N538" s="106"/>
      <c r="O538" s="106"/>
      <c r="P538" s="106"/>
      <c r="Q538" s="106"/>
      <c r="R538" s="106">
        <f t="shared" si="18"/>
        <v>6000</v>
      </c>
      <c r="S538" s="1">
        <f>SUM(MC[[#This Row],[Blk1]:[Blk8]])</f>
        <v>6000</v>
      </c>
      <c r="T538" s="106"/>
      <c r="U538" s="106"/>
      <c r="V538" s="106"/>
      <c r="W538" s="106"/>
      <c r="X538" s="106"/>
      <c r="Y538" s="106"/>
      <c r="Z538" s="106"/>
    </row>
    <row r="539" spans="1:26" x14ac:dyDescent="0.25">
      <c r="A539" s="106">
        <v>537</v>
      </c>
      <c r="B539" s="168">
        <f t="shared" si="19"/>
        <v>45736</v>
      </c>
      <c r="C539" s="126">
        <f>YEAR(MC[[#This Row],[Date]])+IF(MONTH(MC[[#This Row],[Date]])&gt;=4,1,0)</f>
        <v>2025</v>
      </c>
      <c r="D539" s="102">
        <f>YEAR(MC[[#This Row],[Date]])</f>
        <v>2025</v>
      </c>
      <c r="E539" s="167"/>
      <c r="F539" s="106"/>
      <c r="G539" s="1" t="str">
        <f>TEXT(MC[[#This Row],[Date]],"mmm-yy")</f>
        <v>Mar-25</v>
      </c>
      <c r="H539" s="1">
        <f>DAY(EOMONTH(MC[[#This Row],[Month Year]],0))</f>
        <v>31</v>
      </c>
      <c r="I539" s="106"/>
      <c r="J539" s="106"/>
      <c r="K539" s="106"/>
      <c r="L539" s="106"/>
      <c r="M539" s="106"/>
      <c r="N539" s="106"/>
      <c r="O539" s="106"/>
      <c r="P539" s="106"/>
      <c r="Q539" s="106"/>
      <c r="R539" s="106">
        <f t="shared" si="18"/>
        <v>6000</v>
      </c>
      <c r="S539" s="1">
        <f>SUM(MC[[#This Row],[Blk1]:[Blk8]])</f>
        <v>6000</v>
      </c>
      <c r="T539" s="106"/>
      <c r="U539" s="106"/>
      <c r="V539" s="106"/>
      <c r="W539" s="106"/>
      <c r="X539" s="106"/>
      <c r="Y539" s="106"/>
      <c r="Z539" s="106"/>
    </row>
    <row r="540" spans="1:26" x14ac:dyDescent="0.25">
      <c r="A540" s="106">
        <v>538</v>
      </c>
      <c r="B540" s="168">
        <f t="shared" si="19"/>
        <v>45737</v>
      </c>
      <c r="C540" s="126">
        <f>YEAR(MC[[#This Row],[Date]])+IF(MONTH(MC[[#This Row],[Date]])&gt;=4,1,0)</f>
        <v>2025</v>
      </c>
      <c r="D540" s="102">
        <f>YEAR(MC[[#This Row],[Date]])</f>
        <v>2025</v>
      </c>
      <c r="E540" s="167"/>
      <c r="F540" s="106"/>
      <c r="G540" s="1" t="str">
        <f>TEXT(MC[[#This Row],[Date]],"mmm-yy")</f>
        <v>Mar-25</v>
      </c>
      <c r="H540" s="1">
        <f>DAY(EOMONTH(MC[[#This Row],[Month Year]],0))</f>
        <v>31</v>
      </c>
      <c r="I540" s="106"/>
      <c r="J540" s="106"/>
      <c r="K540" s="106"/>
      <c r="L540" s="106"/>
      <c r="M540" s="106"/>
      <c r="N540" s="106"/>
      <c r="O540" s="106"/>
      <c r="P540" s="106"/>
      <c r="Q540" s="106"/>
      <c r="R540" s="106">
        <f t="shared" si="18"/>
        <v>6000</v>
      </c>
      <c r="S540" s="1">
        <f>SUM(MC[[#This Row],[Blk1]:[Blk8]])</f>
        <v>6000</v>
      </c>
      <c r="T540" s="107">
        <v>0.29166666666666669</v>
      </c>
      <c r="U540" s="107">
        <v>0.41666666666666669</v>
      </c>
      <c r="V540" s="107">
        <v>0.66666666666666663</v>
      </c>
      <c r="W540" s="107">
        <v>0.79166666666666663</v>
      </c>
      <c r="X540" s="106" t="s">
        <v>88</v>
      </c>
      <c r="Y540" s="106"/>
      <c r="Z540" s="106"/>
    </row>
    <row r="541" spans="1:26" x14ac:dyDescent="0.25">
      <c r="A541" s="106">
        <v>539</v>
      </c>
      <c r="B541" s="168">
        <f t="shared" si="19"/>
        <v>45738</v>
      </c>
      <c r="C541" s="126">
        <f>YEAR(MC[[#This Row],[Date]])+IF(MONTH(MC[[#This Row],[Date]])&gt;=4,1,0)</f>
        <v>2025</v>
      </c>
      <c r="D541" s="102">
        <f>YEAR(MC[[#This Row],[Date]])</f>
        <v>2025</v>
      </c>
      <c r="E541" s="167"/>
      <c r="F541" s="106"/>
      <c r="G541" s="1" t="str">
        <f>TEXT(MC[[#This Row],[Date]],"mmm-yy")</f>
        <v>Mar-25</v>
      </c>
      <c r="H541" s="1">
        <f>DAY(EOMONTH(MC[[#This Row],[Month Year]],0))</f>
        <v>31</v>
      </c>
      <c r="I541" s="106"/>
      <c r="J541" s="106"/>
      <c r="K541" s="106"/>
      <c r="L541" s="106"/>
      <c r="M541" s="106"/>
      <c r="N541" s="106"/>
      <c r="O541" s="106"/>
      <c r="P541" s="106"/>
      <c r="Q541" s="106"/>
      <c r="R541" s="106">
        <f t="shared" si="18"/>
        <v>6000</v>
      </c>
      <c r="S541" s="1">
        <f>SUM(MC[[#This Row],[Blk1]:[Blk8]])</f>
        <v>6000</v>
      </c>
      <c r="T541" s="107">
        <v>0.29166666666666669</v>
      </c>
      <c r="U541" s="107">
        <v>0.41666666666666669</v>
      </c>
      <c r="V541" s="107">
        <v>0.66666666666666663</v>
      </c>
      <c r="W541" s="107">
        <v>0.79166666666666663</v>
      </c>
      <c r="X541" s="106" t="s">
        <v>88</v>
      </c>
      <c r="Y541" s="106"/>
      <c r="Z541" s="106"/>
    </row>
    <row r="542" spans="1:26" x14ac:dyDescent="0.25">
      <c r="A542" s="106">
        <v>540</v>
      </c>
      <c r="B542" s="168">
        <f t="shared" si="19"/>
        <v>45739</v>
      </c>
      <c r="C542" s="126">
        <f>YEAR(MC[[#This Row],[Date]])+IF(MONTH(MC[[#This Row],[Date]])&gt;=4,1,0)</f>
        <v>2025</v>
      </c>
      <c r="D542" s="102">
        <f>YEAR(MC[[#This Row],[Date]])</f>
        <v>2025</v>
      </c>
      <c r="E542" s="167"/>
      <c r="F542" s="106"/>
      <c r="G542" s="1" t="str">
        <f>TEXT(MC[[#This Row],[Date]],"mmm-yy")</f>
        <v>Mar-25</v>
      </c>
      <c r="H542" s="1">
        <f>DAY(EOMONTH(MC[[#This Row],[Month Year]],0))</f>
        <v>31</v>
      </c>
      <c r="I542" s="106"/>
      <c r="J542" s="106"/>
      <c r="K542" s="106"/>
      <c r="L542" s="106"/>
      <c r="M542" s="106"/>
      <c r="N542" s="106"/>
      <c r="O542" s="106"/>
      <c r="P542" s="106"/>
      <c r="Q542" s="106"/>
      <c r="R542" s="106">
        <f t="shared" si="18"/>
        <v>6000</v>
      </c>
      <c r="S542" s="1">
        <f>SUM(MC[[#This Row],[Blk1]:[Blk8]])</f>
        <v>6000</v>
      </c>
      <c r="T542" s="107">
        <v>0.29166666666666669</v>
      </c>
      <c r="U542" s="107">
        <v>0.41666666666666669</v>
      </c>
      <c r="V542" s="107">
        <v>0.66666666666666663</v>
      </c>
      <c r="W542" s="107">
        <v>0.79166666666666663</v>
      </c>
      <c r="X542" s="106" t="s">
        <v>88</v>
      </c>
      <c r="Y542" s="106"/>
      <c r="Z542" s="106"/>
    </row>
    <row r="543" spans="1:26" x14ac:dyDescent="0.25">
      <c r="A543" s="106">
        <v>541</v>
      </c>
      <c r="B543" s="168">
        <f t="shared" si="19"/>
        <v>45740</v>
      </c>
      <c r="C543" s="126">
        <f>YEAR(MC[[#This Row],[Date]])+IF(MONTH(MC[[#This Row],[Date]])&gt;=4,1,0)</f>
        <v>2025</v>
      </c>
      <c r="D543" s="102">
        <f>YEAR(MC[[#This Row],[Date]])</f>
        <v>2025</v>
      </c>
      <c r="E543" s="167"/>
      <c r="F543" s="106"/>
      <c r="G543" s="1" t="str">
        <f>TEXT(MC[[#This Row],[Date]],"mmm-yy")</f>
        <v>Mar-25</v>
      </c>
      <c r="H543" s="1">
        <f>DAY(EOMONTH(MC[[#This Row],[Month Year]],0))</f>
        <v>31</v>
      </c>
      <c r="I543" s="106"/>
      <c r="J543" s="106"/>
      <c r="K543" s="106"/>
      <c r="L543" s="106"/>
      <c r="M543" s="106"/>
      <c r="N543" s="106"/>
      <c r="O543" s="106"/>
      <c r="P543" s="106"/>
      <c r="Q543" s="106"/>
      <c r="R543" s="106">
        <f t="shared" si="18"/>
        <v>6000</v>
      </c>
      <c r="S543" s="1">
        <f>SUM(MC[[#This Row],[Blk1]:[Blk8]])</f>
        <v>6000</v>
      </c>
      <c r="T543" s="107">
        <v>0.29166666666666669</v>
      </c>
      <c r="U543" s="107">
        <v>0.41666666666666669</v>
      </c>
      <c r="V543" s="107">
        <v>0.66666666666666663</v>
      </c>
      <c r="W543" s="107">
        <v>0.79166666666666663</v>
      </c>
      <c r="X543" s="106" t="s">
        <v>88</v>
      </c>
      <c r="Y543" s="106"/>
      <c r="Z543" s="106"/>
    </row>
    <row r="544" spans="1:26" x14ac:dyDescent="0.25">
      <c r="A544" s="106">
        <v>542</v>
      </c>
      <c r="B544" s="168">
        <f t="shared" si="19"/>
        <v>45741</v>
      </c>
      <c r="C544" s="126">
        <f>YEAR(MC[[#This Row],[Date]])+IF(MONTH(MC[[#This Row],[Date]])&gt;=4,1,0)</f>
        <v>2025</v>
      </c>
      <c r="D544" s="102">
        <f>YEAR(MC[[#This Row],[Date]])</f>
        <v>2025</v>
      </c>
      <c r="E544" s="167"/>
      <c r="F544" s="106"/>
      <c r="G544" s="1" t="str">
        <f>TEXT(MC[[#This Row],[Date]],"mmm-yy")</f>
        <v>Mar-25</v>
      </c>
      <c r="H544" s="1">
        <f>DAY(EOMONTH(MC[[#This Row],[Month Year]],0))</f>
        <v>31</v>
      </c>
      <c r="I544" s="106"/>
      <c r="J544" s="106"/>
      <c r="K544" s="106"/>
      <c r="L544" s="106"/>
      <c r="M544" s="106"/>
      <c r="N544" s="106"/>
      <c r="O544" s="106"/>
      <c r="P544" s="106"/>
      <c r="Q544" s="106"/>
      <c r="R544" s="106">
        <f t="shared" si="18"/>
        <v>6000</v>
      </c>
      <c r="S544" s="1">
        <f>SUM(MC[[#This Row],[Blk1]:[Blk8]])</f>
        <v>6000</v>
      </c>
      <c r="T544" s="107">
        <v>0.29166666666666669</v>
      </c>
      <c r="U544" s="107">
        <v>0.41666666666666669</v>
      </c>
      <c r="V544" s="107">
        <v>0.66666666666666663</v>
      </c>
      <c r="W544" s="107">
        <v>0.79166666666666663</v>
      </c>
      <c r="X544" s="106" t="s">
        <v>88</v>
      </c>
      <c r="Y544" s="106"/>
      <c r="Z544" s="106"/>
    </row>
    <row r="545" spans="1:26" x14ac:dyDescent="0.25">
      <c r="A545" s="106">
        <v>543</v>
      </c>
      <c r="B545" s="168">
        <f t="shared" si="19"/>
        <v>45742</v>
      </c>
      <c r="C545" s="126">
        <f>YEAR(MC[[#This Row],[Date]])+IF(MONTH(MC[[#This Row],[Date]])&gt;=4,1,0)</f>
        <v>2025</v>
      </c>
      <c r="D545" s="102">
        <f>YEAR(MC[[#This Row],[Date]])</f>
        <v>2025</v>
      </c>
      <c r="E545" s="167"/>
      <c r="F545" s="106"/>
      <c r="G545" s="1" t="str">
        <f>TEXT(MC[[#This Row],[Date]],"mmm-yy")</f>
        <v>Mar-25</v>
      </c>
      <c r="H545" s="1">
        <f>DAY(EOMONTH(MC[[#This Row],[Month Year]],0))</f>
        <v>31</v>
      </c>
      <c r="I545" s="106"/>
      <c r="J545" s="106"/>
      <c r="K545" s="106"/>
      <c r="L545" s="106"/>
      <c r="M545" s="106"/>
      <c r="N545" s="106"/>
      <c r="O545" s="106"/>
      <c r="P545" s="106"/>
      <c r="Q545" s="106"/>
      <c r="R545" s="106">
        <f t="shared" si="18"/>
        <v>6000</v>
      </c>
      <c r="S545" s="1">
        <f>SUM(MC[[#This Row],[Blk1]:[Blk8]])</f>
        <v>6000</v>
      </c>
      <c r="T545" s="106"/>
      <c r="U545" s="106"/>
      <c r="V545" s="106"/>
      <c r="W545" s="106"/>
      <c r="X545" s="106"/>
      <c r="Y545" s="106"/>
      <c r="Z545" s="106"/>
    </row>
    <row r="546" spans="1:26" x14ac:dyDescent="0.25">
      <c r="A546" s="106">
        <v>544</v>
      </c>
      <c r="B546" s="168">
        <f t="shared" si="19"/>
        <v>45743</v>
      </c>
      <c r="C546" s="126">
        <f>YEAR(MC[[#This Row],[Date]])+IF(MONTH(MC[[#This Row],[Date]])&gt;=4,1,0)</f>
        <v>2025</v>
      </c>
      <c r="D546" s="102">
        <f>YEAR(MC[[#This Row],[Date]])</f>
        <v>2025</v>
      </c>
      <c r="E546" s="167"/>
      <c r="F546" s="106"/>
      <c r="G546" s="1" t="str">
        <f>TEXT(MC[[#This Row],[Date]],"mmm-yy")</f>
        <v>Mar-25</v>
      </c>
      <c r="H546" s="1">
        <f>DAY(EOMONTH(MC[[#This Row],[Month Year]],0))</f>
        <v>31</v>
      </c>
      <c r="I546" s="106"/>
      <c r="J546" s="106"/>
      <c r="K546" s="106"/>
      <c r="L546" s="106"/>
      <c r="M546" s="106"/>
      <c r="N546" s="106"/>
      <c r="O546" s="106"/>
      <c r="P546" s="106"/>
      <c r="Q546" s="106"/>
      <c r="R546" s="106">
        <f t="shared" si="18"/>
        <v>6000</v>
      </c>
      <c r="S546" s="1">
        <f>SUM(MC[[#This Row],[Blk1]:[Blk8]])</f>
        <v>6000</v>
      </c>
      <c r="T546" s="106"/>
      <c r="U546" s="106"/>
      <c r="V546" s="106"/>
      <c r="W546" s="106"/>
      <c r="X546" s="106"/>
      <c r="Y546" s="106"/>
      <c r="Z546" s="106"/>
    </row>
    <row r="547" spans="1:26" x14ac:dyDescent="0.25">
      <c r="A547" s="106">
        <v>545</v>
      </c>
      <c r="B547" s="168">
        <f t="shared" si="19"/>
        <v>45744</v>
      </c>
      <c r="C547" s="126">
        <f>YEAR(MC[[#This Row],[Date]])+IF(MONTH(MC[[#This Row],[Date]])&gt;=4,1,0)</f>
        <v>2025</v>
      </c>
      <c r="D547" s="102">
        <f>YEAR(MC[[#This Row],[Date]])</f>
        <v>2025</v>
      </c>
      <c r="E547" s="167"/>
      <c r="F547" s="106"/>
      <c r="G547" s="1" t="str">
        <f>TEXT(MC[[#This Row],[Date]],"mmm-yy")</f>
        <v>Mar-25</v>
      </c>
      <c r="H547" s="1">
        <f>DAY(EOMONTH(MC[[#This Row],[Month Year]],0))</f>
        <v>31</v>
      </c>
      <c r="I547" s="106"/>
      <c r="J547" s="106"/>
      <c r="K547" s="106"/>
      <c r="L547" s="106"/>
      <c r="M547" s="106"/>
      <c r="N547" s="106"/>
      <c r="O547" s="106"/>
      <c r="P547" s="106"/>
      <c r="Q547" s="106"/>
      <c r="R547" s="106">
        <f t="shared" si="18"/>
        <v>6000</v>
      </c>
      <c r="S547" s="1">
        <f>SUM(MC[[#This Row],[Blk1]:[Blk8]])</f>
        <v>6000</v>
      </c>
      <c r="T547" s="106"/>
      <c r="U547" s="106"/>
      <c r="V547" s="106"/>
      <c r="W547" s="106"/>
      <c r="X547" s="106"/>
      <c r="Y547" s="106"/>
      <c r="Z547" s="106"/>
    </row>
    <row r="548" spans="1:26" x14ac:dyDescent="0.25">
      <c r="A548" s="106">
        <v>546</v>
      </c>
      <c r="B548" s="168">
        <f t="shared" si="19"/>
        <v>45745</v>
      </c>
      <c r="C548" s="126">
        <f>YEAR(MC[[#This Row],[Date]])+IF(MONTH(MC[[#This Row],[Date]])&gt;=4,1,0)</f>
        <v>2025</v>
      </c>
      <c r="D548" s="102">
        <f>YEAR(MC[[#This Row],[Date]])</f>
        <v>2025</v>
      </c>
      <c r="E548" s="167"/>
      <c r="F548" s="106"/>
      <c r="G548" s="1" t="str">
        <f>TEXT(MC[[#This Row],[Date]],"mmm-yy")</f>
        <v>Mar-25</v>
      </c>
      <c r="H548" s="1">
        <f>DAY(EOMONTH(MC[[#This Row],[Month Year]],0))</f>
        <v>31</v>
      </c>
      <c r="I548" s="106"/>
      <c r="J548" s="106"/>
      <c r="K548" s="106"/>
      <c r="L548" s="106"/>
      <c r="M548" s="106"/>
      <c r="N548" s="106"/>
      <c r="O548" s="106"/>
      <c r="P548" s="106"/>
      <c r="Q548" s="106"/>
      <c r="R548" s="106">
        <f t="shared" si="18"/>
        <v>6000</v>
      </c>
      <c r="S548" s="1">
        <f>SUM(MC[[#This Row],[Blk1]:[Blk8]])</f>
        <v>6000</v>
      </c>
      <c r="T548" s="106"/>
      <c r="U548" s="106"/>
      <c r="V548" s="106"/>
      <c r="W548" s="106"/>
      <c r="X548" s="106"/>
      <c r="Y548" s="106"/>
      <c r="Z548" s="106"/>
    </row>
    <row r="549" spans="1:26" x14ac:dyDescent="0.25">
      <c r="A549" s="106">
        <v>547</v>
      </c>
      <c r="B549" s="168">
        <f t="shared" si="19"/>
        <v>45746</v>
      </c>
      <c r="C549" s="126">
        <f>YEAR(MC[[#This Row],[Date]])+IF(MONTH(MC[[#This Row],[Date]])&gt;=4,1,0)</f>
        <v>2025</v>
      </c>
      <c r="D549" s="102">
        <f>YEAR(MC[[#This Row],[Date]])</f>
        <v>2025</v>
      </c>
      <c r="E549" s="167"/>
      <c r="F549" s="106"/>
      <c r="G549" s="1" t="str">
        <f>TEXT(MC[[#This Row],[Date]],"mmm-yy")</f>
        <v>Mar-25</v>
      </c>
      <c r="H549" s="1">
        <f>DAY(EOMONTH(MC[[#This Row],[Month Year]],0))</f>
        <v>31</v>
      </c>
      <c r="I549" s="106"/>
      <c r="J549" s="106"/>
      <c r="K549" s="106"/>
      <c r="L549" s="106"/>
      <c r="M549" s="106"/>
      <c r="N549" s="106"/>
      <c r="O549" s="106"/>
      <c r="P549" s="106"/>
      <c r="Q549" s="106"/>
      <c r="R549" s="106">
        <f t="shared" si="18"/>
        <v>6000</v>
      </c>
      <c r="S549" s="1">
        <f>SUM(MC[[#This Row],[Blk1]:[Blk8]])</f>
        <v>6000</v>
      </c>
      <c r="T549" s="106"/>
      <c r="U549" s="106"/>
      <c r="V549" s="106"/>
      <c r="W549" s="106"/>
      <c r="X549" s="106"/>
      <c r="Y549" s="106"/>
      <c r="Z549" s="106"/>
    </row>
    <row r="550" spans="1:26" x14ac:dyDescent="0.25">
      <c r="A550" s="106">
        <v>548</v>
      </c>
      <c r="B550" s="168">
        <f t="shared" si="19"/>
        <v>45747</v>
      </c>
      <c r="C550" s="126">
        <f>YEAR(MC[[#This Row],[Date]])+IF(MONTH(MC[[#This Row],[Date]])&gt;=4,1,0)</f>
        <v>2025</v>
      </c>
      <c r="D550" s="102">
        <f>YEAR(MC[[#This Row],[Date]])</f>
        <v>2025</v>
      </c>
      <c r="E550" s="167"/>
      <c r="F550" s="106"/>
      <c r="G550" s="1" t="str">
        <f>TEXT(MC[[#This Row],[Date]],"mmm-yy")</f>
        <v>Mar-25</v>
      </c>
      <c r="H550" s="1">
        <f>DAY(EOMONTH(MC[[#This Row],[Month Year]],0))</f>
        <v>31</v>
      </c>
      <c r="I550" s="106"/>
      <c r="J550" s="106"/>
      <c r="K550" s="106"/>
      <c r="L550" s="106"/>
      <c r="M550" s="106"/>
      <c r="N550" s="106"/>
      <c r="O550" s="106"/>
      <c r="P550" s="106"/>
      <c r="Q550" s="106"/>
      <c r="R550" s="106">
        <f t="shared" si="18"/>
        <v>6000</v>
      </c>
      <c r="S550" s="1">
        <f>SUM(MC[[#This Row],[Blk1]:[Blk8]])</f>
        <v>6000</v>
      </c>
      <c r="T550" s="106"/>
      <c r="U550" s="106"/>
      <c r="V550" s="106"/>
      <c r="W550" s="106"/>
      <c r="X550" s="106"/>
      <c r="Y550" s="106"/>
      <c r="Z550" s="106"/>
    </row>
    <row r="551" spans="1:26" x14ac:dyDescent="0.25">
      <c r="A551" s="106">
        <v>549</v>
      </c>
      <c r="B551" s="168">
        <f t="shared" si="19"/>
        <v>45748</v>
      </c>
      <c r="C551" s="126">
        <f>YEAR(MC[[#This Row],[Date]])+IF(MONTH(MC[[#This Row],[Date]])&gt;=4,1,0)</f>
        <v>2026</v>
      </c>
      <c r="D551" s="102">
        <f>YEAR(MC[[#This Row],[Date]])</f>
        <v>2025</v>
      </c>
      <c r="E551" s="167"/>
      <c r="F551" s="106"/>
      <c r="G551" s="1" t="str">
        <f>TEXT(MC[[#This Row],[Date]],"mmm-yy")</f>
        <v>Apr-25</v>
      </c>
      <c r="H551" s="1">
        <f>DAY(EOMONTH(MC[[#This Row],[Month Year]],0))</f>
        <v>30</v>
      </c>
      <c r="I551" s="106"/>
      <c r="J551" s="106"/>
      <c r="K551" s="106"/>
      <c r="L551" s="106"/>
      <c r="M551" s="106"/>
      <c r="N551" s="106"/>
      <c r="O551" s="106"/>
      <c r="P551" s="106"/>
      <c r="Q551" s="106"/>
      <c r="R551" s="106">
        <f t="shared" si="18"/>
        <v>6000</v>
      </c>
      <c r="S551" s="1">
        <f>SUM(MC[[#This Row],[Blk1]:[Blk8]])</f>
        <v>6000</v>
      </c>
      <c r="T551" s="106"/>
      <c r="U551" s="106"/>
      <c r="V551" s="106"/>
      <c r="W551" s="106"/>
      <c r="X551" s="106"/>
      <c r="Y551" s="106"/>
      <c r="Z551" s="106"/>
    </row>
    <row r="552" spans="1:26" x14ac:dyDescent="0.25">
      <c r="A552" s="106">
        <v>550</v>
      </c>
      <c r="B552" s="168">
        <f t="shared" si="19"/>
        <v>45749</v>
      </c>
      <c r="C552" s="126">
        <f>YEAR(MC[[#This Row],[Date]])+IF(MONTH(MC[[#This Row],[Date]])&gt;=4,1,0)</f>
        <v>2026</v>
      </c>
      <c r="D552" s="102">
        <f>YEAR(MC[[#This Row],[Date]])</f>
        <v>2025</v>
      </c>
      <c r="E552" s="167"/>
      <c r="F552" s="106"/>
      <c r="G552" s="1" t="str">
        <f>TEXT(MC[[#This Row],[Date]],"mmm-yy")</f>
        <v>Apr-25</v>
      </c>
      <c r="H552" s="1">
        <f>DAY(EOMONTH(MC[[#This Row],[Month Year]],0))</f>
        <v>30</v>
      </c>
      <c r="I552" s="106"/>
      <c r="J552" s="106"/>
      <c r="K552" s="106"/>
      <c r="L552" s="106"/>
      <c r="M552" s="106"/>
      <c r="N552" s="106"/>
      <c r="O552" s="106"/>
      <c r="P552" s="106"/>
      <c r="Q552" s="106"/>
      <c r="R552" s="106">
        <f t="shared" si="18"/>
        <v>6000</v>
      </c>
      <c r="S552" s="1">
        <f>SUM(MC[[#This Row],[Blk1]:[Blk8]])</f>
        <v>6000</v>
      </c>
      <c r="T552" s="106"/>
      <c r="U552" s="106"/>
      <c r="V552" s="106"/>
      <c r="W552" s="106"/>
      <c r="X552" s="106"/>
      <c r="Y552" s="106"/>
      <c r="Z552" s="106"/>
    </row>
    <row r="553" spans="1:26" x14ac:dyDescent="0.25">
      <c r="A553" s="106">
        <v>551</v>
      </c>
      <c r="B553" s="168">
        <f t="shared" si="19"/>
        <v>45750</v>
      </c>
      <c r="C553" s="126">
        <f>YEAR(MC[[#This Row],[Date]])+IF(MONTH(MC[[#This Row],[Date]])&gt;=4,1,0)</f>
        <v>2026</v>
      </c>
      <c r="D553" s="102">
        <f>YEAR(MC[[#This Row],[Date]])</f>
        <v>2025</v>
      </c>
      <c r="E553" s="167"/>
      <c r="F553" s="106"/>
      <c r="G553" s="1" t="str">
        <f>TEXT(MC[[#This Row],[Date]],"mmm-yy")</f>
        <v>Apr-25</v>
      </c>
      <c r="H553" s="1">
        <f>DAY(EOMONTH(MC[[#This Row],[Month Year]],0))</f>
        <v>30</v>
      </c>
      <c r="I553" s="106"/>
      <c r="J553" s="106"/>
      <c r="K553" s="106"/>
      <c r="L553" s="106"/>
      <c r="M553" s="106"/>
      <c r="N553" s="106"/>
      <c r="O553" s="106"/>
      <c r="P553" s="106"/>
      <c r="Q553" s="106"/>
      <c r="R553" s="106">
        <f t="shared" si="18"/>
        <v>6000</v>
      </c>
      <c r="S553" s="1">
        <f>SUM(MC[[#This Row],[Blk1]:[Blk8]])</f>
        <v>6000</v>
      </c>
      <c r="T553" s="106"/>
      <c r="U553" s="106"/>
      <c r="V553" s="106"/>
      <c r="W553" s="106"/>
      <c r="X553" s="106"/>
      <c r="Y553" s="106"/>
      <c r="Z553" s="106"/>
    </row>
    <row r="554" spans="1:26" x14ac:dyDescent="0.25">
      <c r="A554" s="106">
        <v>552</v>
      </c>
      <c r="B554" s="168">
        <f t="shared" si="19"/>
        <v>45751</v>
      </c>
      <c r="C554" s="126">
        <f>YEAR(MC[[#This Row],[Date]])+IF(MONTH(MC[[#This Row],[Date]])&gt;=4,1,0)</f>
        <v>2026</v>
      </c>
      <c r="D554" s="102">
        <f>YEAR(MC[[#This Row],[Date]])</f>
        <v>2025</v>
      </c>
      <c r="E554" s="167"/>
      <c r="F554" s="106"/>
      <c r="G554" s="1" t="str">
        <f>TEXT(MC[[#This Row],[Date]],"mmm-yy")</f>
        <v>Apr-25</v>
      </c>
      <c r="H554" s="1">
        <f>DAY(EOMONTH(MC[[#This Row],[Month Year]],0))</f>
        <v>30</v>
      </c>
      <c r="I554" s="106"/>
      <c r="J554" s="106"/>
      <c r="K554" s="106"/>
      <c r="L554" s="106"/>
      <c r="M554" s="106"/>
      <c r="N554" s="106"/>
      <c r="O554" s="106"/>
      <c r="P554" s="106"/>
      <c r="Q554" s="106"/>
      <c r="R554" s="106">
        <f t="shared" si="18"/>
        <v>6000</v>
      </c>
      <c r="S554" s="1">
        <f>SUM(MC[[#This Row],[Blk1]:[Blk8]])</f>
        <v>6000</v>
      </c>
      <c r="T554" s="106"/>
      <c r="U554" s="106"/>
      <c r="V554" s="106"/>
      <c r="W554" s="106"/>
      <c r="X554" s="106"/>
      <c r="Y554" s="106"/>
      <c r="Z554" s="106"/>
    </row>
    <row r="555" spans="1:26" x14ac:dyDescent="0.25">
      <c r="A555" s="106">
        <v>553</v>
      </c>
      <c r="B555" s="168">
        <f t="shared" si="19"/>
        <v>45752</v>
      </c>
      <c r="C555" s="126">
        <f>YEAR(MC[[#This Row],[Date]])+IF(MONTH(MC[[#This Row],[Date]])&gt;=4,1,0)</f>
        <v>2026</v>
      </c>
      <c r="D555" s="102">
        <f>YEAR(MC[[#This Row],[Date]])</f>
        <v>2025</v>
      </c>
      <c r="E555" s="167"/>
      <c r="F555" s="106"/>
      <c r="G555" s="1" t="str">
        <f>TEXT(MC[[#This Row],[Date]],"mmm-yy")</f>
        <v>Apr-25</v>
      </c>
      <c r="H555" s="1">
        <f>DAY(EOMONTH(MC[[#This Row],[Month Year]],0))</f>
        <v>30</v>
      </c>
      <c r="I555" s="106"/>
      <c r="J555" s="106"/>
      <c r="K555" s="106"/>
      <c r="L555" s="106"/>
      <c r="M555" s="106"/>
      <c r="N555" s="106"/>
      <c r="O555" s="106"/>
      <c r="P555" s="106"/>
      <c r="Q555" s="106"/>
      <c r="R555" s="106">
        <f t="shared" si="18"/>
        <v>6000</v>
      </c>
      <c r="S555" s="1">
        <f>SUM(MC[[#This Row],[Blk1]:[Blk8]])</f>
        <v>6000</v>
      </c>
      <c r="T555" s="106"/>
      <c r="U555" s="106"/>
      <c r="V555" s="106"/>
      <c r="W555" s="106"/>
      <c r="X555" s="106"/>
      <c r="Y555" s="106"/>
      <c r="Z555" s="106"/>
    </row>
    <row r="556" spans="1:26" x14ac:dyDescent="0.25">
      <c r="A556" s="106">
        <v>554</v>
      </c>
      <c r="B556" s="168">
        <f t="shared" si="19"/>
        <v>45753</v>
      </c>
      <c r="C556" s="126">
        <f>YEAR(MC[[#This Row],[Date]])+IF(MONTH(MC[[#This Row],[Date]])&gt;=4,1,0)</f>
        <v>2026</v>
      </c>
      <c r="D556" s="102">
        <f>YEAR(MC[[#This Row],[Date]])</f>
        <v>2025</v>
      </c>
      <c r="E556" s="167"/>
      <c r="F556" s="106"/>
      <c r="G556" s="1" t="str">
        <f>TEXT(MC[[#This Row],[Date]],"mmm-yy")</f>
        <v>Apr-25</v>
      </c>
      <c r="H556" s="1">
        <f>DAY(EOMONTH(MC[[#This Row],[Month Year]],0))</f>
        <v>30</v>
      </c>
      <c r="I556" s="106"/>
      <c r="J556" s="106"/>
      <c r="K556" s="106"/>
      <c r="L556" s="106"/>
      <c r="M556" s="106"/>
      <c r="N556" s="106"/>
      <c r="O556" s="106"/>
      <c r="P556" s="106"/>
      <c r="Q556" s="106"/>
      <c r="R556" s="106">
        <f t="shared" si="18"/>
        <v>6000</v>
      </c>
      <c r="S556" s="1">
        <f>SUM(MC[[#This Row],[Blk1]:[Blk8]])</f>
        <v>6000</v>
      </c>
      <c r="T556" s="106"/>
      <c r="U556" s="106"/>
      <c r="V556" s="106"/>
      <c r="W556" s="106"/>
      <c r="X556" s="106"/>
      <c r="Y556" s="106"/>
      <c r="Z556" s="106"/>
    </row>
    <row r="557" spans="1:26" x14ac:dyDescent="0.25">
      <c r="A557" s="106">
        <v>555</v>
      </c>
      <c r="B557" s="168">
        <f t="shared" si="19"/>
        <v>45754</v>
      </c>
      <c r="C557" s="126">
        <f>YEAR(MC[[#This Row],[Date]])+IF(MONTH(MC[[#This Row],[Date]])&gt;=4,1,0)</f>
        <v>2026</v>
      </c>
      <c r="D557" s="102">
        <f>YEAR(MC[[#This Row],[Date]])</f>
        <v>2025</v>
      </c>
      <c r="E557" s="167"/>
      <c r="F557" s="106"/>
      <c r="G557" s="1" t="str">
        <f>TEXT(MC[[#This Row],[Date]],"mmm-yy")</f>
        <v>Apr-25</v>
      </c>
      <c r="H557" s="1">
        <f>DAY(EOMONTH(MC[[#This Row],[Month Year]],0))</f>
        <v>30</v>
      </c>
      <c r="I557" s="106"/>
      <c r="J557" s="106"/>
      <c r="K557" s="106"/>
      <c r="L557" s="106"/>
      <c r="M557" s="106"/>
      <c r="N557" s="106"/>
      <c r="O557" s="106"/>
      <c r="P557" s="106"/>
      <c r="Q557" s="106"/>
      <c r="R557" s="106">
        <f t="shared" si="18"/>
        <v>6000</v>
      </c>
      <c r="S557" s="1">
        <f>SUM(MC[[#This Row],[Blk1]:[Blk8]])</f>
        <v>6000</v>
      </c>
      <c r="T557" s="106"/>
      <c r="U557" s="106"/>
      <c r="V557" s="106"/>
      <c r="W557" s="106"/>
      <c r="X557" s="106"/>
      <c r="Y557" s="106"/>
      <c r="Z557" s="106"/>
    </row>
    <row r="558" spans="1:26" x14ac:dyDescent="0.25">
      <c r="A558" s="106">
        <v>556</v>
      </c>
      <c r="B558" s="168">
        <f t="shared" si="19"/>
        <v>45755</v>
      </c>
      <c r="C558" s="126">
        <f>YEAR(MC[[#This Row],[Date]])+IF(MONTH(MC[[#This Row],[Date]])&gt;=4,1,0)</f>
        <v>2026</v>
      </c>
      <c r="D558" s="102">
        <f>YEAR(MC[[#This Row],[Date]])</f>
        <v>2025</v>
      </c>
      <c r="E558" s="167"/>
      <c r="F558" s="106"/>
      <c r="G558" s="1" t="str">
        <f>TEXT(MC[[#This Row],[Date]],"mmm-yy")</f>
        <v>Apr-25</v>
      </c>
      <c r="H558" s="1">
        <f>DAY(EOMONTH(MC[[#This Row],[Month Year]],0))</f>
        <v>30</v>
      </c>
      <c r="I558" s="106"/>
      <c r="J558" s="106"/>
      <c r="K558" s="106"/>
      <c r="L558" s="106"/>
      <c r="M558" s="106"/>
      <c r="N558" s="106"/>
      <c r="O558" s="106"/>
      <c r="P558" s="106"/>
      <c r="Q558" s="106"/>
      <c r="R558" s="106">
        <f t="shared" si="18"/>
        <v>6000</v>
      </c>
      <c r="S558" s="1">
        <f>SUM(MC[[#This Row],[Blk1]:[Blk8]])</f>
        <v>6000</v>
      </c>
      <c r="T558" s="106"/>
      <c r="U558" s="106"/>
      <c r="V558" s="106"/>
      <c r="W558" s="106"/>
      <c r="X558" s="106"/>
      <c r="Y558" s="106"/>
      <c r="Z558" s="106"/>
    </row>
    <row r="559" spans="1:26" x14ac:dyDescent="0.25">
      <c r="A559" s="106">
        <v>557</v>
      </c>
      <c r="B559" s="168">
        <f t="shared" si="19"/>
        <v>45756</v>
      </c>
      <c r="C559" s="126">
        <f>YEAR(MC[[#This Row],[Date]])+IF(MONTH(MC[[#This Row],[Date]])&gt;=4,1,0)</f>
        <v>2026</v>
      </c>
      <c r="D559" s="102">
        <f>YEAR(MC[[#This Row],[Date]])</f>
        <v>2025</v>
      </c>
      <c r="E559" s="167"/>
      <c r="F559" s="106"/>
      <c r="G559" s="1" t="str">
        <f>TEXT(MC[[#This Row],[Date]],"mmm-yy")</f>
        <v>Apr-25</v>
      </c>
      <c r="H559" s="1">
        <f>DAY(EOMONTH(MC[[#This Row],[Month Year]],0))</f>
        <v>30</v>
      </c>
      <c r="I559" s="106"/>
      <c r="J559" s="106" t="s">
        <v>142</v>
      </c>
      <c r="K559" s="106"/>
      <c r="L559" s="106"/>
      <c r="M559" s="106"/>
      <c r="N559" s="106"/>
      <c r="O559" s="106"/>
      <c r="P559" s="106"/>
      <c r="Q559" s="106"/>
      <c r="R559" s="106">
        <f t="shared" si="18"/>
        <v>6000</v>
      </c>
      <c r="S559" s="1">
        <f>SUM(MC[[#This Row],[Blk1]:[Blk8]])</f>
        <v>6000</v>
      </c>
      <c r="T559" s="106"/>
      <c r="U559" s="106"/>
      <c r="V559" s="106"/>
      <c r="W559" s="106"/>
      <c r="X559" s="106"/>
      <c r="Y559" s="106"/>
      <c r="Z559" s="106"/>
    </row>
    <row r="560" spans="1:26" x14ac:dyDescent="0.25">
      <c r="A560" s="106">
        <v>558</v>
      </c>
      <c r="B560" s="168">
        <f t="shared" si="19"/>
        <v>45757</v>
      </c>
      <c r="C560" s="126">
        <f>YEAR(MC[[#This Row],[Date]])+IF(MONTH(MC[[#This Row],[Date]])&gt;=4,1,0)</f>
        <v>2026</v>
      </c>
      <c r="D560" s="102">
        <f>YEAR(MC[[#This Row],[Date]])</f>
        <v>2025</v>
      </c>
      <c r="E560" s="167"/>
      <c r="F560" s="106"/>
      <c r="G560" s="1" t="str">
        <f>TEXT(MC[[#This Row],[Date]],"mmm-yy")</f>
        <v>Apr-25</v>
      </c>
      <c r="H560" s="1">
        <f>DAY(EOMONTH(MC[[#This Row],[Month Year]],0))</f>
        <v>30</v>
      </c>
      <c r="I560" s="106"/>
      <c r="J560" s="106" t="s">
        <v>142</v>
      </c>
      <c r="K560" s="106"/>
      <c r="L560" s="106"/>
      <c r="M560" s="106"/>
      <c r="N560" s="106">
        <v>4200</v>
      </c>
      <c r="O560" s="106"/>
      <c r="P560" s="106">
        <v>6600</v>
      </c>
      <c r="Q560" s="106">
        <v>6000</v>
      </c>
      <c r="R560" s="106">
        <f t="shared" si="18"/>
        <v>6000</v>
      </c>
      <c r="S560" s="1">
        <f>SUM(MC[[#This Row],[Blk1]:[Blk8]])</f>
        <v>22800</v>
      </c>
      <c r="T560" s="107">
        <v>0.375</v>
      </c>
      <c r="U560" s="107">
        <v>0.5</v>
      </c>
      <c r="V560" s="107">
        <v>0.58333333333333337</v>
      </c>
      <c r="W560" s="107">
        <v>0.75</v>
      </c>
      <c r="X560" s="106"/>
      <c r="Y560" s="106"/>
      <c r="Z560" s="106"/>
    </row>
    <row r="561" spans="1:26" x14ac:dyDescent="0.25">
      <c r="A561" s="106">
        <v>559</v>
      </c>
      <c r="B561" s="168">
        <f t="shared" si="19"/>
        <v>45758</v>
      </c>
      <c r="C561" s="126">
        <f>YEAR(MC[[#This Row],[Date]])+IF(MONTH(MC[[#This Row],[Date]])&gt;=4,1,0)</f>
        <v>2026</v>
      </c>
      <c r="D561" s="102">
        <f>YEAR(MC[[#This Row],[Date]])</f>
        <v>2025</v>
      </c>
      <c r="E561" s="167"/>
      <c r="F561" s="106"/>
      <c r="G561" s="1" t="str">
        <f>TEXT(MC[[#This Row],[Date]],"mmm-yy")</f>
        <v>Apr-25</v>
      </c>
      <c r="H561" s="1">
        <f>DAY(EOMONTH(MC[[#This Row],[Month Year]],0))</f>
        <v>30</v>
      </c>
      <c r="I561" s="106"/>
      <c r="J561" s="106" t="s">
        <v>142</v>
      </c>
      <c r="K561" s="106">
        <f>144*50</f>
        <v>7200</v>
      </c>
      <c r="L561" s="106">
        <f>149*50</f>
        <v>7450</v>
      </c>
      <c r="M561" s="106">
        <f>156*50</f>
        <v>7800</v>
      </c>
      <c r="N561" s="106">
        <f>145*50</f>
        <v>7250</v>
      </c>
      <c r="O561" s="106"/>
      <c r="P561" s="106">
        <f>144*50</f>
        <v>7200</v>
      </c>
      <c r="Q561" s="106"/>
      <c r="R561" s="106">
        <f t="shared" si="18"/>
        <v>6000</v>
      </c>
      <c r="S561" s="1">
        <f>SUM(MC[[#This Row],[Blk1]:[Blk8]])</f>
        <v>42900</v>
      </c>
      <c r="T561" s="107">
        <v>0.375</v>
      </c>
      <c r="U561" s="107">
        <v>0.5</v>
      </c>
      <c r="V561" s="107">
        <v>0.58333333333333337</v>
      </c>
      <c r="W561" s="107">
        <v>0.75</v>
      </c>
      <c r="X561" s="106"/>
      <c r="Y561" s="106"/>
      <c r="Z561" s="106"/>
    </row>
    <row r="562" spans="1:26" x14ac:dyDescent="0.25">
      <c r="A562" s="106">
        <v>560</v>
      </c>
      <c r="B562" s="168">
        <f t="shared" si="19"/>
        <v>45759</v>
      </c>
      <c r="C562" s="126">
        <f>YEAR(MC[[#This Row],[Date]])+IF(MONTH(MC[[#This Row],[Date]])&gt;=4,1,0)</f>
        <v>2026</v>
      </c>
      <c r="D562" s="102">
        <f>YEAR(MC[[#This Row],[Date]])</f>
        <v>2025</v>
      </c>
      <c r="E562" s="167"/>
      <c r="F562" s="106"/>
      <c r="G562" s="1" t="str">
        <f>TEXT(MC[[#This Row],[Date]],"mmm-yy")</f>
        <v>Apr-25</v>
      </c>
      <c r="H562" s="1">
        <f>DAY(EOMONTH(MC[[#This Row],[Month Year]],0))</f>
        <v>30</v>
      </c>
      <c r="I562" s="106"/>
      <c r="J562" s="106" t="s">
        <v>142</v>
      </c>
      <c r="K562" s="106">
        <v>6500</v>
      </c>
      <c r="L562" s="106">
        <v>7550</v>
      </c>
      <c r="M562" s="106">
        <v>7100</v>
      </c>
      <c r="N562" s="106">
        <v>7300</v>
      </c>
      <c r="O562" s="106">
        <v>6900</v>
      </c>
      <c r="P562" s="106"/>
      <c r="Q562" s="106"/>
      <c r="R562" s="106">
        <f t="shared" si="18"/>
        <v>6000</v>
      </c>
      <c r="S562" s="1">
        <f>SUM(MC[[#This Row],[Blk1]:[Blk8]])</f>
        <v>41350</v>
      </c>
      <c r="T562" s="107">
        <v>0.375</v>
      </c>
      <c r="U562" s="107">
        <v>0.5</v>
      </c>
      <c r="V562" s="107">
        <v>0.58333333333333337</v>
      </c>
      <c r="W562" s="107">
        <v>0.75</v>
      </c>
      <c r="X562" s="106"/>
      <c r="Y562" s="106"/>
      <c r="Z562" s="106"/>
    </row>
    <row r="563" spans="1:26" x14ac:dyDescent="0.25">
      <c r="A563" s="106">
        <v>561</v>
      </c>
      <c r="B563" s="168">
        <f t="shared" si="19"/>
        <v>45760</v>
      </c>
      <c r="C563" s="126">
        <f>YEAR(MC[[#This Row],[Date]])+IF(MONTH(MC[[#This Row],[Date]])&gt;=4,1,0)</f>
        <v>2026</v>
      </c>
      <c r="D563" s="102">
        <f>YEAR(MC[[#This Row],[Date]])</f>
        <v>2025</v>
      </c>
      <c r="E563" s="167"/>
      <c r="F563" s="106"/>
      <c r="G563" s="1" t="str">
        <f>TEXT(MC[[#This Row],[Date]],"mmm-yy")</f>
        <v>Apr-25</v>
      </c>
      <c r="H563" s="1">
        <f>DAY(EOMONTH(MC[[#This Row],[Month Year]],0))</f>
        <v>30</v>
      </c>
      <c r="I563" s="106"/>
      <c r="J563" s="106" t="s">
        <v>142</v>
      </c>
      <c r="K563" s="106">
        <f>142*50</f>
        <v>7100</v>
      </c>
      <c r="L563" s="106">
        <f>144*50</f>
        <v>7200</v>
      </c>
      <c r="M563" s="106">
        <f>120*50</f>
        <v>6000</v>
      </c>
      <c r="N563" s="106"/>
      <c r="O563" s="106">
        <f>150*50</f>
        <v>7500</v>
      </c>
      <c r="P563" s="106">
        <f>154*50</f>
        <v>7700</v>
      </c>
      <c r="Q563" s="106">
        <f>156*50</f>
        <v>7800</v>
      </c>
      <c r="R563" s="106">
        <f t="shared" si="18"/>
        <v>6000</v>
      </c>
      <c r="S563" s="1">
        <f>SUM(MC[[#This Row],[Blk1]:[Blk8]])</f>
        <v>49300</v>
      </c>
      <c r="T563" s="107">
        <v>0.375</v>
      </c>
      <c r="U563" s="107">
        <v>0.5</v>
      </c>
      <c r="V563" s="107">
        <v>0.58333333333333337</v>
      </c>
      <c r="W563" s="107">
        <v>0.75</v>
      </c>
      <c r="X563" s="106"/>
      <c r="Y563" s="106"/>
      <c r="Z563" s="106"/>
    </row>
    <row r="564" spans="1:26" x14ac:dyDescent="0.25">
      <c r="A564" s="106">
        <v>562</v>
      </c>
      <c r="B564" s="168">
        <f t="shared" si="19"/>
        <v>45761</v>
      </c>
      <c r="C564" s="126">
        <f>YEAR(MC[[#This Row],[Date]])+IF(MONTH(MC[[#This Row],[Date]])&gt;=4,1,0)</f>
        <v>2026</v>
      </c>
      <c r="D564" s="102">
        <f>YEAR(MC[[#This Row],[Date]])</f>
        <v>2025</v>
      </c>
      <c r="E564" s="167"/>
      <c r="F564" s="106"/>
      <c r="G564" s="1" t="str">
        <f>TEXT(MC[[#This Row],[Date]],"mmm-yy")</f>
        <v>Apr-25</v>
      </c>
      <c r="H564" s="1">
        <f>DAY(EOMONTH(MC[[#This Row],[Month Year]],0))</f>
        <v>30</v>
      </c>
      <c r="I564" s="106"/>
      <c r="J564" s="106" t="s">
        <v>142</v>
      </c>
      <c r="K564" s="106">
        <f>152*50</f>
        <v>7600</v>
      </c>
      <c r="L564" s="106">
        <f>156*50</f>
        <v>7800</v>
      </c>
      <c r="M564" s="106"/>
      <c r="N564" s="106"/>
      <c r="O564" s="106">
        <v>9000</v>
      </c>
      <c r="P564" s="106">
        <v>6500</v>
      </c>
      <c r="Q564" s="106">
        <v>7250</v>
      </c>
      <c r="R564" s="106">
        <v>5500</v>
      </c>
      <c r="S564" s="1">
        <v>43650</v>
      </c>
      <c r="T564" s="107">
        <v>0.375</v>
      </c>
      <c r="U564" s="107">
        <v>0.5</v>
      </c>
      <c r="V564" s="107">
        <v>0.58333333333333337</v>
      </c>
      <c r="W564" s="107">
        <v>0.75</v>
      </c>
      <c r="X564" s="106"/>
      <c r="Y564" s="106"/>
      <c r="Z564" s="106"/>
    </row>
    <row r="565" spans="1:26" x14ac:dyDescent="0.25">
      <c r="A565" s="106">
        <v>563</v>
      </c>
      <c r="B565" s="168">
        <f t="shared" si="19"/>
        <v>45762</v>
      </c>
      <c r="C565" s="126">
        <f>YEAR(MC[[#This Row],[Date]])+IF(MONTH(MC[[#This Row],[Date]])&gt;=4,1,0)</f>
        <v>2026</v>
      </c>
      <c r="D565" s="102">
        <f>YEAR(MC[[#This Row],[Date]])</f>
        <v>2025</v>
      </c>
      <c r="E565" s="167"/>
      <c r="F565" s="106"/>
      <c r="G565" s="1" t="str">
        <f>TEXT(MC[[#This Row],[Date]],"mmm-yy")</f>
        <v>Apr-25</v>
      </c>
      <c r="H565" s="1">
        <f>DAY(EOMONTH(MC[[#This Row],[Month Year]],0))</f>
        <v>30</v>
      </c>
      <c r="I565" s="106"/>
      <c r="J565" s="106" t="s">
        <v>142</v>
      </c>
      <c r="K565" s="106">
        <f>152*50</f>
        <v>7600</v>
      </c>
      <c r="L565" s="106">
        <f>149*50</f>
        <v>7450</v>
      </c>
      <c r="M565" s="106">
        <v>5600</v>
      </c>
      <c r="N565" s="106">
        <v>7250</v>
      </c>
      <c r="O565" s="106">
        <v>6300</v>
      </c>
      <c r="P565" s="106">
        <v>5000</v>
      </c>
      <c r="Q565" s="106">
        <v>0</v>
      </c>
      <c r="R565" s="106">
        <v>4100</v>
      </c>
      <c r="S565" s="1">
        <v>43300</v>
      </c>
      <c r="T565" s="107">
        <v>0.375</v>
      </c>
      <c r="U565" s="107">
        <v>0.5</v>
      </c>
      <c r="V565" s="107">
        <v>0.58333333333333337</v>
      </c>
      <c r="W565" s="107">
        <v>0.75</v>
      </c>
      <c r="X565" s="106"/>
      <c r="Y565" s="106"/>
      <c r="Z565" s="106"/>
    </row>
    <row r="566" spans="1:26" x14ac:dyDescent="0.25">
      <c r="A566" s="106">
        <v>564</v>
      </c>
      <c r="B566" s="168">
        <f t="shared" si="19"/>
        <v>45763</v>
      </c>
      <c r="C566" s="126">
        <f>YEAR(MC[[#This Row],[Date]])+IF(MONTH(MC[[#This Row],[Date]])&gt;=4,1,0)</f>
        <v>2026</v>
      </c>
      <c r="D566" s="102">
        <f>YEAR(MC[[#This Row],[Date]])</f>
        <v>2025</v>
      </c>
      <c r="E566" s="167"/>
      <c r="F566" s="106"/>
      <c r="G566" s="1" t="str">
        <f>TEXT(MC[[#This Row],[Date]],"mmm-yy")</f>
        <v>Apr-25</v>
      </c>
      <c r="H566" s="1">
        <f>DAY(EOMONTH(MC[[#This Row],[Month Year]],0))</f>
        <v>30</v>
      </c>
      <c r="I566" s="106"/>
      <c r="J566" s="106" t="s">
        <v>142</v>
      </c>
      <c r="K566" s="106">
        <f>152*50</f>
        <v>7600</v>
      </c>
      <c r="L566" s="106">
        <v>6750</v>
      </c>
      <c r="M566" s="106">
        <v>7800</v>
      </c>
      <c r="N566" s="106">
        <v>6500</v>
      </c>
      <c r="O566" s="106">
        <v>7600</v>
      </c>
      <c r="P566" s="106"/>
      <c r="Q566" s="106"/>
      <c r="R566" s="106">
        <v>7600</v>
      </c>
      <c r="S566" s="1">
        <v>49200</v>
      </c>
      <c r="T566" s="107">
        <v>0.375</v>
      </c>
      <c r="U566" s="107">
        <v>0.5</v>
      </c>
      <c r="V566" s="107">
        <v>0.58333333333333337</v>
      </c>
      <c r="W566" s="107">
        <v>0.75</v>
      </c>
      <c r="X566" s="106"/>
      <c r="Y566" s="106"/>
      <c r="Z566" s="106"/>
    </row>
    <row r="567" spans="1:26" x14ac:dyDescent="0.25">
      <c r="A567" s="106">
        <v>565</v>
      </c>
      <c r="B567" s="168">
        <f t="shared" si="19"/>
        <v>45764</v>
      </c>
      <c r="C567" s="126">
        <f>YEAR(MC[[#This Row],[Date]])+IF(MONTH(MC[[#This Row],[Date]])&gt;=4,1,0)</f>
        <v>2026</v>
      </c>
      <c r="D567" s="102">
        <f>YEAR(MC[[#This Row],[Date]])</f>
        <v>2025</v>
      </c>
      <c r="E567" s="167"/>
      <c r="F567" s="106"/>
      <c r="G567" s="1" t="str">
        <f>TEXT(MC[[#This Row],[Date]],"mmm-yy")</f>
        <v>Apr-25</v>
      </c>
      <c r="H567" s="1">
        <f>DAY(EOMONTH(MC[[#This Row],[Month Year]],0))</f>
        <v>30</v>
      </c>
      <c r="I567" s="106"/>
      <c r="J567" s="106" t="s">
        <v>142</v>
      </c>
      <c r="K567" s="106"/>
      <c r="L567" s="106">
        <v>7600</v>
      </c>
      <c r="M567" s="106">
        <v>7600</v>
      </c>
      <c r="N567" s="106">
        <v>6300</v>
      </c>
      <c r="O567" s="106">
        <v>6300</v>
      </c>
      <c r="P567" s="106"/>
      <c r="Q567" s="106"/>
      <c r="R567" s="106">
        <v>7000</v>
      </c>
      <c r="S567" s="1">
        <f>SUM(MC[[#This Row],[Blk1]:[Blk8]])</f>
        <v>34800</v>
      </c>
      <c r="T567" s="107">
        <v>0.375</v>
      </c>
      <c r="U567" s="107">
        <v>0.5</v>
      </c>
      <c r="V567" s="107">
        <v>0.58333333333333337</v>
      </c>
      <c r="W567" s="107">
        <v>0.75</v>
      </c>
      <c r="X567" s="106"/>
      <c r="Y567" s="106"/>
      <c r="Z567" s="106"/>
    </row>
    <row r="568" spans="1:26" x14ac:dyDescent="0.25">
      <c r="A568" s="106">
        <v>566</v>
      </c>
      <c r="B568" s="168">
        <f t="shared" si="19"/>
        <v>45765</v>
      </c>
      <c r="C568" s="126">
        <f>YEAR(MC[[#This Row],[Date]])+IF(MONTH(MC[[#This Row],[Date]])&gt;=4,1,0)</f>
        <v>2026</v>
      </c>
      <c r="D568" s="102">
        <f>YEAR(MC[[#This Row],[Date]])</f>
        <v>2025</v>
      </c>
      <c r="E568" s="167"/>
      <c r="F568" s="106"/>
      <c r="G568" s="1" t="str">
        <f>TEXT(MC[[#This Row],[Date]],"mmm-yy")</f>
        <v>Apr-25</v>
      </c>
      <c r="H568" s="1">
        <f>DAY(EOMONTH(MC[[#This Row],[Month Year]],0))</f>
        <v>30</v>
      </c>
      <c r="I568" s="106"/>
      <c r="J568" s="106" t="s">
        <v>142</v>
      </c>
      <c r="K568" s="106">
        <v>7800</v>
      </c>
      <c r="L568" s="106">
        <v>7600</v>
      </c>
      <c r="M568" s="106">
        <v>7500</v>
      </c>
      <c r="N568" s="106">
        <v>6500</v>
      </c>
      <c r="O568" s="106">
        <v>7100</v>
      </c>
      <c r="P568" s="106"/>
      <c r="Q568" s="106"/>
      <c r="R568" s="106">
        <v>6000</v>
      </c>
      <c r="S568" s="1">
        <f>SUM(MC[[#This Row],[Blk1]:[Blk8]])</f>
        <v>42500</v>
      </c>
      <c r="T568" s="107">
        <v>0.375</v>
      </c>
      <c r="U568" s="107">
        <v>0.5</v>
      </c>
      <c r="V568" s="107">
        <v>0.58333333333333337</v>
      </c>
      <c r="W568" s="107">
        <v>0.75</v>
      </c>
      <c r="X568" s="106"/>
      <c r="Y568" s="106"/>
      <c r="Z568" s="106"/>
    </row>
    <row r="569" spans="1:26" x14ac:dyDescent="0.25">
      <c r="A569" s="106">
        <v>567</v>
      </c>
      <c r="B569" s="168">
        <f t="shared" si="19"/>
        <v>45766</v>
      </c>
      <c r="C569" s="126">
        <f>YEAR(MC[[#This Row],[Date]])+IF(MONTH(MC[[#This Row],[Date]])&gt;=4,1,0)</f>
        <v>2026</v>
      </c>
      <c r="D569" s="102">
        <f>YEAR(MC[[#This Row],[Date]])</f>
        <v>2025</v>
      </c>
      <c r="E569" s="167"/>
      <c r="F569" s="106"/>
      <c r="G569" s="1" t="str">
        <f>TEXT(MC[[#This Row],[Date]],"mmm-yy")</f>
        <v>Apr-25</v>
      </c>
      <c r="H569" s="1">
        <f>DAY(EOMONTH(MC[[#This Row],[Month Year]],0))</f>
        <v>30</v>
      </c>
      <c r="I569" s="106"/>
      <c r="J569" s="106" t="s">
        <v>142</v>
      </c>
      <c r="K569" s="106">
        <f>143*60</f>
        <v>8580</v>
      </c>
      <c r="L569" s="106">
        <f>144*60</f>
        <v>8640</v>
      </c>
      <c r="M569" s="106">
        <f>168*60</f>
        <v>10080</v>
      </c>
      <c r="N569" s="106"/>
      <c r="O569" s="106">
        <f>148*60</f>
        <v>8880</v>
      </c>
      <c r="P569" s="106">
        <f>154*60</f>
        <v>9240</v>
      </c>
      <c r="Q569" s="106">
        <f>145*60</f>
        <v>8700</v>
      </c>
      <c r="R569" s="106">
        <f t="shared" si="18"/>
        <v>6000</v>
      </c>
      <c r="S569" s="1">
        <v>45100</v>
      </c>
      <c r="T569" s="107">
        <v>0.375</v>
      </c>
      <c r="U569" s="107">
        <v>0.5</v>
      </c>
      <c r="V569" s="107">
        <v>0.58333333333333337</v>
      </c>
      <c r="W569" s="107">
        <v>0.75</v>
      </c>
      <c r="X569" s="106"/>
      <c r="Y569" s="106"/>
      <c r="Z569" s="106"/>
    </row>
    <row r="570" spans="1:26" x14ac:dyDescent="0.25">
      <c r="A570" s="106">
        <v>568</v>
      </c>
      <c r="B570" s="168">
        <f t="shared" si="19"/>
        <v>45767</v>
      </c>
      <c r="C570" s="126">
        <f>YEAR(MC[[#This Row],[Date]])+IF(MONTH(MC[[#This Row],[Date]])&gt;=4,1,0)</f>
        <v>2026</v>
      </c>
      <c r="D570" s="102">
        <f>YEAR(MC[[#This Row],[Date]])</f>
        <v>2025</v>
      </c>
      <c r="E570" s="167"/>
      <c r="F570" s="106"/>
      <c r="G570" s="1" t="str">
        <f>TEXT(MC[[#This Row],[Date]],"mmm-yy")</f>
        <v>Apr-25</v>
      </c>
      <c r="H570" s="1">
        <f>DAY(EOMONTH(MC[[#This Row],[Month Year]],0))</f>
        <v>30</v>
      </c>
      <c r="I570" s="106"/>
      <c r="J570" s="106" t="s">
        <v>142</v>
      </c>
      <c r="K570" s="106">
        <f>152*50</f>
        <v>7600</v>
      </c>
      <c r="L570" s="106"/>
      <c r="M570" s="106">
        <f>156*60</f>
        <v>9360</v>
      </c>
      <c r="N570" s="106"/>
      <c r="O570" s="106">
        <f>153*60</f>
        <v>9180</v>
      </c>
      <c r="P570" s="106">
        <f>156*60</f>
        <v>9360</v>
      </c>
      <c r="Q570" s="106">
        <f>156*60</f>
        <v>9360</v>
      </c>
      <c r="R570" s="106">
        <f t="shared" si="18"/>
        <v>6000</v>
      </c>
      <c r="S570" s="1">
        <v>38650</v>
      </c>
      <c r="T570" s="107">
        <v>0.375</v>
      </c>
      <c r="U570" s="107">
        <v>0.5</v>
      </c>
      <c r="V570" s="107">
        <v>0.58333333333333337</v>
      </c>
      <c r="W570" s="107">
        <v>0.75</v>
      </c>
      <c r="X570" s="106"/>
      <c r="Y570" s="106"/>
      <c r="Z570" s="106"/>
    </row>
    <row r="571" spans="1:26" x14ac:dyDescent="0.25">
      <c r="A571" s="106">
        <v>569</v>
      </c>
      <c r="B571" s="168">
        <f t="shared" si="19"/>
        <v>45768</v>
      </c>
      <c r="C571" s="126">
        <f>YEAR(MC[[#This Row],[Date]])+IF(MONTH(MC[[#This Row],[Date]])&gt;=4,1,0)</f>
        <v>2026</v>
      </c>
      <c r="D571" s="102">
        <f>YEAR(MC[[#This Row],[Date]])</f>
        <v>2025</v>
      </c>
      <c r="E571" s="167"/>
      <c r="F571" s="106"/>
      <c r="G571" s="1" t="str">
        <f>TEXT(MC[[#This Row],[Date]],"mmm-yy")</f>
        <v>Apr-25</v>
      </c>
      <c r="H571" s="1">
        <f>DAY(EOMONTH(MC[[#This Row],[Month Year]],0))</f>
        <v>30</v>
      </c>
      <c r="I571" s="106"/>
      <c r="J571" s="106" t="s">
        <v>142</v>
      </c>
      <c r="K571" s="106">
        <f>144*40</f>
        <v>5760</v>
      </c>
      <c r="L571" s="106">
        <f>156*60</f>
        <v>9360</v>
      </c>
      <c r="M571" s="106">
        <f>168*60</f>
        <v>10080</v>
      </c>
      <c r="N571" s="106"/>
      <c r="O571" s="106">
        <f>156*60</f>
        <v>9360</v>
      </c>
      <c r="P571" s="106">
        <f>152*60</f>
        <v>9120</v>
      </c>
      <c r="Q571" s="106">
        <f>150*60</f>
        <v>9000</v>
      </c>
      <c r="R571" s="106">
        <f t="shared" si="18"/>
        <v>6000</v>
      </c>
      <c r="S571" s="1">
        <v>46300</v>
      </c>
      <c r="T571" s="107">
        <v>0.375</v>
      </c>
      <c r="U571" s="107">
        <v>0.5</v>
      </c>
      <c r="V571" s="107">
        <v>0.58333333333333337</v>
      </c>
      <c r="W571" s="107">
        <v>0.75</v>
      </c>
      <c r="X571" s="106"/>
      <c r="Y571" s="106"/>
      <c r="Z571" s="106"/>
    </row>
    <row r="572" spans="1:26" x14ac:dyDescent="0.25">
      <c r="A572" s="106">
        <v>570</v>
      </c>
      <c r="B572" s="168">
        <f t="shared" si="19"/>
        <v>45769</v>
      </c>
      <c r="C572" s="126">
        <f>YEAR(MC[[#This Row],[Date]])+IF(MONTH(MC[[#This Row],[Date]])&gt;=4,1,0)</f>
        <v>2026</v>
      </c>
      <c r="D572" s="102">
        <f>YEAR(MC[[#This Row],[Date]])</f>
        <v>2025</v>
      </c>
      <c r="E572" s="167"/>
      <c r="F572" s="106"/>
      <c r="G572" s="1" t="str">
        <f>TEXT(MC[[#This Row],[Date]],"mmm-yy")</f>
        <v>Apr-25</v>
      </c>
      <c r="H572" s="1">
        <f>DAY(EOMONTH(MC[[#This Row],[Month Year]],0))</f>
        <v>30</v>
      </c>
      <c r="I572" s="106"/>
      <c r="J572" s="106" t="s">
        <v>142</v>
      </c>
      <c r="K572" s="106">
        <v>7600</v>
      </c>
      <c r="L572" s="106">
        <v>6000</v>
      </c>
      <c r="M572" s="106">
        <v>7600</v>
      </c>
      <c r="N572" s="106">
        <v>7250</v>
      </c>
      <c r="O572" s="106">
        <v>7200</v>
      </c>
      <c r="P572" s="106">
        <v>7600</v>
      </c>
      <c r="Q572" s="106"/>
      <c r="R572" s="106">
        <f t="shared" si="18"/>
        <v>6000</v>
      </c>
      <c r="S572" s="1">
        <f>SUM(MC[[#This Row],[Blk1]:[Blk8]])</f>
        <v>49250</v>
      </c>
      <c r="T572" s="107">
        <v>0.375</v>
      </c>
      <c r="U572" s="107">
        <v>0.5</v>
      </c>
      <c r="V572" s="107">
        <v>0.58333333333333337</v>
      </c>
      <c r="W572" s="107">
        <v>0.75</v>
      </c>
      <c r="X572" s="106"/>
      <c r="Y572" s="106"/>
      <c r="Z572" s="106"/>
    </row>
    <row r="573" spans="1:26" x14ac:dyDescent="0.25">
      <c r="A573" s="106">
        <v>571</v>
      </c>
      <c r="B573" s="168">
        <f t="shared" si="19"/>
        <v>45770</v>
      </c>
      <c r="C573" s="126">
        <f>YEAR(MC[[#This Row],[Date]])+IF(MONTH(MC[[#This Row],[Date]])&gt;=4,1,0)</f>
        <v>2026</v>
      </c>
      <c r="D573" s="102">
        <f>YEAR(MC[[#This Row],[Date]])</f>
        <v>2025</v>
      </c>
      <c r="E573" s="167"/>
      <c r="F573" s="106"/>
      <c r="G573" s="1" t="str">
        <f>TEXT(MC[[#This Row],[Date]],"mmm-yy")</f>
        <v>Apr-25</v>
      </c>
      <c r="H573" s="1">
        <f>DAY(EOMONTH(MC[[#This Row],[Month Year]],0))</f>
        <v>30</v>
      </c>
      <c r="I573" s="106"/>
      <c r="J573" s="106" t="s">
        <v>142</v>
      </c>
      <c r="K573" s="106">
        <f>124*50</f>
        <v>6200</v>
      </c>
      <c r="L573" s="106">
        <f>120*50</f>
        <v>6000</v>
      </c>
      <c r="M573" s="106">
        <f>120*50</f>
        <v>6000</v>
      </c>
      <c r="N573" s="106">
        <f>144*60</f>
        <v>8640</v>
      </c>
      <c r="O573" s="106">
        <f>150*50</f>
        <v>7500</v>
      </c>
      <c r="P573" s="106">
        <f>132*60</f>
        <v>7920</v>
      </c>
      <c r="Q573" s="106">
        <f>140*50</f>
        <v>7000</v>
      </c>
      <c r="R573" s="106">
        <v>0</v>
      </c>
      <c r="S573" s="1">
        <f>SUM(MC[[#This Row],[Blk1]:[Blk8]])</f>
        <v>49260</v>
      </c>
      <c r="T573" s="107">
        <v>0.375</v>
      </c>
      <c r="U573" s="107">
        <v>0.5</v>
      </c>
      <c r="V573" s="107">
        <v>0.58333333333333337</v>
      </c>
      <c r="W573" s="107">
        <v>0.75</v>
      </c>
      <c r="X573" s="106"/>
      <c r="Y573" s="106"/>
      <c r="Z573" s="106"/>
    </row>
    <row r="574" spans="1:26" x14ac:dyDescent="0.25">
      <c r="A574" s="106">
        <v>572</v>
      </c>
      <c r="B574" s="168">
        <f t="shared" si="19"/>
        <v>45771</v>
      </c>
      <c r="C574" s="126">
        <f>YEAR(MC[[#This Row],[Date]])+IF(MONTH(MC[[#This Row],[Date]])&gt;=4,1,0)</f>
        <v>2026</v>
      </c>
      <c r="D574" s="102">
        <f>YEAR(MC[[#This Row],[Date]])</f>
        <v>2025</v>
      </c>
      <c r="E574" s="167"/>
      <c r="F574" s="106"/>
      <c r="G574" s="1" t="str">
        <f>TEXT(MC[[#This Row],[Date]],"mmm-yy")</f>
        <v>Apr-25</v>
      </c>
      <c r="H574" s="1">
        <f>DAY(EOMONTH(MC[[#This Row],[Month Year]],0))</f>
        <v>30</v>
      </c>
      <c r="I574" s="106"/>
      <c r="J574" s="106" t="s">
        <v>142</v>
      </c>
      <c r="K574" s="106">
        <v>7200</v>
      </c>
      <c r="L574" s="106">
        <v>6000</v>
      </c>
      <c r="M574" s="106">
        <v>5500</v>
      </c>
      <c r="N574" s="106">
        <v>9900</v>
      </c>
      <c r="O574" s="106">
        <v>7200</v>
      </c>
      <c r="P574" s="106">
        <v>8640</v>
      </c>
      <c r="Q574" s="106"/>
      <c r="R574" s="106">
        <v>0</v>
      </c>
      <c r="S574" s="1">
        <f>SUM(MC[[#This Row],[Blk1]:[Blk8]])</f>
        <v>44440</v>
      </c>
      <c r="T574" s="107">
        <v>0.375</v>
      </c>
      <c r="U574" s="107">
        <v>0.5</v>
      </c>
      <c r="V574" s="107">
        <v>0.58333333333333337</v>
      </c>
      <c r="W574" s="107">
        <v>0.75</v>
      </c>
      <c r="X574" s="106"/>
      <c r="Y574" s="106"/>
      <c r="Z574" s="106"/>
    </row>
    <row r="575" spans="1:26" x14ac:dyDescent="0.25">
      <c r="A575" s="106">
        <v>573</v>
      </c>
      <c r="B575" s="168">
        <f t="shared" si="19"/>
        <v>45772</v>
      </c>
      <c r="C575" s="126">
        <f>YEAR(MC[[#This Row],[Date]])+IF(MONTH(MC[[#This Row],[Date]])&gt;=4,1,0)</f>
        <v>2026</v>
      </c>
      <c r="D575" s="102">
        <f>YEAR(MC[[#This Row],[Date]])</f>
        <v>2025</v>
      </c>
      <c r="E575" s="167"/>
      <c r="F575" s="106"/>
      <c r="G575" s="1" t="str">
        <f>TEXT(MC[[#This Row],[Date]],"mmm-yy")</f>
        <v>Apr-25</v>
      </c>
      <c r="H575" s="1">
        <f>DAY(EOMONTH(MC[[#This Row],[Month Year]],0))</f>
        <v>30</v>
      </c>
      <c r="I575" s="106"/>
      <c r="J575" s="106" t="s">
        <v>142</v>
      </c>
      <c r="K575" s="106">
        <f>144*50</f>
        <v>7200</v>
      </c>
      <c r="L575" s="106">
        <f>120*50</f>
        <v>6000</v>
      </c>
      <c r="M575" s="106">
        <f>136*50</f>
        <v>6800</v>
      </c>
      <c r="N575" s="106">
        <f>125*60</f>
        <v>7500</v>
      </c>
      <c r="O575" s="106">
        <f>148*50</f>
        <v>7400</v>
      </c>
      <c r="P575" s="106">
        <f>124*50</f>
        <v>6200</v>
      </c>
      <c r="Q575" s="106">
        <f>136*50</f>
        <v>6800</v>
      </c>
      <c r="R575" s="106">
        <v>0</v>
      </c>
      <c r="S575" s="1">
        <f>SUM(MC[[#This Row],[Blk1]:[Blk8]])</f>
        <v>47900</v>
      </c>
      <c r="T575" s="107">
        <v>0.375</v>
      </c>
      <c r="U575" s="107">
        <v>0.5</v>
      </c>
      <c r="V575" s="107">
        <v>0.58333333333333337</v>
      </c>
      <c r="W575" s="107">
        <v>0.75</v>
      </c>
      <c r="X575" s="106"/>
      <c r="Y575" s="106"/>
      <c r="Z575" s="106"/>
    </row>
    <row r="576" spans="1:26" x14ac:dyDescent="0.25">
      <c r="A576" s="106">
        <v>574</v>
      </c>
      <c r="B576" s="168">
        <f t="shared" si="19"/>
        <v>45773</v>
      </c>
      <c r="C576" s="126">
        <f>YEAR(MC[[#This Row],[Date]])+IF(MONTH(MC[[#This Row],[Date]])&gt;=4,1,0)</f>
        <v>2026</v>
      </c>
      <c r="D576" s="102">
        <f>YEAR(MC[[#This Row],[Date]])</f>
        <v>2025</v>
      </c>
      <c r="E576" s="167"/>
      <c r="F576" s="106"/>
      <c r="G576" s="1" t="str">
        <f>TEXT(MC[[#This Row],[Date]],"mmm-yy")</f>
        <v>Apr-25</v>
      </c>
      <c r="H576" s="1">
        <f>DAY(EOMONTH(MC[[#This Row],[Month Year]],0))</f>
        <v>30</v>
      </c>
      <c r="I576" s="106"/>
      <c r="J576" s="106" t="s">
        <v>142</v>
      </c>
      <c r="K576" s="106">
        <f>124*50</f>
        <v>6200</v>
      </c>
      <c r="L576" s="106">
        <f>136*50</f>
        <v>6800</v>
      </c>
      <c r="M576" s="106">
        <f>115*50</f>
        <v>5750</v>
      </c>
      <c r="N576" s="106">
        <f>124*50</f>
        <v>6200</v>
      </c>
      <c r="O576" s="106">
        <f>138*50</f>
        <v>6900</v>
      </c>
      <c r="P576" s="106">
        <f>124*50</f>
        <v>6200</v>
      </c>
      <c r="Q576" s="106">
        <f>102*50</f>
        <v>5100</v>
      </c>
      <c r="R576" s="106">
        <v>0</v>
      </c>
      <c r="S576" s="1">
        <f>SUM(MC[[#This Row],[Blk1]:[Blk8]])</f>
        <v>43150</v>
      </c>
      <c r="T576" s="107">
        <v>0.375</v>
      </c>
      <c r="U576" s="107">
        <v>0.5</v>
      </c>
      <c r="V576" s="107">
        <v>0.58333333333333337</v>
      </c>
      <c r="W576" s="107">
        <v>0.75</v>
      </c>
      <c r="X576" s="106"/>
      <c r="Y576" s="106"/>
      <c r="Z576" s="106"/>
    </row>
    <row r="577" spans="1:26" x14ac:dyDescent="0.25">
      <c r="A577" s="106">
        <v>575</v>
      </c>
      <c r="B577" s="168">
        <f t="shared" si="19"/>
        <v>45774</v>
      </c>
      <c r="C577" s="126">
        <f>YEAR(MC[[#This Row],[Date]])+IF(MONTH(MC[[#This Row],[Date]])&gt;=4,1,0)</f>
        <v>2026</v>
      </c>
      <c r="D577" s="102">
        <f>YEAR(MC[[#This Row],[Date]])</f>
        <v>2025</v>
      </c>
      <c r="E577" s="167"/>
      <c r="F577" s="106"/>
      <c r="G577" s="1" t="str">
        <f>TEXT(MC[[#This Row],[Date]],"mmm-yy")</f>
        <v>Apr-25</v>
      </c>
      <c r="H577" s="1">
        <f>DAY(EOMONTH(MC[[#This Row],[Month Year]],0))</f>
        <v>30</v>
      </c>
      <c r="I577" s="106"/>
      <c r="J577" s="106" t="s">
        <v>142</v>
      </c>
      <c r="K577" s="106">
        <f>144*50</f>
        <v>7200</v>
      </c>
      <c r="L577" s="106">
        <f>144*50</f>
        <v>7200</v>
      </c>
      <c r="M577" s="106">
        <f>120*50</f>
        <v>6000</v>
      </c>
      <c r="N577" s="106">
        <f>148*50</f>
        <v>7400</v>
      </c>
      <c r="O577" s="106">
        <f>144*50</f>
        <v>7200</v>
      </c>
      <c r="P577" s="106">
        <f>132*50</f>
        <v>6600</v>
      </c>
      <c r="Q577" s="106">
        <f>144*50</f>
        <v>7200</v>
      </c>
      <c r="R577" s="106">
        <v>0</v>
      </c>
      <c r="S577" s="1">
        <f>SUM(MC[[#This Row],[Blk1]:[Blk8]])</f>
        <v>48800</v>
      </c>
      <c r="T577" s="107">
        <v>0.375</v>
      </c>
      <c r="U577" s="107">
        <v>0.5</v>
      </c>
      <c r="V577" s="107">
        <v>0.58333333333333337</v>
      </c>
      <c r="W577" s="107">
        <v>0.75</v>
      </c>
      <c r="X577" s="106"/>
      <c r="Y577" s="106"/>
      <c r="Z577" s="106"/>
    </row>
    <row r="578" spans="1:26" x14ac:dyDescent="0.25">
      <c r="A578" s="106">
        <v>576</v>
      </c>
      <c r="B578" s="168">
        <f t="shared" si="19"/>
        <v>45775</v>
      </c>
      <c r="C578" s="126">
        <f>YEAR(MC[[#This Row],[Date]])+IF(MONTH(MC[[#This Row],[Date]])&gt;=4,1,0)</f>
        <v>2026</v>
      </c>
      <c r="D578" s="102">
        <f>YEAR(MC[[#This Row],[Date]])</f>
        <v>2025</v>
      </c>
      <c r="E578" s="167"/>
      <c r="F578" s="106"/>
      <c r="G578" s="1" t="str">
        <f>TEXT(MC[[#This Row],[Date]],"mmm-yy")</f>
        <v>Apr-25</v>
      </c>
      <c r="H578" s="1">
        <f>DAY(EOMONTH(MC[[#This Row],[Month Year]],0))</f>
        <v>30</v>
      </c>
      <c r="I578" s="106"/>
      <c r="J578" s="106" t="s">
        <v>142</v>
      </c>
      <c r="K578" s="106"/>
      <c r="L578" s="106">
        <v>0</v>
      </c>
      <c r="M578" s="106">
        <v>0</v>
      </c>
      <c r="N578" s="106"/>
      <c r="O578" s="106"/>
      <c r="P578" s="106"/>
      <c r="Q578" s="106"/>
      <c r="R578" s="106"/>
      <c r="S578" s="1">
        <f>SUM(MC[[#This Row],[Blk1]:[Blk8]])</f>
        <v>0</v>
      </c>
      <c r="T578" s="107">
        <v>0.375</v>
      </c>
      <c r="U578" s="107">
        <v>0.5</v>
      </c>
      <c r="V578" s="107">
        <v>0.58333333333333337</v>
      </c>
      <c r="W578" s="107">
        <v>0.75</v>
      </c>
      <c r="X578" s="106"/>
      <c r="Y578" s="106"/>
      <c r="Z578" s="106"/>
    </row>
    <row r="579" spans="1:26" x14ac:dyDescent="0.25">
      <c r="A579" s="106">
        <v>577</v>
      </c>
      <c r="B579" s="168">
        <f t="shared" si="19"/>
        <v>45776</v>
      </c>
      <c r="C579" s="126">
        <f>YEAR(MC[[#This Row],[Date]])+IF(MONTH(MC[[#This Row],[Date]])&gt;=4,1,0)</f>
        <v>2026</v>
      </c>
      <c r="D579" s="102">
        <f>YEAR(MC[[#This Row],[Date]])</f>
        <v>2025</v>
      </c>
      <c r="E579" s="167"/>
      <c r="F579" s="106"/>
      <c r="G579" s="1" t="str">
        <f>TEXT(MC[[#This Row],[Date]],"mmm-yy")</f>
        <v>Apr-25</v>
      </c>
      <c r="H579" s="1">
        <f>DAY(EOMONTH(MC[[#This Row],[Month Year]],0))</f>
        <v>30</v>
      </c>
      <c r="I579" s="106"/>
      <c r="J579" s="106" t="s">
        <v>142</v>
      </c>
      <c r="K579" s="106"/>
      <c r="L579" s="106">
        <f>72*50</f>
        <v>3600</v>
      </c>
      <c r="M579" s="106">
        <f>96*50</f>
        <v>4800</v>
      </c>
      <c r="N579" s="106"/>
      <c r="O579" s="106"/>
      <c r="P579" s="106"/>
      <c r="Q579" s="106"/>
      <c r="R579" s="106">
        <f t="shared" si="18"/>
        <v>6000</v>
      </c>
      <c r="S579" s="1">
        <f>SUM(MC[[#This Row],[Blk1]:[Blk8]])</f>
        <v>14400</v>
      </c>
      <c r="T579" s="106"/>
      <c r="U579" s="106"/>
      <c r="V579" s="106"/>
      <c r="W579" s="106"/>
      <c r="X579" s="106"/>
      <c r="Y579" s="106"/>
      <c r="Z579" s="106"/>
    </row>
    <row r="580" spans="1:26" x14ac:dyDescent="0.25">
      <c r="A580" s="106">
        <v>578</v>
      </c>
      <c r="B580" s="168">
        <f t="shared" si="19"/>
        <v>45777</v>
      </c>
      <c r="C580" s="126">
        <f>YEAR(MC[[#This Row],[Date]])+IF(MONTH(MC[[#This Row],[Date]])&gt;=4,1,0)</f>
        <v>2026</v>
      </c>
      <c r="D580" s="102">
        <f>YEAR(MC[[#This Row],[Date]])</f>
        <v>2025</v>
      </c>
      <c r="E580" s="167"/>
      <c r="F580" s="106"/>
      <c r="G580" s="1" t="str">
        <f>TEXT(MC[[#This Row],[Date]],"mmm-yy")</f>
        <v>Apr-25</v>
      </c>
      <c r="H580" s="1">
        <f>DAY(EOMONTH(MC[[#This Row],[Month Year]],0))</f>
        <v>30</v>
      </c>
      <c r="I580" s="106"/>
      <c r="J580" s="106" t="s">
        <v>142</v>
      </c>
      <c r="K580" s="106"/>
      <c r="L580" s="106">
        <f>65*50</f>
        <v>3250</v>
      </c>
      <c r="M580" s="106"/>
      <c r="N580" s="106"/>
      <c r="O580" s="106"/>
      <c r="P580" s="106">
        <f>144*50</f>
        <v>7200</v>
      </c>
      <c r="Q580" s="106"/>
      <c r="R580" s="106">
        <v>110</v>
      </c>
      <c r="S580" s="1">
        <f>SUM(MC[[#This Row],[Blk1]:[Blk8]])</f>
        <v>10560</v>
      </c>
      <c r="T580" s="107">
        <v>0.375</v>
      </c>
      <c r="U580" s="107">
        <v>0.5</v>
      </c>
      <c r="V580" s="107">
        <v>0.58333333333333337</v>
      </c>
      <c r="W580" s="107">
        <v>0.75</v>
      </c>
      <c r="X580" s="106"/>
      <c r="Y580" s="106"/>
      <c r="Z580" s="106"/>
    </row>
    <row r="581" spans="1:26" x14ac:dyDescent="0.25">
      <c r="A581" s="106">
        <v>579</v>
      </c>
      <c r="B581" s="168">
        <f t="shared" si="19"/>
        <v>45778</v>
      </c>
      <c r="C581" s="126">
        <f>YEAR(MC[[#This Row],[Date]])+IF(MONTH(MC[[#This Row],[Date]])&gt;=4,1,0)</f>
        <v>2026</v>
      </c>
      <c r="D581" s="102">
        <f>YEAR(MC[[#This Row],[Date]])</f>
        <v>2025</v>
      </c>
      <c r="E581" s="167"/>
      <c r="F581" s="106"/>
      <c r="G581" s="1" t="str">
        <f>TEXT(MC[[#This Row],[Date]],"mmm-yy")</f>
        <v>May-25</v>
      </c>
      <c r="H581" s="1">
        <f>DAY(EOMONTH(MC[[#This Row],[Month Year]],0))</f>
        <v>31</v>
      </c>
      <c r="I581" s="106"/>
      <c r="J581" s="106" t="s">
        <v>142</v>
      </c>
      <c r="K581" s="106">
        <v>7200</v>
      </c>
      <c r="L581" s="106"/>
      <c r="M581" s="106"/>
      <c r="N581" s="106">
        <v>3600</v>
      </c>
      <c r="O581" s="106">
        <v>7200</v>
      </c>
      <c r="P581" s="106">
        <v>2500</v>
      </c>
      <c r="Q581" s="106">
        <v>6600</v>
      </c>
      <c r="R581" s="106"/>
      <c r="S581" s="1">
        <v>27100</v>
      </c>
      <c r="T581" s="107">
        <v>0.375</v>
      </c>
      <c r="U581" s="107">
        <v>0.5</v>
      </c>
      <c r="V581" s="107">
        <v>0.58333333333333337</v>
      </c>
      <c r="W581" s="107">
        <v>0.75</v>
      </c>
      <c r="X581" s="106"/>
      <c r="Y581" s="106"/>
      <c r="Z581" s="106"/>
    </row>
    <row r="582" spans="1:26" x14ac:dyDescent="0.25">
      <c r="A582" s="106">
        <v>580</v>
      </c>
      <c r="B582" s="168">
        <f t="shared" si="19"/>
        <v>45779</v>
      </c>
      <c r="C582" s="126">
        <f>YEAR(MC[[#This Row],[Date]])+IF(MONTH(MC[[#This Row],[Date]])&gt;=4,1,0)</f>
        <v>2026</v>
      </c>
      <c r="D582" s="102">
        <f>YEAR(MC[[#This Row],[Date]])</f>
        <v>2025</v>
      </c>
      <c r="E582" s="167"/>
      <c r="F582" s="106"/>
      <c r="G582" s="1" t="str">
        <f>TEXT(MC[[#This Row],[Date]],"mmm-yy")</f>
        <v>May-25</v>
      </c>
      <c r="H582" s="1">
        <f>DAY(EOMONTH(MC[[#This Row],[Month Year]],0))</f>
        <v>31</v>
      </c>
      <c r="I582" s="106"/>
      <c r="J582" s="106" t="s">
        <v>142</v>
      </c>
      <c r="K582" s="106">
        <v>7500</v>
      </c>
      <c r="L582" s="106"/>
      <c r="M582" s="106"/>
      <c r="N582" s="106">
        <v>5450</v>
      </c>
      <c r="O582" s="106">
        <v>6250</v>
      </c>
      <c r="P582" s="106">
        <v>6600</v>
      </c>
      <c r="Q582" s="106"/>
      <c r="R582" s="106"/>
      <c r="S582" s="1">
        <v>25800</v>
      </c>
      <c r="T582" s="106"/>
      <c r="U582" s="106"/>
      <c r="V582" s="106"/>
      <c r="W582" s="106"/>
      <c r="X582" s="106"/>
      <c r="Y582" s="106"/>
      <c r="Z582" s="106" t="s">
        <v>1276</v>
      </c>
    </row>
    <row r="583" spans="1:26" x14ac:dyDescent="0.25">
      <c r="A583" s="106">
        <v>581</v>
      </c>
      <c r="B583" s="168">
        <f t="shared" si="19"/>
        <v>45780</v>
      </c>
      <c r="C583" s="368">
        <f>YEAR(MC[[#This Row],[Date]])+IF(MONTH(MC[[#This Row],[Date]])&gt;=4,1,0)</f>
        <v>2026</v>
      </c>
      <c r="D583" s="369">
        <f>YEAR(MC[[#This Row],[Date]])</f>
        <v>2025</v>
      </c>
      <c r="E583" s="167"/>
      <c r="F583" s="106"/>
      <c r="G583" s="370" t="str">
        <f>TEXT(MC[[#This Row],[Date]],"mmm-yy")</f>
        <v>May-25</v>
      </c>
      <c r="H583" s="370">
        <f>DAY(EOMONTH(MC[[#This Row],[Month Year]],0))</f>
        <v>31</v>
      </c>
      <c r="I583" s="106"/>
      <c r="J583" s="106" t="s">
        <v>142</v>
      </c>
      <c r="K583" s="106">
        <v>7050</v>
      </c>
      <c r="L583" s="106"/>
      <c r="M583" s="106"/>
      <c r="N583" s="106">
        <v>6600</v>
      </c>
      <c r="O583" s="106">
        <v>7150</v>
      </c>
      <c r="P583" s="106"/>
      <c r="Q583" s="106">
        <v>5500</v>
      </c>
      <c r="R583" s="371"/>
      <c r="S583" s="370">
        <v>26300</v>
      </c>
      <c r="T583" s="106"/>
      <c r="U583" s="106"/>
      <c r="V583" s="106"/>
      <c r="W583" s="106"/>
      <c r="X583" s="106"/>
      <c r="Y583" s="106"/>
      <c r="Z583" s="106"/>
    </row>
    <row r="584" spans="1:26" ht="30" x14ac:dyDescent="0.25">
      <c r="A584" s="106">
        <v>582</v>
      </c>
      <c r="B584" s="168">
        <f t="shared" si="19"/>
        <v>45781</v>
      </c>
      <c r="C584" s="368">
        <f>YEAR(MC[[#This Row],[Date]])+IF(MONTH(MC[[#This Row],[Date]])&gt;=4,1,0)</f>
        <v>2026</v>
      </c>
      <c r="D584" s="369">
        <f>YEAR(MC[[#This Row],[Date]])</f>
        <v>2025</v>
      </c>
      <c r="E584" s="167"/>
      <c r="F584" s="106"/>
      <c r="G584" s="370" t="str">
        <f>TEXT(MC[[#This Row],[Date]],"mmm-yy")</f>
        <v>May-25</v>
      </c>
      <c r="H584" s="370">
        <f>DAY(EOMONTH(MC[[#This Row],[Month Year]],0))</f>
        <v>31</v>
      </c>
      <c r="I584" s="106"/>
      <c r="J584" s="106" t="s">
        <v>142</v>
      </c>
      <c r="K584" s="106"/>
      <c r="L584" s="106"/>
      <c r="M584" s="106"/>
      <c r="N584" s="106"/>
      <c r="O584" s="106"/>
      <c r="P584" s="106"/>
      <c r="Q584" s="106"/>
      <c r="R584" s="371"/>
      <c r="S584" s="370">
        <v>0</v>
      </c>
      <c r="T584" s="106"/>
      <c r="U584" s="106"/>
      <c r="V584" s="106"/>
      <c r="W584" s="106"/>
      <c r="X584" s="106"/>
      <c r="Y584" s="106"/>
      <c r="Z584" s="372" t="s">
        <v>1277</v>
      </c>
    </row>
    <row r="585" spans="1:26" ht="30" x14ac:dyDescent="0.25">
      <c r="A585" s="106">
        <v>583</v>
      </c>
      <c r="B585" s="168">
        <f t="shared" si="19"/>
        <v>45782</v>
      </c>
      <c r="C585" s="368">
        <f>YEAR(MC[[#This Row],[Date]])+IF(MONTH(MC[[#This Row],[Date]])&gt;=4,1,0)</f>
        <v>2026</v>
      </c>
      <c r="D585" s="369">
        <f>YEAR(MC[[#This Row],[Date]])</f>
        <v>2025</v>
      </c>
      <c r="E585" s="167"/>
      <c r="F585" s="106"/>
      <c r="G585" s="370" t="str">
        <f>TEXT(MC[[#This Row],[Date]],"mmm-yy")</f>
        <v>May-25</v>
      </c>
      <c r="H585" s="370">
        <f>DAY(EOMONTH(MC[[#This Row],[Month Year]],0))</f>
        <v>31</v>
      </c>
      <c r="I585" s="106"/>
      <c r="J585" s="106" t="s">
        <v>142</v>
      </c>
      <c r="K585" s="106"/>
      <c r="L585" s="106"/>
      <c r="M585" s="106"/>
      <c r="N585" s="106"/>
      <c r="O585" s="106"/>
      <c r="P585" s="106"/>
      <c r="Q585" s="106"/>
      <c r="R585" s="371"/>
      <c r="S585" s="370">
        <v>0</v>
      </c>
      <c r="T585" s="106"/>
      <c r="U585" s="106"/>
      <c r="V585" s="106"/>
      <c r="W585" s="106"/>
      <c r="X585" s="106"/>
      <c r="Y585" s="106"/>
      <c r="Z585" s="372" t="s">
        <v>1278</v>
      </c>
    </row>
    <row r="586" spans="1:26" ht="45" x14ac:dyDescent="0.25">
      <c r="A586" s="106">
        <v>584</v>
      </c>
      <c r="B586" s="168">
        <f t="shared" si="19"/>
        <v>45783</v>
      </c>
      <c r="C586" s="368">
        <f>YEAR(MC[[#This Row],[Date]])+IF(MONTH(MC[[#This Row],[Date]])&gt;=4,1,0)</f>
        <v>2026</v>
      </c>
      <c r="D586" s="369">
        <f>YEAR(MC[[#This Row],[Date]])</f>
        <v>2025</v>
      </c>
      <c r="E586" s="167"/>
      <c r="F586" s="106"/>
      <c r="G586" s="370" t="str">
        <f>TEXT(MC[[#This Row],[Date]],"mmm-yy")</f>
        <v>May-25</v>
      </c>
      <c r="H586" s="370">
        <f>DAY(EOMONTH(MC[[#This Row],[Month Year]],0))</f>
        <v>31</v>
      </c>
      <c r="I586" s="106"/>
      <c r="J586" s="106" t="s">
        <v>142</v>
      </c>
      <c r="K586" s="106"/>
      <c r="L586" s="106"/>
      <c r="M586" s="106"/>
      <c r="N586" s="106"/>
      <c r="O586" s="106"/>
      <c r="P586" s="106"/>
      <c r="Q586" s="106"/>
      <c r="R586" s="371"/>
      <c r="S586" s="370">
        <v>0</v>
      </c>
      <c r="T586" s="106"/>
      <c r="U586" s="106"/>
      <c r="V586" s="106"/>
      <c r="W586" s="106"/>
      <c r="X586" s="106"/>
      <c r="Y586" s="106"/>
      <c r="Z586" s="372" t="s">
        <v>1279</v>
      </c>
    </row>
    <row r="587" spans="1:26" ht="30" x14ac:dyDescent="0.25">
      <c r="A587" s="106">
        <v>585</v>
      </c>
      <c r="B587" s="168">
        <f t="shared" si="19"/>
        <v>45784</v>
      </c>
      <c r="C587" s="368">
        <f>YEAR(MC[[#This Row],[Date]])+IF(MONTH(MC[[#This Row],[Date]])&gt;=4,1,0)</f>
        <v>2026</v>
      </c>
      <c r="D587" s="369">
        <f>YEAR(MC[[#This Row],[Date]])</f>
        <v>2025</v>
      </c>
      <c r="E587" s="167"/>
      <c r="F587" s="106"/>
      <c r="G587" s="370" t="str">
        <f>TEXT(MC[[#This Row],[Date]],"mmm-yy")</f>
        <v>May-25</v>
      </c>
      <c r="H587" s="370">
        <f>DAY(EOMONTH(MC[[#This Row],[Month Year]],0))</f>
        <v>31</v>
      </c>
      <c r="I587" s="106"/>
      <c r="J587" s="106" t="s">
        <v>142</v>
      </c>
      <c r="K587" s="106"/>
      <c r="L587" s="106"/>
      <c r="M587" s="106"/>
      <c r="N587" s="106"/>
      <c r="O587" s="106"/>
      <c r="P587" s="106"/>
      <c r="Q587" s="106"/>
      <c r="R587" s="371"/>
      <c r="S587" s="370">
        <v>0</v>
      </c>
      <c r="T587" s="106"/>
      <c r="U587" s="106"/>
      <c r="V587" s="106"/>
      <c r="W587" s="106"/>
      <c r="X587" s="106"/>
      <c r="Y587" s="106"/>
      <c r="Z587" s="372" t="s">
        <v>1280</v>
      </c>
    </row>
    <row r="588" spans="1:26" ht="30" x14ac:dyDescent="0.25">
      <c r="A588" s="106">
        <v>586</v>
      </c>
      <c r="B588" s="168">
        <f t="shared" si="19"/>
        <v>45785</v>
      </c>
      <c r="C588" s="368">
        <f>YEAR(MC[[#This Row],[Date]])+IF(MONTH(MC[[#This Row],[Date]])&gt;=4,1,0)</f>
        <v>2026</v>
      </c>
      <c r="D588" s="369">
        <f>YEAR(MC[[#This Row],[Date]])</f>
        <v>2025</v>
      </c>
      <c r="E588" s="167"/>
      <c r="F588" s="106"/>
      <c r="G588" s="370" t="str">
        <f>TEXT(MC[[#This Row],[Date]],"mmm-yy")</f>
        <v>May-25</v>
      </c>
      <c r="H588" s="370">
        <f>DAY(EOMONTH(MC[[#This Row],[Month Year]],0))</f>
        <v>31</v>
      </c>
      <c r="I588" s="106"/>
      <c r="J588" s="106" t="s">
        <v>142</v>
      </c>
      <c r="K588" s="106"/>
      <c r="L588" s="106"/>
      <c r="M588" s="106"/>
      <c r="N588" s="106"/>
      <c r="O588" s="106"/>
      <c r="P588" s="106"/>
      <c r="Q588" s="106"/>
      <c r="R588" s="371"/>
      <c r="S588" s="370">
        <v>0</v>
      </c>
      <c r="T588" s="106"/>
      <c r="U588" s="106"/>
      <c r="V588" s="106"/>
      <c r="W588" s="106"/>
      <c r="X588" s="106"/>
      <c r="Y588" s="106"/>
      <c r="Z588" s="372" t="s">
        <v>1281</v>
      </c>
    </row>
    <row r="589" spans="1:26" ht="45" x14ac:dyDescent="0.25">
      <c r="A589" s="106">
        <v>587</v>
      </c>
      <c r="B589" s="168">
        <f t="shared" si="19"/>
        <v>45786</v>
      </c>
      <c r="C589" s="368">
        <f>YEAR(MC[[#This Row],[Date]])+IF(MONTH(MC[[#This Row],[Date]])&gt;=4,1,0)</f>
        <v>2026</v>
      </c>
      <c r="D589" s="369">
        <f>YEAR(MC[[#This Row],[Date]])</f>
        <v>2025</v>
      </c>
      <c r="E589" s="167"/>
      <c r="F589" s="106"/>
      <c r="G589" s="370" t="str">
        <f>TEXT(MC[[#This Row],[Date]],"mmm-yy")</f>
        <v>May-25</v>
      </c>
      <c r="H589" s="370">
        <f>DAY(EOMONTH(MC[[#This Row],[Month Year]],0))</f>
        <v>31</v>
      </c>
      <c r="I589" s="106"/>
      <c r="J589" s="106" t="s">
        <v>142</v>
      </c>
      <c r="K589" s="106"/>
      <c r="L589" s="106"/>
      <c r="M589" s="106"/>
      <c r="N589" s="106"/>
      <c r="O589" s="106"/>
      <c r="P589" s="106"/>
      <c r="Q589" s="106"/>
      <c r="R589" s="371"/>
      <c r="S589" s="370">
        <v>0</v>
      </c>
      <c r="T589" s="106"/>
      <c r="U589" s="106"/>
      <c r="V589" s="106"/>
      <c r="W589" s="106"/>
      <c r="X589" s="106"/>
      <c r="Y589" s="106"/>
      <c r="Z589" s="372" t="s">
        <v>1282</v>
      </c>
    </row>
    <row r="590" spans="1:26" ht="30" x14ac:dyDescent="0.25">
      <c r="A590" s="106">
        <v>588</v>
      </c>
      <c r="B590" s="168">
        <f t="shared" si="19"/>
        <v>45787</v>
      </c>
      <c r="C590" s="368">
        <f>YEAR(MC[[#This Row],[Date]])+IF(MONTH(MC[[#This Row],[Date]])&gt;=4,1,0)</f>
        <v>2026</v>
      </c>
      <c r="D590" s="369">
        <f>YEAR(MC[[#This Row],[Date]])</f>
        <v>2025</v>
      </c>
      <c r="E590" s="167"/>
      <c r="F590" s="106"/>
      <c r="G590" s="370" t="str">
        <f>TEXT(MC[[#This Row],[Date]],"mmm-yy")</f>
        <v>May-25</v>
      </c>
      <c r="H590" s="370">
        <f>DAY(EOMONTH(MC[[#This Row],[Month Year]],0))</f>
        <v>31</v>
      </c>
      <c r="I590" s="106"/>
      <c r="J590" s="106" t="s">
        <v>142</v>
      </c>
      <c r="K590" s="106"/>
      <c r="L590" s="106"/>
      <c r="M590" s="106"/>
      <c r="N590" s="106"/>
      <c r="O590" s="106"/>
      <c r="P590" s="106"/>
      <c r="Q590" s="106"/>
      <c r="R590" s="371"/>
      <c r="S590" s="370">
        <v>0</v>
      </c>
      <c r="T590" s="106"/>
      <c r="U590" s="106"/>
      <c r="V590" s="106"/>
      <c r="W590" s="106"/>
      <c r="X590" s="106"/>
      <c r="Y590" s="106"/>
      <c r="Z590" s="372" t="s">
        <v>1283</v>
      </c>
    </row>
    <row r="591" spans="1:26" ht="45" x14ac:dyDescent="0.25">
      <c r="A591" s="106">
        <v>589</v>
      </c>
      <c r="B591" s="168">
        <f t="shared" si="19"/>
        <v>45788</v>
      </c>
      <c r="C591" s="368">
        <f>YEAR(MC[[#This Row],[Date]])+IF(MONTH(MC[[#This Row],[Date]])&gt;=4,1,0)</f>
        <v>2026</v>
      </c>
      <c r="D591" s="369">
        <f>YEAR(MC[[#This Row],[Date]])</f>
        <v>2025</v>
      </c>
      <c r="E591" s="167"/>
      <c r="F591" s="106"/>
      <c r="G591" s="370" t="str">
        <f>TEXT(MC[[#This Row],[Date]],"mmm-yy")</f>
        <v>May-25</v>
      </c>
      <c r="H591" s="370">
        <f>DAY(EOMONTH(MC[[#This Row],[Month Year]],0))</f>
        <v>31</v>
      </c>
      <c r="I591" s="106"/>
      <c r="J591" s="106" t="s">
        <v>142</v>
      </c>
      <c r="K591" s="106"/>
      <c r="L591" s="106"/>
      <c r="M591" s="106"/>
      <c r="N591" s="106"/>
      <c r="O591" s="106"/>
      <c r="P591" s="106"/>
      <c r="Q591" s="106"/>
      <c r="R591" s="371"/>
      <c r="S591" s="370">
        <v>0</v>
      </c>
      <c r="T591" s="106"/>
      <c r="U591" s="106"/>
      <c r="V591" s="106"/>
      <c r="W591" s="106"/>
      <c r="X591" s="106"/>
      <c r="Y591" s="106"/>
      <c r="Z591" s="372" t="s">
        <v>1284</v>
      </c>
    </row>
    <row r="592" spans="1:26" ht="30" x14ac:dyDescent="0.25">
      <c r="A592" s="106">
        <v>590</v>
      </c>
      <c r="B592" s="168">
        <f t="shared" ref="B592:B630" si="20">B591+1</f>
        <v>45789</v>
      </c>
      <c r="C592" s="368">
        <f>YEAR(MC[[#This Row],[Date]])+IF(MONTH(MC[[#This Row],[Date]])&gt;=4,1,0)</f>
        <v>2026</v>
      </c>
      <c r="D592" s="369">
        <f>YEAR(MC[[#This Row],[Date]])</f>
        <v>2025</v>
      </c>
      <c r="E592" s="167"/>
      <c r="F592" s="106"/>
      <c r="G592" s="370" t="str">
        <f>TEXT(MC[[#This Row],[Date]],"mmm-yy")</f>
        <v>May-25</v>
      </c>
      <c r="H592" s="370">
        <f>DAY(EOMONTH(MC[[#This Row],[Month Year]],0))</f>
        <v>31</v>
      </c>
      <c r="I592" s="106"/>
      <c r="J592" s="106" t="s">
        <v>142</v>
      </c>
      <c r="K592" s="106"/>
      <c r="L592" s="106"/>
      <c r="M592" s="106"/>
      <c r="N592" s="106"/>
      <c r="O592" s="106"/>
      <c r="P592" s="106"/>
      <c r="Q592" s="106"/>
      <c r="R592" s="371"/>
      <c r="S592" s="370">
        <v>0</v>
      </c>
      <c r="T592" s="106"/>
      <c r="U592" s="106"/>
      <c r="V592" s="106"/>
      <c r="W592" s="106"/>
      <c r="X592" s="106"/>
      <c r="Y592" s="106"/>
      <c r="Z592" s="372" t="s">
        <v>1285</v>
      </c>
    </row>
    <row r="593" spans="1:26" ht="30" x14ac:dyDescent="0.25">
      <c r="A593" s="106">
        <v>591</v>
      </c>
      <c r="B593" s="168">
        <f t="shared" si="20"/>
        <v>45790</v>
      </c>
      <c r="C593" s="368">
        <f>YEAR(MC[[#This Row],[Date]])+IF(MONTH(MC[[#This Row],[Date]])&gt;=4,1,0)</f>
        <v>2026</v>
      </c>
      <c r="D593" s="369">
        <f>YEAR(MC[[#This Row],[Date]])</f>
        <v>2025</v>
      </c>
      <c r="E593" s="167"/>
      <c r="F593" s="106"/>
      <c r="G593" s="370" t="str">
        <f>TEXT(MC[[#This Row],[Date]],"mmm-yy")</f>
        <v>May-25</v>
      </c>
      <c r="H593" s="370">
        <f>DAY(EOMONTH(MC[[#This Row],[Month Year]],0))</f>
        <v>31</v>
      </c>
      <c r="I593" s="106"/>
      <c r="J593" s="106" t="s">
        <v>142</v>
      </c>
      <c r="K593" s="106"/>
      <c r="L593" s="106"/>
      <c r="M593" s="106"/>
      <c r="N593" s="106"/>
      <c r="O593" s="106"/>
      <c r="P593" s="106"/>
      <c r="Q593" s="106"/>
      <c r="R593" s="371"/>
      <c r="S593" s="370">
        <v>0</v>
      </c>
      <c r="T593" s="106"/>
      <c r="U593" s="106"/>
      <c r="V593" s="106"/>
      <c r="W593" s="106"/>
      <c r="X593" s="106"/>
      <c r="Y593" s="106"/>
      <c r="Z593" s="372" t="s">
        <v>1286</v>
      </c>
    </row>
    <row r="594" spans="1:26" ht="30" x14ac:dyDescent="0.25">
      <c r="A594" s="106">
        <v>592</v>
      </c>
      <c r="B594" s="168">
        <f t="shared" si="20"/>
        <v>45791</v>
      </c>
      <c r="C594" s="368">
        <f>YEAR(MC[[#This Row],[Date]])+IF(MONTH(MC[[#This Row],[Date]])&gt;=4,1,0)</f>
        <v>2026</v>
      </c>
      <c r="D594" s="369">
        <f>YEAR(MC[[#This Row],[Date]])</f>
        <v>2025</v>
      </c>
      <c r="E594" s="167"/>
      <c r="F594" s="106"/>
      <c r="G594" s="370" t="str">
        <f>TEXT(MC[[#This Row],[Date]],"mmm-yy")</f>
        <v>May-25</v>
      </c>
      <c r="H594" s="370">
        <f>DAY(EOMONTH(MC[[#This Row],[Month Year]],0))</f>
        <v>31</v>
      </c>
      <c r="I594" s="106"/>
      <c r="J594" s="106" t="s">
        <v>142</v>
      </c>
      <c r="K594" s="106"/>
      <c r="L594" s="106"/>
      <c r="M594" s="106"/>
      <c r="N594" s="106"/>
      <c r="O594" s="106"/>
      <c r="P594" s="106"/>
      <c r="Q594" s="106"/>
      <c r="R594" s="371"/>
      <c r="S594" s="370">
        <v>0</v>
      </c>
      <c r="T594" s="106"/>
      <c r="U594" s="106"/>
      <c r="V594" s="106"/>
      <c r="W594" s="106"/>
      <c r="X594" s="106"/>
      <c r="Y594" s="106"/>
      <c r="Z594" s="372" t="s">
        <v>1287</v>
      </c>
    </row>
    <row r="595" spans="1:26" ht="30" x14ac:dyDescent="0.25">
      <c r="A595" s="106">
        <v>593</v>
      </c>
      <c r="B595" s="168">
        <f t="shared" si="20"/>
        <v>45792</v>
      </c>
      <c r="C595" s="368">
        <f>YEAR(MC[[#This Row],[Date]])+IF(MONTH(MC[[#This Row],[Date]])&gt;=4,1,0)</f>
        <v>2026</v>
      </c>
      <c r="D595" s="369">
        <f>YEAR(MC[[#This Row],[Date]])</f>
        <v>2025</v>
      </c>
      <c r="E595" s="167"/>
      <c r="F595" s="106"/>
      <c r="G595" s="370" t="str">
        <f>TEXT(MC[[#This Row],[Date]],"mmm-yy")</f>
        <v>May-25</v>
      </c>
      <c r="H595" s="370">
        <f>DAY(EOMONTH(MC[[#This Row],[Month Year]],0))</f>
        <v>31</v>
      </c>
      <c r="I595" s="106"/>
      <c r="J595" s="106" t="s">
        <v>142</v>
      </c>
      <c r="K595" s="106"/>
      <c r="L595" s="106"/>
      <c r="M595" s="106"/>
      <c r="N595" s="106"/>
      <c r="O595" s="106"/>
      <c r="P595" s="106"/>
      <c r="Q595" s="106"/>
      <c r="R595" s="371"/>
      <c r="S595" s="370">
        <v>0</v>
      </c>
      <c r="T595" s="106"/>
      <c r="U595" s="106"/>
      <c r="V595" s="106"/>
      <c r="W595" s="106"/>
      <c r="X595" s="106"/>
      <c r="Y595" s="106"/>
      <c r="Z595" s="372" t="s">
        <v>1288</v>
      </c>
    </row>
    <row r="596" spans="1:26" ht="45" x14ac:dyDescent="0.25">
      <c r="A596" s="106">
        <v>594</v>
      </c>
      <c r="B596" s="168">
        <f t="shared" si="20"/>
        <v>45793</v>
      </c>
      <c r="C596" s="368">
        <f>YEAR(MC[[#This Row],[Date]])+IF(MONTH(MC[[#This Row],[Date]])&gt;=4,1,0)</f>
        <v>2026</v>
      </c>
      <c r="D596" s="369">
        <f>YEAR(MC[[#This Row],[Date]])</f>
        <v>2025</v>
      </c>
      <c r="E596" s="167"/>
      <c r="F596" s="106"/>
      <c r="G596" s="370" t="str">
        <f>TEXT(MC[[#This Row],[Date]],"mmm-yy")</f>
        <v>May-25</v>
      </c>
      <c r="H596" s="370">
        <f>DAY(EOMONTH(MC[[#This Row],[Month Year]],0))</f>
        <v>31</v>
      </c>
      <c r="I596" s="106"/>
      <c r="J596" s="106" t="s">
        <v>142</v>
      </c>
      <c r="K596" s="106"/>
      <c r="L596" s="106"/>
      <c r="M596" s="106"/>
      <c r="N596" s="106"/>
      <c r="O596" s="106"/>
      <c r="P596" s="106"/>
      <c r="Q596" s="106"/>
      <c r="R596" s="371"/>
      <c r="S596" s="370">
        <v>0</v>
      </c>
      <c r="T596" s="106"/>
      <c r="U596" s="106"/>
      <c r="V596" s="106"/>
      <c r="W596" s="106"/>
      <c r="X596" s="106"/>
      <c r="Y596" s="106"/>
      <c r="Z596" s="372" t="s">
        <v>1289</v>
      </c>
    </row>
    <row r="597" spans="1:26" x14ac:dyDescent="0.25">
      <c r="A597" s="106">
        <v>595</v>
      </c>
      <c r="B597" s="168">
        <f t="shared" si="20"/>
        <v>45794</v>
      </c>
      <c r="C597" s="368">
        <f>YEAR(MC[[#This Row],[Date]])+IF(MONTH(MC[[#This Row],[Date]])&gt;=4,1,0)</f>
        <v>2026</v>
      </c>
      <c r="D597" s="369">
        <f>YEAR(MC[[#This Row],[Date]])</f>
        <v>2025</v>
      </c>
      <c r="E597" s="167"/>
      <c r="F597" s="106"/>
      <c r="G597" s="370" t="str">
        <f>TEXT(MC[[#This Row],[Date]],"mmm-yy")</f>
        <v>May-25</v>
      </c>
      <c r="H597" s="370">
        <f>DAY(EOMONTH(MC[[#This Row],[Month Year]],0))</f>
        <v>31</v>
      </c>
      <c r="I597" s="106"/>
      <c r="J597" s="106" t="s">
        <v>142</v>
      </c>
      <c r="K597" s="106">
        <v>5500</v>
      </c>
      <c r="L597" s="106"/>
      <c r="M597" s="106"/>
      <c r="N597" s="106">
        <v>3250</v>
      </c>
      <c r="O597" s="106"/>
      <c r="P597" s="106">
        <v>4000</v>
      </c>
      <c r="Q597" s="106"/>
      <c r="R597" s="371">
        <v>2250</v>
      </c>
      <c r="S597" s="370">
        <v>15000</v>
      </c>
      <c r="T597" s="107">
        <v>0.375</v>
      </c>
      <c r="U597" s="107">
        <v>0.5</v>
      </c>
      <c r="V597" s="107">
        <v>0.58333333333333337</v>
      </c>
      <c r="W597" s="107">
        <v>0.75</v>
      </c>
      <c r="X597" s="106"/>
      <c r="Y597" s="106"/>
      <c r="Z597" s="372"/>
    </row>
    <row r="598" spans="1:26" x14ac:dyDescent="0.25">
      <c r="A598" s="106">
        <v>596</v>
      </c>
      <c r="B598" s="168">
        <f t="shared" si="20"/>
        <v>45795</v>
      </c>
      <c r="C598" s="368">
        <f>YEAR(MC[[#This Row],[Date]])+IF(MONTH(MC[[#This Row],[Date]])&gt;=4,1,0)</f>
        <v>2026</v>
      </c>
      <c r="D598" s="369">
        <f>YEAR(MC[[#This Row],[Date]])</f>
        <v>2025</v>
      </c>
      <c r="E598" s="167"/>
      <c r="F598" s="106"/>
      <c r="G598" s="370" t="str">
        <f>TEXT(MC[[#This Row],[Date]],"mmm-yy")</f>
        <v>May-25</v>
      </c>
      <c r="H598" s="370">
        <f>DAY(EOMONTH(MC[[#This Row],[Month Year]],0))</f>
        <v>31</v>
      </c>
      <c r="I598" s="106"/>
      <c r="J598" s="106" t="s">
        <v>142</v>
      </c>
      <c r="K598" s="106">
        <v>7750</v>
      </c>
      <c r="L598" s="106"/>
      <c r="M598" s="106"/>
      <c r="N598" s="106">
        <v>7250</v>
      </c>
      <c r="O598" s="106"/>
      <c r="P598" s="106">
        <v>7450</v>
      </c>
      <c r="Q598" s="106"/>
      <c r="R598" s="371">
        <v>3750</v>
      </c>
      <c r="S598" s="370">
        <v>26200</v>
      </c>
      <c r="T598" s="107">
        <v>0.375</v>
      </c>
      <c r="U598" s="107">
        <v>0.5</v>
      </c>
      <c r="V598" s="107">
        <v>0.58333333333333337</v>
      </c>
      <c r="W598" s="107">
        <v>0.75</v>
      </c>
      <c r="X598" s="106"/>
      <c r="Y598" s="106"/>
      <c r="Z598" s="372"/>
    </row>
    <row r="599" spans="1:26" x14ac:dyDescent="0.25">
      <c r="A599" s="106">
        <v>597</v>
      </c>
      <c r="B599" s="168">
        <f t="shared" si="20"/>
        <v>45796</v>
      </c>
      <c r="C599" s="368">
        <f>YEAR(MC[[#This Row],[Date]])+IF(MONTH(MC[[#This Row],[Date]])&gt;=4,1,0)</f>
        <v>2026</v>
      </c>
      <c r="D599" s="369">
        <f>YEAR(MC[[#This Row],[Date]])</f>
        <v>2025</v>
      </c>
      <c r="E599" s="167"/>
      <c r="F599" s="106"/>
      <c r="G599" s="370" t="str">
        <f>TEXT(MC[[#This Row],[Date]],"mmm-yy")</f>
        <v>May-25</v>
      </c>
      <c r="H599" s="370">
        <f>DAY(EOMONTH(MC[[#This Row],[Month Year]],0))</f>
        <v>31</v>
      </c>
      <c r="I599" s="106"/>
      <c r="J599" s="106" t="s">
        <v>142</v>
      </c>
      <c r="K599" s="106">
        <v>7450</v>
      </c>
      <c r="L599" s="106"/>
      <c r="M599" s="106"/>
      <c r="N599" s="106">
        <v>7550</v>
      </c>
      <c r="O599" s="106"/>
      <c r="P599" s="106">
        <v>7250</v>
      </c>
      <c r="Q599" s="106"/>
      <c r="R599" s="371">
        <v>5250</v>
      </c>
      <c r="S599" s="370">
        <v>27500</v>
      </c>
      <c r="T599" s="107">
        <v>0.375</v>
      </c>
      <c r="U599" s="107">
        <v>0.5</v>
      </c>
      <c r="V599" s="107">
        <v>0.58333333333333337</v>
      </c>
      <c r="W599" s="107">
        <v>0.75</v>
      </c>
      <c r="X599" s="106"/>
      <c r="Y599" s="106"/>
      <c r="Z599" s="372"/>
    </row>
    <row r="600" spans="1:26" x14ac:dyDescent="0.25">
      <c r="A600" s="106">
        <v>598</v>
      </c>
      <c r="B600" s="168">
        <f t="shared" si="20"/>
        <v>45797</v>
      </c>
      <c r="C600" s="368">
        <f>YEAR(MC[[#This Row],[Date]])+IF(MONTH(MC[[#This Row],[Date]])&gt;=4,1,0)</f>
        <v>2026</v>
      </c>
      <c r="D600" s="369">
        <f>YEAR(MC[[#This Row],[Date]])</f>
        <v>2025</v>
      </c>
      <c r="E600" s="167"/>
      <c r="F600" s="106"/>
      <c r="G600" s="370" t="str">
        <f>TEXT(MC[[#This Row],[Date]],"mmm-yy")</f>
        <v>May-25</v>
      </c>
      <c r="H600" s="370">
        <f>DAY(EOMONTH(MC[[#This Row],[Month Year]],0))</f>
        <v>31</v>
      </c>
      <c r="I600" s="106"/>
      <c r="J600" s="106" t="s">
        <v>142</v>
      </c>
      <c r="K600" s="106"/>
      <c r="L600" s="106">
        <v>7650</v>
      </c>
      <c r="M600" s="106"/>
      <c r="N600" s="106">
        <v>1400</v>
      </c>
      <c r="O600" s="106">
        <v>5400</v>
      </c>
      <c r="P600" s="106"/>
      <c r="Q600" s="106"/>
      <c r="R600" s="371">
        <v>5100</v>
      </c>
      <c r="S600" s="370">
        <v>19550</v>
      </c>
      <c r="T600" s="107">
        <v>0.375</v>
      </c>
      <c r="U600" s="107">
        <v>0.5</v>
      </c>
      <c r="V600" s="107">
        <v>0.58333333333333337</v>
      </c>
      <c r="W600" s="107">
        <v>0.75</v>
      </c>
      <c r="X600" s="106"/>
      <c r="Y600" s="106"/>
      <c r="Z600" s="372"/>
    </row>
    <row r="601" spans="1:26" x14ac:dyDescent="0.25">
      <c r="A601" s="106">
        <v>599</v>
      </c>
      <c r="B601" s="168">
        <f t="shared" si="20"/>
        <v>45798</v>
      </c>
      <c r="C601" s="368">
        <f>YEAR(MC[[#This Row],[Date]])+IF(MONTH(MC[[#This Row],[Date]])&gt;=4,1,0)</f>
        <v>2026</v>
      </c>
      <c r="D601" s="369">
        <f>YEAR(MC[[#This Row],[Date]])</f>
        <v>2025</v>
      </c>
      <c r="E601" s="167"/>
      <c r="F601" s="106"/>
      <c r="G601" s="370" t="str">
        <f>TEXT(MC[[#This Row],[Date]],"mmm-yy")</f>
        <v>May-25</v>
      </c>
      <c r="H601" s="370">
        <f>DAY(EOMONTH(MC[[#This Row],[Month Year]],0))</f>
        <v>31</v>
      </c>
      <c r="I601" s="106"/>
      <c r="J601" s="106" t="s">
        <v>142</v>
      </c>
      <c r="K601" s="106"/>
      <c r="L601" s="106">
        <v>7400</v>
      </c>
      <c r="M601" s="106">
        <v>7700</v>
      </c>
      <c r="N601" s="106"/>
      <c r="O601" s="106">
        <v>5400</v>
      </c>
      <c r="P601" s="106">
        <v>1700</v>
      </c>
      <c r="Q601" s="106">
        <v>7750</v>
      </c>
      <c r="R601" s="371"/>
      <c r="S601" s="370">
        <v>29950</v>
      </c>
      <c r="T601" s="107">
        <v>0.375</v>
      </c>
      <c r="U601" s="107">
        <v>0.5</v>
      </c>
      <c r="V601" s="107">
        <v>0.58333333333333337</v>
      </c>
      <c r="W601" s="107">
        <v>0.75</v>
      </c>
      <c r="X601" s="106"/>
      <c r="Y601" s="106"/>
      <c r="Z601" s="372"/>
    </row>
    <row r="602" spans="1:26" x14ac:dyDescent="0.25">
      <c r="A602" s="106">
        <v>600</v>
      </c>
      <c r="B602" s="168">
        <f t="shared" si="20"/>
        <v>45799</v>
      </c>
      <c r="C602" s="368">
        <f>YEAR(MC[[#This Row],[Date]])+IF(MONTH(MC[[#This Row],[Date]])&gt;=4,1,0)</f>
        <v>2026</v>
      </c>
      <c r="D602" s="369">
        <f>YEAR(MC[[#This Row],[Date]])</f>
        <v>2025</v>
      </c>
      <c r="E602" s="167"/>
      <c r="F602" s="106"/>
      <c r="G602" s="370" t="str">
        <f>TEXT(MC[[#This Row],[Date]],"mmm-yy")</f>
        <v>May-25</v>
      </c>
      <c r="H602" s="370">
        <f>DAY(EOMONTH(MC[[#This Row],[Month Year]],0))</f>
        <v>31</v>
      </c>
      <c r="I602" s="106"/>
      <c r="J602" s="106" t="s">
        <v>142</v>
      </c>
      <c r="K602" s="106"/>
      <c r="L602" s="106">
        <v>4600</v>
      </c>
      <c r="M602" s="106">
        <v>5950</v>
      </c>
      <c r="N602" s="106"/>
      <c r="O602" s="106">
        <v>7000</v>
      </c>
      <c r="P602" s="106"/>
      <c r="Q602" s="106">
        <v>5100</v>
      </c>
      <c r="R602" s="371"/>
      <c r="S602" s="370">
        <v>22650</v>
      </c>
      <c r="T602" s="107">
        <v>0.375</v>
      </c>
      <c r="U602" s="107">
        <v>0.5</v>
      </c>
      <c r="V602" s="107">
        <v>0.58333333333333337</v>
      </c>
      <c r="W602" s="107">
        <v>0.75</v>
      </c>
      <c r="X602" s="106"/>
      <c r="Y602" s="106"/>
      <c r="Z602" s="372"/>
    </row>
    <row r="603" spans="1:26" x14ac:dyDescent="0.25">
      <c r="A603" s="106">
        <v>601</v>
      </c>
      <c r="B603" s="168">
        <f t="shared" si="20"/>
        <v>45800</v>
      </c>
      <c r="C603" s="368">
        <f>YEAR(MC[[#This Row],[Date]])+IF(MONTH(MC[[#This Row],[Date]])&gt;=4,1,0)</f>
        <v>2026</v>
      </c>
      <c r="D603" s="369">
        <f>YEAR(MC[[#This Row],[Date]])</f>
        <v>2025</v>
      </c>
      <c r="E603" s="167"/>
      <c r="F603" s="106"/>
      <c r="G603" s="370" t="str">
        <f>TEXT(MC[[#This Row],[Date]],"mmm-yy")</f>
        <v>May-25</v>
      </c>
      <c r="H603" s="370">
        <f>DAY(EOMONTH(MC[[#This Row],[Month Year]],0))</f>
        <v>31</v>
      </c>
      <c r="I603" s="106"/>
      <c r="J603" s="106" t="s">
        <v>142</v>
      </c>
      <c r="K603" s="106"/>
      <c r="L603" s="106"/>
      <c r="M603" s="106"/>
      <c r="N603" s="106"/>
      <c r="O603" s="106">
        <v>3900</v>
      </c>
      <c r="P603" s="106"/>
      <c r="Q603" s="106">
        <v>3250</v>
      </c>
      <c r="R603" s="371">
        <v>3500</v>
      </c>
      <c r="S603" s="370">
        <v>10650</v>
      </c>
      <c r="T603" s="107">
        <v>0.375</v>
      </c>
      <c r="U603" s="107">
        <v>0.5</v>
      </c>
      <c r="V603" s="107">
        <v>0.58333333333333337</v>
      </c>
      <c r="W603" s="107">
        <v>0.75</v>
      </c>
      <c r="X603" s="106"/>
      <c r="Y603" s="106"/>
      <c r="Z603" s="372"/>
    </row>
    <row r="604" spans="1:26" x14ac:dyDescent="0.25">
      <c r="A604" s="106">
        <v>602</v>
      </c>
      <c r="B604" s="168">
        <f t="shared" si="20"/>
        <v>45801</v>
      </c>
      <c r="C604" s="368">
        <f>YEAR(MC[[#This Row],[Date]])+IF(MONTH(MC[[#This Row],[Date]])&gt;=4,1,0)</f>
        <v>2026</v>
      </c>
      <c r="D604" s="369">
        <f>YEAR(MC[[#This Row],[Date]])</f>
        <v>2025</v>
      </c>
      <c r="E604" s="167"/>
      <c r="F604" s="106"/>
      <c r="G604" s="370" t="str">
        <f>TEXT(MC[[#This Row],[Date]],"mmm-yy")</f>
        <v>May-25</v>
      </c>
      <c r="H604" s="370">
        <f>DAY(EOMONTH(MC[[#This Row],[Month Year]],0))</f>
        <v>31</v>
      </c>
      <c r="I604" s="106"/>
      <c r="J604" s="106" t="s">
        <v>142</v>
      </c>
      <c r="K604" s="106"/>
      <c r="L604" s="106"/>
      <c r="M604" s="106"/>
      <c r="N604" s="106">
        <v>3000</v>
      </c>
      <c r="O604" s="106">
        <v>3650</v>
      </c>
      <c r="P604" s="106"/>
      <c r="Q604" s="106"/>
      <c r="R604" s="371">
        <v>3400</v>
      </c>
      <c r="S604" s="370">
        <v>10050</v>
      </c>
      <c r="T604" s="107">
        <v>0.375</v>
      </c>
      <c r="U604" s="107">
        <v>0.5</v>
      </c>
      <c r="V604" s="107">
        <v>0.58333333333333337</v>
      </c>
      <c r="W604" s="107">
        <v>0.75</v>
      </c>
      <c r="X604" s="106"/>
      <c r="Y604" s="106"/>
      <c r="Z604" s="372"/>
    </row>
    <row r="605" spans="1:26" x14ac:dyDescent="0.25">
      <c r="A605" s="106">
        <v>603</v>
      </c>
      <c r="B605" s="168">
        <f t="shared" si="20"/>
        <v>45802</v>
      </c>
      <c r="C605" s="368">
        <f>YEAR(MC[[#This Row],[Date]])+IF(MONTH(MC[[#This Row],[Date]])&gt;=4,1,0)</f>
        <v>2026</v>
      </c>
      <c r="D605" s="369">
        <f>YEAR(MC[[#This Row],[Date]])</f>
        <v>2025</v>
      </c>
      <c r="E605" s="167"/>
      <c r="F605" s="106"/>
      <c r="G605" s="370" t="str">
        <f>TEXT(MC[[#This Row],[Date]],"mmm-yy")</f>
        <v>May-25</v>
      </c>
      <c r="H605" s="370">
        <f>DAY(EOMONTH(MC[[#This Row],[Month Year]],0))</f>
        <v>31</v>
      </c>
      <c r="I605" s="106"/>
      <c r="J605" s="106" t="s">
        <v>142</v>
      </c>
      <c r="K605" s="106">
        <v>7600</v>
      </c>
      <c r="L605" s="106"/>
      <c r="M605" s="106"/>
      <c r="N605" s="106">
        <v>7600</v>
      </c>
      <c r="O605" s="106"/>
      <c r="P605" s="106"/>
      <c r="Q605" s="106"/>
      <c r="R605" s="371">
        <v>7550</v>
      </c>
      <c r="S605" s="370">
        <v>22750</v>
      </c>
      <c r="T605" s="107">
        <v>0.375</v>
      </c>
      <c r="U605" s="107">
        <v>0.5</v>
      </c>
      <c r="V605" s="107">
        <v>0.58333333333333337</v>
      </c>
      <c r="W605" s="107">
        <v>0.75</v>
      </c>
      <c r="X605" s="106"/>
      <c r="Y605" s="106"/>
      <c r="Z605" s="372"/>
    </row>
    <row r="606" spans="1:26" x14ac:dyDescent="0.25">
      <c r="A606" s="106">
        <v>604</v>
      </c>
      <c r="B606" s="168">
        <f t="shared" si="20"/>
        <v>45803</v>
      </c>
      <c r="C606" s="368">
        <f>YEAR(MC[[#This Row],[Date]])+IF(MONTH(MC[[#This Row],[Date]])&gt;=4,1,0)</f>
        <v>2026</v>
      </c>
      <c r="D606" s="369">
        <f>YEAR(MC[[#This Row],[Date]])</f>
        <v>2025</v>
      </c>
      <c r="E606" s="167"/>
      <c r="F606" s="106"/>
      <c r="G606" s="370" t="str">
        <f>TEXT(MC[[#This Row],[Date]],"mmm-yy")</f>
        <v>May-25</v>
      </c>
      <c r="H606" s="370">
        <f>DAY(EOMONTH(MC[[#This Row],[Month Year]],0))</f>
        <v>31</v>
      </c>
      <c r="I606" s="106"/>
      <c r="J606" s="106" t="s">
        <v>142</v>
      </c>
      <c r="K606" s="106"/>
      <c r="L606" s="106"/>
      <c r="M606" s="106"/>
      <c r="N606" s="106"/>
      <c r="O606" s="106"/>
      <c r="P606" s="106"/>
      <c r="Q606" s="106"/>
      <c r="R606" s="371"/>
      <c r="S606" s="370">
        <v>0</v>
      </c>
      <c r="T606" s="106"/>
      <c r="U606" s="106"/>
      <c r="V606" s="106"/>
      <c r="W606" s="106"/>
      <c r="X606" s="106"/>
      <c r="Y606" s="106"/>
      <c r="Z606" s="372"/>
    </row>
    <row r="607" spans="1:26" x14ac:dyDescent="0.25">
      <c r="A607" s="106">
        <v>605</v>
      </c>
      <c r="B607" s="168">
        <f t="shared" si="20"/>
        <v>45804</v>
      </c>
      <c r="C607" s="368">
        <f>YEAR(MC[[#This Row],[Date]])+IF(MONTH(MC[[#This Row],[Date]])&gt;=4,1,0)</f>
        <v>2026</v>
      </c>
      <c r="D607" s="369">
        <f>YEAR(MC[[#This Row],[Date]])</f>
        <v>2025</v>
      </c>
      <c r="E607" s="167"/>
      <c r="F607" s="106"/>
      <c r="G607" s="370" t="str">
        <f>TEXT(MC[[#This Row],[Date]],"mmm-yy")</f>
        <v>May-25</v>
      </c>
      <c r="H607" s="370">
        <f>DAY(EOMONTH(MC[[#This Row],[Month Year]],0))</f>
        <v>31</v>
      </c>
      <c r="I607" s="106"/>
      <c r="J607" s="106" t="s">
        <v>142</v>
      </c>
      <c r="K607" s="106"/>
      <c r="L607" s="106"/>
      <c r="M607" s="106"/>
      <c r="N607" s="106"/>
      <c r="O607" s="106"/>
      <c r="P607" s="106"/>
      <c r="Q607" s="106"/>
      <c r="R607" s="371"/>
      <c r="S607" s="370">
        <v>0</v>
      </c>
      <c r="T607" s="106"/>
      <c r="U607" s="106"/>
      <c r="V607" s="106"/>
      <c r="W607" s="106"/>
      <c r="X607" s="106"/>
      <c r="Y607" s="106"/>
      <c r="Z607" s="372"/>
    </row>
    <row r="608" spans="1:26" x14ac:dyDescent="0.25">
      <c r="A608" s="106">
        <v>606</v>
      </c>
      <c r="B608" s="168">
        <f t="shared" si="20"/>
        <v>45805</v>
      </c>
      <c r="C608" s="368">
        <f>YEAR(MC[[#This Row],[Date]])+IF(MONTH(MC[[#This Row],[Date]])&gt;=4,1,0)</f>
        <v>2026</v>
      </c>
      <c r="D608" s="369">
        <f>YEAR(MC[[#This Row],[Date]])</f>
        <v>2025</v>
      </c>
      <c r="E608" s="167"/>
      <c r="F608" s="106"/>
      <c r="G608" s="370" t="str">
        <f>TEXT(MC[[#This Row],[Date]],"mmm-yy")</f>
        <v>May-25</v>
      </c>
      <c r="H608" s="370">
        <f>DAY(EOMONTH(MC[[#This Row],[Month Year]],0))</f>
        <v>31</v>
      </c>
      <c r="I608" s="106"/>
      <c r="J608" s="106" t="s">
        <v>142</v>
      </c>
      <c r="K608" s="106"/>
      <c r="L608" s="106">
        <v>7000</v>
      </c>
      <c r="M608" s="106">
        <v>3500</v>
      </c>
      <c r="N608" s="106"/>
      <c r="O608" s="106">
        <v>5250</v>
      </c>
      <c r="P608" s="106"/>
      <c r="Q608" s="106">
        <v>4000</v>
      </c>
      <c r="R608" s="371"/>
      <c r="S608" s="370">
        <v>19750</v>
      </c>
      <c r="T608" s="107">
        <v>0.375</v>
      </c>
      <c r="U608" s="107">
        <v>0.5</v>
      </c>
      <c r="V608" s="107">
        <v>0.58333333333333337</v>
      </c>
      <c r="W608" s="107">
        <v>0.75</v>
      </c>
      <c r="X608" s="106"/>
      <c r="Y608" s="106"/>
      <c r="Z608" s="372"/>
    </row>
    <row r="609" spans="1:26" x14ac:dyDescent="0.25">
      <c r="A609" s="106">
        <v>607</v>
      </c>
      <c r="B609" s="168">
        <f t="shared" si="20"/>
        <v>45806</v>
      </c>
      <c r="C609" s="368">
        <f>YEAR(MC[[#This Row],[Date]])+IF(MONTH(MC[[#This Row],[Date]])&gt;=4,1,0)</f>
        <v>2026</v>
      </c>
      <c r="D609" s="369">
        <f>YEAR(MC[[#This Row],[Date]])</f>
        <v>2025</v>
      </c>
      <c r="E609" s="167"/>
      <c r="F609" s="106"/>
      <c r="G609" s="370" t="str">
        <f>TEXT(MC[[#This Row],[Date]],"mmm-yy")</f>
        <v>May-25</v>
      </c>
      <c r="H609" s="370">
        <f>DAY(EOMONTH(MC[[#This Row],[Month Year]],0))</f>
        <v>31</v>
      </c>
      <c r="I609" s="106"/>
      <c r="J609" s="106" t="s">
        <v>142</v>
      </c>
      <c r="K609" s="106"/>
      <c r="L609" s="106"/>
      <c r="M609" s="106"/>
      <c r="N609" s="106"/>
      <c r="O609" s="106"/>
      <c r="P609" s="106"/>
      <c r="Q609" s="106"/>
      <c r="R609" s="371"/>
      <c r="S609" s="370">
        <v>0</v>
      </c>
      <c r="T609" s="106"/>
      <c r="U609" s="106"/>
      <c r="V609" s="106"/>
      <c r="W609" s="106"/>
      <c r="X609" s="106"/>
      <c r="Y609" s="106"/>
      <c r="Z609" s="372"/>
    </row>
    <row r="610" spans="1:26" x14ac:dyDescent="0.25">
      <c r="A610" s="106">
        <v>608</v>
      </c>
      <c r="B610" s="168">
        <f t="shared" si="20"/>
        <v>45807</v>
      </c>
      <c r="C610" s="368">
        <f>YEAR(MC[[#This Row],[Date]])+IF(MONTH(MC[[#This Row],[Date]])&gt;=4,1,0)</f>
        <v>2026</v>
      </c>
      <c r="D610" s="369">
        <f>YEAR(MC[[#This Row],[Date]])</f>
        <v>2025</v>
      </c>
      <c r="E610" s="167"/>
      <c r="F610" s="106"/>
      <c r="G610" s="370" t="str">
        <f>TEXT(MC[[#This Row],[Date]],"mmm-yy")</f>
        <v>May-25</v>
      </c>
      <c r="H610" s="370">
        <f>DAY(EOMONTH(MC[[#This Row],[Month Year]],0))</f>
        <v>31</v>
      </c>
      <c r="I610" s="106"/>
      <c r="J610" s="106" t="s">
        <v>142</v>
      </c>
      <c r="K610" s="106"/>
      <c r="L610" s="106">
        <v>4400</v>
      </c>
      <c r="M610" s="106"/>
      <c r="N610" s="106"/>
      <c r="O610" s="106"/>
      <c r="P610" s="106">
        <v>6900</v>
      </c>
      <c r="Q610" s="106"/>
      <c r="R610" s="371"/>
      <c r="S610" s="370">
        <v>11300</v>
      </c>
      <c r="T610" s="107">
        <v>0.375</v>
      </c>
      <c r="U610" s="107">
        <v>0.5</v>
      </c>
      <c r="V610" s="107">
        <v>0.58333333333333337</v>
      </c>
      <c r="W610" s="107">
        <v>0.75</v>
      </c>
      <c r="X610" s="106"/>
      <c r="Y610" s="106"/>
      <c r="Z610" s="372"/>
    </row>
    <row r="611" spans="1:26" x14ac:dyDescent="0.25">
      <c r="A611" s="106">
        <v>609</v>
      </c>
      <c r="B611" s="168">
        <f t="shared" si="20"/>
        <v>45808</v>
      </c>
      <c r="C611" s="368">
        <f>YEAR(MC[[#This Row],[Date]])+IF(MONTH(MC[[#This Row],[Date]])&gt;=4,1,0)</f>
        <v>2026</v>
      </c>
      <c r="D611" s="369">
        <f>YEAR(MC[[#This Row],[Date]])</f>
        <v>2025</v>
      </c>
      <c r="E611" s="167"/>
      <c r="F611" s="106"/>
      <c r="G611" s="370" t="str">
        <f>TEXT(MC[[#This Row],[Date]],"mmm-yy")</f>
        <v>May-25</v>
      </c>
      <c r="H611" s="370">
        <f>DAY(EOMONTH(MC[[#This Row],[Month Year]],0))</f>
        <v>31</v>
      </c>
      <c r="I611" s="106"/>
      <c r="J611" s="106" t="s">
        <v>142</v>
      </c>
      <c r="K611" s="106"/>
      <c r="L611" s="106">
        <v>7000</v>
      </c>
      <c r="M611" s="106">
        <v>7250</v>
      </c>
      <c r="N611" s="106"/>
      <c r="O611" s="106"/>
      <c r="P611" s="106">
        <v>7000</v>
      </c>
      <c r="Q611" s="106">
        <v>8250</v>
      </c>
      <c r="R611" s="371"/>
      <c r="S611" s="370">
        <v>29500</v>
      </c>
      <c r="T611" s="107">
        <v>0.375</v>
      </c>
      <c r="U611" s="107">
        <v>0.5</v>
      </c>
      <c r="V611" s="107">
        <v>0.58333333333333337</v>
      </c>
      <c r="W611" s="107">
        <v>0.75</v>
      </c>
      <c r="X611" s="106"/>
      <c r="Y611" s="106"/>
      <c r="Z611" s="372"/>
    </row>
    <row r="612" spans="1:26" x14ac:dyDescent="0.25">
      <c r="A612" s="106">
        <v>610</v>
      </c>
      <c r="B612" s="168">
        <f t="shared" si="20"/>
        <v>45809</v>
      </c>
      <c r="C612" s="368">
        <f>YEAR(MC[[#This Row],[Date]])+IF(MONTH(MC[[#This Row],[Date]])&gt;=4,1,0)</f>
        <v>2026</v>
      </c>
      <c r="D612" s="369">
        <f>YEAR(MC[[#This Row],[Date]])</f>
        <v>2025</v>
      </c>
      <c r="E612" s="167"/>
      <c r="F612" s="106"/>
      <c r="G612" s="370" t="str">
        <f>TEXT(MC[[#This Row],[Date]],"mmm-yy")</f>
        <v>Jun-25</v>
      </c>
      <c r="H612" s="370">
        <f>DAY(EOMONTH(MC[[#This Row],[Month Year]],0))</f>
        <v>30</v>
      </c>
      <c r="I612" s="106"/>
      <c r="J612" s="106" t="s">
        <v>142</v>
      </c>
      <c r="K612" s="106"/>
      <c r="L612" s="106">
        <v>8250</v>
      </c>
      <c r="M612" s="106">
        <v>7250</v>
      </c>
      <c r="N612" s="106"/>
      <c r="O612" s="106"/>
      <c r="P612" s="106">
        <v>5400</v>
      </c>
      <c r="Q612" s="106">
        <v>6600</v>
      </c>
      <c r="R612" s="371"/>
      <c r="S612" s="370">
        <v>27500</v>
      </c>
      <c r="T612" s="107">
        <v>0.375</v>
      </c>
      <c r="U612" s="107">
        <v>0.5</v>
      </c>
      <c r="V612" s="107">
        <v>0.58333333333333337</v>
      </c>
      <c r="W612" s="107">
        <v>0.75</v>
      </c>
      <c r="X612" s="106"/>
      <c r="Y612" s="106"/>
      <c r="Z612" s="372"/>
    </row>
    <row r="613" spans="1:26" x14ac:dyDescent="0.25">
      <c r="A613" s="106">
        <v>611</v>
      </c>
      <c r="B613" s="168">
        <f t="shared" si="20"/>
        <v>45810</v>
      </c>
      <c r="C613" s="368">
        <f>YEAR(MC[[#This Row],[Date]])+IF(MONTH(MC[[#This Row],[Date]])&gt;=4,1,0)</f>
        <v>2026</v>
      </c>
      <c r="D613" s="369">
        <f>YEAR(MC[[#This Row],[Date]])</f>
        <v>2025</v>
      </c>
      <c r="E613" s="167"/>
      <c r="F613" s="106"/>
      <c r="G613" s="370" t="str">
        <f>TEXT(MC[[#This Row],[Date]],"mmm-yy")</f>
        <v>Jun-25</v>
      </c>
      <c r="H613" s="370">
        <f>DAY(EOMONTH(MC[[#This Row],[Month Year]],0))</f>
        <v>30</v>
      </c>
      <c r="I613" s="106"/>
      <c r="J613" s="106" t="s">
        <v>142</v>
      </c>
      <c r="K613" s="106">
        <v>6000</v>
      </c>
      <c r="L613" s="106"/>
      <c r="M613" s="106">
        <v>6400</v>
      </c>
      <c r="N613" s="106">
        <v>2400</v>
      </c>
      <c r="O613" s="106"/>
      <c r="P613" s="106">
        <v>6050</v>
      </c>
      <c r="Q613" s="106">
        <v>1100</v>
      </c>
      <c r="R613" s="371">
        <v>4500</v>
      </c>
      <c r="S613" s="370">
        <v>26450</v>
      </c>
      <c r="T613" s="107">
        <v>0.375</v>
      </c>
      <c r="U613" s="107">
        <v>0.5</v>
      </c>
      <c r="V613" s="107">
        <v>0.58333333333333337</v>
      </c>
      <c r="W613" s="107">
        <v>0.75</v>
      </c>
      <c r="X613" s="106"/>
      <c r="Y613" s="106"/>
      <c r="Z613" s="372"/>
    </row>
    <row r="614" spans="1:26" x14ac:dyDescent="0.25">
      <c r="A614" s="106">
        <v>612</v>
      </c>
      <c r="B614" s="168">
        <f t="shared" si="20"/>
        <v>45811</v>
      </c>
      <c r="C614" s="368">
        <f>YEAR(MC[[#This Row],[Date]])+IF(MONTH(MC[[#This Row],[Date]])&gt;=4,1,0)</f>
        <v>2026</v>
      </c>
      <c r="D614" s="369">
        <f>YEAR(MC[[#This Row],[Date]])</f>
        <v>2025</v>
      </c>
      <c r="E614" s="167"/>
      <c r="F614" s="106"/>
      <c r="G614" s="370" t="str">
        <f>TEXT(MC[[#This Row],[Date]],"mmm-yy")</f>
        <v>Jun-25</v>
      </c>
      <c r="H614" s="370">
        <f>DAY(EOMONTH(MC[[#This Row],[Month Year]],0))</f>
        <v>30</v>
      </c>
      <c r="I614" s="106"/>
      <c r="J614" s="106" t="s">
        <v>142</v>
      </c>
      <c r="K614" s="106">
        <v>6600</v>
      </c>
      <c r="L614" s="106"/>
      <c r="M614" s="106"/>
      <c r="N614" s="106">
        <v>7800</v>
      </c>
      <c r="O614" s="106">
        <v>7250</v>
      </c>
      <c r="P614" s="106"/>
      <c r="Q614" s="106"/>
      <c r="R614" s="371">
        <v>5500</v>
      </c>
      <c r="S614" s="370">
        <v>27150</v>
      </c>
      <c r="T614" s="107">
        <v>0.375</v>
      </c>
      <c r="U614" s="107">
        <v>0.5</v>
      </c>
      <c r="V614" s="107">
        <v>0.58333333333333337</v>
      </c>
      <c r="W614" s="107">
        <v>0.75</v>
      </c>
      <c r="X614" s="106"/>
      <c r="Y614" s="106"/>
      <c r="Z614" s="372"/>
    </row>
    <row r="615" spans="1:26" x14ac:dyDescent="0.25">
      <c r="A615" s="106">
        <v>613</v>
      </c>
      <c r="B615" s="168">
        <f t="shared" si="20"/>
        <v>45812</v>
      </c>
      <c r="C615" s="368">
        <f>YEAR(MC[[#This Row],[Date]])+IF(MONTH(MC[[#This Row],[Date]])&gt;=4,1,0)</f>
        <v>2026</v>
      </c>
      <c r="D615" s="369">
        <f>YEAR(MC[[#This Row],[Date]])</f>
        <v>2025</v>
      </c>
      <c r="E615" s="167"/>
      <c r="F615" s="106"/>
      <c r="G615" s="370" t="str">
        <f>TEXT(MC[[#This Row],[Date]],"mmm-yy")</f>
        <v>Jun-25</v>
      </c>
      <c r="H615" s="370">
        <f>DAY(EOMONTH(MC[[#This Row],[Month Year]],0))</f>
        <v>30</v>
      </c>
      <c r="I615" s="106"/>
      <c r="J615" s="106" t="s">
        <v>142</v>
      </c>
      <c r="K615" s="106">
        <v>7500</v>
      </c>
      <c r="L615" s="106"/>
      <c r="M615" s="106"/>
      <c r="N615" s="106">
        <v>7500</v>
      </c>
      <c r="O615" s="106">
        <v>7800</v>
      </c>
      <c r="P615" s="106"/>
      <c r="Q615" s="106"/>
      <c r="R615" s="371">
        <v>6600</v>
      </c>
      <c r="S615" s="370">
        <v>29400</v>
      </c>
      <c r="T615" s="107">
        <v>0.375</v>
      </c>
      <c r="U615" s="107">
        <v>0.5</v>
      </c>
      <c r="V615" s="107">
        <v>0.58333333333333337</v>
      </c>
      <c r="W615" s="107">
        <v>0.75</v>
      </c>
      <c r="X615" s="106"/>
      <c r="Y615" s="106"/>
      <c r="Z615" s="372"/>
    </row>
    <row r="616" spans="1:26" x14ac:dyDescent="0.25">
      <c r="A616" s="106">
        <v>614</v>
      </c>
      <c r="B616" s="168">
        <f t="shared" si="20"/>
        <v>45813</v>
      </c>
      <c r="C616" s="368">
        <f>YEAR(MC[[#This Row],[Date]])+IF(MONTH(MC[[#This Row],[Date]])&gt;=4,1,0)</f>
        <v>2026</v>
      </c>
      <c r="D616" s="369">
        <f>YEAR(MC[[#This Row],[Date]])</f>
        <v>2025</v>
      </c>
      <c r="E616" s="167"/>
      <c r="F616" s="106"/>
      <c r="G616" s="370" t="str">
        <f>TEXT(MC[[#This Row],[Date]],"mmm-yy")</f>
        <v>Jun-25</v>
      </c>
      <c r="H616" s="370">
        <f>DAY(EOMONTH(MC[[#This Row],[Month Year]],0))</f>
        <v>30</v>
      </c>
      <c r="I616" s="106"/>
      <c r="J616" s="106" t="s">
        <v>142</v>
      </c>
      <c r="K616" s="106">
        <v>4500</v>
      </c>
      <c r="L616" s="106">
        <v>7250</v>
      </c>
      <c r="M616" s="106">
        <v>7200</v>
      </c>
      <c r="N616" s="106">
        <v>1850</v>
      </c>
      <c r="O616" s="106"/>
      <c r="P616" s="106">
        <v>7800</v>
      </c>
      <c r="Q616" s="106">
        <v>7750</v>
      </c>
      <c r="R616" s="371"/>
      <c r="S616" s="370">
        <v>36350</v>
      </c>
      <c r="T616" s="107">
        <v>0.375</v>
      </c>
      <c r="U616" s="107">
        <v>0.5</v>
      </c>
      <c r="V616" s="107">
        <v>0.58333333333333337</v>
      </c>
      <c r="W616" s="107">
        <v>0.75</v>
      </c>
      <c r="X616" s="106"/>
      <c r="Y616" s="106"/>
      <c r="Z616" s="372"/>
    </row>
    <row r="617" spans="1:26" x14ac:dyDescent="0.25">
      <c r="A617" s="106">
        <v>615</v>
      </c>
      <c r="B617" s="168">
        <f t="shared" si="20"/>
        <v>45814</v>
      </c>
      <c r="C617" s="368">
        <f>YEAR(MC[[#This Row],[Date]])+IF(MONTH(MC[[#This Row],[Date]])&gt;=4,1,0)</f>
        <v>2026</v>
      </c>
      <c r="D617" s="369">
        <f>YEAR(MC[[#This Row],[Date]])</f>
        <v>2025</v>
      </c>
      <c r="E617" s="167"/>
      <c r="F617" s="106"/>
      <c r="G617" s="370" t="str">
        <f>TEXT(MC[[#This Row],[Date]],"mmm-yy")</f>
        <v>Jun-25</v>
      </c>
      <c r="H617" s="370">
        <f>DAY(EOMONTH(MC[[#This Row],[Month Year]],0))</f>
        <v>30</v>
      </c>
      <c r="I617" s="106"/>
      <c r="J617" s="106" t="s">
        <v>142</v>
      </c>
      <c r="K617" s="106"/>
      <c r="L617" s="106"/>
      <c r="M617" s="106"/>
      <c r="N617" s="106"/>
      <c r="O617" s="106"/>
      <c r="P617" s="106"/>
      <c r="Q617" s="106"/>
      <c r="R617" s="371"/>
      <c r="S617" s="370">
        <v>0</v>
      </c>
      <c r="T617" s="106"/>
      <c r="U617" s="106"/>
      <c r="V617" s="106"/>
      <c r="W617" s="106"/>
      <c r="X617" s="106"/>
      <c r="Y617" s="106"/>
      <c r="Z617" s="372"/>
    </row>
    <row r="618" spans="1:26" x14ac:dyDescent="0.25">
      <c r="A618" s="106">
        <v>616</v>
      </c>
      <c r="B618" s="168">
        <f t="shared" si="20"/>
        <v>45815</v>
      </c>
      <c r="C618" s="368">
        <f>YEAR(MC[[#This Row],[Date]])+IF(MONTH(MC[[#This Row],[Date]])&gt;=4,1,0)</f>
        <v>2026</v>
      </c>
      <c r="D618" s="369">
        <f>YEAR(MC[[#This Row],[Date]])</f>
        <v>2025</v>
      </c>
      <c r="E618" s="167"/>
      <c r="F618" s="106"/>
      <c r="G618" s="370" t="str">
        <f>TEXT(MC[[#This Row],[Date]],"mmm-yy")</f>
        <v>Jun-25</v>
      </c>
      <c r="H618" s="370">
        <f>DAY(EOMONTH(MC[[#This Row],[Month Year]],0))</f>
        <v>30</v>
      </c>
      <c r="I618" s="106"/>
      <c r="J618" s="106" t="s">
        <v>142</v>
      </c>
      <c r="K618" s="106"/>
      <c r="L618" s="106">
        <v>7800</v>
      </c>
      <c r="M618" s="106">
        <v>7200</v>
      </c>
      <c r="N618" s="106"/>
      <c r="O618" s="106"/>
      <c r="P618" s="106">
        <v>6500</v>
      </c>
      <c r="Q618" s="106">
        <v>7200</v>
      </c>
      <c r="R618" s="371"/>
      <c r="S618" s="370">
        <v>28700</v>
      </c>
      <c r="T618" s="107">
        <v>0.375</v>
      </c>
      <c r="U618" s="107">
        <v>0.5</v>
      </c>
      <c r="V618" s="107">
        <v>0.58333333333333337</v>
      </c>
      <c r="W618" s="107">
        <v>0.75</v>
      </c>
      <c r="X618" s="106"/>
      <c r="Y618" s="106"/>
      <c r="Z618" s="372"/>
    </row>
    <row r="619" spans="1:26" x14ac:dyDescent="0.25">
      <c r="A619" s="106">
        <v>617</v>
      </c>
      <c r="B619" s="168">
        <f t="shared" si="20"/>
        <v>45816</v>
      </c>
      <c r="C619" s="368">
        <f>YEAR(MC[[#This Row],[Date]])+IF(MONTH(MC[[#This Row],[Date]])&gt;=4,1,0)</f>
        <v>2026</v>
      </c>
      <c r="D619" s="369">
        <f>YEAR(MC[[#This Row],[Date]])</f>
        <v>2025</v>
      </c>
      <c r="E619" s="167"/>
      <c r="F619" s="106"/>
      <c r="G619" s="370" t="str">
        <f>TEXT(MC[[#This Row],[Date]],"mmm-yy")</f>
        <v>Jun-25</v>
      </c>
      <c r="H619" s="370">
        <f>DAY(EOMONTH(MC[[#This Row],[Month Year]],0))</f>
        <v>30</v>
      </c>
      <c r="I619" s="106"/>
      <c r="J619" s="106" t="s">
        <v>142</v>
      </c>
      <c r="K619" s="106">
        <v>1300</v>
      </c>
      <c r="L619" s="106">
        <v>2650</v>
      </c>
      <c r="M619" s="106"/>
      <c r="N619" s="106"/>
      <c r="O619" s="106"/>
      <c r="P619" s="106">
        <v>6100</v>
      </c>
      <c r="Q619" s="106">
        <v>1100</v>
      </c>
      <c r="R619" s="371">
        <v>4900</v>
      </c>
      <c r="S619" s="370">
        <v>16050</v>
      </c>
      <c r="T619" s="107">
        <v>0.375</v>
      </c>
      <c r="U619" s="107">
        <v>0.5</v>
      </c>
      <c r="V619" s="107">
        <v>0.58333333333333337</v>
      </c>
      <c r="W619" s="107">
        <v>0.75</v>
      </c>
      <c r="X619" s="106"/>
      <c r="Y619" s="106"/>
      <c r="Z619" s="372"/>
    </row>
    <row r="620" spans="1:26" x14ac:dyDescent="0.25">
      <c r="A620" s="106">
        <v>618</v>
      </c>
      <c r="B620" s="168">
        <f t="shared" si="20"/>
        <v>45817</v>
      </c>
      <c r="C620" s="368">
        <f>YEAR(MC[[#This Row],[Date]])+IF(MONTH(MC[[#This Row],[Date]])&gt;=4,1,0)</f>
        <v>2026</v>
      </c>
      <c r="D620" s="369">
        <f>YEAR(MC[[#This Row],[Date]])</f>
        <v>2025</v>
      </c>
      <c r="E620" s="167"/>
      <c r="F620" s="106"/>
      <c r="G620" s="370" t="str">
        <f>TEXT(MC[[#This Row],[Date]],"mmm-yy")</f>
        <v>Jun-25</v>
      </c>
      <c r="H620" s="370">
        <f>DAY(EOMONTH(MC[[#This Row],[Month Year]],0))</f>
        <v>30</v>
      </c>
      <c r="I620" s="106"/>
      <c r="J620" s="106" t="s">
        <v>142</v>
      </c>
      <c r="K620" s="106">
        <v>7300</v>
      </c>
      <c r="L620" s="106"/>
      <c r="M620" s="106">
        <v>4800</v>
      </c>
      <c r="N620" s="106">
        <v>3250</v>
      </c>
      <c r="O620" s="106">
        <v>8600</v>
      </c>
      <c r="P620" s="106"/>
      <c r="Q620" s="106"/>
      <c r="R620" s="371">
        <v>5000</v>
      </c>
      <c r="S620" s="370">
        <v>28950</v>
      </c>
      <c r="T620" s="107">
        <v>0.375</v>
      </c>
      <c r="U620" s="107">
        <v>0.5</v>
      </c>
      <c r="V620" s="107">
        <v>0.58333333333333337</v>
      </c>
      <c r="W620" s="107">
        <v>0.75</v>
      </c>
      <c r="X620" s="106"/>
      <c r="Y620" s="106"/>
      <c r="Z620" s="372"/>
    </row>
    <row r="621" spans="1:26" x14ac:dyDescent="0.25">
      <c r="A621" s="106">
        <v>619</v>
      </c>
      <c r="B621" s="168">
        <f t="shared" si="20"/>
        <v>45818</v>
      </c>
      <c r="C621" s="368">
        <f>YEAR(MC[[#This Row],[Date]])+IF(MONTH(MC[[#This Row],[Date]])&gt;=4,1,0)</f>
        <v>2026</v>
      </c>
      <c r="D621" s="369">
        <f>YEAR(MC[[#This Row],[Date]])</f>
        <v>2025</v>
      </c>
      <c r="E621" s="167"/>
      <c r="F621" s="106"/>
      <c r="G621" s="370" t="str">
        <f>TEXT(MC[[#This Row],[Date]],"mmm-yy")</f>
        <v>Jun-25</v>
      </c>
      <c r="H621" s="370">
        <f>DAY(EOMONTH(MC[[#This Row],[Month Year]],0))</f>
        <v>30</v>
      </c>
      <c r="I621" s="106"/>
      <c r="J621" s="106" t="s">
        <v>142</v>
      </c>
      <c r="K621" s="106">
        <v>5800</v>
      </c>
      <c r="L621" s="106"/>
      <c r="M621" s="106"/>
      <c r="N621" s="106">
        <v>7300</v>
      </c>
      <c r="O621" s="106">
        <v>8000</v>
      </c>
      <c r="P621" s="106"/>
      <c r="Q621" s="106"/>
      <c r="R621" s="371">
        <v>6750</v>
      </c>
      <c r="S621" s="370">
        <v>27850</v>
      </c>
      <c r="T621" s="107">
        <v>0.375</v>
      </c>
      <c r="U621" s="107">
        <v>0.5</v>
      </c>
      <c r="V621" s="107">
        <v>0.58333333333333337</v>
      </c>
      <c r="W621" s="107">
        <v>0.75</v>
      </c>
      <c r="X621" s="106"/>
      <c r="Y621" s="106"/>
      <c r="Z621" s="372"/>
    </row>
    <row r="622" spans="1:26" x14ac:dyDescent="0.25">
      <c r="A622" s="106">
        <v>620</v>
      </c>
      <c r="B622" s="168">
        <f t="shared" si="20"/>
        <v>45819</v>
      </c>
      <c r="C622" s="368">
        <f>YEAR(MC[[#This Row],[Date]])+IF(MONTH(MC[[#This Row],[Date]])&gt;=4,1,0)</f>
        <v>2026</v>
      </c>
      <c r="D622" s="369">
        <f>YEAR(MC[[#This Row],[Date]])</f>
        <v>2025</v>
      </c>
      <c r="E622" s="167"/>
      <c r="F622" s="106"/>
      <c r="G622" s="370" t="str">
        <f>TEXT(MC[[#This Row],[Date]],"mmm-yy")</f>
        <v>Jun-25</v>
      </c>
      <c r="H622" s="370">
        <f>DAY(EOMONTH(MC[[#This Row],[Month Year]],0))</f>
        <v>30</v>
      </c>
      <c r="I622" s="106"/>
      <c r="J622" s="106" t="s">
        <v>142</v>
      </c>
      <c r="K622" s="106">
        <v>5700</v>
      </c>
      <c r="L622" s="106">
        <v>2000</v>
      </c>
      <c r="M622" s="106">
        <v>4050</v>
      </c>
      <c r="N622" s="106">
        <v>7200</v>
      </c>
      <c r="O622" s="106">
        <v>3900</v>
      </c>
      <c r="P622" s="106"/>
      <c r="Q622" s="106"/>
      <c r="R622" s="371"/>
      <c r="S622" s="370">
        <v>22850</v>
      </c>
      <c r="T622" s="107">
        <v>0.375</v>
      </c>
      <c r="U622" s="107">
        <v>0.5</v>
      </c>
      <c r="V622" s="107">
        <v>0.58333333333333337</v>
      </c>
      <c r="W622" s="107">
        <v>0.75</v>
      </c>
      <c r="X622" s="106"/>
      <c r="Y622" s="106"/>
      <c r="Z622" s="372"/>
    </row>
    <row r="623" spans="1:26" x14ac:dyDescent="0.25">
      <c r="A623" s="106">
        <v>621</v>
      </c>
      <c r="B623" s="168">
        <f t="shared" si="20"/>
        <v>45820</v>
      </c>
      <c r="C623" s="368">
        <f>YEAR(MC[[#This Row],[Date]])+IF(MONTH(MC[[#This Row],[Date]])&gt;=4,1,0)</f>
        <v>2026</v>
      </c>
      <c r="D623" s="369">
        <f>YEAR(MC[[#This Row],[Date]])</f>
        <v>2025</v>
      </c>
      <c r="E623" s="167"/>
      <c r="F623" s="106"/>
      <c r="G623" s="370" t="str">
        <f>TEXT(MC[[#This Row],[Date]],"mmm-yy")</f>
        <v>Jun-25</v>
      </c>
      <c r="H623" s="370">
        <f>DAY(EOMONTH(MC[[#This Row],[Month Year]],0))</f>
        <v>30</v>
      </c>
      <c r="I623" s="106"/>
      <c r="J623" s="106" t="s">
        <v>142</v>
      </c>
      <c r="K623" s="106"/>
      <c r="L623" s="106">
        <v>7200</v>
      </c>
      <c r="M623" s="106">
        <v>7700</v>
      </c>
      <c r="N623" s="106">
        <v>1800</v>
      </c>
      <c r="O623" s="106"/>
      <c r="P623" s="106">
        <v>5450</v>
      </c>
      <c r="Q623" s="106">
        <v>7000</v>
      </c>
      <c r="R623" s="371"/>
      <c r="S623" s="370">
        <v>29150</v>
      </c>
      <c r="T623" s="107">
        <v>0.375</v>
      </c>
      <c r="U623" s="107">
        <v>0.5</v>
      </c>
      <c r="V623" s="107">
        <v>0.58333333333333337</v>
      </c>
      <c r="W623" s="107">
        <v>0.75</v>
      </c>
      <c r="X623" s="106"/>
      <c r="Y623" s="106"/>
      <c r="Z623" s="372"/>
    </row>
    <row r="624" spans="1:26" x14ac:dyDescent="0.25">
      <c r="A624" s="106">
        <v>622</v>
      </c>
      <c r="B624" s="168">
        <f t="shared" si="20"/>
        <v>45821</v>
      </c>
      <c r="C624" s="368">
        <f>YEAR(MC[[#This Row],[Date]])+IF(MONTH(MC[[#This Row],[Date]])&gt;=4,1,0)</f>
        <v>2026</v>
      </c>
      <c r="D624" s="369">
        <f>YEAR(MC[[#This Row],[Date]])</f>
        <v>2025</v>
      </c>
      <c r="E624" s="167"/>
      <c r="F624" s="106"/>
      <c r="G624" s="370" t="str">
        <f>TEXT(MC[[#This Row],[Date]],"mmm-yy")</f>
        <v>Jun-25</v>
      </c>
      <c r="H624" s="370">
        <f>DAY(EOMONTH(MC[[#This Row],[Month Year]],0))</f>
        <v>30</v>
      </c>
      <c r="I624" s="106"/>
      <c r="J624" s="106" t="s">
        <v>142</v>
      </c>
      <c r="K624" s="106"/>
      <c r="L624" s="106">
        <v>7500</v>
      </c>
      <c r="M624" s="106">
        <v>7600</v>
      </c>
      <c r="N624" s="106"/>
      <c r="O624" s="106"/>
      <c r="P624" s="106">
        <v>7700</v>
      </c>
      <c r="Q624" s="106">
        <v>7250</v>
      </c>
      <c r="R624" s="371"/>
      <c r="S624" s="370">
        <v>30050</v>
      </c>
      <c r="T624" s="107">
        <v>0.375</v>
      </c>
      <c r="U624" s="107">
        <v>0.5</v>
      </c>
      <c r="V624" s="107">
        <v>0.58333333333333337</v>
      </c>
      <c r="W624" s="107">
        <v>0.75</v>
      </c>
      <c r="X624" s="106"/>
      <c r="Y624" s="106"/>
      <c r="Z624" s="372"/>
    </row>
    <row r="625" spans="1:26" x14ac:dyDescent="0.25">
      <c r="A625" s="106">
        <v>623</v>
      </c>
      <c r="B625" s="168">
        <f t="shared" si="20"/>
        <v>45822</v>
      </c>
      <c r="C625" s="368">
        <f>YEAR(MC[[#This Row],[Date]])+IF(MONTH(MC[[#This Row],[Date]])&gt;=4,1,0)</f>
        <v>2026</v>
      </c>
      <c r="D625" s="369">
        <f>YEAR(MC[[#This Row],[Date]])</f>
        <v>2025</v>
      </c>
      <c r="E625" s="167"/>
      <c r="F625" s="106"/>
      <c r="G625" s="370" t="str">
        <f>TEXT(MC[[#This Row],[Date]],"mmm-yy")</f>
        <v>Jun-25</v>
      </c>
      <c r="H625" s="370">
        <f>DAY(EOMONTH(MC[[#This Row],[Month Year]],0))</f>
        <v>30</v>
      </c>
      <c r="I625" s="106"/>
      <c r="J625" s="106" t="s">
        <v>142</v>
      </c>
      <c r="K625" s="106">
        <v>4000</v>
      </c>
      <c r="L625" s="106">
        <v>3000</v>
      </c>
      <c r="M625" s="106"/>
      <c r="N625" s="106">
        <v>7500</v>
      </c>
      <c r="O625" s="106"/>
      <c r="P625" s="106">
        <v>7700</v>
      </c>
      <c r="Q625" s="106">
        <v>2300</v>
      </c>
      <c r="R625" s="371">
        <v>6300</v>
      </c>
      <c r="S625" s="370">
        <v>30800</v>
      </c>
      <c r="T625" s="107">
        <v>0.375</v>
      </c>
      <c r="U625" s="107">
        <v>0.5</v>
      </c>
      <c r="V625" s="107">
        <v>0.58333333333333337</v>
      </c>
      <c r="W625" s="107">
        <v>0.75</v>
      </c>
      <c r="X625" s="106"/>
      <c r="Y625" s="106"/>
      <c r="Z625" s="372"/>
    </row>
    <row r="626" spans="1:26" x14ac:dyDescent="0.25">
      <c r="A626" s="106">
        <v>624</v>
      </c>
      <c r="B626" s="168">
        <f t="shared" si="20"/>
        <v>45823</v>
      </c>
      <c r="C626" s="368">
        <f>YEAR(MC[[#This Row],[Date]])+IF(MONTH(MC[[#This Row],[Date]])&gt;=4,1,0)</f>
        <v>2026</v>
      </c>
      <c r="D626" s="369">
        <f>YEAR(MC[[#This Row],[Date]])</f>
        <v>2025</v>
      </c>
      <c r="E626" s="167"/>
      <c r="F626" s="106"/>
      <c r="G626" s="370" t="str">
        <f>TEXT(MC[[#This Row],[Date]],"mmm-yy")</f>
        <v>Jun-25</v>
      </c>
      <c r="H626" s="370">
        <f>DAY(EOMONTH(MC[[#This Row],[Month Year]],0))</f>
        <v>30</v>
      </c>
      <c r="I626" s="106"/>
      <c r="J626" s="106" t="s">
        <v>142</v>
      </c>
      <c r="K626" s="106">
        <v>8000</v>
      </c>
      <c r="L626" s="106"/>
      <c r="M626" s="106"/>
      <c r="N626" s="106">
        <v>9700</v>
      </c>
      <c r="O626" s="106">
        <v>7750</v>
      </c>
      <c r="P626" s="106"/>
      <c r="Q626" s="106"/>
      <c r="R626" s="371">
        <v>6000</v>
      </c>
      <c r="S626" s="370">
        <v>31450</v>
      </c>
      <c r="T626" s="107">
        <v>0.375</v>
      </c>
      <c r="U626" s="107">
        <v>0.5</v>
      </c>
      <c r="V626" s="107">
        <v>0.58333333333333337</v>
      </c>
      <c r="W626" s="107">
        <v>0.75</v>
      </c>
      <c r="X626" s="106"/>
      <c r="Y626" s="106"/>
      <c r="Z626" s="372"/>
    </row>
    <row r="627" spans="1:26" x14ac:dyDescent="0.25">
      <c r="A627" s="106">
        <v>625</v>
      </c>
      <c r="B627" s="168">
        <f t="shared" si="20"/>
        <v>45824</v>
      </c>
      <c r="C627" s="368">
        <f>YEAR(MC[[#This Row],[Date]])+IF(MONTH(MC[[#This Row],[Date]])&gt;=4,1,0)</f>
        <v>2026</v>
      </c>
      <c r="D627" s="369">
        <f>YEAR(MC[[#This Row],[Date]])</f>
        <v>2025</v>
      </c>
      <c r="E627" s="167"/>
      <c r="F627" s="106"/>
      <c r="G627" s="370" t="str">
        <f>TEXT(MC[[#This Row],[Date]],"mmm-yy")</f>
        <v>Jun-25</v>
      </c>
      <c r="H627" s="370">
        <f>DAY(EOMONTH(MC[[#This Row],[Month Year]],0))</f>
        <v>30</v>
      </c>
      <c r="I627" s="106"/>
      <c r="J627" s="106" t="s">
        <v>142</v>
      </c>
      <c r="K627" s="106">
        <v>8000</v>
      </c>
      <c r="L627" s="106"/>
      <c r="M627" s="106"/>
      <c r="N627" s="106">
        <v>3150</v>
      </c>
      <c r="O627" s="106">
        <v>6050</v>
      </c>
      <c r="P627" s="106">
        <v>4500</v>
      </c>
      <c r="Q627" s="106"/>
      <c r="R627" s="371">
        <v>6500</v>
      </c>
      <c r="S627" s="370">
        <v>28200</v>
      </c>
      <c r="T627" s="107">
        <v>0.375</v>
      </c>
      <c r="U627" s="107">
        <v>0.5</v>
      </c>
      <c r="V627" s="107">
        <v>0.58333333333333337</v>
      </c>
      <c r="W627" s="107">
        <v>0.75</v>
      </c>
      <c r="X627" s="106"/>
      <c r="Y627" s="106"/>
      <c r="Z627" s="372"/>
    </row>
    <row r="628" spans="1:26" x14ac:dyDescent="0.25">
      <c r="A628" s="106">
        <v>626</v>
      </c>
      <c r="B628" s="168">
        <f t="shared" si="20"/>
        <v>45825</v>
      </c>
      <c r="C628" s="368">
        <f>YEAR(MC[[#This Row],[Date]])+IF(MONTH(MC[[#This Row],[Date]])&gt;=4,1,0)</f>
        <v>2026</v>
      </c>
      <c r="D628" s="369">
        <f>YEAR(MC[[#This Row],[Date]])</f>
        <v>2025</v>
      </c>
      <c r="E628" s="167"/>
      <c r="F628" s="106"/>
      <c r="G628" s="370" t="str">
        <f>TEXT(MC[[#This Row],[Date]],"mmm-yy")</f>
        <v>Jun-25</v>
      </c>
      <c r="H628" s="370">
        <f>DAY(EOMONTH(MC[[#This Row],[Month Year]],0))</f>
        <v>30</v>
      </c>
      <c r="I628" s="106"/>
      <c r="J628" s="106" t="s">
        <v>142</v>
      </c>
      <c r="K628" s="106"/>
      <c r="L628" s="106">
        <v>7500</v>
      </c>
      <c r="M628" s="106"/>
      <c r="N628" s="106"/>
      <c r="O628" s="106">
        <v>6800</v>
      </c>
      <c r="P628" s="106">
        <v>7550</v>
      </c>
      <c r="Q628" s="106">
        <v>7100</v>
      </c>
      <c r="R628" s="371"/>
      <c r="S628" s="370">
        <v>28950</v>
      </c>
      <c r="T628" s="107">
        <v>0.375</v>
      </c>
      <c r="U628" s="107">
        <v>0.5</v>
      </c>
      <c r="V628" s="107">
        <v>0.58333333333333337</v>
      </c>
      <c r="W628" s="107">
        <v>0.75</v>
      </c>
      <c r="X628" s="106"/>
      <c r="Y628" s="106"/>
      <c r="Z628" s="372"/>
    </row>
    <row r="629" spans="1:26" x14ac:dyDescent="0.25">
      <c r="A629" s="106">
        <v>627</v>
      </c>
      <c r="B629" s="168">
        <f t="shared" si="20"/>
        <v>45826</v>
      </c>
      <c r="C629" s="368">
        <f>YEAR(MC[[#This Row],[Date]])+IF(MONTH(MC[[#This Row],[Date]])&gt;=4,1,0)</f>
        <v>2026</v>
      </c>
      <c r="D629" s="369">
        <f>YEAR(MC[[#This Row],[Date]])</f>
        <v>2025</v>
      </c>
      <c r="E629" s="167"/>
      <c r="F629" s="106"/>
      <c r="G629" s="370" t="str">
        <f>TEXT(MC[[#This Row],[Date]],"mmm-yy")</f>
        <v>Jun-25</v>
      </c>
      <c r="H629" s="370">
        <f>DAY(EOMONTH(MC[[#This Row],[Month Year]],0))</f>
        <v>30</v>
      </c>
      <c r="I629" s="106"/>
      <c r="J629" s="106" t="s">
        <v>142</v>
      </c>
      <c r="K629" s="106"/>
      <c r="L629" s="106">
        <v>7500</v>
      </c>
      <c r="M629" s="106">
        <v>7400</v>
      </c>
      <c r="N629" s="106"/>
      <c r="O629" s="106"/>
      <c r="P629" s="106">
        <v>7600</v>
      </c>
      <c r="Q629" s="106">
        <v>7150</v>
      </c>
      <c r="R629" s="371"/>
      <c r="S629" s="370">
        <v>29650</v>
      </c>
      <c r="T629" s="107">
        <v>0.375</v>
      </c>
      <c r="U629" s="107">
        <v>0.5</v>
      </c>
      <c r="V629" s="107">
        <v>0.58333333333333337</v>
      </c>
      <c r="W629" s="107">
        <v>0.75</v>
      </c>
      <c r="X629" s="106"/>
      <c r="Y629" s="106"/>
      <c r="Z629" s="372"/>
    </row>
    <row r="630" spans="1:26" x14ac:dyDescent="0.25">
      <c r="A630" s="106">
        <v>628</v>
      </c>
      <c r="B630" s="168">
        <f t="shared" si="20"/>
        <v>45827</v>
      </c>
      <c r="C630" s="368">
        <f>YEAR(MC[[#This Row],[Date]])+IF(MONTH(MC[[#This Row],[Date]])&gt;=4,1,0)</f>
        <v>2026</v>
      </c>
      <c r="D630" s="369">
        <f>YEAR(MC[[#This Row],[Date]])</f>
        <v>2025</v>
      </c>
      <c r="E630" s="167"/>
      <c r="F630" s="106"/>
      <c r="G630" s="370" t="str">
        <f>TEXT(MC[[#This Row],[Date]],"mmm-yy")</f>
        <v>Jun-25</v>
      </c>
      <c r="H630" s="370">
        <f>DAY(EOMONTH(MC[[#This Row],[Month Year]],0))</f>
        <v>30</v>
      </c>
      <c r="I630" s="106"/>
      <c r="J630" s="106" t="s">
        <v>142</v>
      </c>
      <c r="K630" s="106">
        <v>2500</v>
      </c>
      <c r="L630" s="106">
        <v>4500</v>
      </c>
      <c r="M630" s="106"/>
      <c r="N630" s="106"/>
      <c r="O630" s="106">
        <v>6600</v>
      </c>
      <c r="P630" s="106">
        <v>1100</v>
      </c>
      <c r="Q630" s="106">
        <v>6500</v>
      </c>
      <c r="R630" s="371"/>
      <c r="S630" s="370">
        <v>21200</v>
      </c>
      <c r="T630" s="107">
        <v>0.375</v>
      </c>
      <c r="U630" s="107">
        <v>0.5</v>
      </c>
      <c r="V630" s="107">
        <v>0.58333333333333337</v>
      </c>
      <c r="W630" s="107">
        <v>0.75</v>
      </c>
      <c r="X630" s="106"/>
      <c r="Y630" s="106"/>
      <c r="Z630" s="372"/>
    </row>
  </sheetData>
  <phoneticPr fontId="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KQ150"/>
  <sheetViews>
    <sheetView zoomScale="80" zoomScaleNormal="90" workbookViewId="0">
      <pane xSplit="3" ySplit="3" topLeftCell="D108" activePane="bottomRight" state="frozen"/>
      <selection pane="topRight" activeCell="C5" sqref="C5"/>
      <selection pane="bottomLeft" activeCell="A6" sqref="A6"/>
      <selection pane="bottomRight" activeCell="J120" sqref="J120:K120"/>
    </sheetView>
  </sheetViews>
  <sheetFormatPr defaultColWidth="8.85546875" defaultRowHeight="15" customHeight="1" x14ac:dyDescent="0.25"/>
  <cols>
    <col min="1" max="1" width="0.85546875" customWidth="1"/>
    <col min="2" max="2" width="14.42578125" style="1" customWidth="1"/>
    <col min="3" max="3" width="11.28515625" style="1" customWidth="1"/>
    <col min="4" max="4" width="12.42578125" style="1" customWidth="1"/>
    <col min="5" max="5" width="12.28515625" style="1" customWidth="1"/>
    <col min="6" max="6" width="13" style="1" customWidth="1"/>
    <col min="7" max="7" width="10.7109375" style="1" customWidth="1"/>
    <col min="8" max="8" width="8.7109375" style="1"/>
    <col min="10" max="10" width="12" customWidth="1"/>
    <col min="11" max="11" width="12.28515625" customWidth="1"/>
    <col min="12" max="12" width="13.85546875" customWidth="1"/>
    <col min="13" max="22" width="12.28515625" customWidth="1"/>
    <col min="23" max="23" width="16" customWidth="1"/>
    <col min="24" max="24" width="12.28515625" customWidth="1"/>
    <col min="25" max="25" width="13.85546875" customWidth="1"/>
    <col min="26" max="26" width="12.28515625" customWidth="1"/>
    <col min="27" max="27" width="11.85546875" customWidth="1"/>
    <col min="28" max="28" width="14.42578125" customWidth="1"/>
    <col min="29" max="31" width="12.28515625" customWidth="1"/>
    <col min="32" max="32" width="14" customWidth="1"/>
    <col min="33" max="36" width="12.28515625" customWidth="1"/>
    <col min="37" max="37" width="11.28515625" customWidth="1"/>
    <col min="38" max="38" width="16.85546875" customWidth="1"/>
    <col min="39" max="39" width="12.28515625" customWidth="1"/>
    <col min="40" max="40" width="16.42578125" customWidth="1"/>
    <col min="41" max="41" width="12.28515625" customWidth="1"/>
    <col min="42" max="43" width="14.42578125" customWidth="1"/>
    <col min="44" max="45" width="12.28515625" customWidth="1"/>
    <col min="46" max="46" width="14.42578125" customWidth="1"/>
    <col min="47" max="48" width="12.28515625" customWidth="1"/>
    <col min="49" max="49" width="11.42578125" customWidth="1"/>
    <col min="50" max="54" width="12.28515625" customWidth="1"/>
    <col min="55" max="55" width="14.42578125" customWidth="1"/>
    <col min="56" max="58" width="12.28515625" customWidth="1"/>
    <col min="59" max="59" width="15.42578125" customWidth="1"/>
    <col min="60" max="60" width="12.28515625" customWidth="1"/>
    <col min="61" max="61" width="14" customWidth="1"/>
    <col min="62" max="64" width="12.28515625" customWidth="1"/>
    <col min="65" max="65" width="14" customWidth="1"/>
    <col min="66" max="68" width="12.28515625" customWidth="1"/>
    <col min="69" max="69" width="16" customWidth="1"/>
    <col min="70" max="70" width="12.28515625" customWidth="1"/>
    <col min="71" max="71" width="15.42578125" customWidth="1"/>
    <col min="72" max="73" width="12.28515625" customWidth="1"/>
    <col min="74" max="75" width="13.42578125" customWidth="1"/>
    <col min="76" max="76" width="14.85546875" customWidth="1"/>
    <col min="77" max="86" width="12.28515625" customWidth="1"/>
    <col min="87" max="95" width="13" customWidth="1"/>
    <col min="96" max="96" width="14" customWidth="1"/>
    <col min="97" max="122" width="13" customWidth="1"/>
    <col min="123" max="123" width="17.28515625" customWidth="1"/>
    <col min="124" max="132" width="13" customWidth="1"/>
    <col min="133" max="133" width="15.28515625" customWidth="1"/>
    <col min="134" max="180" width="13" customWidth="1"/>
    <col min="181" max="181" width="16.28515625" customWidth="1"/>
    <col min="182" max="228" width="13" customWidth="1"/>
    <col min="229" max="229" width="16" customWidth="1"/>
    <col min="230" max="231" width="13" customWidth="1"/>
    <col min="232" max="233" width="15.42578125" customWidth="1"/>
    <col min="234" max="243" width="13" customWidth="1"/>
    <col min="244" max="244" width="15" customWidth="1"/>
    <col min="245" max="261" width="13" customWidth="1"/>
    <col min="262" max="262" width="15.85546875" customWidth="1"/>
    <col min="263" max="263" width="12.42578125" customWidth="1"/>
    <col min="264" max="264" width="11.42578125" bestFit="1" customWidth="1"/>
    <col min="265" max="265" width="12" bestFit="1" customWidth="1"/>
    <col min="266" max="266" width="12" customWidth="1"/>
    <col min="267" max="267" width="12.28515625" customWidth="1"/>
    <col min="268" max="268" width="14.140625" customWidth="1"/>
    <col min="269" max="269" width="13.140625" customWidth="1"/>
    <col min="270" max="270" width="11.42578125" customWidth="1"/>
    <col min="271" max="271" width="17.140625" customWidth="1"/>
    <col min="272" max="272" width="17.42578125" customWidth="1"/>
    <col min="273" max="274" width="14.28515625" customWidth="1"/>
    <col min="275" max="275" width="13.42578125" customWidth="1"/>
    <col min="276" max="276" width="14" customWidth="1"/>
    <col min="277" max="277" width="17.140625" customWidth="1"/>
    <col min="278" max="278" width="22.140625" customWidth="1"/>
    <col min="279" max="279" width="19.28515625" customWidth="1"/>
    <col min="280" max="280" width="16.28515625" customWidth="1"/>
    <col min="281" max="281" width="16" customWidth="1"/>
    <col min="282" max="286" width="11.85546875" customWidth="1"/>
    <col min="287" max="287" width="14.42578125" customWidth="1"/>
    <col min="288" max="288" width="11.85546875" customWidth="1"/>
    <col min="289" max="289" width="16.85546875" customWidth="1"/>
    <col min="290" max="290" width="11.85546875" customWidth="1"/>
    <col min="291" max="291" width="14.42578125" customWidth="1"/>
    <col min="292" max="292" width="15.42578125" bestFit="1" customWidth="1"/>
    <col min="293" max="293" width="17.42578125" style="1" customWidth="1"/>
    <col min="294" max="294" width="13.28515625" style="1" bestFit="1" customWidth="1"/>
    <col min="300" max="300" width="15.140625" bestFit="1" customWidth="1"/>
    <col min="301" max="301" width="12.28515625" bestFit="1" customWidth="1"/>
    <col min="302" max="302" width="10.7109375" customWidth="1"/>
    <col min="303" max="303" width="9.42578125" customWidth="1"/>
  </cols>
  <sheetData>
    <row r="1" spans="2:303" x14ac:dyDescent="0.25"/>
    <row r="2" spans="2:303" hidden="1" x14ac:dyDescent="0.25">
      <c r="B2" s="1">
        <v>1</v>
      </c>
      <c r="C2" s="1">
        <f t="shared" ref="C2:AH2" si="0">B2+1</f>
        <v>2</v>
      </c>
      <c r="D2" s="1">
        <f t="shared" si="0"/>
        <v>3</v>
      </c>
      <c r="E2" s="1">
        <f t="shared" si="0"/>
        <v>4</v>
      </c>
      <c r="F2" s="1">
        <f t="shared" si="0"/>
        <v>5</v>
      </c>
      <c r="G2" s="1">
        <f t="shared" si="0"/>
        <v>6</v>
      </c>
      <c r="H2" s="1">
        <f t="shared" si="0"/>
        <v>7</v>
      </c>
      <c r="I2" s="1">
        <f t="shared" si="0"/>
        <v>8</v>
      </c>
      <c r="J2" s="1">
        <f t="shared" si="0"/>
        <v>9</v>
      </c>
      <c r="K2" s="1">
        <f t="shared" si="0"/>
        <v>10</v>
      </c>
      <c r="L2" s="1">
        <f t="shared" si="0"/>
        <v>11</v>
      </c>
      <c r="M2" s="1">
        <f t="shared" si="0"/>
        <v>12</v>
      </c>
      <c r="N2" s="1">
        <f t="shared" si="0"/>
        <v>13</v>
      </c>
      <c r="O2" s="1">
        <f t="shared" si="0"/>
        <v>14</v>
      </c>
      <c r="P2" s="1">
        <f t="shared" si="0"/>
        <v>15</v>
      </c>
      <c r="Q2" s="1">
        <f t="shared" si="0"/>
        <v>16</v>
      </c>
      <c r="R2" s="1">
        <f t="shared" si="0"/>
        <v>17</v>
      </c>
      <c r="S2" s="1">
        <f t="shared" si="0"/>
        <v>18</v>
      </c>
      <c r="T2" s="1">
        <f t="shared" si="0"/>
        <v>19</v>
      </c>
      <c r="U2" s="1">
        <f t="shared" si="0"/>
        <v>20</v>
      </c>
      <c r="V2" s="1">
        <f t="shared" si="0"/>
        <v>21</v>
      </c>
      <c r="W2" s="1">
        <f t="shared" si="0"/>
        <v>22</v>
      </c>
      <c r="X2" s="1">
        <f t="shared" si="0"/>
        <v>23</v>
      </c>
      <c r="Y2" s="1">
        <f t="shared" si="0"/>
        <v>24</v>
      </c>
      <c r="Z2" s="1">
        <f t="shared" si="0"/>
        <v>25</v>
      </c>
      <c r="AA2" s="1">
        <f t="shared" si="0"/>
        <v>26</v>
      </c>
      <c r="AB2" s="1">
        <f t="shared" si="0"/>
        <v>27</v>
      </c>
      <c r="AC2" s="1">
        <f t="shared" si="0"/>
        <v>28</v>
      </c>
      <c r="AD2" s="1">
        <f t="shared" si="0"/>
        <v>29</v>
      </c>
      <c r="AE2" s="1">
        <f t="shared" si="0"/>
        <v>30</v>
      </c>
      <c r="AF2" s="1">
        <f t="shared" si="0"/>
        <v>31</v>
      </c>
      <c r="AG2" s="1">
        <f t="shared" si="0"/>
        <v>32</v>
      </c>
      <c r="AH2" s="1">
        <f t="shared" si="0"/>
        <v>33</v>
      </c>
      <c r="AI2" s="1">
        <f t="shared" ref="AI2:BN2" si="1">AH2+1</f>
        <v>34</v>
      </c>
      <c r="AJ2" s="1">
        <f t="shared" si="1"/>
        <v>35</v>
      </c>
      <c r="AK2" s="1">
        <f t="shared" si="1"/>
        <v>36</v>
      </c>
      <c r="AL2" s="1">
        <f t="shared" si="1"/>
        <v>37</v>
      </c>
      <c r="AM2" s="1">
        <f t="shared" si="1"/>
        <v>38</v>
      </c>
      <c r="AN2" s="1">
        <f t="shared" si="1"/>
        <v>39</v>
      </c>
      <c r="AO2" s="1">
        <f t="shared" si="1"/>
        <v>40</v>
      </c>
      <c r="AP2" s="1">
        <f t="shared" si="1"/>
        <v>41</v>
      </c>
      <c r="AQ2" s="1">
        <f t="shared" si="1"/>
        <v>42</v>
      </c>
      <c r="AR2" s="1">
        <f t="shared" si="1"/>
        <v>43</v>
      </c>
      <c r="AS2" s="1">
        <f t="shared" si="1"/>
        <v>44</v>
      </c>
      <c r="AT2" s="1">
        <f t="shared" si="1"/>
        <v>45</v>
      </c>
      <c r="AU2" s="1">
        <f t="shared" si="1"/>
        <v>46</v>
      </c>
      <c r="AV2" s="1">
        <f t="shared" si="1"/>
        <v>47</v>
      </c>
      <c r="AW2" s="1">
        <f t="shared" si="1"/>
        <v>48</v>
      </c>
      <c r="AX2" s="1">
        <f t="shared" si="1"/>
        <v>49</v>
      </c>
      <c r="AY2" s="1">
        <f t="shared" si="1"/>
        <v>50</v>
      </c>
      <c r="AZ2" s="1">
        <f t="shared" si="1"/>
        <v>51</v>
      </c>
      <c r="BA2" s="1">
        <f t="shared" si="1"/>
        <v>52</v>
      </c>
      <c r="BB2" s="1">
        <f t="shared" si="1"/>
        <v>53</v>
      </c>
      <c r="BC2" s="1">
        <f t="shared" si="1"/>
        <v>54</v>
      </c>
      <c r="BD2" s="1">
        <f t="shared" si="1"/>
        <v>55</v>
      </c>
      <c r="BE2" s="1">
        <f t="shared" si="1"/>
        <v>56</v>
      </c>
      <c r="BF2" s="1">
        <f t="shared" si="1"/>
        <v>57</v>
      </c>
      <c r="BG2" s="1">
        <f t="shared" si="1"/>
        <v>58</v>
      </c>
      <c r="BH2" s="1">
        <f t="shared" si="1"/>
        <v>59</v>
      </c>
      <c r="BI2" s="1">
        <f t="shared" si="1"/>
        <v>60</v>
      </c>
      <c r="BJ2" s="1">
        <f t="shared" si="1"/>
        <v>61</v>
      </c>
      <c r="BK2" s="1">
        <f t="shared" si="1"/>
        <v>62</v>
      </c>
      <c r="BL2" s="1">
        <f t="shared" si="1"/>
        <v>63</v>
      </c>
      <c r="BM2" s="1">
        <f t="shared" si="1"/>
        <v>64</v>
      </c>
      <c r="BN2" s="1">
        <f t="shared" si="1"/>
        <v>65</v>
      </c>
      <c r="BO2" s="1">
        <f t="shared" ref="BO2:BV2" si="2">BN2+1</f>
        <v>66</v>
      </c>
      <c r="BP2" s="1">
        <f t="shared" si="2"/>
        <v>67</v>
      </c>
      <c r="BQ2" s="1">
        <f t="shared" si="2"/>
        <v>68</v>
      </c>
      <c r="BR2" s="1">
        <f t="shared" si="2"/>
        <v>69</v>
      </c>
      <c r="BS2" s="1">
        <f t="shared" si="2"/>
        <v>70</v>
      </c>
      <c r="BT2" s="1">
        <f t="shared" si="2"/>
        <v>71</v>
      </c>
      <c r="BU2" s="1">
        <f t="shared" si="2"/>
        <v>72</v>
      </c>
      <c r="BV2" s="1">
        <f t="shared" si="2"/>
        <v>73</v>
      </c>
      <c r="BW2" s="1">
        <v>74</v>
      </c>
      <c r="BX2" s="1">
        <v>75</v>
      </c>
      <c r="BY2" s="1">
        <f t="shared" ref="BY2:EJ2" si="3">BX2+1</f>
        <v>76</v>
      </c>
      <c r="BZ2" s="1">
        <f t="shared" si="3"/>
        <v>77</v>
      </c>
      <c r="CA2" s="1">
        <f t="shared" si="3"/>
        <v>78</v>
      </c>
      <c r="CB2" s="1">
        <f t="shared" si="3"/>
        <v>79</v>
      </c>
      <c r="CC2" s="1">
        <f t="shared" si="3"/>
        <v>80</v>
      </c>
      <c r="CD2" s="1">
        <f t="shared" si="3"/>
        <v>81</v>
      </c>
      <c r="CE2" s="1">
        <f t="shared" si="3"/>
        <v>82</v>
      </c>
      <c r="CF2" s="1">
        <f t="shared" si="3"/>
        <v>83</v>
      </c>
      <c r="CG2" s="1">
        <f t="shared" si="3"/>
        <v>84</v>
      </c>
      <c r="CH2" s="1">
        <f t="shared" si="3"/>
        <v>85</v>
      </c>
      <c r="CI2" s="1">
        <f t="shared" si="3"/>
        <v>86</v>
      </c>
      <c r="CJ2" s="1">
        <f t="shared" si="3"/>
        <v>87</v>
      </c>
      <c r="CK2" s="1">
        <f t="shared" si="3"/>
        <v>88</v>
      </c>
      <c r="CL2" s="1">
        <f t="shared" si="3"/>
        <v>89</v>
      </c>
      <c r="CM2" s="1">
        <f t="shared" si="3"/>
        <v>90</v>
      </c>
      <c r="CN2" s="1">
        <f t="shared" si="3"/>
        <v>91</v>
      </c>
      <c r="CO2" s="1">
        <f t="shared" si="3"/>
        <v>92</v>
      </c>
      <c r="CP2" s="1">
        <f t="shared" si="3"/>
        <v>93</v>
      </c>
      <c r="CQ2" s="1">
        <f t="shared" si="3"/>
        <v>94</v>
      </c>
      <c r="CR2" s="1">
        <f t="shared" si="3"/>
        <v>95</v>
      </c>
      <c r="CS2" s="1">
        <f t="shared" si="3"/>
        <v>96</v>
      </c>
      <c r="CT2" s="1">
        <f t="shared" si="3"/>
        <v>97</v>
      </c>
      <c r="CU2" s="1">
        <f t="shared" si="3"/>
        <v>98</v>
      </c>
      <c r="CV2" s="1">
        <f t="shared" si="3"/>
        <v>99</v>
      </c>
      <c r="CW2" s="1">
        <f t="shared" si="3"/>
        <v>100</v>
      </c>
      <c r="CX2" s="1">
        <f t="shared" si="3"/>
        <v>101</v>
      </c>
      <c r="CY2" s="1">
        <f t="shared" si="3"/>
        <v>102</v>
      </c>
      <c r="CZ2" s="1">
        <f t="shared" si="3"/>
        <v>103</v>
      </c>
      <c r="DA2" s="1">
        <f t="shared" si="3"/>
        <v>104</v>
      </c>
      <c r="DB2" s="1">
        <f t="shared" si="3"/>
        <v>105</v>
      </c>
      <c r="DC2" s="1">
        <f t="shared" si="3"/>
        <v>106</v>
      </c>
      <c r="DD2" s="1">
        <f t="shared" si="3"/>
        <v>107</v>
      </c>
      <c r="DE2" s="1">
        <f t="shared" si="3"/>
        <v>108</v>
      </c>
      <c r="DF2" s="1">
        <f t="shared" si="3"/>
        <v>109</v>
      </c>
      <c r="DG2" s="1">
        <f t="shared" si="3"/>
        <v>110</v>
      </c>
      <c r="DH2" s="1">
        <f t="shared" si="3"/>
        <v>111</v>
      </c>
      <c r="DI2" s="1">
        <f t="shared" si="3"/>
        <v>112</v>
      </c>
      <c r="DJ2" s="1">
        <f t="shared" si="3"/>
        <v>113</v>
      </c>
      <c r="DK2" s="1">
        <f t="shared" si="3"/>
        <v>114</v>
      </c>
      <c r="DL2" s="1">
        <f t="shared" si="3"/>
        <v>115</v>
      </c>
      <c r="DM2" s="1">
        <f t="shared" si="3"/>
        <v>116</v>
      </c>
      <c r="DN2" s="1">
        <f t="shared" si="3"/>
        <v>117</v>
      </c>
      <c r="DO2" s="1">
        <f t="shared" si="3"/>
        <v>118</v>
      </c>
      <c r="DP2" s="1">
        <f t="shared" si="3"/>
        <v>119</v>
      </c>
      <c r="DQ2" s="1">
        <f t="shared" si="3"/>
        <v>120</v>
      </c>
      <c r="DR2" s="1">
        <f t="shared" si="3"/>
        <v>121</v>
      </c>
      <c r="DS2" s="1">
        <f t="shared" si="3"/>
        <v>122</v>
      </c>
      <c r="DT2" s="1">
        <f t="shared" si="3"/>
        <v>123</v>
      </c>
      <c r="DU2" s="1">
        <f t="shared" si="3"/>
        <v>124</v>
      </c>
      <c r="DV2" s="1">
        <f t="shared" si="3"/>
        <v>125</v>
      </c>
      <c r="DW2" s="1">
        <f t="shared" si="3"/>
        <v>126</v>
      </c>
      <c r="DX2" s="1">
        <f t="shared" si="3"/>
        <v>127</v>
      </c>
      <c r="DY2" s="1">
        <f t="shared" si="3"/>
        <v>128</v>
      </c>
      <c r="DZ2" s="1">
        <f t="shared" si="3"/>
        <v>129</v>
      </c>
      <c r="EA2" s="1">
        <f t="shared" si="3"/>
        <v>130</v>
      </c>
      <c r="EB2" s="1">
        <f t="shared" si="3"/>
        <v>131</v>
      </c>
      <c r="EC2" s="1">
        <f t="shared" si="3"/>
        <v>132</v>
      </c>
      <c r="ED2" s="1">
        <f t="shared" si="3"/>
        <v>133</v>
      </c>
      <c r="EE2" s="1">
        <f t="shared" si="3"/>
        <v>134</v>
      </c>
      <c r="EF2" s="1">
        <f t="shared" si="3"/>
        <v>135</v>
      </c>
      <c r="EG2" s="1">
        <f t="shared" si="3"/>
        <v>136</v>
      </c>
      <c r="EH2" s="1">
        <f t="shared" si="3"/>
        <v>137</v>
      </c>
      <c r="EI2" s="1">
        <f t="shared" si="3"/>
        <v>138</v>
      </c>
      <c r="EJ2" s="1">
        <f t="shared" si="3"/>
        <v>139</v>
      </c>
      <c r="EK2" s="1">
        <f t="shared" ref="EK2:GV2" si="4">EJ2+1</f>
        <v>140</v>
      </c>
      <c r="EL2" s="1">
        <f t="shared" si="4"/>
        <v>141</v>
      </c>
      <c r="EM2" s="1">
        <f t="shared" si="4"/>
        <v>142</v>
      </c>
      <c r="EN2" s="1">
        <f t="shared" si="4"/>
        <v>143</v>
      </c>
      <c r="EO2" s="1">
        <f t="shared" si="4"/>
        <v>144</v>
      </c>
      <c r="EP2" s="1">
        <f t="shared" si="4"/>
        <v>145</v>
      </c>
      <c r="EQ2" s="1">
        <f t="shared" si="4"/>
        <v>146</v>
      </c>
      <c r="ER2" s="1">
        <f t="shared" si="4"/>
        <v>147</v>
      </c>
      <c r="ES2" s="1">
        <f t="shared" si="4"/>
        <v>148</v>
      </c>
      <c r="ET2" s="1">
        <f t="shared" si="4"/>
        <v>149</v>
      </c>
      <c r="EU2" s="1">
        <f t="shared" si="4"/>
        <v>150</v>
      </c>
      <c r="EV2" s="1">
        <f t="shared" si="4"/>
        <v>151</v>
      </c>
      <c r="EW2" s="1">
        <f t="shared" si="4"/>
        <v>152</v>
      </c>
      <c r="EX2" s="1">
        <f t="shared" si="4"/>
        <v>153</v>
      </c>
      <c r="EY2" s="1">
        <f t="shared" si="4"/>
        <v>154</v>
      </c>
      <c r="EZ2" s="1">
        <f t="shared" si="4"/>
        <v>155</v>
      </c>
      <c r="FA2" s="1">
        <f t="shared" si="4"/>
        <v>156</v>
      </c>
      <c r="FB2" s="1">
        <f t="shared" si="4"/>
        <v>157</v>
      </c>
      <c r="FC2" s="1">
        <f t="shared" si="4"/>
        <v>158</v>
      </c>
      <c r="FD2" s="1">
        <f t="shared" si="4"/>
        <v>159</v>
      </c>
      <c r="FE2" s="1">
        <f t="shared" si="4"/>
        <v>160</v>
      </c>
      <c r="FF2" s="1">
        <f t="shared" si="4"/>
        <v>161</v>
      </c>
      <c r="FG2" s="1">
        <f t="shared" si="4"/>
        <v>162</v>
      </c>
      <c r="FH2" s="1">
        <f t="shared" si="4"/>
        <v>163</v>
      </c>
      <c r="FI2" s="1">
        <f t="shared" si="4"/>
        <v>164</v>
      </c>
      <c r="FJ2" s="1">
        <f t="shared" si="4"/>
        <v>165</v>
      </c>
      <c r="FK2" s="1">
        <f t="shared" si="4"/>
        <v>166</v>
      </c>
      <c r="FL2" s="1">
        <f t="shared" si="4"/>
        <v>167</v>
      </c>
      <c r="FM2" s="1">
        <f t="shared" si="4"/>
        <v>168</v>
      </c>
      <c r="FN2" s="1">
        <f t="shared" si="4"/>
        <v>169</v>
      </c>
      <c r="FO2" s="1">
        <f t="shared" si="4"/>
        <v>170</v>
      </c>
      <c r="FP2" s="1">
        <f t="shared" si="4"/>
        <v>171</v>
      </c>
      <c r="FQ2" s="1">
        <f t="shared" si="4"/>
        <v>172</v>
      </c>
      <c r="FR2" s="1">
        <f t="shared" si="4"/>
        <v>173</v>
      </c>
      <c r="FS2" s="1">
        <f t="shared" si="4"/>
        <v>174</v>
      </c>
      <c r="FT2" s="1">
        <f t="shared" si="4"/>
        <v>175</v>
      </c>
      <c r="FU2" s="1">
        <f t="shared" si="4"/>
        <v>176</v>
      </c>
      <c r="FV2" s="1">
        <f t="shared" si="4"/>
        <v>177</v>
      </c>
      <c r="FW2" s="1">
        <f t="shared" si="4"/>
        <v>178</v>
      </c>
      <c r="FX2" s="1">
        <f t="shared" si="4"/>
        <v>179</v>
      </c>
      <c r="FY2" s="1">
        <f t="shared" si="4"/>
        <v>180</v>
      </c>
      <c r="FZ2" s="1">
        <f t="shared" si="4"/>
        <v>181</v>
      </c>
      <c r="GA2" s="1">
        <f t="shared" si="4"/>
        <v>182</v>
      </c>
      <c r="GB2" s="1">
        <f t="shared" si="4"/>
        <v>183</v>
      </c>
      <c r="GC2" s="1">
        <f t="shared" si="4"/>
        <v>184</v>
      </c>
      <c r="GD2" s="1">
        <f t="shared" si="4"/>
        <v>185</v>
      </c>
      <c r="GE2" s="1">
        <f t="shared" si="4"/>
        <v>186</v>
      </c>
      <c r="GF2" s="1">
        <f t="shared" si="4"/>
        <v>187</v>
      </c>
      <c r="GG2" s="1">
        <f t="shared" si="4"/>
        <v>188</v>
      </c>
      <c r="GH2" s="1">
        <f t="shared" si="4"/>
        <v>189</v>
      </c>
      <c r="GI2" s="1">
        <f t="shared" si="4"/>
        <v>190</v>
      </c>
      <c r="GJ2" s="1">
        <f t="shared" si="4"/>
        <v>191</v>
      </c>
      <c r="GK2" s="1">
        <f t="shared" si="4"/>
        <v>192</v>
      </c>
      <c r="GL2" s="1">
        <f t="shared" si="4"/>
        <v>193</v>
      </c>
      <c r="GM2" s="1">
        <f t="shared" si="4"/>
        <v>194</v>
      </c>
      <c r="GN2" s="1">
        <f t="shared" si="4"/>
        <v>195</v>
      </c>
      <c r="GO2" s="1">
        <f t="shared" si="4"/>
        <v>196</v>
      </c>
      <c r="GP2" s="1">
        <f t="shared" si="4"/>
        <v>197</v>
      </c>
      <c r="GQ2" s="1">
        <f t="shared" si="4"/>
        <v>198</v>
      </c>
      <c r="GR2" s="1">
        <f t="shared" si="4"/>
        <v>199</v>
      </c>
      <c r="GS2" s="1">
        <f t="shared" si="4"/>
        <v>200</v>
      </c>
      <c r="GT2" s="1">
        <f t="shared" si="4"/>
        <v>201</v>
      </c>
      <c r="GU2" s="1">
        <f t="shared" si="4"/>
        <v>202</v>
      </c>
      <c r="GV2" s="1">
        <f t="shared" si="4"/>
        <v>203</v>
      </c>
      <c r="GW2" s="1">
        <f t="shared" ref="GW2:JH2" si="5">GV2+1</f>
        <v>204</v>
      </c>
      <c r="GX2" s="1">
        <f t="shared" si="5"/>
        <v>205</v>
      </c>
      <c r="GY2" s="1">
        <f t="shared" si="5"/>
        <v>206</v>
      </c>
      <c r="GZ2" s="1">
        <f t="shared" si="5"/>
        <v>207</v>
      </c>
      <c r="HA2" s="1">
        <f t="shared" si="5"/>
        <v>208</v>
      </c>
      <c r="HB2" s="1">
        <f t="shared" si="5"/>
        <v>209</v>
      </c>
      <c r="HC2" s="1">
        <f t="shared" si="5"/>
        <v>210</v>
      </c>
      <c r="HD2" s="1">
        <f t="shared" si="5"/>
        <v>211</v>
      </c>
      <c r="HE2" s="1">
        <f t="shared" si="5"/>
        <v>212</v>
      </c>
      <c r="HF2" s="1">
        <f t="shared" si="5"/>
        <v>213</v>
      </c>
      <c r="HG2" s="1">
        <f t="shared" si="5"/>
        <v>214</v>
      </c>
      <c r="HH2" s="1">
        <f t="shared" si="5"/>
        <v>215</v>
      </c>
      <c r="HI2" s="1">
        <f t="shared" si="5"/>
        <v>216</v>
      </c>
      <c r="HJ2" s="1">
        <f t="shared" si="5"/>
        <v>217</v>
      </c>
      <c r="HK2" s="1">
        <f t="shared" si="5"/>
        <v>218</v>
      </c>
      <c r="HL2" s="1">
        <f t="shared" si="5"/>
        <v>219</v>
      </c>
      <c r="HM2" s="1">
        <f t="shared" si="5"/>
        <v>220</v>
      </c>
      <c r="HN2" s="1">
        <f t="shared" si="5"/>
        <v>221</v>
      </c>
      <c r="HO2" s="1">
        <f t="shared" si="5"/>
        <v>222</v>
      </c>
      <c r="HP2" s="1">
        <f t="shared" si="5"/>
        <v>223</v>
      </c>
      <c r="HQ2" s="1">
        <f t="shared" si="5"/>
        <v>224</v>
      </c>
      <c r="HR2" s="1">
        <f t="shared" si="5"/>
        <v>225</v>
      </c>
      <c r="HS2" s="1">
        <f t="shared" si="5"/>
        <v>226</v>
      </c>
      <c r="HT2" s="1">
        <f t="shared" si="5"/>
        <v>227</v>
      </c>
      <c r="HU2" s="1">
        <f t="shared" si="5"/>
        <v>228</v>
      </c>
      <c r="HV2" s="1">
        <f t="shared" si="5"/>
        <v>229</v>
      </c>
      <c r="HW2" s="1">
        <f t="shared" si="5"/>
        <v>230</v>
      </c>
      <c r="HX2" s="1">
        <f t="shared" si="5"/>
        <v>231</v>
      </c>
      <c r="HY2" s="1">
        <f t="shared" si="5"/>
        <v>232</v>
      </c>
      <c r="HZ2" s="1">
        <f t="shared" si="5"/>
        <v>233</v>
      </c>
      <c r="IA2" s="1">
        <f t="shared" si="5"/>
        <v>234</v>
      </c>
      <c r="IB2" s="1">
        <f t="shared" si="5"/>
        <v>235</v>
      </c>
      <c r="IC2" s="1">
        <f t="shared" si="5"/>
        <v>236</v>
      </c>
      <c r="ID2" s="1">
        <f t="shared" si="5"/>
        <v>237</v>
      </c>
      <c r="IE2" s="1">
        <f t="shared" si="5"/>
        <v>238</v>
      </c>
      <c r="IF2" s="1">
        <f t="shared" si="5"/>
        <v>239</v>
      </c>
      <c r="IG2" s="1">
        <f t="shared" si="5"/>
        <v>240</v>
      </c>
      <c r="IH2" s="1">
        <f t="shared" si="5"/>
        <v>241</v>
      </c>
      <c r="II2" s="1">
        <f t="shared" si="5"/>
        <v>242</v>
      </c>
      <c r="IJ2" s="1">
        <f t="shared" si="5"/>
        <v>243</v>
      </c>
      <c r="IK2" s="1">
        <f t="shared" si="5"/>
        <v>244</v>
      </c>
      <c r="IL2" s="1">
        <f t="shared" si="5"/>
        <v>245</v>
      </c>
      <c r="IM2" s="1">
        <f t="shared" si="5"/>
        <v>246</v>
      </c>
      <c r="IN2" s="1">
        <f t="shared" si="5"/>
        <v>247</v>
      </c>
      <c r="IO2" s="1">
        <f t="shared" si="5"/>
        <v>248</v>
      </c>
      <c r="IP2" s="1">
        <f t="shared" si="5"/>
        <v>249</v>
      </c>
      <c r="IQ2" s="1">
        <f t="shared" si="5"/>
        <v>250</v>
      </c>
      <c r="IR2" s="1">
        <f t="shared" si="5"/>
        <v>251</v>
      </c>
      <c r="IS2" s="1">
        <f t="shared" si="5"/>
        <v>252</v>
      </c>
      <c r="IT2" s="1">
        <f t="shared" si="5"/>
        <v>253</v>
      </c>
      <c r="IU2" s="1">
        <f t="shared" si="5"/>
        <v>254</v>
      </c>
      <c r="IV2" s="1">
        <f t="shared" si="5"/>
        <v>255</v>
      </c>
      <c r="IW2" s="1">
        <f t="shared" si="5"/>
        <v>256</v>
      </c>
      <c r="IX2" s="1">
        <f t="shared" si="5"/>
        <v>257</v>
      </c>
      <c r="IY2" s="1">
        <f t="shared" si="5"/>
        <v>258</v>
      </c>
      <c r="IZ2" s="1">
        <f t="shared" si="5"/>
        <v>259</v>
      </c>
      <c r="JA2" s="1">
        <f t="shared" si="5"/>
        <v>260</v>
      </c>
      <c r="JB2" s="1">
        <f t="shared" si="5"/>
        <v>261</v>
      </c>
      <c r="JC2" s="1">
        <f t="shared" si="5"/>
        <v>262</v>
      </c>
      <c r="JD2" s="1">
        <f t="shared" si="5"/>
        <v>263</v>
      </c>
      <c r="JE2" s="1">
        <f t="shared" si="5"/>
        <v>264</v>
      </c>
      <c r="JF2" s="1">
        <f t="shared" si="5"/>
        <v>265</v>
      </c>
      <c r="JG2" s="1">
        <f t="shared" si="5"/>
        <v>266</v>
      </c>
      <c r="JH2" s="1">
        <f t="shared" si="5"/>
        <v>267</v>
      </c>
      <c r="JI2" s="1">
        <f t="shared" ref="JI2:KQ2" si="6">JH2+1</f>
        <v>268</v>
      </c>
      <c r="JJ2">
        <f t="shared" si="6"/>
        <v>269</v>
      </c>
      <c r="JK2" s="1">
        <f t="shared" si="6"/>
        <v>270</v>
      </c>
      <c r="JL2" s="1">
        <f t="shared" si="6"/>
        <v>271</v>
      </c>
      <c r="JM2" s="1">
        <f t="shared" si="6"/>
        <v>272</v>
      </c>
      <c r="JN2" s="1">
        <f t="shared" si="6"/>
        <v>273</v>
      </c>
      <c r="JO2" s="1">
        <f t="shared" si="6"/>
        <v>274</v>
      </c>
      <c r="JP2" s="1">
        <f t="shared" si="6"/>
        <v>275</v>
      </c>
      <c r="JQ2" s="1">
        <f t="shared" si="6"/>
        <v>276</v>
      </c>
      <c r="JR2" s="1">
        <f t="shared" si="6"/>
        <v>277</v>
      </c>
      <c r="JS2" s="1">
        <f t="shared" si="6"/>
        <v>278</v>
      </c>
      <c r="JT2" s="1">
        <f t="shared" si="6"/>
        <v>279</v>
      </c>
      <c r="JU2" s="1">
        <f t="shared" si="6"/>
        <v>280</v>
      </c>
      <c r="JV2" s="1">
        <f t="shared" si="6"/>
        <v>281</v>
      </c>
      <c r="JW2" s="1">
        <f t="shared" si="6"/>
        <v>282</v>
      </c>
      <c r="JX2" s="1">
        <f t="shared" si="6"/>
        <v>283</v>
      </c>
      <c r="JY2" s="1">
        <f t="shared" si="6"/>
        <v>284</v>
      </c>
      <c r="JZ2" s="1">
        <f t="shared" si="6"/>
        <v>285</v>
      </c>
      <c r="KA2" s="1">
        <f t="shared" si="6"/>
        <v>286</v>
      </c>
      <c r="KB2" s="1">
        <f t="shared" si="6"/>
        <v>287</v>
      </c>
      <c r="KC2" s="1">
        <f t="shared" si="6"/>
        <v>288</v>
      </c>
      <c r="KD2" s="1">
        <f t="shared" si="6"/>
        <v>289</v>
      </c>
      <c r="KE2" s="1">
        <f t="shared" si="6"/>
        <v>290</v>
      </c>
      <c r="KF2" s="1">
        <f t="shared" si="6"/>
        <v>291</v>
      </c>
      <c r="KG2" s="1">
        <f t="shared" si="6"/>
        <v>292</v>
      </c>
      <c r="KH2" s="1">
        <f t="shared" si="6"/>
        <v>293</v>
      </c>
      <c r="KI2" s="1">
        <f t="shared" si="6"/>
        <v>294</v>
      </c>
      <c r="KJ2" s="1">
        <f t="shared" si="6"/>
        <v>295</v>
      </c>
      <c r="KK2" s="1">
        <f t="shared" si="6"/>
        <v>296</v>
      </c>
      <c r="KL2" s="1">
        <f t="shared" si="6"/>
        <v>297</v>
      </c>
      <c r="KM2" s="1">
        <f t="shared" si="6"/>
        <v>298</v>
      </c>
      <c r="KN2" s="1">
        <f t="shared" si="6"/>
        <v>299</v>
      </c>
      <c r="KO2" s="1">
        <f t="shared" si="6"/>
        <v>300</v>
      </c>
      <c r="KP2" s="1">
        <f t="shared" si="6"/>
        <v>301</v>
      </c>
      <c r="KQ2" s="1">
        <f t="shared" si="6"/>
        <v>302</v>
      </c>
    </row>
    <row r="3" spans="2:303" ht="36" x14ac:dyDescent="0.25">
      <c r="B3" s="51" t="s">
        <v>54</v>
      </c>
      <c r="C3" s="3" t="s">
        <v>55</v>
      </c>
      <c r="D3" s="3" t="s">
        <v>56</v>
      </c>
      <c r="E3" s="3" t="s">
        <v>57</v>
      </c>
      <c r="F3" s="3" t="s">
        <v>58</v>
      </c>
      <c r="G3" s="3" t="s">
        <v>59</v>
      </c>
      <c r="H3" s="3" t="s">
        <v>34</v>
      </c>
      <c r="I3" s="4" t="s">
        <v>143</v>
      </c>
      <c r="J3" s="3" t="s">
        <v>144</v>
      </c>
      <c r="K3" s="3" t="s">
        <v>145</v>
      </c>
      <c r="L3" s="3" t="s">
        <v>146</v>
      </c>
      <c r="M3" s="3" t="s">
        <v>147</v>
      </c>
      <c r="N3" s="3" t="s">
        <v>148</v>
      </c>
      <c r="O3" s="3" t="s">
        <v>149</v>
      </c>
      <c r="P3" s="3" t="s">
        <v>150</v>
      </c>
      <c r="Q3" s="3" t="s">
        <v>151</v>
      </c>
      <c r="R3" s="3" t="s">
        <v>152</v>
      </c>
      <c r="S3" s="3" t="s">
        <v>153</v>
      </c>
      <c r="T3" s="3" t="s">
        <v>154</v>
      </c>
      <c r="U3" s="3" t="s">
        <v>155</v>
      </c>
      <c r="V3" s="3" t="s">
        <v>156</v>
      </c>
      <c r="W3" s="3" t="s">
        <v>157</v>
      </c>
      <c r="X3" s="3" t="s">
        <v>158</v>
      </c>
      <c r="Y3" s="3" t="s">
        <v>159</v>
      </c>
      <c r="Z3" s="3" t="s">
        <v>160</v>
      </c>
      <c r="AA3" s="3" t="s">
        <v>161</v>
      </c>
      <c r="AB3" s="3" t="s">
        <v>162</v>
      </c>
      <c r="AC3" s="3" t="s">
        <v>163</v>
      </c>
      <c r="AD3" s="3" t="s">
        <v>164</v>
      </c>
      <c r="AE3" s="3" t="s">
        <v>165</v>
      </c>
      <c r="AF3" s="3" t="s">
        <v>166</v>
      </c>
      <c r="AG3" s="3" t="s">
        <v>167</v>
      </c>
      <c r="AH3" s="3" t="s">
        <v>168</v>
      </c>
      <c r="AI3" s="3" t="s">
        <v>169</v>
      </c>
      <c r="AJ3" s="3" t="s">
        <v>170</v>
      </c>
      <c r="AK3" s="3" t="s">
        <v>171</v>
      </c>
      <c r="AL3" s="3" t="s">
        <v>172</v>
      </c>
      <c r="AM3" s="3" t="s">
        <v>173</v>
      </c>
      <c r="AN3" s="3" t="s">
        <v>174</v>
      </c>
      <c r="AO3" s="3" t="s">
        <v>175</v>
      </c>
      <c r="AP3" s="3" t="s">
        <v>176</v>
      </c>
      <c r="AQ3" s="3" t="s">
        <v>177</v>
      </c>
      <c r="AR3" s="3" t="s">
        <v>178</v>
      </c>
      <c r="AS3" s="3" t="s">
        <v>179</v>
      </c>
      <c r="AT3" s="3" t="s">
        <v>180</v>
      </c>
      <c r="AU3" s="3" t="s">
        <v>181</v>
      </c>
      <c r="AV3" s="3" t="s">
        <v>182</v>
      </c>
      <c r="AW3" s="3" t="s">
        <v>183</v>
      </c>
      <c r="AX3" s="3" t="s">
        <v>184</v>
      </c>
      <c r="AY3" s="3" t="s">
        <v>185</v>
      </c>
      <c r="AZ3" s="3" t="s">
        <v>186</v>
      </c>
      <c r="BA3" s="3" t="s">
        <v>187</v>
      </c>
      <c r="BB3" s="3" t="s">
        <v>188</v>
      </c>
      <c r="BC3" s="3" t="s">
        <v>189</v>
      </c>
      <c r="BD3" s="3" t="s">
        <v>190</v>
      </c>
      <c r="BE3" s="3" t="s">
        <v>191</v>
      </c>
      <c r="BF3" s="3" t="s">
        <v>192</v>
      </c>
      <c r="BG3" s="3" t="s">
        <v>193</v>
      </c>
      <c r="BH3" s="3" t="s">
        <v>194</v>
      </c>
      <c r="BI3" s="3" t="s">
        <v>195</v>
      </c>
      <c r="BJ3" s="3" t="s">
        <v>196</v>
      </c>
      <c r="BK3" s="3" t="s">
        <v>197</v>
      </c>
      <c r="BL3" s="3" t="s">
        <v>198</v>
      </c>
      <c r="BM3" s="3" t="s">
        <v>199</v>
      </c>
      <c r="BN3" s="3" t="s">
        <v>200</v>
      </c>
      <c r="BO3" s="3" t="s">
        <v>201</v>
      </c>
      <c r="BP3" s="3" t="s">
        <v>202</v>
      </c>
      <c r="BQ3" s="3" t="s">
        <v>203</v>
      </c>
      <c r="BR3" s="3" t="s">
        <v>204</v>
      </c>
      <c r="BS3" s="3" t="s">
        <v>205</v>
      </c>
      <c r="BT3" s="3" t="s">
        <v>206</v>
      </c>
      <c r="BU3" s="3" t="s">
        <v>207</v>
      </c>
      <c r="BV3" s="3" t="s">
        <v>208</v>
      </c>
      <c r="BW3" s="3" t="s">
        <v>209</v>
      </c>
      <c r="BX3" s="3" t="s">
        <v>210</v>
      </c>
      <c r="BY3" s="3" t="s">
        <v>211</v>
      </c>
      <c r="BZ3" s="3" t="s">
        <v>212</v>
      </c>
      <c r="CA3" s="3" t="s">
        <v>213</v>
      </c>
      <c r="CB3" s="3" t="s">
        <v>214</v>
      </c>
      <c r="CC3" s="3" t="s">
        <v>215</v>
      </c>
      <c r="CD3" s="3" t="s">
        <v>216</v>
      </c>
      <c r="CE3" s="3" t="s">
        <v>217</v>
      </c>
      <c r="CF3" s="3" t="s">
        <v>218</v>
      </c>
      <c r="CG3" s="3" t="s">
        <v>219</v>
      </c>
      <c r="CH3" s="3" t="s">
        <v>220</v>
      </c>
      <c r="CI3" s="3" t="s">
        <v>221</v>
      </c>
      <c r="CJ3" s="3" t="s">
        <v>222</v>
      </c>
      <c r="CK3" s="3" t="s">
        <v>223</v>
      </c>
      <c r="CL3" s="3" t="s">
        <v>224</v>
      </c>
      <c r="CM3" s="3" t="s">
        <v>225</v>
      </c>
      <c r="CN3" s="3" t="s">
        <v>226</v>
      </c>
      <c r="CO3" s="3" t="s">
        <v>227</v>
      </c>
      <c r="CP3" s="3" t="s">
        <v>228</v>
      </c>
      <c r="CQ3" s="3" t="s">
        <v>229</v>
      </c>
      <c r="CR3" s="3" t="s">
        <v>230</v>
      </c>
      <c r="CS3" s="3" t="s">
        <v>231</v>
      </c>
      <c r="CT3" s="3" t="s">
        <v>232</v>
      </c>
      <c r="CU3" s="3" t="s">
        <v>233</v>
      </c>
      <c r="CV3" s="3" t="s">
        <v>234</v>
      </c>
      <c r="CW3" s="3" t="s">
        <v>235</v>
      </c>
      <c r="CX3" s="3" t="s">
        <v>236</v>
      </c>
      <c r="CY3" s="3" t="s">
        <v>237</v>
      </c>
      <c r="CZ3" s="3" t="s">
        <v>238</v>
      </c>
      <c r="DA3" s="3" t="s">
        <v>239</v>
      </c>
      <c r="DB3" s="3" t="s">
        <v>240</v>
      </c>
      <c r="DC3" s="3" t="s">
        <v>241</v>
      </c>
      <c r="DD3" s="3" t="s">
        <v>242</v>
      </c>
      <c r="DE3" s="3" t="s">
        <v>243</v>
      </c>
      <c r="DF3" s="3" t="s">
        <v>244</v>
      </c>
      <c r="DG3" s="3" t="s">
        <v>245</v>
      </c>
      <c r="DH3" s="3" t="s">
        <v>246</v>
      </c>
      <c r="DI3" s="3" t="s">
        <v>247</v>
      </c>
      <c r="DJ3" s="3" t="s">
        <v>248</v>
      </c>
      <c r="DK3" s="3" t="s">
        <v>249</v>
      </c>
      <c r="DL3" s="3" t="s">
        <v>250</v>
      </c>
      <c r="DM3" s="3" t="s">
        <v>251</v>
      </c>
      <c r="DN3" s="3" t="s">
        <v>252</v>
      </c>
      <c r="DO3" s="3" t="s">
        <v>253</v>
      </c>
      <c r="DP3" s="3" t="s">
        <v>254</v>
      </c>
      <c r="DQ3" s="3" t="s">
        <v>255</v>
      </c>
      <c r="DR3" s="3" t="s">
        <v>256</v>
      </c>
      <c r="DS3" s="3" t="s">
        <v>257</v>
      </c>
      <c r="DT3" s="3" t="s">
        <v>258</v>
      </c>
      <c r="DU3" s="3" t="s">
        <v>259</v>
      </c>
      <c r="DV3" s="3" t="s">
        <v>260</v>
      </c>
      <c r="DW3" s="3" t="s">
        <v>261</v>
      </c>
      <c r="DX3" s="3" t="s">
        <v>262</v>
      </c>
      <c r="DY3" s="3" t="s">
        <v>263</v>
      </c>
      <c r="DZ3" s="3" t="s">
        <v>264</v>
      </c>
      <c r="EA3" s="3" t="s">
        <v>265</v>
      </c>
      <c r="EB3" s="3" t="s">
        <v>266</v>
      </c>
      <c r="EC3" s="3" t="s">
        <v>267</v>
      </c>
      <c r="ED3" s="3" t="s">
        <v>268</v>
      </c>
      <c r="EE3" s="3" t="s">
        <v>269</v>
      </c>
      <c r="EF3" s="3" t="s">
        <v>270</v>
      </c>
      <c r="EG3" s="3" t="s">
        <v>271</v>
      </c>
      <c r="EH3" s="3" t="s">
        <v>272</v>
      </c>
      <c r="EI3" s="3" t="s">
        <v>273</v>
      </c>
      <c r="EJ3" s="3" t="s">
        <v>274</v>
      </c>
      <c r="EK3" s="3" t="s">
        <v>275</v>
      </c>
      <c r="EL3" s="3" t="s">
        <v>276</v>
      </c>
      <c r="EM3" s="3" t="s">
        <v>277</v>
      </c>
      <c r="EN3" s="3" t="s">
        <v>278</v>
      </c>
      <c r="EO3" s="3" t="s">
        <v>279</v>
      </c>
      <c r="EP3" s="3" t="s">
        <v>280</v>
      </c>
      <c r="EQ3" s="3" t="s">
        <v>281</v>
      </c>
      <c r="ER3" s="3" t="s">
        <v>282</v>
      </c>
      <c r="ES3" s="3" t="s">
        <v>283</v>
      </c>
      <c r="ET3" s="3" t="s">
        <v>284</v>
      </c>
      <c r="EU3" s="3" t="s">
        <v>285</v>
      </c>
      <c r="EV3" s="3" t="s">
        <v>286</v>
      </c>
      <c r="EW3" s="3" t="s">
        <v>287</v>
      </c>
      <c r="EX3" s="3" t="s">
        <v>288</v>
      </c>
      <c r="EY3" s="3" t="s">
        <v>289</v>
      </c>
      <c r="EZ3" s="3" t="s">
        <v>290</v>
      </c>
      <c r="FA3" s="3" t="s">
        <v>291</v>
      </c>
      <c r="FB3" s="3" t="s">
        <v>292</v>
      </c>
      <c r="FC3" s="3" t="s">
        <v>293</v>
      </c>
      <c r="FD3" s="3" t="s">
        <v>294</v>
      </c>
      <c r="FE3" s="3" t="s">
        <v>295</v>
      </c>
      <c r="FF3" s="3" t="s">
        <v>296</v>
      </c>
      <c r="FG3" s="3" t="s">
        <v>297</v>
      </c>
      <c r="FH3" s="3" t="s">
        <v>298</v>
      </c>
      <c r="FI3" s="3" t="s">
        <v>299</v>
      </c>
      <c r="FJ3" s="3" t="s">
        <v>300</v>
      </c>
      <c r="FK3" s="3" t="s">
        <v>301</v>
      </c>
      <c r="FL3" s="3" t="s">
        <v>302</v>
      </c>
      <c r="FM3" s="3" t="s">
        <v>303</v>
      </c>
      <c r="FN3" s="3" t="s">
        <v>304</v>
      </c>
      <c r="FO3" s="3" t="s">
        <v>305</v>
      </c>
      <c r="FP3" s="3" t="s">
        <v>306</v>
      </c>
      <c r="FQ3" s="3" t="s">
        <v>307</v>
      </c>
      <c r="FR3" s="3" t="s">
        <v>308</v>
      </c>
      <c r="FS3" s="3" t="s">
        <v>309</v>
      </c>
      <c r="FT3" s="3" t="s">
        <v>310</v>
      </c>
      <c r="FU3" s="3" t="s">
        <v>311</v>
      </c>
      <c r="FV3" s="3" t="s">
        <v>312</v>
      </c>
      <c r="FW3" s="3" t="s">
        <v>313</v>
      </c>
      <c r="FX3" s="3" t="s">
        <v>314</v>
      </c>
      <c r="FY3" s="3" t="s">
        <v>315</v>
      </c>
      <c r="FZ3" s="3" t="s">
        <v>316</v>
      </c>
      <c r="GA3" s="3" t="s">
        <v>317</v>
      </c>
      <c r="GB3" s="3" t="s">
        <v>318</v>
      </c>
      <c r="GC3" s="3" t="s">
        <v>319</v>
      </c>
      <c r="GD3" s="3" t="s">
        <v>320</v>
      </c>
      <c r="GE3" s="3" t="s">
        <v>321</v>
      </c>
      <c r="GF3" s="3" t="s">
        <v>322</v>
      </c>
      <c r="GG3" s="3" t="s">
        <v>323</v>
      </c>
      <c r="GH3" s="3" t="s">
        <v>324</v>
      </c>
      <c r="GI3" s="3" t="s">
        <v>325</v>
      </c>
      <c r="GJ3" s="3" t="s">
        <v>326</v>
      </c>
      <c r="GK3" s="3" t="s">
        <v>327</v>
      </c>
      <c r="GL3" s="3" t="s">
        <v>328</v>
      </c>
      <c r="GM3" s="3" t="s">
        <v>329</v>
      </c>
      <c r="GN3" s="3" t="s">
        <v>330</v>
      </c>
      <c r="GO3" s="3" t="s">
        <v>331</v>
      </c>
      <c r="GP3" s="3" t="s">
        <v>332</v>
      </c>
      <c r="GQ3" s="3" t="s">
        <v>333</v>
      </c>
      <c r="GR3" s="3" t="s">
        <v>334</v>
      </c>
      <c r="GS3" s="3" t="s">
        <v>335</v>
      </c>
      <c r="GT3" s="3" t="s">
        <v>336</v>
      </c>
      <c r="GU3" s="3" t="s">
        <v>337</v>
      </c>
      <c r="GV3" s="3" t="s">
        <v>338</v>
      </c>
      <c r="GW3" s="3" t="s">
        <v>339</v>
      </c>
      <c r="GX3" s="3" t="s">
        <v>340</v>
      </c>
      <c r="GY3" s="3" t="s">
        <v>341</v>
      </c>
      <c r="GZ3" s="3" t="s">
        <v>342</v>
      </c>
      <c r="HA3" s="3" t="s">
        <v>343</v>
      </c>
      <c r="HB3" s="3" t="s">
        <v>344</v>
      </c>
      <c r="HC3" s="3" t="s">
        <v>345</v>
      </c>
      <c r="HD3" s="3" t="s">
        <v>346</v>
      </c>
      <c r="HE3" s="3" t="s">
        <v>347</v>
      </c>
      <c r="HF3" s="3" t="s">
        <v>348</v>
      </c>
      <c r="HG3" s="3" t="s">
        <v>349</v>
      </c>
      <c r="HH3" s="3" t="s">
        <v>350</v>
      </c>
      <c r="HI3" s="3" t="s">
        <v>351</v>
      </c>
      <c r="HJ3" s="3" t="s">
        <v>352</v>
      </c>
      <c r="HK3" s="3" t="s">
        <v>353</v>
      </c>
      <c r="HL3" s="3" t="s">
        <v>354</v>
      </c>
      <c r="HM3" s="3" t="s">
        <v>355</v>
      </c>
      <c r="HN3" s="3" t="s">
        <v>356</v>
      </c>
      <c r="HO3" s="3" t="s">
        <v>357</v>
      </c>
      <c r="HP3" s="3" t="s">
        <v>358</v>
      </c>
      <c r="HQ3" s="3" t="s">
        <v>359</v>
      </c>
      <c r="HR3" s="3" t="s">
        <v>360</v>
      </c>
      <c r="HS3" s="3" t="s">
        <v>361</v>
      </c>
      <c r="HT3" s="3" t="s">
        <v>362</v>
      </c>
      <c r="HU3" s="3" t="s">
        <v>363</v>
      </c>
      <c r="HV3" s="3" t="s">
        <v>364</v>
      </c>
      <c r="HW3" s="3" t="s">
        <v>365</v>
      </c>
      <c r="HX3" s="3" t="s">
        <v>366</v>
      </c>
      <c r="HY3" s="3" t="s">
        <v>367</v>
      </c>
      <c r="HZ3" s="3" t="s">
        <v>368</v>
      </c>
      <c r="IA3" s="3" t="s">
        <v>369</v>
      </c>
      <c r="IB3" s="3" t="s">
        <v>370</v>
      </c>
      <c r="IC3" s="3" t="s">
        <v>371</v>
      </c>
      <c r="ID3" s="3" t="s">
        <v>372</v>
      </c>
      <c r="IE3" s="3" t="s">
        <v>373</v>
      </c>
      <c r="IF3" s="3" t="s">
        <v>374</v>
      </c>
      <c r="IG3" s="3" t="s">
        <v>375</v>
      </c>
      <c r="IH3" s="3" t="s">
        <v>376</v>
      </c>
      <c r="II3" s="3" t="s">
        <v>377</v>
      </c>
      <c r="IJ3" s="3" t="s">
        <v>378</v>
      </c>
      <c r="IK3" s="3" t="s">
        <v>379</v>
      </c>
      <c r="IL3" s="3" t="s">
        <v>380</v>
      </c>
      <c r="IM3" s="3" t="s">
        <v>381</v>
      </c>
      <c r="IN3" s="3" t="s">
        <v>382</v>
      </c>
      <c r="IO3" s="3" t="s">
        <v>383</v>
      </c>
      <c r="IP3" s="3" t="s">
        <v>384</v>
      </c>
      <c r="IQ3" s="3" t="s">
        <v>385</v>
      </c>
      <c r="IR3" s="3" t="s">
        <v>386</v>
      </c>
      <c r="IS3" s="3" t="s">
        <v>387</v>
      </c>
      <c r="IT3" s="3" t="s">
        <v>388</v>
      </c>
      <c r="IU3" s="3" t="s">
        <v>389</v>
      </c>
      <c r="IV3" s="3" t="s">
        <v>390</v>
      </c>
      <c r="IW3" s="3" t="s">
        <v>391</v>
      </c>
      <c r="IX3" s="3" t="s">
        <v>392</v>
      </c>
      <c r="IY3" s="3" t="s">
        <v>393</v>
      </c>
      <c r="IZ3" s="3" t="s">
        <v>394</v>
      </c>
      <c r="JA3" s="3" t="s">
        <v>395</v>
      </c>
      <c r="JB3" s="3" t="s">
        <v>396</v>
      </c>
      <c r="JC3" s="3" t="s">
        <v>397</v>
      </c>
      <c r="JD3" s="3" t="s">
        <v>398</v>
      </c>
      <c r="JE3" s="3" t="s">
        <v>399</v>
      </c>
      <c r="JF3" s="3" t="s">
        <v>400</v>
      </c>
      <c r="JG3" s="3" t="s">
        <v>401</v>
      </c>
      <c r="JH3" s="3" t="s">
        <v>402</v>
      </c>
      <c r="JI3" s="3" t="s">
        <v>403</v>
      </c>
      <c r="JJ3" s="113" t="s">
        <v>404</v>
      </c>
      <c r="JK3" s="3" t="s">
        <v>405</v>
      </c>
      <c r="JL3" s="3" t="s">
        <v>406</v>
      </c>
      <c r="JM3" s="3" t="s">
        <v>407</v>
      </c>
      <c r="JN3" s="3" t="s">
        <v>408</v>
      </c>
      <c r="JO3" s="3" t="s">
        <v>409</v>
      </c>
      <c r="JP3" s="3" t="s">
        <v>410</v>
      </c>
      <c r="JQ3" s="3" t="s">
        <v>411</v>
      </c>
      <c r="JR3" s="3" t="s">
        <v>412</v>
      </c>
      <c r="JS3" s="3" t="s">
        <v>413</v>
      </c>
      <c r="JT3" s="3" t="s">
        <v>414</v>
      </c>
      <c r="JU3" s="3" t="s">
        <v>415</v>
      </c>
      <c r="JV3" s="3" t="s">
        <v>416</v>
      </c>
      <c r="JW3" s="3" t="s">
        <v>417</v>
      </c>
      <c r="JX3" s="3" t="s">
        <v>418</v>
      </c>
      <c r="JY3" s="3" t="s">
        <v>419</v>
      </c>
      <c r="JZ3" s="3" t="s">
        <v>420</v>
      </c>
      <c r="KA3" s="3" t="s">
        <v>421</v>
      </c>
      <c r="KB3" s="3" t="s">
        <v>422</v>
      </c>
      <c r="KC3" s="3" t="s">
        <v>423</v>
      </c>
      <c r="KD3" s="3" t="s">
        <v>424</v>
      </c>
      <c r="KE3" s="3" t="s">
        <v>425</v>
      </c>
      <c r="KF3" s="3" t="s">
        <v>426</v>
      </c>
      <c r="KG3" s="3" t="s">
        <v>427</v>
      </c>
      <c r="KH3" s="3" t="s">
        <v>428</v>
      </c>
      <c r="KI3" s="3" t="s">
        <v>429</v>
      </c>
      <c r="KJ3" s="3" t="s">
        <v>430</v>
      </c>
      <c r="KK3" s="3" t="s">
        <v>431</v>
      </c>
      <c r="KL3" s="3" t="s">
        <v>432</v>
      </c>
      <c r="KM3" s="3" t="s">
        <v>433</v>
      </c>
      <c r="KN3" s="3" t="s">
        <v>434</v>
      </c>
      <c r="KO3" s="3" t="s">
        <v>47</v>
      </c>
      <c r="KP3" s="3" t="s">
        <v>435</v>
      </c>
      <c r="KQ3" s="83" t="s">
        <v>436</v>
      </c>
    </row>
    <row r="4" spans="2:303" ht="15" customHeight="1" x14ac:dyDescent="0.25">
      <c r="B4" s="52">
        <v>45745</v>
      </c>
      <c r="C4" s="9">
        <f>YEAR(RD[[#This Row],[Date]])+IF(MONTH(RD[[#This Row],[Date]])&gt;=4,1,0)</f>
        <v>2025</v>
      </c>
      <c r="D4" s="6">
        <f t="shared" ref="D4:D7" si="7">YEAR(B4)</f>
        <v>2025</v>
      </c>
      <c r="E4" s="7"/>
      <c r="F4" s="7"/>
      <c r="G4" s="8" t="str">
        <f>TEXT(RD[[#This Row],[Date]],"mmm-yy")</f>
        <v>Mar-25</v>
      </c>
      <c r="H4" s="6">
        <f t="shared" ref="H4:H7" si="8">DAY(EOMONTH(B4,0))</f>
        <v>31</v>
      </c>
      <c r="I4" s="9">
        <f>'Basic Data '!$S$2</f>
        <v>66750</v>
      </c>
      <c r="J4" s="10">
        <v>0.29166666666666702</v>
      </c>
      <c r="K4" s="10">
        <v>0.79166666666666696</v>
      </c>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t="s">
        <v>413</v>
      </c>
      <c r="IW4" s="9"/>
      <c r="IX4" s="9"/>
      <c r="IY4" s="9"/>
      <c r="IZ4" s="9"/>
      <c r="JA4" s="9"/>
      <c r="JB4" s="11"/>
      <c r="JC4" s="11"/>
      <c r="JD4" s="11"/>
      <c r="JE4" s="11"/>
      <c r="JF4" s="11"/>
      <c r="JG4" s="11"/>
      <c r="JH4" s="13"/>
      <c r="JI4" s="12"/>
      <c r="JJ4" s="12"/>
      <c r="JK4" s="9"/>
      <c r="JL4" s="9"/>
      <c r="JM4" s="9"/>
      <c r="JN4" s="9"/>
      <c r="JO4" s="9"/>
      <c r="JP4" s="9"/>
      <c r="JQ4" s="9"/>
      <c r="JR4" s="9">
        <v>54996.704999999987</v>
      </c>
      <c r="JS4" s="11">
        <v>306246841.60028577</v>
      </c>
      <c r="JT4" s="11">
        <v>81683.233142857149</v>
      </c>
      <c r="JU4" s="14" t="e">
        <f>IF((JK4-#REF!)&lt;0,"",(JK4-#REF!))</f>
        <v>#REF!</v>
      </c>
      <c r="JV4" s="14" t="e">
        <f>IF((JL4-#REF!)&lt;0,"",(JL4-#REF!))</f>
        <v>#REF!</v>
      </c>
      <c r="JW4" s="14" t="e">
        <f>IF((JM4-#REF!)&lt;0,"",(JM4-#REF!))</f>
        <v>#REF!</v>
      </c>
      <c r="JX4" s="14" t="e">
        <f>IF((JN4-#REF!)&lt;0,"",(JN4-#REF!))</f>
        <v>#REF!</v>
      </c>
      <c r="JY4" s="14" t="e">
        <f>IF((JO4-#REF!)&lt;0,"",(JO4-#REF!))</f>
        <v>#REF!</v>
      </c>
      <c r="JZ4" s="14" t="e">
        <f>IF((JP4-#REF!)&lt;0,"",(JP4-#REF!))</f>
        <v>#REF!</v>
      </c>
      <c r="KA4" s="14" t="e">
        <f>IF((JQ4-#REF!)&lt;0,"",(JQ4-#REF!))</f>
        <v>#REF!</v>
      </c>
      <c r="KB4" s="14" t="e">
        <f>IF((JR4-#REF!)&lt;0,"",(JR4-#REF!))</f>
        <v>#REF!</v>
      </c>
      <c r="KC4" s="14" t="e">
        <f>IF((JS4-#REF!)&lt;0,"",(JS4-#REF!))</f>
        <v>#REF!</v>
      </c>
      <c r="KD4" s="14" t="e">
        <f>IF((JT4-#REF!)&lt;0,"",(JT4-#REF!))</f>
        <v>#REF!</v>
      </c>
      <c r="KE4" s="15" t="str">
        <f>IFERROR(SUM(RD[[#This Row],[33kV_IC1_ExPort(KWh)]],RD[[#This Row],[33kV_IC2_ExPort(KWh)]],RD[[#This Row],[33kV_IC3_ExPort(KWh)]],RD[[#This Row],[33kV_IC4_ExPort(kWh)]])-SUM(RD[[#This Row],[33kV_IC1_Import(KWh)]],RD[[#This Row],[33kV_IC2_Import(KWh)]],RD[[#This Row],[33kV_IC3_Import(KWh)]],RD[[#This Row],[33kV_IC4_Import(KWh)]]),"")</f>
        <v/>
      </c>
      <c r="KF4" s="15" t="str">
        <f t="shared" ref="KF4:KF7" si="9">IFERROR(KC4-KD4,"")</f>
        <v/>
      </c>
      <c r="KG4" s="16">
        <f>(RD[[#This Row],[Sunset Time (POA&lt;20 W/m2)]]-RD[[#This Row],[Sunrise Time (POA&gt;20 W/m2)]])*24</f>
        <v>11.999999999999998</v>
      </c>
      <c r="KH4" s="53">
        <f>RD[[#This Row],[GHI ]]</f>
        <v>0</v>
      </c>
      <c r="KI4" s="53">
        <f>RD[[#This Row],[POA]]</f>
        <v>0</v>
      </c>
      <c r="KJ4" s="53">
        <f>RD[[#This Row],[AT (°C) 14 Hours]]</f>
        <v>0</v>
      </c>
      <c r="KK4" s="53">
        <f>RD[[#This Row],[MT (°C) Gen. Hours]]</f>
        <v>0</v>
      </c>
      <c r="KL4" s="53">
        <f>RD[[#This Row],[WS_Avg (m/s) (24 Hours)]]</f>
        <v>0</v>
      </c>
      <c r="KM4" s="53">
        <f>RD[[#This Row],[WS_Max (m/s)]]</f>
        <v>0</v>
      </c>
      <c r="KN4" s="54">
        <f>SUM(RD[[#This Row],[BLK1_INV1]:[BLK8_INV27]])</f>
        <v>0</v>
      </c>
      <c r="KO4" s="95"/>
      <c r="KP4" s="55"/>
      <c r="KQ4" s="90" t="str">
        <f>IFERROR(RD[[#This Row],[WPR_Eac]]/RD[[#This Row],[WPR_Edc]],"")</f>
        <v/>
      </c>
    </row>
    <row r="5" spans="2:303" ht="15" customHeight="1" x14ac:dyDescent="0.25">
      <c r="B5" s="52">
        <f t="shared" ref="B5:B21" si="10">B4+1</f>
        <v>45746</v>
      </c>
      <c r="C5" s="9">
        <f>YEAR(RD[[#This Row],[Date]])+IF(MONTH(RD[[#This Row],[Date]])&gt;=4,1,0)</f>
        <v>2025</v>
      </c>
      <c r="D5" s="6">
        <f t="shared" si="7"/>
        <v>2025</v>
      </c>
      <c r="E5" s="7"/>
      <c r="F5" s="7"/>
      <c r="G5" s="8" t="str">
        <f>TEXT(RD[[#This Row],[Date]],"mmm-yy")</f>
        <v>Mar-25</v>
      </c>
      <c r="H5" s="6">
        <f t="shared" si="8"/>
        <v>31</v>
      </c>
      <c r="I5" s="9">
        <f>'Basic Data '!$S$2</f>
        <v>66750</v>
      </c>
      <c r="J5" s="10">
        <v>0.29166666666666702</v>
      </c>
      <c r="K5" s="10">
        <v>0.79166666666666696</v>
      </c>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11"/>
      <c r="JC5" s="11"/>
      <c r="JD5" s="11"/>
      <c r="JE5" s="11"/>
      <c r="JF5" s="11"/>
      <c r="JG5" s="11"/>
      <c r="JH5" s="13"/>
      <c r="JI5" s="12"/>
      <c r="JJ5" s="12"/>
      <c r="JK5" s="9"/>
      <c r="JL5" s="9"/>
      <c r="JM5" s="9"/>
      <c r="JN5" s="9"/>
      <c r="JO5" s="9"/>
      <c r="JP5" s="9"/>
      <c r="JQ5" s="9"/>
      <c r="JR5" s="9">
        <v>55011.743999999984</v>
      </c>
      <c r="JS5" s="11">
        <v>306590465.48885721</v>
      </c>
      <c r="JT5" s="11">
        <v>81745.162428571435</v>
      </c>
      <c r="JU5" s="14">
        <f t="shared" ref="JU5:JU7" si="11">IF((JK5-JK4)&lt;0,"",(JK5-JK4))</f>
        <v>0</v>
      </c>
      <c r="JV5" s="14">
        <f t="shared" ref="JV5:JV7" si="12">IF((JL5-JL4)&lt;0,"",(JL5-JL4))</f>
        <v>0</v>
      </c>
      <c r="JW5" s="14">
        <f t="shared" ref="JW5:JW7" si="13">IF((JM5-JM4)&lt;0,"",(JM5-JM4))</f>
        <v>0</v>
      </c>
      <c r="JX5" s="14">
        <f t="shared" ref="JX5:JX7" si="14">IF((JN5-JN4)&lt;0,"",(JN5-JN4))</f>
        <v>0</v>
      </c>
      <c r="JY5" s="14">
        <f t="shared" ref="JY5:JY7" si="15">IF((JO5-JO4)&lt;0,"",(JO5-JO4))</f>
        <v>0</v>
      </c>
      <c r="JZ5" s="14">
        <f t="shared" ref="JZ5:JZ7" si="16">IF((JP5-JP4)&lt;0,"",(JP5-JP4))</f>
        <v>0</v>
      </c>
      <c r="KA5" s="14">
        <f t="shared" ref="KA5:KA7" si="17">IF((JQ5-JQ4)&lt;0,"",(JQ5-JQ4))</f>
        <v>0</v>
      </c>
      <c r="KB5" s="14">
        <f t="shared" ref="KB5:KB7" si="18">IF((JR5-JR4)&lt;0,"",(JR5-JR4))</f>
        <v>15.038999999997031</v>
      </c>
      <c r="KC5" s="14">
        <f t="shared" ref="KC5:KC7" si="19">IF((JS5-JS4)&lt;0,"",(JS5-JS4))</f>
        <v>343623.88857144117</v>
      </c>
      <c r="KD5" s="14">
        <f t="shared" ref="KD5:KD7" si="20">IF((JT5-JT4)&lt;0,"",(JT5-JT4))</f>
        <v>61.92928571428638</v>
      </c>
      <c r="KE5" s="15">
        <f>IFERROR(SUM(RD[[#This Row],[33kV_IC1_ExPort(KWh)]],RD[[#This Row],[33kV_IC2_ExPort(KWh)]],RD[[#This Row],[33kV_IC3_ExPort(KWh)]],RD[[#This Row],[33kV_IC4_ExPort(kWh)]])-SUM(RD[[#This Row],[33kV_IC1_Import(KWh)]],RD[[#This Row],[33kV_IC2_Import(KWh)]],RD[[#This Row],[33kV_IC3_Import(KWh)]],RD[[#This Row],[33kV_IC4_Import(KWh)]]),"")</f>
        <v>-15.038999999997031</v>
      </c>
      <c r="KF5" s="15">
        <f t="shared" si="9"/>
        <v>343561.95928572689</v>
      </c>
      <c r="KG5" s="16">
        <f>(RD[[#This Row],[Sunset Time (POA&lt;20 W/m2)]]-RD[[#This Row],[Sunrise Time (POA&gt;20 W/m2)]])*24</f>
        <v>11.999999999999998</v>
      </c>
      <c r="KH5" s="53">
        <f>RD[[#This Row],[GHI ]]</f>
        <v>0</v>
      </c>
      <c r="KI5" s="53">
        <f>RD[[#This Row],[POA]]</f>
        <v>0</v>
      </c>
      <c r="KJ5" s="53">
        <f>RD[[#This Row],[AT (°C) 14 Hours]]</f>
        <v>0</v>
      </c>
      <c r="KK5" s="53">
        <f>RD[[#This Row],[MT (°C) Gen. Hours]]</f>
        <v>0</v>
      </c>
      <c r="KL5" s="53">
        <f>RD[[#This Row],[WS_Avg (m/s) (24 Hours)]]</f>
        <v>0</v>
      </c>
      <c r="KM5" s="53">
        <f>RD[[#This Row],[WS_Max (m/s)]]</f>
        <v>0</v>
      </c>
      <c r="KN5" s="54">
        <f>SUM(RD[[#This Row],[BLK1_INV1]:[BLK8_INV27]])</f>
        <v>0</v>
      </c>
      <c r="KO5" s="95"/>
      <c r="KP5" s="55"/>
      <c r="KQ5" s="90" t="str">
        <f>IFERROR(RD[[#This Row],[WPR_Eac]]/RD[[#This Row],[WPR_Edc]],"")</f>
        <v/>
      </c>
    </row>
    <row r="6" spans="2:303" ht="15" customHeight="1" x14ac:dyDescent="0.25">
      <c r="B6" s="52">
        <f t="shared" si="10"/>
        <v>45747</v>
      </c>
      <c r="C6" s="9">
        <f>YEAR(RD[[#This Row],[Date]])+IF(MONTH(RD[[#This Row],[Date]])&gt;=4,1,0)</f>
        <v>2025</v>
      </c>
      <c r="D6" s="6">
        <f t="shared" si="7"/>
        <v>2025</v>
      </c>
      <c r="E6" s="7"/>
      <c r="F6" s="7"/>
      <c r="G6" s="8" t="str">
        <f>TEXT(RD[[#This Row],[Date]],"mmm-yy")</f>
        <v>Mar-25</v>
      </c>
      <c r="H6" s="6">
        <f t="shared" si="8"/>
        <v>31</v>
      </c>
      <c r="I6" s="9">
        <f>'Basic Data '!$S$2</f>
        <v>66750</v>
      </c>
      <c r="J6" s="10">
        <v>0.29166666666666702</v>
      </c>
      <c r="K6" s="10">
        <v>0.79166666666666696</v>
      </c>
      <c r="L6" s="9">
        <v>1590.1</v>
      </c>
      <c r="M6" s="9">
        <v>1625.2</v>
      </c>
      <c r="N6" s="9">
        <v>1522.4</v>
      </c>
      <c r="O6" s="9">
        <v>1520.1</v>
      </c>
      <c r="P6" s="9">
        <v>1598.4</v>
      </c>
      <c r="Q6" s="9">
        <v>1485.5</v>
      </c>
      <c r="R6" s="9">
        <v>1544.3</v>
      </c>
      <c r="S6" s="9">
        <v>1555.5</v>
      </c>
      <c r="T6" s="9">
        <v>1580.5</v>
      </c>
      <c r="U6" s="9">
        <v>1513.2</v>
      </c>
      <c r="V6" s="9">
        <v>1550.6</v>
      </c>
      <c r="W6" s="9">
        <v>1573</v>
      </c>
      <c r="X6" s="9">
        <v>1569.8</v>
      </c>
      <c r="Y6" s="9">
        <v>1408.7</v>
      </c>
      <c r="Z6" s="9">
        <v>1504.6</v>
      </c>
      <c r="AA6" s="9">
        <v>1484.1</v>
      </c>
      <c r="AB6" s="9">
        <v>1452.9</v>
      </c>
      <c r="AC6" s="9">
        <v>1468</v>
      </c>
      <c r="AD6" s="9">
        <v>1589.1</v>
      </c>
      <c r="AE6" s="9">
        <v>1590.5</v>
      </c>
      <c r="AF6" s="9">
        <v>1596.5</v>
      </c>
      <c r="AG6" s="9">
        <v>1494.7</v>
      </c>
      <c r="AH6" s="9">
        <v>1541.1</v>
      </c>
      <c r="AI6" s="9">
        <v>1529.8</v>
      </c>
      <c r="AJ6" s="9">
        <v>1509.6</v>
      </c>
      <c r="AK6" s="9">
        <v>1605.5</v>
      </c>
      <c r="AL6" s="9">
        <v>1593.4</v>
      </c>
      <c r="AM6" s="9">
        <v>1625.1</v>
      </c>
      <c r="AN6" s="9">
        <v>1594.9</v>
      </c>
      <c r="AO6" s="9">
        <v>1646.2</v>
      </c>
      <c r="AP6" s="9">
        <v>1616.2</v>
      </c>
      <c r="AQ6" s="9">
        <v>1543.3</v>
      </c>
      <c r="AR6" s="9">
        <v>1387.5</v>
      </c>
      <c r="AS6" s="9">
        <v>1817.1</v>
      </c>
      <c r="AT6" s="9">
        <v>1398.5</v>
      </c>
      <c r="AU6" s="9">
        <v>1593.3</v>
      </c>
      <c r="AV6" s="9">
        <v>1512.2</v>
      </c>
      <c r="AW6" s="9">
        <v>1457.7</v>
      </c>
      <c r="AX6" s="9">
        <v>1508.8</v>
      </c>
      <c r="AY6" s="9">
        <v>1471.4</v>
      </c>
      <c r="AZ6" s="9">
        <v>1478.6</v>
      </c>
      <c r="BA6" s="9">
        <v>1456.7</v>
      </c>
      <c r="BB6" s="9">
        <v>1512.4</v>
      </c>
      <c r="BC6" s="9">
        <v>1529.3</v>
      </c>
      <c r="BD6" s="9">
        <v>1535.4</v>
      </c>
      <c r="BE6" s="9">
        <v>1547.8</v>
      </c>
      <c r="BF6" s="9">
        <v>1567.5</v>
      </c>
      <c r="BG6" s="9">
        <v>1472.3</v>
      </c>
      <c r="BH6" s="9">
        <v>1542.2</v>
      </c>
      <c r="BI6" s="9">
        <v>1494.4</v>
      </c>
      <c r="BJ6" s="9">
        <v>1431.4</v>
      </c>
      <c r="BK6" s="9">
        <v>1453.4</v>
      </c>
      <c r="BL6" s="9">
        <v>1610.5</v>
      </c>
      <c r="BM6" s="9">
        <v>1732.5</v>
      </c>
      <c r="BN6" s="9">
        <v>1563.5</v>
      </c>
      <c r="BO6" s="9">
        <v>1613.1</v>
      </c>
      <c r="BP6" s="9">
        <v>1633.3</v>
      </c>
      <c r="BQ6" s="9">
        <v>1544.4</v>
      </c>
      <c r="BR6" s="9">
        <v>1634.4</v>
      </c>
      <c r="BS6" s="9">
        <v>1601.2</v>
      </c>
      <c r="BT6" s="9">
        <v>1478.6</v>
      </c>
      <c r="BU6" s="9">
        <v>1625</v>
      </c>
      <c r="BV6" s="9">
        <v>1455</v>
      </c>
      <c r="BW6" s="9">
        <v>1300.5</v>
      </c>
      <c r="BX6" s="9">
        <v>1644.7</v>
      </c>
      <c r="BY6" s="9">
        <v>1649.7</v>
      </c>
      <c r="BZ6" s="9">
        <v>1648.2</v>
      </c>
      <c r="CA6" s="9">
        <v>1654.1</v>
      </c>
      <c r="CB6" s="9">
        <v>1502.1</v>
      </c>
      <c r="CC6" s="9">
        <v>1508.6</v>
      </c>
      <c r="CD6" s="9">
        <v>1506.5</v>
      </c>
      <c r="CE6" s="9">
        <v>1492.4</v>
      </c>
      <c r="CF6" s="9">
        <v>1471.1</v>
      </c>
      <c r="CG6" s="9">
        <v>1522.5</v>
      </c>
      <c r="CH6" s="9">
        <v>1602.1</v>
      </c>
      <c r="CI6" s="9">
        <v>1694.3</v>
      </c>
      <c r="CJ6" s="9">
        <v>1724.1</v>
      </c>
      <c r="CK6" s="9">
        <v>1445.1</v>
      </c>
      <c r="CL6" s="9">
        <v>1482.4</v>
      </c>
      <c r="CM6" s="9">
        <v>1604.5</v>
      </c>
      <c r="CN6" s="9">
        <v>1541.1</v>
      </c>
      <c r="CO6" s="9">
        <v>1529.1</v>
      </c>
      <c r="CP6" s="9">
        <v>1512.1</v>
      </c>
      <c r="CQ6" s="9">
        <v>1523.2</v>
      </c>
      <c r="CR6" s="9">
        <v>1542.2</v>
      </c>
      <c r="CS6" s="9">
        <v>1492.5</v>
      </c>
      <c r="CT6" s="9">
        <v>1529.5</v>
      </c>
      <c r="CU6" s="9">
        <v>1451.4</v>
      </c>
      <c r="CV6" s="9">
        <v>1470.1</v>
      </c>
      <c r="CW6" s="9">
        <v>1472.5</v>
      </c>
      <c r="CX6" s="9">
        <v>1548.5</v>
      </c>
      <c r="CY6" s="9">
        <v>1574.5</v>
      </c>
      <c r="CZ6" s="9">
        <v>1540.3</v>
      </c>
      <c r="DA6" s="9">
        <v>1462.6</v>
      </c>
      <c r="DB6" s="9">
        <v>1631.5</v>
      </c>
      <c r="DC6" s="9">
        <v>1470.1</v>
      </c>
      <c r="DD6" s="9">
        <v>1492</v>
      </c>
      <c r="DE6" s="9">
        <v>1511.1</v>
      </c>
      <c r="DF6" s="9">
        <v>1515.1</v>
      </c>
      <c r="DG6" s="9">
        <v>1505.1</v>
      </c>
      <c r="DH6" s="9">
        <v>1538.2</v>
      </c>
      <c r="DI6" s="9">
        <v>1498.1</v>
      </c>
      <c r="DJ6" s="9">
        <v>1522.1</v>
      </c>
      <c r="DK6" s="9">
        <v>1474.1</v>
      </c>
      <c r="DL6" s="9">
        <v>1679.1</v>
      </c>
      <c r="DM6" s="9">
        <v>1565.1</v>
      </c>
      <c r="DN6" s="9">
        <v>1740.2</v>
      </c>
      <c r="DO6" s="9">
        <v>1676.5</v>
      </c>
      <c r="DP6" s="9">
        <v>1471.4</v>
      </c>
      <c r="DQ6" s="9">
        <v>1613.2</v>
      </c>
      <c r="DR6" s="9">
        <v>1559.1</v>
      </c>
      <c r="DS6" s="9">
        <v>1572.4</v>
      </c>
      <c r="DT6" s="9">
        <v>1620.1</v>
      </c>
      <c r="DU6" s="9">
        <v>1710.4</v>
      </c>
      <c r="DV6" s="9">
        <v>1510.4</v>
      </c>
      <c r="DW6" s="9">
        <v>1484.3</v>
      </c>
      <c r="DX6" s="9">
        <v>1660.1</v>
      </c>
      <c r="DY6" s="9">
        <v>1624.2</v>
      </c>
      <c r="DZ6" s="9">
        <v>1628.1</v>
      </c>
      <c r="EA6" s="9">
        <v>1543.3</v>
      </c>
      <c r="EB6" s="9">
        <v>1506.1</v>
      </c>
      <c r="EC6" s="9">
        <v>1645.2</v>
      </c>
      <c r="ED6" s="9">
        <v>1616.2</v>
      </c>
      <c r="EE6" s="9">
        <v>1546.4</v>
      </c>
      <c r="EF6" s="9">
        <v>1456.7</v>
      </c>
      <c r="EG6" s="9">
        <v>1621.1</v>
      </c>
      <c r="EH6" s="9">
        <v>0</v>
      </c>
      <c r="EI6" s="9">
        <v>1403.4</v>
      </c>
      <c r="EJ6" s="9">
        <v>1717.1</v>
      </c>
      <c r="EK6" s="9">
        <v>1629</v>
      </c>
      <c r="EL6" s="9">
        <v>1560.1</v>
      </c>
      <c r="EM6" s="9">
        <v>1589.2</v>
      </c>
      <c r="EN6" s="9">
        <v>1582.2</v>
      </c>
      <c r="EO6" s="9">
        <v>1356.6</v>
      </c>
      <c r="EP6" s="9">
        <v>1602</v>
      </c>
      <c r="EQ6" s="9">
        <v>1575.4</v>
      </c>
      <c r="ER6" s="9">
        <v>1561.2</v>
      </c>
      <c r="ES6" s="9">
        <v>1548.5</v>
      </c>
      <c r="ET6" s="9">
        <v>1623.5</v>
      </c>
      <c r="EU6" s="9">
        <v>1304.5</v>
      </c>
      <c r="EV6" s="9">
        <v>1635.6</v>
      </c>
      <c r="EW6" s="9">
        <v>1562.3</v>
      </c>
      <c r="EX6" s="9">
        <v>1544.4</v>
      </c>
      <c r="EY6" s="9">
        <v>1524</v>
      </c>
      <c r="EZ6" s="9">
        <v>1317</v>
      </c>
      <c r="FA6" s="9">
        <v>1563.3</v>
      </c>
      <c r="FB6" s="9">
        <v>1427.7</v>
      </c>
      <c r="FC6" s="9">
        <v>1449.8</v>
      </c>
      <c r="FD6" s="9">
        <v>1605.7</v>
      </c>
      <c r="FE6" s="9">
        <v>1550.5</v>
      </c>
      <c r="FF6" s="9">
        <v>1650.6</v>
      </c>
      <c r="FG6" s="9">
        <v>1502.2</v>
      </c>
      <c r="FH6" s="9">
        <v>1561.5</v>
      </c>
      <c r="FI6" s="9">
        <v>1507.5</v>
      </c>
      <c r="FJ6" s="9">
        <v>1489.4</v>
      </c>
      <c r="FK6" s="9">
        <v>1448.5</v>
      </c>
      <c r="FL6" s="9">
        <v>1461.4</v>
      </c>
      <c r="FM6" s="9">
        <v>1440.4</v>
      </c>
      <c r="FN6" s="9">
        <v>1320</v>
      </c>
      <c r="FO6" s="9">
        <v>1285</v>
      </c>
      <c r="FP6" s="9">
        <v>1540</v>
      </c>
      <c r="FQ6" s="9">
        <v>1371</v>
      </c>
      <c r="FR6" s="9">
        <v>1305</v>
      </c>
      <c r="FS6" s="9">
        <v>1408</v>
      </c>
      <c r="FT6" s="9">
        <v>1512</v>
      </c>
      <c r="FU6" s="9">
        <v>1406</v>
      </c>
      <c r="FV6" s="9">
        <v>1360</v>
      </c>
      <c r="FW6" s="9">
        <v>1421</v>
      </c>
      <c r="FX6" s="9">
        <v>1462</v>
      </c>
      <c r="FY6" s="9">
        <v>1375</v>
      </c>
      <c r="FZ6" s="9">
        <v>1422</v>
      </c>
      <c r="GA6" s="9">
        <v>1430</v>
      </c>
      <c r="GB6" s="9">
        <v>1597</v>
      </c>
      <c r="GC6" s="9">
        <v>1512</v>
      </c>
      <c r="GD6" s="9">
        <v>1626</v>
      </c>
      <c r="GE6" s="9">
        <v>1413</v>
      </c>
      <c r="GF6" s="9">
        <v>1433</v>
      </c>
      <c r="GG6" s="9">
        <v>1280</v>
      </c>
      <c r="GH6" s="9">
        <v>1732</v>
      </c>
      <c r="GI6" s="9">
        <v>1526</v>
      </c>
      <c r="GJ6" s="9">
        <v>1495</v>
      </c>
      <c r="GK6" s="9">
        <v>1584</v>
      </c>
      <c r="GL6" s="9">
        <v>1525</v>
      </c>
      <c r="GM6" s="9">
        <v>1568</v>
      </c>
      <c r="GN6" s="9">
        <v>1524</v>
      </c>
      <c r="GO6" s="9">
        <v>1576</v>
      </c>
      <c r="GP6" s="9">
        <v>1508</v>
      </c>
      <c r="GQ6" s="9">
        <v>1524</v>
      </c>
      <c r="GR6" s="9">
        <v>1510</v>
      </c>
      <c r="GS6" s="9">
        <v>1437</v>
      </c>
      <c r="GT6" s="9">
        <v>1419</v>
      </c>
      <c r="GU6" s="9">
        <v>1450</v>
      </c>
      <c r="GV6" s="9">
        <v>1436</v>
      </c>
      <c r="GW6" s="9">
        <v>1429</v>
      </c>
      <c r="GX6" s="9">
        <v>1549</v>
      </c>
      <c r="GY6" s="9">
        <v>1397</v>
      </c>
      <c r="GZ6" s="9">
        <v>1292</v>
      </c>
      <c r="HA6" s="9">
        <v>1565</v>
      </c>
      <c r="HB6" s="9"/>
      <c r="HC6" s="9"/>
      <c r="HD6" s="9">
        <v>1262</v>
      </c>
      <c r="HE6" s="9">
        <v>1064</v>
      </c>
      <c r="HF6" s="9">
        <v>1532</v>
      </c>
      <c r="HG6" s="9"/>
      <c r="HH6" s="9">
        <v>1659</v>
      </c>
      <c r="HI6" s="9">
        <v>1454</v>
      </c>
      <c r="HJ6" s="9">
        <v>1514</v>
      </c>
      <c r="HK6" s="9">
        <v>1472</v>
      </c>
      <c r="HL6" s="9">
        <v>1495</v>
      </c>
      <c r="HM6" s="9">
        <v>1511</v>
      </c>
      <c r="HN6" s="9">
        <v>1521</v>
      </c>
      <c r="HO6" s="9">
        <v>1531</v>
      </c>
      <c r="HP6" s="9">
        <v>1533</v>
      </c>
      <c r="HQ6" s="9">
        <v>1537</v>
      </c>
      <c r="HR6" s="9">
        <v>1550</v>
      </c>
      <c r="HS6" s="9">
        <v>1546</v>
      </c>
      <c r="HT6" s="9">
        <v>1521</v>
      </c>
      <c r="HU6" s="9">
        <v>1729</v>
      </c>
      <c r="HV6" s="9">
        <v>1306</v>
      </c>
      <c r="HW6" s="9">
        <v>1295</v>
      </c>
      <c r="HX6" s="9">
        <v>1033</v>
      </c>
      <c r="HY6" s="9">
        <v>908</v>
      </c>
      <c r="HZ6" s="9">
        <v>1084</v>
      </c>
      <c r="IA6" s="9">
        <v>1279</v>
      </c>
      <c r="IB6" s="9">
        <v>1486</v>
      </c>
      <c r="IC6" s="9">
        <v>1676</v>
      </c>
      <c r="ID6" s="9">
        <v>1472</v>
      </c>
      <c r="IE6" s="9">
        <v>1533</v>
      </c>
      <c r="IF6" s="9">
        <v>1555</v>
      </c>
      <c r="IG6" s="9">
        <v>1551</v>
      </c>
      <c r="IH6" s="9">
        <v>1593</v>
      </c>
      <c r="II6" s="9">
        <v>1618</v>
      </c>
      <c r="IJ6" s="9">
        <v>1178</v>
      </c>
      <c r="IK6" s="9">
        <v>1422</v>
      </c>
      <c r="IL6" s="9">
        <v>1293</v>
      </c>
      <c r="IM6" s="9">
        <v>1409</v>
      </c>
      <c r="IN6" s="9">
        <v>1141</v>
      </c>
      <c r="IO6" s="9"/>
      <c r="IP6" s="9">
        <v>1843</v>
      </c>
      <c r="IQ6" s="9">
        <v>1480</v>
      </c>
      <c r="IR6" s="9">
        <v>564</v>
      </c>
      <c r="IS6" s="9">
        <v>1371</v>
      </c>
      <c r="IT6" s="9">
        <v>1421</v>
      </c>
      <c r="IU6" s="9"/>
      <c r="IV6" s="9"/>
      <c r="IW6" s="9">
        <v>1266</v>
      </c>
      <c r="IX6" s="9">
        <v>1268</v>
      </c>
      <c r="IY6" s="9">
        <v>1417</v>
      </c>
      <c r="IZ6" s="9">
        <v>1250</v>
      </c>
      <c r="JA6" s="9">
        <v>1154</v>
      </c>
      <c r="JB6" s="11">
        <v>30.32</v>
      </c>
      <c r="JC6" s="11">
        <v>40.28</v>
      </c>
      <c r="JD6" s="11">
        <v>1.71</v>
      </c>
      <c r="JE6" s="11">
        <v>6.3</v>
      </c>
      <c r="JF6" s="11"/>
      <c r="JG6" s="11">
        <v>0</v>
      </c>
      <c r="JH6" s="13">
        <v>7.31</v>
      </c>
      <c r="JI6" s="12"/>
      <c r="JJ6" s="12"/>
      <c r="JK6" s="9">
        <v>80931088.744000003</v>
      </c>
      <c r="JL6" s="9">
        <v>281250.30499999999</v>
      </c>
      <c r="JM6" s="9">
        <v>54078351.550999999</v>
      </c>
      <c r="JN6" s="9">
        <v>61052.203000000001</v>
      </c>
      <c r="JO6" s="9">
        <v>81718077.5</v>
      </c>
      <c r="JP6" s="9">
        <v>185254.50700000001</v>
      </c>
      <c r="JQ6" s="9">
        <v>59077703.112999998</v>
      </c>
      <c r="JR6" s="9">
        <v>55026.782999999981</v>
      </c>
      <c r="JS6" s="11">
        <v>306934089.37742865</v>
      </c>
      <c r="JT6" s="11">
        <v>81807.091714285722</v>
      </c>
      <c r="JU6" s="14">
        <f t="shared" si="11"/>
        <v>80931088.744000003</v>
      </c>
      <c r="JV6" s="14">
        <f t="shared" si="12"/>
        <v>281250.30499999999</v>
      </c>
      <c r="JW6" s="14">
        <f t="shared" si="13"/>
        <v>54078351.550999999</v>
      </c>
      <c r="JX6" s="14">
        <f t="shared" si="14"/>
        <v>61052.203000000001</v>
      </c>
      <c r="JY6" s="14">
        <f t="shared" si="15"/>
        <v>81718077.5</v>
      </c>
      <c r="JZ6" s="14">
        <f t="shared" si="16"/>
        <v>185254.50700000001</v>
      </c>
      <c r="KA6" s="14">
        <f t="shared" si="17"/>
        <v>59077703.112999998</v>
      </c>
      <c r="KB6" s="14">
        <f t="shared" si="18"/>
        <v>15.038999999997031</v>
      </c>
      <c r="KC6" s="14">
        <f t="shared" si="19"/>
        <v>343623.88857144117</v>
      </c>
      <c r="KD6" s="14">
        <f t="shared" si="20"/>
        <v>61.92928571428638</v>
      </c>
      <c r="KE6" s="15">
        <f>IFERROR(SUM(RD[[#This Row],[33kV_IC1_ExPort(KWh)]],RD[[#This Row],[33kV_IC2_ExPort(KWh)]],RD[[#This Row],[33kV_IC3_ExPort(KWh)]],RD[[#This Row],[33kV_IC4_ExPort(kWh)]])-SUM(RD[[#This Row],[33kV_IC1_Import(KWh)]],RD[[#This Row],[33kV_IC2_Import(KWh)]],RD[[#This Row],[33kV_IC3_Import(KWh)]],RD[[#This Row],[33kV_IC4_Import(KWh)]]),"")</f>
        <v>275277648.85399997</v>
      </c>
      <c r="KF6" s="15">
        <f t="shared" si="9"/>
        <v>343561.95928572689</v>
      </c>
      <c r="KG6" s="16">
        <f>(RD[[#This Row],[Sunset Time (POA&lt;20 W/m2)]]-RD[[#This Row],[Sunrise Time (POA&gt;20 W/m2)]])*24</f>
        <v>11.999999999999998</v>
      </c>
      <c r="KH6" s="53">
        <f>RD[[#This Row],[GHI ]]</f>
        <v>0</v>
      </c>
      <c r="KI6" s="53">
        <f>RD[[#This Row],[POA]]</f>
        <v>7.31</v>
      </c>
      <c r="KJ6" s="53">
        <f>RD[[#This Row],[AT (°C) 14 Hours]]</f>
        <v>30.32</v>
      </c>
      <c r="KK6" s="53">
        <f>RD[[#This Row],[MT (°C) Gen. Hours]]</f>
        <v>40.28</v>
      </c>
      <c r="KL6" s="53">
        <f>RD[[#This Row],[WS_Avg (m/s) (24 Hours)]]</f>
        <v>1.71</v>
      </c>
      <c r="KM6" s="53">
        <f>RD[[#This Row],[WS_Max (m/s)]]</f>
        <v>6.3</v>
      </c>
      <c r="KN6" s="54">
        <f>SUM(RD[[#This Row],[BLK1_INV1]:[BLK8_INV27]])</f>
        <v>364093.20000000019</v>
      </c>
      <c r="KO6" s="95"/>
      <c r="KP6" s="55"/>
      <c r="KQ6" s="90" t="str">
        <f>IFERROR(RD[[#This Row],[WPR_Eac]]/RD[[#This Row],[WPR_Edc]],"")</f>
        <v/>
      </c>
    </row>
    <row r="7" spans="2:303" s="256" customFormat="1" ht="15" customHeight="1" x14ac:dyDescent="0.25">
      <c r="B7" s="243">
        <f t="shared" si="10"/>
        <v>45748</v>
      </c>
      <c r="C7" s="244">
        <f>YEAR(RD[[#This Row],[Date]])+IF(MONTH(RD[[#This Row],[Date]])&gt;=4,1,0)</f>
        <v>2026</v>
      </c>
      <c r="D7" s="245">
        <f t="shared" si="7"/>
        <v>2025</v>
      </c>
      <c r="E7" s="245"/>
      <c r="F7" s="245"/>
      <c r="G7" s="246" t="str">
        <f>TEXT(RD[[#This Row],[Date]],"mmm-yy")</f>
        <v>Apr-25</v>
      </c>
      <c r="H7" s="245">
        <f t="shared" si="8"/>
        <v>30</v>
      </c>
      <c r="I7" s="244">
        <f>'Basic Data '!$S$2</f>
        <v>66750</v>
      </c>
      <c r="J7" s="247">
        <v>0.29166666666666702</v>
      </c>
      <c r="K7" s="247">
        <v>0.79166666666666696</v>
      </c>
      <c r="L7" s="244">
        <v>1577</v>
      </c>
      <c r="M7" s="244">
        <v>1616</v>
      </c>
      <c r="N7" s="244">
        <v>1507</v>
      </c>
      <c r="O7" s="244">
        <v>1509</v>
      </c>
      <c r="P7" s="244">
        <v>1568</v>
      </c>
      <c r="Q7" s="244">
        <v>1462</v>
      </c>
      <c r="R7" s="244">
        <v>1505</v>
      </c>
      <c r="S7" s="244">
        <v>1498</v>
      </c>
      <c r="T7" s="244">
        <v>1469</v>
      </c>
      <c r="U7" s="244">
        <v>1476</v>
      </c>
      <c r="V7" s="244">
        <v>1539</v>
      </c>
      <c r="W7" s="244">
        <v>1533</v>
      </c>
      <c r="X7" s="244">
        <v>1529</v>
      </c>
      <c r="Y7" s="244">
        <v>1371</v>
      </c>
      <c r="Z7" s="244">
        <v>1508</v>
      </c>
      <c r="AA7" s="244">
        <v>1488</v>
      </c>
      <c r="AB7" s="244">
        <v>1398</v>
      </c>
      <c r="AC7" s="244">
        <v>1410</v>
      </c>
      <c r="AD7" s="244">
        <v>1535</v>
      </c>
      <c r="AE7" s="244">
        <v>1600</v>
      </c>
      <c r="AF7" s="244">
        <v>1519</v>
      </c>
      <c r="AG7" s="244">
        <v>1458</v>
      </c>
      <c r="AH7" s="244">
        <v>1565</v>
      </c>
      <c r="AI7" s="244">
        <v>1487</v>
      </c>
      <c r="AJ7" s="244">
        <v>1592</v>
      </c>
      <c r="AK7" s="244">
        <v>1580</v>
      </c>
      <c r="AL7" s="244">
        <v>1565</v>
      </c>
      <c r="AM7" s="244">
        <v>1592</v>
      </c>
      <c r="AN7" s="244">
        <v>1557</v>
      </c>
      <c r="AO7" s="244">
        <v>1609</v>
      </c>
      <c r="AP7" s="244">
        <v>1590</v>
      </c>
      <c r="AQ7" s="244">
        <v>1504</v>
      </c>
      <c r="AR7" s="244">
        <v>1400</v>
      </c>
      <c r="AS7" s="244">
        <v>1797</v>
      </c>
      <c r="AT7" s="244">
        <v>1399</v>
      </c>
      <c r="AU7" s="244">
        <v>1602</v>
      </c>
      <c r="AV7" s="244">
        <v>1507</v>
      </c>
      <c r="AW7" s="244">
        <v>1442</v>
      </c>
      <c r="AX7" s="244">
        <v>1467</v>
      </c>
      <c r="AY7" s="244">
        <v>1420</v>
      </c>
      <c r="AZ7" s="244">
        <v>1465</v>
      </c>
      <c r="BA7" s="244">
        <v>1435</v>
      </c>
      <c r="BB7" s="244">
        <v>1473</v>
      </c>
      <c r="BC7" s="244">
        <v>1487</v>
      </c>
      <c r="BD7" s="244">
        <v>1492</v>
      </c>
      <c r="BE7" s="244">
        <v>1503</v>
      </c>
      <c r="BF7" s="244">
        <v>1621</v>
      </c>
      <c r="BG7" s="244">
        <v>1432</v>
      </c>
      <c r="BH7" s="244">
        <v>1510</v>
      </c>
      <c r="BI7" s="244">
        <v>1470</v>
      </c>
      <c r="BJ7" s="244">
        <v>1398</v>
      </c>
      <c r="BK7" s="244">
        <v>1420</v>
      </c>
      <c r="BL7" s="244">
        <v>1560</v>
      </c>
      <c r="BM7" s="244">
        <v>1698</v>
      </c>
      <c r="BN7" s="244">
        <v>1488</v>
      </c>
      <c r="BO7" s="244">
        <v>1598</v>
      </c>
      <c r="BP7" s="244">
        <v>1560</v>
      </c>
      <c r="BQ7" s="244">
        <v>1490</v>
      </c>
      <c r="BR7" s="244">
        <v>1590</v>
      </c>
      <c r="BS7" s="244">
        <v>1590</v>
      </c>
      <c r="BT7" s="244">
        <v>1348</v>
      </c>
      <c r="BU7" s="244">
        <v>1610</v>
      </c>
      <c r="BV7" s="244">
        <v>1390</v>
      </c>
      <c r="BW7" s="244">
        <v>1290</v>
      </c>
      <c r="BX7" s="244">
        <v>1350</v>
      </c>
      <c r="BY7" s="244">
        <v>1611</v>
      </c>
      <c r="BZ7" s="244">
        <v>1616</v>
      </c>
      <c r="CA7" s="244">
        <v>1423</v>
      </c>
      <c r="CB7" s="244">
        <v>1484</v>
      </c>
      <c r="CC7" s="244">
        <v>1489</v>
      </c>
      <c r="CD7" s="244">
        <v>1263</v>
      </c>
      <c r="CE7" s="244">
        <v>1353</v>
      </c>
      <c r="CF7" s="244">
        <v>1448</v>
      </c>
      <c r="CG7" s="244">
        <v>1511</v>
      </c>
      <c r="CH7" s="244">
        <v>1467</v>
      </c>
      <c r="CI7" s="244">
        <v>1657</v>
      </c>
      <c r="CJ7" s="244">
        <v>1680</v>
      </c>
      <c r="CK7" s="244">
        <v>1402</v>
      </c>
      <c r="CL7" s="244">
        <v>1439</v>
      </c>
      <c r="CM7" s="244">
        <v>1565</v>
      </c>
      <c r="CN7" s="244">
        <v>1498</v>
      </c>
      <c r="CO7" s="244">
        <v>1485</v>
      </c>
      <c r="CP7" s="244">
        <v>1468</v>
      </c>
      <c r="CQ7" s="244">
        <v>1478</v>
      </c>
      <c r="CR7" s="244">
        <v>1498</v>
      </c>
      <c r="CS7" s="244">
        <v>1457</v>
      </c>
      <c r="CT7" s="244">
        <v>1487</v>
      </c>
      <c r="CU7" s="244">
        <v>1411</v>
      </c>
      <c r="CV7" s="244">
        <v>1410</v>
      </c>
      <c r="CW7" s="244">
        <v>1434</v>
      </c>
      <c r="CX7" s="244">
        <v>1510</v>
      </c>
      <c r="CY7" s="244">
        <v>1510</v>
      </c>
      <c r="CZ7" s="244">
        <v>1502</v>
      </c>
      <c r="DA7" s="244">
        <v>1390</v>
      </c>
      <c r="DB7" s="244">
        <v>1610</v>
      </c>
      <c r="DC7" s="244">
        <v>1425</v>
      </c>
      <c r="DD7" s="244">
        <v>1446</v>
      </c>
      <c r="DE7" s="244">
        <v>1469</v>
      </c>
      <c r="DF7" s="244">
        <v>1470</v>
      </c>
      <c r="DG7" s="244">
        <v>1363</v>
      </c>
      <c r="DH7" s="244">
        <v>1496</v>
      </c>
      <c r="DI7" s="244">
        <v>1451</v>
      </c>
      <c r="DJ7" s="244">
        <v>1474</v>
      </c>
      <c r="DK7" s="244">
        <v>1427</v>
      </c>
      <c r="DL7" s="244">
        <v>1641</v>
      </c>
      <c r="DM7" s="244">
        <v>1321</v>
      </c>
      <c r="DN7" s="244">
        <v>1692</v>
      </c>
      <c r="DO7" s="244">
        <v>1630</v>
      </c>
      <c r="DP7" s="244">
        <v>1427</v>
      </c>
      <c r="DQ7" s="244">
        <v>1631</v>
      </c>
      <c r="DR7" s="244">
        <v>1516</v>
      </c>
      <c r="DS7" s="244">
        <v>1594</v>
      </c>
      <c r="DT7" s="244">
        <v>1637</v>
      </c>
      <c r="DU7" s="244">
        <v>1672</v>
      </c>
      <c r="DV7" s="244">
        <v>1453</v>
      </c>
      <c r="DW7" s="244">
        <v>1495</v>
      </c>
      <c r="DX7" s="244">
        <v>1626</v>
      </c>
      <c r="DY7" s="244">
        <v>1546</v>
      </c>
      <c r="DZ7" s="244">
        <v>1594</v>
      </c>
      <c r="EA7" s="244">
        <v>1476</v>
      </c>
      <c r="EB7" s="244">
        <v>1503</v>
      </c>
      <c r="EC7" s="244">
        <v>1591</v>
      </c>
      <c r="ED7" s="244">
        <v>1536</v>
      </c>
      <c r="EE7" s="244">
        <v>1414</v>
      </c>
      <c r="EF7" s="244">
        <v>1496</v>
      </c>
      <c r="EG7" s="244">
        <v>1590</v>
      </c>
      <c r="EH7" s="244">
        <v>0</v>
      </c>
      <c r="EI7" s="244">
        <v>1377</v>
      </c>
      <c r="EJ7" s="244">
        <v>1680</v>
      </c>
      <c r="EK7" s="244">
        <v>1678</v>
      </c>
      <c r="EL7" s="244">
        <v>1531</v>
      </c>
      <c r="EM7" s="244">
        <v>1554</v>
      </c>
      <c r="EN7" s="244">
        <v>1533</v>
      </c>
      <c r="EO7" s="244">
        <v>1190</v>
      </c>
      <c r="EP7" s="244">
        <v>1591</v>
      </c>
      <c r="EQ7" s="244">
        <v>1481</v>
      </c>
      <c r="ER7" s="244">
        <v>1564</v>
      </c>
      <c r="ES7" s="244">
        <v>1514</v>
      </c>
      <c r="ET7" s="244">
        <v>1580</v>
      </c>
      <c r="EU7" s="244">
        <v>1367</v>
      </c>
      <c r="EV7" s="244">
        <v>1406</v>
      </c>
      <c r="EW7" s="244">
        <v>1483</v>
      </c>
      <c r="EX7" s="244">
        <v>1488</v>
      </c>
      <c r="EY7" s="244">
        <v>1506</v>
      </c>
      <c r="EZ7" s="244">
        <v>1285</v>
      </c>
      <c r="FA7" s="244">
        <v>1676</v>
      </c>
      <c r="FB7" s="244">
        <v>1474</v>
      </c>
      <c r="FC7" s="244">
        <v>1340</v>
      </c>
      <c r="FD7" s="244">
        <v>1556</v>
      </c>
      <c r="FE7" s="244">
        <v>1563</v>
      </c>
      <c r="FF7" s="244">
        <v>1603</v>
      </c>
      <c r="FG7" s="244">
        <v>1461</v>
      </c>
      <c r="FH7" s="244">
        <v>1611</v>
      </c>
      <c r="FI7" s="244">
        <v>1509</v>
      </c>
      <c r="FJ7" s="244">
        <v>1427</v>
      </c>
      <c r="FK7" s="244">
        <v>1410</v>
      </c>
      <c r="FL7" s="244">
        <v>1410</v>
      </c>
      <c r="FM7" s="244">
        <v>1403</v>
      </c>
      <c r="FN7" s="244">
        <v>1291</v>
      </c>
      <c r="FO7" s="244">
        <v>1257</v>
      </c>
      <c r="FP7" s="244">
        <v>1498</v>
      </c>
      <c r="FQ7" s="244">
        <v>1334</v>
      </c>
      <c r="FR7" s="244">
        <v>1271</v>
      </c>
      <c r="FS7" s="244">
        <v>1370</v>
      </c>
      <c r="FT7" s="244">
        <v>1490</v>
      </c>
      <c r="FU7" s="244">
        <v>1390</v>
      </c>
      <c r="FV7" s="244">
        <v>1337</v>
      </c>
      <c r="FW7" s="244">
        <v>1580</v>
      </c>
      <c r="FX7" s="244">
        <v>1430</v>
      </c>
      <c r="FY7" s="244">
        <v>1336</v>
      </c>
      <c r="FZ7" s="244">
        <v>1386</v>
      </c>
      <c r="GA7" s="244">
        <v>1391</v>
      </c>
      <c r="GB7" s="244">
        <v>1556</v>
      </c>
      <c r="GC7" s="244">
        <v>1471</v>
      </c>
      <c r="GD7" s="244">
        <v>1591</v>
      </c>
      <c r="GE7" s="244">
        <v>1470</v>
      </c>
      <c r="GF7" s="244">
        <v>1453</v>
      </c>
      <c r="GG7" s="244">
        <v>1311</v>
      </c>
      <c r="GH7" s="244">
        <v>1720</v>
      </c>
      <c r="GI7" s="244">
        <v>1521</v>
      </c>
      <c r="GJ7" s="244">
        <v>1502</v>
      </c>
      <c r="GK7" s="244">
        <v>1547</v>
      </c>
      <c r="GL7" s="244">
        <v>1481</v>
      </c>
      <c r="GM7" s="244">
        <v>1526</v>
      </c>
      <c r="GN7" s="244">
        <v>1548</v>
      </c>
      <c r="GO7" s="244">
        <v>1544</v>
      </c>
      <c r="GP7" s="244">
        <v>1544</v>
      </c>
      <c r="GQ7" s="244">
        <v>1548</v>
      </c>
      <c r="GR7" s="244">
        <v>1469</v>
      </c>
      <c r="GS7" s="244">
        <v>1396</v>
      </c>
      <c r="GT7" s="244">
        <v>1372</v>
      </c>
      <c r="GU7" s="244">
        <v>1404</v>
      </c>
      <c r="GV7" s="244">
        <v>1390</v>
      </c>
      <c r="GW7" s="244">
        <v>1381</v>
      </c>
      <c r="GX7" s="244">
        <v>1505</v>
      </c>
      <c r="GY7" s="244">
        <v>1354</v>
      </c>
      <c r="GZ7" s="244">
        <v>1255</v>
      </c>
      <c r="HA7" s="244">
        <v>1525</v>
      </c>
      <c r="HB7" s="244"/>
      <c r="HC7" s="244"/>
      <c r="HD7" s="244">
        <v>1299</v>
      </c>
      <c r="HE7" s="244">
        <v>1048</v>
      </c>
      <c r="HF7" s="244">
        <v>1492</v>
      </c>
      <c r="HG7" s="244"/>
      <c r="HH7" s="244">
        <v>1618</v>
      </c>
      <c r="HI7" s="244">
        <v>1390</v>
      </c>
      <c r="HJ7" s="244">
        <v>1468</v>
      </c>
      <c r="HK7" s="244">
        <v>1417</v>
      </c>
      <c r="HL7" s="244">
        <v>1461</v>
      </c>
      <c r="HM7" s="244">
        <v>1462</v>
      </c>
      <c r="HN7" s="244">
        <v>1476</v>
      </c>
      <c r="HO7" s="244">
        <v>1488</v>
      </c>
      <c r="HP7" s="244">
        <v>1488</v>
      </c>
      <c r="HQ7" s="244">
        <v>1496</v>
      </c>
      <c r="HR7" s="244">
        <v>1506</v>
      </c>
      <c r="HS7" s="244">
        <v>1501</v>
      </c>
      <c r="HT7" s="244">
        <v>1478</v>
      </c>
      <c r="HU7" s="244">
        <v>1691</v>
      </c>
      <c r="HV7" s="244">
        <v>1338</v>
      </c>
      <c r="HW7" s="244">
        <v>1257</v>
      </c>
      <c r="HX7" s="244">
        <v>1080</v>
      </c>
      <c r="HY7" s="244">
        <v>930</v>
      </c>
      <c r="HZ7" s="244">
        <v>998</v>
      </c>
      <c r="IA7" s="244">
        <v>1181</v>
      </c>
      <c r="IB7" s="244">
        <v>1368</v>
      </c>
      <c r="IC7" s="244">
        <v>1550</v>
      </c>
      <c r="ID7" s="244">
        <v>1350</v>
      </c>
      <c r="IE7" s="244">
        <v>1406</v>
      </c>
      <c r="IF7" s="244">
        <v>1490</v>
      </c>
      <c r="IG7" s="244">
        <v>1520</v>
      </c>
      <c r="IH7" s="244">
        <v>1480</v>
      </c>
      <c r="II7" s="244">
        <v>1491</v>
      </c>
      <c r="IJ7" s="244">
        <v>1111</v>
      </c>
      <c r="IK7" s="244">
        <v>1313</v>
      </c>
      <c r="IL7" s="244">
        <v>1188</v>
      </c>
      <c r="IM7" s="244">
        <v>1298</v>
      </c>
      <c r="IN7" s="244">
        <v>1052</v>
      </c>
      <c r="IO7" s="244"/>
      <c r="IP7" s="244">
        <v>1760</v>
      </c>
      <c r="IQ7" s="244">
        <v>1470</v>
      </c>
      <c r="IR7" s="244">
        <v>590</v>
      </c>
      <c r="IS7" s="244">
        <v>1380</v>
      </c>
      <c r="IT7" s="244">
        <v>1298</v>
      </c>
      <c r="IU7" s="244"/>
      <c r="IV7" s="244"/>
      <c r="IW7" s="244">
        <v>1385</v>
      </c>
      <c r="IX7" s="244">
        <v>1184</v>
      </c>
      <c r="IY7" s="244">
        <v>1410</v>
      </c>
      <c r="IZ7" s="244">
        <v>1230</v>
      </c>
      <c r="JA7" s="244">
        <v>1150</v>
      </c>
      <c r="JB7" s="248">
        <v>25.08</v>
      </c>
      <c r="JC7" s="248">
        <v>40.950000000000003</v>
      </c>
      <c r="JD7" s="248">
        <v>1.76</v>
      </c>
      <c r="JE7" s="248">
        <v>5.3</v>
      </c>
      <c r="JF7" s="248"/>
      <c r="JG7" s="248">
        <v>0</v>
      </c>
      <c r="JH7" s="249">
        <v>7.18</v>
      </c>
      <c r="JI7" s="250"/>
      <c r="JJ7" s="250"/>
      <c r="JK7" s="244">
        <v>81024220.216999993</v>
      </c>
      <c r="JL7" s="244">
        <v>281265.89299999998</v>
      </c>
      <c r="JM7" s="244">
        <v>54170029.174999997</v>
      </c>
      <c r="JN7" s="244">
        <v>61064.408000000003</v>
      </c>
      <c r="JO7" s="244">
        <v>81809917.613999993</v>
      </c>
      <c r="JP7" s="244">
        <v>185282.99900000001</v>
      </c>
      <c r="JQ7" s="244">
        <v>59149543.494000003</v>
      </c>
      <c r="JR7" s="244">
        <v>55041.822</v>
      </c>
      <c r="JS7" s="248">
        <v>307277713.26599997</v>
      </c>
      <c r="JT7" s="248">
        <v>81869.020999999993</v>
      </c>
      <c r="JU7" s="251">
        <f t="shared" si="11"/>
        <v>93131.472999989986</v>
      </c>
      <c r="JV7" s="251">
        <f t="shared" si="12"/>
        <v>15.587999999988824</v>
      </c>
      <c r="JW7" s="251">
        <f t="shared" si="13"/>
        <v>91677.623999997973</v>
      </c>
      <c r="JX7" s="251">
        <f t="shared" si="14"/>
        <v>12.205000000001746</v>
      </c>
      <c r="JY7" s="251">
        <f t="shared" si="15"/>
        <v>91840.113999992609</v>
      </c>
      <c r="JZ7" s="251">
        <f t="shared" si="16"/>
        <v>28.49199999999837</v>
      </c>
      <c r="KA7" s="251">
        <f t="shared" si="17"/>
        <v>71840.381000004709</v>
      </c>
      <c r="KB7" s="251">
        <f t="shared" si="18"/>
        <v>15.039000000018859</v>
      </c>
      <c r="KC7" s="251">
        <f t="shared" si="19"/>
        <v>343623.88857132196</v>
      </c>
      <c r="KD7" s="251">
        <f t="shared" si="20"/>
        <v>61.929285714271828</v>
      </c>
      <c r="KE7" s="252">
        <f>IFERROR(SUM(RD[[#This Row],[33kV_IC1_ExPort(KWh)]],RD[[#This Row],[33kV_IC2_ExPort(KWh)]],RD[[#This Row],[33kV_IC3_ExPort(KWh)]],RD[[#This Row],[33kV_IC4_ExPort(kWh)]])-SUM(RD[[#This Row],[33kV_IC1_Import(KWh)]],RD[[#This Row],[33kV_IC2_Import(KWh)]],RD[[#This Row],[33kV_IC3_Import(KWh)]],RD[[#This Row],[33kV_IC4_Import(KWh)]]),"")</f>
        <v>348418.26799998526</v>
      </c>
      <c r="KF7" s="252">
        <f t="shared" si="9"/>
        <v>343561.95928560768</v>
      </c>
      <c r="KG7" s="253">
        <f>(RD[[#This Row],[Sunset Time (POA&lt;20 W/m2)]]-RD[[#This Row],[Sunrise Time (POA&gt;20 W/m2)]])*24</f>
        <v>11.999999999999998</v>
      </c>
      <c r="KH7" s="248">
        <f>RD[[#This Row],[GHI ]]</f>
        <v>0</v>
      </c>
      <c r="KI7" s="248">
        <f>RD[[#This Row],[POA]]</f>
        <v>7.18</v>
      </c>
      <c r="KJ7" s="248">
        <f>RD[[#This Row],[AT (°C) 14 Hours]]</f>
        <v>25.08</v>
      </c>
      <c r="KK7" s="248">
        <f>RD[[#This Row],[MT (°C) Gen. Hours]]</f>
        <v>40.950000000000003</v>
      </c>
      <c r="KL7" s="248">
        <f>RD[[#This Row],[WS_Avg (m/s) (24 Hours)]]</f>
        <v>1.76</v>
      </c>
      <c r="KM7" s="248">
        <f>RD[[#This Row],[WS_Max (m/s)]]</f>
        <v>5.3</v>
      </c>
      <c r="KN7" s="244">
        <f>SUM(RD[[#This Row],[BLK1_INV1]:[BLK8_INV27]])</f>
        <v>354559</v>
      </c>
      <c r="KO7" s="254"/>
      <c r="KP7" s="248"/>
      <c r="KQ7" s="255" t="str">
        <f>IFERROR(RD[[#This Row],[WPR_Eac]]/RD[[#This Row],[WPR_Edc]],"")</f>
        <v/>
      </c>
    </row>
    <row r="8" spans="2:303" ht="15" customHeight="1" x14ac:dyDescent="0.25">
      <c r="B8" s="52">
        <f t="shared" si="10"/>
        <v>45749</v>
      </c>
      <c r="C8" s="215">
        <f>YEAR(RD[[#This Row],[Date]])+IF(MONTH(RD[[#This Row],[Date]])&gt;=4,1,0)</f>
        <v>2026</v>
      </c>
      <c r="D8" s="129">
        <f t="shared" ref="D8:D13" si="21">YEAR(B8)</f>
        <v>2025</v>
      </c>
      <c r="E8" s="216"/>
      <c r="F8" s="216"/>
      <c r="G8" s="217" t="str">
        <f>TEXT(RD[[#This Row],[Date]],"mmm-yy")</f>
        <v>Apr-25</v>
      </c>
      <c r="H8" s="129">
        <f t="shared" ref="H8:H13" si="22">DAY(EOMONTH(B8,0))</f>
        <v>30</v>
      </c>
      <c r="I8" s="215">
        <f>'Basic Data '!$S$2</f>
        <v>66750</v>
      </c>
      <c r="J8" s="10">
        <v>0.29166666666666702</v>
      </c>
      <c r="K8" s="10">
        <v>0.79166666666666696</v>
      </c>
      <c r="L8" s="278">
        <v>1496</v>
      </c>
      <c r="M8" s="278">
        <v>1535</v>
      </c>
      <c r="N8" s="278">
        <v>1432</v>
      </c>
      <c r="O8" s="278">
        <v>1434</v>
      </c>
      <c r="P8" s="278">
        <v>1510</v>
      </c>
      <c r="Q8" s="278">
        <v>1388</v>
      </c>
      <c r="R8" s="278">
        <v>1470</v>
      </c>
      <c r="S8" s="278">
        <v>1398</v>
      </c>
      <c r="T8" s="278">
        <v>1390</v>
      </c>
      <c r="U8" s="278">
        <v>1404</v>
      </c>
      <c r="V8" s="278">
        <v>1498</v>
      </c>
      <c r="W8" s="278">
        <v>1454</v>
      </c>
      <c r="X8" s="278">
        <v>1451</v>
      </c>
      <c r="Y8" s="278">
        <v>1304</v>
      </c>
      <c r="Z8" s="278">
        <v>1370</v>
      </c>
      <c r="AA8" s="278">
        <v>1415</v>
      </c>
      <c r="AB8" s="278">
        <v>1352</v>
      </c>
      <c r="AC8" s="278">
        <v>1360</v>
      </c>
      <c r="AD8" s="278">
        <v>1511</v>
      </c>
      <c r="AE8" s="278">
        <v>1547</v>
      </c>
      <c r="AF8" s="278">
        <v>1439</v>
      </c>
      <c r="AG8" s="278">
        <v>1384</v>
      </c>
      <c r="AH8" s="278">
        <v>1583</v>
      </c>
      <c r="AI8" s="278">
        <v>1480</v>
      </c>
      <c r="AJ8" s="278">
        <v>1562</v>
      </c>
      <c r="AK8" s="278">
        <v>1558</v>
      </c>
      <c r="AL8" s="278">
        <v>1551</v>
      </c>
      <c r="AM8" s="278">
        <v>1580</v>
      </c>
      <c r="AN8" s="278">
        <v>1546</v>
      </c>
      <c r="AO8" s="278">
        <v>1599</v>
      </c>
      <c r="AP8" s="278">
        <v>1526</v>
      </c>
      <c r="AQ8" s="278">
        <v>1490</v>
      </c>
      <c r="AR8" s="278">
        <v>1330</v>
      </c>
      <c r="AS8" s="278">
        <v>1703</v>
      </c>
      <c r="AT8" s="278">
        <v>1370</v>
      </c>
      <c r="AU8" s="278">
        <v>1522</v>
      </c>
      <c r="AV8" s="278">
        <v>1467</v>
      </c>
      <c r="AW8" s="278">
        <v>1380</v>
      </c>
      <c r="AX8" s="278">
        <v>1409</v>
      </c>
      <c r="AY8" s="278">
        <v>1449</v>
      </c>
      <c r="AZ8" s="278">
        <v>1402</v>
      </c>
      <c r="BA8" s="278">
        <v>1381</v>
      </c>
      <c r="BB8" s="278">
        <v>1414</v>
      </c>
      <c r="BC8" s="278">
        <v>1427</v>
      </c>
      <c r="BD8" s="278">
        <v>1418</v>
      </c>
      <c r="BE8" s="278">
        <v>1439</v>
      </c>
      <c r="BF8" s="278">
        <v>1538</v>
      </c>
      <c r="BG8" s="278">
        <v>1358</v>
      </c>
      <c r="BH8" s="278">
        <v>1480</v>
      </c>
      <c r="BI8" s="278">
        <v>1410</v>
      </c>
      <c r="BJ8" s="278">
        <v>1370</v>
      </c>
      <c r="BK8" s="278">
        <v>1378</v>
      </c>
      <c r="BL8" s="278">
        <v>1507</v>
      </c>
      <c r="BM8" s="278">
        <v>1561</v>
      </c>
      <c r="BN8" s="278">
        <v>1480</v>
      </c>
      <c r="BO8" s="278">
        <v>1490</v>
      </c>
      <c r="BP8" s="278">
        <v>1510</v>
      </c>
      <c r="BQ8" s="278">
        <v>1404</v>
      </c>
      <c r="BR8" s="278">
        <v>1568</v>
      </c>
      <c r="BS8" s="278">
        <v>1520</v>
      </c>
      <c r="BT8" s="278">
        <v>1413</v>
      </c>
      <c r="BU8" s="278">
        <v>1563</v>
      </c>
      <c r="BV8" s="278">
        <v>1340</v>
      </c>
      <c r="BW8" s="278">
        <v>1300</v>
      </c>
      <c r="BX8" s="278">
        <v>1410</v>
      </c>
      <c r="BY8" s="278">
        <v>1573</v>
      </c>
      <c r="BZ8" s="278">
        <v>1581</v>
      </c>
      <c r="CA8" s="278">
        <v>1410</v>
      </c>
      <c r="CB8" s="278">
        <v>1436</v>
      </c>
      <c r="CC8" s="278">
        <v>1444</v>
      </c>
      <c r="CD8" s="278">
        <v>1278</v>
      </c>
      <c r="CE8" s="278">
        <v>1319</v>
      </c>
      <c r="CF8" s="278">
        <v>1390</v>
      </c>
      <c r="CG8" s="278">
        <v>1464</v>
      </c>
      <c r="CH8" s="278">
        <v>1498</v>
      </c>
      <c r="CI8" s="278">
        <v>1571</v>
      </c>
      <c r="CJ8" s="278">
        <v>1594</v>
      </c>
      <c r="CK8" s="278">
        <v>1333</v>
      </c>
      <c r="CL8" s="278">
        <v>1364</v>
      </c>
      <c r="CM8" s="278">
        <v>1499</v>
      </c>
      <c r="CN8" s="278">
        <v>1418</v>
      </c>
      <c r="CO8" s="278">
        <v>1406</v>
      </c>
      <c r="CP8" s="278">
        <v>1390</v>
      </c>
      <c r="CQ8" s="278">
        <v>1402</v>
      </c>
      <c r="CR8" s="278">
        <v>1423</v>
      </c>
      <c r="CS8" s="278">
        <v>1389</v>
      </c>
      <c r="CT8" s="278">
        <v>1438</v>
      </c>
      <c r="CU8" s="278">
        <v>1361</v>
      </c>
      <c r="CV8" s="278">
        <v>1420</v>
      </c>
      <c r="CW8" s="278">
        <v>1394</v>
      </c>
      <c r="CX8" s="278">
        <v>1490</v>
      </c>
      <c r="CY8" s="278">
        <v>1490</v>
      </c>
      <c r="CZ8" s="278">
        <v>1456</v>
      </c>
      <c r="DA8" s="278">
        <v>1300</v>
      </c>
      <c r="DB8" s="278">
        <v>1582</v>
      </c>
      <c r="DC8" s="278">
        <v>1351</v>
      </c>
      <c r="DD8" s="278">
        <v>1371</v>
      </c>
      <c r="DE8" s="278">
        <v>1399</v>
      </c>
      <c r="DF8" s="278">
        <v>1393</v>
      </c>
      <c r="DG8" s="278">
        <v>1340</v>
      </c>
      <c r="DH8" s="278">
        <v>1417</v>
      </c>
      <c r="DI8" s="278">
        <v>1374</v>
      </c>
      <c r="DJ8" s="278">
        <v>1397</v>
      </c>
      <c r="DK8" s="278">
        <v>1355</v>
      </c>
      <c r="DL8" s="278">
        <v>1583</v>
      </c>
      <c r="DM8" s="278">
        <v>1290</v>
      </c>
      <c r="DN8" s="278">
        <v>1623</v>
      </c>
      <c r="DO8" s="278">
        <v>1547</v>
      </c>
      <c r="DP8" s="278">
        <v>1351</v>
      </c>
      <c r="DQ8" s="278">
        <v>1581</v>
      </c>
      <c r="DR8" s="278">
        <v>1472</v>
      </c>
      <c r="DS8" s="278">
        <v>1511</v>
      </c>
      <c r="DT8" s="278">
        <v>1562</v>
      </c>
      <c r="DU8" s="278">
        <v>1586</v>
      </c>
      <c r="DV8" s="278">
        <v>1381</v>
      </c>
      <c r="DW8" s="278">
        <v>1416</v>
      </c>
      <c r="DX8" s="278">
        <v>1544</v>
      </c>
      <c r="DY8" s="278">
        <v>1519</v>
      </c>
      <c r="DZ8" s="278">
        <v>1543</v>
      </c>
      <c r="EA8" s="278">
        <v>1432</v>
      </c>
      <c r="EB8" s="278">
        <v>1468</v>
      </c>
      <c r="EC8" s="278">
        <v>1549</v>
      </c>
      <c r="ED8" s="278">
        <v>1507</v>
      </c>
      <c r="EE8" s="278">
        <v>1387</v>
      </c>
      <c r="EF8" s="278">
        <v>1456</v>
      </c>
      <c r="EG8" s="278">
        <v>1577</v>
      </c>
      <c r="EH8" s="278">
        <v>0</v>
      </c>
      <c r="EI8" s="278">
        <v>1341</v>
      </c>
      <c r="EJ8" s="278">
        <v>1646</v>
      </c>
      <c r="EK8" s="278">
        <v>1631</v>
      </c>
      <c r="EL8" s="278">
        <v>1498</v>
      </c>
      <c r="EM8" s="278">
        <v>1510</v>
      </c>
      <c r="EN8" s="278">
        <v>1488</v>
      </c>
      <c r="EO8" s="278">
        <v>1178</v>
      </c>
      <c r="EP8" s="278">
        <v>1507</v>
      </c>
      <c r="EQ8" s="278">
        <v>1490</v>
      </c>
      <c r="ER8" s="278">
        <v>1482</v>
      </c>
      <c r="ES8" s="278">
        <v>1387</v>
      </c>
      <c r="ET8" s="278">
        <v>1495</v>
      </c>
      <c r="EU8" s="278">
        <v>1292</v>
      </c>
      <c r="EV8" s="278">
        <v>1398</v>
      </c>
      <c r="EW8" s="278">
        <v>1411</v>
      </c>
      <c r="EX8" s="278">
        <v>1413</v>
      </c>
      <c r="EY8" s="278">
        <v>1426</v>
      </c>
      <c r="EZ8" s="278">
        <v>1278</v>
      </c>
      <c r="FA8" s="278">
        <v>1586</v>
      </c>
      <c r="FB8" s="278">
        <v>1396</v>
      </c>
      <c r="FC8" s="278">
        <v>1274</v>
      </c>
      <c r="FD8" s="278">
        <v>1492</v>
      </c>
      <c r="FE8" s="278">
        <v>1487</v>
      </c>
      <c r="FF8" s="278">
        <v>1529</v>
      </c>
      <c r="FG8" s="278">
        <v>1414</v>
      </c>
      <c r="FH8" s="278">
        <v>1531</v>
      </c>
      <c r="FI8" s="278">
        <v>1422</v>
      </c>
      <c r="FJ8" s="278">
        <v>1391</v>
      </c>
      <c r="FK8" s="278">
        <v>1369</v>
      </c>
      <c r="FL8" s="278">
        <v>1387</v>
      </c>
      <c r="FM8" s="278">
        <v>1333</v>
      </c>
      <c r="FN8" s="278">
        <v>1290</v>
      </c>
      <c r="FO8" s="278">
        <v>1292</v>
      </c>
      <c r="FP8" s="278">
        <v>1445</v>
      </c>
      <c r="FQ8" s="278">
        <v>1282</v>
      </c>
      <c r="FR8" s="278">
        <v>1360</v>
      </c>
      <c r="FS8" s="278">
        <v>1378</v>
      </c>
      <c r="FT8" s="278">
        <v>1478</v>
      </c>
      <c r="FU8" s="278">
        <v>1398</v>
      </c>
      <c r="FV8" s="278">
        <v>1335</v>
      </c>
      <c r="FW8" s="278">
        <v>1501</v>
      </c>
      <c r="FX8" s="278">
        <v>1398</v>
      </c>
      <c r="FY8" s="278">
        <v>1378</v>
      </c>
      <c r="FZ8" s="278">
        <v>1390</v>
      </c>
      <c r="GA8" s="278">
        <v>1321</v>
      </c>
      <c r="GB8" s="278">
        <v>1477</v>
      </c>
      <c r="GC8" s="278">
        <v>1397</v>
      </c>
      <c r="GD8" s="278">
        <v>1508</v>
      </c>
      <c r="GE8" s="278">
        <v>1392</v>
      </c>
      <c r="GF8" s="278">
        <v>1373</v>
      </c>
      <c r="GG8" s="278">
        <v>1242</v>
      </c>
      <c r="GH8" s="278">
        <v>1630</v>
      </c>
      <c r="GI8" s="278">
        <v>1441</v>
      </c>
      <c r="GJ8" s="278">
        <v>1419</v>
      </c>
      <c r="GK8" s="278">
        <v>1464</v>
      </c>
      <c r="GL8" s="278">
        <v>1505</v>
      </c>
      <c r="GM8" s="278">
        <v>1445</v>
      </c>
      <c r="GN8" s="278">
        <v>1467</v>
      </c>
      <c r="GO8" s="278">
        <v>1510</v>
      </c>
      <c r="GP8" s="278">
        <v>1460</v>
      </c>
      <c r="GQ8" s="278">
        <v>1467</v>
      </c>
      <c r="GR8" s="278">
        <v>1393</v>
      </c>
      <c r="GS8" s="278">
        <v>1410</v>
      </c>
      <c r="GT8" s="278">
        <v>1296</v>
      </c>
      <c r="GU8" s="278">
        <v>1320</v>
      </c>
      <c r="GV8" s="278">
        <v>1313</v>
      </c>
      <c r="GW8" s="278">
        <v>1305</v>
      </c>
      <c r="GX8" s="278">
        <v>1425</v>
      </c>
      <c r="GY8" s="278">
        <v>1282</v>
      </c>
      <c r="GZ8" s="278">
        <v>1188</v>
      </c>
      <c r="HA8" s="278">
        <v>1446</v>
      </c>
      <c r="HB8" s="278"/>
      <c r="HC8" s="278"/>
      <c r="HD8" s="278">
        <v>1265</v>
      </c>
      <c r="HE8" s="278">
        <v>990</v>
      </c>
      <c r="HF8" s="278">
        <v>1410</v>
      </c>
      <c r="HG8" s="278"/>
      <c r="HH8" s="278">
        <v>1534</v>
      </c>
      <c r="HI8" s="278">
        <v>1310</v>
      </c>
      <c r="HJ8" s="278">
        <v>1390</v>
      </c>
      <c r="HK8" s="278">
        <v>1339</v>
      </c>
      <c r="HL8" s="278">
        <v>1387</v>
      </c>
      <c r="HM8" s="278">
        <v>1387</v>
      </c>
      <c r="HN8" s="278">
        <v>1401</v>
      </c>
      <c r="HO8" s="278">
        <v>1412</v>
      </c>
      <c r="HP8" s="278">
        <v>1411</v>
      </c>
      <c r="HQ8" s="278">
        <v>1422</v>
      </c>
      <c r="HR8" s="278">
        <v>1470</v>
      </c>
      <c r="HS8" s="278">
        <v>1490</v>
      </c>
      <c r="HT8" s="278">
        <v>1460</v>
      </c>
      <c r="HU8" s="278">
        <v>1710</v>
      </c>
      <c r="HV8" s="278">
        <v>1272</v>
      </c>
      <c r="HW8" s="278">
        <v>1186</v>
      </c>
      <c r="HX8" s="278" t="s">
        <v>437</v>
      </c>
      <c r="HY8" s="278">
        <v>910</v>
      </c>
      <c r="HZ8" s="278">
        <v>992</v>
      </c>
      <c r="IA8" s="278">
        <v>1173</v>
      </c>
      <c r="IB8" s="278">
        <v>1363</v>
      </c>
      <c r="IC8" s="278">
        <v>1546</v>
      </c>
      <c r="ID8" s="278">
        <v>1344</v>
      </c>
      <c r="IE8" s="278">
        <v>1400</v>
      </c>
      <c r="IF8" s="278">
        <v>1510</v>
      </c>
      <c r="IG8" s="278">
        <v>1498</v>
      </c>
      <c r="IH8" s="278">
        <v>1472</v>
      </c>
      <c r="II8" s="278">
        <v>1489</v>
      </c>
      <c r="IJ8" s="278">
        <v>1123</v>
      </c>
      <c r="IK8" s="278">
        <v>1303</v>
      </c>
      <c r="IL8" s="278">
        <v>1177</v>
      </c>
      <c r="IM8" s="278">
        <v>1289</v>
      </c>
      <c r="IN8" s="278">
        <v>1043</v>
      </c>
      <c r="IO8" s="278"/>
      <c r="IP8" s="278">
        <v>1175</v>
      </c>
      <c r="IQ8" s="278">
        <v>1450</v>
      </c>
      <c r="IR8" s="278">
        <v>690</v>
      </c>
      <c r="IS8" s="278">
        <v>1310</v>
      </c>
      <c r="IT8" s="278">
        <v>1290</v>
      </c>
      <c r="IU8" s="278"/>
      <c r="IV8" s="278"/>
      <c r="IW8" s="278">
        <v>1368</v>
      </c>
      <c r="IX8" s="278">
        <v>1012</v>
      </c>
      <c r="IY8" s="278">
        <v>1390</v>
      </c>
      <c r="IZ8" s="278">
        <v>1190</v>
      </c>
      <c r="JA8" s="278">
        <v>1158</v>
      </c>
      <c r="JB8" s="279">
        <v>26.5</v>
      </c>
      <c r="JC8" s="279">
        <v>39.700000000000003</v>
      </c>
      <c r="JD8" s="279">
        <v>1.9</v>
      </c>
      <c r="JE8" s="279">
        <v>5.9</v>
      </c>
      <c r="JF8" s="279"/>
      <c r="JG8" s="11">
        <v>0</v>
      </c>
      <c r="JH8" s="280">
        <v>6.87</v>
      </c>
      <c r="JI8" s="281"/>
      <c r="JJ8" s="281"/>
      <c r="JK8" s="278">
        <v>81114928.986000001</v>
      </c>
      <c r="JL8" s="278">
        <v>281280.78399999999</v>
      </c>
      <c r="JM8" s="278">
        <v>54257592.783</v>
      </c>
      <c r="JN8" s="278">
        <v>61077.805999999997</v>
      </c>
      <c r="JO8" s="278">
        <v>81897649.596000001</v>
      </c>
      <c r="JP8" s="278">
        <v>185319.82800000001</v>
      </c>
      <c r="JQ8" s="278">
        <v>59218660.671999998</v>
      </c>
      <c r="JR8" s="278">
        <v>55054.694000000003</v>
      </c>
      <c r="JS8" s="279">
        <v>307612421.63599998</v>
      </c>
      <c r="JT8" s="279">
        <v>81927.036999999997</v>
      </c>
      <c r="JU8" s="14">
        <f t="shared" ref="JU8:KD15" si="23">IF((JK8-JK7)&lt;0,"",(JK8-JK7))</f>
        <v>90708.769000008702</v>
      </c>
      <c r="JV8" s="14">
        <f t="shared" si="23"/>
        <v>14.89100000000326</v>
      </c>
      <c r="JW8" s="14">
        <f t="shared" si="23"/>
        <v>87563.608000002801</v>
      </c>
      <c r="JX8" s="14">
        <f t="shared" si="23"/>
        <v>13.397999999993772</v>
      </c>
      <c r="JY8" s="14">
        <f t="shared" si="23"/>
        <v>87731.982000008225</v>
      </c>
      <c r="JZ8" s="14">
        <f t="shared" si="23"/>
        <v>36.828999999997905</v>
      </c>
      <c r="KA8" s="14">
        <f t="shared" si="23"/>
        <v>69117.177999995649</v>
      </c>
      <c r="KB8" s="14">
        <f t="shared" si="23"/>
        <v>12.872000000003027</v>
      </c>
      <c r="KC8" s="14">
        <f t="shared" si="23"/>
        <v>334708.37000000477</v>
      </c>
      <c r="KD8" s="14">
        <f t="shared" si="23"/>
        <v>58.01600000000326</v>
      </c>
      <c r="KE8" s="15">
        <f>IFERROR(SUM(RD[[#This Row],[33kV_IC1_ExPort(KWh)]],RD[[#This Row],[33kV_IC2_ExPort(KWh)]],RD[[#This Row],[33kV_IC3_ExPort(KWh)]],RD[[#This Row],[33kV_IC4_ExPort(kWh)]])-SUM(RD[[#This Row],[33kV_IC1_Import(KWh)]],RD[[#This Row],[33kV_IC2_Import(KWh)]],RD[[#This Row],[33kV_IC3_Import(KWh)]],RD[[#This Row],[33kV_IC4_Import(KWh)]]),"")</f>
        <v>335043.54700001539</v>
      </c>
      <c r="KF8" s="15">
        <f>IFERROR(KC8-KD8,"")</f>
        <v>334650.35400000477</v>
      </c>
      <c r="KG8" s="219">
        <f>(RD[[#This Row],[Sunset Time (POA&lt;20 W/m2)]]-RD[[#This Row],[Sunrise Time (POA&gt;20 W/m2)]])*24</f>
        <v>11.999999999999998</v>
      </c>
      <c r="KH8" s="131">
        <f>RD[[#This Row],[GHI ]]</f>
        <v>0</v>
      </c>
      <c r="KI8" s="131">
        <f>RD[[#This Row],[POA]]</f>
        <v>6.87</v>
      </c>
      <c r="KJ8" s="131">
        <f>RD[[#This Row],[AT (°C) 14 Hours]]</f>
        <v>26.5</v>
      </c>
      <c r="KK8" s="131">
        <f>RD[[#This Row],[MT (°C) Gen. Hours]]</f>
        <v>39.700000000000003</v>
      </c>
      <c r="KL8" s="131">
        <f>RD[[#This Row],[WS_Avg (m/s) (24 Hours)]]</f>
        <v>1.9</v>
      </c>
      <c r="KM8" s="131">
        <f>RD[[#This Row],[WS_Max (m/s)]]</f>
        <v>5.9</v>
      </c>
      <c r="KN8" s="220">
        <f>SUM(RD[[#This Row],[BLK1_INV1]:[BLK8_INV27]])</f>
        <v>341179</v>
      </c>
      <c r="KO8" s="221"/>
      <c r="KP8" s="222"/>
      <c r="KQ8" s="132" t="str">
        <f>IFERROR(RD[[#This Row],[WPR_Eac]]/RD[[#This Row],[WPR_Edc]],"")</f>
        <v/>
      </c>
    </row>
    <row r="9" spans="2:303" ht="15" customHeight="1" x14ac:dyDescent="0.25">
      <c r="B9" s="52">
        <f t="shared" si="10"/>
        <v>45750</v>
      </c>
      <c r="C9" s="215">
        <f>YEAR(RD[[#This Row],[Date]])+IF(MONTH(RD[[#This Row],[Date]])&gt;=4,1,0)</f>
        <v>2026</v>
      </c>
      <c r="D9" s="129">
        <f t="shared" si="21"/>
        <v>2025</v>
      </c>
      <c r="E9" s="216"/>
      <c r="F9" s="216"/>
      <c r="G9" s="217" t="str">
        <f>TEXT(RD[[#This Row],[Date]],"mmm-yy")</f>
        <v>Apr-25</v>
      </c>
      <c r="H9" s="129">
        <f t="shared" si="22"/>
        <v>30</v>
      </c>
      <c r="I9" s="215">
        <f>'Basic Data '!$S$2</f>
        <v>66750</v>
      </c>
      <c r="J9" s="10">
        <v>0.29166666666666702</v>
      </c>
      <c r="K9" s="10">
        <v>0.79166666666666696</v>
      </c>
      <c r="L9" s="215">
        <v>1342</v>
      </c>
      <c r="M9" s="215">
        <v>1375</v>
      </c>
      <c r="N9" s="215">
        <v>1283</v>
      </c>
      <c r="O9" s="215">
        <v>1281</v>
      </c>
      <c r="P9" s="215">
        <v>1292</v>
      </c>
      <c r="Q9" s="215">
        <v>1245</v>
      </c>
      <c r="R9" s="215">
        <v>1134</v>
      </c>
      <c r="S9" s="215">
        <v>1189</v>
      </c>
      <c r="T9" s="215">
        <v>1199</v>
      </c>
      <c r="U9" s="215">
        <v>1258</v>
      </c>
      <c r="V9" s="215">
        <v>1313</v>
      </c>
      <c r="W9" s="215">
        <v>1304</v>
      </c>
      <c r="X9" s="215">
        <v>1299</v>
      </c>
      <c r="Y9" s="215">
        <v>1163</v>
      </c>
      <c r="Z9" s="215">
        <v>1230</v>
      </c>
      <c r="AA9" s="215">
        <v>1265</v>
      </c>
      <c r="AB9" s="215">
        <v>1211</v>
      </c>
      <c r="AC9" s="215">
        <v>1229</v>
      </c>
      <c r="AD9" s="215">
        <v>1379</v>
      </c>
      <c r="AE9" s="215">
        <v>1401</v>
      </c>
      <c r="AF9" s="215">
        <v>1308</v>
      </c>
      <c r="AG9" s="215">
        <v>1283</v>
      </c>
      <c r="AH9" s="215">
        <v>1422</v>
      </c>
      <c r="AI9" s="215">
        <v>1304</v>
      </c>
      <c r="AJ9" s="215">
        <v>1409</v>
      </c>
      <c r="AK9" s="215">
        <v>1404</v>
      </c>
      <c r="AL9" s="215">
        <v>1397</v>
      </c>
      <c r="AM9" s="215">
        <v>1423</v>
      </c>
      <c r="AN9" s="215">
        <v>1405</v>
      </c>
      <c r="AO9" s="215">
        <v>1447</v>
      </c>
      <c r="AP9" s="215">
        <v>1387</v>
      </c>
      <c r="AQ9" s="215">
        <v>1391</v>
      </c>
      <c r="AR9" s="215">
        <v>1197</v>
      </c>
      <c r="AS9" s="215">
        <v>1534</v>
      </c>
      <c r="AT9" s="215">
        <v>1194</v>
      </c>
      <c r="AU9" s="215">
        <v>1444</v>
      </c>
      <c r="AV9" s="215">
        <v>1226</v>
      </c>
      <c r="AW9" s="215">
        <v>1243</v>
      </c>
      <c r="AX9" s="215">
        <v>1283</v>
      </c>
      <c r="AY9" s="215">
        <v>1315</v>
      </c>
      <c r="AZ9" s="215">
        <v>1263</v>
      </c>
      <c r="BA9" s="215">
        <v>1248</v>
      </c>
      <c r="BB9" s="215">
        <v>1296</v>
      </c>
      <c r="BC9" s="215">
        <v>1302</v>
      </c>
      <c r="BD9" s="215">
        <v>1295</v>
      </c>
      <c r="BE9" s="215">
        <v>1321</v>
      </c>
      <c r="BF9" s="215">
        <v>1398</v>
      </c>
      <c r="BG9" s="215">
        <v>1221</v>
      </c>
      <c r="BH9" s="215">
        <v>1203</v>
      </c>
      <c r="BI9" s="215">
        <v>1218</v>
      </c>
      <c r="BJ9" s="215">
        <v>1166</v>
      </c>
      <c r="BK9" s="215">
        <v>1155</v>
      </c>
      <c r="BL9" s="215">
        <v>1331</v>
      </c>
      <c r="BM9" s="215">
        <v>1406</v>
      </c>
      <c r="BN9" s="215">
        <v>1187</v>
      </c>
      <c r="BO9" s="215">
        <v>1362</v>
      </c>
      <c r="BP9" s="215">
        <v>1231</v>
      </c>
      <c r="BQ9" s="215">
        <v>1264</v>
      </c>
      <c r="BR9" s="215">
        <v>1411</v>
      </c>
      <c r="BS9" s="215">
        <v>1355</v>
      </c>
      <c r="BT9" s="215">
        <v>1272</v>
      </c>
      <c r="BU9" s="215">
        <v>1406</v>
      </c>
      <c r="BV9" s="215">
        <v>1300</v>
      </c>
      <c r="BW9" s="215">
        <v>1280</v>
      </c>
      <c r="BX9" s="215">
        <v>1156</v>
      </c>
      <c r="BY9" s="215">
        <v>1405</v>
      </c>
      <c r="BZ9" s="215">
        <v>1439</v>
      </c>
      <c r="CA9" s="215">
        <v>1253</v>
      </c>
      <c r="CB9" s="215">
        <v>1289</v>
      </c>
      <c r="CC9" s="215">
        <v>1294</v>
      </c>
      <c r="CD9" s="215">
        <v>1078</v>
      </c>
      <c r="CE9" s="215">
        <v>1191</v>
      </c>
      <c r="CF9" s="215">
        <v>1257</v>
      </c>
      <c r="CG9" s="215">
        <v>1315</v>
      </c>
      <c r="CH9" s="215">
        <v>1285</v>
      </c>
      <c r="CI9" s="215">
        <v>1450</v>
      </c>
      <c r="CJ9" s="215">
        <v>1467</v>
      </c>
      <c r="CK9" s="215">
        <v>1202</v>
      </c>
      <c r="CL9" s="215">
        <v>1249</v>
      </c>
      <c r="CM9" s="215">
        <v>1382</v>
      </c>
      <c r="CN9" s="215">
        <v>1301</v>
      </c>
      <c r="CO9" s="215">
        <v>1305</v>
      </c>
      <c r="CP9" s="215">
        <v>1298</v>
      </c>
      <c r="CQ9" s="215">
        <v>1309</v>
      </c>
      <c r="CR9" s="215">
        <v>1303</v>
      </c>
      <c r="CS9" s="215">
        <v>1268</v>
      </c>
      <c r="CT9" s="215">
        <v>1315</v>
      </c>
      <c r="CU9" s="215">
        <v>1247</v>
      </c>
      <c r="CV9" s="215">
        <v>1154</v>
      </c>
      <c r="CW9" s="215">
        <v>1274</v>
      </c>
      <c r="CX9" s="215">
        <v>1324</v>
      </c>
      <c r="CY9" s="215">
        <v>690</v>
      </c>
      <c r="CZ9" s="215">
        <v>1331</v>
      </c>
      <c r="DA9" s="215">
        <v>1125</v>
      </c>
      <c r="DB9" s="215">
        <v>1393</v>
      </c>
      <c r="DC9" s="215">
        <v>1248</v>
      </c>
      <c r="DD9" s="215">
        <v>1258</v>
      </c>
      <c r="DE9" s="215">
        <v>1284</v>
      </c>
      <c r="DF9" s="215">
        <v>1251</v>
      </c>
      <c r="DG9" s="215">
        <v>1184</v>
      </c>
      <c r="DH9" s="215">
        <v>1318</v>
      </c>
      <c r="DI9" s="215">
        <v>1285</v>
      </c>
      <c r="DJ9" s="215">
        <v>1306</v>
      </c>
      <c r="DK9" s="215">
        <v>1273</v>
      </c>
      <c r="DL9" s="215">
        <v>1448</v>
      </c>
      <c r="DM9" s="215">
        <v>1152</v>
      </c>
      <c r="DN9" s="215">
        <v>1497</v>
      </c>
      <c r="DO9" s="215">
        <v>1365</v>
      </c>
      <c r="DP9" s="215">
        <v>1244</v>
      </c>
      <c r="DQ9" s="215">
        <v>1448</v>
      </c>
      <c r="DR9" s="215">
        <v>1363</v>
      </c>
      <c r="DS9" s="215">
        <v>1358</v>
      </c>
      <c r="DT9" s="215">
        <v>1409</v>
      </c>
      <c r="DU9" s="215">
        <v>1422</v>
      </c>
      <c r="DV9" s="215">
        <v>1262</v>
      </c>
      <c r="DW9" s="215">
        <v>1272</v>
      </c>
      <c r="DX9" s="215">
        <v>1388</v>
      </c>
      <c r="DY9" s="215">
        <v>1373</v>
      </c>
      <c r="DZ9" s="215">
        <v>1420</v>
      </c>
      <c r="EA9" s="215">
        <v>1286</v>
      </c>
      <c r="EB9" s="215">
        <v>1321</v>
      </c>
      <c r="EC9" s="215">
        <v>1395</v>
      </c>
      <c r="ED9" s="215">
        <v>1356</v>
      </c>
      <c r="EE9" s="215">
        <v>1254</v>
      </c>
      <c r="EF9" s="215">
        <v>1327</v>
      </c>
      <c r="EG9" s="215">
        <v>1431</v>
      </c>
      <c r="EH9" s="215">
        <v>521</v>
      </c>
      <c r="EI9" s="215">
        <v>775</v>
      </c>
      <c r="EJ9" s="215">
        <v>1490</v>
      </c>
      <c r="EK9" s="215">
        <v>1460</v>
      </c>
      <c r="EL9" s="215">
        <v>1322</v>
      </c>
      <c r="EM9" s="215">
        <v>1326</v>
      </c>
      <c r="EN9" s="215">
        <v>1306</v>
      </c>
      <c r="EO9" s="215">
        <v>975</v>
      </c>
      <c r="EP9" s="215">
        <v>1346</v>
      </c>
      <c r="EQ9" s="215">
        <v>1178</v>
      </c>
      <c r="ER9" s="215">
        <v>1325</v>
      </c>
      <c r="ES9" s="215">
        <v>1240</v>
      </c>
      <c r="ET9" s="215">
        <v>1338</v>
      </c>
      <c r="EU9" s="215">
        <v>1175</v>
      </c>
      <c r="EV9" s="215">
        <v>1196</v>
      </c>
      <c r="EW9" s="215">
        <v>1296</v>
      </c>
      <c r="EX9" s="215">
        <v>1265</v>
      </c>
      <c r="EY9" s="215">
        <v>1274</v>
      </c>
      <c r="EZ9" s="215">
        <v>1108</v>
      </c>
      <c r="FA9" s="215">
        <v>1449</v>
      </c>
      <c r="FB9" s="215">
        <v>1293</v>
      </c>
      <c r="FC9" s="215">
        <v>1181</v>
      </c>
      <c r="FD9" s="215">
        <v>1372</v>
      </c>
      <c r="FE9" s="215">
        <v>1384</v>
      </c>
      <c r="FF9" s="215">
        <v>1412</v>
      </c>
      <c r="FG9" s="215">
        <v>1291</v>
      </c>
      <c r="FH9" s="215">
        <v>1375</v>
      </c>
      <c r="FI9" s="215">
        <v>1291</v>
      </c>
      <c r="FJ9" s="215">
        <v>1265</v>
      </c>
      <c r="FK9" s="215">
        <v>1251</v>
      </c>
      <c r="FL9" s="215">
        <v>1261</v>
      </c>
      <c r="FM9" s="215">
        <v>1202</v>
      </c>
      <c r="FN9" s="215">
        <v>1151</v>
      </c>
      <c r="FO9" s="215">
        <v>1157</v>
      </c>
      <c r="FP9" s="215">
        <v>1293</v>
      </c>
      <c r="FQ9" s="215">
        <v>1145</v>
      </c>
      <c r="FR9" s="215">
        <v>1076</v>
      </c>
      <c r="FS9" s="215">
        <v>1165</v>
      </c>
      <c r="FT9" s="215">
        <v>1144</v>
      </c>
      <c r="FU9" s="215">
        <v>966</v>
      </c>
      <c r="FV9" s="215">
        <v>1197</v>
      </c>
      <c r="FW9" s="215">
        <v>1343</v>
      </c>
      <c r="FX9" s="215">
        <v>1215</v>
      </c>
      <c r="FY9" s="215">
        <v>1137</v>
      </c>
      <c r="FZ9" s="215">
        <v>1184</v>
      </c>
      <c r="GA9" s="215">
        <v>1185</v>
      </c>
      <c r="GB9" s="215">
        <v>1323</v>
      </c>
      <c r="GC9" s="215">
        <v>1248</v>
      </c>
      <c r="GD9" s="215">
        <v>1345</v>
      </c>
      <c r="GE9" s="215">
        <v>1242</v>
      </c>
      <c r="GF9" s="215">
        <v>1228</v>
      </c>
      <c r="GG9" s="215">
        <v>1109</v>
      </c>
      <c r="GH9" s="215">
        <v>1456</v>
      </c>
      <c r="GI9" s="215">
        <v>1286</v>
      </c>
      <c r="GJ9" s="215">
        <v>1267</v>
      </c>
      <c r="GK9" s="215">
        <v>1313</v>
      </c>
      <c r="GL9" s="215">
        <v>1249</v>
      </c>
      <c r="GM9" s="215">
        <v>1290</v>
      </c>
      <c r="GN9" s="215">
        <v>1310</v>
      </c>
      <c r="GO9" s="215">
        <v>1308</v>
      </c>
      <c r="GP9" s="215">
        <v>1303</v>
      </c>
      <c r="GQ9" s="215">
        <v>1308</v>
      </c>
      <c r="GR9" s="215">
        <v>1246</v>
      </c>
      <c r="GS9" s="215">
        <v>1184</v>
      </c>
      <c r="GT9" s="215">
        <v>1164</v>
      </c>
      <c r="GU9" s="215">
        <v>1194</v>
      </c>
      <c r="GV9" s="215">
        <v>1178</v>
      </c>
      <c r="GW9" s="215">
        <v>1173</v>
      </c>
      <c r="GX9" s="215">
        <v>1284</v>
      </c>
      <c r="GY9" s="215">
        <v>1153</v>
      </c>
      <c r="GZ9" s="215">
        <v>1070</v>
      </c>
      <c r="HA9" s="215">
        <v>1302</v>
      </c>
      <c r="HB9" s="215"/>
      <c r="HC9" s="215"/>
      <c r="HD9" s="215">
        <v>1146</v>
      </c>
      <c r="HE9" s="215">
        <v>895</v>
      </c>
      <c r="HF9" s="215">
        <v>1273</v>
      </c>
      <c r="HG9" s="215"/>
      <c r="HH9" s="215">
        <v>1389</v>
      </c>
      <c r="HI9" s="215">
        <v>1124</v>
      </c>
      <c r="HJ9" s="215">
        <v>1250</v>
      </c>
      <c r="HK9" s="215">
        <v>1203</v>
      </c>
      <c r="HL9" s="215">
        <v>1252</v>
      </c>
      <c r="HM9" s="215">
        <v>1249</v>
      </c>
      <c r="HN9" s="215">
        <v>1259</v>
      </c>
      <c r="HO9" s="215">
        <v>1269</v>
      </c>
      <c r="HP9" s="215">
        <v>1269</v>
      </c>
      <c r="HQ9" s="215">
        <v>1278</v>
      </c>
      <c r="HR9" s="215">
        <v>1279</v>
      </c>
      <c r="HS9" s="215">
        <v>1277</v>
      </c>
      <c r="HT9" s="215">
        <v>1271</v>
      </c>
      <c r="HU9" s="215">
        <v>1444</v>
      </c>
      <c r="HV9" s="215">
        <v>1143</v>
      </c>
      <c r="HW9" s="215">
        <v>1062</v>
      </c>
      <c r="HX9" s="215">
        <v>919</v>
      </c>
      <c r="HY9" s="215">
        <v>762</v>
      </c>
      <c r="HZ9" s="215">
        <v>894</v>
      </c>
      <c r="IA9" s="215">
        <v>1057</v>
      </c>
      <c r="IB9" s="215">
        <v>1225</v>
      </c>
      <c r="IC9" s="215">
        <v>1391</v>
      </c>
      <c r="ID9" s="215">
        <v>1207</v>
      </c>
      <c r="IE9" s="215">
        <v>1256</v>
      </c>
      <c r="IF9" s="215">
        <v>1400</v>
      </c>
      <c r="IG9" s="215">
        <v>1385</v>
      </c>
      <c r="IH9" s="215">
        <v>1338</v>
      </c>
      <c r="II9" s="215">
        <v>1346</v>
      </c>
      <c r="IJ9" s="215">
        <v>1041</v>
      </c>
      <c r="IK9" s="215">
        <v>1174</v>
      </c>
      <c r="IL9" s="215">
        <v>1058</v>
      </c>
      <c r="IM9" s="215">
        <v>1162</v>
      </c>
      <c r="IN9" s="215">
        <v>939</v>
      </c>
      <c r="IO9" s="215"/>
      <c r="IP9" s="215">
        <v>1265</v>
      </c>
      <c r="IQ9" s="215">
        <v>1180</v>
      </c>
      <c r="IR9" s="215">
        <v>700</v>
      </c>
      <c r="IS9" s="215">
        <v>1087</v>
      </c>
      <c r="IT9" s="215">
        <v>1186</v>
      </c>
      <c r="IU9" s="215"/>
      <c r="IV9" s="215"/>
      <c r="IW9" s="215">
        <v>1012</v>
      </c>
      <c r="IX9" s="215">
        <v>815</v>
      </c>
      <c r="IY9" s="215">
        <v>1049</v>
      </c>
      <c r="IZ9" s="215">
        <v>1180</v>
      </c>
      <c r="JA9" s="215">
        <v>1110</v>
      </c>
      <c r="JB9" s="223">
        <v>25.78</v>
      </c>
      <c r="JC9" s="223">
        <v>32</v>
      </c>
      <c r="JD9" s="223">
        <v>2.63</v>
      </c>
      <c r="JE9" s="223">
        <v>5.3</v>
      </c>
      <c r="JF9" s="223"/>
      <c r="JG9" s="11">
        <v>0</v>
      </c>
      <c r="JH9" s="224"/>
      <c r="JI9" s="225"/>
      <c r="JJ9" s="225"/>
      <c r="JK9" s="215">
        <v>81196825.693000004</v>
      </c>
      <c r="JL9" s="215">
        <v>281293.33899999998</v>
      </c>
      <c r="JM9" s="215">
        <v>54337502.169</v>
      </c>
      <c r="JN9" s="215">
        <v>61098.807999999997</v>
      </c>
      <c r="JO9" s="215">
        <v>81976932.974000007</v>
      </c>
      <c r="JP9" s="215">
        <v>185359.42</v>
      </c>
      <c r="JQ9" s="215">
        <v>59281082.424999997</v>
      </c>
      <c r="JR9" s="215">
        <v>55074.059000000001</v>
      </c>
      <c r="JS9" s="223">
        <v>307915539.16600001</v>
      </c>
      <c r="JT9" s="223">
        <v>81986.654999999999</v>
      </c>
      <c r="JU9" s="14">
        <f t="shared" si="23"/>
        <v>81896.707000002265</v>
      </c>
      <c r="JV9" s="14">
        <f t="shared" si="23"/>
        <v>12.554999999993015</v>
      </c>
      <c r="JW9" s="14">
        <f t="shared" si="23"/>
        <v>79909.38599999994</v>
      </c>
      <c r="JX9" s="14">
        <f t="shared" si="23"/>
        <v>21.002000000000407</v>
      </c>
      <c r="JY9" s="14">
        <f t="shared" si="23"/>
        <v>79283.37800000608</v>
      </c>
      <c r="JZ9" s="14">
        <f t="shared" si="23"/>
        <v>39.592000000004191</v>
      </c>
      <c r="KA9" s="14">
        <f t="shared" si="23"/>
        <v>62421.752999998629</v>
      </c>
      <c r="KB9" s="14">
        <f t="shared" si="23"/>
        <v>19.364999999997963</v>
      </c>
      <c r="KC9" s="14">
        <f t="shared" si="23"/>
        <v>303117.53000003099</v>
      </c>
      <c r="KD9" s="14">
        <f t="shared" si="23"/>
        <v>59.618000000002212</v>
      </c>
      <c r="KE9" s="218">
        <f t="shared" ref="KE9:KE14" si="24">(JU9+JW9)-(JV9+JX9)</f>
        <v>161772.5360000022</v>
      </c>
      <c r="KF9" s="218">
        <f t="shared" ref="KF9:KF14" si="25">IFERROR(KC9-KD9,"")</f>
        <v>303057.91200003098</v>
      </c>
      <c r="KG9" s="219">
        <f>(RD[[#This Row],[Sunset Time (POA&lt;20 W/m2)]]-RD[[#This Row],[Sunrise Time (POA&gt;20 W/m2)]])*24</f>
        <v>11.999999999999998</v>
      </c>
      <c r="KH9" s="131">
        <f>RD[[#This Row],[GHI ]]</f>
        <v>0</v>
      </c>
      <c r="KI9" s="131">
        <f>RD[[#This Row],[POA]]</f>
        <v>0</v>
      </c>
      <c r="KJ9" s="131">
        <f>RD[[#This Row],[AT (°C) 14 Hours]]</f>
        <v>25.78</v>
      </c>
      <c r="KK9" s="131">
        <f>RD[[#This Row],[MT (°C) Gen. Hours]]</f>
        <v>32</v>
      </c>
      <c r="KL9" s="131">
        <f>RD[[#This Row],[WS_Avg (m/s) (24 Hours)]]</f>
        <v>2.63</v>
      </c>
      <c r="KM9" s="131">
        <f>RD[[#This Row],[WS_Max (m/s)]]</f>
        <v>5.3</v>
      </c>
      <c r="KN9" s="220">
        <f>SUM(RD[[#This Row],[BLK1_INV1]:[BLK8_INV27]])</f>
        <v>305040</v>
      </c>
      <c r="KO9" s="221"/>
      <c r="KP9" s="222"/>
      <c r="KQ9" s="132" t="str">
        <f>IFERROR(RD[[#This Row],[WPR_Eac]]/RD[[#This Row],[WPR_Edc]],"")</f>
        <v/>
      </c>
    </row>
    <row r="10" spans="2:303" ht="15" customHeight="1" x14ac:dyDescent="0.25">
      <c r="B10" s="52">
        <f t="shared" si="10"/>
        <v>45751</v>
      </c>
      <c r="C10" s="9">
        <f>YEAR(RD[[#This Row],[Date]])+IF(MONTH(RD[[#This Row],[Date]])&gt;=4,1,0)</f>
        <v>2026</v>
      </c>
      <c r="D10" s="6">
        <f t="shared" si="21"/>
        <v>2025</v>
      </c>
      <c r="E10" s="7"/>
      <c r="F10" s="7"/>
      <c r="G10" s="8" t="str">
        <f>TEXT(RD[[#This Row],[Date]],"mmm-yy")</f>
        <v>Apr-25</v>
      </c>
      <c r="H10" s="6">
        <f t="shared" si="22"/>
        <v>30</v>
      </c>
      <c r="I10" s="9">
        <f>'Basic Data '!$S$2</f>
        <v>66750</v>
      </c>
      <c r="J10" s="10">
        <v>0.29166666666666702</v>
      </c>
      <c r="K10" s="10">
        <v>0.79166666666666696</v>
      </c>
      <c r="L10" s="9">
        <v>1401</v>
      </c>
      <c r="M10" s="9">
        <v>1428</v>
      </c>
      <c r="N10" s="9">
        <v>1331</v>
      </c>
      <c r="O10" s="9">
        <v>1332</v>
      </c>
      <c r="P10" s="9">
        <v>1354</v>
      </c>
      <c r="Q10" s="9">
        <v>1301</v>
      </c>
      <c r="R10" s="9">
        <v>1170</v>
      </c>
      <c r="S10" s="9">
        <v>1235</v>
      </c>
      <c r="T10" s="9">
        <v>1243</v>
      </c>
      <c r="U10" s="9">
        <v>1311</v>
      </c>
      <c r="V10" s="9">
        <v>1368</v>
      </c>
      <c r="W10" s="9">
        <v>1770</v>
      </c>
      <c r="X10" s="9">
        <v>1355</v>
      </c>
      <c r="Y10" s="9">
        <v>1216</v>
      </c>
      <c r="Z10" s="9">
        <v>1282</v>
      </c>
      <c r="AA10" s="9">
        <v>1320</v>
      </c>
      <c r="AB10" s="9">
        <v>1250</v>
      </c>
      <c r="AC10" s="9">
        <v>1273</v>
      </c>
      <c r="AD10" s="9">
        <v>1420</v>
      </c>
      <c r="AE10" s="9">
        <v>1445</v>
      </c>
      <c r="AF10" s="9">
        <v>1349</v>
      </c>
      <c r="AG10" s="9">
        <v>1296</v>
      </c>
      <c r="AH10" s="9">
        <v>1476</v>
      </c>
      <c r="AI10" s="9">
        <v>1345</v>
      </c>
      <c r="AJ10" s="9">
        <v>1450</v>
      </c>
      <c r="AK10" s="9">
        <v>1445</v>
      </c>
      <c r="AL10" s="9">
        <v>1435</v>
      </c>
      <c r="AM10" s="9">
        <v>1472</v>
      </c>
      <c r="AN10" s="9">
        <v>1440</v>
      </c>
      <c r="AO10" s="9">
        <v>1489</v>
      </c>
      <c r="AP10" s="9">
        <v>1460</v>
      </c>
      <c r="AQ10" s="9">
        <v>1389</v>
      </c>
      <c r="AR10" s="9">
        <v>1241</v>
      </c>
      <c r="AS10" s="9">
        <v>1624</v>
      </c>
      <c r="AT10" s="9">
        <v>1226</v>
      </c>
      <c r="AU10" s="9">
        <v>1393</v>
      </c>
      <c r="AV10" s="9">
        <v>1267</v>
      </c>
      <c r="AW10" s="9">
        <v>1272</v>
      </c>
      <c r="AX10" s="9">
        <v>1302</v>
      </c>
      <c r="AY10" s="9">
        <v>1378</v>
      </c>
      <c r="AZ10" s="9">
        <v>1289</v>
      </c>
      <c r="BA10" s="9">
        <v>1273</v>
      </c>
      <c r="BB10" s="9">
        <v>1311</v>
      </c>
      <c r="BC10" s="9">
        <v>1318</v>
      </c>
      <c r="BD10" s="9">
        <v>1424</v>
      </c>
      <c r="BE10" s="9">
        <v>1349</v>
      </c>
      <c r="BF10" s="9">
        <v>1441</v>
      </c>
      <c r="BG10" s="9">
        <v>1256</v>
      </c>
      <c r="BH10" s="9">
        <v>1264</v>
      </c>
      <c r="BI10" s="9">
        <v>1286</v>
      </c>
      <c r="BJ10" s="9">
        <v>1232</v>
      </c>
      <c r="BK10" s="9">
        <v>1195</v>
      </c>
      <c r="BL10" s="9">
        <v>1373</v>
      </c>
      <c r="BM10" s="9">
        <v>1478</v>
      </c>
      <c r="BN10" s="9">
        <v>1241</v>
      </c>
      <c r="BO10" s="9">
        <v>1438</v>
      </c>
      <c r="BP10" s="9">
        <v>1263</v>
      </c>
      <c r="BQ10" s="9">
        <v>1306</v>
      </c>
      <c r="BR10" s="9">
        <v>1442</v>
      </c>
      <c r="BS10" s="9">
        <v>1384</v>
      </c>
      <c r="BT10" s="9">
        <v>1290</v>
      </c>
      <c r="BU10" s="9">
        <v>1449</v>
      </c>
      <c r="BV10" s="9">
        <v>1350</v>
      </c>
      <c r="BW10" s="9">
        <v>1380</v>
      </c>
      <c r="BX10" s="9">
        <v>1192</v>
      </c>
      <c r="BY10" s="9">
        <v>1446</v>
      </c>
      <c r="BZ10" s="9">
        <v>1474</v>
      </c>
      <c r="CA10" s="9">
        <v>1311</v>
      </c>
      <c r="CB10" s="9">
        <v>1322</v>
      </c>
      <c r="CC10" s="9">
        <v>1329</v>
      </c>
      <c r="CD10" s="9">
        <v>1123</v>
      </c>
      <c r="CE10" s="9">
        <v>1222</v>
      </c>
      <c r="CF10" s="9">
        <v>1314</v>
      </c>
      <c r="CG10" s="9">
        <v>1351</v>
      </c>
      <c r="CH10" s="9">
        <v>1357</v>
      </c>
      <c r="CI10" s="9">
        <v>1517</v>
      </c>
      <c r="CJ10" s="9">
        <v>1532</v>
      </c>
      <c r="CK10" s="9">
        <v>1277</v>
      </c>
      <c r="CL10" s="9">
        <v>1314</v>
      </c>
      <c r="CM10" s="9" t="s">
        <v>413</v>
      </c>
      <c r="CN10" s="9">
        <v>1348</v>
      </c>
      <c r="CO10" s="9">
        <v>1353</v>
      </c>
      <c r="CP10" s="9">
        <v>1336</v>
      </c>
      <c r="CQ10" s="9">
        <v>1345</v>
      </c>
      <c r="CR10" s="9">
        <v>1327</v>
      </c>
      <c r="CS10" s="9">
        <v>1321</v>
      </c>
      <c r="CT10" s="9">
        <v>1348</v>
      </c>
      <c r="CU10" s="9">
        <v>1276</v>
      </c>
      <c r="CV10" s="9">
        <v>1214</v>
      </c>
      <c r="CW10" s="9">
        <v>1303</v>
      </c>
      <c r="CX10" s="9">
        <v>1376</v>
      </c>
      <c r="CY10" s="9">
        <v>1303</v>
      </c>
      <c r="CZ10" s="9">
        <v>1367</v>
      </c>
      <c r="DA10" s="9">
        <v>1152</v>
      </c>
      <c r="DB10" s="9">
        <v>1410</v>
      </c>
      <c r="DC10" s="9">
        <v>1304</v>
      </c>
      <c r="DD10" s="9">
        <v>1314</v>
      </c>
      <c r="DE10" s="9">
        <v>1359</v>
      </c>
      <c r="DF10" s="9">
        <v>1290</v>
      </c>
      <c r="DG10" s="9">
        <v>1264</v>
      </c>
      <c r="DH10" s="9">
        <v>1379</v>
      </c>
      <c r="DI10" s="9">
        <v>1331</v>
      </c>
      <c r="DJ10" s="9">
        <v>1348</v>
      </c>
      <c r="DK10" s="9">
        <v>1303</v>
      </c>
      <c r="DL10" s="9">
        <v>1504</v>
      </c>
      <c r="DM10" s="9">
        <v>1209</v>
      </c>
      <c r="DN10" s="9">
        <v>1528</v>
      </c>
      <c r="DO10" s="9">
        <v>1443</v>
      </c>
      <c r="DP10" s="9">
        <v>1307</v>
      </c>
      <c r="DQ10" s="9">
        <v>1488</v>
      </c>
      <c r="DR10" s="9">
        <v>1413</v>
      </c>
      <c r="DS10" s="9">
        <v>1465</v>
      </c>
      <c r="DT10" s="9">
        <v>1518</v>
      </c>
      <c r="DU10" s="9">
        <v>1533</v>
      </c>
      <c r="DV10" s="9">
        <v>1337</v>
      </c>
      <c r="DW10" s="9">
        <v>1379</v>
      </c>
      <c r="DX10" s="9">
        <v>1505</v>
      </c>
      <c r="DY10" s="9">
        <v>1405</v>
      </c>
      <c r="DZ10" s="9">
        <v>1472</v>
      </c>
      <c r="EA10" s="9">
        <v>1329</v>
      </c>
      <c r="EB10" s="9">
        <v>1363</v>
      </c>
      <c r="EC10" s="9">
        <v>1439</v>
      </c>
      <c r="ED10" s="9">
        <v>1405</v>
      </c>
      <c r="EE10" s="9">
        <v>1291</v>
      </c>
      <c r="EF10" s="9">
        <v>1366</v>
      </c>
      <c r="EG10" s="9">
        <v>1478</v>
      </c>
      <c r="EH10" s="9">
        <v>1237</v>
      </c>
      <c r="EI10" s="9">
        <v>1243</v>
      </c>
      <c r="EJ10" s="9">
        <v>1525</v>
      </c>
      <c r="EK10" s="9">
        <v>1503</v>
      </c>
      <c r="EL10" s="9">
        <v>1363</v>
      </c>
      <c r="EM10" s="9">
        <v>1400</v>
      </c>
      <c r="EN10" s="9">
        <v>1374</v>
      </c>
      <c r="EO10" s="9">
        <v>1017</v>
      </c>
      <c r="EP10" s="9">
        <v>1402</v>
      </c>
      <c r="EQ10" s="9">
        <v>1212</v>
      </c>
      <c r="ER10" s="9">
        <v>1365</v>
      </c>
      <c r="ES10" s="9">
        <v>1236</v>
      </c>
      <c r="ET10" s="9">
        <v>1406</v>
      </c>
      <c r="EU10" s="9">
        <v>1207</v>
      </c>
      <c r="EV10" s="9">
        <v>1253</v>
      </c>
      <c r="EW10" s="9">
        <v>1337</v>
      </c>
      <c r="EX10" s="9">
        <v>1318</v>
      </c>
      <c r="EY10" s="9">
        <v>1335</v>
      </c>
      <c r="EZ10" s="9">
        <v>1140</v>
      </c>
      <c r="FA10" s="9">
        <v>1489</v>
      </c>
      <c r="FB10" s="9">
        <v>1301</v>
      </c>
      <c r="FC10" s="9">
        <v>1217</v>
      </c>
      <c r="FD10" s="9">
        <v>1408</v>
      </c>
      <c r="FE10" s="9">
        <v>1424</v>
      </c>
      <c r="FF10" s="9">
        <v>1449</v>
      </c>
      <c r="FG10" s="9">
        <v>1322</v>
      </c>
      <c r="FH10" s="9">
        <v>1432</v>
      </c>
      <c r="FI10" s="9">
        <v>1363</v>
      </c>
      <c r="FJ10" s="9">
        <v>1294</v>
      </c>
      <c r="FK10" s="9">
        <v>1280</v>
      </c>
      <c r="FL10" s="9">
        <v>1278</v>
      </c>
      <c r="FM10" s="9">
        <v>1287</v>
      </c>
      <c r="FN10" s="9">
        <v>1183</v>
      </c>
      <c r="FO10" s="9">
        <v>1196</v>
      </c>
      <c r="FP10" s="9">
        <v>1340</v>
      </c>
      <c r="FQ10" s="9">
        <v>1202</v>
      </c>
      <c r="FR10" s="9">
        <v>1134</v>
      </c>
      <c r="FS10" s="9">
        <v>1218</v>
      </c>
      <c r="FT10" s="9">
        <v>1205</v>
      </c>
      <c r="FU10" s="9">
        <v>1017</v>
      </c>
      <c r="FV10" s="9">
        <v>1227</v>
      </c>
      <c r="FW10" s="9">
        <v>1419</v>
      </c>
      <c r="FX10" s="9">
        <v>1273</v>
      </c>
      <c r="FY10" s="9">
        <v>1190</v>
      </c>
      <c r="FZ10" s="9">
        <v>1237</v>
      </c>
      <c r="GA10" s="9">
        <v>1242</v>
      </c>
      <c r="GB10" s="9">
        <v>1393</v>
      </c>
      <c r="GC10" s="9">
        <v>1319</v>
      </c>
      <c r="GD10" s="9">
        <v>1405</v>
      </c>
      <c r="GE10" s="9">
        <v>1273</v>
      </c>
      <c r="GF10" s="9">
        <v>1255</v>
      </c>
      <c r="GG10" s="9">
        <v>1132</v>
      </c>
      <c r="GH10" s="9">
        <v>1493</v>
      </c>
      <c r="GI10" s="9">
        <v>1317</v>
      </c>
      <c r="GJ10" s="9">
        <v>1299</v>
      </c>
      <c r="GK10" s="9">
        <v>1373</v>
      </c>
      <c r="GL10" s="9">
        <v>1298</v>
      </c>
      <c r="GM10" s="9">
        <v>1352</v>
      </c>
      <c r="GN10" s="9">
        <v>1340</v>
      </c>
      <c r="GO10" s="9">
        <v>1359</v>
      </c>
      <c r="GP10" s="9">
        <v>1337</v>
      </c>
      <c r="GQ10" s="9">
        <v>1346</v>
      </c>
      <c r="GR10" s="9">
        <v>1311</v>
      </c>
      <c r="GS10" s="9">
        <v>1239</v>
      </c>
      <c r="GT10" s="9">
        <v>1231</v>
      </c>
      <c r="GU10" s="9">
        <v>1271</v>
      </c>
      <c r="GV10" s="9">
        <v>1226</v>
      </c>
      <c r="GW10" s="9">
        <v>1226</v>
      </c>
      <c r="GX10" s="9">
        <v>1327</v>
      </c>
      <c r="GY10" s="9">
        <v>1199</v>
      </c>
      <c r="GZ10" s="9">
        <v>1117</v>
      </c>
      <c r="HA10" s="9">
        <v>1353</v>
      </c>
      <c r="HB10" s="9"/>
      <c r="HC10" s="9"/>
      <c r="HD10" s="9">
        <v>1032</v>
      </c>
      <c r="HE10" s="9">
        <v>923</v>
      </c>
      <c r="HF10" s="9">
        <v>1323</v>
      </c>
      <c r="HG10" s="9"/>
      <c r="HH10" s="9">
        <v>1458</v>
      </c>
      <c r="HI10" s="9">
        <v>1164</v>
      </c>
      <c r="HJ10" s="9">
        <v>1316</v>
      </c>
      <c r="HK10" s="9">
        <v>1270</v>
      </c>
      <c r="HL10" s="9">
        <v>1310</v>
      </c>
      <c r="HM10" s="9">
        <v>1312</v>
      </c>
      <c r="HN10" s="9">
        <v>1326</v>
      </c>
      <c r="HO10" s="9">
        <v>1335</v>
      </c>
      <c r="HP10" s="9">
        <v>1336</v>
      </c>
      <c r="HQ10" s="9">
        <v>1342</v>
      </c>
      <c r="HR10" s="9">
        <v>1350</v>
      </c>
      <c r="HS10" s="9">
        <v>1370</v>
      </c>
      <c r="HT10" s="9">
        <v>1359</v>
      </c>
      <c r="HU10" s="9">
        <v>1543</v>
      </c>
      <c r="HV10" s="9">
        <v>1231</v>
      </c>
      <c r="HW10" s="9">
        <v>1148</v>
      </c>
      <c r="HX10" s="9">
        <v>1020</v>
      </c>
      <c r="HY10" s="9">
        <v>798</v>
      </c>
      <c r="HZ10" s="9">
        <v>979</v>
      </c>
      <c r="IA10" s="9">
        <v>1148</v>
      </c>
      <c r="IB10" s="9">
        <v>1337</v>
      </c>
      <c r="IC10" s="9">
        <v>1483</v>
      </c>
      <c r="ID10" s="9">
        <v>1310</v>
      </c>
      <c r="IE10" s="9">
        <v>1374</v>
      </c>
      <c r="IF10" s="9">
        <v>1510</v>
      </c>
      <c r="IG10" s="9">
        <v>1470</v>
      </c>
      <c r="IH10" s="9">
        <v>1447</v>
      </c>
      <c r="II10" s="9">
        <v>1446</v>
      </c>
      <c r="IJ10" s="9">
        <v>1095</v>
      </c>
      <c r="IK10" s="9">
        <v>1240</v>
      </c>
      <c r="IL10" s="9">
        <v>1114</v>
      </c>
      <c r="IM10" s="9">
        <v>1230</v>
      </c>
      <c r="IN10" s="9">
        <v>1000</v>
      </c>
      <c r="IO10" s="9"/>
      <c r="IP10" s="9">
        <v>1175</v>
      </c>
      <c r="IQ10" s="9">
        <v>1250</v>
      </c>
      <c r="IR10" s="9">
        <v>677</v>
      </c>
      <c r="IS10" s="9">
        <v>990</v>
      </c>
      <c r="IT10" s="9">
        <v>1243</v>
      </c>
      <c r="IU10" s="9"/>
      <c r="IV10" s="9"/>
      <c r="IW10" s="9">
        <v>1143</v>
      </c>
      <c r="IX10" s="9">
        <v>910</v>
      </c>
      <c r="IY10" s="9">
        <v>1120</v>
      </c>
      <c r="IZ10" s="9">
        <v>1272</v>
      </c>
      <c r="JA10" s="9">
        <v>1090</v>
      </c>
      <c r="JB10" s="11">
        <v>35.1</v>
      </c>
      <c r="JC10" s="11">
        <v>50.1</v>
      </c>
      <c r="JD10" s="11">
        <v>1.5</v>
      </c>
      <c r="JE10" s="11">
        <v>4.3</v>
      </c>
      <c r="JF10" s="11"/>
      <c r="JG10" s="11">
        <v>0</v>
      </c>
      <c r="JH10" s="13">
        <v>6.1</v>
      </c>
      <c r="JI10" s="12"/>
      <c r="JJ10" s="12"/>
      <c r="JK10" s="9">
        <v>81281718.731999993</v>
      </c>
      <c r="JL10" s="9">
        <v>281316.66800000001</v>
      </c>
      <c r="JM10" s="9">
        <v>54421147.913999997</v>
      </c>
      <c r="JN10" s="9">
        <v>61118.521000000001</v>
      </c>
      <c r="JO10" s="9">
        <v>82060118.024000004</v>
      </c>
      <c r="JP10" s="9">
        <v>185405.861</v>
      </c>
      <c r="JQ10" s="9">
        <v>59347306.787</v>
      </c>
      <c r="JR10" s="9">
        <v>55089.675999999999</v>
      </c>
      <c r="JS10" s="11">
        <v>308233092.83099997</v>
      </c>
      <c r="JT10" s="11">
        <v>82048.512000000002</v>
      </c>
      <c r="JU10" s="14">
        <f t="shared" si="23"/>
        <v>84893.038999989629</v>
      </c>
      <c r="JV10" s="14">
        <f t="shared" si="23"/>
        <v>23.329000000027008</v>
      </c>
      <c r="JW10" s="14">
        <f t="shared" si="23"/>
        <v>83645.744999997318</v>
      </c>
      <c r="JX10" s="14">
        <f t="shared" si="23"/>
        <v>19.713000000003376</v>
      </c>
      <c r="JY10" s="14">
        <f t="shared" si="23"/>
        <v>83185.04999999702</v>
      </c>
      <c r="JZ10" s="14">
        <f t="shared" si="23"/>
        <v>46.440999999991618</v>
      </c>
      <c r="KA10" s="14">
        <f t="shared" si="23"/>
        <v>66224.362000003457</v>
      </c>
      <c r="KB10" s="14">
        <f t="shared" si="23"/>
        <v>15.61699999999837</v>
      </c>
      <c r="KC10" s="14">
        <f t="shared" si="23"/>
        <v>317553.66499996185</v>
      </c>
      <c r="KD10" s="14">
        <f t="shared" si="23"/>
        <v>61.857000000003609</v>
      </c>
      <c r="KE10" s="218">
        <f t="shared" si="24"/>
        <v>168495.74199998693</v>
      </c>
      <c r="KF10" s="15">
        <f t="shared" si="25"/>
        <v>317491.80799996183</v>
      </c>
      <c r="KG10" s="16">
        <f>(RD[[#This Row],[Sunset Time (POA&lt;20 W/m2)]]-RD[[#This Row],[Sunrise Time (POA&gt;20 W/m2)]])*24</f>
        <v>11.999999999999998</v>
      </c>
      <c r="KH10" s="53">
        <f>RD[[#This Row],[GHI ]]</f>
        <v>0</v>
      </c>
      <c r="KI10" s="53">
        <f>RD[[#This Row],[POA]]</f>
        <v>6.1</v>
      </c>
      <c r="KJ10" s="53">
        <f>RD[[#This Row],[AT (°C) 14 Hours]]</f>
        <v>35.1</v>
      </c>
      <c r="KK10" s="53">
        <f>RD[[#This Row],[MT (°C) Gen. Hours]]</f>
        <v>50.1</v>
      </c>
      <c r="KL10" s="53">
        <f>RD[[#This Row],[WS_Avg (m/s) (24 Hours)]]</f>
        <v>1.5</v>
      </c>
      <c r="KM10" s="53">
        <f>RD[[#This Row],[WS_Max (m/s)]]</f>
        <v>4.3</v>
      </c>
      <c r="KN10" s="54">
        <f>SUM(RD[[#This Row],[BLK1_INV1]:[BLK8_INV27]])</f>
        <v>318035</v>
      </c>
      <c r="KO10" s="95"/>
      <c r="KP10" s="55"/>
      <c r="KQ10" s="90" t="str">
        <f>IFERROR(RD[[#This Row],[WPR_Eac]]/RD[[#This Row],[WPR_Edc]],"")</f>
        <v/>
      </c>
    </row>
    <row r="11" spans="2:303" ht="15" customHeight="1" x14ac:dyDescent="0.25">
      <c r="B11" s="52">
        <f t="shared" si="10"/>
        <v>45752</v>
      </c>
      <c r="C11" s="215">
        <f>YEAR(RD[[#This Row],[Date]])+IF(MONTH(RD[[#This Row],[Date]])&gt;=4,1,0)</f>
        <v>2026</v>
      </c>
      <c r="D11" s="129">
        <f t="shared" si="21"/>
        <v>2025</v>
      </c>
      <c r="E11" s="216"/>
      <c r="F11" s="216"/>
      <c r="G11" s="217" t="str">
        <f>TEXT(RD[[#This Row],[Date]],"mmm-yy")</f>
        <v>Apr-25</v>
      </c>
      <c r="H11" s="129">
        <f t="shared" si="22"/>
        <v>30</v>
      </c>
      <c r="I11" s="215">
        <f>'Basic Data '!$S$2</f>
        <v>66750</v>
      </c>
      <c r="J11" s="10">
        <v>0.29166666666666702</v>
      </c>
      <c r="K11" s="10">
        <v>0.79166666666666696</v>
      </c>
      <c r="L11" s="215">
        <v>1504.6</v>
      </c>
      <c r="M11" s="215">
        <v>1533.2</v>
      </c>
      <c r="N11" s="215">
        <v>1434.3</v>
      </c>
      <c r="O11" s="215">
        <v>1430</v>
      </c>
      <c r="P11" s="215">
        <v>1445</v>
      </c>
      <c r="Q11" s="215">
        <v>1391.2</v>
      </c>
      <c r="R11" s="215">
        <v>1356.7</v>
      </c>
      <c r="S11" s="215">
        <v>1317.3</v>
      </c>
      <c r="T11" s="215">
        <v>1381.6</v>
      </c>
      <c r="U11" s="215">
        <v>1387.3</v>
      </c>
      <c r="V11" s="215">
        <v>1455.5</v>
      </c>
      <c r="W11" s="215">
        <v>1454.2</v>
      </c>
      <c r="X11" s="215">
        <v>1440.4</v>
      </c>
      <c r="Y11" s="215">
        <v>1292.0999999999999</v>
      </c>
      <c r="Z11" s="215">
        <v>1355.1</v>
      </c>
      <c r="AA11" s="215">
        <v>1394</v>
      </c>
      <c r="AB11" s="215">
        <v>1331.7</v>
      </c>
      <c r="AC11" s="215">
        <v>1348.9</v>
      </c>
      <c r="AD11" s="215">
        <v>1501.1</v>
      </c>
      <c r="AE11" s="215">
        <v>1530.4</v>
      </c>
      <c r="AF11" s="215">
        <v>1546.5</v>
      </c>
      <c r="AG11" s="215">
        <v>1371.2</v>
      </c>
      <c r="AH11" s="215">
        <v>1560.1</v>
      </c>
      <c r="AI11" s="215">
        <v>1454.4</v>
      </c>
      <c r="AJ11" s="215">
        <v>1534.3</v>
      </c>
      <c r="AK11" s="215">
        <v>1532.5</v>
      </c>
      <c r="AL11" s="215">
        <v>1531.3</v>
      </c>
      <c r="AM11" s="215">
        <v>1556.2</v>
      </c>
      <c r="AN11" s="215">
        <v>1527.9</v>
      </c>
      <c r="AO11" s="215">
        <v>1570.5</v>
      </c>
      <c r="AP11" s="215">
        <v>1505.5</v>
      </c>
      <c r="AQ11" s="215">
        <v>1470.6</v>
      </c>
      <c r="AR11" s="215">
        <v>1313.6</v>
      </c>
      <c r="AS11" s="215">
        <v>1720.1</v>
      </c>
      <c r="AT11" s="215">
        <v>1297.8</v>
      </c>
      <c r="AU11" s="215">
        <v>1377.2</v>
      </c>
      <c r="AV11" s="215">
        <v>1345.7</v>
      </c>
      <c r="AW11" s="215">
        <v>1374.3</v>
      </c>
      <c r="AX11" s="215">
        <v>1377.6</v>
      </c>
      <c r="AY11" s="215">
        <v>1415.6</v>
      </c>
      <c r="AZ11" s="215">
        <v>1362.5</v>
      </c>
      <c r="BA11" s="215">
        <v>1347.5</v>
      </c>
      <c r="BB11" s="215">
        <v>1385</v>
      </c>
      <c r="BC11" s="215">
        <v>1394.4</v>
      </c>
      <c r="BD11" s="215">
        <v>1407.1</v>
      </c>
      <c r="BE11" s="215">
        <v>1428.5</v>
      </c>
      <c r="BF11" s="215">
        <v>1531</v>
      </c>
      <c r="BG11" s="215">
        <v>1333.2</v>
      </c>
      <c r="BH11" s="215">
        <v>1335.4</v>
      </c>
      <c r="BI11" s="215">
        <v>1362.9</v>
      </c>
      <c r="BJ11" s="215">
        <v>1293.4000000000001</v>
      </c>
      <c r="BK11" s="215">
        <v>1251.3</v>
      </c>
      <c r="BL11" s="215">
        <v>1435.5</v>
      </c>
      <c r="BM11" s="215">
        <v>1343.4</v>
      </c>
      <c r="BN11" s="215">
        <v>1343.5</v>
      </c>
      <c r="BO11" s="215">
        <v>1484.5</v>
      </c>
      <c r="BP11" s="215">
        <v>1393</v>
      </c>
      <c r="BQ11" s="215">
        <v>1358.5</v>
      </c>
      <c r="BR11" s="215">
        <v>1493.6</v>
      </c>
      <c r="BS11" s="215">
        <v>1333.7</v>
      </c>
      <c r="BT11" s="215">
        <v>1336.2</v>
      </c>
      <c r="BU11" s="215">
        <v>1499.5</v>
      </c>
      <c r="BV11" s="215">
        <v>1330</v>
      </c>
      <c r="BW11" s="215">
        <v>1395</v>
      </c>
      <c r="BX11" s="215">
        <v>1228.2</v>
      </c>
      <c r="BY11" s="215">
        <v>1532.6</v>
      </c>
      <c r="BZ11" s="215">
        <v>1556.8</v>
      </c>
      <c r="CA11" s="215">
        <v>1350.6</v>
      </c>
      <c r="CB11" s="215">
        <v>1398.8</v>
      </c>
      <c r="CC11" s="215">
        <v>1407.9</v>
      </c>
      <c r="CD11" s="215">
        <v>1155.0999999999999</v>
      </c>
      <c r="CE11" s="215">
        <v>1292.5999999999999</v>
      </c>
      <c r="CF11" s="215">
        <v>1352.3</v>
      </c>
      <c r="CG11" s="215">
        <v>1432.4</v>
      </c>
      <c r="CH11" s="215">
        <v>1406.4</v>
      </c>
      <c r="CI11" s="215">
        <v>1606.7</v>
      </c>
      <c r="CJ11" s="215">
        <v>1626.1</v>
      </c>
      <c r="CK11" s="215">
        <v>1350.6</v>
      </c>
      <c r="CL11" s="215">
        <v>1390.2</v>
      </c>
      <c r="CM11" s="215">
        <v>1511.4</v>
      </c>
      <c r="CN11" s="215">
        <v>1330</v>
      </c>
      <c r="CO11" s="215">
        <v>1433.2</v>
      </c>
      <c r="CP11" s="215">
        <v>1416.4</v>
      </c>
      <c r="CQ11" s="215">
        <v>1424.6</v>
      </c>
      <c r="CR11" s="215">
        <v>1408.1</v>
      </c>
      <c r="CS11" s="215">
        <v>1373.2</v>
      </c>
      <c r="CT11" s="215">
        <v>1428.1</v>
      </c>
      <c r="CU11" s="215">
        <v>1353.6</v>
      </c>
      <c r="CV11" s="215">
        <v>1261.8</v>
      </c>
      <c r="CW11" s="215">
        <v>1373.2</v>
      </c>
      <c r="CX11" s="215">
        <v>1445.8</v>
      </c>
      <c r="CY11" s="215">
        <v>1376.7</v>
      </c>
      <c r="CZ11" s="215">
        <v>1448.3</v>
      </c>
      <c r="DA11" s="215">
        <v>1178.7</v>
      </c>
      <c r="DB11" s="215">
        <v>1335.9</v>
      </c>
      <c r="DC11" s="215">
        <v>1379.4</v>
      </c>
      <c r="DD11" s="215">
        <v>1391.1</v>
      </c>
      <c r="DE11" s="215">
        <v>1416.3</v>
      </c>
      <c r="DF11" s="215">
        <v>1364.5</v>
      </c>
      <c r="DG11" s="215">
        <v>1307.3</v>
      </c>
      <c r="DH11" s="215">
        <v>1407.6</v>
      </c>
      <c r="DI11" s="215">
        <v>1412.5</v>
      </c>
      <c r="DJ11" s="215">
        <v>1353.5</v>
      </c>
      <c r="DK11" s="215">
        <v>1383.5</v>
      </c>
      <c r="DL11" s="215">
        <v>1585.5</v>
      </c>
      <c r="DM11" s="215">
        <v>1249.3</v>
      </c>
      <c r="DN11" s="215">
        <v>1625.4</v>
      </c>
      <c r="DO11" s="215">
        <v>1526.1</v>
      </c>
      <c r="DP11" s="215">
        <v>1387.9</v>
      </c>
      <c r="DQ11" s="215">
        <v>1584.4</v>
      </c>
      <c r="DR11" s="215">
        <v>1465.9</v>
      </c>
      <c r="DS11" s="215">
        <v>1561.4</v>
      </c>
      <c r="DT11" s="215">
        <v>1594.4</v>
      </c>
      <c r="DU11" s="215">
        <v>1626</v>
      </c>
      <c r="DV11" s="215">
        <v>1388.8</v>
      </c>
      <c r="DW11" s="215">
        <v>1473.8</v>
      </c>
      <c r="DX11" s="215">
        <v>1592.9</v>
      </c>
      <c r="DY11" s="215">
        <v>1492.1</v>
      </c>
      <c r="DZ11" s="215">
        <v>1537.2</v>
      </c>
      <c r="EA11" s="215">
        <v>1431.1</v>
      </c>
      <c r="EB11" s="215">
        <v>1447.2</v>
      </c>
      <c r="EC11" s="215">
        <v>1531.9</v>
      </c>
      <c r="ED11" s="215">
        <v>1473.6</v>
      </c>
      <c r="EE11" s="215">
        <v>1370.8</v>
      </c>
      <c r="EF11" s="215">
        <v>1451.2</v>
      </c>
      <c r="EG11" s="215">
        <v>1552.8</v>
      </c>
      <c r="EH11" s="215">
        <v>1306.0999999999999</v>
      </c>
      <c r="EI11" s="215">
        <v>1312.9</v>
      </c>
      <c r="EJ11" s="215">
        <v>1614.4</v>
      </c>
      <c r="EK11" s="215">
        <v>1593.2</v>
      </c>
      <c r="EL11" s="215">
        <v>1447.4</v>
      </c>
      <c r="EM11" s="215">
        <v>1484.4</v>
      </c>
      <c r="EN11" s="215">
        <v>1451.1</v>
      </c>
      <c r="EO11" s="215">
        <v>1099.0999999999999</v>
      </c>
      <c r="EP11" s="215">
        <v>1502.4</v>
      </c>
      <c r="EQ11" s="215">
        <v>1283.3</v>
      </c>
      <c r="ER11" s="215">
        <v>1499.9</v>
      </c>
      <c r="ES11" s="215">
        <v>1288.7</v>
      </c>
      <c r="ET11" s="215">
        <v>1498.1</v>
      </c>
      <c r="EU11" s="215">
        <v>1287.0999999999999</v>
      </c>
      <c r="EV11" s="215">
        <v>1328.6</v>
      </c>
      <c r="EW11" s="215">
        <v>1418.7</v>
      </c>
      <c r="EX11" s="215">
        <v>1403.1</v>
      </c>
      <c r="EY11" s="215">
        <v>1421.5</v>
      </c>
      <c r="EZ11" s="215">
        <v>1217</v>
      </c>
      <c r="FA11" s="215">
        <v>1590.5</v>
      </c>
      <c r="FB11" s="215">
        <v>1425.6</v>
      </c>
      <c r="FC11" s="215">
        <v>1295.5</v>
      </c>
      <c r="FD11" s="215">
        <v>1495.1</v>
      </c>
      <c r="FE11" s="215">
        <v>1511.4</v>
      </c>
      <c r="FF11" s="215">
        <v>1542.1</v>
      </c>
      <c r="FG11" s="215">
        <v>1403.5</v>
      </c>
      <c r="FH11" s="215">
        <v>1418.5</v>
      </c>
      <c r="FI11" s="215">
        <v>1401</v>
      </c>
      <c r="FJ11" s="215">
        <v>1470.4</v>
      </c>
      <c r="FK11" s="215">
        <v>1351.9</v>
      </c>
      <c r="FL11" s="215">
        <v>1352.2</v>
      </c>
      <c r="FM11" s="215">
        <v>1358.2</v>
      </c>
      <c r="FN11" s="215">
        <v>1260.0999999999999</v>
      </c>
      <c r="FO11" s="215">
        <v>1267.4000000000001</v>
      </c>
      <c r="FP11" s="215">
        <v>1420.8</v>
      </c>
      <c r="FQ11" s="215">
        <v>1278.4000000000001</v>
      </c>
      <c r="FR11" s="215">
        <v>1204.2</v>
      </c>
      <c r="FS11" s="215">
        <v>1290.0999999999999</v>
      </c>
      <c r="FT11" s="215">
        <v>1275.9000000000001</v>
      </c>
      <c r="FU11" s="215">
        <v>1071.0999999999999</v>
      </c>
      <c r="FV11" s="215">
        <v>1297</v>
      </c>
      <c r="FW11" s="215">
        <v>1495.6</v>
      </c>
      <c r="FX11" s="215">
        <v>1347.2</v>
      </c>
      <c r="FY11" s="215">
        <v>1256.5</v>
      </c>
      <c r="FZ11" s="215">
        <v>1304.3</v>
      </c>
      <c r="GA11" s="215">
        <v>1310.9</v>
      </c>
      <c r="GB11" s="215">
        <v>1471.5</v>
      </c>
      <c r="GC11" s="215">
        <v>1394.5</v>
      </c>
      <c r="GD11" s="215">
        <v>1532.6</v>
      </c>
      <c r="GE11" s="215">
        <v>1363.3</v>
      </c>
      <c r="GF11" s="215">
        <v>1339.4</v>
      </c>
      <c r="GG11" s="215">
        <v>1214.8</v>
      </c>
      <c r="GH11" s="215">
        <v>1587.4</v>
      </c>
      <c r="GI11" s="215">
        <v>1414.3</v>
      </c>
      <c r="GJ11" s="215">
        <v>1383.9</v>
      </c>
      <c r="GK11" s="215">
        <v>1456.3</v>
      </c>
      <c r="GL11" s="215">
        <v>1382.3</v>
      </c>
      <c r="GM11" s="215">
        <v>1489.4</v>
      </c>
      <c r="GN11" s="215">
        <v>1433.9</v>
      </c>
      <c r="GO11" s="215">
        <v>1459</v>
      </c>
      <c r="GP11" s="215">
        <v>1438.5</v>
      </c>
      <c r="GQ11" s="215">
        <v>1348.5</v>
      </c>
      <c r="GR11" s="215">
        <v>1388.4</v>
      </c>
      <c r="GS11" s="215">
        <v>1313.8</v>
      </c>
      <c r="GT11" s="215">
        <v>1306.3</v>
      </c>
      <c r="GU11" s="215">
        <v>1356.6</v>
      </c>
      <c r="GV11" s="215">
        <v>1317.1</v>
      </c>
      <c r="GW11" s="215">
        <v>1306.5999999999999</v>
      </c>
      <c r="GX11" s="215">
        <v>1420.1</v>
      </c>
      <c r="GY11" s="215">
        <v>1307.2</v>
      </c>
      <c r="GZ11" s="215">
        <v>1211.5</v>
      </c>
      <c r="HA11" s="215">
        <v>1468.8</v>
      </c>
      <c r="HB11" s="215"/>
      <c r="HC11" s="215"/>
      <c r="HD11" s="215">
        <v>1255</v>
      </c>
      <c r="HE11" s="215">
        <v>961.6</v>
      </c>
      <c r="HF11" s="215">
        <v>1405.3</v>
      </c>
      <c r="HG11" s="215"/>
      <c r="HH11" s="215">
        <v>1536.5</v>
      </c>
      <c r="HI11" s="215">
        <v>1228.2</v>
      </c>
      <c r="HJ11" s="215">
        <v>1427.6</v>
      </c>
      <c r="HK11" s="215">
        <v>1380.2</v>
      </c>
      <c r="HL11" s="215">
        <v>1379.5</v>
      </c>
      <c r="HM11" s="215">
        <v>1421.6</v>
      </c>
      <c r="HN11" s="215">
        <v>1440.7</v>
      </c>
      <c r="HO11" s="215">
        <v>1446.3</v>
      </c>
      <c r="HP11" s="215">
        <v>1448.2</v>
      </c>
      <c r="HQ11" s="215">
        <v>1447.2</v>
      </c>
      <c r="HR11" s="215">
        <v>1467.8</v>
      </c>
      <c r="HS11" s="215">
        <v>1470.2</v>
      </c>
      <c r="HT11" s="215">
        <v>1421.8</v>
      </c>
      <c r="HU11" s="215">
        <v>1651.1</v>
      </c>
      <c r="HV11" s="215">
        <v>1307.4000000000001</v>
      </c>
      <c r="HW11" s="215">
        <v>1216.5</v>
      </c>
      <c r="HX11" s="215">
        <v>1054.2</v>
      </c>
      <c r="HY11" s="215">
        <v>886.9</v>
      </c>
      <c r="HZ11" s="215">
        <v>976.1</v>
      </c>
      <c r="IA11" s="215">
        <v>1125.9000000000001</v>
      </c>
      <c r="IB11" s="215">
        <v>1296.5999999999999</v>
      </c>
      <c r="IC11" s="215">
        <v>1452.6</v>
      </c>
      <c r="ID11" s="215">
        <v>1280.3</v>
      </c>
      <c r="IE11" s="215">
        <v>1343.2</v>
      </c>
      <c r="IF11" s="215">
        <v>1345.4</v>
      </c>
      <c r="IG11" s="215">
        <v>1350.3</v>
      </c>
      <c r="IH11" s="215">
        <v>1382</v>
      </c>
      <c r="II11" s="215">
        <v>1407</v>
      </c>
      <c r="IJ11" s="215">
        <v>1368.9</v>
      </c>
      <c r="IK11" s="215">
        <v>1237.2</v>
      </c>
      <c r="IL11" s="215">
        <v>1020.7</v>
      </c>
      <c r="IM11" s="215">
        <v>1222.8</v>
      </c>
      <c r="IN11" s="215">
        <v>1112</v>
      </c>
      <c r="IO11" s="215"/>
      <c r="IP11" s="215">
        <v>1357.6</v>
      </c>
      <c r="IQ11" s="215">
        <v>1431.1</v>
      </c>
      <c r="IR11" s="215">
        <v>664.3</v>
      </c>
      <c r="IS11" s="215">
        <v>1326.3</v>
      </c>
      <c r="IT11" s="215">
        <v>1213.4000000000001</v>
      </c>
      <c r="IU11" s="215"/>
      <c r="IV11" s="215"/>
      <c r="IW11" s="215">
        <v>1352.3</v>
      </c>
      <c r="IX11" s="215">
        <v>1156.5999999999999</v>
      </c>
      <c r="IY11" s="215">
        <v>1200</v>
      </c>
      <c r="IZ11" s="215">
        <v>1239.5999999999999</v>
      </c>
      <c r="JA11" s="215">
        <v>1315.3</v>
      </c>
      <c r="JB11" s="223">
        <v>37.799999999999997</v>
      </c>
      <c r="JC11" s="223">
        <v>58.63</v>
      </c>
      <c r="JD11" s="223">
        <v>1.48</v>
      </c>
      <c r="JE11" s="223">
        <v>7.5</v>
      </c>
      <c r="JF11" s="223"/>
      <c r="JG11" s="223">
        <v>0</v>
      </c>
      <c r="JH11" s="224">
        <v>5.9</v>
      </c>
      <c r="JI11" s="225"/>
      <c r="JJ11" s="225"/>
      <c r="JK11" s="215">
        <v>81371402.864999995</v>
      </c>
      <c r="JL11" s="215">
        <v>281330.57699999999</v>
      </c>
      <c r="JM11" s="215">
        <v>54509149.520999998</v>
      </c>
      <c r="JN11" s="215">
        <v>61128.591999999997</v>
      </c>
      <c r="JO11" s="215">
        <v>82148517.467999995</v>
      </c>
      <c r="JP11" s="215">
        <v>185452.89499999999</v>
      </c>
      <c r="JQ11" s="215">
        <v>59414773.454999998</v>
      </c>
      <c r="JR11" s="215">
        <v>55101.733999999997</v>
      </c>
      <c r="JS11" s="223">
        <v>308566273.15100002</v>
      </c>
      <c r="JT11" s="223">
        <v>82104.149999999994</v>
      </c>
      <c r="JU11" s="14">
        <f t="shared" si="23"/>
        <v>89684.133000001311</v>
      </c>
      <c r="JV11" s="14">
        <f t="shared" si="23"/>
        <v>13.908999999985099</v>
      </c>
      <c r="JW11" s="14">
        <f t="shared" si="23"/>
        <v>88001.607000000775</v>
      </c>
      <c r="JX11" s="14">
        <f t="shared" si="23"/>
        <v>10.070999999996275</v>
      </c>
      <c r="JY11" s="14">
        <f t="shared" si="23"/>
        <v>88399.443999990821</v>
      </c>
      <c r="JZ11" s="14">
        <f t="shared" si="23"/>
        <v>47.033999999985099</v>
      </c>
      <c r="KA11" s="14">
        <f t="shared" si="23"/>
        <v>67466.667999997735</v>
      </c>
      <c r="KB11" s="14">
        <f t="shared" si="23"/>
        <v>12.057999999997264</v>
      </c>
      <c r="KC11" s="14">
        <f t="shared" si="23"/>
        <v>333180.32000005245</v>
      </c>
      <c r="KD11" s="14">
        <f t="shared" si="23"/>
        <v>55.637999999991735</v>
      </c>
      <c r="KE11" s="218">
        <f t="shared" si="24"/>
        <v>177661.7600000021</v>
      </c>
      <c r="KF11" s="15">
        <f t="shared" si="25"/>
        <v>333124.68200005247</v>
      </c>
      <c r="KG11" s="16">
        <f>(RD[[#This Row],[Sunset Time (POA&lt;20 W/m2)]]-RD[[#This Row],[Sunrise Time (POA&gt;20 W/m2)]])*24</f>
        <v>11.999999999999998</v>
      </c>
      <c r="KH11" s="53">
        <f>RD[[#This Row],[GHI ]]</f>
        <v>0</v>
      </c>
      <c r="KI11" s="53">
        <f>RD[[#This Row],[POA]]</f>
        <v>5.9</v>
      </c>
      <c r="KJ11" s="53">
        <f>RD[[#This Row],[AT (°C) 14 Hours]]</f>
        <v>37.799999999999997</v>
      </c>
      <c r="KK11" s="53">
        <f>RD[[#This Row],[MT (°C) Gen. Hours]]</f>
        <v>58.63</v>
      </c>
      <c r="KL11" s="53">
        <f>RD[[#This Row],[WS_Avg (m/s) (24 Hours)]]</f>
        <v>1.48</v>
      </c>
      <c r="KM11" s="53">
        <f>RD[[#This Row],[WS_Max (m/s)]]</f>
        <v>7.5</v>
      </c>
      <c r="KN11" s="54">
        <f>SUM(RD[[#This Row],[BLK1_INV1]:[BLK8_INV27]])</f>
        <v>336772.19999999972</v>
      </c>
      <c r="KO11" s="95"/>
      <c r="KP11" s="55"/>
      <c r="KQ11" s="90" t="str">
        <f>IFERROR(RD[[#This Row],[WPR_Eac]]/RD[[#This Row],[WPR_Edc]],"")</f>
        <v/>
      </c>
    </row>
    <row r="12" spans="2:303" ht="15" customHeight="1" x14ac:dyDescent="0.25">
      <c r="B12" s="52">
        <f t="shared" si="10"/>
        <v>45753</v>
      </c>
      <c r="C12" s="9">
        <f>YEAR(RD[[#This Row],[Date]])+IF(MONTH(RD[[#This Row],[Date]])&gt;=4,1,0)</f>
        <v>2026</v>
      </c>
      <c r="D12" s="6">
        <f t="shared" si="21"/>
        <v>2025</v>
      </c>
      <c r="E12" s="7"/>
      <c r="F12" s="7"/>
      <c r="G12" s="8" t="str">
        <f>TEXT(RD[[#This Row],[Date]],"mmm-yy")</f>
        <v>Apr-25</v>
      </c>
      <c r="H12" s="6">
        <f t="shared" si="22"/>
        <v>30</v>
      </c>
      <c r="I12" s="9">
        <f>'Basic Data '!$S$2</f>
        <v>66750</v>
      </c>
      <c r="J12" s="10">
        <v>0.29166666666666702</v>
      </c>
      <c r="K12" s="10">
        <v>0.79166666666666696</v>
      </c>
      <c r="L12" s="9">
        <v>1483.7</v>
      </c>
      <c r="M12" s="9">
        <v>1507.4</v>
      </c>
      <c r="N12" s="9">
        <v>1390.6</v>
      </c>
      <c r="O12" s="9">
        <v>1398.6</v>
      </c>
      <c r="P12" s="9">
        <v>1408.1</v>
      </c>
      <c r="Q12" s="9">
        <v>1355.9</v>
      </c>
      <c r="R12" s="9">
        <v>1384.8</v>
      </c>
      <c r="S12" s="9">
        <v>1284.0999999999999</v>
      </c>
      <c r="T12" s="9">
        <v>1385.7</v>
      </c>
      <c r="U12" s="9">
        <v>1350.6</v>
      </c>
      <c r="V12" s="9">
        <v>1418.7</v>
      </c>
      <c r="W12" s="9">
        <v>1416.1</v>
      </c>
      <c r="X12" s="9">
        <v>1404.9</v>
      </c>
      <c r="Y12" s="9">
        <v>1259.0999999999999</v>
      </c>
      <c r="Z12" s="9">
        <v>1321.8</v>
      </c>
      <c r="AA12" s="9">
        <v>1359.1</v>
      </c>
      <c r="AB12" s="9">
        <v>1288</v>
      </c>
      <c r="AC12" s="9">
        <v>1315.5</v>
      </c>
      <c r="AD12" s="9">
        <v>1451.8</v>
      </c>
      <c r="AE12" s="9">
        <v>1491</v>
      </c>
      <c r="AF12" s="9">
        <v>1390.3</v>
      </c>
      <c r="AG12" s="9">
        <v>1335.5</v>
      </c>
      <c r="AH12" s="9">
        <v>1520.9</v>
      </c>
      <c r="AI12" s="9">
        <v>1442</v>
      </c>
      <c r="AJ12" s="9">
        <v>1495.9</v>
      </c>
      <c r="AK12" s="9">
        <v>1491.9</v>
      </c>
      <c r="AL12" s="9">
        <v>1482.8</v>
      </c>
      <c r="AM12" s="9">
        <v>1512.8</v>
      </c>
      <c r="AN12" s="9">
        <v>1484.6</v>
      </c>
      <c r="AO12" s="9">
        <v>1525.3</v>
      </c>
      <c r="AP12" s="9">
        <v>1420.3</v>
      </c>
      <c r="AQ12" s="9">
        <v>1423.9</v>
      </c>
      <c r="AR12" s="9">
        <v>1281.8</v>
      </c>
      <c r="AS12" s="9">
        <v>1680.4</v>
      </c>
      <c r="AT12" s="9">
        <v>1266</v>
      </c>
      <c r="AU12" s="9">
        <v>1439.6</v>
      </c>
      <c r="AV12" s="9">
        <v>1311.6</v>
      </c>
      <c r="AW12" s="9">
        <v>1314.3</v>
      </c>
      <c r="AX12" s="9">
        <v>1342.3</v>
      </c>
      <c r="AY12" s="9">
        <v>1379.1</v>
      </c>
      <c r="AZ12" s="9">
        <v>1330.4</v>
      </c>
      <c r="BA12" s="9">
        <v>1315.1</v>
      </c>
      <c r="BB12" s="9">
        <v>1351.1</v>
      </c>
      <c r="BC12" s="9">
        <v>1360.9</v>
      </c>
      <c r="BD12" s="9">
        <v>1367.2</v>
      </c>
      <c r="BE12" s="9">
        <v>1392.8</v>
      </c>
      <c r="BF12" s="9">
        <v>1401.6</v>
      </c>
      <c r="BG12" s="9">
        <v>1297.0999999999999</v>
      </c>
      <c r="BH12" s="9">
        <v>1335.7</v>
      </c>
      <c r="BI12" s="9">
        <v>1369.1</v>
      </c>
      <c r="BJ12" s="9">
        <v>1287.3</v>
      </c>
      <c r="BK12" s="9">
        <v>1247.5</v>
      </c>
      <c r="BL12" s="9">
        <v>1430.7</v>
      </c>
      <c r="BM12" s="9">
        <v>1539</v>
      </c>
      <c r="BN12" s="9">
        <v>1396</v>
      </c>
      <c r="BO12" s="9">
        <v>1484</v>
      </c>
      <c r="BP12" s="9">
        <v>1406.3</v>
      </c>
      <c r="BQ12" s="9">
        <v>1355.5</v>
      </c>
      <c r="BR12" s="9">
        <v>1490.3</v>
      </c>
      <c r="BS12" s="9">
        <v>1428</v>
      </c>
      <c r="BT12" s="9">
        <v>1401</v>
      </c>
      <c r="BU12" s="9">
        <v>1494.7</v>
      </c>
      <c r="BV12" s="9">
        <v>1330</v>
      </c>
      <c r="BW12" s="9">
        <v>1240</v>
      </c>
      <c r="BX12" s="9">
        <v>1290</v>
      </c>
      <c r="BY12" s="9">
        <v>1492.7</v>
      </c>
      <c r="BZ12" s="9">
        <v>1521</v>
      </c>
      <c r="CA12" s="9">
        <v>1380.5</v>
      </c>
      <c r="CB12" s="9">
        <v>1361.5</v>
      </c>
      <c r="CC12" s="9">
        <v>1371.4</v>
      </c>
      <c r="CD12" s="9">
        <v>1186</v>
      </c>
      <c r="CE12" s="9">
        <v>1254.5999999999999</v>
      </c>
      <c r="CF12" s="9">
        <v>1292</v>
      </c>
      <c r="CG12" s="9">
        <v>1384.8</v>
      </c>
      <c r="CH12" s="9">
        <v>1390.5</v>
      </c>
      <c r="CI12" s="9">
        <v>1568.8</v>
      </c>
      <c r="CJ12" s="9">
        <v>1584.7</v>
      </c>
      <c r="CK12" s="9">
        <v>1318.2</v>
      </c>
      <c r="CL12" s="9">
        <v>1354.2</v>
      </c>
      <c r="CM12" s="9">
        <v>1466.8</v>
      </c>
      <c r="CN12" s="9">
        <v>1392.7</v>
      </c>
      <c r="CO12" s="9">
        <v>1396.5</v>
      </c>
      <c r="CP12" s="9">
        <v>1379.4</v>
      </c>
      <c r="CQ12" s="9">
        <v>1386.8</v>
      </c>
      <c r="CR12" s="9">
        <v>1371.7</v>
      </c>
      <c r="CS12" s="9">
        <v>1320</v>
      </c>
      <c r="CT12" s="9">
        <v>1391.2</v>
      </c>
      <c r="CU12" s="9">
        <v>1320.6</v>
      </c>
      <c r="CV12" s="9">
        <v>1190</v>
      </c>
      <c r="CW12" s="9">
        <v>1336.6</v>
      </c>
      <c r="CX12" s="9">
        <v>1400</v>
      </c>
      <c r="CY12" s="9">
        <v>1327.1</v>
      </c>
      <c r="CZ12" s="9">
        <v>1411.7</v>
      </c>
      <c r="DA12" s="9">
        <v>1132</v>
      </c>
      <c r="DB12" s="9">
        <v>1311.5</v>
      </c>
      <c r="DC12" s="9">
        <v>1343.4</v>
      </c>
      <c r="DD12" s="9">
        <v>1354.1</v>
      </c>
      <c r="DE12" s="9">
        <v>1356.8</v>
      </c>
      <c r="DF12" s="9">
        <v>1329.4</v>
      </c>
      <c r="DG12" s="9">
        <v>1291.2</v>
      </c>
      <c r="DH12" s="9">
        <v>1422.7</v>
      </c>
      <c r="DI12" s="9">
        <v>1375.3</v>
      </c>
      <c r="DJ12" s="9">
        <v>1392.6</v>
      </c>
      <c r="DK12" s="9">
        <v>1344.3</v>
      </c>
      <c r="DL12" s="9">
        <v>1547.1</v>
      </c>
      <c r="DM12" s="9">
        <v>1184.0999999999999</v>
      </c>
      <c r="DN12" s="9">
        <v>1579.4</v>
      </c>
      <c r="DO12" s="9">
        <v>1489.2</v>
      </c>
      <c r="DP12" s="9">
        <v>1350.9</v>
      </c>
      <c r="DQ12" s="9">
        <v>1536</v>
      </c>
      <c r="DR12" s="9">
        <v>1419.3</v>
      </c>
      <c r="DS12" s="9">
        <v>1522.7</v>
      </c>
      <c r="DT12" s="9">
        <v>1545.1</v>
      </c>
      <c r="DU12" s="9">
        <v>1587.3</v>
      </c>
      <c r="DV12" s="9">
        <v>1335.4</v>
      </c>
      <c r="DW12" s="9">
        <v>1343.4</v>
      </c>
      <c r="DX12" s="9">
        <v>1555.8</v>
      </c>
      <c r="DY12" s="9">
        <v>1448.9</v>
      </c>
      <c r="DZ12" s="9">
        <v>1404.1</v>
      </c>
      <c r="EA12" s="9">
        <v>1378.2</v>
      </c>
      <c r="EB12" s="9">
        <v>1408.2</v>
      </c>
      <c r="EC12" s="9">
        <v>1480.4</v>
      </c>
      <c r="ED12" s="9">
        <v>1421</v>
      </c>
      <c r="EE12" s="9">
        <v>1334</v>
      </c>
      <c r="EF12" s="9">
        <v>1402</v>
      </c>
      <c r="EG12" s="9">
        <v>1474</v>
      </c>
      <c r="EH12" s="9">
        <v>1280.9000000000001</v>
      </c>
      <c r="EI12" s="9">
        <v>1285.0999999999999</v>
      </c>
      <c r="EJ12" s="9">
        <v>1631.8</v>
      </c>
      <c r="EK12" s="9">
        <v>1558.2</v>
      </c>
      <c r="EL12" s="9">
        <v>1414.7</v>
      </c>
      <c r="EM12" s="9">
        <v>1491.6</v>
      </c>
      <c r="EN12" s="9">
        <v>1419.5</v>
      </c>
      <c r="EO12" s="9">
        <v>1075</v>
      </c>
      <c r="EP12" s="9">
        <v>1459.2</v>
      </c>
      <c r="EQ12" s="9">
        <v>1255.5999999999999</v>
      </c>
      <c r="ER12" s="9">
        <v>1412.5</v>
      </c>
      <c r="ES12" s="9">
        <v>1258.4000000000001</v>
      </c>
      <c r="ET12" s="9">
        <v>1461.4</v>
      </c>
      <c r="EU12" s="9">
        <v>1256.3</v>
      </c>
      <c r="EV12" s="9">
        <v>1298.5</v>
      </c>
      <c r="EW12" s="9">
        <v>1388.3</v>
      </c>
      <c r="EX12" s="9">
        <v>1368.9</v>
      </c>
      <c r="EY12" s="9">
        <v>1388.3</v>
      </c>
      <c r="EZ12" s="9">
        <v>1187</v>
      </c>
      <c r="FA12" s="9">
        <v>1553.6</v>
      </c>
      <c r="FB12" s="9">
        <v>1393.8</v>
      </c>
      <c r="FC12" s="9">
        <v>1263.7</v>
      </c>
      <c r="FD12" s="9">
        <v>1460.7</v>
      </c>
      <c r="FE12" s="9">
        <v>1476.7</v>
      </c>
      <c r="FF12" s="9">
        <v>1505.2</v>
      </c>
      <c r="FG12" s="9">
        <v>1371.8</v>
      </c>
      <c r="FH12" s="9">
        <v>1481.4</v>
      </c>
      <c r="FI12" s="9">
        <v>1357.2</v>
      </c>
      <c r="FJ12" s="9">
        <v>1339.9</v>
      </c>
      <c r="FK12" s="9">
        <v>1323.9</v>
      </c>
      <c r="FL12" s="215">
        <v>1325.2</v>
      </c>
      <c r="FM12" s="9">
        <v>1330.4</v>
      </c>
      <c r="FN12" s="9">
        <v>1231</v>
      </c>
      <c r="FO12" s="9">
        <v>1240.3</v>
      </c>
      <c r="FP12" s="9">
        <v>1425</v>
      </c>
      <c r="FQ12" s="9">
        <v>1281</v>
      </c>
      <c r="FR12" s="9">
        <v>1226.7</v>
      </c>
      <c r="FS12" s="9">
        <v>1352</v>
      </c>
      <c r="FT12" s="9">
        <v>1257.5999999999999</v>
      </c>
      <c r="FU12" s="9">
        <v>1044.9000000000001</v>
      </c>
      <c r="FV12" s="9">
        <v>1265.9000000000001</v>
      </c>
      <c r="FW12" s="9">
        <v>1460.2</v>
      </c>
      <c r="FX12" s="9">
        <v>1317</v>
      </c>
      <c r="FY12" s="9">
        <v>1229.5</v>
      </c>
      <c r="FZ12" s="9">
        <v>1274.0999999999999</v>
      </c>
      <c r="GA12" s="9">
        <v>1297.8</v>
      </c>
      <c r="GB12" s="9">
        <v>1433.1</v>
      </c>
      <c r="GC12" s="9">
        <v>1365.5</v>
      </c>
      <c r="GD12" s="9">
        <v>1544.3</v>
      </c>
      <c r="GE12" s="9">
        <v>1365.1</v>
      </c>
      <c r="GF12" s="9">
        <v>1357.1</v>
      </c>
      <c r="GG12" s="9">
        <v>1225.7</v>
      </c>
      <c r="GH12" s="9">
        <v>1500</v>
      </c>
      <c r="GI12" s="9">
        <v>1416.6</v>
      </c>
      <c r="GJ12" s="9">
        <v>1394.3</v>
      </c>
      <c r="GK12" s="9">
        <v>1448.1</v>
      </c>
      <c r="GL12" s="9">
        <v>1403</v>
      </c>
      <c r="GM12" s="9">
        <v>1471.9</v>
      </c>
      <c r="GN12" s="9">
        <v>1439.5</v>
      </c>
      <c r="GO12" s="9">
        <v>1455</v>
      </c>
      <c r="GP12" s="9">
        <v>1444.6</v>
      </c>
      <c r="GQ12" s="9">
        <v>1444.5</v>
      </c>
      <c r="GR12" s="9">
        <v>1393.3</v>
      </c>
      <c r="GS12" s="9">
        <v>1327.1</v>
      </c>
      <c r="GT12" s="9">
        <v>1359.2</v>
      </c>
      <c r="GU12" s="9">
        <v>1359.1</v>
      </c>
      <c r="GV12" s="9">
        <v>1314.7</v>
      </c>
      <c r="GW12" s="9">
        <v>1345.6</v>
      </c>
      <c r="GX12" s="9">
        <v>1408.7</v>
      </c>
      <c r="GY12" s="9">
        <v>1267.8</v>
      </c>
      <c r="GZ12" s="9">
        <v>1163.3</v>
      </c>
      <c r="HA12" s="9">
        <v>1428</v>
      </c>
      <c r="HB12" s="9"/>
      <c r="HC12" s="9"/>
      <c r="HD12" s="9">
        <v>1244.9000000000001</v>
      </c>
      <c r="HE12" s="9">
        <v>955.3</v>
      </c>
      <c r="HF12" s="9">
        <v>1397</v>
      </c>
      <c r="HG12" s="9"/>
      <c r="HH12" s="9">
        <v>1559.7</v>
      </c>
      <c r="HI12" s="9">
        <v>1228</v>
      </c>
      <c r="HJ12" s="9">
        <v>1408.2</v>
      </c>
      <c r="HK12" s="9">
        <v>1357.1</v>
      </c>
      <c r="HL12" s="9">
        <v>1340.5</v>
      </c>
      <c r="HM12" s="9">
        <v>1405.4</v>
      </c>
      <c r="HN12" s="9">
        <v>1413.7</v>
      </c>
      <c r="HO12" s="9">
        <v>1419.4</v>
      </c>
      <c r="HP12" s="9">
        <v>1422.7</v>
      </c>
      <c r="HQ12" s="9">
        <v>1443.7</v>
      </c>
      <c r="HR12" s="9">
        <v>1435</v>
      </c>
      <c r="HS12" s="9">
        <v>1430.4</v>
      </c>
      <c r="HT12" s="9">
        <v>1382.3</v>
      </c>
      <c r="HU12" s="9">
        <v>1613.2</v>
      </c>
      <c r="HV12" s="9">
        <v>1272.7</v>
      </c>
      <c r="HW12" s="9">
        <v>1185.7</v>
      </c>
      <c r="HX12" s="9">
        <v>1040</v>
      </c>
      <c r="HY12" s="9">
        <v>855</v>
      </c>
      <c r="HZ12" s="9">
        <v>988.1</v>
      </c>
      <c r="IA12" s="9">
        <v>1154</v>
      </c>
      <c r="IB12" s="9">
        <v>1354.8</v>
      </c>
      <c r="IC12" s="9">
        <v>1534.6</v>
      </c>
      <c r="ID12" s="9">
        <v>1334.7</v>
      </c>
      <c r="IE12" s="9">
        <v>1407</v>
      </c>
      <c r="IF12" s="9">
        <v>1405</v>
      </c>
      <c r="IG12" s="9">
        <v>1402</v>
      </c>
      <c r="IH12" s="9">
        <v>1416.5</v>
      </c>
      <c r="II12" s="9">
        <v>1470.3</v>
      </c>
      <c r="IJ12" s="9">
        <v>1098.5</v>
      </c>
      <c r="IK12" s="9">
        <v>1277.0999999999999</v>
      </c>
      <c r="IL12" s="9">
        <v>1167.0999999999999</v>
      </c>
      <c r="IM12" s="9">
        <v>1276.3</v>
      </c>
      <c r="IN12" s="9">
        <v>1026.3</v>
      </c>
      <c r="IO12" s="9"/>
      <c r="IP12" s="9">
        <v>1176.0999999999999</v>
      </c>
      <c r="IQ12" s="9">
        <v>1407.9</v>
      </c>
      <c r="IR12" s="9">
        <v>758.9</v>
      </c>
      <c r="IS12" s="9">
        <v>1223.4000000000001</v>
      </c>
      <c r="IT12" s="9">
        <v>1213.7</v>
      </c>
      <c r="IU12" s="9"/>
      <c r="IV12" s="9"/>
      <c r="IW12" s="9">
        <v>1391.4</v>
      </c>
      <c r="IX12" s="9">
        <v>1280.4000000000001</v>
      </c>
      <c r="IY12" s="9">
        <v>1195</v>
      </c>
      <c r="IZ12" s="9">
        <v>1190.5</v>
      </c>
      <c r="JA12" s="9">
        <v>1310</v>
      </c>
      <c r="JB12" s="11">
        <v>39.299999999999997</v>
      </c>
      <c r="JC12" s="11">
        <v>47.4</v>
      </c>
      <c r="JD12" s="11">
        <v>1.2</v>
      </c>
      <c r="JE12" s="11">
        <v>5.33</v>
      </c>
      <c r="JF12" s="11"/>
      <c r="JG12" s="223">
        <v>0</v>
      </c>
      <c r="JH12" s="13">
        <v>6.92</v>
      </c>
      <c r="JI12" s="12"/>
      <c r="JJ12" s="12"/>
      <c r="JK12" s="9">
        <v>81459682.409999996</v>
      </c>
      <c r="JL12" s="9">
        <v>281344.86900000001</v>
      </c>
      <c r="JM12" s="9">
        <v>54594618.215999998</v>
      </c>
      <c r="JN12" s="9">
        <v>61137.77</v>
      </c>
      <c r="JO12" s="9">
        <v>82235619.975999996</v>
      </c>
      <c r="JP12" s="9">
        <v>185501.96299999999</v>
      </c>
      <c r="JQ12" s="9">
        <v>59483445.32</v>
      </c>
      <c r="JR12" s="9">
        <v>55113.894</v>
      </c>
      <c r="JS12" s="11">
        <v>308895385.727</v>
      </c>
      <c r="JT12" s="11">
        <v>82159.510999999999</v>
      </c>
      <c r="JU12" s="14">
        <f t="shared" si="23"/>
        <v>88279.545000001788</v>
      </c>
      <c r="JV12" s="14">
        <f t="shared" si="23"/>
        <v>14.292000000015832</v>
      </c>
      <c r="JW12" s="14">
        <f t="shared" si="23"/>
        <v>85468.695000000298</v>
      </c>
      <c r="JX12" s="14">
        <f t="shared" si="23"/>
        <v>9.1779999999998836</v>
      </c>
      <c r="JY12" s="14">
        <f t="shared" si="23"/>
        <v>87102.508000001311</v>
      </c>
      <c r="JZ12" s="14">
        <f t="shared" si="23"/>
        <v>49.067999999999302</v>
      </c>
      <c r="KA12" s="14">
        <f t="shared" si="23"/>
        <v>68671.865000002086</v>
      </c>
      <c r="KB12" s="14">
        <f t="shared" si="23"/>
        <v>12.160000000003492</v>
      </c>
      <c r="KC12" s="14">
        <f t="shared" si="23"/>
        <v>329112.5759999752</v>
      </c>
      <c r="KD12" s="14">
        <f t="shared" si="23"/>
        <v>55.361000000004424</v>
      </c>
      <c r="KE12" s="218">
        <f t="shared" si="24"/>
        <v>173724.77000000206</v>
      </c>
      <c r="KF12" s="15">
        <f t="shared" si="25"/>
        <v>329057.21499997517</v>
      </c>
      <c r="KG12" s="16">
        <f>(RD[[#This Row],[Sunset Time (POA&lt;20 W/m2)]]-RD[[#This Row],[Sunrise Time (POA&gt;20 W/m2)]])*24</f>
        <v>11.999999999999998</v>
      </c>
      <c r="KH12" s="53">
        <f>RD[[#This Row],[GHI ]]</f>
        <v>0</v>
      </c>
      <c r="KI12" s="53">
        <f>RD[[#This Row],[POA]]</f>
        <v>6.92</v>
      </c>
      <c r="KJ12" s="53">
        <f>RD[[#This Row],[AT (°C) 14 Hours]]</f>
        <v>39.299999999999997</v>
      </c>
      <c r="KK12" s="53">
        <f>RD[[#This Row],[MT (°C) Gen. Hours]]</f>
        <v>47.4</v>
      </c>
      <c r="KL12" s="53">
        <f>RD[[#This Row],[WS_Avg (m/s) (24 Hours)]]</f>
        <v>1.2</v>
      </c>
      <c r="KM12" s="53">
        <f>RD[[#This Row],[WS_Max (m/s)]]</f>
        <v>5.33</v>
      </c>
      <c r="KN12" s="54">
        <f>SUM(RD[[#This Row],[BLK1_INV1]:[BLK8_INV27]])</f>
        <v>331522.20000000013</v>
      </c>
      <c r="KO12" s="95"/>
      <c r="KP12" s="55"/>
      <c r="KQ12" s="90" t="str">
        <f>IFERROR(RD[[#This Row],[WPR_Eac]]/RD[[#This Row],[WPR_Edc]],"")</f>
        <v/>
      </c>
    </row>
    <row r="13" spans="2:303" ht="15" customHeight="1" x14ac:dyDescent="0.25">
      <c r="B13" s="52">
        <f t="shared" si="10"/>
        <v>45754</v>
      </c>
      <c r="C13" s="215">
        <f>YEAR(RD[[#This Row],[Date]])+IF(MONTH(RD[[#This Row],[Date]])&gt;=4,1,0)</f>
        <v>2026</v>
      </c>
      <c r="D13" s="129">
        <f t="shared" si="21"/>
        <v>2025</v>
      </c>
      <c r="E13" s="216"/>
      <c r="F13" s="216"/>
      <c r="G13" s="217" t="str">
        <f>TEXT(RD[[#This Row],[Date]],"mmm-yy")</f>
        <v>Apr-25</v>
      </c>
      <c r="H13" s="129">
        <f t="shared" si="22"/>
        <v>30</v>
      </c>
      <c r="I13" s="215">
        <f>'Basic Data '!$S$2</f>
        <v>66750</v>
      </c>
      <c r="J13" s="10">
        <v>0.29166666666666702</v>
      </c>
      <c r="K13" s="10">
        <v>0.79166666666666696</v>
      </c>
      <c r="L13" s="215">
        <v>1422</v>
      </c>
      <c r="M13" s="215">
        <v>1445</v>
      </c>
      <c r="N13" s="215">
        <v>1333</v>
      </c>
      <c r="O13" s="9">
        <v>1339</v>
      </c>
      <c r="P13" s="215">
        <v>1390</v>
      </c>
      <c r="Q13" s="215">
        <v>1300</v>
      </c>
      <c r="R13" s="215">
        <v>1328</v>
      </c>
      <c r="S13" s="215">
        <v>1280</v>
      </c>
      <c r="T13" s="215">
        <v>1328</v>
      </c>
      <c r="U13" s="215">
        <v>1340</v>
      </c>
      <c r="V13" s="215">
        <v>1358</v>
      </c>
      <c r="W13" s="215">
        <v>1356</v>
      </c>
      <c r="X13" s="215">
        <v>1344</v>
      </c>
      <c r="Y13" s="215">
        <v>1204</v>
      </c>
      <c r="Z13" s="215">
        <v>1262</v>
      </c>
      <c r="AA13" s="215">
        <v>1299</v>
      </c>
      <c r="AB13" s="215">
        <v>1290</v>
      </c>
      <c r="AC13" s="215">
        <v>1256</v>
      </c>
      <c r="AD13" s="215">
        <v>1400</v>
      </c>
      <c r="AE13" s="215">
        <v>1422</v>
      </c>
      <c r="AF13" s="215">
        <v>1328</v>
      </c>
      <c r="AG13" s="215">
        <v>1276</v>
      </c>
      <c r="AH13" s="215">
        <v>1452</v>
      </c>
      <c r="AI13" s="215">
        <v>1420</v>
      </c>
      <c r="AJ13" s="215">
        <v>1427</v>
      </c>
      <c r="AK13" s="215">
        <v>1421</v>
      </c>
      <c r="AL13" s="215">
        <v>1414</v>
      </c>
      <c r="AM13" s="215">
        <v>1440</v>
      </c>
      <c r="AN13" s="215">
        <v>1411</v>
      </c>
      <c r="AO13" s="215">
        <v>1444</v>
      </c>
      <c r="AP13" s="215">
        <v>1478</v>
      </c>
      <c r="AQ13" s="215">
        <v>1390</v>
      </c>
      <c r="AR13" s="215">
        <v>1226</v>
      </c>
      <c r="AS13" s="215">
        <v>1612</v>
      </c>
      <c r="AT13" s="215">
        <v>1280</v>
      </c>
      <c r="AU13" s="215">
        <v>1410</v>
      </c>
      <c r="AV13" s="215">
        <v>1296</v>
      </c>
      <c r="AW13" s="215">
        <v>1259</v>
      </c>
      <c r="AX13" s="215">
        <v>1286</v>
      </c>
      <c r="AY13" s="215">
        <v>1322</v>
      </c>
      <c r="AZ13" s="215">
        <v>1276</v>
      </c>
      <c r="BA13" s="215">
        <v>1262</v>
      </c>
      <c r="BB13" s="215">
        <v>1294</v>
      </c>
      <c r="BC13" s="215">
        <v>1303</v>
      </c>
      <c r="BD13" s="215">
        <v>1310</v>
      </c>
      <c r="BE13" s="215">
        <v>1334</v>
      </c>
      <c r="BF13" s="215">
        <v>1429</v>
      </c>
      <c r="BG13" s="215">
        <v>1297</v>
      </c>
      <c r="BH13" s="215">
        <v>1310</v>
      </c>
      <c r="BI13" s="215">
        <v>1314</v>
      </c>
      <c r="BJ13" s="215">
        <v>1260</v>
      </c>
      <c r="BK13" s="215">
        <v>1230</v>
      </c>
      <c r="BL13" s="215">
        <v>1398</v>
      </c>
      <c r="BM13" s="215">
        <v>1476</v>
      </c>
      <c r="BN13" s="215">
        <v>1388</v>
      </c>
      <c r="BO13" s="215">
        <v>1426</v>
      </c>
      <c r="BP13" s="215">
        <v>1424</v>
      </c>
      <c r="BQ13" s="215">
        <v>1301</v>
      </c>
      <c r="BR13" s="215">
        <v>1427</v>
      </c>
      <c r="BS13" s="215">
        <v>1394</v>
      </c>
      <c r="BT13" s="215">
        <v>1301</v>
      </c>
      <c r="BU13" s="215">
        <v>1435</v>
      </c>
      <c r="BV13" s="215">
        <v>1340</v>
      </c>
      <c r="BW13" s="215">
        <v>1310</v>
      </c>
      <c r="BX13" s="215">
        <v>1440</v>
      </c>
      <c r="BY13" s="215">
        <v>1430</v>
      </c>
      <c r="BZ13" s="215">
        <v>1456</v>
      </c>
      <c r="CA13" s="215">
        <v>1299</v>
      </c>
      <c r="CB13" s="215">
        <v>1302</v>
      </c>
      <c r="CC13" s="215">
        <v>1315</v>
      </c>
      <c r="CD13" s="215">
        <v>1328</v>
      </c>
      <c r="CE13" s="215">
        <v>1210</v>
      </c>
      <c r="CF13" s="215">
        <v>1250</v>
      </c>
      <c r="CG13" s="215">
        <v>1332</v>
      </c>
      <c r="CH13" s="215">
        <v>1350</v>
      </c>
      <c r="CI13" s="215">
        <v>1502</v>
      </c>
      <c r="CJ13" s="215">
        <v>1519</v>
      </c>
      <c r="CK13" s="215">
        <v>1320</v>
      </c>
      <c r="CL13" s="215">
        <v>1300</v>
      </c>
      <c r="CM13" s="215">
        <v>1406</v>
      </c>
      <c r="CN13" s="215">
        <v>1334</v>
      </c>
      <c r="CO13" s="215">
        <v>1338</v>
      </c>
      <c r="CP13" s="215">
        <v>1322</v>
      </c>
      <c r="CQ13" s="215">
        <v>1330</v>
      </c>
      <c r="CR13" s="215">
        <v>1315</v>
      </c>
      <c r="CS13" s="215">
        <v>1297</v>
      </c>
      <c r="CT13" s="215">
        <v>1333</v>
      </c>
      <c r="CU13" s="215">
        <v>1317</v>
      </c>
      <c r="CV13" s="215">
        <v>1296</v>
      </c>
      <c r="CW13" s="215">
        <v>1281</v>
      </c>
      <c r="CX13" s="215">
        <v>1342</v>
      </c>
      <c r="CY13" s="215">
        <v>1376</v>
      </c>
      <c r="CZ13" s="215">
        <v>1353</v>
      </c>
      <c r="DA13" s="215">
        <v>1191</v>
      </c>
      <c r="DB13" s="215">
        <v>1410</v>
      </c>
      <c r="DC13" s="215">
        <v>1289</v>
      </c>
      <c r="DD13" s="215">
        <v>1300</v>
      </c>
      <c r="DE13" s="215">
        <v>1299</v>
      </c>
      <c r="DF13" s="215">
        <v>1276</v>
      </c>
      <c r="DG13" s="215">
        <v>1260</v>
      </c>
      <c r="DH13" s="215">
        <v>1364</v>
      </c>
      <c r="DI13" s="215">
        <v>1319</v>
      </c>
      <c r="DJ13" s="215">
        <v>1336</v>
      </c>
      <c r="DK13" s="215">
        <v>1293</v>
      </c>
      <c r="DL13" s="215">
        <v>1487</v>
      </c>
      <c r="DM13" s="215">
        <v>1200</v>
      </c>
      <c r="DN13" s="215">
        <v>1514</v>
      </c>
      <c r="DO13" s="215">
        <v>1425</v>
      </c>
      <c r="DP13" s="215">
        <v>1295</v>
      </c>
      <c r="DQ13" s="215">
        <v>1473</v>
      </c>
      <c r="DR13" s="215">
        <v>1390</v>
      </c>
      <c r="DS13" s="215">
        <v>1460</v>
      </c>
      <c r="DT13" s="215">
        <v>1472</v>
      </c>
      <c r="DU13" s="215">
        <v>1519</v>
      </c>
      <c r="DV13" s="215">
        <v>1269</v>
      </c>
      <c r="DW13" s="215">
        <v>1374</v>
      </c>
      <c r="DX13" s="215">
        <v>1488</v>
      </c>
      <c r="DY13" s="215">
        <v>1420</v>
      </c>
      <c r="DZ13" s="215">
        <v>1406</v>
      </c>
      <c r="EA13" s="215">
        <v>1331</v>
      </c>
      <c r="EB13" s="215">
        <v>1353</v>
      </c>
      <c r="EC13" s="215">
        <v>1420</v>
      </c>
      <c r="ED13" s="215">
        <v>1390</v>
      </c>
      <c r="EE13" s="215">
        <v>1282</v>
      </c>
      <c r="EF13" s="215">
        <v>1354</v>
      </c>
      <c r="EG13" s="215">
        <v>1478</v>
      </c>
      <c r="EH13" s="215">
        <v>1260</v>
      </c>
      <c r="EI13" s="215">
        <v>1280</v>
      </c>
      <c r="EJ13" s="215">
        <v>1513</v>
      </c>
      <c r="EK13" s="215">
        <v>1491</v>
      </c>
      <c r="EL13" s="215">
        <v>1396</v>
      </c>
      <c r="EM13" s="215">
        <v>1392</v>
      </c>
      <c r="EN13" s="215">
        <v>1398</v>
      </c>
      <c r="EO13" s="215">
        <v>1100</v>
      </c>
      <c r="EP13" s="215">
        <v>1404</v>
      </c>
      <c r="EQ13" s="215">
        <v>1299</v>
      </c>
      <c r="ER13" s="215">
        <v>1391</v>
      </c>
      <c r="ES13" s="215">
        <v>1260</v>
      </c>
      <c r="ET13" s="215">
        <v>1394</v>
      </c>
      <c r="EU13" s="215">
        <v>1280</v>
      </c>
      <c r="EV13" s="215">
        <v>1290</v>
      </c>
      <c r="EW13" s="215">
        <v>1388</v>
      </c>
      <c r="EX13" s="215">
        <v>1307</v>
      </c>
      <c r="EY13" s="215">
        <v>1399</v>
      </c>
      <c r="EZ13" s="215">
        <v>1189</v>
      </c>
      <c r="FA13" s="215">
        <v>1484</v>
      </c>
      <c r="FB13" s="215">
        <v>1331</v>
      </c>
      <c r="FC13" s="215">
        <v>1211</v>
      </c>
      <c r="FD13" s="215">
        <v>1400</v>
      </c>
      <c r="FE13" s="215">
        <v>1415</v>
      </c>
      <c r="FF13" s="215">
        <v>1439</v>
      </c>
      <c r="FG13" s="215">
        <v>1316</v>
      </c>
      <c r="FH13" s="215">
        <v>1421</v>
      </c>
      <c r="FI13" s="215">
        <v>1312</v>
      </c>
      <c r="FJ13" s="215">
        <v>1286</v>
      </c>
      <c r="FK13" s="215">
        <v>1271</v>
      </c>
      <c r="FL13" s="215">
        <v>1310</v>
      </c>
      <c r="FM13" s="215">
        <v>1274</v>
      </c>
      <c r="FN13" s="215">
        <v>1287</v>
      </c>
      <c r="FO13" s="215">
        <v>1303</v>
      </c>
      <c r="FP13" s="215">
        <v>1433</v>
      </c>
      <c r="FQ13" s="215">
        <v>1269</v>
      </c>
      <c r="FR13" s="215">
        <v>1280</v>
      </c>
      <c r="FS13" s="215">
        <v>1372</v>
      </c>
      <c r="FT13" s="215">
        <v>1311</v>
      </c>
      <c r="FU13" s="215">
        <v>1099</v>
      </c>
      <c r="FV13" s="215">
        <v>1242</v>
      </c>
      <c r="FW13" s="215">
        <v>1430</v>
      </c>
      <c r="FX13" s="215">
        <v>1307</v>
      </c>
      <c r="FY13" s="215">
        <v>1299</v>
      </c>
      <c r="FZ13" s="215">
        <v>1298</v>
      </c>
      <c r="GA13" s="215">
        <v>1296</v>
      </c>
      <c r="GB13" s="215">
        <v>1427</v>
      </c>
      <c r="GC13" s="215">
        <v>1341</v>
      </c>
      <c r="GD13" s="215">
        <v>1528</v>
      </c>
      <c r="GE13" s="215">
        <v>1337</v>
      </c>
      <c r="GF13" s="215">
        <v>1314</v>
      </c>
      <c r="GG13" s="215">
        <v>1230</v>
      </c>
      <c r="GH13" s="215">
        <v>1543</v>
      </c>
      <c r="GI13" s="215">
        <v>1364</v>
      </c>
      <c r="GJ13" s="215">
        <v>1355</v>
      </c>
      <c r="GK13" s="215">
        <v>1403</v>
      </c>
      <c r="GL13" s="215">
        <v>1395</v>
      </c>
      <c r="GM13" s="215">
        <v>1430</v>
      </c>
      <c r="GN13" s="215">
        <v>1409</v>
      </c>
      <c r="GO13" s="215">
        <v>1475</v>
      </c>
      <c r="GP13" s="215">
        <v>1393</v>
      </c>
      <c r="GQ13" s="215">
        <v>1402</v>
      </c>
      <c r="GR13" s="215">
        <v>1369</v>
      </c>
      <c r="GS13" s="215">
        <v>1306</v>
      </c>
      <c r="GT13" s="215">
        <v>1304</v>
      </c>
      <c r="GU13" s="215">
        <v>1304</v>
      </c>
      <c r="GV13" s="215">
        <v>1258</v>
      </c>
      <c r="GW13" s="215">
        <v>1291</v>
      </c>
      <c r="GX13" s="215">
        <v>1353</v>
      </c>
      <c r="GY13" s="215">
        <v>1211</v>
      </c>
      <c r="GZ13" s="215">
        <v>1116</v>
      </c>
      <c r="HA13" s="215">
        <v>1354</v>
      </c>
      <c r="HB13" s="215"/>
      <c r="HC13" s="215"/>
      <c r="HD13" s="215">
        <v>1220</v>
      </c>
      <c r="HE13" s="215">
        <v>939</v>
      </c>
      <c r="HF13" s="215">
        <v>1360</v>
      </c>
      <c r="HG13" s="215"/>
      <c r="HH13" s="215">
        <v>1488</v>
      </c>
      <c r="HI13" s="215">
        <v>1230</v>
      </c>
      <c r="HJ13" s="215">
        <v>1350</v>
      </c>
      <c r="HK13" s="215">
        <v>1301</v>
      </c>
      <c r="HL13" s="215">
        <v>1275</v>
      </c>
      <c r="HM13" s="215">
        <v>1339</v>
      </c>
      <c r="HN13" s="215">
        <v>1357</v>
      </c>
      <c r="HO13" s="215">
        <v>1357</v>
      </c>
      <c r="HP13" s="215">
        <v>1365</v>
      </c>
      <c r="HQ13" s="215">
        <v>1378</v>
      </c>
      <c r="HR13" s="215">
        <v>1384</v>
      </c>
      <c r="HS13" s="215">
        <v>1372</v>
      </c>
      <c r="HT13" s="215">
        <v>1320</v>
      </c>
      <c r="HU13" s="215">
        <v>1552</v>
      </c>
      <c r="HV13" s="215">
        <v>1224</v>
      </c>
      <c r="HW13" s="215">
        <v>1135</v>
      </c>
      <c r="HX13" s="215">
        <v>1020</v>
      </c>
      <c r="HY13" s="215">
        <v>910</v>
      </c>
      <c r="HZ13" s="215">
        <v>972</v>
      </c>
      <c r="IA13" s="215">
        <v>1145</v>
      </c>
      <c r="IB13" s="215">
        <v>1336</v>
      </c>
      <c r="IC13" s="215">
        <v>1510</v>
      </c>
      <c r="ID13" s="215">
        <v>1314</v>
      </c>
      <c r="IE13" s="215">
        <v>1386</v>
      </c>
      <c r="IF13" s="215">
        <v>1410</v>
      </c>
      <c r="IG13" s="215">
        <v>1378</v>
      </c>
      <c r="IH13" s="215">
        <v>1387</v>
      </c>
      <c r="II13" s="215">
        <v>1459</v>
      </c>
      <c r="IJ13" s="215">
        <v>1200</v>
      </c>
      <c r="IK13" s="215">
        <v>1256</v>
      </c>
      <c r="IL13" s="215">
        <v>1155</v>
      </c>
      <c r="IM13" s="215">
        <v>1268</v>
      </c>
      <c r="IN13" s="215">
        <v>1150</v>
      </c>
      <c r="IO13" s="215"/>
      <c r="IP13" s="215">
        <v>1700</v>
      </c>
      <c r="IQ13" s="215">
        <v>1410</v>
      </c>
      <c r="IR13" s="215">
        <v>600</v>
      </c>
      <c r="IS13" s="215">
        <v>1210</v>
      </c>
      <c r="IT13" s="215">
        <v>1245</v>
      </c>
      <c r="IU13" s="215"/>
      <c r="IV13" s="215"/>
      <c r="IW13" s="215">
        <v>1178</v>
      </c>
      <c r="IX13" s="215">
        <v>1300</v>
      </c>
      <c r="IY13" s="215">
        <v>1300</v>
      </c>
      <c r="IZ13" s="215">
        <v>1130</v>
      </c>
      <c r="JA13" s="215">
        <v>1098</v>
      </c>
      <c r="JB13" s="223">
        <v>41.9</v>
      </c>
      <c r="JC13" s="223">
        <v>51.1</v>
      </c>
      <c r="JD13" s="223">
        <v>1.1000000000000001</v>
      </c>
      <c r="JE13" s="223">
        <v>3.13</v>
      </c>
      <c r="JF13" s="223"/>
      <c r="JG13" s="223">
        <v>0</v>
      </c>
      <c r="JH13" s="224">
        <v>6.5256666666666669</v>
      </c>
      <c r="JI13" s="225"/>
      <c r="JJ13" s="225"/>
      <c r="JK13" s="215">
        <v>81544202.804000005</v>
      </c>
      <c r="JL13" s="215">
        <v>281359.701</v>
      </c>
      <c r="JM13" s="215">
        <v>54676516.993000001</v>
      </c>
      <c r="JN13" s="215">
        <v>61149.622000000003</v>
      </c>
      <c r="JO13" s="215">
        <v>82320465.623999998</v>
      </c>
      <c r="JP13" s="215">
        <v>185544.891</v>
      </c>
      <c r="JQ13" s="215">
        <v>59549914.342</v>
      </c>
      <c r="JR13" s="215">
        <v>55125.834000000003</v>
      </c>
      <c r="JS13" s="223">
        <v>309212772.72799999</v>
      </c>
      <c r="JT13" s="11">
        <v>82213.909</v>
      </c>
      <c r="JU13" s="14">
        <f t="shared" si="23"/>
        <v>84520.394000008702</v>
      </c>
      <c r="JV13" s="14">
        <f t="shared" si="23"/>
        <v>14.831999999994878</v>
      </c>
      <c r="JW13" s="14">
        <f t="shared" si="23"/>
        <v>81898.777000002563</v>
      </c>
      <c r="JX13" s="14">
        <f t="shared" si="23"/>
        <v>11.852000000006228</v>
      </c>
      <c r="JY13" s="14">
        <f t="shared" si="23"/>
        <v>84845.648000001907</v>
      </c>
      <c r="JZ13" s="14">
        <f t="shared" si="23"/>
        <v>42.928000000014435</v>
      </c>
      <c r="KA13" s="14">
        <f t="shared" si="23"/>
        <v>66469.021999999881</v>
      </c>
      <c r="KB13" s="14">
        <f t="shared" si="23"/>
        <v>11.940000000002328</v>
      </c>
      <c r="KC13" s="14">
        <f t="shared" si="23"/>
        <v>317387.00099998713</v>
      </c>
      <c r="KD13" s="14">
        <f t="shared" si="23"/>
        <v>54.398000000001048</v>
      </c>
      <c r="KE13" s="218">
        <f t="shared" si="24"/>
        <v>166392.48700001126</v>
      </c>
      <c r="KF13" s="15">
        <f t="shared" si="25"/>
        <v>317332.60299998714</v>
      </c>
      <c r="KG13" s="16">
        <f>(RD[[#This Row],[Sunset Time (POA&lt;20 W/m2)]]-RD[[#This Row],[Sunrise Time (POA&gt;20 W/m2)]])*24</f>
        <v>11.999999999999998</v>
      </c>
      <c r="KH13" s="53">
        <f>RD[[#This Row],[GHI ]]</f>
        <v>0</v>
      </c>
      <c r="KI13" s="53">
        <f>RD[[#This Row],[POA]]</f>
        <v>6.5256666666666669</v>
      </c>
      <c r="KJ13" s="53">
        <f>RD[[#This Row],[AT (°C) 14 Hours]]</f>
        <v>41.9</v>
      </c>
      <c r="KK13" s="53">
        <f>RD[[#This Row],[MT (°C) Gen. Hours]]</f>
        <v>51.1</v>
      </c>
      <c r="KL13" s="53">
        <f>RD[[#This Row],[WS_Avg (m/s) (24 Hours)]]</f>
        <v>1.1000000000000001</v>
      </c>
      <c r="KM13" s="53">
        <f>RD[[#This Row],[WS_Max (m/s)]]</f>
        <v>3.13</v>
      </c>
      <c r="KN13" s="220">
        <f>SUM(RD[[#This Row],[BLK1_INV1]:[BLK8_INV27]])</f>
        <v>324271</v>
      </c>
      <c r="KO13" s="221"/>
      <c r="KP13" s="222"/>
      <c r="KQ13" s="132" t="str">
        <f>IFERROR(RD[[#This Row],[WPR_Eac]]/RD[[#This Row],[WPR_Edc]],"")</f>
        <v/>
      </c>
    </row>
    <row r="14" spans="2:303" ht="15" customHeight="1" x14ac:dyDescent="0.25">
      <c r="B14" s="52">
        <f t="shared" si="10"/>
        <v>45755</v>
      </c>
      <c r="C14" s="9">
        <f>YEAR(RD[[#This Row],[Date]])+IF(MONTH(RD[[#This Row],[Date]])&gt;=4,1,0)</f>
        <v>2026</v>
      </c>
      <c r="D14" s="6">
        <f t="shared" ref="D14:D19" si="26">YEAR(B14)</f>
        <v>2025</v>
      </c>
      <c r="E14" s="7"/>
      <c r="F14" s="7"/>
      <c r="G14" s="8" t="str">
        <f>TEXT(RD[[#This Row],[Date]],"mmm-yy")</f>
        <v>Apr-25</v>
      </c>
      <c r="H14" s="6">
        <f t="shared" ref="H14:H19" si="27">DAY(EOMONTH(B14,0))</f>
        <v>30</v>
      </c>
      <c r="I14" s="9">
        <f>'Basic Data '!$S$2</f>
        <v>66750</v>
      </c>
      <c r="J14" s="10">
        <v>0.29166666666666702</v>
      </c>
      <c r="K14" s="10">
        <v>0.79166666666666696</v>
      </c>
      <c r="L14" s="9">
        <v>1318.6</v>
      </c>
      <c r="M14" s="9">
        <v>1341.3</v>
      </c>
      <c r="N14" s="9">
        <v>1243.2</v>
      </c>
      <c r="O14" s="9">
        <v>1247</v>
      </c>
      <c r="P14" s="9">
        <v>1320.2</v>
      </c>
      <c r="Q14" s="9">
        <v>1214.4000000000001</v>
      </c>
      <c r="R14" s="9">
        <v>1280.2</v>
      </c>
      <c r="S14" s="9">
        <v>1243.7</v>
      </c>
      <c r="T14" s="9">
        <v>1300.0999999999999</v>
      </c>
      <c r="U14" s="9">
        <v>1272.5</v>
      </c>
      <c r="V14" s="9">
        <v>1269.5</v>
      </c>
      <c r="W14" s="9">
        <v>1258.0999999999999</v>
      </c>
      <c r="X14" s="9">
        <v>1280</v>
      </c>
      <c r="Y14" s="9">
        <v>1177.2</v>
      </c>
      <c r="Z14" s="9">
        <v>1212.7</v>
      </c>
      <c r="AA14" s="9">
        <v>1230</v>
      </c>
      <c r="AB14" s="9">
        <v>1240</v>
      </c>
      <c r="AC14" s="9">
        <v>1245</v>
      </c>
      <c r="AD14" s="9">
        <v>1380</v>
      </c>
      <c r="AE14" s="9">
        <v>1324</v>
      </c>
      <c r="AF14" s="9">
        <v>1335.1</v>
      </c>
      <c r="AG14" s="9">
        <v>1240.0999999999999</v>
      </c>
      <c r="AH14" s="9">
        <v>1340.2</v>
      </c>
      <c r="AI14" s="9">
        <v>1430</v>
      </c>
      <c r="AJ14" s="9">
        <v>1324.4</v>
      </c>
      <c r="AK14" s="9">
        <v>1313.7</v>
      </c>
      <c r="AL14" s="9">
        <v>1380</v>
      </c>
      <c r="AM14" s="9">
        <v>1388</v>
      </c>
      <c r="AN14" s="9">
        <v>1382.3</v>
      </c>
      <c r="AO14" s="9">
        <v>1395.6</v>
      </c>
      <c r="AP14" s="9">
        <v>1390.6</v>
      </c>
      <c r="AQ14" s="9">
        <v>1325.8</v>
      </c>
      <c r="AR14" s="9">
        <v>1190</v>
      </c>
      <c r="AS14" s="9">
        <v>1600.1</v>
      </c>
      <c r="AT14" s="9">
        <v>1248.5999999999999</v>
      </c>
      <c r="AU14" s="9">
        <v>1391.3</v>
      </c>
      <c r="AV14" s="9">
        <v>1275.2</v>
      </c>
      <c r="AW14" s="9">
        <v>1230.4000000000001</v>
      </c>
      <c r="AX14" s="9">
        <v>1280.2</v>
      </c>
      <c r="AY14" s="9">
        <v>1237.0999999999999</v>
      </c>
      <c r="AZ14" s="9">
        <v>1290</v>
      </c>
      <c r="BA14" s="9">
        <v>1250</v>
      </c>
      <c r="BB14" s="9">
        <v>1240</v>
      </c>
      <c r="BC14" s="9">
        <v>1219.5999999999999</v>
      </c>
      <c r="BD14" s="9">
        <v>1228.8</v>
      </c>
      <c r="BE14" s="9">
        <v>1245.5999999999999</v>
      </c>
      <c r="BF14" s="9">
        <v>1341.3</v>
      </c>
      <c r="BG14" s="9">
        <v>1287.8</v>
      </c>
      <c r="BH14" s="9">
        <v>1301.9000000000001</v>
      </c>
      <c r="BI14" s="9">
        <v>1300.9000000000001</v>
      </c>
      <c r="BJ14" s="9">
        <v>1278.2</v>
      </c>
      <c r="BK14" s="9">
        <v>1272.0999999999999</v>
      </c>
      <c r="BL14" s="9">
        <v>1390.9</v>
      </c>
      <c r="BM14" s="9">
        <v>1396.9</v>
      </c>
      <c r="BN14" s="9">
        <v>1345.9</v>
      </c>
      <c r="BO14" s="9">
        <v>1420.1</v>
      </c>
      <c r="BP14" s="9">
        <v>1420.7</v>
      </c>
      <c r="BQ14" s="9">
        <v>1290.3</v>
      </c>
      <c r="BR14" s="9">
        <v>1448.3</v>
      </c>
      <c r="BS14" s="9">
        <v>1377.7</v>
      </c>
      <c r="BT14" s="9">
        <v>1249.4000000000001</v>
      </c>
      <c r="BU14" s="9">
        <v>1420</v>
      </c>
      <c r="BV14" s="9">
        <v>1308</v>
      </c>
      <c r="BW14" s="9">
        <v>1215.9000000000001</v>
      </c>
      <c r="BX14" s="9">
        <v>1333.8</v>
      </c>
      <c r="BY14" s="9">
        <v>1331.1</v>
      </c>
      <c r="BZ14" s="9">
        <v>1352.3</v>
      </c>
      <c r="CA14" s="9">
        <v>1270.2</v>
      </c>
      <c r="CB14" s="9">
        <v>1280.4000000000001</v>
      </c>
      <c r="CC14" s="9">
        <v>1312.7</v>
      </c>
      <c r="CD14" s="9">
        <v>1239.3</v>
      </c>
      <c r="CE14" s="9">
        <v>1219.4000000000001</v>
      </c>
      <c r="CF14" s="9">
        <v>1243.7</v>
      </c>
      <c r="CG14" s="9">
        <v>1246.0999999999999</v>
      </c>
      <c r="CH14" s="9">
        <v>1333.5</v>
      </c>
      <c r="CI14" s="9">
        <v>1408.1</v>
      </c>
      <c r="CJ14" s="9">
        <v>1423.7</v>
      </c>
      <c r="CK14" s="9">
        <v>1235.4000000000001</v>
      </c>
      <c r="CL14" s="9">
        <v>1292.2</v>
      </c>
      <c r="CM14" s="9">
        <v>1401.8</v>
      </c>
      <c r="CN14" s="9">
        <v>1250.3</v>
      </c>
      <c r="CO14" s="9">
        <v>1254.3</v>
      </c>
      <c r="CP14" s="9">
        <v>1238.3</v>
      </c>
      <c r="CQ14" s="9">
        <v>1245.2</v>
      </c>
      <c r="CR14" s="9">
        <v>1239.5999999999999</v>
      </c>
      <c r="CS14" s="9">
        <v>1277.3</v>
      </c>
      <c r="CT14" s="9">
        <v>1243.8</v>
      </c>
      <c r="CU14" s="9">
        <v>1280.5</v>
      </c>
      <c r="CV14" s="9">
        <v>1290.2</v>
      </c>
      <c r="CW14" s="9">
        <v>1280.5</v>
      </c>
      <c r="CX14" s="9">
        <v>1336.9</v>
      </c>
      <c r="CY14" s="9">
        <v>1350.1</v>
      </c>
      <c r="CZ14" s="9">
        <v>1265.5</v>
      </c>
      <c r="DA14" s="9">
        <v>1232.5</v>
      </c>
      <c r="DB14" s="9">
        <v>1360.4</v>
      </c>
      <c r="DC14" s="9">
        <v>1280.9000000000001</v>
      </c>
      <c r="DD14" s="9">
        <v>1290.7</v>
      </c>
      <c r="DE14" s="9">
        <v>1288.9000000000001</v>
      </c>
      <c r="DF14" s="9">
        <v>1240.4000000000001</v>
      </c>
      <c r="DG14" s="9">
        <v>1255.4000000000001</v>
      </c>
      <c r="DH14" s="9">
        <v>1253.8</v>
      </c>
      <c r="DI14" s="9">
        <v>1232</v>
      </c>
      <c r="DJ14" s="9">
        <v>1248.8</v>
      </c>
      <c r="DK14" s="9">
        <v>1280.0999999999999</v>
      </c>
      <c r="DL14" s="9">
        <v>1395.2</v>
      </c>
      <c r="DM14" s="9">
        <v>1230.9000000000001</v>
      </c>
      <c r="DN14" s="9">
        <v>1413.9</v>
      </c>
      <c r="DO14" s="9">
        <v>1420.8</v>
      </c>
      <c r="DP14" s="9">
        <v>1289.4000000000001</v>
      </c>
      <c r="DQ14" s="9">
        <v>1430.5</v>
      </c>
      <c r="DR14" s="9">
        <v>1370.5</v>
      </c>
      <c r="DS14" s="9">
        <v>1369</v>
      </c>
      <c r="DT14" s="9">
        <v>1396.3</v>
      </c>
      <c r="DU14" s="9">
        <v>1427.1</v>
      </c>
      <c r="DV14" s="9">
        <v>1250.5999999999999</v>
      </c>
      <c r="DW14" s="9">
        <v>1301.5</v>
      </c>
      <c r="DX14" s="9">
        <v>1405.5</v>
      </c>
      <c r="DY14" s="9">
        <v>1401.3</v>
      </c>
      <c r="DZ14" s="9">
        <v>1399.4</v>
      </c>
      <c r="EA14" s="9">
        <v>1254.3</v>
      </c>
      <c r="EB14" s="9">
        <v>1268.5</v>
      </c>
      <c r="EC14" s="9">
        <v>1390.1</v>
      </c>
      <c r="ED14" s="9">
        <v>1368.2</v>
      </c>
      <c r="EE14" s="9">
        <v>1290.5</v>
      </c>
      <c r="EF14" s="9">
        <v>1268.5</v>
      </c>
      <c r="EG14" s="9">
        <v>1463.7</v>
      </c>
      <c r="EH14" s="9">
        <v>1247.0999999999999</v>
      </c>
      <c r="EI14" s="9">
        <v>1252.4000000000001</v>
      </c>
      <c r="EJ14" s="9">
        <v>1419</v>
      </c>
      <c r="EK14" s="9">
        <v>1399.3</v>
      </c>
      <c r="EL14" s="9">
        <v>1372.1</v>
      </c>
      <c r="EM14" s="9">
        <v>1390.7</v>
      </c>
      <c r="EN14" s="9">
        <v>1376</v>
      </c>
      <c r="EO14" s="9">
        <v>1090</v>
      </c>
      <c r="EP14" s="9">
        <v>1398.1</v>
      </c>
      <c r="EQ14" s="9">
        <v>1290.3</v>
      </c>
      <c r="ER14" s="9">
        <v>1366</v>
      </c>
      <c r="ES14" s="9">
        <v>1300.5</v>
      </c>
      <c r="ET14" s="9">
        <v>1310.7</v>
      </c>
      <c r="EU14" s="9">
        <v>1227.4000000000001</v>
      </c>
      <c r="EV14" s="9">
        <v>1265.5</v>
      </c>
      <c r="EW14" s="9">
        <v>1352</v>
      </c>
      <c r="EX14" s="9">
        <v>1324.9</v>
      </c>
      <c r="EY14" s="9">
        <v>1388.5</v>
      </c>
      <c r="EZ14" s="9">
        <v>1190</v>
      </c>
      <c r="FA14" s="9">
        <v>1395.2</v>
      </c>
      <c r="FB14" s="9">
        <v>1299.5</v>
      </c>
      <c r="FC14" s="9">
        <v>1190.8</v>
      </c>
      <c r="FD14" s="9">
        <v>1390.3</v>
      </c>
      <c r="FE14" s="9">
        <v>1428.4</v>
      </c>
      <c r="FF14" s="9">
        <v>1399</v>
      </c>
      <c r="FG14" s="9">
        <v>1331</v>
      </c>
      <c r="FH14" s="9">
        <v>1426.6</v>
      </c>
      <c r="FI14" s="9">
        <v>1264</v>
      </c>
      <c r="FJ14" s="9">
        <v>1299.3</v>
      </c>
      <c r="FK14" s="9">
        <v>1289.5</v>
      </c>
      <c r="FL14" s="9">
        <v>1295.9000000000001</v>
      </c>
      <c r="FM14" s="9">
        <v>1292.9000000000001</v>
      </c>
      <c r="FN14" s="9">
        <v>1276</v>
      </c>
      <c r="FO14" s="9">
        <v>1244.5999999999999</v>
      </c>
      <c r="FP14" s="9">
        <v>1477.1</v>
      </c>
      <c r="FQ14" s="9">
        <v>1266.3</v>
      </c>
      <c r="FR14" s="9">
        <v>1328.3</v>
      </c>
      <c r="FS14" s="9">
        <v>1397</v>
      </c>
      <c r="FT14" s="9">
        <v>1423.5</v>
      </c>
      <c r="FU14" s="9">
        <v>1230.5</v>
      </c>
      <c r="FV14" s="9">
        <v>1277.5</v>
      </c>
      <c r="FW14" s="9">
        <v>1380.6</v>
      </c>
      <c r="FX14" s="9">
        <v>1249.5</v>
      </c>
      <c r="FY14" s="9">
        <v>1300.4000000000001</v>
      </c>
      <c r="FZ14" s="9">
        <v>1299.9000000000001</v>
      </c>
      <c r="GA14" s="9">
        <v>1290.3</v>
      </c>
      <c r="GB14" s="9">
        <v>1410.4</v>
      </c>
      <c r="GC14" s="9">
        <v>1364.3</v>
      </c>
      <c r="GD14" s="9">
        <v>1454</v>
      </c>
      <c r="GE14" s="9">
        <v>1278.8</v>
      </c>
      <c r="GF14" s="9">
        <v>1281.5</v>
      </c>
      <c r="GG14" s="9">
        <v>1250.5</v>
      </c>
      <c r="GH14" s="9">
        <v>1475.3</v>
      </c>
      <c r="GI14" s="9">
        <v>1305.3</v>
      </c>
      <c r="GJ14" s="9">
        <v>1366.5</v>
      </c>
      <c r="GK14" s="9">
        <v>1400.8</v>
      </c>
      <c r="GL14" s="9">
        <v>1388.2</v>
      </c>
      <c r="GM14" s="9">
        <v>1420</v>
      </c>
      <c r="GN14" s="9">
        <v>1388</v>
      </c>
      <c r="GO14" s="9">
        <v>1405.5</v>
      </c>
      <c r="GP14" s="9">
        <v>1339.6</v>
      </c>
      <c r="GQ14" s="9">
        <v>1329.6</v>
      </c>
      <c r="GR14" s="9">
        <v>1310.5999999999999</v>
      </c>
      <c r="GS14" s="9">
        <v>1343.2</v>
      </c>
      <c r="GT14" s="9">
        <v>1288.0999999999999</v>
      </c>
      <c r="GU14" s="9">
        <v>1322.6</v>
      </c>
      <c r="GV14" s="9">
        <v>1250</v>
      </c>
      <c r="GW14" s="9">
        <v>1280</v>
      </c>
      <c r="GX14" s="9">
        <v>1270.9000000000001</v>
      </c>
      <c r="GY14" s="9">
        <v>1235.8</v>
      </c>
      <c r="GZ14" s="9">
        <v>1052.0999999999999</v>
      </c>
      <c r="HA14" s="9">
        <v>1272.5</v>
      </c>
      <c r="HB14" s="9"/>
      <c r="HC14" s="9"/>
      <c r="HD14" s="9">
        <v>1204.5999999999999</v>
      </c>
      <c r="HE14" s="9">
        <v>930.1</v>
      </c>
      <c r="HF14" s="9">
        <v>1270.3</v>
      </c>
      <c r="HG14" s="9"/>
      <c r="HH14" s="9">
        <v>1452.5</v>
      </c>
      <c r="HI14" s="9">
        <v>1212.5</v>
      </c>
      <c r="HJ14" s="9">
        <v>1261.4000000000001</v>
      </c>
      <c r="HK14" s="9">
        <v>1287.9000000000001</v>
      </c>
      <c r="HL14" s="9">
        <v>1272.5999999999999</v>
      </c>
      <c r="HM14" s="9">
        <v>1280.9000000000001</v>
      </c>
      <c r="HN14" s="9">
        <v>1287.5</v>
      </c>
      <c r="HO14" s="9">
        <v>1295.7</v>
      </c>
      <c r="HP14" s="9">
        <v>1297</v>
      </c>
      <c r="HQ14" s="9">
        <v>1317.5</v>
      </c>
      <c r="HR14" s="9">
        <v>1290.5</v>
      </c>
      <c r="HS14" s="9">
        <v>1282.4000000000001</v>
      </c>
      <c r="HT14" s="9">
        <v>1324.1</v>
      </c>
      <c r="HU14" s="9">
        <v>1454.9</v>
      </c>
      <c r="HV14" s="9">
        <v>1144.9000000000001</v>
      </c>
      <c r="HW14" s="9">
        <v>1120.5</v>
      </c>
      <c r="HX14" s="9">
        <v>916.4</v>
      </c>
      <c r="HY14" s="9">
        <v>760.2</v>
      </c>
      <c r="HZ14" s="9">
        <v>970.5</v>
      </c>
      <c r="IA14" s="9">
        <v>1177.5</v>
      </c>
      <c r="IB14" s="9">
        <v>1352.4</v>
      </c>
      <c r="IC14" s="9">
        <v>1415.5</v>
      </c>
      <c r="ID14" s="9">
        <v>1300</v>
      </c>
      <c r="IE14" s="9">
        <v>1296</v>
      </c>
      <c r="IF14" s="9">
        <v>1295.8</v>
      </c>
      <c r="IG14" s="9">
        <v>1280.2</v>
      </c>
      <c r="IH14" s="9">
        <v>1380.8</v>
      </c>
      <c r="II14" s="9">
        <v>1471.4</v>
      </c>
      <c r="IJ14" s="9">
        <v>1190.3</v>
      </c>
      <c r="IK14" s="9">
        <v>1250.5</v>
      </c>
      <c r="IL14" s="9">
        <v>1187</v>
      </c>
      <c r="IM14" s="9">
        <v>1250.8</v>
      </c>
      <c r="IN14" s="9">
        <v>1092.0999999999999</v>
      </c>
      <c r="IO14" s="9"/>
      <c r="IP14" s="9">
        <v>1708.5</v>
      </c>
      <c r="IQ14" s="9">
        <v>1400.2</v>
      </c>
      <c r="IR14" s="9">
        <v>550.79999999999995</v>
      </c>
      <c r="IS14" s="9">
        <v>1210.9000000000001</v>
      </c>
      <c r="IT14" s="9">
        <v>1212.7</v>
      </c>
      <c r="IU14" s="9"/>
      <c r="IV14" s="9"/>
      <c r="IW14" s="9">
        <v>1162.8</v>
      </c>
      <c r="IX14" s="9">
        <v>1288.5</v>
      </c>
      <c r="IY14" s="9">
        <v>1315.2</v>
      </c>
      <c r="IZ14" s="9">
        <v>1140.2</v>
      </c>
      <c r="JA14" s="9">
        <v>1115.2</v>
      </c>
      <c r="JB14" s="223">
        <v>43.9</v>
      </c>
      <c r="JC14" s="223">
        <v>51.1</v>
      </c>
      <c r="JD14" s="223">
        <v>1.1000000000000001</v>
      </c>
      <c r="JE14" s="223">
        <v>3.13</v>
      </c>
      <c r="JF14" s="11"/>
      <c r="JG14" s="223">
        <v>0</v>
      </c>
      <c r="JH14" s="13">
        <v>6.0577666666666667</v>
      </c>
      <c r="JI14" s="12"/>
      <c r="JJ14" s="12"/>
      <c r="JK14" s="9">
        <v>81623456.673999995</v>
      </c>
      <c r="JL14" s="9">
        <v>281374.67700000003</v>
      </c>
      <c r="JM14" s="9">
        <v>54753444.461000003</v>
      </c>
      <c r="JN14" s="9">
        <v>61162.415999999997</v>
      </c>
      <c r="JO14" s="9">
        <v>82400731.859999999</v>
      </c>
      <c r="JP14" s="9">
        <v>185586.94399999999</v>
      </c>
      <c r="JQ14" s="9">
        <v>59612531.255999997</v>
      </c>
      <c r="JR14" s="9">
        <v>55139.474999999999</v>
      </c>
      <c r="JS14" s="11">
        <v>309511535.47000003</v>
      </c>
      <c r="JT14" s="11">
        <v>82271.482999999993</v>
      </c>
      <c r="JU14" s="14">
        <f t="shared" si="23"/>
        <v>79253.869999989867</v>
      </c>
      <c r="JV14" s="14">
        <f t="shared" si="23"/>
        <v>14.976000000024214</v>
      </c>
      <c r="JW14" s="14">
        <f t="shared" si="23"/>
        <v>76927.468000002205</v>
      </c>
      <c r="JX14" s="14">
        <f t="shared" si="23"/>
        <v>12.793999999994412</v>
      </c>
      <c r="JY14" s="14">
        <f t="shared" si="23"/>
        <v>80266.236000001431</v>
      </c>
      <c r="JZ14" s="14">
        <f t="shared" si="23"/>
        <v>42.052999999985332</v>
      </c>
      <c r="KA14" s="14">
        <f t="shared" si="23"/>
        <v>62616.913999997079</v>
      </c>
      <c r="KB14" s="14">
        <f t="shared" si="23"/>
        <v>13.640999999995984</v>
      </c>
      <c r="KC14" s="14">
        <f t="shared" si="23"/>
        <v>298762.74200004339</v>
      </c>
      <c r="KD14" s="14">
        <f t="shared" si="23"/>
        <v>57.573999999993248</v>
      </c>
      <c r="KE14" s="218">
        <f t="shared" si="24"/>
        <v>156153.56799999205</v>
      </c>
      <c r="KF14" s="15">
        <f t="shared" si="25"/>
        <v>298705.16800004337</v>
      </c>
      <c r="KG14" s="16">
        <f>(RD[[#This Row],[Sunset Time (POA&lt;20 W/m2)]]-RD[[#This Row],[Sunrise Time (POA&gt;20 W/m2)]])*24</f>
        <v>11.999999999999998</v>
      </c>
      <c r="KH14" s="53">
        <f>RD[[#This Row],[GHI ]]</f>
        <v>0</v>
      </c>
      <c r="KI14" s="53">
        <f>RD[[#This Row],[POA]]</f>
        <v>6.0577666666666667</v>
      </c>
      <c r="KJ14" s="53">
        <f>RD[[#This Row],[AT (°C) 14 Hours]]</f>
        <v>43.9</v>
      </c>
      <c r="KK14" s="53">
        <f>RD[[#This Row],[MT (°C) Gen. Hours]]</f>
        <v>51.1</v>
      </c>
      <c r="KL14" s="53">
        <f>RD[[#This Row],[WS_Avg (m/s) (24 Hours)]]</f>
        <v>1.1000000000000001</v>
      </c>
      <c r="KM14" s="53">
        <f>RD[[#This Row],[WS_Max (m/s)]]</f>
        <v>3.13</v>
      </c>
      <c r="KN14" s="54">
        <f>SUM(RD[[#This Row],[BLK1_INV1]:[BLK8_INV27]])</f>
        <v>315636</v>
      </c>
      <c r="KO14" s="95"/>
      <c r="KP14" s="55"/>
      <c r="KQ14" s="90" t="str">
        <f>IFERROR(RD[[#This Row],[WPR_Eac]]/RD[[#This Row],[WPR_Edc]],"")</f>
        <v/>
      </c>
    </row>
    <row r="15" spans="2:303" ht="15" customHeight="1" x14ac:dyDescent="0.25">
      <c r="B15" s="52">
        <f t="shared" si="10"/>
        <v>45756</v>
      </c>
      <c r="C15" s="9">
        <f>YEAR(RD[[#This Row],[Date]])+IF(MONTH(RD[[#This Row],[Date]])&gt;=4,1,0)</f>
        <v>2026</v>
      </c>
      <c r="D15" s="129">
        <f t="shared" si="26"/>
        <v>2025</v>
      </c>
      <c r="E15" s="216"/>
      <c r="F15" s="216"/>
      <c r="G15" s="217" t="str">
        <f>TEXT(RD[[#This Row],[Date]],"mmm-yy")</f>
        <v>Apr-25</v>
      </c>
      <c r="H15" s="129">
        <f t="shared" si="27"/>
        <v>30</v>
      </c>
      <c r="I15" s="215">
        <f>'Basic Data '!$S$2</f>
        <v>66750</v>
      </c>
      <c r="J15" s="10">
        <v>0.29166666666666702</v>
      </c>
      <c r="K15" s="10">
        <v>0.79166666666666696</v>
      </c>
      <c r="L15" s="9">
        <v>1233</v>
      </c>
      <c r="M15" s="215">
        <v>1254</v>
      </c>
      <c r="N15" s="215">
        <v>1180</v>
      </c>
      <c r="O15" s="215">
        <v>1165</v>
      </c>
      <c r="P15" s="215">
        <v>1222</v>
      </c>
      <c r="Q15" s="215">
        <v>1133</v>
      </c>
      <c r="R15" s="215">
        <v>1158</v>
      </c>
      <c r="S15" s="215">
        <v>1172</v>
      </c>
      <c r="T15" s="215">
        <v>1199</v>
      </c>
      <c r="U15" s="215">
        <v>1188</v>
      </c>
      <c r="V15" s="215">
        <v>1189</v>
      </c>
      <c r="W15" s="215">
        <v>1184</v>
      </c>
      <c r="X15" s="215">
        <v>1173</v>
      </c>
      <c r="Y15" s="215">
        <v>1040</v>
      </c>
      <c r="Z15" s="215">
        <v>1098</v>
      </c>
      <c r="AA15" s="215">
        <v>1130</v>
      </c>
      <c r="AB15" s="215">
        <v>1120</v>
      </c>
      <c r="AC15" s="215">
        <v>1130</v>
      </c>
      <c r="AD15" s="215">
        <v>1219</v>
      </c>
      <c r="AE15" s="215">
        <v>1232</v>
      </c>
      <c r="AF15" s="215">
        <v>1150</v>
      </c>
      <c r="AG15" s="215">
        <v>1130</v>
      </c>
      <c r="AH15" s="215">
        <v>1248</v>
      </c>
      <c r="AI15" s="215">
        <v>1250</v>
      </c>
      <c r="AJ15" s="215">
        <v>1231</v>
      </c>
      <c r="AK15" s="215">
        <v>1222</v>
      </c>
      <c r="AL15" s="215">
        <v>1290</v>
      </c>
      <c r="AM15" s="215">
        <v>1250</v>
      </c>
      <c r="AN15" s="215">
        <v>1255</v>
      </c>
      <c r="AO15" s="215">
        <v>1250</v>
      </c>
      <c r="AP15" s="215">
        <v>1300</v>
      </c>
      <c r="AQ15" s="215">
        <v>1242</v>
      </c>
      <c r="AR15" s="215">
        <v>1073</v>
      </c>
      <c r="AS15" s="215">
        <v>351</v>
      </c>
      <c r="AT15" s="215">
        <v>1114</v>
      </c>
      <c r="AU15" s="215">
        <v>1208</v>
      </c>
      <c r="AV15" s="215">
        <v>1150</v>
      </c>
      <c r="AW15" s="215">
        <v>1102</v>
      </c>
      <c r="AX15" s="215">
        <v>1124</v>
      </c>
      <c r="AY15" s="215">
        <v>1155</v>
      </c>
      <c r="AZ15" s="215">
        <v>1160</v>
      </c>
      <c r="BA15" s="215">
        <v>1160</v>
      </c>
      <c r="BB15" s="215">
        <v>1132</v>
      </c>
      <c r="BC15" s="215">
        <v>1141</v>
      </c>
      <c r="BD15" s="215">
        <v>1146</v>
      </c>
      <c r="BE15" s="215">
        <v>1164</v>
      </c>
      <c r="BF15" s="215">
        <v>1252</v>
      </c>
      <c r="BG15" s="215">
        <v>1136</v>
      </c>
      <c r="BH15" s="215">
        <v>1188</v>
      </c>
      <c r="BI15" s="215">
        <v>1178</v>
      </c>
      <c r="BJ15" s="215">
        <v>1150</v>
      </c>
      <c r="BK15" s="215">
        <v>1171</v>
      </c>
      <c r="BL15" s="215">
        <v>1336</v>
      </c>
      <c r="BM15" s="215">
        <v>1329</v>
      </c>
      <c r="BN15" s="215">
        <v>1250</v>
      </c>
      <c r="BO15" s="215">
        <v>1278</v>
      </c>
      <c r="BP15" s="215">
        <v>1280</v>
      </c>
      <c r="BQ15" s="215">
        <v>1171</v>
      </c>
      <c r="BR15" s="215">
        <v>1281</v>
      </c>
      <c r="BS15" s="215">
        <v>1270</v>
      </c>
      <c r="BT15" s="215">
        <v>1149</v>
      </c>
      <c r="BU15" s="215">
        <v>1291</v>
      </c>
      <c r="BV15" s="215">
        <v>1220</v>
      </c>
      <c r="BW15" s="215">
        <v>1080</v>
      </c>
      <c r="BX15" s="215">
        <v>1246</v>
      </c>
      <c r="BY15" s="215">
        <v>1244</v>
      </c>
      <c r="BZ15" s="215">
        <v>1264</v>
      </c>
      <c r="CA15" s="215">
        <v>1190</v>
      </c>
      <c r="CB15" s="215">
        <v>1148</v>
      </c>
      <c r="CC15" s="215">
        <v>1143</v>
      </c>
      <c r="CD15" s="215">
        <v>1158</v>
      </c>
      <c r="CE15" s="215">
        <v>1132</v>
      </c>
      <c r="CF15" s="215">
        <v>1140</v>
      </c>
      <c r="CG15" s="215">
        <v>1166</v>
      </c>
      <c r="CH15" s="215">
        <v>1277</v>
      </c>
      <c r="CI15" s="215">
        <v>1316</v>
      </c>
      <c r="CJ15" s="215">
        <v>1330</v>
      </c>
      <c r="CK15" s="215">
        <v>1154</v>
      </c>
      <c r="CL15" s="215">
        <v>1138</v>
      </c>
      <c r="CM15" s="215">
        <v>1250</v>
      </c>
      <c r="CN15" s="215">
        <v>1168</v>
      </c>
      <c r="CO15" s="215">
        <v>1172</v>
      </c>
      <c r="CP15" s="215">
        <v>1156</v>
      </c>
      <c r="CQ15" s="215">
        <v>1164</v>
      </c>
      <c r="CR15" s="215">
        <v>1148</v>
      </c>
      <c r="CS15" s="215">
        <v>1155</v>
      </c>
      <c r="CT15" s="215">
        <v>1162</v>
      </c>
      <c r="CU15" s="215">
        <v>1143</v>
      </c>
      <c r="CV15" s="215">
        <v>1129</v>
      </c>
      <c r="CW15" s="215">
        <v>1140</v>
      </c>
      <c r="CX15" s="215">
        <v>1180</v>
      </c>
      <c r="CY15" s="215">
        <v>1310</v>
      </c>
      <c r="CZ15" s="215">
        <v>1182</v>
      </c>
      <c r="DA15" s="215">
        <v>1160</v>
      </c>
      <c r="DB15" s="215">
        <v>1398</v>
      </c>
      <c r="DC15" s="215">
        <v>1125</v>
      </c>
      <c r="DD15" s="215">
        <v>1135</v>
      </c>
      <c r="DE15" s="215">
        <v>1162</v>
      </c>
      <c r="DF15" s="215">
        <v>1160</v>
      </c>
      <c r="DG15" s="215">
        <v>1150</v>
      </c>
      <c r="DH15" s="215">
        <v>1195</v>
      </c>
      <c r="DI15" s="215">
        <v>1153</v>
      </c>
      <c r="DJ15" s="215">
        <v>1170</v>
      </c>
      <c r="DK15" s="215">
        <v>1131</v>
      </c>
      <c r="DL15" s="215">
        <v>1304</v>
      </c>
      <c r="DM15" s="215">
        <v>1140</v>
      </c>
      <c r="DN15" s="215">
        <v>1325</v>
      </c>
      <c r="DO15" s="215">
        <v>1302</v>
      </c>
      <c r="DP15" s="215">
        <v>1180</v>
      </c>
      <c r="DQ15" s="215">
        <v>1290</v>
      </c>
      <c r="DR15" s="215">
        <v>1222</v>
      </c>
      <c r="DS15" s="215">
        <v>1281</v>
      </c>
      <c r="DT15" s="215">
        <v>1325</v>
      </c>
      <c r="DU15" s="215">
        <v>1334</v>
      </c>
      <c r="DV15" s="215">
        <v>1140</v>
      </c>
      <c r="DW15" s="215">
        <v>1205</v>
      </c>
      <c r="DX15" s="215">
        <v>1310</v>
      </c>
      <c r="DY15" s="215">
        <v>1319</v>
      </c>
      <c r="DZ15" s="215">
        <v>1262</v>
      </c>
      <c r="EA15" s="215">
        <v>1178</v>
      </c>
      <c r="EB15" s="215">
        <v>1187</v>
      </c>
      <c r="EC15" s="215">
        <v>1298</v>
      </c>
      <c r="ED15" s="215">
        <v>1240</v>
      </c>
      <c r="EE15" s="215">
        <v>1123</v>
      </c>
      <c r="EF15" s="215">
        <v>1186</v>
      </c>
      <c r="EG15" s="215">
        <v>1498</v>
      </c>
      <c r="EH15" s="215">
        <v>1167</v>
      </c>
      <c r="EI15" s="215">
        <v>1140</v>
      </c>
      <c r="EJ15" s="215">
        <v>1321</v>
      </c>
      <c r="EK15" s="215">
        <v>1303</v>
      </c>
      <c r="EL15" s="215">
        <v>1240</v>
      </c>
      <c r="EM15" s="215">
        <v>1218</v>
      </c>
      <c r="EN15" s="215">
        <v>1230</v>
      </c>
      <c r="EO15" s="215">
        <v>1000</v>
      </c>
      <c r="EP15" s="215">
        <v>1225</v>
      </c>
      <c r="EQ15" s="215">
        <v>1245</v>
      </c>
      <c r="ER15" s="215">
        <v>1199</v>
      </c>
      <c r="ES15" s="215">
        <v>1200</v>
      </c>
      <c r="ET15" s="215">
        <v>1215</v>
      </c>
      <c r="EU15" s="215">
        <v>1150</v>
      </c>
      <c r="EV15" s="215">
        <v>1199</v>
      </c>
      <c r="EW15" s="215">
        <v>1240</v>
      </c>
      <c r="EX15" s="215">
        <v>1138</v>
      </c>
      <c r="EY15" s="215">
        <v>1230</v>
      </c>
      <c r="EZ15" s="215">
        <v>1100</v>
      </c>
      <c r="FA15" s="215">
        <v>1298</v>
      </c>
      <c r="FB15" s="215">
        <v>1134</v>
      </c>
      <c r="FC15" s="215">
        <v>1057</v>
      </c>
      <c r="FD15" s="215">
        <v>1260</v>
      </c>
      <c r="FE15" s="215">
        <v>1239</v>
      </c>
      <c r="FF15" s="215">
        <v>1253</v>
      </c>
      <c r="FG15" s="215">
        <v>1147</v>
      </c>
      <c r="FH15" s="215">
        <v>1290</v>
      </c>
      <c r="FI15" s="215">
        <v>1141</v>
      </c>
      <c r="FJ15" s="215">
        <v>1120</v>
      </c>
      <c r="FK15" s="215">
        <v>1108</v>
      </c>
      <c r="FL15" s="215">
        <v>1198</v>
      </c>
      <c r="FM15" s="215">
        <v>1140</v>
      </c>
      <c r="FN15" s="215">
        <v>1098</v>
      </c>
      <c r="FO15" s="215">
        <v>1162</v>
      </c>
      <c r="FP15" s="215">
        <v>1293</v>
      </c>
      <c r="FQ15" s="215">
        <v>1146</v>
      </c>
      <c r="FR15" s="215">
        <v>1230</v>
      </c>
      <c r="FS15" s="215">
        <v>1280</v>
      </c>
      <c r="FT15" s="215">
        <v>1270</v>
      </c>
      <c r="FU15" s="215">
        <v>1160</v>
      </c>
      <c r="FV15" s="215">
        <v>1129</v>
      </c>
      <c r="FW15" s="215">
        <v>1297</v>
      </c>
      <c r="FX15" s="215">
        <v>1179</v>
      </c>
      <c r="FY15" s="215">
        <v>1200</v>
      </c>
      <c r="FZ15" s="215">
        <v>1162</v>
      </c>
      <c r="GA15" s="215">
        <v>1166</v>
      </c>
      <c r="GB15" s="215">
        <v>1280</v>
      </c>
      <c r="GC15" s="215">
        <v>1207</v>
      </c>
      <c r="GD15" s="215">
        <v>1359</v>
      </c>
      <c r="GE15" s="215">
        <v>1195</v>
      </c>
      <c r="GF15" s="215">
        <v>1200</v>
      </c>
      <c r="GG15" s="215">
        <v>1176</v>
      </c>
      <c r="GH15" s="215">
        <v>1386</v>
      </c>
      <c r="GI15" s="215">
        <v>1218</v>
      </c>
      <c r="GJ15" s="215">
        <v>1226</v>
      </c>
      <c r="GK15" s="215">
        <v>1259</v>
      </c>
      <c r="GL15" s="215">
        <v>1290</v>
      </c>
      <c r="GM15" s="215">
        <v>1300</v>
      </c>
      <c r="GN15" s="215">
        <v>1256</v>
      </c>
      <c r="GO15" s="215">
        <v>1327</v>
      </c>
      <c r="GP15" s="215">
        <v>1252</v>
      </c>
      <c r="GQ15" s="215">
        <v>1243</v>
      </c>
      <c r="GR15" s="215">
        <v>1232</v>
      </c>
      <c r="GS15" s="215">
        <v>1240</v>
      </c>
      <c r="GT15" s="215">
        <v>1153</v>
      </c>
      <c r="GU15" s="215">
        <v>1156</v>
      </c>
      <c r="GV15" s="215">
        <v>1130</v>
      </c>
      <c r="GW15" s="215">
        <v>1139</v>
      </c>
      <c r="GX15" s="215">
        <v>1220</v>
      </c>
      <c r="GY15" s="215">
        <v>1150</v>
      </c>
      <c r="GZ15" s="215">
        <v>1009</v>
      </c>
      <c r="HA15" s="215">
        <v>1233</v>
      </c>
      <c r="HB15" s="215"/>
      <c r="HC15" s="215"/>
      <c r="HD15" s="215">
        <v>1198</v>
      </c>
      <c r="HE15" s="215">
        <v>898</v>
      </c>
      <c r="HF15" s="215">
        <v>1280</v>
      </c>
      <c r="HG15" s="215"/>
      <c r="HH15" s="215">
        <v>1250</v>
      </c>
      <c r="HI15" s="215">
        <v>1278</v>
      </c>
      <c r="HJ15" s="215">
        <v>1182</v>
      </c>
      <c r="HK15" s="215">
        <v>1172</v>
      </c>
      <c r="HL15" s="215">
        <v>1149</v>
      </c>
      <c r="HM15" s="215">
        <v>1209</v>
      </c>
      <c r="HN15" s="215">
        <v>1214</v>
      </c>
      <c r="HO15" s="215">
        <v>1233</v>
      </c>
      <c r="HP15" s="215">
        <v>1230</v>
      </c>
      <c r="HQ15" s="215">
        <v>1244</v>
      </c>
      <c r="HR15" s="215">
        <v>1213</v>
      </c>
      <c r="HS15" s="215">
        <v>1201</v>
      </c>
      <c r="HT15" s="215">
        <v>1230</v>
      </c>
      <c r="HU15" s="215">
        <v>1365</v>
      </c>
      <c r="HV15" s="215">
        <v>1072</v>
      </c>
      <c r="HW15" s="215">
        <v>1110</v>
      </c>
      <c r="HX15" s="215">
        <v>860</v>
      </c>
      <c r="HY15" s="215">
        <v>810</v>
      </c>
      <c r="HZ15" s="215">
        <v>910</v>
      </c>
      <c r="IA15" s="215">
        <v>1011</v>
      </c>
      <c r="IB15" s="215">
        <v>1213</v>
      </c>
      <c r="IC15" s="215">
        <v>1372</v>
      </c>
      <c r="ID15" s="215">
        <v>1198</v>
      </c>
      <c r="IE15" s="215">
        <v>1244</v>
      </c>
      <c r="IF15" s="215">
        <v>1298</v>
      </c>
      <c r="IG15" s="215">
        <v>1278</v>
      </c>
      <c r="IH15" s="215">
        <v>1287</v>
      </c>
      <c r="II15" s="215">
        <v>1300</v>
      </c>
      <c r="IJ15" s="215">
        <v>1099</v>
      </c>
      <c r="IK15" s="215">
        <v>1219</v>
      </c>
      <c r="IL15" s="215">
        <v>1099</v>
      </c>
      <c r="IM15" s="215">
        <v>1124</v>
      </c>
      <c r="IN15" s="215">
        <v>1010</v>
      </c>
      <c r="IO15" s="215"/>
      <c r="IP15" s="215">
        <v>1498</v>
      </c>
      <c r="IQ15" s="215">
        <v>1398</v>
      </c>
      <c r="IR15" s="215">
        <v>450</v>
      </c>
      <c r="IS15" s="215">
        <v>1198</v>
      </c>
      <c r="IT15" s="215">
        <v>1123</v>
      </c>
      <c r="IU15" s="215"/>
      <c r="IV15" s="215"/>
      <c r="IW15" s="215">
        <v>1098</v>
      </c>
      <c r="IX15" s="215">
        <v>1298</v>
      </c>
      <c r="IY15" s="215">
        <v>1199</v>
      </c>
      <c r="IZ15" s="215">
        <v>1110</v>
      </c>
      <c r="JA15" s="215">
        <v>1110</v>
      </c>
      <c r="JB15" s="223">
        <v>39.9</v>
      </c>
      <c r="JC15" s="223">
        <v>50.1</v>
      </c>
      <c r="JD15" s="223">
        <v>1.1000000000000001</v>
      </c>
      <c r="JE15" s="223">
        <v>3.4</v>
      </c>
      <c r="JF15" s="223"/>
      <c r="JG15" s="223">
        <v>0</v>
      </c>
      <c r="JH15" s="224">
        <f>337609/60000</f>
        <v>5.6268166666666666</v>
      </c>
      <c r="JI15" s="225"/>
      <c r="JJ15" s="225"/>
      <c r="JK15" s="215">
        <v>81698640.224999994</v>
      </c>
      <c r="JL15" s="215">
        <v>281383.06800000003</v>
      </c>
      <c r="JM15" s="215">
        <v>54825971.097000003</v>
      </c>
      <c r="JN15" s="215">
        <v>61171.180999999997</v>
      </c>
      <c r="JO15" s="215">
        <v>82476110.298999995</v>
      </c>
      <c r="JP15" s="215">
        <v>185620.06599999999</v>
      </c>
      <c r="JQ15" s="215">
        <v>59671741.711999997</v>
      </c>
      <c r="JR15" s="215">
        <v>55149.599000000002</v>
      </c>
      <c r="JS15" s="223">
        <v>309793554.329</v>
      </c>
      <c r="JT15" s="223">
        <v>82309.563999999998</v>
      </c>
      <c r="JU15" s="14">
        <f t="shared" si="23"/>
        <v>75183.550999999046</v>
      </c>
      <c r="JV15" s="14">
        <f t="shared" si="23"/>
        <v>8.3910000000032596</v>
      </c>
      <c r="JW15" s="14">
        <f t="shared" si="23"/>
        <v>72526.63599999994</v>
      </c>
      <c r="JX15" s="14">
        <f t="shared" si="23"/>
        <v>8.7649999999994179</v>
      </c>
      <c r="JY15" s="14">
        <f t="shared" si="23"/>
        <v>75378.438999995589</v>
      </c>
      <c r="JZ15" s="14">
        <f t="shared" si="23"/>
        <v>33.122000000003027</v>
      </c>
      <c r="KA15" s="14">
        <f t="shared" si="23"/>
        <v>59210.456000000238</v>
      </c>
      <c r="KB15" s="14">
        <f t="shared" si="23"/>
        <v>10.124000000003434</v>
      </c>
      <c r="KC15" s="14">
        <f t="shared" si="23"/>
        <v>282018.85899996758</v>
      </c>
      <c r="KD15" s="14">
        <f t="shared" si="23"/>
        <v>38.081000000005588</v>
      </c>
      <c r="KE15" s="218">
        <f t="shared" ref="KE15:KE20" si="28">(JU15+JW15)-(JV15+JX15)</f>
        <v>147693.03099999897</v>
      </c>
      <c r="KF15" s="15">
        <f t="shared" ref="KF15:KF20" si="29">IFERROR(KC15-KD15,"")</f>
        <v>281980.77799996757</v>
      </c>
      <c r="KG15" s="16">
        <f>(RD[[#This Row],[Sunset Time (POA&lt;20 W/m2)]]-RD[[#This Row],[Sunrise Time (POA&gt;20 W/m2)]])*24</f>
        <v>11.999999999999998</v>
      </c>
      <c r="KH15" s="53">
        <f>RD[[#This Row],[GHI ]]</f>
        <v>0</v>
      </c>
      <c r="KI15" s="53">
        <f>RD[[#This Row],[POA]]</f>
        <v>5.6268166666666666</v>
      </c>
      <c r="KJ15" s="53">
        <f>RD[[#This Row],[AT (°C) 14 Hours]]</f>
        <v>39.9</v>
      </c>
      <c r="KK15" s="53">
        <f>RD[[#This Row],[MT (°C) Gen. Hours]]</f>
        <v>50.1</v>
      </c>
      <c r="KL15" s="53">
        <f>RD[[#This Row],[WS_Avg (m/s) (24 Hours)]]</f>
        <v>1.1000000000000001</v>
      </c>
      <c r="KM15" s="53">
        <f>RD[[#This Row],[WS_Max (m/s)]]</f>
        <v>3.4</v>
      </c>
      <c r="KN15" s="54">
        <f>SUM(RD[[#This Row],[BLK1_INV1]:[BLK8_INV27]])</f>
        <v>289705</v>
      </c>
      <c r="KO15" s="221"/>
      <c r="KP15" s="222"/>
      <c r="KQ15" s="132" t="str">
        <f>IFERROR(RD[[#This Row],[WPR_Eac]]/RD[[#This Row],[WPR_Edc]],"")</f>
        <v/>
      </c>
    </row>
    <row r="16" spans="2:303" ht="15" customHeight="1" x14ac:dyDescent="0.25">
      <c r="B16" s="52">
        <f t="shared" si="10"/>
        <v>45757</v>
      </c>
      <c r="C16" s="9">
        <f>YEAR(RD[[#This Row],[Date]])+IF(MONTH(RD[[#This Row],[Date]])&gt;=4,1,0)</f>
        <v>2026</v>
      </c>
      <c r="D16" s="129">
        <f t="shared" si="26"/>
        <v>2025</v>
      </c>
      <c r="E16" s="216"/>
      <c r="F16" s="216"/>
      <c r="G16" s="217" t="str">
        <f>TEXT(RD[[#This Row],[Date]],"mmm-yy")</f>
        <v>Apr-25</v>
      </c>
      <c r="H16" s="129">
        <f t="shared" si="27"/>
        <v>30</v>
      </c>
      <c r="I16" s="215">
        <f>'Basic Data '!$S$2</f>
        <v>66750</v>
      </c>
      <c r="J16" s="10">
        <v>0.29166666666666702</v>
      </c>
      <c r="K16" s="10">
        <v>0.79166666666666696</v>
      </c>
      <c r="L16" s="215">
        <v>971</v>
      </c>
      <c r="M16" s="215">
        <v>984</v>
      </c>
      <c r="N16" s="215">
        <v>912</v>
      </c>
      <c r="O16" s="215">
        <v>911</v>
      </c>
      <c r="P16" s="215">
        <v>965</v>
      </c>
      <c r="Q16" s="215">
        <v>892</v>
      </c>
      <c r="R16" s="215">
        <v>901</v>
      </c>
      <c r="S16" s="215">
        <v>932</v>
      </c>
      <c r="T16" s="215">
        <v>990</v>
      </c>
      <c r="U16" s="215">
        <v>940</v>
      </c>
      <c r="V16" s="215">
        <v>926</v>
      </c>
      <c r="W16" s="215">
        <v>922</v>
      </c>
      <c r="X16" s="215">
        <v>910</v>
      </c>
      <c r="Y16" s="215">
        <v>818</v>
      </c>
      <c r="Z16" s="215">
        <v>854</v>
      </c>
      <c r="AA16" s="215">
        <v>882</v>
      </c>
      <c r="AB16" s="215">
        <v>940</v>
      </c>
      <c r="AC16" s="215">
        <v>940</v>
      </c>
      <c r="AD16" s="215">
        <v>952</v>
      </c>
      <c r="AE16" s="215">
        <v>963</v>
      </c>
      <c r="AF16" s="215">
        <v>896</v>
      </c>
      <c r="AG16" s="215">
        <v>920</v>
      </c>
      <c r="AH16" s="215">
        <v>981</v>
      </c>
      <c r="AI16" s="215">
        <v>960</v>
      </c>
      <c r="AJ16" s="215">
        <v>963</v>
      </c>
      <c r="AK16" s="215">
        <v>954</v>
      </c>
      <c r="AL16" s="215">
        <v>999</v>
      </c>
      <c r="AM16" s="215">
        <v>950</v>
      </c>
      <c r="AN16" s="215">
        <v>935</v>
      </c>
      <c r="AO16" s="215">
        <v>954</v>
      </c>
      <c r="AP16" s="215">
        <v>990</v>
      </c>
      <c r="AQ16" s="215">
        <v>1000</v>
      </c>
      <c r="AR16" s="215">
        <v>835</v>
      </c>
      <c r="AS16" s="215">
        <v>1105</v>
      </c>
      <c r="AT16" s="215">
        <v>888</v>
      </c>
      <c r="AU16" s="215">
        <v>940</v>
      </c>
      <c r="AV16" s="215">
        <v>898</v>
      </c>
      <c r="AW16" s="215">
        <v>857</v>
      </c>
      <c r="AX16" s="215">
        <v>874</v>
      </c>
      <c r="AY16" s="215">
        <v>890</v>
      </c>
      <c r="AZ16" s="215">
        <v>899</v>
      </c>
      <c r="BA16" s="215">
        <v>899</v>
      </c>
      <c r="BB16" s="215">
        <v>888</v>
      </c>
      <c r="BC16" s="215">
        <v>883</v>
      </c>
      <c r="BD16" s="215">
        <v>893</v>
      </c>
      <c r="BE16" s="215">
        <v>908</v>
      </c>
      <c r="BF16" s="215">
        <v>978</v>
      </c>
      <c r="BG16" s="215">
        <v>884</v>
      </c>
      <c r="BH16" s="215">
        <v>898</v>
      </c>
      <c r="BI16" s="215">
        <v>976</v>
      </c>
      <c r="BJ16" s="215">
        <v>925</v>
      </c>
      <c r="BK16" s="215">
        <v>864</v>
      </c>
      <c r="BL16" s="215">
        <v>990</v>
      </c>
      <c r="BM16" s="215">
        <v>980</v>
      </c>
      <c r="BN16" s="215">
        <v>950</v>
      </c>
      <c r="BO16" s="215">
        <v>997</v>
      </c>
      <c r="BP16" s="215">
        <v>988</v>
      </c>
      <c r="BQ16" s="215">
        <v>860</v>
      </c>
      <c r="BR16" s="215">
        <v>999</v>
      </c>
      <c r="BS16" s="215">
        <v>990</v>
      </c>
      <c r="BT16" s="215">
        <v>943</v>
      </c>
      <c r="BU16" s="215">
        <v>1010</v>
      </c>
      <c r="BV16" s="215">
        <v>910</v>
      </c>
      <c r="BW16" s="215">
        <v>898</v>
      </c>
      <c r="BX16" s="215">
        <v>968</v>
      </c>
      <c r="BY16" s="215">
        <v>964</v>
      </c>
      <c r="BZ16" s="215">
        <v>980</v>
      </c>
      <c r="CA16" s="215">
        <v>950</v>
      </c>
      <c r="CB16" s="215">
        <v>884</v>
      </c>
      <c r="CC16" s="215">
        <v>885</v>
      </c>
      <c r="CD16" s="215">
        <v>898</v>
      </c>
      <c r="CE16" s="215">
        <v>881</v>
      </c>
      <c r="CF16" s="215">
        <v>862</v>
      </c>
      <c r="CG16" s="215">
        <v>902</v>
      </c>
      <c r="CH16" s="215">
        <v>1010</v>
      </c>
      <c r="CI16" s="215">
        <v>1020</v>
      </c>
      <c r="CJ16" s="215">
        <v>1030</v>
      </c>
      <c r="CK16" s="215">
        <v>893</v>
      </c>
      <c r="CL16" s="215">
        <v>899</v>
      </c>
      <c r="CM16" s="215">
        <v>968</v>
      </c>
      <c r="CN16" s="215">
        <v>904</v>
      </c>
      <c r="CO16" s="215">
        <v>906</v>
      </c>
      <c r="CP16" s="215" t="s">
        <v>413</v>
      </c>
      <c r="CQ16" s="215">
        <v>900</v>
      </c>
      <c r="CR16" s="215">
        <v>889</v>
      </c>
      <c r="CS16" s="215">
        <v>899</v>
      </c>
      <c r="CT16" s="215">
        <v>907</v>
      </c>
      <c r="CU16" s="215">
        <v>895</v>
      </c>
      <c r="CV16" s="215">
        <v>883</v>
      </c>
      <c r="CW16" s="215">
        <v>898</v>
      </c>
      <c r="CX16" s="215">
        <v>917</v>
      </c>
      <c r="CY16" s="215">
        <v>992</v>
      </c>
      <c r="CZ16" s="215">
        <v>918</v>
      </c>
      <c r="DA16" s="215">
        <v>892</v>
      </c>
      <c r="DB16" s="215">
        <v>978</v>
      </c>
      <c r="DC16" s="215">
        <v>868</v>
      </c>
      <c r="DD16" s="215">
        <v>876</v>
      </c>
      <c r="DE16" s="215">
        <v>897</v>
      </c>
      <c r="DF16" s="215">
        <v>896</v>
      </c>
      <c r="DG16" s="215">
        <v>949</v>
      </c>
      <c r="DH16" s="215">
        <v>926</v>
      </c>
      <c r="DI16" s="215">
        <v>895</v>
      </c>
      <c r="DJ16" s="215">
        <v>908</v>
      </c>
      <c r="DK16" s="215">
        <v>950</v>
      </c>
      <c r="DL16" s="215">
        <v>1008</v>
      </c>
      <c r="DM16" s="215">
        <v>909</v>
      </c>
      <c r="DN16" s="215">
        <v>1021</v>
      </c>
      <c r="DO16" s="215">
        <v>1005</v>
      </c>
      <c r="DP16" s="215">
        <v>914</v>
      </c>
      <c r="DQ16" s="215">
        <v>1000</v>
      </c>
      <c r="DR16" s="215">
        <v>947</v>
      </c>
      <c r="DS16" s="215">
        <v>989</v>
      </c>
      <c r="DT16" s="215">
        <v>1032</v>
      </c>
      <c r="DU16" s="215">
        <v>1031</v>
      </c>
      <c r="DV16" s="215">
        <v>883</v>
      </c>
      <c r="DW16" s="215">
        <v>933</v>
      </c>
      <c r="DX16" s="215">
        <v>1012</v>
      </c>
      <c r="DY16" s="215">
        <v>961</v>
      </c>
      <c r="DZ16" s="215">
        <v>972</v>
      </c>
      <c r="EA16" s="215">
        <v>938</v>
      </c>
      <c r="EB16" s="215">
        <v>960</v>
      </c>
      <c r="EC16" s="215">
        <v>978</v>
      </c>
      <c r="ED16" s="215">
        <v>943</v>
      </c>
      <c r="EE16" s="215">
        <v>894</v>
      </c>
      <c r="EF16" s="215">
        <v>919</v>
      </c>
      <c r="EG16" s="215">
        <v>1010</v>
      </c>
      <c r="EH16" s="215">
        <v>826</v>
      </c>
      <c r="EI16" s="215">
        <v>833</v>
      </c>
      <c r="EJ16" s="215">
        <v>1022</v>
      </c>
      <c r="EK16" s="215">
        <v>1010</v>
      </c>
      <c r="EL16" s="215">
        <v>920</v>
      </c>
      <c r="EM16" s="215">
        <v>949</v>
      </c>
      <c r="EN16" s="215">
        <v>927</v>
      </c>
      <c r="EO16" s="215">
        <v>805</v>
      </c>
      <c r="EP16" s="215">
        <v>958</v>
      </c>
      <c r="EQ16" s="215">
        <v>913</v>
      </c>
      <c r="ER16" s="215">
        <v>916</v>
      </c>
      <c r="ES16" s="215">
        <v>809</v>
      </c>
      <c r="ET16" s="215">
        <v>949</v>
      </c>
      <c r="EU16" s="215">
        <v>929</v>
      </c>
      <c r="EV16" s="215">
        <v>946</v>
      </c>
      <c r="EW16" s="215">
        <v>915</v>
      </c>
      <c r="EX16" s="215">
        <v>850</v>
      </c>
      <c r="EY16" s="215">
        <v>960</v>
      </c>
      <c r="EZ16" s="215">
        <v>931</v>
      </c>
      <c r="FA16" s="215">
        <v>928</v>
      </c>
      <c r="FB16" s="215">
        <v>840</v>
      </c>
      <c r="FC16" s="215">
        <v>784</v>
      </c>
      <c r="FD16" s="215">
        <v>904</v>
      </c>
      <c r="FE16" s="215">
        <v>921</v>
      </c>
      <c r="FF16" s="215">
        <v>928</v>
      </c>
      <c r="FG16" s="215">
        <v>847</v>
      </c>
      <c r="FH16" s="215">
        <v>1010</v>
      </c>
      <c r="FI16" s="215">
        <v>845</v>
      </c>
      <c r="FJ16" s="215">
        <v>831</v>
      </c>
      <c r="FK16" s="215">
        <v>822</v>
      </c>
      <c r="FL16" s="215">
        <v>910</v>
      </c>
      <c r="FM16" s="215">
        <v>922</v>
      </c>
      <c r="FN16" s="215">
        <v>862</v>
      </c>
      <c r="FO16" s="215">
        <v>916</v>
      </c>
      <c r="FP16" s="215">
        <v>1009</v>
      </c>
      <c r="FQ16" s="215">
        <v>893</v>
      </c>
      <c r="FR16" s="215">
        <v>933</v>
      </c>
      <c r="FS16" s="215">
        <v>968</v>
      </c>
      <c r="FT16" s="215">
        <v>1002</v>
      </c>
      <c r="FU16" s="215">
        <v>945</v>
      </c>
      <c r="FV16" s="215">
        <v>883</v>
      </c>
      <c r="FW16" s="215">
        <v>1007</v>
      </c>
      <c r="FX16" s="215">
        <v>932</v>
      </c>
      <c r="FY16" s="215">
        <v>961</v>
      </c>
      <c r="FZ16" s="215">
        <v>919</v>
      </c>
      <c r="GA16" s="215">
        <v>913</v>
      </c>
      <c r="GB16" s="215">
        <v>1015</v>
      </c>
      <c r="GC16" s="215">
        <v>954</v>
      </c>
      <c r="GD16" s="215">
        <v>1053</v>
      </c>
      <c r="GE16" s="215">
        <v>924</v>
      </c>
      <c r="GF16" s="215">
        <v>928</v>
      </c>
      <c r="GG16" s="215">
        <v>931</v>
      </c>
      <c r="GH16" s="215">
        <v>1068</v>
      </c>
      <c r="GI16" s="215">
        <v>942</v>
      </c>
      <c r="GJ16" s="215">
        <v>945</v>
      </c>
      <c r="GK16" s="215">
        <v>970</v>
      </c>
      <c r="GL16" s="215">
        <v>952</v>
      </c>
      <c r="GM16" s="215">
        <v>1009</v>
      </c>
      <c r="GN16" s="215">
        <v>971</v>
      </c>
      <c r="GO16" s="215">
        <v>1031</v>
      </c>
      <c r="GP16" s="215">
        <v>969</v>
      </c>
      <c r="GQ16" s="215">
        <v>965</v>
      </c>
      <c r="GR16" s="215">
        <v>957</v>
      </c>
      <c r="GS16" s="215">
        <v>920</v>
      </c>
      <c r="GT16" s="215">
        <v>899</v>
      </c>
      <c r="GU16" s="215">
        <v>994</v>
      </c>
      <c r="GV16" s="215">
        <v>851</v>
      </c>
      <c r="GW16" s="215">
        <v>886</v>
      </c>
      <c r="GX16" s="215">
        <v>946</v>
      </c>
      <c r="GY16" s="215">
        <v>853</v>
      </c>
      <c r="GZ16" s="215">
        <v>796</v>
      </c>
      <c r="HA16" s="215">
        <v>964</v>
      </c>
      <c r="HB16" s="215"/>
      <c r="HC16" s="215"/>
      <c r="HD16" s="215">
        <v>840</v>
      </c>
      <c r="HE16" s="215">
        <v>646</v>
      </c>
      <c r="HF16" s="215">
        <v>940</v>
      </c>
      <c r="HG16" s="215"/>
      <c r="HH16" s="215">
        <v>1012</v>
      </c>
      <c r="HI16" s="215">
        <v>929</v>
      </c>
      <c r="HJ16" s="215">
        <v>912</v>
      </c>
      <c r="HK16" s="215">
        <v>897</v>
      </c>
      <c r="HL16" s="215">
        <v>890</v>
      </c>
      <c r="HM16" s="215">
        <v>932</v>
      </c>
      <c r="HN16" s="215">
        <v>945</v>
      </c>
      <c r="HO16" s="215">
        <v>947</v>
      </c>
      <c r="HP16" s="215">
        <v>948</v>
      </c>
      <c r="HQ16" s="215">
        <v>958</v>
      </c>
      <c r="HR16" s="215">
        <v>970</v>
      </c>
      <c r="HS16" s="215">
        <v>950</v>
      </c>
      <c r="HT16" s="215">
        <v>954</v>
      </c>
      <c r="HU16" s="215">
        <v>1101</v>
      </c>
      <c r="HV16" s="215">
        <v>834</v>
      </c>
      <c r="HW16" s="215">
        <v>767</v>
      </c>
      <c r="HX16" s="215">
        <v>620</v>
      </c>
      <c r="HY16" s="215">
        <v>610</v>
      </c>
      <c r="HZ16" s="215">
        <v>653</v>
      </c>
      <c r="IA16" s="215">
        <v>760</v>
      </c>
      <c r="IB16" s="215">
        <v>895</v>
      </c>
      <c r="IC16" s="215">
        <v>1014</v>
      </c>
      <c r="ID16" s="215">
        <v>943</v>
      </c>
      <c r="IE16" s="215">
        <v>929</v>
      </c>
      <c r="IF16" s="215">
        <v>978</v>
      </c>
      <c r="IG16" s="215">
        <v>998</v>
      </c>
      <c r="IH16" s="215">
        <v>967</v>
      </c>
      <c r="II16" s="215">
        <v>949</v>
      </c>
      <c r="IJ16" s="215">
        <v>913</v>
      </c>
      <c r="IK16" s="215">
        <v>932</v>
      </c>
      <c r="IL16" s="215">
        <v>846</v>
      </c>
      <c r="IM16" s="215">
        <v>934</v>
      </c>
      <c r="IN16" s="215">
        <v>773</v>
      </c>
      <c r="IO16" s="215"/>
      <c r="IP16" s="215">
        <v>1175</v>
      </c>
      <c r="IQ16" s="215">
        <v>950</v>
      </c>
      <c r="IR16" s="215">
        <v>426</v>
      </c>
      <c r="IS16" s="215">
        <v>862</v>
      </c>
      <c r="IT16" s="215">
        <v>815</v>
      </c>
      <c r="IU16" s="215"/>
      <c r="IV16" s="215"/>
      <c r="IW16" s="215">
        <v>898</v>
      </c>
      <c r="IX16" s="215">
        <v>978</v>
      </c>
      <c r="IY16" s="215">
        <v>1010</v>
      </c>
      <c r="IZ16" s="215">
        <v>898</v>
      </c>
      <c r="JA16" s="215">
        <v>810</v>
      </c>
      <c r="JB16" s="223">
        <v>34.9</v>
      </c>
      <c r="JC16" s="223">
        <v>49</v>
      </c>
      <c r="JD16" s="223">
        <v>3</v>
      </c>
      <c r="JE16" s="223">
        <v>5</v>
      </c>
      <c r="JF16" s="223"/>
      <c r="JG16" s="223">
        <v>0</v>
      </c>
      <c r="JH16" s="224">
        <v>4.3600000000000003</v>
      </c>
      <c r="JI16" s="225"/>
      <c r="JJ16" s="225"/>
      <c r="JK16" s="215">
        <v>81756527.707000002</v>
      </c>
      <c r="JL16" s="215">
        <v>281390.022</v>
      </c>
      <c r="JM16" s="215">
        <v>54882722.441</v>
      </c>
      <c r="JN16" s="215">
        <v>61177.887000000002</v>
      </c>
      <c r="JO16" s="215">
        <v>82534835.189999998</v>
      </c>
      <c r="JP16" s="215">
        <v>185649.09400000001</v>
      </c>
      <c r="JQ16" s="215">
        <v>59717471.191</v>
      </c>
      <c r="JR16" s="215">
        <v>55158.877</v>
      </c>
      <c r="JS16" s="223">
        <v>310012420.72899997</v>
      </c>
      <c r="JT16" s="223">
        <v>82339.923999999999</v>
      </c>
      <c r="JU16" s="14">
        <f t="shared" ref="JU16:JU21" si="30">IF((JK16-JK15)&lt;0,"",(JK16-JK15))</f>
        <v>57887.482000008225</v>
      </c>
      <c r="JV16" s="14">
        <f t="shared" ref="JV16" si="31">IF((JL16-JL15)&lt;0,"",(JL16-JL15))</f>
        <v>6.9539999999688007</v>
      </c>
      <c r="JW16" s="14">
        <f t="shared" ref="JW16" si="32">IF((JM16-JM15)&lt;0,"",(JM16-JM15))</f>
        <v>56751.343999996781</v>
      </c>
      <c r="JX16" s="14">
        <f t="shared" ref="JX16" si="33">IF((JN16-JN15)&lt;0,"",(JN16-JN15))</f>
        <v>6.7060000000055879</v>
      </c>
      <c r="JY16" s="14">
        <f t="shared" ref="JY16" si="34">IF((JO16-JO15)&lt;0,"",(JO16-JO15))</f>
        <v>58724.891000002623</v>
      </c>
      <c r="JZ16" s="14">
        <f t="shared" ref="JZ16" si="35">IF((JP16-JP15)&lt;0,"",(JP16-JP15))</f>
        <v>29.028000000020256</v>
      </c>
      <c r="KA16" s="14">
        <f t="shared" ref="KA16" si="36">IF((JQ16-JQ15)&lt;0,"",(JQ16-JQ15))</f>
        <v>45729.479000002146</v>
      </c>
      <c r="KB16" s="14">
        <f t="shared" ref="KB16" si="37">IF((JR16-JR15)&lt;0,"",(JR16-JR15))</f>
        <v>9.2779999999984284</v>
      </c>
      <c r="KC16" s="14">
        <f t="shared" ref="KC16" si="38">IF((JS16-JS15)&lt;0,"",(JS16-JS15))</f>
        <v>218866.39999997616</v>
      </c>
      <c r="KD16" s="14">
        <f t="shared" ref="KD16" si="39">IF((JT16-JT15)&lt;0,"",(JT16-JT15))</f>
        <v>30.360000000000582</v>
      </c>
      <c r="KE16" s="218">
        <f t="shared" si="28"/>
        <v>114625.16600000503</v>
      </c>
      <c r="KF16" s="15">
        <f t="shared" si="29"/>
        <v>218836.03999997617</v>
      </c>
      <c r="KG16" s="16">
        <v>12</v>
      </c>
      <c r="KH16" s="131">
        <f>RD[[#This Row],[GHI ]]</f>
        <v>0</v>
      </c>
      <c r="KI16" s="131">
        <f>RD[[#This Row],[POA]]</f>
        <v>4.3600000000000003</v>
      </c>
      <c r="KJ16" s="131">
        <f>RD[[#This Row],[AT (°C) 14 Hours]]</f>
        <v>34.9</v>
      </c>
      <c r="KK16" s="131">
        <f>RD[[#This Row],[MT (°C) Gen. Hours]]</f>
        <v>49</v>
      </c>
      <c r="KL16" s="131">
        <f>RD[[#This Row],[WS_Avg (m/s) (24 Hours)]]</f>
        <v>3</v>
      </c>
      <c r="KM16" s="131">
        <f>RD[[#This Row],[WS_Max (m/s)]]</f>
        <v>5</v>
      </c>
      <c r="KN16" s="220">
        <f>SUM(RD[[#This Row],[BLK1_INV1]:[BLK8_INV27]])</f>
        <v>223694</v>
      </c>
      <c r="KO16" s="221"/>
      <c r="KP16" s="222"/>
      <c r="KQ16" s="132" t="str">
        <f>IFERROR(RD[[#This Row],[WPR_Eac]]/RD[[#This Row],[WPR_Edc]],"")</f>
        <v/>
      </c>
    </row>
    <row r="17" spans="2:303" ht="15" customHeight="1" x14ac:dyDescent="0.25">
      <c r="B17" s="52">
        <f t="shared" si="10"/>
        <v>45758</v>
      </c>
      <c r="C17" s="9">
        <f>YEAR(RD[[#This Row],[Date]])+IF(MONTH(RD[[#This Row],[Date]])&gt;=4,1,0)</f>
        <v>2026</v>
      </c>
      <c r="D17" s="6">
        <f t="shared" si="26"/>
        <v>2025</v>
      </c>
      <c r="E17" s="7"/>
      <c r="F17" s="7"/>
      <c r="G17" s="8" t="str">
        <f>TEXT(RD[[#This Row],[Date]],"mmm-yy")</f>
        <v>Apr-25</v>
      </c>
      <c r="H17" s="6">
        <f t="shared" si="27"/>
        <v>30</v>
      </c>
      <c r="I17" s="9">
        <f>'Basic Data '!$S$2</f>
        <v>66750</v>
      </c>
      <c r="J17" s="10">
        <v>0.29166666666666702</v>
      </c>
      <c r="K17" s="10">
        <v>0.79166666666666696</v>
      </c>
      <c r="L17" s="9">
        <v>1107</v>
      </c>
      <c r="M17" s="9">
        <v>1131</v>
      </c>
      <c r="N17" s="9">
        <v>1048</v>
      </c>
      <c r="O17" s="9">
        <v>1046</v>
      </c>
      <c r="P17" s="9">
        <v>1110</v>
      </c>
      <c r="Q17" s="9">
        <v>1025</v>
      </c>
      <c r="R17" s="9">
        <v>1029</v>
      </c>
      <c r="S17" s="9">
        <v>1010</v>
      </c>
      <c r="T17" s="9">
        <v>1041</v>
      </c>
      <c r="U17" s="9">
        <v>1024</v>
      </c>
      <c r="V17" s="9">
        <v>1059</v>
      </c>
      <c r="W17" s="9">
        <v>1057</v>
      </c>
      <c r="X17" s="9">
        <v>1043</v>
      </c>
      <c r="Y17" s="9">
        <v>938</v>
      </c>
      <c r="Z17" s="9">
        <v>1012</v>
      </c>
      <c r="AA17" s="9">
        <v>1049</v>
      </c>
      <c r="AB17" s="9">
        <v>963</v>
      </c>
      <c r="AC17" s="9">
        <v>996</v>
      </c>
      <c r="AD17" s="9">
        <v>1092</v>
      </c>
      <c r="AE17" s="9">
        <v>1126</v>
      </c>
      <c r="AF17" s="9">
        <v>1059</v>
      </c>
      <c r="AG17" s="9">
        <v>1022</v>
      </c>
      <c r="AH17" s="9">
        <v>1171</v>
      </c>
      <c r="AI17" s="9">
        <v>1093</v>
      </c>
      <c r="AJ17" s="9">
        <v>1113</v>
      </c>
      <c r="AK17" s="9">
        <v>1110</v>
      </c>
      <c r="AL17" s="9">
        <v>1097</v>
      </c>
      <c r="AM17" s="9">
        <v>1120</v>
      </c>
      <c r="AN17" s="9">
        <v>1091</v>
      </c>
      <c r="AO17" s="9">
        <v>1121</v>
      </c>
      <c r="AP17" s="9">
        <v>1200</v>
      </c>
      <c r="AQ17" s="9">
        <v>1098</v>
      </c>
      <c r="AR17" s="9">
        <v>961</v>
      </c>
      <c r="AS17" s="9">
        <v>1283</v>
      </c>
      <c r="AT17" s="9">
        <v>908</v>
      </c>
      <c r="AU17" s="9">
        <v>1079</v>
      </c>
      <c r="AV17" s="9">
        <v>986</v>
      </c>
      <c r="AW17" s="9">
        <v>987</v>
      </c>
      <c r="AX17" s="9">
        <v>1033</v>
      </c>
      <c r="AY17" s="9">
        <v>1057</v>
      </c>
      <c r="AZ17" s="9">
        <v>989</v>
      </c>
      <c r="BA17" s="9">
        <v>989</v>
      </c>
      <c r="BB17" s="9">
        <v>1029</v>
      </c>
      <c r="BC17" s="9">
        <v>1044</v>
      </c>
      <c r="BD17" s="9">
        <v>1025</v>
      </c>
      <c r="BE17" s="9">
        <v>1049</v>
      </c>
      <c r="BF17" s="9">
        <v>1122</v>
      </c>
      <c r="BG17" s="9">
        <v>1040</v>
      </c>
      <c r="BH17" s="9">
        <v>1035</v>
      </c>
      <c r="BI17" s="9">
        <v>1060</v>
      </c>
      <c r="BJ17" s="9">
        <v>1004</v>
      </c>
      <c r="BK17" s="9">
        <v>1050</v>
      </c>
      <c r="BL17" s="9">
        <v>1201</v>
      </c>
      <c r="BM17" s="9">
        <v>1188</v>
      </c>
      <c r="BN17" s="9">
        <v>1087</v>
      </c>
      <c r="BO17" s="9">
        <v>1154</v>
      </c>
      <c r="BP17" s="9">
        <v>1143</v>
      </c>
      <c r="BQ17" s="9">
        <v>1040</v>
      </c>
      <c r="BR17" s="9">
        <v>1149</v>
      </c>
      <c r="BS17" s="9">
        <v>1106</v>
      </c>
      <c r="BT17" s="9">
        <v>1034</v>
      </c>
      <c r="BU17" s="9">
        <v>1163</v>
      </c>
      <c r="BV17" s="9">
        <v>1210</v>
      </c>
      <c r="BW17" s="9">
        <v>1098</v>
      </c>
      <c r="BX17" s="9">
        <v>1128</v>
      </c>
      <c r="BY17" s="9">
        <v>1120</v>
      </c>
      <c r="BZ17" s="9">
        <v>1150</v>
      </c>
      <c r="CA17" s="9">
        <v>1099</v>
      </c>
      <c r="CB17" s="9">
        <v>1027</v>
      </c>
      <c r="CC17" s="9">
        <v>1031</v>
      </c>
      <c r="CD17" s="9">
        <v>1069</v>
      </c>
      <c r="CE17" s="9">
        <v>1059</v>
      </c>
      <c r="CF17" s="9">
        <v>1046</v>
      </c>
      <c r="CG17" s="9">
        <v>1049</v>
      </c>
      <c r="CH17" s="9">
        <v>1170</v>
      </c>
      <c r="CI17" s="9">
        <v>1170</v>
      </c>
      <c r="CJ17" s="9">
        <v>1184</v>
      </c>
      <c r="CK17" s="9">
        <v>1017</v>
      </c>
      <c r="CL17" s="9">
        <v>1007</v>
      </c>
      <c r="CM17" s="9">
        <v>1122</v>
      </c>
      <c r="CN17" s="9">
        <v>1040</v>
      </c>
      <c r="CO17" s="9">
        <v>1040</v>
      </c>
      <c r="CP17" s="9">
        <v>1038</v>
      </c>
      <c r="CQ17" s="9">
        <v>1039</v>
      </c>
      <c r="CR17" s="9">
        <v>1026</v>
      </c>
      <c r="CS17" s="9">
        <v>1036</v>
      </c>
      <c r="CT17" s="9">
        <v>1084</v>
      </c>
      <c r="CU17" s="9">
        <v>1074</v>
      </c>
      <c r="CV17" s="9">
        <v>1044</v>
      </c>
      <c r="CW17" s="9">
        <v>1041</v>
      </c>
      <c r="CX17" s="9">
        <v>1067</v>
      </c>
      <c r="CY17" s="9">
        <v>1078</v>
      </c>
      <c r="CZ17" s="9">
        <v>1082</v>
      </c>
      <c r="DA17" s="9">
        <v>1024</v>
      </c>
      <c r="DB17" s="9">
        <v>1200</v>
      </c>
      <c r="DC17" s="9">
        <v>1002</v>
      </c>
      <c r="DD17" s="9">
        <v>1032</v>
      </c>
      <c r="DE17" s="9">
        <v>1063</v>
      </c>
      <c r="DF17" s="9">
        <v>1038</v>
      </c>
      <c r="DG17" s="9">
        <v>1041</v>
      </c>
      <c r="DH17" s="9">
        <v>1079</v>
      </c>
      <c r="DI17" s="9">
        <v>1035</v>
      </c>
      <c r="DJ17" s="9">
        <v>1066</v>
      </c>
      <c r="DK17" s="9">
        <v>1036</v>
      </c>
      <c r="DL17" s="9">
        <v>1198</v>
      </c>
      <c r="DM17" s="9">
        <v>1044</v>
      </c>
      <c r="DN17" s="9">
        <v>1186</v>
      </c>
      <c r="DO17" s="9">
        <v>1175</v>
      </c>
      <c r="DP17" s="9">
        <v>1068</v>
      </c>
      <c r="DQ17" s="9">
        <v>1187</v>
      </c>
      <c r="DR17" s="9">
        <v>1146</v>
      </c>
      <c r="DS17" s="9">
        <v>1140</v>
      </c>
      <c r="DT17" s="9">
        <v>1201</v>
      </c>
      <c r="DU17" s="9">
        <v>1189</v>
      </c>
      <c r="DV17" s="9">
        <v>1048</v>
      </c>
      <c r="DW17" s="9">
        <v>1074</v>
      </c>
      <c r="DX17" s="9">
        <v>1172</v>
      </c>
      <c r="DY17" s="9">
        <v>1114</v>
      </c>
      <c r="DZ17" s="9">
        <v>1175</v>
      </c>
      <c r="EA17" s="9">
        <v>1064</v>
      </c>
      <c r="EB17" s="9">
        <v>1094</v>
      </c>
      <c r="EC17" s="9">
        <v>1133</v>
      </c>
      <c r="ED17" s="9">
        <v>1114</v>
      </c>
      <c r="EE17" s="9">
        <v>1030</v>
      </c>
      <c r="EF17" s="9">
        <v>1081</v>
      </c>
      <c r="EG17" s="9">
        <v>1478</v>
      </c>
      <c r="EH17" s="9">
        <v>950</v>
      </c>
      <c r="EI17" s="9">
        <v>968</v>
      </c>
      <c r="EJ17" s="9">
        <v>1165</v>
      </c>
      <c r="EK17" s="9">
        <v>1154</v>
      </c>
      <c r="EL17" s="9">
        <v>1059</v>
      </c>
      <c r="EM17" s="9">
        <v>1083</v>
      </c>
      <c r="EN17" s="9">
        <v>1051</v>
      </c>
      <c r="EO17" s="9">
        <v>898</v>
      </c>
      <c r="EP17" s="9">
        <v>1104</v>
      </c>
      <c r="EQ17" s="9">
        <v>1098</v>
      </c>
      <c r="ER17" s="9">
        <v>1051</v>
      </c>
      <c r="ES17" s="9">
        <v>978</v>
      </c>
      <c r="ET17" s="9">
        <v>1059</v>
      </c>
      <c r="EU17" s="9">
        <v>1004</v>
      </c>
      <c r="EV17" s="9">
        <v>988</v>
      </c>
      <c r="EW17" s="9">
        <v>1046</v>
      </c>
      <c r="EX17" s="9">
        <v>1024</v>
      </c>
      <c r="EY17" s="9">
        <v>1094</v>
      </c>
      <c r="EZ17" s="9">
        <v>999</v>
      </c>
      <c r="FA17" s="9">
        <v>1168</v>
      </c>
      <c r="FB17" s="9">
        <v>1006</v>
      </c>
      <c r="FC17" s="9">
        <v>942</v>
      </c>
      <c r="FD17" s="9">
        <v>1093</v>
      </c>
      <c r="FE17" s="9">
        <v>1113</v>
      </c>
      <c r="FF17" s="9">
        <v>1126</v>
      </c>
      <c r="FG17" s="9">
        <v>1026</v>
      </c>
      <c r="FH17" s="9">
        <v>1119</v>
      </c>
      <c r="FI17" s="9">
        <v>1024</v>
      </c>
      <c r="FJ17" s="9">
        <v>1001</v>
      </c>
      <c r="FK17" s="9">
        <v>988</v>
      </c>
      <c r="FL17" s="9">
        <v>1050</v>
      </c>
      <c r="FM17" s="9">
        <v>1178</v>
      </c>
      <c r="FN17" s="9">
        <v>966</v>
      </c>
      <c r="FO17" s="9">
        <v>1025</v>
      </c>
      <c r="FP17" s="9">
        <v>1130</v>
      </c>
      <c r="FQ17" s="9">
        <v>1001</v>
      </c>
      <c r="FR17" s="9">
        <v>1039</v>
      </c>
      <c r="FS17" s="9">
        <v>1088</v>
      </c>
      <c r="FT17" s="9">
        <v>1125</v>
      </c>
      <c r="FU17" s="9">
        <v>1055</v>
      </c>
      <c r="FV17" s="9">
        <v>983</v>
      </c>
      <c r="FW17" s="9">
        <v>1137</v>
      </c>
      <c r="FX17" s="9">
        <v>1040</v>
      </c>
      <c r="FY17" s="9">
        <v>999</v>
      </c>
      <c r="FZ17" s="9">
        <v>1025</v>
      </c>
      <c r="GA17" s="9">
        <v>1019</v>
      </c>
      <c r="GB17" s="9">
        <v>1140</v>
      </c>
      <c r="GC17" s="9">
        <v>1068</v>
      </c>
      <c r="GD17" s="9">
        <v>1201</v>
      </c>
      <c r="GE17" s="9">
        <v>1044</v>
      </c>
      <c r="GF17" s="9">
        <v>1043</v>
      </c>
      <c r="GG17" s="9">
        <v>931</v>
      </c>
      <c r="GH17" s="9">
        <v>1199</v>
      </c>
      <c r="GI17" s="9">
        <v>1059</v>
      </c>
      <c r="GJ17" s="9">
        <v>1068</v>
      </c>
      <c r="GK17" s="9">
        <v>1096</v>
      </c>
      <c r="GL17" s="9">
        <v>1076</v>
      </c>
      <c r="GM17" s="9">
        <v>1159</v>
      </c>
      <c r="GN17" s="9">
        <v>1100</v>
      </c>
      <c r="GO17" s="9">
        <v>1172</v>
      </c>
      <c r="GP17" s="9">
        <v>1089</v>
      </c>
      <c r="GQ17" s="9">
        <v>1104</v>
      </c>
      <c r="GR17" s="9">
        <v>1069</v>
      </c>
      <c r="GS17" s="9">
        <v>1034</v>
      </c>
      <c r="GT17" s="9">
        <v>1021</v>
      </c>
      <c r="GU17" s="9">
        <v>1016</v>
      </c>
      <c r="GV17" s="9">
        <v>977</v>
      </c>
      <c r="GW17" s="9">
        <v>1005</v>
      </c>
      <c r="GX17" s="9">
        <v>1064</v>
      </c>
      <c r="GY17" s="9">
        <v>962</v>
      </c>
      <c r="GZ17" s="9">
        <v>900</v>
      </c>
      <c r="HA17" s="9">
        <v>1086</v>
      </c>
      <c r="HB17" s="9"/>
      <c r="HC17" s="9"/>
      <c r="HD17" s="9">
        <v>944</v>
      </c>
      <c r="HE17" s="9">
        <v>738</v>
      </c>
      <c r="HF17" s="9">
        <v>1059</v>
      </c>
      <c r="HG17" s="9"/>
      <c r="HH17" s="9">
        <v>1165</v>
      </c>
      <c r="HI17" s="9">
        <v>1132</v>
      </c>
      <c r="HJ17" s="9">
        <v>1051</v>
      </c>
      <c r="HK17" s="9">
        <v>1020</v>
      </c>
      <c r="HL17" s="9">
        <v>1045</v>
      </c>
      <c r="HM17" s="9">
        <v>1058</v>
      </c>
      <c r="HN17" s="9">
        <v>1065</v>
      </c>
      <c r="HO17" s="9">
        <v>1072</v>
      </c>
      <c r="HP17" s="9">
        <v>1069</v>
      </c>
      <c r="HQ17" s="9">
        <v>1083</v>
      </c>
      <c r="HR17" s="9">
        <v>1086</v>
      </c>
      <c r="HS17" s="9">
        <v>1080</v>
      </c>
      <c r="HT17" s="9">
        <v>1149</v>
      </c>
      <c r="HU17" s="9">
        <v>1235</v>
      </c>
      <c r="HV17" s="9">
        <v>975</v>
      </c>
      <c r="HW17" s="9">
        <v>894</v>
      </c>
      <c r="HX17" s="9">
        <v>790</v>
      </c>
      <c r="HY17" s="9">
        <v>640</v>
      </c>
      <c r="HZ17" s="9">
        <v>781</v>
      </c>
      <c r="IA17" s="9">
        <v>913</v>
      </c>
      <c r="IB17" s="9">
        <v>999</v>
      </c>
      <c r="IC17" s="9">
        <v>1200</v>
      </c>
      <c r="ID17" s="9">
        <v>1018</v>
      </c>
      <c r="IE17" s="9">
        <v>1100</v>
      </c>
      <c r="IF17" s="9">
        <v>1098</v>
      </c>
      <c r="IG17" s="9">
        <v>1097</v>
      </c>
      <c r="IH17" s="9">
        <v>1186</v>
      </c>
      <c r="II17" s="9">
        <v>1141</v>
      </c>
      <c r="IJ17" s="9">
        <v>975</v>
      </c>
      <c r="IK17" s="9">
        <v>994</v>
      </c>
      <c r="IL17" s="9">
        <v>900</v>
      </c>
      <c r="IM17" s="9">
        <v>997</v>
      </c>
      <c r="IN17" s="9">
        <v>960</v>
      </c>
      <c r="IO17" s="9"/>
      <c r="IP17" s="9">
        <v>1250</v>
      </c>
      <c r="IQ17" s="9">
        <v>1068</v>
      </c>
      <c r="IR17" s="9">
        <v>398</v>
      </c>
      <c r="IS17" s="9">
        <v>985</v>
      </c>
      <c r="IT17" s="9">
        <v>918</v>
      </c>
      <c r="IU17" s="9"/>
      <c r="IV17" s="9"/>
      <c r="IW17" s="9">
        <v>1000</v>
      </c>
      <c r="IX17" s="9">
        <v>1000</v>
      </c>
      <c r="IY17" s="9">
        <v>1088</v>
      </c>
      <c r="IZ17" s="9">
        <v>945</v>
      </c>
      <c r="JA17" s="9">
        <v>913</v>
      </c>
      <c r="JB17" s="11">
        <v>36.6</v>
      </c>
      <c r="JC17" s="11">
        <v>55.86</v>
      </c>
      <c r="JD17" s="11">
        <v>2.52</v>
      </c>
      <c r="JE17" s="11">
        <v>13.1</v>
      </c>
      <c r="JF17" s="11"/>
      <c r="JG17" s="223">
        <v>0</v>
      </c>
      <c r="JH17" s="13">
        <v>4.88</v>
      </c>
      <c r="JI17" s="12"/>
      <c r="JJ17" s="12"/>
      <c r="JK17" s="9">
        <v>81824612.483999997</v>
      </c>
      <c r="JL17" s="9">
        <v>281411.61200000002</v>
      </c>
      <c r="JM17" s="9">
        <v>54949789.390000001</v>
      </c>
      <c r="JN17" s="9">
        <v>61214.423999999999</v>
      </c>
      <c r="JO17" s="9">
        <v>82601901.200000003</v>
      </c>
      <c r="JP17" s="9">
        <v>185683.77799999999</v>
      </c>
      <c r="JQ17" s="9">
        <v>59770602.626000002</v>
      </c>
      <c r="JR17" s="9">
        <v>55201.358999999997</v>
      </c>
      <c r="JS17" s="11">
        <v>310267495.625</v>
      </c>
      <c r="JT17" s="11">
        <v>82401.976999999999</v>
      </c>
      <c r="JU17" s="14">
        <f t="shared" si="30"/>
        <v>68084.776999995112</v>
      </c>
      <c r="JV17" s="14">
        <f t="shared" ref="JV17" si="40">IF((JL17-JL16)&lt;0,"",(JL17-JL16))</f>
        <v>21.590000000025611</v>
      </c>
      <c r="JW17" s="14">
        <f t="shared" ref="JW17" si="41">IF((JM17-JM16)&lt;0,"",(JM17-JM16))</f>
        <v>67066.949000000954</v>
      </c>
      <c r="JX17" s="14">
        <f t="shared" ref="JX17" si="42">IF((JN17-JN16)&lt;0,"",(JN17-JN16))</f>
        <v>36.536999999996624</v>
      </c>
      <c r="JY17" s="14">
        <f t="shared" ref="JY17" si="43">IF((JO17-JO16)&lt;0,"",(JO17-JO16))</f>
        <v>67066.010000005364</v>
      </c>
      <c r="JZ17" s="14">
        <f t="shared" ref="JZ17" si="44">IF((JP17-JP16)&lt;0,"",(JP17-JP16))</f>
        <v>34.683999999979278</v>
      </c>
      <c r="KA17" s="14">
        <f t="shared" ref="KA17" si="45">IF((JQ17-JQ16)&lt;0,"",(JQ17-JQ16))</f>
        <v>53131.435000002384</v>
      </c>
      <c r="KB17" s="14">
        <f t="shared" ref="KB17" si="46">IF((JR17-JR16)&lt;0,"",(JR17-JR16))</f>
        <v>42.481999999996333</v>
      </c>
      <c r="KC17" s="14">
        <f t="shared" ref="KC17" si="47">IF((JS17-JS16)&lt;0,"",(JS17-JS16))</f>
        <v>255074.89600002766</v>
      </c>
      <c r="KD17" s="14">
        <f t="shared" ref="KD17" si="48">IF((JT17-JT16)&lt;0,"",(JT17-JT16))</f>
        <v>62.052999999999884</v>
      </c>
      <c r="KE17" s="218">
        <f t="shared" si="28"/>
        <v>135093.59899999603</v>
      </c>
      <c r="KF17" s="15">
        <f t="shared" si="29"/>
        <v>255012.84300002764</v>
      </c>
      <c r="KG17" s="16">
        <f>(RD[[#This Row],[Sunset Time (POA&lt;20 W/m2)]]-RD[[#This Row],[Sunrise Time (POA&gt;20 W/m2)]])*24</f>
        <v>11.999999999999998</v>
      </c>
      <c r="KH17" s="53">
        <f>RD[[#This Row],[GHI ]]</f>
        <v>0</v>
      </c>
      <c r="KI17" s="131">
        <f>RD[[#This Row],[POA]]</f>
        <v>4.88</v>
      </c>
      <c r="KJ17" s="131">
        <f>RD[[#This Row],[AT (°C) 14 Hours]]</f>
        <v>36.6</v>
      </c>
      <c r="KK17" s="131">
        <f>RD[[#This Row],[MT (°C) Gen. Hours]]</f>
        <v>55.86</v>
      </c>
      <c r="KL17" s="131">
        <f>RD[[#This Row],[WS_Avg (m/s) (24 Hours)]]</f>
        <v>2.52</v>
      </c>
      <c r="KM17" s="131">
        <f>RD[[#This Row],[WS_Max (m/s)]]</f>
        <v>13.1</v>
      </c>
      <c r="KN17" s="54">
        <f>SUM(RD[[#This Row],[BLK1_INV1]:[BLK8_INV27]])</f>
        <v>257651</v>
      </c>
      <c r="KO17" s="95"/>
      <c r="KP17" s="55"/>
      <c r="KQ17" s="90" t="str">
        <f>IFERROR(RD[[#This Row],[WPR_Eac]]/RD[[#This Row],[WPR_Edc]],"")</f>
        <v/>
      </c>
    </row>
    <row r="18" spans="2:303" ht="15" customHeight="1" x14ac:dyDescent="0.25">
      <c r="B18" s="52">
        <f t="shared" si="10"/>
        <v>45759</v>
      </c>
      <c r="C18" s="9">
        <f>YEAR(RD[[#This Row],[Date]])+IF(MONTH(RD[[#This Row],[Date]])&gt;=4,1,0)</f>
        <v>2026</v>
      </c>
      <c r="D18" s="6">
        <f t="shared" si="26"/>
        <v>2025</v>
      </c>
      <c r="E18" s="7"/>
      <c r="F18" s="7"/>
      <c r="G18" s="8" t="str">
        <f>TEXT(RD[[#This Row],[Date]],"mmm-yy")</f>
        <v>Apr-25</v>
      </c>
      <c r="H18" s="6">
        <f t="shared" si="27"/>
        <v>30</v>
      </c>
      <c r="I18" s="9">
        <f>'Basic Data '!$S$2</f>
        <v>66750</v>
      </c>
      <c r="J18" s="10">
        <v>0.29166666666666702</v>
      </c>
      <c r="K18" s="10">
        <v>0.79166666666666696</v>
      </c>
      <c r="L18" s="9">
        <v>1392</v>
      </c>
      <c r="M18" s="9">
        <v>1415</v>
      </c>
      <c r="N18" s="9">
        <v>1315</v>
      </c>
      <c r="O18" s="9">
        <v>1313</v>
      </c>
      <c r="P18" s="9">
        <v>1396</v>
      </c>
      <c r="Q18" s="9">
        <v>1287</v>
      </c>
      <c r="R18" s="9">
        <v>1302</v>
      </c>
      <c r="S18" s="9">
        <v>1199</v>
      </c>
      <c r="T18" s="9">
        <v>1310</v>
      </c>
      <c r="U18" s="9">
        <v>1288</v>
      </c>
      <c r="V18" s="9">
        <v>1332</v>
      </c>
      <c r="W18" s="9">
        <v>1330</v>
      </c>
      <c r="X18" s="9">
        <v>1311</v>
      </c>
      <c r="Y18" s="9">
        <v>1180</v>
      </c>
      <c r="Z18" s="9">
        <v>1282</v>
      </c>
      <c r="AA18" s="9">
        <v>1324</v>
      </c>
      <c r="AB18" s="9">
        <v>1249</v>
      </c>
      <c r="AC18" s="9">
        <v>1276</v>
      </c>
      <c r="AD18" s="9">
        <v>1409</v>
      </c>
      <c r="AE18" s="9">
        <v>1442</v>
      </c>
      <c r="AF18" s="9">
        <v>1345</v>
      </c>
      <c r="AG18" s="9">
        <v>1293</v>
      </c>
      <c r="AH18" s="9">
        <v>1481</v>
      </c>
      <c r="AI18" s="9">
        <v>1303</v>
      </c>
      <c r="AJ18" s="9">
        <v>1448</v>
      </c>
      <c r="AK18" s="9">
        <v>1440</v>
      </c>
      <c r="AL18" s="9">
        <v>1433</v>
      </c>
      <c r="AM18" s="9">
        <v>1457</v>
      </c>
      <c r="AN18" s="9">
        <v>1386</v>
      </c>
      <c r="AO18" s="9">
        <v>1425</v>
      </c>
      <c r="AP18" s="9">
        <v>1350</v>
      </c>
      <c r="AQ18" s="9">
        <v>1378</v>
      </c>
      <c r="AR18" s="9">
        <v>1215</v>
      </c>
      <c r="AS18" s="9">
        <v>1600</v>
      </c>
      <c r="AT18" s="9">
        <v>1148</v>
      </c>
      <c r="AU18" s="9">
        <v>1364</v>
      </c>
      <c r="AV18" s="9">
        <v>1263</v>
      </c>
      <c r="AW18" s="9">
        <v>1294</v>
      </c>
      <c r="AX18" s="9">
        <v>1315</v>
      </c>
      <c r="AY18" s="9">
        <v>1346</v>
      </c>
      <c r="AZ18" s="9">
        <v>1296</v>
      </c>
      <c r="BA18" s="9">
        <v>1283</v>
      </c>
      <c r="BB18" s="9">
        <v>1310</v>
      </c>
      <c r="BC18" s="9">
        <v>1327</v>
      </c>
      <c r="BD18" s="9">
        <v>1323</v>
      </c>
      <c r="BE18" s="9">
        <v>1325</v>
      </c>
      <c r="BF18" s="9">
        <v>1442</v>
      </c>
      <c r="BG18" s="9">
        <v>1332</v>
      </c>
      <c r="BH18" s="9">
        <v>1230</v>
      </c>
      <c r="BI18" s="9">
        <v>1260</v>
      </c>
      <c r="BJ18" s="9">
        <v>1210</v>
      </c>
      <c r="BK18" s="9">
        <v>1198</v>
      </c>
      <c r="BL18" s="9">
        <v>1388</v>
      </c>
      <c r="BM18" s="9">
        <v>1330</v>
      </c>
      <c r="BN18" s="9">
        <v>1202</v>
      </c>
      <c r="BO18" s="9">
        <v>1275</v>
      </c>
      <c r="BP18" s="9">
        <v>1255</v>
      </c>
      <c r="BQ18" s="9">
        <v>1133</v>
      </c>
      <c r="BR18" s="9">
        <v>1286</v>
      </c>
      <c r="BS18" s="9">
        <v>1232</v>
      </c>
      <c r="BT18" s="9">
        <v>1178</v>
      </c>
      <c r="BU18" s="9">
        <v>1283</v>
      </c>
      <c r="BV18" s="9">
        <v>1226</v>
      </c>
      <c r="BW18" s="9">
        <v>1110</v>
      </c>
      <c r="BX18" s="9">
        <v>1455</v>
      </c>
      <c r="BY18" s="9">
        <v>1446</v>
      </c>
      <c r="BZ18" s="9">
        <v>1484</v>
      </c>
      <c r="CA18" s="9">
        <v>1318</v>
      </c>
      <c r="CB18" s="9">
        <v>1327</v>
      </c>
      <c r="CC18" s="9">
        <v>1334</v>
      </c>
      <c r="CD18" s="9">
        <v>1358</v>
      </c>
      <c r="CE18" s="9">
        <v>1333</v>
      </c>
      <c r="CF18" s="9">
        <v>1268</v>
      </c>
      <c r="CG18" s="9">
        <v>1357</v>
      </c>
      <c r="CH18" s="9">
        <v>1396</v>
      </c>
      <c r="CI18" s="9">
        <v>1480</v>
      </c>
      <c r="CJ18" s="9">
        <v>1496</v>
      </c>
      <c r="CK18" s="9">
        <v>1286</v>
      </c>
      <c r="CL18" s="9">
        <v>1271</v>
      </c>
      <c r="CM18" s="9">
        <v>1422</v>
      </c>
      <c r="CN18" s="9">
        <v>1315</v>
      </c>
      <c r="CO18" s="9">
        <v>1316</v>
      </c>
      <c r="CP18" s="9">
        <v>1314</v>
      </c>
      <c r="CQ18" s="9">
        <v>1316</v>
      </c>
      <c r="CR18" s="9">
        <v>1325</v>
      </c>
      <c r="CS18" s="9">
        <v>1284</v>
      </c>
      <c r="CT18" s="9">
        <v>1365</v>
      </c>
      <c r="CU18" s="9">
        <v>1352</v>
      </c>
      <c r="CV18" s="9">
        <v>1326</v>
      </c>
      <c r="CW18" s="9">
        <v>1320</v>
      </c>
      <c r="CX18" s="9">
        <v>1378</v>
      </c>
      <c r="CY18" s="9">
        <v>1240</v>
      </c>
      <c r="CZ18" s="9">
        <v>1377</v>
      </c>
      <c r="DA18" s="9">
        <v>1313</v>
      </c>
      <c r="DB18" s="9">
        <v>1330</v>
      </c>
      <c r="DC18" s="9">
        <v>1310</v>
      </c>
      <c r="DD18" s="9">
        <v>1319</v>
      </c>
      <c r="DE18" s="9">
        <v>1357</v>
      </c>
      <c r="DF18" s="9">
        <v>1349</v>
      </c>
      <c r="DG18" s="9">
        <v>1265</v>
      </c>
      <c r="DH18" s="9">
        <v>1394</v>
      </c>
      <c r="DI18" s="9">
        <v>1348</v>
      </c>
      <c r="DJ18" s="9">
        <v>1370</v>
      </c>
      <c r="DK18" s="9">
        <v>1321</v>
      </c>
      <c r="DL18" s="9">
        <v>1518</v>
      </c>
      <c r="DM18" s="9">
        <v>1220</v>
      </c>
      <c r="DN18" s="9">
        <v>1501</v>
      </c>
      <c r="DO18" s="9">
        <v>1505</v>
      </c>
      <c r="DP18" s="9">
        <v>1370</v>
      </c>
      <c r="DQ18" s="9">
        <v>1506</v>
      </c>
      <c r="DR18" s="9">
        <v>1425</v>
      </c>
      <c r="DS18" s="9">
        <v>1441</v>
      </c>
      <c r="DT18" s="9">
        <v>1505</v>
      </c>
      <c r="DU18" s="9">
        <v>1517</v>
      </c>
      <c r="DV18" s="9">
        <v>1327</v>
      </c>
      <c r="DW18" s="9">
        <v>1360</v>
      </c>
      <c r="DX18" s="9">
        <v>1494</v>
      </c>
      <c r="DY18" s="9">
        <v>1404</v>
      </c>
      <c r="DZ18" s="9">
        <v>1455</v>
      </c>
      <c r="EA18" s="9">
        <v>1341</v>
      </c>
      <c r="EB18" s="9">
        <v>1375</v>
      </c>
      <c r="EC18" s="9">
        <v>1432</v>
      </c>
      <c r="ED18" s="9">
        <v>1394</v>
      </c>
      <c r="EE18" s="9">
        <v>1297</v>
      </c>
      <c r="EF18" s="9">
        <v>1365</v>
      </c>
      <c r="EG18" s="9">
        <v>1498</v>
      </c>
      <c r="EH18" s="9">
        <v>1229</v>
      </c>
      <c r="EI18" s="9">
        <v>1261</v>
      </c>
      <c r="EJ18" s="9">
        <v>1478</v>
      </c>
      <c r="EK18" s="9">
        <v>1470</v>
      </c>
      <c r="EL18" s="9">
        <v>1398</v>
      </c>
      <c r="EM18" s="9">
        <v>1378</v>
      </c>
      <c r="EN18" s="9">
        <v>1335</v>
      </c>
      <c r="EO18" s="9">
        <v>1131</v>
      </c>
      <c r="EP18" s="9">
        <v>1432</v>
      </c>
      <c r="EQ18" s="9">
        <v>1299</v>
      </c>
      <c r="ER18" s="9">
        <v>1365</v>
      </c>
      <c r="ES18" s="9">
        <v>1270</v>
      </c>
      <c r="ET18" s="9">
        <v>1341</v>
      </c>
      <c r="EU18" s="9">
        <v>1331</v>
      </c>
      <c r="EV18" s="9">
        <v>1271</v>
      </c>
      <c r="EW18" s="9">
        <v>1318</v>
      </c>
      <c r="EX18" s="9">
        <v>1310</v>
      </c>
      <c r="EY18" s="9">
        <v>1440</v>
      </c>
      <c r="EZ18" s="9">
        <v>1254</v>
      </c>
      <c r="FA18" s="9">
        <v>1486</v>
      </c>
      <c r="FB18" s="9">
        <v>1282</v>
      </c>
      <c r="FC18" s="9">
        <v>1202</v>
      </c>
      <c r="FD18" s="9">
        <v>1390</v>
      </c>
      <c r="FE18" s="9">
        <v>1411</v>
      </c>
      <c r="FF18" s="9">
        <v>1432</v>
      </c>
      <c r="FG18" s="9">
        <v>1306</v>
      </c>
      <c r="FH18" s="9">
        <v>1424</v>
      </c>
      <c r="FI18" s="9">
        <v>1344</v>
      </c>
      <c r="FJ18" s="9">
        <v>1272</v>
      </c>
      <c r="FK18" s="9">
        <v>1254</v>
      </c>
      <c r="FL18" s="9">
        <v>1190</v>
      </c>
      <c r="FM18" s="9">
        <v>1245</v>
      </c>
      <c r="FN18" s="9">
        <v>1213</v>
      </c>
      <c r="FO18" s="9">
        <v>1288</v>
      </c>
      <c r="FP18" s="9">
        <v>1419</v>
      </c>
      <c r="FQ18" s="9">
        <v>1257</v>
      </c>
      <c r="FR18" s="9">
        <v>1285</v>
      </c>
      <c r="FS18" s="9">
        <v>1373</v>
      </c>
      <c r="FT18" s="9">
        <v>1340</v>
      </c>
      <c r="FU18" s="9">
        <v>1267</v>
      </c>
      <c r="FV18" s="9">
        <v>1242</v>
      </c>
      <c r="FW18" s="9">
        <v>1429</v>
      </c>
      <c r="FX18" s="9">
        <v>1307</v>
      </c>
      <c r="FY18" s="9">
        <v>1203</v>
      </c>
      <c r="FZ18" s="9">
        <v>1285</v>
      </c>
      <c r="GA18" s="9">
        <v>1277</v>
      </c>
      <c r="GB18" s="9">
        <v>1426</v>
      </c>
      <c r="GC18" s="9">
        <v>1341</v>
      </c>
      <c r="GD18" s="9">
        <v>1520</v>
      </c>
      <c r="GE18" s="9">
        <v>1330</v>
      </c>
      <c r="GF18" s="9">
        <v>1339</v>
      </c>
      <c r="GG18" s="9">
        <v>1206</v>
      </c>
      <c r="GH18" s="9">
        <v>1531</v>
      </c>
      <c r="GI18" s="9">
        <v>1361</v>
      </c>
      <c r="GJ18" s="9">
        <v>1374</v>
      </c>
      <c r="GK18" s="9">
        <v>1404</v>
      </c>
      <c r="GL18" s="9">
        <v>1367</v>
      </c>
      <c r="GM18" s="9">
        <v>1452</v>
      </c>
      <c r="GN18" s="9">
        <v>1399</v>
      </c>
      <c r="GO18" s="9">
        <v>1481</v>
      </c>
      <c r="GP18" s="9">
        <v>1401</v>
      </c>
      <c r="GQ18" s="9">
        <v>1403</v>
      </c>
      <c r="GR18" s="9">
        <v>1344</v>
      </c>
      <c r="GS18" s="9">
        <v>1318</v>
      </c>
      <c r="GT18" s="9">
        <v>1287</v>
      </c>
      <c r="GU18" s="9">
        <v>1283</v>
      </c>
      <c r="GV18" s="9">
        <v>1200</v>
      </c>
      <c r="GW18" s="9">
        <v>1262</v>
      </c>
      <c r="GX18" s="9">
        <v>1333</v>
      </c>
      <c r="GY18" s="9">
        <v>1206</v>
      </c>
      <c r="GZ18" s="9">
        <v>1129</v>
      </c>
      <c r="HA18" s="9">
        <v>1357</v>
      </c>
      <c r="HB18" s="9"/>
      <c r="HC18" s="9"/>
      <c r="HD18" s="9">
        <v>1197</v>
      </c>
      <c r="HE18" s="9">
        <v>926</v>
      </c>
      <c r="HF18" s="9">
        <v>1327</v>
      </c>
      <c r="HG18" s="9"/>
      <c r="HH18" s="9">
        <v>1466</v>
      </c>
      <c r="HI18" s="9">
        <v>1210</v>
      </c>
      <c r="HJ18" s="9">
        <v>1324</v>
      </c>
      <c r="HK18" s="9">
        <v>1289</v>
      </c>
      <c r="HL18" s="9">
        <v>1303</v>
      </c>
      <c r="HM18" s="9">
        <v>1331</v>
      </c>
      <c r="HN18" s="9">
        <v>1339</v>
      </c>
      <c r="HO18" s="9">
        <v>1346</v>
      </c>
      <c r="HP18" s="9">
        <v>1342</v>
      </c>
      <c r="HQ18" s="9">
        <v>1362</v>
      </c>
      <c r="HR18" s="9">
        <v>1365</v>
      </c>
      <c r="HS18" s="9">
        <v>1361</v>
      </c>
      <c r="HT18" s="9">
        <v>1361</v>
      </c>
      <c r="HU18" s="9">
        <v>1553</v>
      </c>
      <c r="HV18" s="9">
        <v>1225</v>
      </c>
      <c r="HW18" s="9">
        <v>1138</v>
      </c>
      <c r="HX18" s="9">
        <v>910</v>
      </c>
      <c r="HY18" s="9">
        <v>810</v>
      </c>
      <c r="HZ18" s="9">
        <v>977</v>
      </c>
      <c r="IA18" s="9">
        <v>1143</v>
      </c>
      <c r="IB18" s="9">
        <v>1327</v>
      </c>
      <c r="IC18" s="9">
        <v>1510</v>
      </c>
      <c r="ID18" s="9">
        <v>1282</v>
      </c>
      <c r="IE18" s="9">
        <v>1386</v>
      </c>
      <c r="IF18" s="9">
        <v>1298</v>
      </c>
      <c r="IG18" s="9">
        <v>1310</v>
      </c>
      <c r="IH18" s="9">
        <v>1445</v>
      </c>
      <c r="II18" s="9">
        <v>1432</v>
      </c>
      <c r="IJ18" s="9">
        <v>1178</v>
      </c>
      <c r="IK18" s="9">
        <v>1248</v>
      </c>
      <c r="IL18" s="9">
        <v>1136</v>
      </c>
      <c r="IM18" s="9">
        <v>1251</v>
      </c>
      <c r="IN18" s="9">
        <v>1178</v>
      </c>
      <c r="IO18" s="9"/>
      <c r="IP18" s="9">
        <v>1478</v>
      </c>
      <c r="IQ18" s="9">
        <v>1263</v>
      </c>
      <c r="IR18" s="9">
        <v>578</v>
      </c>
      <c r="IS18" s="9">
        <v>1163</v>
      </c>
      <c r="IT18" s="9">
        <v>1153</v>
      </c>
      <c r="IU18" s="9"/>
      <c r="IV18" s="9"/>
      <c r="IW18" s="9">
        <v>1078</v>
      </c>
      <c r="IX18" s="9">
        <v>1178</v>
      </c>
      <c r="IY18" s="9">
        <v>1299</v>
      </c>
      <c r="IZ18" s="9">
        <v>1270</v>
      </c>
      <c r="JA18" s="9">
        <v>1078</v>
      </c>
      <c r="JB18" s="11">
        <v>29.88</v>
      </c>
      <c r="JC18" s="11">
        <v>43.21</v>
      </c>
      <c r="JD18" s="11">
        <v>1.3</v>
      </c>
      <c r="JE18" s="11">
        <v>6.1</v>
      </c>
      <c r="JF18" s="11"/>
      <c r="JG18" s="223">
        <v>0</v>
      </c>
      <c r="JH18" s="13">
        <v>6.15</v>
      </c>
      <c r="JI18" s="12"/>
      <c r="JJ18" s="12"/>
      <c r="JK18" s="9">
        <v>81907526.273000002</v>
      </c>
      <c r="JL18" s="9">
        <v>281425.06400000001</v>
      </c>
      <c r="JM18" s="9">
        <v>55034099.626999997</v>
      </c>
      <c r="JN18" s="9">
        <v>61224.370999999999</v>
      </c>
      <c r="JO18" s="9">
        <v>82686891.459000006</v>
      </c>
      <c r="JP18" s="9">
        <v>185720.486</v>
      </c>
      <c r="JQ18" s="9">
        <v>59836769.597999997</v>
      </c>
      <c r="JR18" s="9">
        <v>55214.014999999999</v>
      </c>
      <c r="JS18" s="11">
        <v>310585448.10799998</v>
      </c>
      <c r="JT18" s="11">
        <v>82457.051999999996</v>
      </c>
      <c r="JU18" s="14">
        <f t="shared" si="30"/>
        <v>82913.78900000453</v>
      </c>
      <c r="JV18" s="14">
        <f t="shared" ref="JV18:JV19" si="49">IF((JL18-JL17)&lt;0,"",(JL18-JL17))</f>
        <v>13.451999999990221</v>
      </c>
      <c r="JW18" s="14">
        <f t="shared" ref="JW18:JW19" si="50">IF((JM18-JM17)&lt;0,"",(JM18-JM17))</f>
        <v>84310.236999996006</v>
      </c>
      <c r="JX18" s="14">
        <f t="shared" ref="JX18:JX19" si="51">IF((JN18-JN17)&lt;0,"",(JN18-JN17))</f>
        <v>9.9470000000001164</v>
      </c>
      <c r="JY18" s="14">
        <f t="shared" ref="JY18:JY19" si="52">IF((JO18-JO17)&lt;0,"",(JO18-JO17))</f>
        <v>84990.259000003338</v>
      </c>
      <c r="JZ18" s="14">
        <f t="shared" ref="JZ18:JZ19" si="53">IF((JP18-JP17)&lt;0,"",(JP18-JP17))</f>
        <v>36.708000000013271</v>
      </c>
      <c r="KA18" s="14">
        <f t="shared" ref="KA18:KA19" si="54">IF((JQ18-JQ17)&lt;0,"",(JQ18-JQ17))</f>
        <v>66166.97199999541</v>
      </c>
      <c r="KB18" s="14">
        <f t="shared" ref="KB18:KB19" si="55">IF((JR18-JR17)&lt;0,"",(JR18-JR17))</f>
        <v>12.656000000002678</v>
      </c>
      <c r="KC18" s="14">
        <f t="shared" ref="KC18:KC19" si="56">IF((JS18-JS17)&lt;0,"",(JS18-JS17))</f>
        <v>317952.48299998045</v>
      </c>
      <c r="KD18" s="14">
        <f t="shared" ref="KD18:KD19" si="57">IF((JT18-JT17)&lt;0,"",(JT18-JT17))</f>
        <v>55.07499999999709</v>
      </c>
      <c r="KE18" s="218">
        <f t="shared" si="28"/>
        <v>167200.62700000056</v>
      </c>
      <c r="KF18" s="15">
        <f t="shared" si="29"/>
        <v>317897.40799998044</v>
      </c>
      <c r="KG18" s="16">
        <f>(RD[[#This Row],[Sunset Time (POA&lt;20 W/m2)]]-RD[[#This Row],[Sunrise Time (POA&gt;20 W/m2)]])*24</f>
        <v>11.999999999999998</v>
      </c>
      <c r="KH18" s="53">
        <f>RD[[#This Row],[GHI ]]</f>
        <v>0</v>
      </c>
      <c r="KI18" s="53">
        <f>RD[[#This Row],[POA]]</f>
        <v>6.15</v>
      </c>
      <c r="KJ18" s="53">
        <f>RD[[#This Row],[AT (°C) 14 Hours]]</f>
        <v>29.88</v>
      </c>
      <c r="KK18" s="53">
        <f>RD[[#This Row],[MT (°C) Gen. Hours]]</f>
        <v>43.21</v>
      </c>
      <c r="KL18" s="53">
        <f>RD[[#This Row],[WS_Avg (m/s) (24 Hours)]]</f>
        <v>1.3</v>
      </c>
      <c r="KM18" s="53">
        <f>RD[[#This Row],[WS_Max (m/s)]]</f>
        <v>6.1</v>
      </c>
      <c r="KN18" s="54">
        <f>SUM(RD[[#This Row],[BLK1_INV1]:[BLK8_INV27]])</f>
        <v>321089</v>
      </c>
      <c r="KO18" s="95"/>
      <c r="KP18" s="55"/>
      <c r="KQ18" s="90" t="str">
        <f>IFERROR(RD[[#This Row],[WPR_Eac]]/RD[[#This Row],[WPR_Edc]],"")</f>
        <v/>
      </c>
    </row>
    <row r="19" spans="2:303" ht="15" customHeight="1" x14ac:dyDescent="0.25">
      <c r="B19" s="52">
        <f t="shared" si="10"/>
        <v>45760</v>
      </c>
      <c r="C19" s="9">
        <f>YEAR(RD[[#This Row],[Date]])+IF(MONTH(RD[[#This Row],[Date]])&gt;=4,1,0)</f>
        <v>2026</v>
      </c>
      <c r="D19" s="6">
        <f t="shared" si="26"/>
        <v>2025</v>
      </c>
      <c r="E19" s="7"/>
      <c r="F19" s="7"/>
      <c r="G19" s="8" t="str">
        <f>TEXT(RD[[#This Row],[Date]],"mmm-yy")</f>
        <v>Apr-25</v>
      </c>
      <c r="H19" s="6">
        <f t="shared" si="27"/>
        <v>30</v>
      </c>
      <c r="I19" s="9">
        <f>'Basic Data '!$S$2</f>
        <v>66750</v>
      </c>
      <c r="J19" s="10">
        <v>0.29166666666666702</v>
      </c>
      <c r="K19" s="10">
        <v>0.79166666666666696</v>
      </c>
      <c r="L19" s="9">
        <v>1443</v>
      </c>
      <c r="M19" s="9">
        <v>1470</v>
      </c>
      <c r="N19" s="9">
        <v>1366</v>
      </c>
      <c r="O19" s="9">
        <v>1365</v>
      </c>
      <c r="P19" s="9">
        <v>1450</v>
      </c>
      <c r="Q19" s="9">
        <v>1339</v>
      </c>
      <c r="R19" s="9">
        <v>1367</v>
      </c>
      <c r="S19" s="9">
        <v>1257</v>
      </c>
      <c r="T19" s="9">
        <v>1372</v>
      </c>
      <c r="U19" s="9">
        <v>1348</v>
      </c>
      <c r="V19" s="9">
        <v>1426</v>
      </c>
      <c r="W19" s="9">
        <v>1416</v>
      </c>
      <c r="X19" s="9">
        <v>1391</v>
      </c>
      <c r="Y19" s="9">
        <v>1259</v>
      </c>
      <c r="Z19" s="9">
        <v>1335</v>
      </c>
      <c r="AA19" s="9">
        <v>1374</v>
      </c>
      <c r="AB19" s="9">
        <v>1312</v>
      </c>
      <c r="AC19" s="9">
        <v>1329</v>
      </c>
      <c r="AD19" s="9">
        <v>1487</v>
      </c>
      <c r="AE19" s="9">
        <v>1496</v>
      </c>
      <c r="AF19" s="9">
        <v>1394</v>
      </c>
      <c r="AG19" s="9">
        <v>1339</v>
      </c>
      <c r="AH19" s="9">
        <v>1532</v>
      </c>
      <c r="AI19" s="9">
        <v>1445</v>
      </c>
      <c r="AJ19" s="9">
        <v>1504</v>
      </c>
      <c r="AK19" s="9">
        <v>1493</v>
      </c>
      <c r="AL19" s="9">
        <v>1486</v>
      </c>
      <c r="AM19" s="9">
        <v>1516</v>
      </c>
      <c r="AN19" s="9">
        <v>1473</v>
      </c>
      <c r="AO19" s="9">
        <v>1510</v>
      </c>
      <c r="AP19" s="9">
        <v>1310</v>
      </c>
      <c r="AQ19" s="9">
        <v>1334</v>
      </c>
      <c r="AR19" s="9">
        <v>1276</v>
      </c>
      <c r="AS19" s="9">
        <v>1687</v>
      </c>
      <c r="AT19" s="9">
        <v>1200</v>
      </c>
      <c r="AU19" s="9">
        <v>1433</v>
      </c>
      <c r="AV19" s="9">
        <v>1316</v>
      </c>
      <c r="AW19" s="9">
        <v>1339</v>
      </c>
      <c r="AX19" s="9">
        <v>1358</v>
      </c>
      <c r="AY19" s="9">
        <v>1394</v>
      </c>
      <c r="AZ19" s="9">
        <v>1342</v>
      </c>
      <c r="BA19" s="9">
        <v>1331</v>
      </c>
      <c r="BB19" s="9">
        <v>1354</v>
      </c>
      <c r="BC19" s="9">
        <v>1369</v>
      </c>
      <c r="BD19" s="9">
        <v>1383</v>
      </c>
      <c r="BE19" s="9">
        <v>1405</v>
      </c>
      <c r="BF19" s="9">
        <v>1508</v>
      </c>
      <c r="BG19" s="9">
        <v>1384</v>
      </c>
      <c r="BH19" s="9">
        <v>1308</v>
      </c>
      <c r="BI19" s="9">
        <v>1340</v>
      </c>
      <c r="BJ19" s="9">
        <v>1266</v>
      </c>
      <c r="BK19" s="9">
        <v>1331</v>
      </c>
      <c r="BL19" s="9">
        <v>1518</v>
      </c>
      <c r="BM19" s="9">
        <v>1502</v>
      </c>
      <c r="BN19" s="9">
        <v>1388</v>
      </c>
      <c r="BO19" s="9">
        <v>1478</v>
      </c>
      <c r="BP19" s="9">
        <v>1445</v>
      </c>
      <c r="BQ19" s="9">
        <v>1305</v>
      </c>
      <c r="BR19" s="9">
        <v>1491</v>
      </c>
      <c r="BS19" s="9">
        <v>1433</v>
      </c>
      <c r="BT19" s="9">
        <v>1332</v>
      </c>
      <c r="BU19" s="9">
        <v>1477</v>
      </c>
      <c r="BV19" s="9">
        <v>1278</v>
      </c>
      <c r="BW19" s="9">
        <v>1080</v>
      </c>
      <c r="BX19" s="9">
        <v>1515</v>
      </c>
      <c r="BY19" s="9">
        <v>1506</v>
      </c>
      <c r="BZ19" s="9">
        <v>1525</v>
      </c>
      <c r="CA19" s="9">
        <v>1340</v>
      </c>
      <c r="CB19" s="9">
        <v>1380</v>
      </c>
      <c r="CC19" s="9">
        <v>1387</v>
      </c>
      <c r="CD19" s="9">
        <v>1396</v>
      </c>
      <c r="CE19" s="9">
        <v>1345</v>
      </c>
      <c r="CF19" s="9">
        <v>1277</v>
      </c>
      <c r="CG19" s="9">
        <v>1408</v>
      </c>
      <c r="CH19" s="9">
        <v>1417</v>
      </c>
      <c r="CI19" s="9">
        <v>1548</v>
      </c>
      <c r="CJ19" s="9">
        <v>1570</v>
      </c>
      <c r="CK19" s="9">
        <v>1370</v>
      </c>
      <c r="CL19" s="9">
        <v>1363</v>
      </c>
      <c r="CM19" s="9">
        <v>1486</v>
      </c>
      <c r="CN19" s="9">
        <v>1403</v>
      </c>
      <c r="CO19" s="9">
        <v>1402</v>
      </c>
      <c r="CP19" s="9">
        <v>1397</v>
      </c>
      <c r="CQ19" s="9">
        <v>1399</v>
      </c>
      <c r="CR19" s="9">
        <v>1385</v>
      </c>
      <c r="CS19" s="9">
        <v>1326</v>
      </c>
      <c r="CT19" s="9">
        <v>1407</v>
      </c>
      <c r="CU19" s="9">
        <v>1391</v>
      </c>
      <c r="CV19" s="9">
        <v>1365</v>
      </c>
      <c r="CW19" s="9">
        <v>1358</v>
      </c>
      <c r="CX19" s="9">
        <v>1418</v>
      </c>
      <c r="CY19" s="9">
        <v>1278</v>
      </c>
      <c r="CZ19" s="9">
        <v>1427</v>
      </c>
      <c r="DA19" s="9">
        <v>1363</v>
      </c>
      <c r="DB19" s="9">
        <v>1310</v>
      </c>
      <c r="DC19" s="9">
        <v>1365</v>
      </c>
      <c r="DD19" s="9">
        <v>1361</v>
      </c>
      <c r="DE19" s="9">
        <v>1386</v>
      </c>
      <c r="DF19" s="9">
        <v>1393</v>
      </c>
      <c r="DG19" s="9">
        <v>1278</v>
      </c>
      <c r="DH19" s="9">
        <v>1445</v>
      </c>
      <c r="DI19" s="9">
        <v>1391</v>
      </c>
      <c r="DJ19" s="9">
        <v>1413</v>
      </c>
      <c r="DK19" s="9">
        <v>1364</v>
      </c>
      <c r="DL19" s="9">
        <v>1564</v>
      </c>
      <c r="DM19" s="9">
        <v>1198</v>
      </c>
      <c r="DN19" s="9">
        <v>1568</v>
      </c>
      <c r="DO19" s="9">
        <v>1563</v>
      </c>
      <c r="DP19" s="9">
        <v>1425</v>
      </c>
      <c r="DQ19" s="9">
        <v>1551</v>
      </c>
      <c r="DR19" s="9">
        <v>1444</v>
      </c>
      <c r="DS19" s="9">
        <v>1512</v>
      </c>
      <c r="DT19" s="9">
        <v>1558</v>
      </c>
      <c r="DU19" s="9">
        <v>1582</v>
      </c>
      <c r="DV19" s="9">
        <v>1357</v>
      </c>
      <c r="DW19" s="9">
        <v>1423</v>
      </c>
      <c r="DX19" s="9">
        <v>1550</v>
      </c>
      <c r="DY19" s="9">
        <v>1449</v>
      </c>
      <c r="DZ19" s="9">
        <v>1479</v>
      </c>
      <c r="EA19" s="9">
        <v>1390</v>
      </c>
      <c r="EB19" s="9">
        <v>1419</v>
      </c>
      <c r="EC19" s="9">
        <v>1491</v>
      </c>
      <c r="ED19" s="9">
        <v>1416</v>
      </c>
      <c r="EE19" s="9">
        <v>1340</v>
      </c>
      <c r="EF19" s="9">
        <v>1412</v>
      </c>
      <c r="EG19" s="9">
        <v>1464</v>
      </c>
      <c r="EH19" s="9">
        <v>1290</v>
      </c>
      <c r="EI19" s="9">
        <v>1319</v>
      </c>
      <c r="EJ19" s="9">
        <v>1546</v>
      </c>
      <c r="EK19" s="9">
        <v>1539</v>
      </c>
      <c r="EL19" s="9">
        <v>1463</v>
      </c>
      <c r="EM19" s="9">
        <v>1446</v>
      </c>
      <c r="EN19" s="9">
        <v>1402</v>
      </c>
      <c r="EO19" s="9">
        <v>1195</v>
      </c>
      <c r="EP19" s="9">
        <v>1532</v>
      </c>
      <c r="EQ19" s="9">
        <v>1480</v>
      </c>
      <c r="ER19" s="9">
        <v>1477</v>
      </c>
      <c r="ES19" s="9">
        <v>1454</v>
      </c>
      <c r="ET19" s="9">
        <v>1407</v>
      </c>
      <c r="EU19" s="9">
        <v>1399</v>
      </c>
      <c r="EV19" s="9">
        <v>1332</v>
      </c>
      <c r="EW19" s="9">
        <v>1390</v>
      </c>
      <c r="EX19" s="9">
        <v>1379</v>
      </c>
      <c r="EY19" s="9">
        <v>1550</v>
      </c>
      <c r="EZ19" s="9">
        <v>1321</v>
      </c>
      <c r="FA19" s="9">
        <v>1573</v>
      </c>
      <c r="FB19" s="9">
        <v>1393</v>
      </c>
      <c r="FC19" s="9">
        <v>1262</v>
      </c>
      <c r="FD19" s="9">
        <v>1453</v>
      </c>
      <c r="FE19" s="9">
        <v>1478</v>
      </c>
      <c r="FF19" s="9">
        <v>1495</v>
      </c>
      <c r="FG19" s="9">
        <v>1364</v>
      </c>
      <c r="FH19" s="9">
        <v>1485</v>
      </c>
      <c r="FI19" s="9">
        <v>1357</v>
      </c>
      <c r="FJ19" s="9">
        <v>1326</v>
      </c>
      <c r="FK19" s="9">
        <v>1312</v>
      </c>
      <c r="FL19" s="9">
        <v>1178</v>
      </c>
      <c r="FM19" s="9">
        <v>1326</v>
      </c>
      <c r="FN19" s="9">
        <v>1265</v>
      </c>
      <c r="FO19" s="9">
        <v>1341</v>
      </c>
      <c r="FP19" s="9">
        <v>1518</v>
      </c>
      <c r="FQ19" s="9">
        <v>1317</v>
      </c>
      <c r="FR19" s="9">
        <v>1378</v>
      </c>
      <c r="FS19" s="9">
        <v>1452</v>
      </c>
      <c r="FT19" s="9">
        <v>1354</v>
      </c>
      <c r="FU19" s="9">
        <v>1231</v>
      </c>
      <c r="FV19" s="9">
        <v>1307</v>
      </c>
      <c r="FW19" s="9">
        <v>1512</v>
      </c>
      <c r="FX19" s="9">
        <v>1386</v>
      </c>
      <c r="FY19" s="9">
        <v>1284</v>
      </c>
      <c r="FZ19" s="9">
        <v>1372</v>
      </c>
      <c r="GA19" s="9">
        <v>1364</v>
      </c>
      <c r="GB19" s="9">
        <v>1508</v>
      </c>
      <c r="GC19" s="9">
        <v>1431</v>
      </c>
      <c r="GD19" s="9">
        <v>1578</v>
      </c>
      <c r="GE19" s="9">
        <v>1382</v>
      </c>
      <c r="GF19" s="9">
        <v>1399</v>
      </c>
      <c r="GG19" s="9">
        <v>1254</v>
      </c>
      <c r="GH19" s="9">
        <v>1604</v>
      </c>
      <c r="GI19" s="9">
        <v>1418</v>
      </c>
      <c r="GJ19" s="9">
        <v>1437</v>
      </c>
      <c r="GK19" s="9">
        <v>1471</v>
      </c>
      <c r="GL19" s="9">
        <v>1442</v>
      </c>
      <c r="GM19" s="9">
        <v>1505</v>
      </c>
      <c r="GN19" s="9">
        <v>1453</v>
      </c>
      <c r="GO19" s="9">
        <v>1544</v>
      </c>
      <c r="GP19" s="9">
        <v>1454</v>
      </c>
      <c r="GQ19" s="9">
        <v>1458</v>
      </c>
      <c r="GR19" s="9">
        <v>1432</v>
      </c>
      <c r="GS19" s="9">
        <v>1389</v>
      </c>
      <c r="GT19" s="9">
        <v>1327</v>
      </c>
      <c r="GU19" s="9">
        <v>1322</v>
      </c>
      <c r="GV19" s="9">
        <v>1165</v>
      </c>
      <c r="GW19" s="9">
        <v>1301</v>
      </c>
      <c r="GX19" s="9">
        <v>1384</v>
      </c>
      <c r="GY19" s="9">
        <v>1241</v>
      </c>
      <c r="GZ19" s="9">
        <v>1164</v>
      </c>
      <c r="HA19" s="9">
        <v>1401</v>
      </c>
      <c r="HB19" s="9"/>
      <c r="HC19" s="9"/>
      <c r="HD19" s="9">
        <v>1203</v>
      </c>
      <c r="HE19" s="9">
        <v>955</v>
      </c>
      <c r="HF19" s="9">
        <v>1364</v>
      </c>
      <c r="HG19" s="9"/>
      <c r="HH19" s="9">
        <v>1503</v>
      </c>
      <c r="HI19" s="9">
        <v>1210</v>
      </c>
      <c r="HJ19" s="9">
        <v>1370</v>
      </c>
      <c r="HK19" s="9">
        <v>1348</v>
      </c>
      <c r="HL19" s="9">
        <v>1335</v>
      </c>
      <c r="HM19" s="9">
        <v>1390</v>
      </c>
      <c r="HN19" s="9">
        <v>1401</v>
      </c>
      <c r="HO19" s="9">
        <v>1411</v>
      </c>
      <c r="HP19" s="9">
        <v>1406</v>
      </c>
      <c r="HQ19" s="9">
        <v>1426</v>
      </c>
      <c r="HR19" s="9">
        <v>1408</v>
      </c>
      <c r="HS19" s="9">
        <v>1417</v>
      </c>
      <c r="HT19" s="9">
        <v>1365</v>
      </c>
      <c r="HU19" s="9">
        <v>1601</v>
      </c>
      <c r="HV19" s="9">
        <v>1273</v>
      </c>
      <c r="HW19" s="9">
        <v>1182</v>
      </c>
      <c r="HX19" s="9">
        <v>898</v>
      </c>
      <c r="HY19" s="9">
        <v>878</v>
      </c>
      <c r="HZ19" s="9">
        <v>1007</v>
      </c>
      <c r="IA19" s="9">
        <v>1184</v>
      </c>
      <c r="IB19" s="9">
        <v>1373</v>
      </c>
      <c r="IC19" s="9">
        <v>1578</v>
      </c>
      <c r="ID19" s="9">
        <v>1365</v>
      </c>
      <c r="IE19" s="9">
        <v>1452</v>
      </c>
      <c r="IF19" s="9">
        <v>1278</v>
      </c>
      <c r="IG19" s="9">
        <v>1363</v>
      </c>
      <c r="IH19" s="9">
        <v>1482</v>
      </c>
      <c r="II19" s="9">
        <v>1486</v>
      </c>
      <c r="IJ19" s="9">
        <v>1117</v>
      </c>
      <c r="IK19" s="9">
        <v>1295</v>
      </c>
      <c r="IL19" s="9">
        <v>1179</v>
      </c>
      <c r="IM19" s="9">
        <v>1299</v>
      </c>
      <c r="IN19" s="9">
        <v>1198</v>
      </c>
      <c r="IO19" s="9"/>
      <c r="IP19" s="9">
        <v>1520</v>
      </c>
      <c r="IQ19" s="9">
        <v>1365</v>
      </c>
      <c r="IR19" s="9">
        <v>644</v>
      </c>
      <c r="IS19" s="9">
        <v>1183</v>
      </c>
      <c r="IT19" s="9">
        <v>1195</v>
      </c>
      <c r="IU19" s="9"/>
      <c r="IV19" s="9"/>
      <c r="IW19" s="9">
        <v>1163</v>
      </c>
      <c r="IX19" s="9">
        <v>1191</v>
      </c>
      <c r="IY19" s="9">
        <v>1298</v>
      </c>
      <c r="IZ19" s="9">
        <v>1263</v>
      </c>
      <c r="JA19" s="9">
        <v>1191</v>
      </c>
      <c r="JB19" s="11">
        <v>31.82</v>
      </c>
      <c r="JC19" s="11">
        <v>40.799999999999997</v>
      </c>
      <c r="JD19" s="11">
        <v>3.02</v>
      </c>
      <c r="JE19" s="11">
        <v>7.1</v>
      </c>
      <c r="JF19" s="11"/>
      <c r="JG19" s="11">
        <v>0</v>
      </c>
      <c r="JH19" s="13">
        <v>6.14</v>
      </c>
      <c r="JI19" s="12"/>
      <c r="JJ19" s="12"/>
      <c r="JK19" s="9">
        <v>81995608.798999995</v>
      </c>
      <c r="JL19" s="9">
        <v>281439.98100000003</v>
      </c>
      <c r="JM19" s="9">
        <v>55121205.498999998</v>
      </c>
      <c r="JN19" s="9">
        <v>61234.010999999999</v>
      </c>
      <c r="JO19" s="9">
        <v>82776560.365999997</v>
      </c>
      <c r="JP19" s="9">
        <v>185766.511</v>
      </c>
      <c r="JQ19" s="9">
        <v>59905210.193999998</v>
      </c>
      <c r="JR19" s="9">
        <v>55227.06</v>
      </c>
      <c r="JS19" s="11">
        <v>310918312.50800002</v>
      </c>
      <c r="JT19" s="11">
        <v>82518.013999999996</v>
      </c>
      <c r="JU19" s="14">
        <f t="shared" si="30"/>
        <v>88082.525999993086</v>
      </c>
      <c r="JV19" s="14">
        <f t="shared" si="49"/>
        <v>14.917000000015832</v>
      </c>
      <c r="JW19" s="14">
        <f t="shared" si="50"/>
        <v>87105.872000001371</v>
      </c>
      <c r="JX19" s="14">
        <f t="shared" si="51"/>
        <v>9.6399999999994179</v>
      </c>
      <c r="JY19" s="14">
        <f t="shared" si="52"/>
        <v>89668.906999990344</v>
      </c>
      <c r="JZ19" s="14">
        <f t="shared" si="53"/>
        <v>46.024999999994179</v>
      </c>
      <c r="KA19" s="14">
        <f t="shared" si="54"/>
        <v>68440.596000000834</v>
      </c>
      <c r="KB19" s="14">
        <f t="shared" si="55"/>
        <v>13.044999999998254</v>
      </c>
      <c r="KC19" s="14">
        <f t="shared" si="56"/>
        <v>332864.40000003576</v>
      </c>
      <c r="KD19" s="14">
        <f t="shared" si="57"/>
        <v>60.961999999999534</v>
      </c>
      <c r="KE19" s="15">
        <f t="shared" si="28"/>
        <v>175163.84099999443</v>
      </c>
      <c r="KF19" s="15">
        <f t="shared" si="29"/>
        <v>332803.43800003576</v>
      </c>
      <c r="KG19" s="16">
        <f>(RD[[#This Row],[Sunset Time (POA&lt;20 W/m2)]]-RD[[#This Row],[Sunrise Time (POA&gt;20 W/m2)]])*24</f>
        <v>11.999999999999998</v>
      </c>
      <c r="KH19" s="53">
        <f>RD[[#This Row],[GHI ]]</f>
        <v>0</v>
      </c>
      <c r="KI19" s="53">
        <f>RD[[#This Row],[POA]]</f>
        <v>6.14</v>
      </c>
      <c r="KJ19" s="53">
        <f>RD[[#This Row],[AT (°C) 14 Hours]]</f>
        <v>31.82</v>
      </c>
      <c r="KK19" s="53">
        <f>RD[[#This Row],[MT (°C) Gen. Hours]]</f>
        <v>40.799999999999997</v>
      </c>
      <c r="KL19" s="53">
        <f>RD[[#This Row],[WS_Avg (m/s) (24 Hours)]]</f>
        <v>3.02</v>
      </c>
      <c r="KM19" s="53">
        <f>RD[[#This Row],[WS_Max (m/s)]]</f>
        <v>7.1</v>
      </c>
      <c r="KN19" s="54">
        <f>SUM(RD[[#This Row],[BLK1_INV1]:[BLK8_INV27]])</f>
        <v>335292</v>
      </c>
      <c r="KO19" s="95"/>
      <c r="KP19" s="55"/>
      <c r="KQ19" s="90" t="str">
        <f>IFERROR(RD[[#This Row],[WPR_Eac]]/RD[[#This Row],[WPR_Edc]],"")</f>
        <v/>
      </c>
    </row>
    <row r="20" spans="2:303" ht="15" customHeight="1" x14ac:dyDescent="0.25">
      <c r="B20" s="52">
        <f t="shared" si="10"/>
        <v>45761</v>
      </c>
      <c r="C20" s="9">
        <f>YEAR(RD[[#This Row],[Date]])+IF(MONTH(RD[[#This Row],[Date]])&gt;=4,1,0)</f>
        <v>2026</v>
      </c>
      <c r="D20" s="6">
        <f t="shared" ref="D20:D26" si="58">YEAR(B20)</f>
        <v>2025</v>
      </c>
      <c r="E20" s="7"/>
      <c r="F20" s="7"/>
      <c r="G20" s="8" t="str">
        <f>TEXT(RD[[#This Row],[Date]],"mmm-yy")</f>
        <v>Apr-25</v>
      </c>
      <c r="H20" s="6">
        <f t="shared" ref="H20:H27" si="59">DAY(EOMONTH(B20,0))</f>
        <v>30</v>
      </c>
      <c r="I20" s="9">
        <f>'Basic Data '!$S$2</f>
        <v>66750</v>
      </c>
      <c r="J20" s="10">
        <v>0.29166666666666702</v>
      </c>
      <c r="K20" s="10">
        <v>0.79166666666666696</v>
      </c>
      <c r="L20" s="9">
        <v>1457</v>
      </c>
      <c r="M20" s="9">
        <v>1485</v>
      </c>
      <c r="N20" s="9">
        <v>1383</v>
      </c>
      <c r="O20" s="9">
        <v>1384</v>
      </c>
      <c r="P20" s="9">
        <v>1471</v>
      </c>
      <c r="Q20" s="9">
        <v>1363</v>
      </c>
      <c r="R20" s="9">
        <v>1382</v>
      </c>
      <c r="S20" s="9">
        <v>1266</v>
      </c>
      <c r="T20" s="9">
        <v>1395</v>
      </c>
      <c r="U20" s="9">
        <v>1362</v>
      </c>
      <c r="V20" s="9">
        <v>1427</v>
      </c>
      <c r="W20" s="9">
        <v>1413</v>
      </c>
      <c r="X20" s="9">
        <v>1392</v>
      </c>
      <c r="Y20" s="9">
        <v>1266</v>
      </c>
      <c r="Z20" s="9">
        <v>1323</v>
      </c>
      <c r="AA20" s="9">
        <v>1363</v>
      </c>
      <c r="AB20" s="9">
        <v>1295</v>
      </c>
      <c r="AC20" s="9">
        <v>1314</v>
      </c>
      <c r="AD20" s="9">
        <v>1471</v>
      </c>
      <c r="AE20" s="9">
        <v>1480</v>
      </c>
      <c r="AF20" s="9">
        <v>1380</v>
      </c>
      <c r="AG20" s="9">
        <v>1326</v>
      </c>
      <c r="AH20" s="9">
        <v>1521</v>
      </c>
      <c r="AI20" s="9">
        <v>1432</v>
      </c>
      <c r="AJ20" s="9">
        <v>1489</v>
      </c>
      <c r="AK20" s="9">
        <v>1477</v>
      </c>
      <c r="AL20" s="9">
        <v>1472</v>
      </c>
      <c r="AM20" s="9">
        <v>1503</v>
      </c>
      <c r="AN20" s="9">
        <v>1460</v>
      </c>
      <c r="AO20" s="9">
        <v>1495</v>
      </c>
      <c r="AP20" s="9">
        <v>1363</v>
      </c>
      <c r="AQ20" s="9">
        <v>1322</v>
      </c>
      <c r="AR20" s="9">
        <v>1300</v>
      </c>
      <c r="AS20" s="9">
        <v>1681</v>
      </c>
      <c r="AT20" s="9">
        <v>1208</v>
      </c>
      <c r="AU20" s="9">
        <v>1455</v>
      </c>
      <c r="AV20" s="9">
        <v>1304</v>
      </c>
      <c r="AW20" s="9">
        <v>1321</v>
      </c>
      <c r="AX20" s="9">
        <v>1347</v>
      </c>
      <c r="AY20" s="9">
        <v>1379</v>
      </c>
      <c r="AZ20" s="9">
        <v>1324</v>
      </c>
      <c r="BA20" s="9">
        <v>1311</v>
      </c>
      <c r="BB20" s="9">
        <v>1336</v>
      </c>
      <c r="BC20" s="9">
        <v>1351</v>
      </c>
      <c r="BD20" s="9">
        <v>1355</v>
      </c>
      <c r="BE20" s="9">
        <v>1388</v>
      </c>
      <c r="BF20" s="9">
        <v>1491</v>
      </c>
      <c r="BG20" s="9">
        <v>1378</v>
      </c>
      <c r="BH20" s="9">
        <v>1306</v>
      </c>
      <c r="BI20" s="9">
        <v>1336</v>
      </c>
      <c r="BJ20" s="9">
        <v>1263</v>
      </c>
      <c r="BK20" s="9">
        <v>1328</v>
      </c>
      <c r="BL20" s="9">
        <v>1503</v>
      </c>
      <c r="BM20" s="9">
        <v>1483</v>
      </c>
      <c r="BN20" s="9">
        <v>1374</v>
      </c>
      <c r="BO20" s="9">
        <v>1465</v>
      </c>
      <c r="BP20" s="9">
        <v>1450</v>
      </c>
      <c r="BQ20" s="9">
        <v>1285</v>
      </c>
      <c r="BR20" s="9">
        <v>1471</v>
      </c>
      <c r="BS20" s="9">
        <v>1413</v>
      </c>
      <c r="BT20" s="9">
        <v>1314</v>
      </c>
      <c r="BU20" s="9">
        <v>1477</v>
      </c>
      <c r="BV20" s="9">
        <v>1263</v>
      </c>
      <c r="BW20" s="9">
        <v>1098</v>
      </c>
      <c r="BX20" s="9">
        <v>1499</v>
      </c>
      <c r="BY20" s="9">
        <v>1488</v>
      </c>
      <c r="BZ20" s="9">
        <v>1509</v>
      </c>
      <c r="CA20" s="9">
        <v>1330</v>
      </c>
      <c r="CB20" s="9">
        <v>1365</v>
      </c>
      <c r="CC20" s="9">
        <v>1371</v>
      </c>
      <c r="CD20" s="9">
        <v>1381</v>
      </c>
      <c r="CE20" s="9">
        <v>1331</v>
      </c>
      <c r="CF20" s="9">
        <v>1270</v>
      </c>
      <c r="CG20" s="9">
        <v>1392</v>
      </c>
      <c r="CH20" s="9">
        <v>1398</v>
      </c>
      <c r="CI20" s="9">
        <v>1557</v>
      </c>
      <c r="CJ20" s="9">
        <v>1588</v>
      </c>
      <c r="CK20" s="9">
        <v>1371</v>
      </c>
      <c r="CL20" s="9">
        <v>1355</v>
      </c>
      <c r="CM20" s="9">
        <v>1468</v>
      </c>
      <c r="CN20" s="9">
        <v>1406</v>
      </c>
      <c r="CO20" s="9">
        <v>1401</v>
      </c>
      <c r="CP20" s="9">
        <v>1383</v>
      </c>
      <c r="CQ20" s="9">
        <v>1383</v>
      </c>
      <c r="CR20" s="9">
        <v>1369</v>
      </c>
      <c r="CS20" s="9">
        <v>1307</v>
      </c>
      <c r="CT20" s="9">
        <v>1391</v>
      </c>
      <c r="CU20" s="9">
        <v>1377</v>
      </c>
      <c r="CV20" s="9">
        <v>1350</v>
      </c>
      <c r="CW20" s="9">
        <v>1345</v>
      </c>
      <c r="CX20" s="9">
        <v>1399</v>
      </c>
      <c r="CY20" s="9">
        <v>1298</v>
      </c>
      <c r="CZ20" s="9">
        <v>1412</v>
      </c>
      <c r="DA20" s="9">
        <v>1349</v>
      </c>
      <c r="DB20" s="9">
        <v>1298</v>
      </c>
      <c r="DC20" s="9">
        <v>1348</v>
      </c>
      <c r="DD20" s="9">
        <v>1344</v>
      </c>
      <c r="DE20" s="9">
        <v>1373</v>
      </c>
      <c r="DF20" s="9">
        <v>1376</v>
      </c>
      <c r="DG20" s="9">
        <v>1266</v>
      </c>
      <c r="DH20" s="9">
        <v>1424</v>
      </c>
      <c r="DI20" s="9">
        <v>1373</v>
      </c>
      <c r="DJ20" s="9">
        <v>1396</v>
      </c>
      <c r="DK20" s="9">
        <v>1348</v>
      </c>
      <c r="DL20" s="9">
        <v>1541</v>
      </c>
      <c r="DM20" s="9">
        <v>1182</v>
      </c>
      <c r="DN20" s="9">
        <v>1572</v>
      </c>
      <c r="DO20" s="9">
        <v>1545</v>
      </c>
      <c r="DP20" s="9">
        <v>1406</v>
      </c>
      <c r="DQ20" s="9">
        <v>1534</v>
      </c>
      <c r="DR20" s="9">
        <v>1402</v>
      </c>
      <c r="DS20" s="9">
        <v>1496</v>
      </c>
      <c r="DT20" s="9">
        <v>1547</v>
      </c>
      <c r="DU20" s="9">
        <v>1563</v>
      </c>
      <c r="DV20" s="9">
        <v>1342</v>
      </c>
      <c r="DW20" s="9">
        <v>1406</v>
      </c>
      <c r="DX20" s="9">
        <v>1533</v>
      </c>
      <c r="DY20" s="9">
        <v>1433</v>
      </c>
      <c r="DZ20" s="9">
        <v>1456</v>
      </c>
      <c r="EA20" s="9">
        <v>1377</v>
      </c>
      <c r="EB20" s="9">
        <v>1403</v>
      </c>
      <c r="EC20" s="9">
        <v>1478</v>
      </c>
      <c r="ED20" s="9">
        <v>1398</v>
      </c>
      <c r="EE20" s="9">
        <v>1324</v>
      </c>
      <c r="EF20" s="9">
        <v>1394</v>
      </c>
      <c r="EG20" s="9">
        <v>1478</v>
      </c>
      <c r="EH20" s="9">
        <v>1276</v>
      </c>
      <c r="EI20" s="9">
        <v>1297</v>
      </c>
      <c r="EJ20" s="9">
        <v>1521</v>
      </c>
      <c r="EK20" s="9">
        <v>1514</v>
      </c>
      <c r="EL20" s="9">
        <v>1438</v>
      </c>
      <c r="EM20" s="9">
        <v>1450</v>
      </c>
      <c r="EN20" s="9">
        <v>1423</v>
      </c>
      <c r="EO20" s="9">
        <v>1207</v>
      </c>
      <c r="EP20" s="9">
        <v>1544</v>
      </c>
      <c r="EQ20" s="9">
        <v>1486</v>
      </c>
      <c r="ER20" s="9">
        <v>1480</v>
      </c>
      <c r="ES20" s="9">
        <v>1439</v>
      </c>
      <c r="ET20" s="9">
        <v>1398</v>
      </c>
      <c r="EU20" s="9">
        <v>1402</v>
      </c>
      <c r="EV20" s="9">
        <v>1353</v>
      </c>
      <c r="EW20" s="9">
        <v>1398</v>
      </c>
      <c r="EX20" s="9">
        <v>1391</v>
      </c>
      <c r="EY20" s="9">
        <v>1546</v>
      </c>
      <c r="EZ20" s="9">
        <v>1328</v>
      </c>
      <c r="FA20" s="9">
        <v>1565</v>
      </c>
      <c r="FB20" s="9">
        <v>1356</v>
      </c>
      <c r="FC20" s="9">
        <v>1251</v>
      </c>
      <c r="FD20" s="9">
        <v>1446</v>
      </c>
      <c r="FE20" s="9">
        <v>1470</v>
      </c>
      <c r="FF20" s="9">
        <v>1480</v>
      </c>
      <c r="FG20" s="9">
        <v>1353</v>
      </c>
      <c r="FH20" s="9">
        <v>1495</v>
      </c>
      <c r="FI20" s="9">
        <v>1345</v>
      </c>
      <c r="FJ20" s="9">
        <v>1319</v>
      </c>
      <c r="FK20" s="9">
        <v>1307</v>
      </c>
      <c r="FL20" s="9">
        <v>1190</v>
      </c>
      <c r="FM20" s="9">
        <v>1325</v>
      </c>
      <c r="FN20" s="9">
        <v>1281</v>
      </c>
      <c r="FO20" s="9">
        <v>1356</v>
      </c>
      <c r="FP20" s="9">
        <v>1534</v>
      </c>
      <c r="FQ20" s="9">
        <v>1330</v>
      </c>
      <c r="FR20" s="9">
        <v>1307</v>
      </c>
      <c r="FS20" s="9">
        <v>1453</v>
      </c>
      <c r="FT20" s="9">
        <v>1357</v>
      </c>
      <c r="FU20" s="9">
        <v>1191</v>
      </c>
      <c r="FV20" s="9">
        <v>1312</v>
      </c>
      <c r="FW20" s="9">
        <v>1512</v>
      </c>
      <c r="FX20" s="9">
        <v>1376</v>
      </c>
      <c r="FY20" s="9">
        <v>1269</v>
      </c>
      <c r="FZ20" s="9">
        <v>1361</v>
      </c>
      <c r="GA20" s="9">
        <v>1349</v>
      </c>
      <c r="GB20" s="9">
        <v>1379</v>
      </c>
      <c r="GC20" s="9">
        <v>1417</v>
      </c>
      <c r="GD20" s="9">
        <v>1548</v>
      </c>
      <c r="GE20" s="9">
        <v>1357</v>
      </c>
      <c r="GF20" s="9">
        <v>1378</v>
      </c>
      <c r="GG20" s="9">
        <v>1233</v>
      </c>
      <c r="GH20" s="9">
        <v>1578</v>
      </c>
      <c r="GI20" s="9">
        <v>1394</v>
      </c>
      <c r="GJ20" s="9">
        <v>1415</v>
      </c>
      <c r="GK20" s="9">
        <v>1446</v>
      </c>
      <c r="GL20" s="9">
        <v>1424</v>
      </c>
      <c r="GM20" s="9">
        <v>1480</v>
      </c>
      <c r="GN20" s="9">
        <v>1428</v>
      </c>
      <c r="GO20" s="9">
        <v>1531</v>
      </c>
      <c r="GP20" s="9">
        <v>1433</v>
      </c>
      <c r="GQ20" s="9">
        <v>1433</v>
      </c>
      <c r="GR20" s="9">
        <v>1412</v>
      </c>
      <c r="GS20" s="9">
        <v>1273</v>
      </c>
      <c r="GT20" s="9">
        <v>1324</v>
      </c>
      <c r="GU20" s="9">
        <v>1306</v>
      </c>
      <c r="GV20" s="9">
        <v>1166</v>
      </c>
      <c r="GW20" s="9">
        <v>1330</v>
      </c>
      <c r="GX20" s="9">
        <v>1395</v>
      </c>
      <c r="GY20" s="9">
        <v>1255</v>
      </c>
      <c r="GZ20" s="9">
        <v>1168</v>
      </c>
      <c r="HA20" s="9">
        <v>1419</v>
      </c>
      <c r="HB20" s="9"/>
      <c r="HC20" s="9"/>
      <c r="HD20" s="9">
        <v>1188</v>
      </c>
      <c r="HE20" s="9">
        <v>943</v>
      </c>
      <c r="HF20" s="9">
        <v>1357</v>
      </c>
      <c r="HG20" s="9"/>
      <c r="HH20" s="9">
        <v>1484</v>
      </c>
      <c r="HI20" s="9">
        <v>1173</v>
      </c>
      <c r="HJ20" s="9">
        <v>1353</v>
      </c>
      <c r="HK20" s="9">
        <v>1339</v>
      </c>
      <c r="HL20" s="9">
        <v>1334</v>
      </c>
      <c r="HM20" s="9">
        <v>1382</v>
      </c>
      <c r="HN20" s="9">
        <v>1399</v>
      </c>
      <c r="HO20" s="9">
        <v>1406</v>
      </c>
      <c r="HP20" s="9">
        <v>1403</v>
      </c>
      <c r="HQ20" s="9">
        <v>1420</v>
      </c>
      <c r="HR20" s="9">
        <v>1404</v>
      </c>
      <c r="HS20" s="9">
        <v>1399</v>
      </c>
      <c r="HT20" s="9">
        <v>1358</v>
      </c>
      <c r="HU20" s="9">
        <v>1587</v>
      </c>
      <c r="HV20" s="9">
        <v>1257</v>
      </c>
      <c r="HW20" s="9">
        <v>1164</v>
      </c>
      <c r="HX20" s="9">
        <v>963</v>
      </c>
      <c r="HY20" s="9">
        <v>810</v>
      </c>
      <c r="HZ20" s="9">
        <v>993</v>
      </c>
      <c r="IA20" s="9">
        <v>1174</v>
      </c>
      <c r="IB20" s="9">
        <v>1379</v>
      </c>
      <c r="IC20" s="9">
        <v>1562</v>
      </c>
      <c r="ID20" s="9">
        <v>1386</v>
      </c>
      <c r="IE20" s="9">
        <v>1448</v>
      </c>
      <c r="IF20" s="9">
        <v>1298</v>
      </c>
      <c r="IG20" s="9">
        <v>1378</v>
      </c>
      <c r="IH20" s="9">
        <v>1490</v>
      </c>
      <c r="II20" s="9">
        <v>1469</v>
      </c>
      <c r="IJ20" s="9">
        <v>1109</v>
      </c>
      <c r="IK20" s="9">
        <v>1291</v>
      </c>
      <c r="IL20" s="9">
        <v>1169</v>
      </c>
      <c r="IM20" s="9">
        <v>1300</v>
      </c>
      <c r="IN20" s="9">
        <v>1178</v>
      </c>
      <c r="IO20" s="9"/>
      <c r="IP20" s="9">
        <v>1498</v>
      </c>
      <c r="IQ20" s="9">
        <v>1382</v>
      </c>
      <c r="IR20" s="9">
        <v>633</v>
      </c>
      <c r="IS20" s="9">
        <v>1197</v>
      </c>
      <c r="IT20" s="9">
        <v>1176</v>
      </c>
      <c r="IU20" s="9"/>
      <c r="IV20" s="9"/>
      <c r="IW20" s="9">
        <v>1110</v>
      </c>
      <c r="IX20" s="9">
        <v>1263</v>
      </c>
      <c r="IY20" s="9">
        <v>1278</v>
      </c>
      <c r="IZ20" s="9">
        <v>1210</v>
      </c>
      <c r="JA20" s="9">
        <v>1163</v>
      </c>
      <c r="JB20" s="11">
        <v>32.369999999999997</v>
      </c>
      <c r="JC20" s="11">
        <v>45.01</v>
      </c>
      <c r="JD20" s="11">
        <v>1.79</v>
      </c>
      <c r="JE20" s="11">
        <v>6.1</v>
      </c>
      <c r="JF20" s="11"/>
      <c r="JG20" s="11">
        <v>0</v>
      </c>
      <c r="JH20" s="13">
        <v>6.51</v>
      </c>
      <c r="JI20" s="12"/>
      <c r="JJ20" s="12"/>
      <c r="JK20" s="9">
        <v>82083194.141000003</v>
      </c>
      <c r="JL20" s="9">
        <v>281455.64500000002</v>
      </c>
      <c r="JM20" s="9">
        <v>55207413.542999998</v>
      </c>
      <c r="JN20" s="9">
        <v>61246.338000000003</v>
      </c>
      <c r="JO20" s="9">
        <v>82865707.869000003</v>
      </c>
      <c r="JP20" s="9">
        <v>185809.522</v>
      </c>
      <c r="JQ20" s="9">
        <v>59973320.461000003</v>
      </c>
      <c r="JR20" s="9">
        <v>55239.413999999997</v>
      </c>
      <c r="JS20" s="11">
        <v>311248951.34299999</v>
      </c>
      <c r="JT20" s="11">
        <v>82573.422999999995</v>
      </c>
      <c r="JU20" s="14">
        <f t="shared" si="30"/>
        <v>87585.342000007629</v>
      </c>
      <c r="JV20" s="14">
        <f t="shared" ref="JV20:JV21" si="60">IF((JL20-JL19)&lt;0,"",(JL20-JL19))</f>
        <v>15.663999999989755</v>
      </c>
      <c r="JW20" s="14">
        <f t="shared" ref="JW20:JW21" si="61">IF((JM20-JM19)&lt;0,"",(JM20-JM19))</f>
        <v>86208.043999999762</v>
      </c>
      <c r="JX20" s="14">
        <f t="shared" ref="JX20:JX21" si="62">IF((JN20-JN19)&lt;0,"",(JN20-JN19))</f>
        <v>12.327000000004773</v>
      </c>
      <c r="JY20" s="14">
        <f t="shared" ref="JY20:JY21" si="63">IF((JO20-JO19)&lt;0,"",(JO20-JO19))</f>
        <v>89147.50300000608</v>
      </c>
      <c r="JZ20" s="14">
        <f t="shared" ref="JZ20:JZ21" si="64">IF((JP20-JP19)&lt;0,"",(JP20-JP19))</f>
        <v>43.010999999998603</v>
      </c>
      <c r="KA20" s="14">
        <f t="shared" ref="KA20:KA21" si="65">IF((JQ20-JQ19)&lt;0,"",(JQ20-JQ19))</f>
        <v>68110.267000004649</v>
      </c>
      <c r="KB20" s="14">
        <f t="shared" ref="KB20:KB21" si="66">IF((JR20-JR19)&lt;0,"",(JR20-JR19))</f>
        <v>12.35399999999936</v>
      </c>
      <c r="KC20" s="14">
        <f t="shared" ref="KC20:KC21" si="67">IF((JS20-JS19)&lt;0,"",(JS20-JS19))</f>
        <v>330638.83499997854</v>
      </c>
      <c r="KD20" s="14">
        <f t="shared" ref="KD20:KD21" si="68">IF((JT20-JT19)&lt;0,"",(JT20-JT19))</f>
        <v>55.408999999999651</v>
      </c>
      <c r="KE20" s="15">
        <f t="shared" si="28"/>
        <v>173765.39500000741</v>
      </c>
      <c r="KF20" s="15">
        <f t="shared" si="29"/>
        <v>330583.42599997856</v>
      </c>
      <c r="KG20" s="16">
        <f>(RD[[#This Row],[Sunset Time (POA&lt;20 W/m2)]]-RD[[#This Row],[Sunrise Time (POA&gt;20 W/m2)]])*24</f>
        <v>11.999999999999998</v>
      </c>
      <c r="KH20" s="53">
        <f>RD[[#This Row],[GHI ]]</f>
        <v>0</v>
      </c>
      <c r="KI20" s="53">
        <f>RD[[#This Row],[POA]]</f>
        <v>6.51</v>
      </c>
      <c r="KJ20" s="53">
        <f>RD[[#This Row],[AT (°C) 14 Hours]]</f>
        <v>32.369999999999997</v>
      </c>
      <c r="KK20" s="53">
        <f>RD[[#This Row],[MT (°C) Gen. Hours]]</f>
        <v>45.01</v>
      </c>
      <c r="KL20" s="53">
        <f>RD[[#This Row],[WS_Avg (m/s) (24 Hours)]]</f>
        <v>1.79</v>
      </c>
      <c r="KM20" s="53">
        <f>RD[[#This Row],[WS_Max (m/s)]]</f>
        <v>6.1</v>
      </c>
      <c r="KN20" s="54">
        <f>SUM(RD[[#This Row],[BLK1_INV1]:[BLK8_INV27]])</f>
        <v>333086</v>
      </c>
      <c r="KO20" s="95"/>
      <c r="KP20" s="55"/>
      <c r="KQ20" s="90" t="str">
        <f>IFERROR(RD[[#This Row],[WPR_Eac]]/RD[[#This Row],[WPR_Edc]],"")</f>
        <v/>
      </c>
    </row>
    <row r="21" spans="2:303" ht="15" customHeight="1" x14ac:dyDescent="0.25">
      <c r="B21" s="52">
        <f t="shared" si="10"/>
        <v>45762</v>
      </c>
      <c r="C21" s="9">
        <f>YEAR(RD[[#This Row],[Date]])+IF(MONTH(RD[[#This Row],[Date]])&gt;=4,1,0)</f>
        <v>2026</v>
      </c>
      <c r="D21" s="6">
        <f t="shared" si="58"/>
        <v>2025</v>
      </c>
      <c r="E21" s="7"/>
      <c r="F21" s="7"/>
      <c r="G21" s="8" t="str">
        <f>TEXT(RD[[#This Row],[Date]],"mmm-yy")</f>
        <v>Apr-25</v>
      </c>
      <c r="H21" s="6">
        <f t="shared" si="59"/>
        <v>30</v>
      </c>
      <c r="I21" s="9">
        <f>'Basic Data '!$S$2</f>
        <v>66750</v>
      </c>
      <c r="J21" s="10">
        <v>0.29166666666666702</v>
      </c>
      <c r="K21" s="10">
        <v>0.79166666666666696</v>
      </c>
      <c r="L21" s="9">
        <v>1424</v>
      </c>
      <c r="M21" s="9">
        <v>1452</v>
      </c>
      <c r="N21" s="9">
        <v>1351</v>
      </c>
      <c r="O21" s="9">
        <v>1355</v>
      </c>
      <c r="P21" s="9">
        <v>1432</v>
      </c>
      <c r="Q21" s="9">
        <v>1328</v>
      </c>
      <c r="R21" s="9">
        <v>1333</v>
      </c>
      <c r="S21" s="9">
        <v>1228</v>
      </c>
      <c r="T21" s="9">
        <v>1351</v>
      </c>
      <c r="U21" s="9">
        <v>1319</v>
      </c>
      <c r="V21" s="9">
        <v>1378</v>
      </c>
      <c r="W21" s="9">
        <v>1365</v>
      </c>
      <c r="X21" s="9">
        <v>1343</v>
      </c>
      <c r="Y21" s="9">
        <v>1222</v>
      </c>
      <c r="Z21" s="9">
        <v>1274</v>
      </c>
      <c r="AA21" s="9">
        <v>1315</v>
      </c>
      <c r="AB21" s="9">
        <v>1276</v>
      </c>
      <c r="AC21" s="9">
        <v>1273</v>
      </c>
      <c r="AD21" s="9">
        <v>1433</v>
      </c>
      <c r="AE21" s="9">
        <v>1422</v>
      </c>
      <c r="AF21" s="9">
        <v>1325</v>
      </c>
      <c r="AG21" s="9">
        <v>1272</v>
      </c>
      <c r="AH21" s="9">
        <v>1460</v>
      </c>
      <c r="AI21" s="9">
        <v>1364</v>
      </c>
      <c r="AJ21" s="9">
        <v>1435</v>
      </c>
      <c r="AK21" s="9">
        <v>1419</v>
      </c>
      <c r="AL21" s="9">
        <v>1415</v>
      </c>
      <c r="AM21" s="9">
        <v>1447</v>
      </c>
      <c r="AN21" s="9">
        <v>1410</v>
      </c>
      <c r="AO21" s="9">
        <v>1444</v>
      </c>
      <c r="AP21" s="9">
        <v>1378</v>
      </c>
      <c r="AQ21" s="9">
        <v>1307</v>
      </c>
      <c r="AR21" s="9">
        <v>1269</v>
      </c>
      <c r="AS21" s="9">
        <v>1631</v>
      </c>
      <c r="AT21" s="9">
        <v>1194</v>
      </c>
      <c r="AU21" s="9">
        <v>1425</v>
      </c>
      <c r="AV21" s="9">
        <v>1295</v>
      </c>
      <c r="AW21" s="9">
        <v>1301</v>
      </c>
      <c r="AX21" s="9">
        <v>1312</v>
      </c>
      <c r="AY21" s="9">
        <v>1349</v>
      </c>
      <c r="AZ21" s="9">
        <v>1308</v>
      </c>
      <c r="BA21" s="9">
        <v>1290</v>
      </c>
      <c r="BB21" s="9">
        <v>1301</v>
      </c>
      <c r="BC21" s="9">
        <v>1315</v>
      </c>
      <c r="BD21" s="9">
        <v>1322</v>
      </c>
      <c r="BE21" s="9">
        <v>1345</v>
      </c>
      <c r="BF21" s="9">
        <v>1444</v>
      </c>
      <c r="BG21" s="9">
        <v>1333</v>
      </c>
      <c r="BH21" s="9">
        <v>1288</v>
      </c>
      <c r="BI21" s="9">
        <v>1318</v>
      </c>
      <c r="BJ21" s="9">
        <v>1246</v>
      </c>
      <c r="BK21" s="9">
        <v>1311</v>
      </c>
      <c r="BL21" s="9">
        <v>1484</v>
      </c>
      <c r="BM21" s="9">
        <v>1465</v>
      </c>
      <c r="BN21" s="9">
        <v>1357</v>
      </c>
      <c r="BO21" s="9">
        <v>1449</v>
      </c>
      <c r="BP21" s="9">
        <v>1431</v>
      </c>
      <c r="BQ21" s="9">
        <v>1267</v>
      </c>
      <c r="BR21" s="9">
        <v>1471</v>
      </c>
      <c r="BS21" s="9">
        <v>1414</v>
      </c>
      <c r="BT21" s="9">
        <v>1312</v>
      </c>
      <c r="BU21" s="9">
        <v>1467</v>
      </c>
      <c r="BV21" s="9">
        <v>1278</v>
      </c>
      <c r="BW21" s="9">
        <v>1461</v>
      </c>
      <c r="BX21" s="9">
        <v>1451</v>
      </c>
      <c r="BY21" s="9">
        <v>1457</v>
      </c>
      <c r="BZ21" s="9">
        <v>1289</v>
      </c>
      <c r="CA21" s="9">
        <v>1318</v>
      </c>
      <c r="CB21" s="9">
        <v>1326</v>
      </c>
      <c r="CC21" s="9">
        <v>1335</v>
      </c>
      <c r="CD21" s="9">
        <v>1290</v>
      </c>
      <c r="CE21" s="9">
        <v>1229</v>
      </c>
      <c r="CF21" s="9">
        <v>1346</v>
      </c>
      <c r="CG21" s="9">
        <v>1377</v>
      </c>
      <c r="CH21" s="9">
        <v>1525</v>
      </c>
      <c r="CI21" s="9">
        <v>1545</v>
      </c>
      <c r="CJ21" s="9">
        <v>1323</v>
      </c>
      <c r="CK21" s="9">
        <v>1424</v>
      </c>
      <c r="CL21" s="9">
        <v>1360</v>
      </c>
      <c r="CM21" s="9">
        <v>1356</v>
      </c>
      <c r="CN21" s="9">
        <v>1337</v>
      </c>
      <c r="CO21" s="9">
        <v>1337</v>
      </c>
      <c r="CP21" s="9">
        <v>1325</v>
      </c>
      <c r="CQ21" s="9">
        <v>1272</v>
      </c>
      <c r="CR21" s="9">
        <v>1345</v>
      </c>
      <c r="CS21" s="9">
        <v>1333</v>
      </c>
      <c r="CT21" s="9">
        <v>1304</v>
      </c>
      <c r="CU21" s="9">
        <v>1301</v>
      </c>
      <c r="CV21" s="9">
        <v>1351</v>
      </c>
      <c r="CW21" s="9">
        <v>1412</v>
      </c>
      <c r="CX21" s="9">
        <v>1365</v>
      </c>
      <c r="CY21" s="9">
        <v>1303</v>
      </c>
      <c r="CZ21" s="9">
        <v>1410</v>
      </c>
      <c r="DA21" s="9">
        <v>1363</v>
      </c>
      <c r="DB21" s="9">
        <v>1278</v>
      </c>
      <c r="DC21" s="9">
        <v>1302</v>
      </c>
      <c r="DD21" s="9">
        <v>1311</v>
      </c>
      <c r="DE21" s="9">
        <v>1332</v>
      </c>
      <c r="DF21" s="9">
        <v>1337</v>
      </c>
      <c r="DG21" s="9">
        <v>1234</v>
      </c>
      <c r="DH21" s="9">
        <v>1379</v>
      </c>
      <c r="DI21" s="9">
        <v>1333</v>
      </c>
      <c r="DJ21" s="9">
        <v>1356</v>
      </c>
      <c r="DK21" s="9">
        <v>1334</v>
      </c>
      <c r="DL21" s="9">
        <v>1495</v>
      </c>
      <c r="DM21" s="9">
        <v>1151</v>
      </c>
      <c r="DN21" s="9">
        <v>1520</v>
      </c>
      <c r="DO21" s="9">
        <v>1496</v>
      </c>
      <c r="DP21" s="9">
        <v>1360</v>
      </c>
      <c r="DQ21" s="9">
        <v>1484</v>
      </c>
      <c r="DR21" s="9">
        <v>1364</v>
      </c>
      <c r="DS21" s="9">
        <v>1465</v>
      </c>
      <c r="DT21" s="9">
        <v>1512</v>
      </c>
      <c r="DU21" s="9">
        <v>1514</v>
      </c>
      <c r="DV21" s="9">
        <v>1304</v>
      </c>
      <c r="DW21" s="9">
        <v>1359</v>
      </c>
      <c r="DX21" s="9">
        <v>1485</v>
      </c>
      <c r="DY21" s="9">
        <v>1340</v>
      </c>
      <c r="DZ21" s="9">
        <v>1413</v>
      </c>
      <c r="EA21" s="9">
        <v>1345</v>
      </c>
      <c r="EB21" s="9">
        <v>1376</v>
      </c>
      <c r="EC21" s="9">
        <v>1437</v>
      </c>
      <c r="ED21" s="9">
        <v>1362</v>
      </c>
      <c r="EE21" s="9">
        <v>1281</v>
      </c>
      <c r="EF21" s="9">
        <v>1348</v>
      </c>
      <c r="EG21" s="9">
        <v>1463</v>
      </c>
      <c r="EH21" s="9">
        <v>1259</v>
      </c>
      <c r="EI21" s="9">
        <v>1279</v>
      </c>
      <c r="EJ21" s="9">
        <v>1502</v>
      </c>
      <c r="EK21" s="9">
        <v>1497</v>
      </c>
      <c r="EL21" s="9">
        <v>1429</v>
      </c>
      <c r="EM21" s="9">
        <v>1435</v>
      </c>
      <c r="EN21" s="9">
        <v>1394</v>
      </c>
      <c r="EO21" s="9">
        <v>1190</v>
      </c>
      <c r="EP21" s="9">
        <v>1519</v>
      </c>
      <c r="EQ21" s="9">
        <v>1470</v>
      </c>
      <c r="ER21" s="9">
        <v>1471</v>
      </c>
      <c r="ES21" s="9">
        <v>1445</v>
      </c>
      <c r="ET21" s="9">
        <v>1351</v>
      </c>
      <c r="EU21" s="9">
        <v>1358</v>
      </c>
      <c r="EV21" s="9">
        <v>1330</v>
      </c>
      <c r="EW21" s="9">
        <v>1361</v>
      </c>
      <c r="EX21" s="9">
        <v>1349</v>
      </c>
      <c r="EY21" s="9">
        <v>1499</v>
      </c>
      <c r="EZ21" s="9">
        <v>1286</v>
      </c>
      <c r="FA21" s="9">
        <v>1510</v>
      </c>
      <c r="FB21" s="9">
        <v>1315</v>
      </c>
      <c r="FC21" s="9">
        <v>1214</v>
      </c>
      <c r="FD21" s="9">
        <v>1401</v>
      </c>
      <c r="FE21" s="9">
        <v>1428</v>
      </c>
      <c r="FF21" s="9">
        <v>1435</v>
      </c>
      <c r="FG21" s="9">
        <v>1316</v>
      </c>
      <c r="FH21" s="9">
        <v>1458</v>
      </c>
      <c r="FI21" s="9">
        <v>1314</v>
      </c>
      <c r="FJ21" s="9">
        <v>1292</v>
      </c>
      <c r="FK21" s="9">
        <v>1278</v>
      </c>
      <c r="FL21" s="9">
        <v>1163</v>
      </c>
      <c r="FM21" s="9">
        <v>1280</v>
      </c>
      <c r="FN21" s="9">
        <v>1242</v>
      </c>
      <c r="FO21" s="9">
        <v>1316</v>
      </c>
      <c r="FP21" s="9">
        <v>1496</v>
      </c>
      <c r="FQ21" s="9">
        <v>1299</v>
      </c>
      <c r="FR21" s="9">
        <v>1421</v>
      </c>
      <c r="FS21" s="9">
        <v>1434</v>
      </c>
      <c r="FT21" s="9">
        <v>1317</v>
      </c>
      <c r="FU21" s="9">
        <v>1289</v>
      </c>
      <c r="FV21" s="9">
        <v>1269</v>
      </c>
      <c r="FW21" s="9">
        <v>1462</v>
      </c>
      <c r="FX21" s="9">
        <v>1328</v>
      </c>
      <c r="FY21" s="9">
        <v>1218</v>
      </c>
      <c r="FZ21" s="9">
        <v>1314</v>
      </c>
      <c r="GA21" s="9">
        <v>1299</v>
      </c>
      <c r="GB21" s="9">
        <v>1292</v>
      </c>
      <c r="GC21" s="9">
        <v>1364</v>
      </c>
      <c r="GD21" s="9">
        <v>1499</v>
      </c>
      <c r="GE21" s="9">
        <v>1313</v>
      </c>
      <c r="GF21" s="9">
        <v>1332</v>
      </c>
      <c r="GG21" s="9">
        <v>1194</v>
      </c>
      <c r="GH21" s="9">
        <v>1524</v>
      </c>
      <c r="GI21" s="9">
        <v>1348</v>
      </c>
      <c r="GJ21" s="9">
        <v>1368</v>
      </c>
      <c r="GK21" s="9">
        <v>1394</v>
      </c>
      <c r="GL21" s="9">
        <v>1394</v>
      </c>
      <c r="GM21" s="9">
        <v>1432</v>
      </c>
      <c r="GN21" s="9">
        <v>1380</v>
      </c>
      <c r="GO21" s="9">
        <v>1487</v>
      </c>
      <c r="GP21" s="9">
        <v>1386</v>
      </c>
      <c r="GQ21" s="9">
        <v>1386</v>
      </c>
      <c r="GR21" s="9">
        <v>1356</v>
      </c>
      <c r="GS21" s="9">
        <v>1250</v>
      </c>
      <c r="GT21" s="9">
        <v>1306</v>
      </c>
      <c r="GU21" s="9">
        <v>1259</v>
      </c>
      <c r="GV21" s="9">
        <v>1150</v>
      </c>
      <c r="GW21" s="9">
        <v>1292</v>
      </c>
      <c r="GX21" s="9">
        <v>1349</v>
      </c>
      <c r="GY21" s="9">
        <v>1224</v>
      </c>
      <c r="GZ21" s="9">
        <v>1144</v>
      </c>
      <c r="HA21" s="9">
        <v>1376</v>
      </c>
      <c r="HB21" s="9"/>
      <c r="HC21" s="9"/>
      <c r="HD21" s="9">
        <v>1157</v>
      </c>
      <c r="HE21" s="9">
        <v>926</v>
      </c>
      <c r="HF21" s="9">
        <v>1317</v>
      </c>
      <c r="HG21" s="9"/>
      <c r="HH21" s="9">
        <v>1436</v>
      </c>
      <c r="HI21" s="9">
        <v>1214</v>
      </c>
      <c r="HJ21" s="9">
        <v>1307</v>
      </c>
      <c r="HK21" s="9">
        <v>1292</v>
      </c>
      <c r="HL21" s="9">
        <v>1294</v>
      </c>
      <c r="HM21" s="9">
        <v>1336</v>
      </c>
      <c r="HN21" s="9">
        <v>1353</v>
      </c>
      <c r="HO21" s="9">
        <v>1359</v>
      </c>
      <c r="HP21" s="9">
        <v>1356</v>
      </c>
      <c r="HQ21" s="9">
        <v>1371</v>
      </c>
      <c r="HR21" s="9">
        <v>1380</v>
      </c>
      <c r="HS21" s="9">
        <v>1384</v>
      </c>
      <c r="HT21" s="9">
        <v>1333</v>
      </c>
      <c r="HU21" s="9">
        <v>1568</v>
      </c>
      <c r="HV21" s="9">
        <v>1217</v>
      </c>
      <c r="HW21" s="9">
        <v>1125</v>
      </c>
      <c r="HX21" s="9">
        <v>925</v>
      </c>
      <c r="HY21" s="9">
        <v>863</v>
      </c>
      <c r="HZ21" s="9">
        <v>881</v>
      </c>
      <c r="IA21" s="9">
        <v>1178</v>
      </c>
      <c r="IB21" s="9">
        <v>1363</v>
      </c>
      <c r="IC21" s="9">
        <v>1510</v>
      </c>
      <c r="ID21" s="9">
        <v>1310</v>
      </c>
      <c r="IE21" s="9">
        <v>1410</v>
      </c>
      <c r="IF21" s="9">
        <v>1263</v>
      </c>
      <c r="IG21" s="9">
        <v>1298</v>
      </c>
      <c r="IH21" s="9">
        <v>1445</v>
      </c>
      <c r="II21" s="9">
        <v>1478</v>
      </c>
      <c r="IJ21" s="9">
        <v>1111</v>
      </c>
      <c r="IK21" s="9">
        <v>1270</v>
      </c>
      <c r="IL21" s="9">
        <v>1163</v>
      </c>
      <c r="IM21" s="9">
        <v>1278</v>
      </c>
      <c r="IN21" s="9">
        <v>1110</v>
      </c>
      <c r="IO21" s="9"/>
      <c r="IP21" s="9">
        <v>1478</v>
      </c>
      <c r="IQ21" s="9">
        <v>1351</v>
      </c>
      <c r="IR21" s="9">
        <v>614</v>
      </c>
      <c r="IS21" s="9">
        <v>1180</v>
      </c>
      <c r="IT21" s="9">
        <v>1168</v>
      </c>
      <c r="IU21" s="9"/>
      <c r="IV21" s="9"/>
      <c r="IW21" s="9">
        <v>1135</v>
      </c>
      <c r="IX21" s="9">
        <v>1256</v>
      </c>
      <c r="IY21" s="9">
        <v>1270</v>
      </c>
      <c r="IZ21" s="9">
        <v>1225</v>
      </c>
      <c r="JA21" s="9">
        <v>1135</v>
      </c>
      <c r="JB21" s="11">
        <v>32.700000000000003</v>
      </c>
      <c r="JC21" s="11">
        <v>43.6</v>
      </c>
      <c r="JD21" s="11">
        <v>1.6</v>
      </c>
      <c r="JE21" s="11">
        <v>6.5</v>
      </c>
      <c r="JF21" s="11"/>
      <c r="JG21" s="11">
        <v>0</v>
      </c>
      <c r="JH21" s="13">
        <v>6.23</v>
      </c>
      <c r="JI21" s="12"/>
      <c r="JJ21" s="12"/>
      <c r="JK21" s="9">
        <v>82168621</v>
      </c>
      <c r="JL21" s="9">
        <v>281469</v>
      </c>
      <c r="JM21" s="9">
        <v>55291405</v>
      </c>
      <c r="JN21" s="9">
        <v>61256</v>
      </c>
      <c r="JO21" s="9">
        <v>82952664</v>
      </c>
      <c r="JP21" s="9">
        <v>185854</v>
      </c>
      <c r="JQ21" s="9">
        <v>60036190</v>
      </c>
      <c r="JR21" s="9">
        <v>55251</v>
      </c>
      <c r="JS21" s="11">
        <v>311567840.30000001</v>
      </c>
      <c r="JT21" s="11">
        <v>82626.600000000006</v>
      </c>
      <c r="JU21" s="14">
        <f t="shared" si="30"/>
        <v>85426.858999997377</v>
      </c>
      <c r="JV21" s="14">
        <f t="shared" si="60"/>
        <v>13.354999999981374</v>
      </c>
      <c r="JW21" s="14">
        <f t="shared" si="61"/>
        <v>83991.457000002265</v>
      </c>
      <c r="JX21" s="14">
        <f t="shared" si="62"/>
        <v>9.661999999996624</v>
      </c>
      <c r="JY21" s="14">
        <f t="shared" si="63"/>
        <v>86956.130999997258</v>
      </c>
      <c r="JZ21" s="14">
        <f t="shared" si="64"/>
        <v>44.478000000002794</v>
      </c>
      <c r="KA21" s="14">
        <f t="shared" si="65"/>
        <v>62869.538999997079</v>
      </c>
      <c r="KB21" s="14">
        <f t="shared" si="66"/>
        <v>11.586000000002969</v>
      </c>
      <c r="KC21" s="14">
        <f t="shared" si="67"/>
        <v>318888.95700001717</v>
      </c>
      <c r="KD21" s="14">
        <f t="shared" si="68"/>
        <v>53.177000000010594</v>
      </c>
      <c r="KE21" s="15">
        <f t="shared" ref="KE21:KE26" si="69">(JU21+JW21)-(JV21+JX21)</f>
        <v>169395.29899999965</v>
      </c>
      <c r="KF21" s="15">
        <f t="shared" ref="KF21:KF26" si="70">IFERROR(KC21-KD21,"")</f>
        <v>318835.78000001714</v>
      </c>
      <c r="KG21" s="16">
        <f>(RD[[#This Row],[Sunset Time (POA&lt;20 W/m2)]]-RD[[#This Row],[Sunrise Time (POA&gt;20 W/m2)]])*24</f>
        <v>11.999999999999998</v>
      </c>
      <c r="KH21" s="53">
        <f>RD[[#This Row],[GHI ]]</f>
        <v>0</v>
      </c>
      <c r="KI21" s="53">
        <f>RD[[#This Row],[POA]]</f>
        <v>6.23</v>
      </c>
      <c r="KJ21" s="53">
        <f>RD[[#This Row],[AT (°C) 14 Hours]]</f>
        <v>32.700000000000003</v>
      </c>
      <c r="KK21" s="53">
        <f>RD[[#This Row],[MT (°C) Gen. Hours]]</f>
        <v>43.6</v>
      </c>
      <c r="KL21" s="53">
        <f>RD[[#This Row],[WS_Avg (m/s) (24 Hours)]]</f>
        <v>1.6</v>
      </c>
      <c r="KM21" s="53">
        <f>RD[[#This Row],[WS_Max (m/s)]]</f>
        <v>6.5</v>
      </c>
      <c r="KN21" s="54">
        <f>SUM(RD[[#This Row],[BLK1_INV1]:[BLK8_INV28]])</f>
        <v>326506</v>
      </c>
      <c r="KO21" s="95"/>
      <c r="KP21" s="55"/>
      <c r="KQ21" s="90" t="str">
        <f>IFERROR(RD[[#This Row],[WPR_Eac]]/RD[[#This Row],[WPR_Edc]],"")</f>
        <v/>
      </c>
    </row>
    <row r="22" spans="2:303" ht="15" customHeight="1" x14ac:dyDescent="0.25">
      <c r="B22" s="231">
        <v>45763</v>
      </c>
      <c r="C22" s="215">
        <f>YEAR(RD[[#This Row],[Date]])+IF(MONTH(RD[[#This Row],[Date]])&gt;=4,1,0)</f>
        <v>2026</v>
      </c>
      <c r="D22" s="129">
        <f t="shared" si="58"/>
        <v>2025</v>
      </c>
      <c r="E22" s="216"/>
      <c r="F22" s="216"/>
      <c r="G22" s="8" t="str">
        <f>TEXT(RD[[#This Row],[Date]],"mmm-yy")</f>
        <v>Apr-25</v>
      </c>
      <c r="H22" s="6">
        <f t="shared" si="59"/>
        <v>30</v>
      </c>
      <c r="I22" s="215">
        <f>'Basic Data '!$S$2</f>
        <v>66750</v>
      </c>
      <c r="J22" s="232">
        <v>0.29166666666666669</v>
      </c>
      <c r="K22" s="232">
        <v>0.79166666666666663</v>
      </c>
      <c r="L22" s="215">
        <v>1403</v>
      </c>
      <c r="M22" s="215">
        <v>1428</v>
      </c>
      <c r="N22" s="215">
        <v>1328</v>
      </c>
      <c r="O22" s="215">
        <v>1330</v>
      </c>
      <c r="P22" s="215">
        <v>1407</v>
      </c>
      <c r="Q22" s="215">
        <v>1310</v>
      </c>
      <c r="R22" s="215">
        <v>1313</v>
      </c>
      <c r="S22" s="215">
        <v>1209</v>
      </c>
      <c r="T22" s="215">
        <v>1330</v>
      </c>
      <c r="U22" s="215">
        <v>1298</v>
      </c>
      <c r="V22" s="215">
        <v>1360</v>
      </c>
      <c r="W22" s="215">
        <v>1346</v>
      </c>
      <c r="X22" s="215">
        <v>1322</v>
      </c>
      <c r="Y22" s="215">
        <v>1202</v>
      </c>
      <c r="Z22" s="215">
        <v>1275</v>
      </c>
      <c r="AA22" s="215">
        <v>1314</v>
      </c>
      <c r="AB22" s="215">
        <v>1266</v>
      </c>
      <c r="AC22" s="215">
        <v>1274</v>
      </c>
      <c r="AD22" s="215">
        <v>1431</v>
      </c>
      <c r="AE22" s="215">
        <v>1434</v>
      </c>
      <c r="AF22" s="215">
        <v>1331</v>
      </c>
      <c r="AG22" s="215">
        <v>1280</v>
      </c>
      <c r="AH22" s="215">
        <v>1465</v>
      </c>
      <c r="AI22" s="215">
        <v>1380</v>
      </c>
      <c r="AJ22" s="215">
        <v>1432</v>
      </c>
      <c r="AK22" s="215">
        <v>1413</v>
      </c>
      <c r="AL22" s="215">
        <v>1413</v>
      </c>
      <c r="AM22" s="215">
        <v>1430</v>
      </c>
      <c r="AN22" s="215">
        <v>1380</v>
      </c>
      <c r="AO22" s="215">
        <v>1409</v>
      </c>
      <c r="AP22" s="215">
        <v>1363</v>
      </c>
      <c r="AQ22" s="215">
        <v>1253</v>
      </c>
      <c r="AR22" s="215">
        <v>1250</v>
      </c>
      <c r="AS22" s="215">
        <v>1608</v>
      </c>
      <c r="AT22" s="215">
        <v>1211</v>
      </c>
      <c r="AU22" s="215">
        <v>1402</v>
      </c>
      <c r="AV22" s="215">
        <v>1307</v>
      </c>
      <c r="AW22" s="215">
        <v>1288</v>
      </c>
      <c r="AX22" s="215">
        <v>1309</v>
      </c>
      <c r="AY22" s="215">
        <v>1342</v>
      </c>
      <c r="AZ22" s="215">
        <v>1294</v>
      </c>
      <c r="BA22" s="215">
        <v>1279</v>
      </c>
      <c r="BB22" s="215">
        <v>1290</v>
      </c>
      <c r="BC22" s="215">
        <v>1304</v>
      </c>
      <c r="BD22" s="215">
        <v>1308</v>
      </c>
      <c r="BE22" s="215">
        <v>1355</v>
      </c>
      <c r="BF22" s="215">
        <v>1444</v>
      </c>
      <c r="BG22" s="215">
        <v>1315</v>
      </c>
      <c r="BH22" s="215">
        <v>1283</v>
      </c>
      <c r="BI22" s="215">
        <v>1313</v>
      </c>
      <c r="BJ22" s="215">
        <v>1247</v>
      </c>
      <c r="BK22" s="215">
        <v>1312</v>
      </c>
      <c r="BL22" s="215">
        <v>1495</v>
      </c>
      <c r="BM22" s="215">
        <v>1480</v>
      </c>
      <c r="BN22" s="215">
        <v>1355</v>
      </c>
      <c r="BO22" s="215">
        <v>1437</v>
      </c>
      <c r="BP22" s="215">
        <v>1411</v>
      </c>
      <c r="BQ22" s="215">
        <v>1252</v>
      </c>
      <c r="BR22" s="215">
        <v>1480</v>
      </c>
      <c r="BS22" s="215">
        <v>1415</v>
      </c>
      <c r="BT22" s="215">
        <v>1301</v>
      </c>
      <c r="BU22" s="215">
        <v>1450</v>
      </c>
      <c r="BV22" s="215">
        <v>1263</v>
      </c>
      <c r="BW22" s="215">
        <v>1425</v>
      </c>
      <c r="BX22" s="215">
        <v>1462</v>
      </c>
      <c r="BY22" s="215">
        <v>1453</v>
      </c>
      <c r="BZ22" s="215">
        <v>1476</v>
      </c>
      <c r="CA22" s="215">
        <v>1268</v>
      </c>
      <c r="CB22" s="215">
        <v>1323</v>
      </c>
      <c r="CC22" s="215">
        <v>1333</v>
      </c>
      <c r="CD22" s="215">
        <v>1342</v>
      </c>
      <c r="CE22" s="215">
        <v>1277</v>
      </c>
      <c r="CF22" s="215">
        <v>1196</v>
      </c>
      <c r="CG22" s="215">
        <v>1331</v>
      </c>
      <c r="CH22" s="215">
        <v>1355</v>
      </c>
      <c r="CI22" s="215">
        <v>1512</v>
      </c>
      <c r="CJ22" s="215">
        <v>1525</v>
      </c>
      <c r="CK22" s="215">
        <v>1301</v>
      </c>
      <c r="CL22" s="215">
        <v>1288</v>
      </c>
      <c r="CM22" s="215">
        <v>1396</v>
      </c>
      <c r="CN22" s="215">
        <v>1338</v>
      </c>
      <c r="CO22" s="215">
        <v>1335</v>
      </c>
      <c r="CP22" s="215">
        <v>1314</v>
      </c>
      <c r="CQ22" s="215">
        <v>1316</v>
      </c>
      <c r="CR22" s="215">
        <v>1309</v>
      </c>
      <c r="CS22" s="215">
        <v>1255</v>
      </c>
      <c r="CT22" s="215">
        <v>1341</v>
      </c>
      <c r="CU22" s="215">
        <v>1330</v>
      </c>
      <c r="CV22" s="215">
        <v>1314</v>
      </c>
      <c r="CW22" s="215">
        <v>1307</v>
      </c>
      <c r="CX22" s="215">
        <v>1369</v>
      </c>
      <c r="CY22" s="215">
        <v>1290</v>
      </c>
      <c r="CZ22" s="215">
        <v>1351</v>
      </c>
      <c r="DA22" s="215">
        <v>1298</v>
      </c>
      <c r="DB22" s="215">
        <v>1263</v>
      </c>
      <c r="DC22" s="215">
        <v>1282</v>
      </c>
      <c r="DD22" s="215">
        <v>1290</v>
      </c>
      <c r="DE22" s="215">
        <v>1302</v>
      </c>
      <c r="DF22" s="215">
        <v>1315</v>
      </c>
      <c r="DG22" s="215">
        <v>1202</v>
      </c>
      <c r="DH22" s="215">
        <v>1360</v>
      </c>
      <c r="DI22" s="215">
        <v>1314</v>
      </c>
      <c r="DJ22" s="215">
        <v>1337</v>
      </c>
      <c r="DK22" s="215">
        <v>1315</v>
      </c>
      <c r="DL22" s="215">
        <v>1478</v>
      </c>
      <c r="DM22" s="215">
        <v>1124</v>
      </c>
      <c r="DN22" s="215">
        <v>1497</v>
      </c>
      <c r="DO22" s="215">
        <v>1472</v>
      </c>
      <c r="DP22" s="215">
        <v>1340</v>
      </c>
      <c r="DQ22" s="215">
        <v>1496</v>
      </c>
      <c r="DR22" s="215">
        <v>1353</v>
      </c>
      <c r="DS22" s="215">
        <v>1444</v>
      </c>
      <c r="DT22" s="215">
        <v>1474</v>
      </c>
      <c r="DU22" s="215">
        <v>1490</v>
      </c>
      <c r="DV22" s="215">
        <v>1272</v>
      </c>
      <c r="DW22" s="215">
        <v>1339</v>
      </c>
      <c r="DX22" s="215">
        <v>1464</v>
      </c>
      <c r="DY22" s="215">
        <v>1338</v>
      </c>
      <c r="DZ22" s="215">
        <v>1411</v>
      </c>
      <c r="EA22" s="215">
        <v>1341</v>
      </c>
      <c r="EB22" s="215">
        <v>1380</v>
      </c>
      <c r="EC22" s="215">
        <v>1427</v>
      </c>
      <c r="ED22" s="215">
        <v>1352</v>
      </c>
      <c r="EE22" s="215">
        <v>1303</v>
      </c>
      <c r="EF22" s="215">
        <v>1371</v>
      </c>
      <c r="EG22" s="215">
        <v>1425</v>
      </c>
      <c r="EH22" s="215">
        <v>1255</v>
      </c>
      <c r="EI22" s="215">
        <v>1295</v>
      </c>
      <c r="EJ22" s="215">
        <v>1510</v>
      </c>
      <c r="EK22" s="215">
        <v>1509</v>
      </c>
      <c r="EL22" s="215">
        <v>1428</v>
      </c>
      <c r="EM22" s="215">
        <v>1425</v>
      </c>
      <c r="EN22" s="215">
        <v>1371</v>
      </c>
      <c r="EO22" s="215">
        <v>1168</v>
      </c>
      <c r="EP22" s="215">
        <v>1491</v>
      </c>
      <c r="EQ22" s="215">
        <v>1442</v>
      </c>
      <c r="ER22" s="215">
        <v>1440</v>
      </c>
      <c r="ES22" s="215">
        <v>1415</v>
      </c>
      <c r="ET22" s="215">
        <v>1309</v>
      </c>
      <c r="EU22" s="215">
        <v>1332</v>
      </c>
      <c r="EV22" s="215">
        <v>1308</v>
      </c>
      <c r="EW22" s="215">
        <v>1362</v>
      </c>
      <c r="EX22" s="215">
        <v>1323</v>
      </c>
      <c r="EY22" s="215">
        <v>1471</v>
      </c>
      <c r="EZ22" s="215">
        <v>1262</v>
      </c>
      <c r="FA22" s="215">
        <v>1481</v>
      </c>
      <c r="FB22" s="215">
        <v>1331</v>
      </c>
      <c r="FC22" s="215">
        <v>1238</v>
      </c>
      <c r="FD22" s="215">
        <v>1429</v>
      </c>
      <c r="FE22" s="215">
        <v>1470</v>
      </c>
      <c r="FF22" s="215">
        <v>1466</v>
      </c>
      <c r="FG22" s="215">
        <v>1335</v>
      </c>
      <c r="FH22" s="215">
        <v>1443</v>
      </c>
      <c r="FI22" s="215">
        <v>1327</v>
      </c>
      <c r="FJ22" s="215">
        <v>1304</v>
      </c>
      <c r="FK22" s="215">
        <v>1296</v>
      </c>
      <c r="FL22" s="215">
        <v>1098</v>
      </c>
      <c r="FM22" s="215">
        <v>1259</v>
      </c>
      <c r="FN22" s="215">
        <v>1225</v>
      </c>
      <c r="FO22" s="215">
        <v>1298</v>
      </c>
      <c r="FP22" s="215">
        <v>1478</v>
      </c>
      <c r="FQ22" s="215">
        <v>1284</v>
      </c>
      <c r="FR22" s="215">
        <v>1400</v>
      </c>
      <c r="FS22" s="215">
        <v>1431</v>
      </c>
      <c r="FT22" s="215">
        <v>1299</v>
      </c>
      <c r="FU22" s="215">
        <v>1269</v>
      </c>
      <c r="FV22" s="215">
        <v>1252</v>
      </c>
      <c r="FW22" s="215">
        <v>1439</v>
      </c>
      <c r="FX22" s="215">
        <v>1306</v>
      </c>
      <c r="FY22" s="215">
        <v>1199</v>
      </c>
      <c r="FZ22" s="215">
        <v>1291</v>
      </c>
      <c r="GA22" s="215">
        <v>1277</v>
      </c>
      <c r="GB22" s="215">
        <v>1270</v>
      </c>
      <c r="GC22" s="215">
        <v>1338</v>
      </c>
      <c r="GD22" s="215">
        <v>1476</v>
      </c>
      <c r="GE22" s="215">
        <v>1294</v>
      </c>
      <c r="GF22" s="215">
        <v>1311</v>
      </c>
      <c r="GG22" s="215">
        <v>1176</v>
      </c>
      <c r="GH22" s="215">
        <v>1500</v>
      </c>
      <c r="GI22" s="215">
        <v>1328</v>
      </c>
      <c r="GJ22" s="215">
        <v>1348</v>
      </c>
      <c r="GK22" s="215">
        <v>1376</v>
      </c>
      <c r="GL22" s="215">
        <v>1411</v>
      </c>
      <c r="GM22" s="215">
        <v>1411</v>
      </c>
      <c r="GN22" s="215">
        <v>1361</v>
      </c>
      <c r="GO22" s="215">
        <v>1466</v>
      </c>
      <c r="GP22" s="215">
        <v>1362</v>
      </c>
      <c r="GQ22" s="215">
        <v>1364</v>
      </c>
      <c r="GR22" s="215">
        <v>1334</v>
      </c>
      <c r="GS22" s="215">
        <v>1188</v>
      </c>
      <c r="GT22" s="215">
        <v>1287</v>
      </c>
      <c r="GU22" s="215">
        <v>1244</v>
      </c>
      <c r="GV22" s="215">
        <v>1111</v>
      </c>
      <c r="GW22" s="215">
        <v>1272</v>
      </c>
      <c r="GX22" s="215">
        <v>1327</v>
      </c>
      <c r="GY22" s="215">
        <v>1203</v>
      </c>
      <c r="GZ22" s="215">
        <v>1124</v>
      </c>
      <c r="HA22" s="215">
        <v>1350</v>
      </c>
      <c r="HB22" s="215"/>
      <c r="HC22" s="215"/>
      <c r="HD22" s="215">
        <v>1180</v>
      </c>
      <c r="HE22" s="215">
        <v>919</v>
      </c>
      <c r="HF22" s="215">
        <v>1296</v>
      </c>
      <c r="HG22" s="215"/>
      <c r="HH22" s="215">
        <v>1494</v>
      </c>
      <c r="HI22" s="215">
        <v>1220</v>
      </c>
      <c r="HJ22" s="215">
        <v>1287</v>
      </c>
      <c r="HK22" s="215">
        <v>1275</v>
      </c>
      <c r="HL22" s="215">
        <v>1261</v>
      </c>
      <c r="HM22" s="215">
        <v>1317</v>
      </c>
      <c r="HN22" s="215">
        <v>1332</v>
      </c>
      <c r="HO22" s="215">
        <v>1337</v>
      </c>
      <c r="HP22" s="215">
        <v>1334</v>
      </c>
      <c r="HQ22" s="215">
        <v>1350</v>
      </c>
      <c r="HR22" s="215">
        <v>1360</v>
      </c>
      <c r="HS22" s="215">
        <v>1363</v>
      </c>
      <c r="HT22" s="215">
        <v>1300</v>
      </c>
      <c r="HU22" s="215">
        <v>1546</v>
      </c>
      <c r="HV22" s="215">
        <v>1199</v>
      </c>
      <c r="HW22" s="215">
        <v>1105</v>
      </c>
      <c r="HX22" s="215">
        <v>910</v>
      </c>
      <c r="HY22" s="215">
        <v>825</v>
      </c>
      <c r="HZ22" s="215">
        <v>943</v>
      </c>
      <c r="IA22" s="215">
        <v>1117</v>
      </c>
      <c r="IB22" s="215">
        <v>1316</v>
      </c>
      <c r="IC22" s="215">
        <v>1531</v>
      </c>
      <c r="ID22" s="215">
        <v>1339</v>
      </c>
      <c r="IE22" s="215">
        <v>1399</v>
      </c>
      <c r="IF22" s="215">
        <v>1278</v>
      </c>
      <c r="IG22" s="215">
        <v>1300</v>
      </c>
      <c r="IH22" s="215">
        <v>1418</v>
      </c>
      <c r="II22" s="215">
        <v>1366</v>
      </c>
      <c r="IJ22" s="215">
        <v>1094</v>
      </c>
      <c r="IK22" s="215">
        <v>1241</v>
      </c>
      <c r="IL22" s="215">
        <v>1113</v>
      </c>
      <c r="IM22" s="215">
        <v>1237</v>
      </c>
      <c r="IN22" s="215">
        <v>996</v>
      </c>
      <c r="IO22" s="215"/>
      <c r="IP22" s="215">
        <v>1175</v>
      </c>
      <c r="IQ22" s="215">
        <v>1345</v>
      </c>
      <c r="IR22" s="215">
        <v>604</v>
      </c>
      <c r="IS22" s="215">
        <v>1261</v>
      </c>
      <c r="IT22" s="215">
        <v>1214</v>
      </c>
      <c r="IU22" s="215"/>
      <c r="IV22" s="215"/>
      <c r="IW22" s="215">
        <v>1098</v>
      </c>
      <c r="IX22" s="215">
        <v>1234</v>
      </c>
      <c r="IY22" s="215">
        <v>1301</v>
      </c>
      <c r="IZ22" s="215">
        <v>1270</v>
      </c>
      <c r="JA22" s="215">
        <v>1117</v>
      </c>
      <c r="JB22" s="223">
        <v>34.090000000000003</v>
      </c>
      <c r="JC22" s="223">
        <v>46.02</v>
      </c>
      <c r="JD22" s="223">
        <v>1.33</v>
      </c>
      <c r="JE22" s="223">
        <v>6.1</v>
      </c>
      <c r="JF22" s="223"/>
      <c r="JG22" s="223">
        <v>0</v>
      </c>
      <c r="JH22" s="224">
        <v>6.27</v>
      </c>
      <c r="JI22" s="225"/>
      <c r="JJ22" s="225"/>
      <c r="JK22" s="215">
        <v>82253458.237000003</v>
      </c>
      <c r="JL22" s="215">
        <v>281482.32900000003</v>
      </c>
      <c r="JM22" s="215">
        <v>55374252.019000001</v>
      </c>
      <c r="JN22" s="215">
        <v>61264.955999999998</v>
      </c>
      <c r="JO22" s="215">
        <v>83038923.775000006</v>
      </c>
      <c r="JP22" s="215">
        <v>185897.44099999999</v>
      </c>
      <c r="JQ22" s="215">
        <v>60101967.276000001</v>
      </c>
      <c r="JR22" s="215">
        <v>55263.175999999999</v>
      </c>
      <c r="JS22" s="223">
        <v>311887179.23000002</v>
      </c>
      <c r="JT22" s="223">
        <v>82681.229000000007</v>
      </c>
      <c r="JU22" s="14">
        <f t="shared" ref="JU22:JU23" si="71">IF((JK22-JK21)&lt;0,"",(JK22-JK21))</f>
        <v>84837.237000003457</v>
      </c>
      <c r="JV22" s="14">
        <f t="shared" ref="JV22:JV23" si="72">IF((JL22-JL21)&lt;0,"",(JL22-JL21))</f>
        <v>13.329000000027008</v>
      </c>
      <c r="JW22" s="14">
        <f t="shared" ref="JW22:JW23" si="73">IF((JM22-JM21)&lt;0,"",(JM22-JM21))</f>
        <v>82847.019000001252</v>
      </c>
      <c r="JX22" s="14">
        <f t="shared" ref="JX22:JX23" si="74">IF((JN22-JN21)&lt;0,"",(JN22-JN21))</f>
        <v>8.955999999998312</v>
      </c>
      <c r="JY22" s="14">
        <f t="shared" ref="JY22:JY23" si="75">IF((JO22-JO21)&lt;0,"",(JO22-JO21))</f>
        <v>86259.77500000596</v>
      </c>
      <c r="JZ22" s="14">
        <f t="shared" ref="JZ22:JZ23" si="76">IF((JP22-JP21)&lt;0,"",(JP22-JP21))</f>
        <v>43.440999999991618</v>
      </c>
      <c r="KA22" s="14">
        <f t="shared" ref="KA22:KA23" si="77">IF((JQ22-JQ21)&lt;0,"",(JQ22-JQ21))</f>
        <v>65777.276000000536</v>
      </c>
      <c r="KB22" s="14">
        <f t="shared" ref="KB22:KB23" si="78">IF((JR22-JR21)&lt;0,"",(JR22-JR21))</f>
        <v>12.175999999999476</v>
      </c>
      <c r="KC22" s="14">
        <f t="shared" ref="KC22:KC23" si="79">IF((JS22-JS21)&lt;0,"",(JS22-JS21))</f>
        <v>319338.93000000715</v>
      </c>
      <c r="KD22" s="14">
        <f t="shared" ref="KD22:KD23" si="80">IF((JT22-JT21)&lt;0,"",(JT22-JT21))</f>
        <v>54.629000000000815</v>
      </c>
      <c r="KE22" s="15">
        <f t="shared" si="69"/>
        <v>167661.97100000468</v>
      </c>
      <c r="KF22" s="15">
        <f t="shared" si="70"/>
        <v>319284.30100000714</v>
      </c>
      <c r="KG22" s="219">
        <f>(RD[[#This Row],[Sunset Time (POA&lt;20 W/m2)]]-RD[[#This Row],[Sunrise Time (POA&gt;20 W/m2)]])*24</f>
        <v>11.999999999999998</v>
      </c>
      <c r="KH22" s="131">
        <f>RD[[#This Row],[GHI ]]</f>
        <v>0</v>
      </c>
      <c r="KI22" s="131">
        <f>RD[[#This Row],[POA]]</f>
        <v>6.27</v>
      </c>
      <c r="KJ22" s="131">
        <f>RD[[#This Row],[AT (°C) 14 Hours]]</f>
        <v>34.090000000000003</v>
      </c>
      <c r="KK22" s="131">
        <f>RD[[#This Row],[MT (°C) Gen. Hours]]</f>
        <v>46.02</v>
      </c>
      <c r="KL22" s="131">
        <f>RD[[#This Row],[WS_Avg (m/s) (24 Hours)]]</f>
        <v>1.33</v>
      </c>
      <c r="KM22" s="131">
        <f>RD[[#This Row],[WS_Max (m/s)]]</f>
        <v>6.1</v>
      </c>
      <c r="KN22" s="220">
        <f>SUM(RD[[#This Row],[BLK1_INV1]:[BLK8_INV28]])</f>
        <v>323020</v>
      </c>
      <c r="KO22" s="221"/>
      <c r="KP22" s="222"/>
      <c r="KQ22" s="132" t="str">
        <f>IFERROR(RD[[#This Row],[WPR_Eac]]/RD[[#This Row],[WPR_Edc]],"")</f>
        <v/>
      </c>
    </row>
    <row r="23" spans="2:303" ht="15" customHeight="1" x14ac:dyDescent="0.25">
      <c r="B23" s="52">
        <v>45764</v>
      </c>
      <c r="C23" s="9">
        <f>YEAR(RD[[#This Row],[Date]])+IF(MONTH(RD[[#This Row],[Date]])&gt;=4,1,0)</f>
        <v>2026</v>
      </c>
      <c r="D23" s="6">
        <f t="shared" si="58"/>
        <v>2025</v>
      </c>
      <c r="E23" s="7"/>
      <c r="F23" s="7"/>
      <c r="G23" s="8" t="str">
        <f>TEXT(RD[[#This Row],[Date]],"mmm-yy")</f>
        <v>Apr-25</v>
      </c>
      <c r="H23" s="6">
        <f t="shared" si="59"/>
        <v>30</v>
      </c>
      <c r="I23" s="9">
        <f>'Basic Data '!$S$2</f>
        <v>66750</v>
      </c>
      <c r="J23" s="232">
        <v>0.29166666666666669</v>
      </c>
      <c r="K23" s="232">
        <v>0.79166666666666663</v>
      </c>
      <c r="L23" s="9">
        <v>1355</v>
      </c>
      <c r="M23" s="9">
        <v>1375</v>
      </c>
      <c r="N23" s="9">
        <v>1281</v>
      </c>
      <c r="O23" s="9">
        <v>1281</v>
      </c>
      <c r="P23" s="9">
        <v>1360</v>
      </c>
      <c r="Q23" s="9">
        <v>1265</v>
      </c>
      <c r="R23" s="9">
        <v>1275</v>
      </c>
      <c r="S23" s="9">
        <v>1248</v>
      </c>
      <c r="T23" s="9">
        <v>1295</v>
      </c>
      <c r="U23" s="9">
        <v>1286</v>
      </c>
      <c r="V23" s="9">
        <v>1306</v>
      </c>
      <c r="W23" s="9">
        <v>1318</v>
      </c>
      <c r="X23" s="9">
        <v>1296</v>
      </c>
      <c r="Y23" s="9">
        <v>1152</v>
      </c>
      <c r="Z23" s="9">
        <v>1240</v>
      </c>
      <c r="AA23" s="9">
        <v>1272</v>
      </c>
      <c r="AB23" s="9">
        <v>1217</v>
      </c>
      <c r="AC23" s="9">
        <v>1235</v>
      </c>
      <c r="AD23" s="9">
        <v>1379</v>
      </c>
      <c r="AE23" s="9">
        <v>1389</v>
      </c>
      <c r="AF23" s="9">
        <v>1297</v>
      </c>
      <c r="AG23" s="9">
        <v>1252</v>
      </c>
      <c r="AH23" s="9">
        <v>1423</v>
      </c>
      <c r="AI23" s="9">
        <v>1341</v>
      </c>
      <c r="AJ23" s="9">
        <v>1381</v>
      </c>
      <c r="AK23" s="9">
        <v>1389</v>
      </c>
      <c r="AL23" s="9">
        <v>1379</v>
      </c>
      <c r="AM23" s="9">
        <v>1411</v>
      </c>
      <c r="AN23" s="9">
        <v>1370</v>
      </c>
      <c r="AO23" s="9">
        <v>1395</v>
      </c>
      <c r="AP23" s="9">
        <v>1310</v>
      </c>
      <c r="AQ23" s="9">
        <v>1253</v>
      </c>
      <c r="AR23" s="9">
        <v>1203</v>
      </c>
      <c r="AS23" s="9">
        <v>1546</v>
      </c>
      <c r="AT23" s="9">
        <v>1189</v>
      </c>
      <c r="AU23" s="9">
        <v>1350</v>
      </c>
      <c r="AV23" s="9">
        <v>1285</v>
      </c>
      <c r="AW23" s="9">
        <v>1244</v>
      </c>
      <c r="AX23" s="9">
        <v>1275</v>
      </c>
      <c r="AY23" s="9">
        <v>1300</v>
      </c>
      <c r="AZ23" s="9">
        <v>1246</v>
      </c>
      <c r="BA23" s="9">
        <v>1233</v>
      </c>
      <c r="BB23" s="9">
        <v>1257</v>
      </c>
      <c r="BC23" s="9">
        <v>1277</v>
      </c>
      <c r="BD23" s="9">
        <v>1267</v>
      </c>
      <c r="BE23" s="9">
        <v>1310</v>
      </c>
      <c r="BF23" s="9">
        <v>1389</v>
      </c>
      <c r="BG23" s="9">
        <v>1288</v>
      </c>
      <c r="BH23" s="9">
        <v>1219</v>
      </c>
      <c r="BI23" s="9">
        <v>1300</v>
      </c>
      <c r="BJ23" s="9">
        <v>1208</v>
      </c>
      <c r="BK23" s="9">
        <v>1369</v>
      </c>
      <c r="BL23" s="9">
        <v>1450</v>
      </c>
      <c r="BM23" s="9">
        <v>1400</v>
      </c>
      <c r="BN23" s="9">
        <v>1314</v>
      </c>
      <c r="BO23" s="9">
        <v>1309</v>
      </c>
      <c r="BP23" s="9">
        <v>1400</v>
      </c>
      <c r="BQ23" s="9">
        <v>1334</v>
      </c>
      <c r="BR23" s="9">
        <v>1400</v>
      </c>
      <c r="BS23" s="9">
        <v>1400</v>
      </c>
      <c r="BT23" s="9">
        <v>1324</v>
      </c>
      <c r="BU23" s="9">
        <v>1400</v>
      </c>
      <c r="BV23" s="9">
        <v>1461</v>
      </c>
      <c r="BW23" s="9">
        <v>1406</v>
      </c>
      <c r="BX23" s="9">
        <v>1398</v>
      </c>
      <c r="BY23" s="9">
        <v>1422</v>
      </c>
      <c r="BZ23" s="9">
        <v>1400</v>
      </c>
      <c r="CA23" s="9">
        <v>1269</v>
      </c>
      <c r="CB23" s="9">
        <v>1295</v>
      </c>
      <c r="CC23" s="9">
        <v>1305</v>
      </c>
      <c r="CD23" s="9">
        <v>1211</v>
      </c>
      <c r="CE23" s="9">
        <v>1200</v>
      </c>
      <c r="CF23" s="9">
        <v>1300</v>
      </c>
      <c r="CG23" s="9">
        <v>1270</v>
      </c>
      <c r="CH23" s="9">
        <v>1460</v>
      </c>
      <c r="CI23" s="9">
        <v>1468</v>
      </c>
      <c r="CJ23" s="9">
        <v>1500</v>
      </c>
      <c r="CK23" s="9">
        <v>1266</v>
      </c>
      <c r="CL23" s="9">
        <v>1360</v>
      </c>
      <c r="CM23" s="9">
        <v>1301</v>
      </c>
      <c r="CN23" s="9">
        <v>1308</v>
      </c>
      <c r="CO23" s="9">
        <v>1299</v>
      </c>
      <c r="CP23" s="9">
        <v>1303</v>
      </c>
      <c r="CQ23" s="9">
        <v>1260</v>
      </c>
      <c r="CR23" s="9">
        <v>1180</v>
      </c>
      <c r="CS23" s="9">
        <v>1318</v>
      </c>
      <c r="CT23" s="9">
        <v>1303</v>
      </c>
      <c r="CU23" s="9">
        <v>1284</v>
      </c>
      <c r="CV23" s="9">
        <v>1248</v>
      </c>
      <c r="CW23" s="9">
        <v>1248</v>
      </c>
      <c r="CX23" s="9">
        <v>1331</v>
      </c>
      <c r="CY23" s="9">
        <v>1226</v>
      </c>
      <c r="CZ23" s="9">
        <v>1334</v>
      </c>
      <c r="DA23" s="9">
        <v>1272</v>
      </c>
      <c r="DB23" s="9">
        <v>1298</v>
      </c>
      <c r="DC23" s="9">
        <v>1261</v>
      </c>
      <c r="DD23" s="9">
        <v>1264</v>
      </c>
      <c r="DE23" s="9">
        <v>1225</v>
      </c>
      <c r="DF23" s="9">
        <v>1266</v>
      </c>
      <c r="DG23" s="9">
        <v>1119</v>
      </c>
      <c r="DH23" s="9">
        <v>1307</v>
      </c>
      <c r="DI23" s="9">
        <v>1266</v>
      </c>
      <c r="DJ23" s="9">
        <v>1294</v>
      </c>
      <c r="DK23" s="9">
        <v>1290</v>
      </c>
      <c r="DL23" s="9">
        <v>1452</v>
      </c>
      <c r="DM23" s="9">
        <v>1045</v>
      </c>
      <c r="DN23" s="9">
        <v>1499</v>
      </c>
      <c r="DO23" s="9">
        <v>1413</v>
      </c>
      <c r="DP23" s="9">
        <v>1289</v>
      </c>
      <c r="DQ23" s="9">
        <v>1461</v>
      </c>
      <c r="DR23" s="9">
        <v>1306</v>
      </c>
      <c r="DS23" s="9">
        <v>1387</v>
      </c>
      <c r="DT23" s="9">
        <v>1391</v>
      </c>
      <c r="DU23" s="9">
        <v>1431</v>
      </c>
      <c r="DV23" s="9">
        <v>1192</v>
      </c>
      <c r="DW23" s="9">
        <v>1288</v>
      </c>
      <c r="DX23" s="9">
        <v>1409</v>
      </c>
      <c r="DY23" s="9">
        <v>1300</v>
      </c>
      <c r="DZ23" s="9">
        <v>1359</v>
      </c>
      <c r="EA23" s="9">
        <v>1292</v>
      </c>
      <c r="EB23" s="9">
        <v>1326</v>
      </c>
      <c r="EC23" s="9">
        <v>1373</v>
      </c>
      <c r="ED23" s="9">
        <v>1280</v>
      </c>
      <c r="EE23" s="9">
        <v>1258</v>
      </c>
      <c r="EF23" s="9">
        <v>1331</v>
      </c>
      <c r="EG23" s="9">
        <v>1426</v>
      </c>
      <c r="EH23" s="9">
        <v>1213</v>
      </c>
      <c r="EI23" s="9">
        <v>1245</v>
      </c>
      <c r="EJ23" s="9">
        <v>1451</v>
      </c>
      <c r="EK23" s="9">
        <v>1450</v>
      </c>
      <c r="EL23" s="9">
        <v>1376</v>
      </c>
      <c r="EM23" s="9">
        <v>1375</v>
      </c>
      <c r="EN23" s="9">
        <v>1318</v>
      </c>
      <c r="EO23" s="9">
        <v>1122</v>
      </c>
      <c r="EP23" s="9">
        <v>1436</v>
      </c>
      <c r="EQ23" s="9">
        <v>1383</v>
      </c>
      <c r="ER23" s="9">
        <v>1387</v>
      </c>
      <c r="ES23" s="9">
        <v>1364</v>
      </c>
      <c r="ET23" s="9">
        <v>1293</v>
      </c>
      <c r="EU23" s="9">
        <v>1321</v>
      </c>
      <c r="EV23" s="9">
        <v>1262</v>
      </c>
      <c r="EW23" s="9">
        <v>1338</v>
      </c>
      <c r="EX23" s="9">
        <v>1288</v>
      </c>
      <c r="EY23" s="9">
        <v>1442</v>
      </c>
      <c r="EZ23" s="9">
        <v>1240</v>
      </c>
      <c r="FA23" s="9">
        <v>1457</v>
      </c>
      <c r="FB23" s="9">
        <v>1306</v>
      </c>
      <c r="FC23" s="9">
        <v>1201</v>
      </c>
      <c r="FD23" s="9">
        <v>1394</v>
      </c>
      <c r="FE23" s="9">
        <v>1427</v>
      </c>
      <c r="FF23" s="9">
        <v>1427</v>
      </c>
      <c r="FG23" s="9">
        <v>1307</v>
      </c>
      <c r="FH23" s="9">
        <v>1451</v>
      </c>
      <c r="FI23" s="9">
        <v>1309</v>
      </c>
      <c r="FJ23" s="9">
        <v>1286</v>
      </c>
      <c r="FK23" s="9">
        <v>1269</v>
      </c>
      <c r="FL23" s="9">
        <v>1026</v>
      </c>
      <c r="FM23" s="9">
        <v>1232</v>
      </c>
      <c r="FN23" s="9">
        <v>1178</v>
      </c>
      <c r="FO23" s="9">
        <v>1243</v>
      </c>
      <c r="FP23" s="9">
        <v>1423</v>
      </c>
      <c r="FQ23" s="9">
        <v>1228</v>
      </c>
      <c r="FR23" s="9">
        <v>1337</v>
      </c>
      <c r="FS23" s="9">
        <v>1374</v>
      </c>
      <c r="FT23" s="9">
        <v>1239</v>
      </c>
      <c r="FU23" s="9">
        <v>1216</v>
      </c>
      <c r="FV23" s="9">
        <v>1201</v>
      </c>
      <c r="FW23" s="9">
        <v>1378</v>
      </c>
      <c r="FX23" s="9">
        <v>1254</v>
      </c>
      <c r="FY23" s="9">
        <v>1153</v>
      </c>
      <c r="FZ23" s="9">
        <v>1240</v>
      </c>
      <c r="GA23" s="9">
        <v>1216</v>
      </c>
      <c r="GB23" s="9">
        <v>1284</v>
      </c>
      <c r="GC23" s="9">
        <v>1424</v>
      </c>
      <c r="GD23" s="9">
        <v>1245</v>
      </c>
      <c r="GE23" s="9">
        <v>1264</v>
      </c>
      <c r="GF23" s="9">
        <v>1132</v>
      </c>
      <c r="GG23" s="9">
        <v>1439</v>
      </c>
      <c r="GH23" s="9">
        <v>1500</v>
      </c>
      <c r="GI23" s="9">
        <v>1297</v>
      </c>
      <c r="GJ23" s="9">
        <v>1323</v>
      </c>
      <c r="GK23" s="9">
        <v>1361</v>
      </c>
      <c r="GL23" s="9">
        <v>1400</v>
      </c>
      <c r="GM23" s="9">
        <v>1408</v>
      </c>
      <c r="GN23" s="9">
        <v>1316</v>
      </c>
      <c r="GO23" s="9">
        <v>1400</v>
      </c>
      <c r="GP23" s="9">
        <v>1284</v>
      </c>
      <c r="GQ23" s="9">
        <v>1300</v>
      </c>
      <c r="GR23" s="9">
        <v>1284</v>
      </c>
      <c r="GS23" s="9">
        <v>1149</v>
      </c>
      <c r="GT23" s="9">
        <v>1236</v>
      </c>
      <c r="GU23" s="9">
        <v>1205</v>
      </c>
      <c r="GV23" s="9">
        <v>1079</v>
      </c>
      <c r="GW23" s="9">
        <v>1225</v>
      </c>
      <c r="GX23" s="9">
        <v>1274</v>
      </c>
      <c r="GY23" s="9">
        <v>1152</v>
      </c>
      <c r="GZ23" s="9">
        <v>1069</v>
      </c>
      <c r="HA23" s="9">
        <v>1297</v>
      </c>
      <c r="HB23" s="9"/>
      <c r="HC23" s="9"/>
      <c r="HD23" s="9">
        <v>1132</v>
      </c>
      <c r="HE23" s="9">
        <v>882</v>
      </c>
      <c r="HF23" s="9">
        <v>1246</v>
      </c>
      <c r="HG23" s="9"/>
      <c r="HH23" s="9">
        <v>1363</v>
      </c>
      <c r="HI23" s="9">
        <v>1173</v>
      </c>
      <c r="HJ23" s="9">
        <v>1241</v>
      </c>
      <c r="HK23" s="9">
        <v>1232</v>
      </c>
      <c r="HL23" s="9">
        <v>1183</v>
      </c>
      <c r="HM23" s="9">
        <v>1267</v>
      </c>
      <c r="HN23" s="9">
        <v>1281</v>
      </c>
      <c r="HO23" s="9">
        <v>1283</v>
      </c>
      <c r="HP23" s="9">
        <v>1281</v>
      </c>
      <c r="HQ23" s="9">
        <v>1299</v>
      </c>
      <c r="HR23" s="9">
        <v>1308</v>
      </c>
      <c r="HS23" s="9">
        <v>1311</v>
      </c>
      <c r="HT23" s="9">
        <v>1215</v>
      </c>
      <c r="HU23" s="9">
        <v>1483</v>
      </c>
      <c r="HV23" s="9">
        <v>1152</v>
      </c>
      <c r="HW23" s="9">
        <v>1062</v>
      </c>
      <c r="HX23" s="9">
        <v>926</v>
      </c>
      <c r="HY23" s="9">
        <v>855</v>
      </c>
      <c r="HZ23" s="9">
        <v>906</v>
      </c>
      <c r="IA23" s="9">
        <v>1082</v>
      </c>
      <c r="IB23" s="9">
        <v>1296</v>
      </c>
      <c r="IC23" s="9">
        <v>1480</v>
      </c>
      <c r="ID23" s="9">
        <v>1312</v>
      </c>
      <c r="IE23" s="9">
        <v>1364</v>
      </c>
      <c r="IF23" s="9">
        <v>1226</v>
      </c>
      <c r="IG23" s="9">
        <v>1280</v>
      </c>
      <c r="IH23" s="9">
        <v>1327</v>
      </c>
      <c r="II23" s="9">
        <v>1331</v>
      </c>
      <c r="IJ23" s="9">
        <v>1066</v>
      </c>
      <c r="IK23" s="9">
        <v>1228</v>
      </c>
      <c r="IL23" s="9">
        <v>1082</v>
      </c>
      <c r="IM23" s="9">
        <v>1218</v>
      </c>
      <c r="IN23" s="9">
        <v>984</v>
      </c>
      <c r="IO23" s="9"/>
      <c r="IP23" s="9">
        <v>1175</v>
      </c>
      <c r="IQ23" s="9">
        <v>1318</v>
      </c>
      <c r="IR23" s="9">
        <v>585</v>
      </c>
      <c r="IS23" s="9">
        <v>1285</v>
      </c>
      <c r="IT23" s="9">
        <v>1178</v>
      </c>
      <c r="IU23" s="9"/>
      <c r="IV23" s="9"/>
      <c r="IW23" s="9">
        <v>1185</v>
      </c>
      <c r="IX23" s="9">
        <v>1251</v>
      </c>
      <c r="IY23" s="9">
        <v>1299</v>
      </c>
      <c r="IZ23" s="9">
        <v>1251</v>
      </c>
      <c r="JA23" s="9">
        <v>1074</v>
      </c>
      <c r="JB23" s="11">
        <v>35.700000000000003</v>
      </c>
      <c r="JC23" s="11">
        <v>46</v>
      </c>
      <c r="JD23" s="11">
        <v>0.6</v>
      </c>
      <c r="JE23" s="11">
        <v>6.78</v>
      </c>
      <c r="JF23" s="11"/>
      <c r="JG23" s="11">
        <v>0</v>
      </c>
      <c r="JH23" s="13">
        <v>6.11</v>
      </c>
      <c r="JI23" s="12"/>
      <c r="JJ23" s="12"/>
      <c r="JK23" s="9">
        <v>82335200</v>
      </c>
      <c r="JL23" s="9">
        <v>281497</v>
      </c>
      <c r="JM23" s="9">
        <v>55454144</v>
      </c>
      <c r="JN23" s="9">
        <v>61275</v>
      </c>
      <c r="JO23" s="9">
        <v>83122389</v>
      </c>
      <c r="JP23" s="9">
        <v>185944</v>
      </c>
      <c r="JQ23" s="9">
        <v>60165461</v>
      </c>
      <c r="JR23" s="9">
        <v>55276</v>
      </c>
      <c r="JS23" s="11">
        <v>312195388.5</v>
      </c>
      <c r="JT23" s="11">
        <v>82741.8</v>
      </c>
      <c r="JU23" s="14">
        <f t="shared" si="71"/>
        <v>81741.762999996543</v>
      </c>
      <c r="JV23" s="14">
        <f t="shared" si="72"/>
        <v>14.670999999972992</v>
      </c>
      <c r="JW23" s="14">
        <f t="shared" si="73"/>
        <v>79891.980999998748</v>
      </c>
      <c r="JX23" s="14">
        <f t="shared" si="74"/>
        <v>10.044000000001688</v>
      </c>
      <c r="JY23" s="14">
        <f t="shared" si="75"/>
        <v>83465.22499999404</v>
      </c>
      <c r="JZ23" s="14">
        <f t="shared" si="76"/>
        <v>46.559000000008382</v>
      </c>
      <c r="KA23" s="14">
        <f t="shared" si="77"/>
        <v>63493.723999999464</v>
      </c>
      <c r="KB23" s="14">
        <f t="shared" si="78"/>
        <v>12.824000000000524</v>
      </c>
      <c r="KC23" s="14">
        <f t="shared" si="79"/>
        <v>308209.26999998093</v>
      </c>
      <c r="KD23" s="14">
        <f t="shared" si="80"/>
        <v>60.570999999996275</v>
      </c>
      <c r="KE23" s="15">
        <f t="shared" si="69"/>
        <v>161609.02899999532</v>
      </c>
      <c r="KF23" s="15">
        <f t="shared" si="70"/>
        <v>308148.69899998093</v>
      </c>
      <c r="KG23" s="16">
        <f>(RD[[#This Row],[Sunset Time (POA&lt;20 W/m2)]]-RD[[#This Row],[Sunrise Time (POA&gt;20 W/m2)]])*24</f>
        <v>11.999999999999998</v>
      </c>
      <c r="KH23" s="53">
        <f>RD[[#This Row],[GHI ]]</f>
        <v>0</v>
      </c>
      <c r="KI23" s="53">
        <f>RD[[#This Row],[POA]]</f>
        <v>6.11</v>
      </c>
      <c r="KJ23" s="53">
        <f>RD[[#This Row],[AT (°C) 14 Hours]]</f>
        <v>35.700000000000003</v>
      </c>
      <c r="KK23" s="53">
        <f>RD[[#This Row],[MT (°C) Gen. Hours]]</f>
        <v>46</v>
      </c>
      <c r="KL23" s="53">
        <f>RD[[#This Row],[WS_Avg (m/s) (24 Hours)]]</f>
        <v>0.6</v>
      </c>
      <c r="KM23" s="131">
        <f>RD[[#This Row],[WS_Max (m/s)]]</f>
        <v>6.78</v>
      </c>
      <c r="KN23" s="54">
        <f>SUM(RD[[#This Row],[BLK1_INV1]:[BLK8_INV28]])</f>
        <v>314197</v>
      </c>
      <c r="KO23" s="95"/>
      <c r="KP23" s="55"/>
      <c r="KQ23" s="90" t="str">
        <f>IFERROR(RD[[#This Row],[WPR_Eac]]/RD[[#This Row],[WPR_Edc]],"")</f>
        <v/>
      </c>
    </row>
    <row r="24" spans="2:303" ht="15" customHeight="1" x14ac:dyDescent="0.25">
      <c r="B24" s="52">
        <v>45765</v>
      </c>
      <c r="C24" s="9">
        <f>YEAR(RD[[#This Row],[Date]])+IF(MONTH(RD[[#This Row],[Date]])&gt;=4,1,0)</f>
        <v>2026</v>
      </c>
      <c r="D24" s="6">
        <f t="shared" si="58"/>
        <v>2025</v>
      </c>
      <c r="E24" s="7"/>
      <c r="F24" s="7"/>
      <c r="G24" s="8" t="str">
        <f>TEXT(RD[[#This Row],[Date]],"mmm-yy")</f>
        <v>Apr-25</v>
      </c>
      <c r="H24" s="6">
        <f t="shared" si="59"/>
        <v>30</v>
      </c>
      <c r="I24" s="9">
        <f>'Basic Data '!$S$2</f>
        <v>66750</v>
      </c>
      <c r="J24" s="10">
        <v>0.29166666666666669</v>
      </c>
      <c r="K24" s="10">
        <v>0.79166666666666663</v>
      </c>
      <c r="L24" s="9">
        <v>1328</v>
      </c>
      <c r="M24" s="9">
        <v>1353</v>
      </c>
      <c r="N24" s="9">
        <v>1259</v>
      </c>
      <c r="O24" s="9">
        <v>1355</v>
      </c>
      <c r="P24" s="9">
        <v>1356</v>
      </c>
      <c r="Q24" s="9">
        <v>1247</v>
      </c>
      <c r="R24" s="9">
        <v>1235</v>
      </c>
      <c r="S24" s="9">
        <v>1251</v>
      </c>
      <c r="T24" s="9">
        <v>1266</v>
      </c>
      <c r="U24" s="9">
        <v>1254</v>
      </c>
      <c r="V24" s="9">
        <v>1260</v>
      </c>
      <c r="W24" s="9">
        <v>1276</v>
      </c>
      <c r="X24" s="9">
        <v>1256</v>
      </c>
      <c r="Y24" s="9">
        <v>1105</v>
      </c>
      <c r="Z24" s="9">
        <v>1190</v>
      </c>
      <c r="AA24" s="9">
        <v>1224</v>
      </c>
      <c r="AB24" s="9">
        <v>1175</v>
      </c>
      <c r="AC24" s="9">
        <v>1184</v>
      </c>
      <c r="AD24" s="9">
        <v>1319</v>
      </c>
      <c r="AE24" s="9">
        <v>1330</v>
      </c>
      <c r="AF24" s="9">
        <v>1349</v>
      </c>
      <c r="AG24" s="9">
        <v>1204</v>
      </c>
      <c r="AH24" s="9">
        <v>1370</v>
      </c>
      <c r="AI24" s="9">
        <v>1379</v>
      </c>
      <c r="AJ24" s="9">
        <v>1325</v>
      </c>
      <c r="AK24" s="9">
        <v>1333</v>
      </c>
      <c r="AL24" s="9">
        <v>1325</v>
      </c>
      <c r="AM24" s="9">
        <v>1359</v>
      </c>
      <c r="AN24" s="9">
        <v>1317</v>
      </c>
      <c r="AO24" s="9">
        <v>1347</v>
      </c>
      <c r="AP24" s="9">
        <v>1326</v>
      </c>
      <c r="AQ24" s="9">
        <v>1225</v>
      </c>
      <c r="AR24" s="9">
        <v>1176</v>
      </c>
      <c r="AS24" s="9">
        <v>1505</v>
      </c>
      <c r="AT24" s="9">
        <v>1154</v>
      </c>
      <c r="AU24" s="9">
        <v>1324</v>
      </c>
      <c r="AV24" s="9">
        <v>1240</v>
      </c>
      <c r="AW24" s="9">
        <v>1202</v>
      </c>
      <c r="AX24" s="9">
        <v>1236</v>
      </c>
      <c r="AY24" s="9">
        <v>1262</v>
      </c>
      <c r="AZ24" s="9">
        <v>1202</v>
      </c>
      <c r="BA24" s="9">
        <v>1201</v>
      </c>
      <c r="BB24" s="9">
        <v>1223</v>
      </c>
      <c r="BC24" s="9">
        <v>1243</v>
      </c>
      <c r="BD24" s="9">
        <v>1220</v>
      </c>
      <c r="BE24" s="9">
        <v>1261</v>
      </c>
      <c r="BF24" s="9">
        <v>1340</v>
      </c>
      <c r="BG24" s="9">
        <v>1242</v>
      </c>
      <c r="BH24" s="9">
        <v>1241</v>
      </c>
      <c r="BI24" s="9">
        <v>1271</v>
      </c>
      <c r="BJ24" s="9">
        <v>1195</v>
      </c>
      <c r="BK24" s="9">
        <v>1257</v>
      </c>
      <c r="BL24" s="9">
        <v>1430</v>
      </c>
      <c r="BM24" s="9">
        <v>1417</v>
      </c>
      <c r="BN24" s="9">
        <v>1335</v>
      </c>
      <c r="BO24" s="9">
        <v>1384</v>
      </c>
      <c r="BP24" s="9">
        <v>1390</v>
      </c>
      <c r="BQ24" s="9">
        <v>1273</v>
      </c>
      <c r="BR24" s="9">
        <v>1405</v>
      </c>
      <c r="BS24" s="9">
        <v>1363</v>
      </c>
      <c r="BT24" s="9">
        <v>1247</v>
      </c>
      <c r="BU24" s="9">
        <v>1402</v>
      </c>
      <c r="BV24" s="9">
        <v>1363</v>
      </c>
      <c r="BW24" s="9">
        <v>1463</v>
      </c>
      <c r="BX24" s="9">
        <v>1364</v>
      </c>
      <c r="BY24" s="9">
        <v>1357</v>
      </c>
      <c r="BZ24" s="9">
        <v>1378</v>
      </c>
      <c r="CA24" s="9">
        <v>1195</v>
      </c>
      <c r="CB24" s="9">
        <v>1237</v>
      </c>
      <c r="CC24" s="9">
        <v>1244</v>
      </c>
      <c r="CD24" s="9">
        <v>1255</v>
      </c>
      <c r="CE24" s="9">
        <v>1204</v>
      </c>
      <c r="CF24" s="9">
        <v>1124</v>
      </c>
      <c r="CG24" s="9">
        <v>1259</v>
      </c>
      <c r="CH24" s="9">
        <v>1294</v>
      </c>
      <c r="CI24" s="9">
        <v>1436</v>
      </c>
      <c r="CJ24" s="9">
        <v>1445</v>
      </c>
      <c r="CK24" s="9">
        <v>1242</v>
      </c>
      <c r="CL24" s="9">
        <v>1230</v>
      </c>
      <c r="CM24" s="9">
        <v>1347</v>
      </c>
      <c r="CN24" s="9">
        <v>1261</v>
      </c>
      <c r="CO24" s="9">
        <v>1271</v>
      </c>
      <c r="CP24" s="9">
        <v>1270</v>
      </c>
      <c r="CQ24" s="9">
        <v>1263</v>
      </c>
      <c r="CR24" s="9">
        <v>1212</v>
      </c>
      <c r="CS24" s="9">
        <v>1179</v>
      </c>
      <c r="CT24" s="9">
        <v>1264</v>
      </c>
      <c r="CU24" s="9">
        <v>1251</v>
      </c>
      <c r="CV24" s="9">
        <v>1229</v>
      </c>
      <c r="CW24" s="9">
        <v>1222</v>
      </c>
      <c r="CX24" s="9">
        <v>1295</v>
      </c>
      <c r="CY24" s="9">
        <v>1210</v>
      </c>
      <c r="CZ24" s="9">
        <v>1284</v>
      </c>
      <c r="DA24" s="9">
        <v>1223</v>
      </c>
      <c r="DB24" s="9">
        <v>1226</v>
      </c>
      <c r="DC24" s="9">
        <v>1224</v>
      </c>
      <c r="DD24" s="9">
        <v>1235</v>
      </c>
      <c r="DE24" s="9">
        <v>1235</v>
      </c>
      <c r="DF24" s="9">
        <v>1254</v>
      </c>
      <c r="DG24" s="9">
        <v>1148</v>
      </c>
      <c r="DH24" s="9">
        <v>1297</v>
      </c>
      <c r="DI24" s="9">
        <v>1260</v>
      </c>
      <c r="DJ24" s="9">
        <v>1284</v>
      </c>
      <c r="DK24" s="9">
        <v>1266</v>
      </c>
      <c r="DL24" s="9">
        <v>1430</v>
      </c>
      <c r="DM24" s="9">
        <v>1062</v>
      </c>
      <c r="DN24" s="9">
        <v>1477</v>
      </c>
      <c r="DO24" s="9">
        <v>1393</v>
      </c>
      <c r="DP24" s="9">
        <v>1271</v>
      </c>
      <c r="DQ24" s="9">
        <v>1402</v>
      </c>
      <c r="DR24" s="9">
        <v>1284</v>
      </c>
      <c r="DS24" s="9">
        <v>1331</v>
      </c>
      <c r="DT24" s="9">
        <v>1365</v>
      </c>
      <c r="DU24" s="9">
        <v>1403</v>
      </c>
      <c r="DV24" s="9">
        <v>1203</v>
      </c>
      <c r="DW24" s="9">
        <v>1248</v>
      </c>
      <c r="DX24" s="9">
        <v>1380</v>
      </c>
      <c r="DY24" s="9">
        <v>1280</v>
      </c>
      <c r="DZ24" s="9">
        <v>1337</v>
      </c>
      <c r="EA24" s="9">
        <v>1237</v>
      </c>
      <c r="EB24" s="9">
        <v>1274</v>
      </c>
      <c r="EC24" s="9">
        <v>1368</v>
      </c>
      <c r="ED24" s="9">
        <v>1297</v>
      </c>
      <c r="EE24" s="9">
        <v>1261</v>
      </c>
      <c r="EF24" s="9">
        <v>1279</v>
      </c>
      <c r="EG24" s="9">
        <v>1468</v>
      </c>
      <c r="EH24" s="9">
        <v>1167</v>
      </c>
      <c r="EI24" s="9">
        <v>1198</v>
      </c>
      <c r="EJ24" s="9">
        <v>1397</v>
      </c>
      <c r="EK24" s="9">
        <v>1399</v>
      </c>
      <c r="EL24" s="9">
        <v>1329</v>
      </c>
      <c r="EM24" s="9">
        <v>1343</v>
      </c>
      <c r="EN24" s="9">
        <v>1297</v>
      </c>
      <c r="EO24" s="9">
        <v>1113</v>
      </c>
      <c r="EP24" s="9">
        <v>1421</v>
      </c>
      <c r="EQ24" s="9">
        <v>1357</v>
      </c>
      <c r="ER24" s="9">
        <v>1373</v>
      </c>
      <c r="ES24" s="9">
        <v>1327</v>
      </c>
      <c r="ET24" s="9">
        <v>1284</v>
      </c>
      <c r="EU24" s="9">
        <v>1281</v>
      </c>
      <c r="EV24" s="9">
        <v>1240</v>
      </c>
      <c r="EW24" s="9">
        <v>1284</v>
      </c>
      <c r="EX24" s="9">
        <v>1266</v>
      </c>
      <c r="EY24" s="9">
        <v>1405</v>
      </c>
      <c r="EZ24" s="9">
        <v>1206</v>
      </c>
      <c r="FA24" s="9">
        <v>1368</v>
      </c>
      <c r="FB24" s="9">
        <v>1256</v>
      </c>
      <c r="FC24" s="9">
        <v>1156</v>
      </c>
      <c r="FD24" s="9">
        <v>1343</v>
      </c>
      <c r="FE24" s="9">
        <v>1374</v>
      </c>
      <c r="FF24" s="9">
        <v>1375</v>
      </c>
      <c r="FG24" s="9">
        <v>1258</v>
      </c>
      <c r="FH24" s="9">
        <v>1400</v>
      </c>
      <c r="FI24" s="9">
        <v>1260</v>
      </c>
      <c r="FJ24" s="9">
        <v>1239</v>
      </c>
      <c r="FK24" s="9">
        <v>1224</v>
      </c>
      <c r="FL24" s="9">
        <v>1068</v>
      </c>
      <c r="FM24" s="9">
        <v>1204</v>
      </c>
      <c r="FN24" s="9">
        <v>1198</v>
      </c>
      <c r="FO24" s="9">
        <v>1199</v>
      </c>
      <c r="FP24" s="9">
        <v>1369</v>
      </c>
      <c r="FQ24" s="9">
        <v>1187</v>
      </c>
      <c r="FR24" s="9">
        <v>1292</v>
      </c>
      <c r="FS24" s="9">
        <v>1323</v>
      </c>
      <c r="FT24" s="9">
        <v>1263</v>
      </c>
      <c r="FU24" s="9">
        <v>1210</v>
      </c>
      <c r="FV24" s="9">
        <v>1155</v>
      </c>
      <c r="FW24" s="9">
        <v>1326</v>
      </c>
      <c r="FX24" s="9">
        <v>1207</v>
      </c>
      <c r="FY24" s="9">
        <v>1107</v>
      </c>
      <c r="FZ24" s="9">
        <v>1190</v>
      </c>
      <c r="GA24" s="9">
        <v>1179</v>
      </c>
      <c r="GB24" s="9">
        <v>1170</v>
      </c>
      <c r="GC24" s="9">
        <v>1234</v>
      </c>
      <c r="GD24" s="9">
        <v>1371</v>
      </c>
      <c r="GE24" s="9">
        <v>1199</v>
      </c>
      <c r="GF24" s="9">
        <v>1216</v>
      </c>
      <c r="GG24" s="9">
        <v>1090</v>
      </c>
      <c r="GH24" s="9">
        <v>1385</v>
      </c>
      <c r="GI24" s="9">
        <v>1228</v>
      </c>
      <c r="GJ24" s="9">
        <v>1247</v>
      </c>
      <c r="GK24" s="9">
        <v>1276</v>
      </c>
      <c r="GL24" s="9">
        <v>1315</v>
      </c>
      <c r="GM24" s="9">
        <v>1312</v>
      </c>
      <c r="GN24" s="9">
        <v>1258</v>
      </c>
      <c r="GO24" s="9">
        <v>1360</v>
      </c>
      <c r="GP24" s="9">
        <v>1267</v>
      </c>
      <c r="GQ24" s="9">
        <v>1269</v>
      </c>
      <c r="GR24" s="9">
        <v>1235</v>
      </c>
      <c r="GS24" s="9">
        <v>1102</v>
      </c>
      <c r="GT24" s="9">
        <v>1180</v>
      </c>
      <c r="GU24" s="9">
        <v>1146</v>
      </c>
      <c r="GV24" s="9">
        <v>1021</v>
      </c>
      <c r="GW24" s="9">
        <v>1168</v>
      </c>
      <c r="GX24" s="9">
        <v>1218</v>
      </c>
      <c r="GY24" s="9">
        <v>1107</v>
      </c>
      <c r="GZ24" s="9">
        <v>1033</v>
      </c>
      <c r="HA24" s="9">
        <v>1241</v>
      </c>
      <c r="HB24" s="9"/>
      <c r="HC24" s="9"/>
      <c r="HD24" s="9">
        <v>1233</v>
      </c>
      <c r="HE24" s="9">
        <v>875</v>
      </c>
      <c r="HF24" s="9">
        <v>1184</v>
      </c>
      <c r="HG24" s="9"/>
      <c r="HH24" s="9">
        <v>1297</v>
      </c>
      <c r="HI24" s="9">
        <v>1118</v>
      </c>
      <c r="HJ24" s="9">
        <v>1186</v>
      </c>
      <c r="HK24" s="9">
        <v>1176</v>
      </c>
      <c r="HL24" s="9">
        <v>1170</v>
      </c>
      <c r="HM24" s="9">
        <v>1212</v>
      </c>
      <c r="HN24" s="9">
        <v>1227</v>
      </c>
      <c r="HO24" s="9">
        <v>1234</v>
      </c>
      <c r="HP24" s="9">
        <v>1229</v>
      </c>
      <c r="HQ24" s="9">
        <v>1244</v>
      </c>
      <c r="HR24" s="9">
        <v>1253</v>
      </c>
      <c r="HS24" s="9">
        <v>1258</v>
      </c>
      <c r="HT24" s="9">
        <v>1217</v>
      </c>
      <c r="HU24" s="9">
        <v>1424</v>
      </c>
      <c r="HV24" s="9">
        <v>1103</v>
      </c>
      <c r="HW24" s="9">
        <v>1014</v>
      </c>
      <c r="HX24" s="9">
        <v>963</v>
      </c>
      <c r="HY24" s="9">
        <v>896</v>
      </c>
      <c r="HZ24" s="9">
        <v>998</v>
      </c>
      <c r="IA24" s="9">
        <v>1056</v>
      </c>
      <c r="IB24" s="9">
        <v>1240</v>
      </c>
      <c r="IC24" s="9">
        <v>1417</v>
      </c>
      <c r="ID24" s="9">
        <v>1249</v>
      </c>
      <c r="IE24" s="9">
        <v>1302</v>
      </c>
      <c r="IF24" s="9">
        <v>1263</v>
      </c>
      <c r="IG24" s="9">
        <v>1298</v>
      </c>
      <c r="IH24" s="9">
        <v>1319</v>
      </c>
      <c r="II24" s="9">
        <v>1270</v>
      </c>
      <c r="IJ24" s="9">
        <v>1012</v>
      </c>
      <c r="IK24" s="9">
        <v>1176</v>
      </c>
      <c r="IL24" s="9">
        <v>1032</v>
      </c>
      <c r="IM24" s="9">
        <v>1178</v>
      </c>
      <c r="IN24" s="9">
        <v>948</v>
      </c>
      <c r="IO24" s="9"/>
      <c r="IP24" s="9">
        <v>1175</v>
      </c>
      <c r="IQ24" s="9">
        <v>1263</v>
      </c>
      <c r="IR24" s="9">
        <v>551</v>
      </c>
      <c r="IS24" s="9">
        <v>1173</v>
      </c>
      <c r="IT24" s="9">
        <v>1127</v>
      </c>
      <c r="IU24" s="9"/>
      <c r="IV24" s="9"/>
      <c r="IW24" s="9">
        <v>1098</v>
      </c>
      <c r="IX24" s="9">
        <v>1235</v>
      </c>
      <c r="IY24" s="9">
        <v>1264</v>
      </c>
      <c r="IZ24" s="9">
        <v>1200</v>
      </c>
      <c r="JA24" s="9">
        <v>1063</v>
      </c>
      <c r="JB24" s="11">
        <v>35.61</v>
      </c>
      <c r="JC24" s="11">
        <v>47.4</v>
      </c>
      <c r="JD24" s="11">
        <v>1.3</v>
      </c>
      <c r="JE24" s="11">
        <v>5.0999999999999996</v>
      </c>
      <c r="JF24" s="11"/>
      <c r="JG24" s="11">
        <v>0</v>
      </c>
      <c r="JH24" s="13">
        <v>5.95</v>
      </c>
      <c r="JI24" s="225"/>
      <c r="JJ24" s="12"/>
      <c r="JK24" s="9">
        <v>82415821.320999995</v>
      </c>
      <c r="JL24" s="9">
        <v>281510.71299999999</v>
      </c>
      <c r="JM24" s="9">
        <v>55532508.045000002</v>
      </c>
      <c r="JN24" s="9">
        <v>61284.336000000003</v>
      </c>
      <c r="JO24" s="9">
        <v>83203137.502000004</v>
      </c>
      <c r="JP24" s="9">
        <v>185982.20600000001</v>
      </c>
      <c r="JQ24" s="9">
        <v>60226428.182999998</v>
      </c>
      <c r="JR24" s="9">
        <v>55288.398999999998</v>
      </c>
      <c r="JS24" s="11">
        <v>312495765.90100002</v>
      </c>
      <c r="JT24" s="11">
        <v>82799.368000000002</v>
      </c>
      <c r="JU24" s="14">
        <f t="shared" ref="JU24:JU33" si="81">IF((JK24-JK23)&lt;0,"",(JK24-JK23))</f>
        <v>80621.320999994874</v>
      </c>
      <c r="JV24" s="14">
        <f t="shared" ref="JV24:JV29" si="82">IF((JL24-JL23)&lt;0,"",(JL24-JL23))</f>
        <v>13.712999999988824</v>
      </c>
      <c r="JW24" s="14">
        <f t="shared" ref="JW24:JW33" si="83">IF((JM24-JM23)&lt;0,"",(JM24-JM23))</f>
        <v>78364.045000001788</v>
      </c>
      <c r="JX24" s="14">
        <f t="shared" ref="JX24:JX33" si="84">IF((JN24-JN23)&lt;0,"",(JN24-JN23))</f>
        <v>9.3360000000029686</v>
      </c>
      <c r="JY24" s="14">
        <f t="shared" ref="JY24:JY33" si="85">IF((JO24-JO23)&lt;0,"",(JO24-JO23))</f>
        <v>80748.502000004053</v>
      </c>
      <c r="JZ24" s="14">
        <f t="shared" ref="JZ24:JZ33" si="86">IF((JP24-JP23)&lt;0,"",(JP24-JP23))</f>
        <v>38.206000000005588</v>
      </c>
      <c r="KA24" s="14">
        <f t="shared" ref="KA24:KA33" si="87">IF((JQ24-JQ23)&lt;0,"",(JQ24-JQ23))</f>
        <v>60967.182999998331</v>
      </c>
      <c r="KB24" s="14">
        <f t="shared" ref="KB24:KB33" si="88">IF((JR24-JR23)&lt;0,"",(JR24-JR23))</f>
        <v>12.398999999997613</v>
      </c>
      <c r="KC24" s="14">
        <f>IF((JS24-JS23)&lt;0,"",(JS24-JS23))</f>
        <v>300377.40100002289</v>
      </c>
      <c r="KD24" s="14">
        <f t="shared" ref="KD24:KD33" si="89">IF((JT24-JT23)&lt;0,"",(JT24-JT23))</f>
        <v>57.567999999999302</v>
      </c>
      <c r="KE24" s="15">
        <f t="shared" si="69"/>
        <v>158962.31699999666</v>
      </c>
      <c r="KF24" s="15">
        <f t="shared" si="70"/>
        <v>300319.83300002292</v>
      </c>
      <c r="KG24" s="16">
        <v>12</v>
      </c>
      <c r="KH24" s="53">
        <f>RD[[#This Row],[GHI ]]</f>
        <v>0</v>
      </c>
      <c r="KI24" s="53">
        <f>RD[[#This Row],[POA]]</f>
        <v>5.95</v>
      </c>
      <c r="KJ24" s="53">
        <f>RD[[#This Row],[AT (°C) 14 Hours]]</f>
        <v>35.61</v>
      </c>
      <c r="KK24" s="53">
        <f>RD[[#This Row],[MT (°C) Gen. Hours]]</f>
        <v>47.4</v>
      </c>
      <c r="KL24" s="53">
        <f>RD[[#This Row],[WS_Avg (m/s) (24 Hours)]]</f>
        <v>1.3</v>
      </c>
      <c r="KM24" s="53">
        <f>RD[[#This Row],[WS_Max (m/s)]]</f>
        <v>5.0999999999999996</v>
      </c>
      <c r="KN24" s="54">
        <f>SUM(RD[[#This Row],[BLK1_INV1]:[BLK8_INV28]])</f>
        <v>305558</v>
      </c>
      <c r="KO24" s="95"/>
      <c r="KP24" s="55"/>
      <c r="KQ24" s="90" t="str">
        <f>IFERROR(RD[[#This Row],[WPR_Eac]]/RD[[#This Row],[WPR_Edc]],"")</f>
        <v/>
      </c>
    </row>
    <row r="25" spans="2:303" ht="15" customHeight="1" x14ac:dyDescent="0.25">
      <c r="B25" s="52">
        <v>45766</v>
      </c>
      <c r="C25" s="9">
        <f>YEAR(RD[[#This Row],[Date]])+IF(MONTH(RD[[#This Row],[Date]])&gt;=4,1,0)</f>
        <v>2026</v>
      </c>
      <c r="D25" s="6">
        <f t="shared" si="58"/>
        <v>2025</v>
      </c>
      <c r="E25" s="7"/>
      <c r="F25" s="7"/>
      <c r="G25" s="8" t="str">
        <f>TEXT(RD[[#This Row],[Date]],"mmm-yy")</f>
        <v>Apr-25</v>
      </c>
      <c r="H25" s="6">
        <f t="shared" si="59"/>
        <v>30</v>
      </c>
      <c r="I25" s="9">
        <f>'Basic Data '!$S$2</f>
        <v>66750</v>
      </c>
      <c r="J25" s="10">
        <v>0.29166666666666669</v>
      </c>
      <c r="K25" s="10">
        <v>0.79166666666666663</v>
      </c>
      <c r="L25" s="9">
        <v>1318</v>
      </c>
      <c r="M25" s="9">
        <v>1344</v>
      </c>
      <c r="N25" s="9">
        <v>1246</v>
      </c>
      <c r="O25" s="9">
        <v>1236</v>
      </c>
      <c r="P25" s="9">
        <v>1328</v>
      </c>
      <c r="Q25" s="9">
        <v>1232</v>
      </c>
      <c r="R25" s="9">
        <v>1209</v>
      </c>
      <c r="S25" s="9">
        <v>1219</v>
      </c>
      <c r="T25" s="9">
        <v>1244</v>
      </c>
      <c r="U25" s="9">
        <v>1234</v>
      </c>
      <c r="V25" s="9">
        <v>1237</v>
      </c>
      <c r="W25" s="9">
        <v>1246</v>
      </c>
      <c r="X25" s="9">
        <v>1226</v>
      </c>
      <c r="Y25" s="9">
        <v>1079</v>
      </c>
      <c r="Z25" s="9">
        <v>1188</v>
      </c>
      <c r="AA25" s="9">
        <v>1224</v>
      </c>
      <c r="AB25" s="9">
        <v>1175</v>
      </c>
      <c r="AC25" s="9">
        <v>1190</v>
      </c>
      <c r="AD25" s="9">
        <v>1128</v>
      </c>
      <c r="AE25" s="9">
        <v>1322</v>
      </c>
      <c r="AF25" s="9">
        <v>1250</v>
      </c>
      <c r="AG25" s="9">
        <v>1197</v>
      </c>
      <c r="AH25" s="9">
        <v>1375</v>
      </c>
      <c r="AI25" s="9">
        <v>1280</v>
      </c>
      <c r="AJ25" s="9">
        <v>1303</v>
      </c>
      <c r="AK25" s="9">
        <v>1307</v>
      </c>
      <c r="AL25" s="9">
        <v>1298</v>
      </c>
      <c r="AM25" s="9">
        <v>1331</v>
      </c>
      <c r="AN25" s="9">
        <v>1283</v>
      </c>
      <c r="AO25" s="9">
        <v>1315</v>
      </c>
      <c r="AP25" s="9">
        <v>1363</v>
      </c>
      <c r="AQ25" s="9">
        <v>1193</v>
      </c>
      <c r="AR25" s="9">
        <v>1162</v>
      </c>
      <c r="AS25" s="9">
        <v>1476</v>
      </c>
      <c r="AT25" s="9">
        <v>1131</v>
      </c>
      <c r="AU25" s="9">
        <v>1313</v>
      </c>
      <c r="AV25" s="9">
        <v>1212</v>
      </c>
      <c r="AW25" s="9">
        <v>1173</v>
      </c>
      <c r="AX25" s="9">
        <v>1205</v>
      </c>
      <c r="AY25" s="9">
        <v>1230</v>
      </c>
      <c r="AZ25" s="9">
        <v>1170</v>
      </c>
      <c r="BA25" s="9">
        <v>1168</v>
      </c>
      <c r="BB25" s="9">
        <v>1190</v>
      </c>
      <c r="BC25" s="9">
        <v>1210</v>
      </c>
      <c r="BD25" s="9">
        <v>1185</v>
      </c>
      <c r="BE25" s="9">
        <v>1259</v>
      </c>
      <c r="BF25" s="9">
        <v>1325</v>
      </c>
      <c r="BG25" s="9">
        <v>1212</v>
      </c>
      <c r="BH25" s="9">
        <v>1189</v>
      </c>
      <c r="BI25" s="9">
        <v>1217</v>
      </c>
      <c r="BJ25" s="9">
        <v>1160</v>
      </c>
      <c r="BK25" s="9">
        <v>1220</v>
      </c>
      <c r="BL25" s="9">
        <v>1392</v>
      </c>
      <c r="BM25" s="9">
        <v>1379</v>
      </c>
      <c r="BN25" s="9">
        <v>1316</v>
      </c>
      <c r="BO25" s="9">
        <v>1314</v>
      </c>
      <c r="BP25" s="9">
        <v>1363</v>
      </c>
      <c r="BQ25" s="9">
        <v>1221</v>
      </c>
      <c r="BR25" s="9">
        <v>1367</v>
      </c>
      <c r="BS25" s="9">
        <v>1328</v>
      </c>
      <c r="BT25" s="9">
        <v>1188</v>
      </c>
      <c r="BU25" s="9">
        <v>1349</v>
      </c>
      <c r="BV25" s="9">
        <v>1400</v>
      </c>
      <c r="BW25" s="9">
        <v>1461</v>
      </c>
      <c r="BX25" s="9">
        <v>13143</v>
      </c>
      <c r="BY25" s="9">
        <v>1337</v>
      </c>
      <c r="BZ25" s="9">
        <v>1356</v>
      </c>
      <c r="CA25" s="9">
        <v>1163</v>
      </c>
      <c r="CB25" s="9">
        <v>1227</v>
      </c>
      <c r="CC25" s="9">
        <v>1234</v>
      </c>
      <c r="CD25" s="9">
        <v>1245</v>
      </c>
      <c r="CE25" s="9">
        <v>1202</v>
      </c>
      <c r="CF25" s="9">
        <v>1082</v>
      </c>
      <c r="CG25" s="9">
        <v>1218</v>
      </c>
      <c r="CH25" s="9">
        <v>1256</v>
      </c>
      <c r="CI25" s="9">
        <v>1398</v>
      </c>
      <c r="CJ25" s="9">
        <v>1407</v>
      </c>
      <c r="CK25" s="9">
        <v>1208</v>
      </c>
      <c r="CL25" s="9">
        <v>1192</v>
      </c>
      <c r="CM25" s="9">
        <v>1331</v>
      </c>
      <c r="CN25" s="9">
        <v>1228</v>
      </c>
      <c r="CO25" s="9">
        <v>1237</v>
      </c>
      <c r="CP25" s="9">
        <v>1209</v>
      </c>
      <c r="CQ25" s="9">
        <v>1211</v>
      </c>
      <c r="CR25" s="9">
        <v>1178</v>
      </c>
      <c r="CS25" s="9">
        <v>1182</v>
      </c>
      <c r="CT25" s="9">
        <v>1264</v>
      </c>
      <c r="CU25" s="9">
        <v>1252</v>
      </c>
      <c r="CV25" s="9">
        <v>1225</v>
      </c>
      <c r="CW25" s="9">
        <v>1220</v>
      </c>
      <c r="CX25" s="9">
        <v>1271</v>
      </c>
      <c r="CY25" s="9">
        <v>1256</v>
      </c>
      <c r="CZ25" s="9">
        <v>1277</v>
      </c>
      <c r="DA25" s="9">
        <v>1247</v>
      </c>
      <c r="DB25" s="9">
        <v>1268</v>
      </c>
      <c r="DC25" s="9">
        <v>1201</v>
      </c>
      <c r="DD25" s="9">
        <v>1200</v>
      </c>
      <c r="DE25" s="9">
        <v>1225</v>
      </c>
      <c r="DF25" s="9">
        <v>1222</v>
      </c>
      <c r="DG25" s="9">
        <v>1135</v>
      </c>
      <c r="DH25" s="9">
        <v>1271</v>
      </c>
      <c r="DI25" s="9">
        <v>1228</v>
      </c>
      <c r="DJ25" s="9">
        <v>1252</v>
      </c>
      <c r="DK25" s="9">
        <v>1231</v>
      </c>
      <c r="DL25" s="9">
        <v>1398</v>
      </c>
      <c r="DM25" s="9">
        <v>1054</v>
      </c>
      <c r="DN25" s="9">
        <v>1446</v>
      </c>
      <c r="DO25" s="9">
        <v>1373</v>
      </c>
      <c r="DP25" s="9">
        <v>1254</v>
      </c>
      <c r="DQ25" s="9">
        <v>1371</v>
      </c>
      <c r="DR25" s="9">
        <v>1278</v>
      </c>
      <c r="DS25" s="9">
        <v>1330</v>
      </c>
      <c r="DT25" s="9">
        <v>1382</v>
      </c>
      <c r="DU25" s="9">
        <v>1379</v>
      </c>
      <c r="DV25" s="9">
        <v>1201</v>
      </c>
      <c r="DW25" s="9">
        <v>1252</v>
      </c>
      <c r="DX25" s="9">
        <v>1367</v>
      </c>
      <c r="DY25" s="9">
        <v>1312</v>
      </c>
      <c r="DZ25" s="9">
        <v>1319</v>
      </c>
      <c r="EA25" s="9">
        <v>1225</v>
      </c>
      <c r="EB25" s="9">
        <v>1246</v>
      </c>
      <c r="EC25" s="9">
        <v>1338</v>
      </c>
      <c r="ED25" s="9">
        <v>1280</v>
      </c>
      <c r="EE25" s="9">
        <v>1232</v>
      </c>
      <c r="EF25" s="9">
        <v>1293</v>
      </c>
      <c r="EG25" s="9">
        <v>1498</v>
      </c>
      <c r="EH25" s="9">
        <v>1167</v>
      </c>
      <c r="EI25" s="9">
        <v>1197</v>
      </c>
      <c r="EJ25" s="9">
        <v>1400</v>
      </c>
      <c r="EK25" s="9">
        <v>1388</v>
      </c>
      <c r="EL25" s="9">
        <v>1325</v>
      </c>
      <c r="EM25" s="9">
        <v>1331</v>
      </c>
      <c r="EN25" s="9">
        <v>1284</v>
      </c>
      <c r="EO25" s="9">
        <v>1103</v>
      </c>
      <c r="EP25" s="9">
        <v>1399</v>
      </c>
      <c r="EQ25" s="9">
        <v>1324</v>
      </c>
      <c r="ER25" s="9">
        <v>1338</v>
      </c>
      <c r="ES25" s="9">
        <v>1267</v>
      </c>
      <c r="ET25" s="9">
        <v>1283</v>
      </c>
      <c r="EU25" s="9">
        <v>1272</v>
      </c>
      <c r="EV25" s="9">
        <v>1230</v>
      </c>
      <c r="EW25" s="9">
        <v>1270</v>
      </c>
      <c r="EX25" s="9">
        <v>1255</v>
      </c>
      <c r="EY25" s="9">
        <v>1397</v>
      </c>
      <c r="EZ25" s="9">
        <v>1197</v>
      </c>
      <c r="FA25" s="9">
        <v>1353</v>
      </c>
      <c r="FB25" s="9">
        <v>1229</v>
      </c>
      <c r="FC25" s="9">
        <v>1133</v>
      </c>
      <c r="FD25" s="9">
        <v>1310</v>
      </c>
      <c r="FE25" s="9">
        <v>1344</v>
      </c>
      <c r="FF25" s="9">
        <v>1341</v>
      </c>
      <c r="FG25" s="9">
        <v>1230</v>
      </c>
      <c r="FH25" s="9">
        <v>1368</v>
      </c>
      <c r="FI25" s="9">
        <v>1226</v>
      </c>
      <c r="FJ25" s="9">
        <v>1206</v>
      </c>
      <c r="FK25" s="9">
        <v>1193</v>
      </c>
      <c r="FL25" s="9">
        <v>1100</v>
      </c>
      <c r="FM25" s="9">
        <v>1169</v>
      </c>
      <c r="FN25" s="9">
        <v>1106</v>
      </c>
      <c r="FO25" s="9">
        <v>1172</v>
      </c>
      <c r="FP25" s="9">
        <v>1338</v>
      </c>
      <c r="FQ25" s="9">
        <v>1160</v>
      </c>
      <c r="FR25" s="9">
        <v>1257</v>
      </c>
      <c r="FS25" s="9">
        <v>1292</v>
      </c>
      <c r="FT25" s="9">
        <v>1166</v>
      </c>
      <c r="FU25" s="9">
        <v>1143</v>
      </c>
      <c r="FV25" s="9">
        <v>1126</v>
      </c>
      <c r="FW25" s="9">
        <v>1294</v>
      </c>
      <c r="FX25" s="9">
        <v>1179</v>
      </c>
      <c r="FY25" s="9">
        <v>1080</v>
      </c>
      <c r="FZ25" s="9">
        <v>1162</v>
      </c>
      <c r="GA25" s="9">
        <v>1161</v>
      </c>
      <c r="GB25" s="9">
        <v>1142</v>
      </c>
      <c r="GC25" s="9">
        <v>1203</v>
      </c>
      <c r="GD25" s="9">
        <v>1413</v>
      </c>
      <c r="GE25" s="9">
        <v>1227</v>
      </c>
      <c r="GF25" s="9">
        <v>1221</v>
      </c>
      <c r="GG25" s="9">
        <v>1101</v>
      </c>
      <c r="GH25" s="9">
        <v>1369</v>
      </c>
      <c r="GI25" s="9">
        <v>1242</v>
      </c>
      <c r="GJ25" s="9">
        <v>1204</v>
      </c>
      <c r="GK25" s="9">
        <v>1237</v>
      </c>
      <c r="GL25" s="9">
        <v>1282</v>
      </c>
      <c r="GM25" s="9">
        <v>1357</v>
      </c>
      <c r="GN25" s="9">
        <v>1287</v>
      </c>
      <c r="GO25" s="9">
        <v>1377</v>
      </c>
      <c r="GP25" s="9">
        <v>1283</v>
      </c>
      <c r="GQ25" s="9">
        <v>1301</v>
      </c>
      <c r="GR25" s="9">
        <v>1202</v>
      </c>
      <c r="GS25" s="9">
        <v>1076</v>
      </c>
      <c r="GT25" s="9">
        <v>1156</v>
      </c>
      <c r="GU25" s="9">
        <v>1126</v>
      </c>
      <c r="GV25" s="9">
        <v>1011</v>
      </c>
      <c r="GW25" s="9">
        <v>1142</v>
      </c>
      <c r="GX25" s="9">
        <v>1195</v>
      </c>
      <c r="GY25" s="9">
        <v>1083</v>
      </c>
      <c r="GZ25" s="9">
        <v>1014</v>
      </c>
      <c r="HA25" s="9">
        <v>1214</v>
      </c>
      <c r="HB25" s="9"/>
      <c r="HC25" s="9"/>
      <c r="HD25" s="9">
        <v>1098</v>
      </c>
      <c r="HE25" s="9">
        <v>858</v>
      </c>
      <c r="HF25" s="9">
        <v>1162</v>
      </c>
      <c r="HG25" s="9"/>
      <c r="HH25" s="9">
        <v>1297</v>
      </c>
      <c r="HI25" s="9">
        <v>1091</v>
      </c>
      <c r="HJ25" s="9">
        <v>1186</v>
      </c>
      <c r="HK25" s="9">
        <v>1184</v>
      </c>
      <c r="HL25" s="9">
        <v>1162</v>
      </c>
      <c r="HM25" s="9">
        <v>1230</v>
      </c>
      <c r="HN25" s="9">
        <v>1227</v>
      </c>
      <c r="HO25" s="9">
        <v>1246</v>
      </c>
      <c r="HP25" s="9">
        <v>1233</v>
      </c>
      <c r="HQ25" s="9">
        <v>1263</v>
      </c>
      <c r="HR25" s="9">
        <v>1221</v>
      </c>
      <c r="HS25" s="9">
        <v>1232</v>
      </c>
      <c r="HT25" s="9">
        <v>1207</v>
      </c>
      <c r="HU25" s="9">
        <v>1389</v>
      </c>
      <c r="HV25" s="9">
        <v>1080</v>
      </c>
      <c r="HW25" s="9">
        <v>1063</v>
      </c>
      <c r="HX25" s="9">
        <v>998</v>
      </c>
      <c r="HY25" s="9">
        <v>898</v>
      </c>
      <c r="HZ25" s="9">
        <v>889</v>
      </c>
      <c r="IA25" s="9">
        <v>1040</v>
      </c>
      <c r="IB25" s="9">
        <v>1238</v>
      </c>
      <c r="IC25" s="9">
        <v>1390</v>
      </c>
      <c r="ID25" s="9">
        <v>1228</v>
      </c>
      <c r="IE25" s="9">
        <v>1277</v>
      </c>
      <c r="IF25" s="9">
        <v>1268</v>
      </c>
      <c r="IG25" s="9">
        <v>1310</v>
      </c>
      <c r="IH25" s="9">
        <v>1309</v>
      </c>
      <c r="II25" s="9">
        <v>1251</v>
      </c>
      <c r="IJ25" s="9">
        <v>1001</v>
      </c>
      <c r="IK25" s="9">
        <v>1156</v>
      </c>
      <c r="IL25" s="9">
        <v>1014</v>
      </c>
      <c r="IM25" s="9">
        <v>1157</v>
      </c>
      <c r="IN25" s="9">
        <v>929</v>
      </c>
      <c r="IO25" s="9"/>
      <c r="IP25" s="9">
        <v>1175</v>
      </c>
      <c r="IQ25" s="9">
        <v>1241</v>
      </c>
      <c r="IR25" s="9">
        <v>604</v>
      </c>
      <c r="IS25" s="9">
        <v>1156</v>
      </c>
      <c r="IT25" s="9">
        <v>1108</v>
      </c>
      <c r="IU25" s="9"/>
      <c r="IV25" s="9"/>
      <c r="IW25" s="9">
        <v>1110</v>
      </c>
      <c r="IX25" s="9">
        <v>1278</v>
      </c>
      <c r="IY25" s="9">
        <v>1263</v>
      </c>
      <c r="IZ25" s="9">
        <v>1210</v>
      </c>
      <c r="JA25" s="9">
        <v>1063</v>
      </c>
      <c r="JB25" s="11">
        <v>35.4</v>
      </c>
      <c r="JC25" s="11">
        <v>46.4</v>
      </c>
      <c r="JD25" s="11">
        <v>1.2</v>
      </c>
      <c r="JE25" s="11">
        <v>5.3</v>
      </c>
      <c r="JF25" s="11"/>
      <c r="JG25" s="11">
        <v>0</v>
      </c>
      <c r="JH25" s="13">
        <v>5.87</v>
      </c>
      <c r="JI25" s="12"/>
      <c r="JJ25" s="12"/>
      <c r="JK25" s="9">
        <v>82494845</v>
      </c>
      <c r="JL25" s="9">
        <v>281530</v>
      </c>
      <c r="JM25" s="9">
        <v>55609764</v>
      </c>
      <c r="JN25" s="9">
        <v>61302</v>
      </c>
      <c r="JO25" s="9">
        <v>83282860</v>
      </c>
      <c r="JP25" s="9">
        <v>186033</v>
      </c>
      <c r="JQ25" s="9">
        <v>60286490</v>
      </c>
      <c r="JR25" s="9">
        <v>55303</v>
      </c>
      <c r="JS25" s="11">
        <v>312791511.10000002</v>
      </c>
      <c r="JT25" s="11">
        <v>82871.8</v>
      </c>
      <c r="JU25" s="14">
        <f t="shared" si="81"/>
        <v>79023.679000005126</v>
      </c>
      <c r="JV25" s="14">
        <f t="shared" si="82"/>
        <v>19.287000000011176</v>
      </c>
      <c r="JW25" s="14">
        <f t="shared" si="83"/>
        <v>77255.954999998212</v>
      </c>
      <c r="JX25" s="14">
        <f t="shared" si="84"/>
        <v>17.663999999997031</v>
      </c>
      <c r="JY25" s="14">
        <f t="shared" si="85"/>
        <v>79722.497999995947</v>
      </c>
      <c r="JZ25" s="14">
        <f t="shared" si="86"/>
        <v>50.793999999994412</v>
      </c>
      <c r="KA25" s="14">
        <f t="shared" si="87"/>
        <v>60061.817000001669</v>
      </c>
      <c r="KB25" s="14">
        <f t="shared" si="88"/>
        <v>14.601000000002387</v>
      </c>
      <c r="KC25" s="14">
        <f t="shared" ref="KC25:KC33" si="90">IF((JS25-JS24)&lt;0,"",(JS25-JS24))</f>
        <v>295745.19900000095</v>
      </c>
      <c r="KD25" s="14">
        <f t="shared" si="89"/>
        <v>72.432000000000698</v>
      </c>
      <c r="KE25" s="15">
        <f t="shared" si="69"/>
        <v>156242.68300000334</v>
      </c>
      <c r="KF25" s="15">
        <f t="shared" si="70"/>
        <v>295672.76700000092</v>
      </c>
      <c r="KG25" s="16">
        <v>12</v>
      </c>
      <c r="KH25" s="53">
        <f>RD[[#This Row],[GHI ]]</f>
        <v>0</v>
      </c>
      <c r="KI25" s="53">
        <f>RD[[#This Row],[POA]]</f>
        <v>5.87</v>
      </c>
      <c r="KJ25" s="53">
        <f>RD[[#This Row],[AT (°C) 14 Hours]]</f>
        <v>35.4</v>
      </c>
      <c r="KK25" s="53">
        <f>RD[[#This Row],[MT (°C) Gen. Hours]]</f>
        <v>46.4</v>
      </c>
      <c r="KL25" s="53">
        <f>RD[[#This Row],[WS_Avg (m/s) (24 Hours)]]</f>
        <v>1.2</v>
      </c>
      <c r="KM25" s="53">
        <f>RD[[#This Row],[WS_Max (m/s)]]</f>
        <v>5.3</v>
      </c>
      <c r="KN25" s="54">
        <f>SUM(RD[[#This Row],[BLK1_INV1]:[BLK8_INV28]])</f>
        <v>312642</v>
      </c>
      <c r="KO25" s="95"/>
      <c r="KP25" s="55"/>
      <c r="KQ25" s="90"/>
    </row>
    <row r="26" spans="2:303" ht="15" customHeight="1" x14ac:dyDescent="0.25">
      <c r="B26" s="52">
        <v>45767</v>
      </c>
      <c r="C26" s="9">
        <f>YEAR(RD[[#This Row],[Date]])+IF(MONTH(RD[[#This Row],[Date]])&gt;=4,1,0)</f>
        <v>2026</v>
      </c>
      <c r="D26" s="6">
        <f t="shared" si="58"/>
        <v>2025</v>
      </c>
      <c r="E26" s="7"/>
      <c r="F26" s="7"/>
      <c r="G26" s="8" t="str">
        <f>TEXT(RD[[#This Row],[Date]],"mmm-yy")</f>
        <v>Apr-25</v>
      </c>
      <c r="H26" s="6">
        <f t="shared" si="59"/>
        <v>30</v>
      </c>
      <c r="I26" s="9">
        <f>'Basic Data '!$S$2</f>
        <v>66750</v>
      </c>
      <c r="J26" s="10">
        <v>0.29166666666666669</v>
      </c>
      <c r="K26" s="10">
        <v>0.79166666666666663</v>
      </c>
      <c r="L26" s="9">
        <v>1466</v>
      </c>
      <c r="M26" s="9">
        <v>1477</v>
      </c>
      <c r="N26" s="9">
        <v>1357</v>
      </c>
      <c r="O26" s="9">
        <v>1354</v>
      </c>
      <c r="P26" s="9">
        <v>1446</v>
      </c>
      <c r="Q26" s="9">
        <v>1337</v>
      </c>
      <c r="R26" s="9">
        <v>1345</v>
      </c>
      <c r="S26" s="9">
        <v>1357</v>
      </c>
      <c r="T26" s="9">
        <v>1374</v>
      </c>
      <c r="U26" s="9">
        <v>1381</v>
      </c>
      <c r="V26" s="9">
        <v>1364</v>
      </c>
      <c r="W26" s="9">
        <v>1378</v>
      </c>
      <c r="X26" s="9">
        <v>1363</v>
      </c>
      <c r="Y26" s="9">
        <v>1213</v>
      </c>
      <c r="Z26" s="9">
        <v>1306</v>
      </c>
      <c r="AA26" s="9">
        <v>1342</v>
      </c>
      <c r="AB26" s="9">
        <v>1280</v>
      </c>
      <c r="AC26" s="9">
        <v>1309</v>
      </c>
      <c r="AD26" s="9">
        <v>1474</v>
      </c>
      <c r="AE26" s="9">
        <v>1466</v>
      </c>
      <c r="AF26" s="9">
        <v>1374</v>
      </c>
      <c r="AG26" s="9">
        <v>1303</v>
      </c>
      <c r="AH26" s="9">
        <v>1488</v>
      </c>
      <c r="AI26" s="9">
        <v>1404</v>
      </c>
      <c r="AJ26" s="9">
        <v>1468</v>
      </c>
      <c r="AK26" s="9">
        <v>1447</v>
      </c>
      <c r="AL26" s="9">
        <v>1441</v>
      </c>
      <c r="AM26" s="9">
        <v>1457</v>
      </c>
      <c r="AN26" s="9">
        <v>1390</v>
      </c>
      <c r="AO26" s="9">
        <v>1423</v>
      </c>
      <c r="AP26" s="9">
        <v>1402</v>
      </c>
      <c r="AQ26" s="9">
        <v>1294</v>
      </c>
      <c r="AR26" s="9">
        <v>1261</v>
      </c>
      <c r="AS26" s="9">
        <v>1602</v>
      </c>
      <c r="AT26" s="9">
        <v>1230</v>
      </c>
      <c r="AU26" s="9">
        <v>1426</v>
      </c>
      <c r="AV26" s="9">
        <v>1317</v>
      </c>
      <c r="AW26" s="9">
        <v>1277</v>
      </c>
      <c r="AX26" s="9">
        <v>1310</v>
      </c>
      <c r="AY26" s="9">
        <v>1336</v>
      </c>
      <c r="AZ26" s="9">
        <v>1271</v>
      </c>
      <c r="BA26" s="9">
        <v>1273</v>
      </c>
      <c r="BB26" s="9">
        <v>1294</v>
      </c>
      <c r="BC26" s="9">
        <v>1316</v>
      </c>
      <c r="BD26" s="9">
        <v>1286</v>
      </c>
      <c r="BE26" s="9">
        <v>1374</v>
      </c>
      <c r="BF26" s="9">
        <v>1440</v>
      </c>
      <c r="BG26" s="9">
        <v>1315</v>
      </c>
      <c r="BH26" s="9">
        <v>1319</v>
      </c>
      <c r="BI26" s="9">
        <v>1352</v>
      </c>
      <c r="BJ26" s="9">
        <v>1273</v>
      </c>
      <c r="BK26" s="9">
        <v>1339</v>
      </c>
      <c r="BL26" s="9">
        <v>1519</v>
      </c>
      <c r="BM26" s="9">
        <v>1506</v>
      </c>
      <c r="BN26" s="9">
        <v>1435</v>
      </c>
      <c r="BO26" s="9">
        <v>1467</v>
      </c>
      <c r="BP26" s="9">
        <v>1503</v>
      </c>
      <c r="BQ26" s="9">
        <v>1334</v>
      </c>
      <c r="BR26" s="9">
        <v>1488</v>
      </c>
      <c r="BS26" s="9">
        <v>1443</v>
      </c>
      <c r="BT26" s="9">
        <v>1288</v>
      </c>
      <c r="BU26" s="9">
        <v>1460</v>
      </c>
      <c r="BV26" s="9">
        <v>1463</v>
      </c>
      <c r="BW26" s="9">
        <v>1498</v>
      </c>
      <c r="BX26" s="9">
        <v>1459</v>
      </c>
      <c r="BY26" s="9">
        <v>1454</v>
      </c>
      <c r="BZ26" s="9">
        <v>1069</v>
      </c>
      <c r="CA26" s="9">
        <v>1194</v>
      </c>
      <c r="CB26" s="9">
        <v>1318</v>
      </c>
      <c r="CC26" s="9">
        <v>1334</v>
      </c>
      <c r="CD26" s="9">
        <v>1355</v>
      </c>
      <c r="CE26" s="9">
        <v>1250</v>
      </c>
      <c r="CF26" s="9">
        <v>1385</v>
      </c>
      <c r="CG26" s="9">
        <v>1356</v>
      </c>
      <c r="CH26" s="9">
        <v>1556</v>
      </c>
      <c r="CI26" s="9">
        <v>1537</v>
      </c>
      <c r="CJ26" s="9">
        <v>1553</v>
      </c>
      <c r="CK26" s="9">
        <v>1338</v>
      </c>
      <c r="CL26" s="9">
        <v>1329</v>
      </c>
      <c r="CM26" s="9">
        <v>1412</v>
      </c>
      <c r="CN26" s="9">
        <v>1354</v>
      </c>
      <c r="CO26" s="9">
        <v>1373</v>
      </c>
      <c r="CP26" s="9">
        <v>1365</v>
      </c>
      <c r="CQ26" s="9">
        <v>1370</v>
      </c>
      <c r="CR26" s="9">
        <v>1280</v>
      </c>
      <c r="CS26" s="9">
        <v>1213</v>
      </c>
      <c r="CT26" s="9">
        <v>1385</v>
      </c>
      <c r="CU26" s="9">
        <v>1371</v>
      </c>
      <c r="CV26" s="9">
        <v>1333</v>
      </c>
      <c r="CW26" s="9">
        <v>1295</v>
      </c>
      <c r="CX26" s="9">
        <v>1365</v>
      </c>
      <c r="CY26" s="9">
        <v>1298</v>
      </c>
      <c r="CZ26" s="9">
        <v>1398</v>
      </c>
      <c r="DA26" s="9">
        <v>1388</v>
      </c>
      <c r="DB26" s="9">
        <v>1302</v>
      </c>
      <c r="DC26" s="9">
        <v>1299</v>
      </c>
      <c r="DD26" s="9">
        <v>1320</v>
      </c>
      <c r="DE26" s="9">
        <v>1282</v>
      </c>
      <c r="DF26" s="9">
        <v>1322</v>
      </c>
      <c r="DG26" s="9">
        <v>1168</v>
      </c>
      <c r="DH26" s="9">
        <v>1371</v>
      </c>
      <c r="DI26" s="9">
        <v>1329</v>
      </c>
      <c r="DJ26" s="9">
        <v>1358</v>
      </c>
      <c r="DK26" s="9">
        <v>1336</v>
      </c>
      <c r="DL26" s="9">
        <v>1508</v>
      </c>
      <c r="DM26" s="9">
        <v>1071</v>
      </c>
      <c r="DN26" s="9">
        <v>1568</v>
      </c>
      <c r="DO26" s="9">
        <v>1480</v>
      </c>
      <c r="DP26" s="9">
        <v>1363</v>
      </c>
      <c r="DQ26" s="9">
        <v>1486</v>
      </c>
      <c r="DR26" s="9">
        <v>1329</v>
      </c>
      <c r="DS26" s="9">
        <v>1435</v>
      </c>
      <c r="DT26" s="9">
        <v>1450</v>
      </c>
      <c r="DU26" s="9">
        <v>1515</v>
      </c>
      <c r="DV26" s="9">
        <v>1253</v>
      </c>
      <c r="DW26" s="9">
        <v>1357</v>
      </c>
      <c r="DX26" s="9">
        <v>1486</v>
      </c>
      <c r="DY26" s="9">
        <v>1483</v>
      </c>
      <c r="DZ26" s="9">
        <v>1391</v>
      </c>
      <c r="EA26" s="9">
        <v>1334</v>
      </c>
      <c r="EB26" s="9">
        <v>1351</v>
      </c>
      <c r="EC26" s="9">
        <v>1436</v>
      </c>
      <c r="ED26" s="9">
        <v>1334</v>
      </c>
      <c r="EE26" s="9">
        <v>1335</v>
      </c>
      <c r="EF26" s="9">
        <v>1354</v>
      </c>
      <c r="EG26" s="9">
        <v>1563</v>
      </c>
      <c r="EH26" s="9">
        <v>1275</v>
      </c>
      <c r="EI26" s="9">
        <v>1299</v>
      </c>
      <c r="EJ26" s="9">
        <v>1515</v>
      </c>
      <c r="EK26" s="9">
        <v>1512</v>
      </c>
      <c r="EL26" s="9">
        <v>1443</v>
      </c>
      <c r="EM26" s="9">
        <v>1445</v>
      </c>
      <c r="EN26" s="9">
        <v>1390</v>
      </c>
      <c r="EO26" s="9">
        <v>1194</v>
      </c>
      <c r="EP26" s="9">
        <v>1522</v>
      </c>
      <c r="EQ26" s="9">
        <v>1436</v>
      </c>
      <c r="ER26" s="9">
        <v>1455</v>
      </c>
      <c r="ES26" s="9">
        <v>1374</v>
      </c>
      <c r="ET26" s="9">
        <v>1405</v>
      </c>
      <c r="EU26" s="9">
        <v>1391</v>
      </c>
      <c r="EV26" s="9">
        <v>1335</v>
      </c>
      <c r="EW26" s="9">
        <v>1389</v>
      </c>
      <c r="EX26" s="9">
        <v>1376</v>
      </c>
      <c r="EY26" s="9">
        <v>1523</v>
      </c>
      <c r="EZ26" s="9">
        <v>1317</v>
      </c>
      <c r="FA26" s="9">
        <v>1486</v>
      </c>
      <c r="FB26" s="9">
        <v>1376</v>
      </c>
      <c r="FC26" s="9">
        <v>1270</v>
      </c>
      <c r="FD26" s="9">
        <v>1450</v>
      </c>
      <c r="FE26" s="9">
        <v>1475</v>
      </c>
      <c r="FF26" s="9">
        <v>1485</v>
      </c>
      <c r="FG26" s="9">
        <v>1358</v>
      </c>
      <c r="FH26" s="9">
        <v>1485</v>
      </c>
      <c r="FI26" s="9">
        <v>1336</v>
      </c>
      <c r="FJ26" s="9">
        <v>1314</v>
      </c>
      <c r="FK26" s="9">
        <v>1313</v>
      </c>
      <c r="FL26" s="9">
        <v>1278</v>
      </c>
      <c r="FM26" s="9">
        <v>1296</v>
      </c>
      <c r="FN26" s="9">
        <v>1213</v>
      </c>
      <c r="FO26" s="9">
        <v>1279</v>
      </c>
      <c r="FP26" s="9">
        <v>1451</v>
      </c>
      <c r="FQ26" s="9">
        <v>1260</v>
      </c>
      <c r="FR26" s="9">
        <v>1366</v>
      </c>
      <c r="FS26" s="9">
        <v>1402</v>
      </c>
      <c r="FT26" s="9">
        <v>1266</v>
      </c>
      <c r="FU26" s="9">
        <v>1256</v>
      </c>
      <c r="FV26" s="9">
        <v>1255</v>
      </c>
      <c r="FW26" s="9">
        <v>1437</v>
      </c>
      <c r="FX26" s="9">
        <v>1319</v>
      </c>
      <c r="FY26" s="9">
        <v>1221</v>
      </c>
      <c r="FZ26" s="9">
        <v>1300</v>
      </c>
      <c r="GA26" s="9">
        <v>1295</v>
      </c>
      <c r="GB26" s="9">
        <v>1277</v>
      </c>
      <c r="GC26" s="9">
        <v>1358</v>
      </c>
      <c r="GD26" s="9">
        <v>1545</v>
      </c>
      <c r="GE26" s="9">
        <v>1348</v>
      </c>
      <c r="GF26" s="9">
        <v>1355</v>
      </c>
      <c r="GG26" s="9">
        <v>1218</v>
      </c>
      <c r="GH26" s="9">
        <v>1503</v>
      </c>
      <c r="GI26" s="9">
        <v>1370</v>
      </c>
      <c r="GJ26" s="9">
        <v>1307</v>
      </c>
      <c r="GK26" s="9">
        <v>1370</v>
      </c>
      <c r="GL26" s="9">
        <v>1396</v>
      </c>
      <c r="GM26" s="9">
        <v>1477</v>
      </c>
      <c r="GN26" s="9">
        <v>1412</v>
      </c>
      <c r="GO26" s="9">
        <v>1500</v>
      </c>
      <c r="GP26" s="9">
        <v>1417</v>
      </c>
      <c r="GQ26" s="9">
        <v>1429</v>
      </c>
      <c r="GR26" s="9">
        <v>1362</v>
      </c>
      <c r="GS26" s="9">
        <v>1222</v>
      </c>
      <c r="GT26" s="9">
        <v>1266</v>
      </c>
      <c r="GU26" s="9">
        <v>1224</v>
      </c>
      <c r="GV26" s="9">
        <v>1139</v>
      </c>
      <c r="GW26" s="9">
        <v>1307</v>
      </c>
      <c r="GX26" s="9">
        <v>1354</v>
      </c>
      <c r="GY26" s="9">
        <v>1233</v>
      </c>
      <c r="GZ26" s="9">
        <v>1117</v>
      </c>
      <c r="HA26" s="9">
        <v>1368</v>
      </c>
      <c r="HB26" s="9"/>
      <c r="HC26" s="9"/>
      <c r="HD26" s="9">
        <v>1197</v>
      </c>
      <c r="HE26" s="9">
        <v>932</v>
      </c>
      <c r="HF26" s="9">
        <v>1280</v>
      </c>
      <c r="HG26" s="9"/>
      <c r="HH26" s="9">
        <v>1388</v>
      </c>
      <c r="HI26" s="9">
        <v>1189</v>
      </c>
      <c r="HJ26" s="9">
        <v>1327</v>
      </c>
      <c r="HK26" s="9">
        <v>1304</v>
      </c>
      <c r="HL26" s="9">
        <v>1267</v>
      </c>
      <c r="HM26" s="9">
        <v>1350</v>
      </c>
      <c r="HN26" s="9">
        <v>1361</v>
      </c>
      <c r="HO26" s="9">
        <v>1350</v>
      </c>
      <c r="HP26" s="9">
        <v>1362</v>
      </c>
      <c r="HQ26" s="9">
        <v>1383</v>
      </c>
      <c r="HR26" s="9">
        <v>1263</v>
      </c>
      <c r="HS26" s="9">
        <v>1210</v>
      </c>
      <c r="HT26" s="9">
        <v>1244</v>
      </c>
      <c r="HU26" s="9">
        <v>1534</v>
      </c>
      <c r="HV26" s="9">
        <v>1171</v>
      </c>
      <c r="HW26" s="9">
        <v>1077</v>
      </c>
      <c r="HX26" s="9">
        <v>1010</v>
      </c>
      <c r="HY26" s="9">
        <v>963</v>
      </c>
      <c r="HZ26" s="9">
        <v>965</v>
      </c>
      <c r="IA26" s="9">
        <v>1134</v>
      </c>
      <c r="IB26" s="9">
        <v>1355</v>
      </c>
      <c r="IC26" s="9">
        <v>1509</v>
      </c>
      <c r="ID26" s="9">
        <v>1330</v>
      </c>
      <c r="IE26" s="9">
        <v>1383</v>
      </c>
      <c r="IF26" s="9">
        <v>1310</v>
      </c>
      <c r="IG26" s="9">
        <v>1398</v>
      </c>
      <c r="IH26" s="9">
        <v>1362</v>
      </c>
      <c r="II26" s="9">
        <v>1349</v>
      </c>
      <c r="IJ26" s="9">
        <v>1086</v>
      </c>
      <c r="IK26" s="9">
        <v>1256</v>
      </c>
      <c r="IL26" s="9">
        <v>1101</v>
      </c>
      <c r="IM26" s="9">
        <v>1256</v>
      </c>
      <c r="IN26" s="9">
        <v>1007</v>
      </c>
      <c r="IO26" s="9"/>
      <c r="IP26" s="9">
        <v>1175</v>
      </c>
      <c r="IQ26" s="9">
        <v>1348</v>
      </c>
      <c r="IR26" s="9">
        <v>660</v>
      </c>
      <c r="IS26" s="9">
        <v>1249</v>
      </c>
      <c r="IT26" s="9">
        <v>1199</v>
      </c>
      <c r="IU26" s="9"/>
      <c r="IV26" s="9"/>
      <c r="IW26" s="9">
        <v>1202</v>
      </c>
      <c r="IX26" s="9">
        <v>1212</v>
      </c>
      <c r="IY26" s="9">
        <v>1280</v>
      </c>
      <c r="IZ26" s="9">
        <v>1298</v>
      </c>
      <c r="JA26" s="9">
        <v>1096</v>
      </c>
      <c r="JB26" s="11">
        <v>35.9</v>
      </c>
      <c r="JC26" s="11">
        <v>47.6</v>
      </c>
      <c r="JD26" s="11">
        <v>1.6</v>
      </c>
      <c r="JE26" s="11">
        <v>5.0999999999999996</v>
      </c>
      <c r="JF26" s="11"/>
      <c r="JG26" s="11">
        <v>0</v>
      </c>
      <c r="JH26" s="13">
        <v>6.7</v>
      </c>
      <c r="JI26" s="12"/>
      <c r="JJ26" s="12"/>
      <c r="JK26" s="9">
        <v>82581398.495000005</v>
      </c>
      <c r="JL26" s="9">
        <v>281543.717</v>
      </c>
      <c r="JM26" s="9">
        <v>55693455.236000001</v>
      </c>
      <c r="JN26" s="9">
        <v>61311.453999999998</v>
      </c>
      <c r="JO26" s="9">
        <v>83370328.118000001</v>
      </c>
      <c r="JP26" s="9">
        <v>186091.18299999999</v>
      </c>
      <c r="JQ26" s="9">
        <v>60351293.024999999</v>
      </c>
      <c r="JR26" s="9">
        <v>55314.633000000002</v>
      </c>
      <c r="JS26" s="11">
        <v>313113666.06800002</v>
      </c>
      <c r="JT26" s="11">
        <v>82927.646999999997</v>
      </c>
      <c r="JU26" s="14">
        <f t="shared" si="81"/>
        <v>86553.495000004768</v>
      </c>
      <c r="JV26" s="14">
        <f t="shared" si="82"/>
        <v>13.717000000004191</v>
      </c>
      <c r="JW26" s="14">
        <f t="shared" si="83"/>
        <v>83691.236000001431</v>
      </c>
      <c r="JX26" s="14">
        <f t="shared" si="84"/>
        <v>9.4539999999979045</v>
      </c>
      <c r="JY26" s="14">
        <f t="shared" si="85"/>
        <v>87468.118000000715</v>
      </c>
      <c r="JZ26" s="14">
        <f t="shared" si="86"/>
        <v>58.182999999989988</v>
      </c>
      <c r="KA26" s="14">
        <f t="shared" si="87"/>
        <v>64803.02499999851</v>
      </c>
      <c r="KB26" s="14">
        <f t="shared" si="88"/>
        <v>11.63300000000163</v>
      </c>
      <c r="KC26" s="14">
        <f t="shared" si="90"/>
        <v>322154.96799999475</v>
      </c>
      <c r="KD26" s="14">
        <f t="shared" si="89"/>
        <v>55.846999999994296</v>
      </c>
      <c r="KE26" s="15">
        <f t="shared" si="69"/>
        <v>170221.5600000062</v>
      </c>
      <c r="KF26" s="15">
        <f t="shared" si="70"/>
        <v>322099.12099999475</v>
      </c>
      <c r="KG26" s="16">
        <f>(RD[[#This Row],[Sunset Time (POA&lt;20 W/m2)]]-RD[[#This Row],[Sunrise Time (POA&gt;20 W/m2)]])*24</f>
        <v>11.999999999999998</v>
      </c>
      <c r="KH26" s="53">
        <f>RD[[#This Row],[GHI ]]</f>
        <v>0</v>
      </c>
      <c r="KI26" s="53">
        <f>RD[[#This Row],[POA]]</f>
        <v>6.7</v>
      </c>
      <c r="KJ26" s="53">
        <f>RD[[#This Row],[AT (°C) 14 Hours]]</f>
        <v>35.9</v>
      </c>
      <c r="KK26" s="53">
        <f>RD[[#This Row],[MT (°C) Gen. Hours]]</f>
        <v>47.6</v>
      </c>
      <c r="KL26" s="53">
        <f>RD[[#This Row],[WS_Avg (m/s) (24 Hours)]]</f>
        <v>1.6</v>
      </c>
      <c r="KM26" s="53">
        <f>RD[[#This Row],[WS_Max (m/s)]]</f>
        <v>5.0999999999999996</v>
      </c>
      <c r="KN26" s="54">
        <f>SUM(RD[[#This Row],[BLK1_INV1]:[BLK8_INV28]])</f>
        <v>327345</v>
      </c>
      <c r="KO26" s="95"/>
      <c r="KP26" s="55"/>
      <c r="KQ26" s="90" t="str">
        <f>IFERROR(RD[[#This Row],[WPR_Eac]]/RD[[#This Row],[WPR_Edc]],"")</f>
        <v/>
      </c>
    </row>
    <row r="27" spans="2:303" ht="15" customHeight="1" x14ac:dyDescent="0.25">
      <c r="B27" s="52">
        <v>45768</v>
      </c>
      <c r="C27" s="9">
        <f>YEAR(RD[[#This Row],[Date]])+IF(MONTH(RD[[#This Row],[Date]])&gt;=4,1,0)</f>
        <v>2026</v>
      </c>
      <c r="D27" s="6">
        <f t="shared" ref="D27:D32" si="91">YEAR(B27)</f>
        <v>2025</v>
      </c>
      <c r="E27" s="7"/>
      <c r="F27" s="7"/>
      <c r="G27" s="8" t="str">
        <f>TEXT(RD[[#This Row],[Date]],"mmm-yy")</f>
        <v>Apr-25</v>
      </c>
      <c r="H27" s="6">
        <f t="shared" si="59"/>
        <v>30</v>
      </c>
      <c r="I27" s="9">
        <f>'Basic Data '!$S$2</f>
        <v>66750</v>
      </c>
      <c r="J27" s="10">
        <v>0.29166666666666669</v>
      </c>
      <c r="K27" s="10">
        <v>0.79166666666666663</v>
      </c>
      <c r="L27" s="9">
        <v>1450</v>
      </c>
      <c r="M27" s="9">
        <v>1498</v>
      </c>
      <c r="N27" s="9">
        <v>1344</v>
      </c>
      <c r="O27" s="9">
        <v>1338</v>
      </c>
      <c r="P27" s="9">
        <v>1447</v>
      </c>
      <c r="Q27" s="9">
        <v>1326</v>
      </c>
      <c r="R27" s="9">
        <v>1369</v>
      </c>
      <c r="S27" s="9">
        <v>1367</v>
      </c>
      <c r="T27" s="9">
        <v>1393</v>
      </c>
      <c r="U27" s="9">
        <v>1398</v>
      </c>
      <c r="V27" s="9">
        <v>1360</v>
      </c>
      <c r="W27" s="9">
        <v>1376</v>
      </c>
      <c r="X27" s="9">
        <v>1359</v>
      </c>
      <c r="Y27" s="9">
        <v>1219</v>
      </c>
      <c r="Z27" s="9">
        <v>1302</v>
      </c>
      <c r="AA27" s="9">
        <v>1337</v>
      </c>
      <c r="AB27" s="9">
        <v>1266</v>
      </c>
      <c r="AC27" s="9">
        <v>1297</v>
      </c>
      <c r="AD27" s="9">
        <v>1464</v>
      </c>
      <c r="AE27" s="9">
        <v>1458</v>
      </c>
      <c r="AF27" s="9">
        <v>1361</v>
      </c>
      <c r="AG27" s="9">
        <v>1295</v>
      </c>
      <c r="AH27" s="9">
        <v>1475</v>
      </c>
      <c r="AI27" s="9">
        <v>1400</v>
      </c>
      <c r="AJ27" s="9">
        <v>1460</v>
      </c>
      <c r="AK27" s="9">
        <v>1438</v>
      </c>
      <c r="AL27" s="9">
        <v>1431</v>
      </c>
      <c r="AM27" s="9">
        <v>1461</v>
      </c>
      <c r="AN27" s="9">
        <v>1431</v>
      </c>
      <c r="AO27" s="9">
        <v>1460</v>
      </c>
      <c r="AP27" s="9">
        <v>1450</v>
      </c>
      <c r="AQ27" s="9">
        <v>1450</v>
      </c>
      <c r="AR27" s="9">
        <v>1400</v>
      </c>
      <c r="AS27" s="9">
        <v>1650</v>
      </c>
      <c r="AT27" s="9">
        <v>1400</v>
      </c>
      <c r="AU27" s="9">
        <v>1441</v>
      </c>
      <c r="AV27" s="9">
        <v>1302</v>
      </c>
      <c r="AW27" s="9">
        <v>1263</v>
      </c>
      <c r="AX27" s="9">
        <v>1292</v>
      </c>
      <c r="AY27" s="9">
        <v>1320</v>
      </c>
      <c r="AZ27" s="9">
        <v>1300</v>
      </c>
      <c r="BA27" s="9">
        <v>1405</v>
      </c>
      <c r="BB27" s="9">
        <v>1276</v>
      </c>
      <c r="BC27" s="9">
        <v>1297</v>
      </c>
      <c r="BD27" s="9">
        <v>1287</v>
      </c>
      <c r="BE27" s="9">
        <v>1376</v>
      </c>
      <c r="BF27" s="9">
        <v>1445</v>
      </c>
      <c r="BG27" s="9">
        <v>1400</v>
      </c>
      <c r="BH27" s="9">
        <v>1409</v>
      </c>
      <c r="BI27" s="9">
        <v>1410</v>
      </c>
      <c r="BJ27" s="9">
        <v>1300</v>
      </c>
      <c r="BK27" s="9">
        <v>1289</v>
      </c>
      <c r="BL27" s="9">
        <v>1466</v>
      </c>
      <c r="BM27" s="9">
        <v>1452</v>
      </c>
      <c r="BN27" s="9">
        <v>1450</v>
      </c>
      <c r="BO27" s="9">
        <v>1391</v>
      </c>
      <c r="BP27" s="9">
        <v>1452</v>
      </c>
      <c r="BQ27" s="9">
        <v>1271</v>
      </c>
      <c r="BR27" s="9">
        <v>1413</v>
      </c>
      <c r="BS27" s="9">
        <v>1374</v>
      </c>
      <c r="BT27" s="9">
        <v>1224</v>
      </c>
      <c r="BU27" s="9">
        <v>1388</v>
      </c>
      <c r="BV27" s="9">
        <v>1490</v>
      </c>
      <c r="BW27" s="9">
        <v>1510</v>
      </c>
      <c r="BX27" s="9">
        <v>1454</v>
      </c>
      <c r="BY27" s="9">
        <v>1448</v>
      </c>
      <c r="BZ27" s="9">
        <v>1467</v>
      </c>
      <c r="CA27" s="9">
        <v>1205</v>
      </c>
      <c r="CB27" s="9">
        <v>1327</v>
      </c>
      <c r="CC27" s="9">
        <v>1351</v>
      </c>
      <c r="CD27" s="9">
        <v>1361</v>
      </c>
      <c r="CE27" s="9">
        <v>1259</v>
      </c>
      <c r="CF27" s="9">
        <v>1390</v>
      </c>
      <c r="CG27" s="9">
        <v>1362</v>
      </c>
      <c r="CH27" s="9">
        <v>1557</v>
      </c>
      <c r="CI27" s="9">
        <v>1535</v>
      </c>
      <c r="CJ27" s="9">
        <v>1549</v>
      </c>
      <c r="CK27" s="9">
        <v>1329</v>
      </c>
      <c r="CL27" s="9">
        <v>1318</v>
      </c>
      <c r="CM27" s="9">
        <v>1404</v>
      </c>
      <c r="CN27" s="9">
        <v>1344</v>
      </c>
      <c r="CO27" s="9">
        <v>1363</v>
      </c>
      <c r="CP27" s="9">
        <v>1349</v>
      </c>
      <c r="CQ27" s="9">
        <v>1355</v>
      </c>
      <c r="CR27" s="9">
        <v>1282</v>
      </c>
      <c r="CS27" s="9">
        <v>1214</v>
      </c>
      <c r="CT27" s="9">
        <v>1395</v>
      </c>
      <c r="CU27" s="9">
        <v>1391</v>
      </c>
      <c r="CV27" s="9">
        <v>1344</v>
      </c>
      <c r="CW27" s="9">
        <v>1301</v>
      </c>
      <c r="CX27" s="9">
        <v>1368</v>
      </c>
      <c r="CY27" s="9">
        <v>1397</v>
      </c>
      <c r="CZ27" s="9">
        <v>1385</v>
      </c>
      <c r="DA27" s="9">
        <v>1384</v>
      </c>
      <c r="DB27" s="9">
        <v>1310</v>
      </c>
      <c r="DC27" s="9">
        <v>1291</v>
      </c>
      <c r="DD27" s="9">
        <v>1302</v>
      </c>
      <c r="DE27" s="9">
        <v>1278</v>
      </c>
      <c r="DF27" s="9">
        <v>1304</v>
      </c>
      <c r="DG27" s="9">
        <v>1150</v>
      </c>
      <c r="DH27" s="9">
        <v>1355</v>
      </c>
      <c r="DI27" s="9">
        <v>1312</v>
      </c>
      <c r="DJ27" s="9">
        <v>1342</v>
      </c>
      <c r="DK27" s="9">
        <v>1320</v>
      </c>
      <c r="DL27" s="9">
        <v>1490</v>
      </c>
      <c r="DM27" s="9">
        <v>1098</v>
      </c>
      <c r="DN27" s="9">
        <v>1555</v>
      </c>
      <c r="DO27" s="9">
        <v>1470</v>
      </c>
      <c r="DP27" s="9">
        <v>1346</v>
      </c>
      <c r="DQ27" s="9">
        <v>1475</v>
      </c>
      <c r="DR27" s="9">
        <v>1324</v>
      </c>
      <c r="DS27" s="9">
        <v>1426</v>
      </c>
      <c r="DT27" s="9">
        <v>1448</v>
      </c>
      <c r="DU27" s="9">
        <v>1500</v>
      </c>
      <c r="DV27" s="9">
        <v>1250</v>
      </c>
      <c r="DW27" s="9">
        <v>1342</v>
      </c>
      <c r="DX27" s="9">
        <v>1468</v>
      </c>
      <c r="DY27" s="9">
        <v>1463</v>
      </c>
      <c r="DZ27" s="9">
        <v>1384</v>
      </c>
      <c r="EA27" s="9">
        <v>1317</v>
      </c>
      <c r="EB27" s="9">
        <v>1334</v>
      </c>
      <c r="EC27" s="9">
        <v>1422</v>
      </c>
      <c r="ED27" s="9">
        <v>1329</v>
      </c>
      <c r="EE27" s="9">
        <v>1318</v>
      </c>
      <c r="EF27" s="9">
        <v>1337</v>
      </c>
      <c r="EG27" s="9">
        <v>1426</v>
      </c>
      <c r="EH27" s="9">
        <v>1257</v>
      </c>
      <c r="EI27" s="9">
        <v>1280</v>
      </c>
      <c r="EJ27" s="9">
        <v>1495</v>
      </c>
      <c r="EK27" s="9">
        <v>1489</v>
      </c>
      <c r="EL27" s="9">
        <v>1422</v>
      </c>
      <c r="EM27" s="9">
        <v>1428</v>
      </c>
      <c r="EN27" s="9">
        <v>1384</v>
      </c>
      <c r="EO27" s="9">
        <v>1200</v>
      </c>
      <c r="EP27" s="9">
        <v>1529</v>
      </c>
      <c r="EQ27" s="9">
        <v>1436</v>
      </c>
      <c r="ER27" s="9">
        <v>1468</v>
      </c>
      <c r="ES27" s="9">
        <v>1386</v>
      </c>
      <c r="ET27" s="9">
        <v>1378</v>
      </c>
      <c r="EU27" s="9">
        <v>1373</v>
      </c>
      <c r="EV27" s="9">
        <v>1332</v>
      </c>
      <c r="EW27" s="9">
        <v>1379</v>
      </c>
      <c r="EX27" s="9">
        <v>1350</v>
      </c>
      <c r="EY27" s="9">
        <v>1502</v>
      </c>
      <c r="EZ27" s="9">
        <v>1295</v>
      </c>
      <c r="FA27" s="9">
        <v>1516</v>
      </c>
      <c r="FB27" s="9">
        <v>1355</v>
      </c>
      <c r="FC27" s="9">
        <v>1252</v>
      </c>
      <c r="FD27" s="9">
        <v>1449</v>
      </c>
      <c r="FE27" s="9">
        <v>1456</v>
      </c>
      <c r="FF27" s="9">
        <v>1477</v>
      </c>
      <c r="FG27" s="9">
        <v>1362</v>
      </c>
      <c r="FH27" s="9">
        <v>1465</v>
      </c>
      <c r="FI27" s="9">
        <v>1360</v>
      </c>
      <c r="FJ27" s="9">
        <v>1337</v>
      </c>
      <c r="FK27" s="9">
        <v>1320</v>
      </c>
      <c r="FL27" s="9">
        <v>1325</v>
      </c>
      <c r="FM27" s="9">
        <v>1282</v>
      </c>
      <c r="FN27" s="9">
        <v>1246</v>
      </c>
      <c r="FO27" s="9">
        <v>1314</v>
      </c>
      <c r="FP27" s="9">
        <v>1503</v>
      </c>
      <c r="FQ27" s="9">
        <v>1303</v>
      </c>
      <c r="FR27" s="9">
        <v>1443</v>
      </c>
      <c r="FS27" s="9">
        <v>1445</v>
      </c>
      <c r="FT27" s="9">
        <v>1317</v>
      </c>
      <c r="FU27" s="9">
        <v>1270</v>
      </c>
      <c r="FV27" s="9">
        <v>1263</v>
      </c>
      <c r="FW27" s="9">
        <v>1447</v>
      </c>
      <c r="FX27" s="9">
        <v>1322</v>
      </c>
      <c r="FY27" s="9">
        <v>1218</v>
      </c>
      <c r="FZ27" s="9">
        <v>1302</v>
      </c>
      <c r="GA27" s="9">
        <v>1292</v>
      </c>
      <c r="GB27" s="9">
        <v>1281</v>
      </c>
      <c r="GC27" s="9">
        <v>1356</v>
      </c>
      <c r="GD27" s="9">
        <v>1528</v>
      </c>
      <c r="GE27" s="9">
        <v>1333</v>
      </c>
      <c r="GF27" s="9">
        <v>1341</v>
      </c>
      <c r="GG27" s="9">
        <v>1203</v>
      </c>
      <c r="GH27" s="9">
        <v>1486</v>
      </c>
      <c r="GI27" s="9">
        <v>1355</v>
      </c>
      <c r="GJ27" s="9">
        <v>1292</v>
      </c>
      <c r="GK27" s="9">
        <v>1358</v>
      </c>
      <c r="GL27" s="9">
        <v>1428</v>
      </c>
      <c r="GM27" s="9">
        <v>1462</v>
      </c>
      <c r="GN27" s="9">
        <v>1396</v>
      </c>
      <c r="GO27" s="9">
        <v>1502</v>
      </c>
      <c r="GP27" s="9">
        <v>1401</v>
      </c>
      <c r="GQ27" s="9">
        <v>1412</v>
      </c>
      <c r="GR27" s="9">
        <v>1354</v>
      </c>
      <c r="GS27" s="9">
        <v>1218</v>
      </c>
      <c r="GT27" s="9">
        <v>1250</v>
      </c>
      <c r="GU27" s="9">
        <v>1213</v>
      </c>
      <c r="GV27" s="9">
        <v>1132</v>
      </c>
      <c r="GW27" s="9">
        <v>1300</v>
      </c>
      <c r="GX27" s="9">
        <v>1339</v>
      </c>
      <c r="GY27" s="9">
        <v>1203</v>
      </c>
      <c r="GZ27" s="9">
        <v>1121</v>
      </c>
      <c r="HA27" s="9">
        <v>1357</v>
      </c>
      <c r="HB27" s="9"/>
      <c r="HC27" s="9"/>
      <c r="HD27" s="9">
        <v>1181</v>
      </c>
      <c r="HE27" s="9">
        <v>921</v>
      </c>
      <c r="HF27" s="9">
        <v>1272</v>
      </c>
      <c r="HG27" s="9"/>
      <c r="HH27" s="9">
        <v>1394</v>
      </c>
      <c r="HI27" s="9">
        <v>1242</v>
      </c>
      <c r="HJ27" s="9">
        <v>1311</v>
      </c>
      <c r="HK27" s="9">
        <v>1290</v>
      </c>
      <c r="HL27" s="9">
        <v>1259</v>
      </c>
      <c r="HM27" s="9">
        <v>1334</v>
      </c>
      <c r="HN27" s="9">
        <v>1343</v>
      </c>
      <c r="HO27" s="9">
        <v>1339</v>
      </c>
      <c r="HP27" s="9">
        <v>1343</v>
      </c>
      <c r="HQ27" s="9">
        <v>1368</v>
      </c>
      <c r="HR27" s="9">
        <v>1369</v>
      </c>
      <c r="HS27" s="9">
        <v>1356</v>
      </c>
      <c r="HT27" s="9">
        <v>1235</v>
      </c>
      <c r="HU27" s="9">
        <v>1542</v>
      </c>
      <c r="HV27" s="9">
        <v>1156</v>
      </c>
      <c r="HW27" s="9">
        <v>1061</v>
      </c>
      <c r="HX27" s="9">
        <v>1062</v>
      </c>
      <c r="HY27" s="9">
        <v>998</v>
      </c>
      <c r="HZ27" s="9">
        <v>952</v>
      </c>
      <c r="IA27" s="9">
        <v>1116</v>
      </c>
      <c r="IB27" s="9">
        <v>1337</v>
      </c>
      <c r="IC27" s="9">
        <v>1489</v>
      </c>
      <c r="ID27" s="9">
        <v>1317</v>
      </c>
      <c r="IE27" s="9">
        <v>1369</v>
      </c>
      <c r="IF27" s="9">
        <v>1362</v>
      </c>
      <c r="IG27" s="9">
        <v>1400</v>
      </c>
      <c r="IH27" s="9">
        <v>1398</v>
      </c>
      <c r="II27" s="9">
        <v>1380</v>
      </c>
      <c r="IJ27" s="9">
        <v>1090</v>
      </c>
      <c r="IK27" s="9">
        <v>1300</v>
      </c>
      <c r="IL27" s="9">
        <v>1150</v>
      </c>
      <c r="IM27" s="9">
        <v>1303</v>
      </c>
      <c r="IN27" s="9">
        <v>1100</v>
      </c>
      <c r="IO27" s="9"/>
      <c r="IP27" s="9">
        <v>1250</v>
      </c>
      <c r="IQ27" s="9">
        <v>1360</v>
      </c>
      <c r="IR27" s="9">
        <v>668</v>
      </c>
      <c r="IS27" s="9">
        <v>1298</v>
      </c>
      <c r="IT27" s="9">
        <v>1283</v>
      </c>
      <c r="IU27" s="9"/>
      <c r="IV27" s="9"/>
      <c r="IW27" s="9">
        <v>1210</v>
      </c>
      <c r="IX27" s="9">
        <v>1412</v>
      </c>
      <c r="IY27" s="9">
        <v>1300</v>
      </c>
      <c r="IZ27" s="9">
        <v>1310</v>
      </c>
      <c r="JA27" s="9">
        <v>1117</v>
      </c>
      <c r="JB27" s="11">
        <v>37.4</v>
      </c>
      <c r="JC27" s="11">
        <v>47.37</v>
      </c>
      <c r="JD27" s="11">
        <v>2.08</v>
      </c>
      <c r="JE27" s="11">
        <v>5.4</v>
      </c>
      <c r="JF27" s="11"/>
      <c r="JG27" s="11">
        <v>0</v>
      </c>
      <c r="JH27" s="13">
        <v>6.75</v>
      </c>
      <c r="JI27" s="12"/>
      <c r="JJ27" s="12"/>
      <c r="JK27" s="9">
        <v>82666836.800999999</v>
      </c>
      <c r="JL27" s="9">
        <v>281560.31199999998</v>
      </c>
      <c r="JM27" s="9">
        <v>55776650.678999998</v>
      </c>
      <c r="JN27" s="9">
        <v>61327.538</v>
      </c>
      <c r="JO27" s="9">
        <v>83457790.292999998</v>
      </c>
      <c r="JP27" s="9">
        <v>186135.647</v>
      </c>
      <c r="JQ27" s="9">
        <v>60416203.413999997</v>
      </c>
      <c r="JR27" s="9">
        <v>55328.08</v>
      </c>
      <c r="JS27" s="11">
        <v>313434297.11699998</v>
      </c>
      <c r="JT27" s="11">
        <v>82986.707999999999</v>
      </c>
      <c r="JU27" s="14">
        <f t="shared" si="81"/>
        <v>85438.305999994278</v>
      </c>
      <c r="JV27" s="14">
        <f t="shared" si="82"/>
        <v>16.59499999997206</v>
      </c>
      <c r="JW27" s="14">
        <f t="shared" si="83"/>
        <v>83195.442999996245</v>
      </c>
      <c r="JX27" s="14">
        <f t="shared" si="84"/>
        <v>16.084000000002561</v>
      </c>
      <c r="JY27" s="14">
        <f t="shared" si="85"/>
        <v>87462.17499999702</v>
      </c>
      <c r="JZ27" s="14">
        <f t="shared" si="86"/>
        <v>44.464000000007218</v>
      </c>
      <c r="KA27" s="14">
        <f t="shared" si="87"/>
        <v>64910.388999998569</v>
      </c>
      <c r="KB27" s="14">
        <f t="shared" si="88"/>
        <v>13.447000000000116</v>
      </c>
      <c r="KC27" s="14">
        <f t="shared" si="90"/>
        <v>320631.04899996519</v>
      </c>
      <c r="KD27" s="14">
        <f t="shared" si="89"/>
        <v>59.061000000001513</v>
      </c>
      <c r="KE27" s="15">
        <f t="shared" ref="KE27:KE32" si="92">(JU27+JW27)-(JV27+JX27)</f>
        <v>168601.06999999055</v>
      </c>
      <c r="KF27" s="15">
        <f t="shared" ref="KF27:KF32" si="93">IFERROR(KC27-KD27,"")</f>
        <v>320571.9879999652</v>
      </c>
      <c r="KG27" s="16">
        <f>(RD[[#This Row],[Sunset Time (POA&lt;20 W/m2)]]-RD[[#This Row],[Sunrise Time (POA&gt;20 W/m2)]])*24</f>
        <v>11.999999999999998</v>
      </c>
      <c r="KH27" s="53">
        <f>RD[[#This Row],[GHI ]]</f>
        <v>0</v>
      </c>
      <c r="KI27" s="53">
        <f>RD[[#This Row],[POA]]</f>
        <v>6.75</v>
      </c>
      <c r="KJ27" s="53">
        <f>RD[[#This Row],[AT (°C) 14 Hours]]</f>
        <v>37.4</v>
      </c>
      <c r="KK27" s="53">
        <f>RD[[#This Row],[MT (°C) Gen. Hours]]</f>
        <v>47.37</v>
      </c>
      <c r="KL27" s="53">
        <f>RD[[#This Row],[WS_Avg (m/s) (24 Hours)]]</f>
        <v>2.08</v>
      </c>
      <c r="KM27" s="53">
        <f>RD[[#This Row],[WS_Max (m/s)]]</f>
        <v>5.4</v>
      </c>
      <c r="KN27" s="54">
        <f>SUM(RD[[#This Row],[BLK1_INV1]:[BLK8_INV28]])</f>
        <v>328589</v>
      </c>
      <c r="KO27" s="95"/>
      <c r="KP27" s="55"/>
      <c r="KQ27" s="90" t="str">
        <f>IFERROR(RD[[#This Row],[WPR_Eac]]/RD[[#This Row],[WPR_Edc]],"")</f>
        <v/>
      </c>
    </row>
    <row r="28" spans="2:303" ht="15" customHeight="1" x14ac:dyDescent="0.25">
      <c r="B28" s="52">
        <v>45769</v>
      </c>
      <c r="C28" s="9">
        <f>YEAR(RD[[#This Row],[Date]])+IF(MONTH(RD[[#This Row],[Date]])&gt;=4,1,0)</f>
        <v>2026</v>
      </c>
      <c r="D28" s="6">
        <f t="shared" si="91"/>
        <v>2025</v>
      </c>
      <c r="E28" s="7"/>
      <c r="F28" s="7"/>
      <c r="G28" s="8" t="str">
        <f>TEXT(RD[[#This Row],[Date]],"mmm-yy")</f>
        <v>Apr-25</v>
      </c>
      <c r="H28" s="6">
        <f t="shared" ref="H28:H33" si="94">DAY(EOMONTH(B28,0))</f>
        <v>30</v>
      </c>
      <c r="I28" s="9">
        <f>'Basic Data '!$S$2</f>
        <v>66750</v>
      </c>
      <c r="J28" s="10">
        <v>0.29166666666666669</v>
      </c>
      <c r="K28" s="10">
        <v>0.79166666666666663</v>
      </c>
      <c r="L28" s="9">
        <v>1563</v>
      </c>
      <c r="M28" s="9">
        <v>1564</v>
      </c>
      <c r="N28" s="9">
        <v>1437</v>
      </c>
      <c r="O28" s="9">
        <v>1432</v>
      </c>
      <c r="P28" s="9">
        <v>1551</v>
      </c>
      <c r="Q28" s="9">
        <v>1422</v>
      </c>
      <c r="R28" s="9">
        <v>1464</v>
      </c>
      <c r="S28" s="9">
        <v>1462</v>
      </c>
      <c r="T28" s="9">
        <v>1483</v>
      </c>
      <c r="U28" s="9">
        <v>1494</v>
      </c>
      <c r="V28" s="9">
        <v>1492</v>
      </c>
      <c r="W28" s="9">
        <v>1488</v>
      </c>
      <c r="X28" s="9">
        <v>1466</v>
      </c>
      <c r="Y28" s="9">
        <v>1316</v>
      </c>
      <c r="Z28" s="9">
        <v>1397</v>
      </c>
      <c r="AA28" s="9">
        <v>1423</v>
      </c>
      <c r="AB28" s="9">
        <v>1308</v>
      </c>
      <c r="AC28" s="9">
        <v>1339</v>
      </c>
      <c r="AD28" s="9">
        <v>1506</v>
      </c>
      <c r="AE28" s="9">
        <v>1502</v>
      </c>
      <c r="AF28" s="9">
        <v>1405</v>
      </c>
      <c r="AG28" s="9">
        <v>1357</v>
      </c>
      <c r="AH28" s="9">
        <v>1539</v>
      </c>
      <c r="AI28" s="9">
        <v>1455</v>
      </c>
      <c r="AJ28" s="9">
        <v>1507</v>
      </c>
      <c r="AK28" s="9">
        <v>1484</v>
      </c>
      <c r="AL28" s="9">
        <v>1478</v>
      </c>
      <c r="AM28" s="9">
        <v>1509</v>
      </c>
      <c r="AN28" s="9">
        <v>1504</v>
      </c>
      <c r="AO28" s="9">
        <v>1528</v>
      </c>
      <c r="AP28" s="9">
        <v>1498</v>
      </c>
      <c r="AQ28" s="9">
        <v>1398</v>
      </c>
      <c r="AR28" s="9">
        <v>1324</v>
      </c>
      <c r="AS28" s="9">
        <v>1681</v>
      </c>
      <c r="AT28" s="9">
        <v>1347</v>
      </c>
      <c r="AU28" s="9">
        <v>1551</v>
      </c>
      <c r="AV28" s="9">
        <v>1387</v>
      </c>
      <c r="AW28" s="9">
        <v>1352</v>
      </c>
      <c r="AX28" s="9">
        <v>1403</v>
      </c>
      <c r="AY28" s="9">
        <v>1433</v>
      </c>
      <c r="AZ28" s="9">
        <v>1340</v>
      </c>
      <c r="BA28" s="9">
        <v>1347</v>
      </c>
      <c r="BB28" s="9">
        <v>1387</v>
      </c>
      <c r="BC28" s="9">
        <v>1409</v>
      </c>
      <c r="BD28" s="9">
        <v>1412</v>
      </c>
      <c r="BE28" s="9">
        <v>1470</v>
      </c>
      <c r="BF28" s="9">
        <v>1577</v>
      </c>
      <c r="BG28" s="9">
        <v>1427</v>
      </c>
      <c r="BH28" s="9">
        <v>1382</v>
      </c>
      <c r="BI28" s="9">
        <v>1421</v>
      </c>
      <c r="BJ28" s="9">
        <v>1335</v>
      </c>
      <c r="BK28" s="9">
        <v>1409</v>
      </c>
      <c r="BL28" s="9">
        <v>1603</v>
      </c>
      <c r="BM28" s="9">
        <v>1586</v>
      </c>
      <c r="BN28" s="9">
        <v>1479</v>
      </c>
      <c r="BO28" s="9">
        <v>1525</v>
      </c>
      <c r="BP28" s="9">
        <v>1575</v>
      </c>
      <c r="BQ28" s="9">
        <v>1376</v>
      </c>
      <c r="BR28" s="9">
        <v>1529</v>
      </c>
      <c r="BS28" s="9">
        <v>1484</v>
      </c>
      <c r="BT28" s="9">
        <v>1325</v>
      </c>
      <c r="BU28" s="9">
        <v>1428</v>
      </c>
      <c r="BV28" s="9">
        <v>1510</v>
      </c>
      <c r="BW28" s="9">
        <v>1580</v>
      </c>
      <c r="BX28" s="9">
        <v>1580</v>
      </c>
      <c r="BY28" s="9">
        <v>1571</v>
      </c>
      <c r="BZ28" s="9">
        <v>1590</v>
      </c>
      <c r="CA28" s="9">
        <v>1261</v>
      </c>
      <c r="CB28" s="9">
        <v>1413</v>
      </c>
      <c r="CC28" s="9">
        <v>1422</v>
      </c>
      <c r="CD28" s="9">
        <v>1464</v>
      </c>
      <c r="CE28" s="9">
        <v>1326</v>
      </c>
      <c r="CF28" s="9">
        <v>1479</v>
      </c>
      <c r="CG28" s="9">
        <v>1434</v>
      </c>
      <c r="CH28" s="9">
        <v>1638</v>
      </c>
      <c r="CI28" s="9">
        <v>1611</v>
      </c>
      <c r="CJ28" s="9">
        <v>1635</v>
      </c>
      <c r="CK28" s="9">
        <v>1406</v>
      </c>
      <c r="CL28" s="9">
        <v>1398</v>
      </c>
      <c r="CM28" s="9">
        <v>1467</v>
      </c>
      <c r="CN28" s="9">
        <v>1427</v>
      </c>
      <c r="CO28" s="9">
        <v>1448</v>
      </c>
      <c r="CP28" s="9">
        <v>1424</v>
      </c>
      <c r="CQ28" s="9">
        <v>1414</v>
      </c>
      <c r="CR28" s="9">
        <v>1423</v>
      </c>
      <c r="CS28" s="9">
        <v>1339</v>
      </c>
      <c r="CT28" s="9">
        <v>1488</v>
      </c>
      <c r="CU28" s="9">
        <v>1475</v>
      </c>
      <c r="CV28" s="9">
        <v>1448</v>
      </c>
      <c r="CW28" s="9">
        <v>1379</v>
      </c>
      <c r="CX28" s="9">
        <v>1478</v>
      </c>
      <c r="CY28" s="9">
        <v>1400</v>
      </c>
      <c r="CZ28" s="9">
        <v>1483</v>
      </c>
      <c r="DA28" s="9">
        <v>1475</v>
      </c>
      <c r="DB28" s="9">
        <v>1378</v>
      </c>
      <c r="DC28" s="9">
        <v>1353</v>
      </c>
      <c r="DD28" s="9">
        <v>1386</v>
      </c>
      <c r="DE28" s="9">
        <v>1339</v>
      </c>
      <c r="DF28" s="9">
        <v>1379</v>
      </c>
      <c r="DG28" s="9">
        <v>1419</v>
      </c>
      <c r="DH28" s="9">
        <v>1431</v>
      </c>
      <c r="DI28" s="9">
        <v>1398</v>
      </c>
      <c r="DJ28" s="9">
        <v>1429</v>
      </c>
      <c r="DK28" s="9">
        <v>1406</v>
      </c>
      <c r="DL28" s="9">
        <v>1565</v>
      </c>
      <c r="DM28" s="9">
        <v>1424</v>
      </c>
      <c r="DN28" s="9">
        <v>1638</v>
      </c>
      <c r="DO28" s="9">
        <v>1566</v>
      </c>
      <c r="DP28" s="9">
        <v>1436</v>
      </c>
      <c r="DQ28" s="9">
        <v>1561</v>
      </c>
      <c r="DR28" s="9">
        <v>1384</v>
      </c>
      <c r="DS28" s="9">
        <v>1506</v>
      </c>
      <c r="DT28" s="9">
        <v>1522</v>
      </c>
      <c r="DU28" s="9">
        <v>1594</v>
      </c>
      <c r="DV28" s="9">
        <v>1310</v>
      </c>
      <c r="DW28" s="9">
        <v>1423</v>
      </c>
      <c r="DX28" s="9">
        <v>1552</v>
      </c>
      <c r="DY28" s="9">
        <v>1593</v>
      </c>
      <c r="DZ28" s="9">
        <v>1446</v>
      </c>
      <c r="EA28" s="9">
        <v>1443</v>
      </c>
      <c r="EB28" s="9">
        <v>1476</v>
      </c>
      <c r="EC28" s="9">
        <v>1520</v>
      </c>
      <c r="ED28" s="9">
        <v>1408</v>
      </c>
      <c r="EE28" s="9">
        <v>1447</v>
      </c>
      <c r="EF28" s="9">
        <v>1438</v>
      </c>
      <c r="EG28" s="9">
        <v>1463</v>
      </c>
      <c r="EH28" s="9">
        <v>1354</v>
      </c>
      <c r="EI28" s="9">
        <v>1390</v>
      </c>
      <c r="EJ28" s="9">
        <v>1614</v>
      </c>
      <c r="EK28" s="9">
        <v>1622</v>
      </c>
      <c r="EL28" s="9">
        <v>1549</v>
      </c>
      <c r="EM28" s="9">
        <v>1561</v>
      </c>
      <c r="EN28" s="9">
        <v>1510</v>
      </c>
      <c r="EO28" s="9">
        <v>1296</v>
      </c>
      <c r="EP28" s="9">
        <v>1652</v>
      </c>
      <c r="EQ28" s="9">
        <v>1548</v>
      </c>
      <c r="ER28" s="9">
        <v>1486</v>
      </c>
      <c r="ES28" s="9">
        <v>1492</v>
      </c>
      <c r="ET28" s="9">
        <v>1470</v>
      </c>
      <c r="EU28" s="9">
        <v>1462</v>
      </c>
      <c r="EV28" s="9">
        <v>1448</v>
      </c>
      <c r="EW28" s="9">
        <v>1479</v>
      </c>
      <c r="EX28" s="9">
        <v>1399</v>
      </c>
      <c r="EY28" s="9">
        <v>1605</v>
      </c>
      <c r="EZ28" s="9">
        <v>1391</v>
      </c>
      <c r="FA28" s="9">
        <v>1625</v>
      </c>
      <c r="FB28" s="9">
        <v>1600</v>
      </c>
      <c r="FC28" s="9">
        <v>1341</v>
      </c>
      <c r="FD28" s="9">
        <v>1543</v>
      </c>
      <c r="FE28" s="9">
        <v>1556</v>
      </c>
      <c r="FF28" s="9">
        <v>1576</v>
      </c>
      <c r="FG28" s="9">
        <v>1451</v>
      </c>
      <c r="FH28" s="9">
        <v>1557</v>
      </c>
      <c r="FI28" s="9">
        <v>1447</v>
      </c>
      <c r="FJ28" s="9">
        <v>1426</v>
      </c>
      <c r="FK28" s="9">
        <v>1407</v>
      </c>
      <c r="FL28" s="9">
        <v>1363</v>
      </c>
      <c r="FM28" s="9">
        <v>1304</v>
      </c>
      <c r="FN28" s="9">
        <v>1343</v>
      </c>
      <c r="FO28" s="9">
        <v>1408</v>
      </c>
      <c r="FP28" s="9">
        <v>1618</v>
      </c>
      <c r="FQ28" s="9">
        <v>1401</v>
      </c>
      <c r="FR28" s="9">
        <v>1554</v>
      </c>
      <c r="FS28" s="9">
        <v>1559</v>
      </c>
      <c r="FT28" s="9">
        <v>1412</v>
      </c>
      <c r="FU28" s="9">
        <v>1346</v>
      </c>
      <c r="FV28" s="9">
        <v>1347</v>
      </c>
      <c r="FW28" s="9">
        <v>1538</v>
      </c>
      <c r="FX28" s="9">
        <v>1405</v>
      </c>
      <c r="FY28" s="9">
        <v>1297</v>
      </c>
      <c r="FZ28" s="9">
        <v>1386</v>
      </c>
      <c r="GA28" s="9">
        <v>1373</v>
      </c>
      <c r="GB28" s="9">
        <v>1357</v>
      </c>
      <c r="GC28" s="9">
        <v>1444</v>
      </c>
      <c r="GD28" s="9">
        <v>1628</v>
      </c>
      <c r="GE28" s="9">
        <v>1429</v>
      </c>
      <c r="GF28" s="9">
        <v>1428</v>
      </c>
      <c r="GG28" s="9">
        <v>1281</v>
      </c>
      <c r="GH28" s="9">
        <v>1585</v>
      </c>
      <c r="GI28" s="9">
        <v>1442</v>
      </c>
      <c r="GJ28" s="9">
        <v>1378</v>
      </c>
      <c r="GK28" s="9">
        <v>1442</v>
      </c>
      <c r="GL28" s="9">
        <v>1547</v>
      </c>
      <c r="GM28" s="9">
        <v>1556</v>
      </c>
      <c r="GN28" s="9">
        <v>1479</v>
      </c>
      <c r="GO28" s="9">
        <v>1606</v>
      </c>
      <c r="GP28" s="9">
        <v>1493</v>
      </c>
      <c r="GQ28" s="9">
        <v>1505</v>
      </c>
      <c r="GR28" s="9">
        <v>1441</v>
      </c>
      <c r="GS28" s="9">
        <v>1296</v>
      </c>
      <c r="GT28" s="9">
        <v>1332</v>
      </c>
      <c r="GU28" s="9">
        <v>1286</v>
      </c>
      <c r="GV28" s="9">
        <v>1198</v>
      </c>
      <c r="GW28" s="9">
        <v>1385</v>
      </c>
      <c r="GX28" s="9">
        <v>1428</v>
      </c>
      <c r="GY28" s="9">
        <v>1262</v>
      </c>
      <c r="GZ28" s="9">
        <v>1181</v>
      </c>
      <c r="HA28" s="9">
        <v>1452</v>
      </c>
      <c r="HB28" s="9"/>
      <c r="HC28" s="9"/>
      <c r="HD28" s="9">
        <v>1266</v>
      </c>
      <c r="HE28" s="9">
        <v>982</v>
      </c>
      <c r="HF28" s="9">
        <v>1354</v>
      </c>
      <c r="HG28" s="9"/>
      <c r="HH28" s="9">
        <v>1561</v>
      </c>
      <c r="HI28" s="9">
        <v>1363</v>
      </c>
      <c r="HJ28" s="9">
        <v>1396</v>
      </c>
      <c r="HK28" s="9">
        <v>1370</v>
      </c>
      <c r="HL28" s="9">
        <v>1323</v>
      </c>
      <c r="HM28" s="9">
        <v>1418</v>
      </c>
      <c r="HN28" s="9">
        <v>1431</v>
      </c>
      <c r="HO28" s="9">
        <v>1410</v>
      </c>
      <c r="HP28" s="9">
        <v>1432</v>
      </c>
      <c r="HQ28" s="9">
        <v>1451</v>
      </c>
      <c r="HR28" s="9">
        <v>1461</v>
      </c>
      <c r="HS28" s="9">
        <v>1450</v>
      </c>
      <c r="HT28" s="9">
        <v>1572</v>
      </c>
      <c r="HU28" s="9">
        <v>1627</v>
      </c>
      <c r="HV28" s="9">
        <v>1232</v>
      </c>
      <c r="HW28" s="9">
        <v>1133</v>
      </c>
      <c r="HX28" s="9">
        <v>1100</v>
      </c>
      <c r="HY28" s="9">
        <v>1010</v>
      </c>
      <c r="HZ28" s="9">
        <v>1019</v>
      </c>
      <c r="IA28" s="9">
        <v>1189</v>
      </c>
      <c r="IB28" s="9">
        <v>1427</v>
      </c>
      <c r="IC28" s="9">
        <v>1582</v>
      </c>
      <c r="ID28" s="9">
        <v>1399</v>
      </c>
      <c r="IE28" s="9">
        <v>1452</v>
      </c>
      <c r="IF28" s="9">
        <v>1410</v>
      </c>
      <c r="IG28" s="9">
        <v>1462</v>
      </c>
      <c r="IH28" s="9">
        <v>1421</v>
      </c>
      <c r="II28" s="9">
        <v>1414</v>
      </c>
      <c r="IJ28" s="9">
        <v>1141</v>
      </c>
      <c r="IK28" s="9">
        <v>1319</v>
      </c>
      <c r="IL28" s="9">
        <v>1156</v>
      </c>
      <c r="IM28" s="9">
        <v>1318</v>
      </c>
      <c r="IN28" s="9">
        <v>1052</v>
      </c>
      <c r="IO28" s="9"/>
      <c r="IP28" s="9">
        <v>1175</v>
      </c>
      <c r="IQ28" s="9">
        <v>1414</v>
      </c>
      <c r="IR28" s="9">
        <v>700</v>
      </c>
      <c r="IS28" s="9">
        <v>1313</v>
      </c>
      <c r="IT28" s="9">
        <v>1257</v>
      </c>
      <c r="IU28" s="9"/>
      <c r="IV28" s="9"/>
      <c r="IW28" s="9">
        <v>1278</v>
      </c>
      <c r="IX28" s="9">
        <v>1400</v>
      </c>
      <c r="IY28" s="9">
        <v>1335</v>
      </c>
      <c r="IZ28" s="9">
        <v>1320</v>
      </c>
      <c r="JA28" s="9">
        <v>1149</v>
      </c>
      <c r="JB28" s="11">
        <v>37.9</v>
      </c>
      <c r="JC28" s="11">
        <v>46.08</v>
      </c>
      <c r="JD28" s="11">
        <v>1.93</v>
      </c>
      <c r="JE28" s="11">
        <v>5.0999999999999996</v>
      </c>
      <c r="JF28" s="11"/>
      <c r="JG28" s="11">
        <v>0</v>
      </c>
      <c r="JH28" s="13">
        <v>7.08</v>
      </c>
      <c r="JI28" s="12"/>
      <c r="JJ28" s="12"/>
      <c r="JK28" s="9">
        <v>82757675.466000006</v>
      </c>
      <c r="JL28" s="9">
        <v>281573.49</v>
      </c>
      <c r="JM28" s="9">
        <v>55865708.265000001</v>
      </c>
      <c r="JN28" s="9">
        <v>61336.974999999999</v>
      </c>
      <c r="JO28" s="9">
        <v>83551224.231999993</v>
      </c>
      <c r="JP28" s="9">
        <v>186178.147</v>
      </c>
      <c r="JQ28" s="9">
        <v>60485503.243000001</v>
      </c>
      <c r="JR28" s="9">
        <v>55339.845000000001</v>
      </c>
      <c r="JS28" s="11">
        <v>313776481.84799999</v>
      </c>
      <c r="JT28" s="11">
        <v>83040.582999999999</v>
      </c>
      <c r="JU28" s="14">
        <f t="shared" si="81"/>
        <v>90838.665000006557</v>
      </c>
      <c r="JV28" s="14">
        <f t="shared" si="82"/>
        <v>13.178000000014435</v>
      </c>
      <c r="JW28" s="14">
        <f t="shared" si="83"/>
        <v>89057.586000002921</v>
      </c>
      <c r="JX28" s="14">
        <f t="shared" si="84"/>
        <v>9.4369999999980791</v>
      </c>
      <c r="JY28" s="14">
        <f t="shared" si="85"/>
        <v>93433.938999995589</v>
      </c>
      <c r="JZ28" s="14">
        <f t="shared" si="86"/>
        <v>42.5</v>
      </c>
      <c r="KA28" s="14">
        <f t="shared" si="87"/>
        <v>69299.829000003636</v>
      </c>
      <c r="KB28" s="14">
        <f t="shared" si="88"/>
        <v>11.764999999999418</v>
      </c>
      <c r="KC28" s="14">
        <f t="shared" si="90"/>
        <v>342184.7310000062</v>
      </c>
      <c r="KD28" s="14">
        <f t="shared" si="89"/>
        <v>53.875</v>
      </c>
      <c r="KE28" s="15">
        <f t="shared" si="92"/>
        <v>179873.63600000946</v>
      </c>
      <c r="KF28" s="15">
        <f t="shared" si="93"/>
        <v>342130.8560000062</v>
      </c>
      <c r="KG28" s="16">
        <f>(RD[[#This Row],[Sunset Time (POA&lt;20 W/m2)]]-RD[[#This Row],[Sunrise Time (POA&gt;20 W/m2)]])*24</f>
        <v>11.999999999999998</v>
      </c>
      <c r="KH28" s="53">
        <f>RD[[#This Row],[GHI ]]</f>
        <v>0</v>
      </c>
      <c r="KI28" s="53">
        <f>RD[[#This Row],[POA]]</f>
        <v>7.08</v>
      </c>
      <c r="KJ28" s="53">
        <f>RD[[#This Row],[AT (°C) 14 Hours]]</f>
        <v>37.9</v>
      </c>
      <c r="KK28" s="53">
        <f>RD[[#This Row],[MT (°C) Gen. Hours]]</f>
        <v>46.08</v>
      </c>
      <c r="KL28" s="53">
        <f>RD[[#This Row],[WS_Avg (m/s) (24 Hours)]]</f>
        <v>1.93</v>
      </c>
      <c r="KM28" s="53">
        <f>RD[[#This Row],[WS_Max (m/s)]]</f>
        <v>5.0999999999999996</v>
      </c>
      <c r="KN28" s="54">
        <f>SUM(RD[[#This Row],[BLK1_INV1]:[BLK8_INV27]])</f>
        <v>347261</v>
      </c>
      <c r="KO28" s="95"/>
      <c r="KP28" s="55"/>
      <c r="KQ28" s="90" t="str">
        <f>IFERROR(RD[[#This Row],[WPR_Eac]]/RD[[#This Row],[WPR_Edc]],"")</f>
        <v/>
      </c>
    </row>
    <row r="29" spans="2:303" ht="15" customHeight="1" x14ac:dyDescent="0.25">
      <c r="B29" s="52">
        <v>45770</v>
      </c>
      <c r="C29" s="9">
        <f>YEAR(RD[[#This Row],[Date]])+IF(MONTH(RD[[#This Row],[Date]])&gt;=4,1,0)</f>
        <v>2026</v>
      </c>
      <c r="D29" s="6">
        <f t="shared" si="91"/>
        <v>2025</v>
      </c>
      <c r="E29" s="7"/>
      <c r="F29" s="7"/>
      <c r="G29" s="8" t="str">
        <f>TEXT(RD[[#This Row],[Date]],"mmm-yy")</f>
        <v>Apr-25</v>
      </c>
      <c r="H29" s="6">
        <f t="shared" si="94"/>
        <v>30</v>
      </c>
      <c r="I29" s="9">
        <f>'Basic Data '!$S$2</f>
        <v>66750</v>
      </c>
      <c r="J29" s="10">
        <v>0.29166666666666669</v>
      </c>
      <c r="K29" s="10">
        <v>0.79166666666666663</v>
      </c>
      <c r="L29" s="9">
        <v>1634</v>
      </c>
      <c r="M29" s="9">
        <v>1639</v>
      </c>
      <c r="N29" s="9">
        <v>1516</v>
      </c>
      <c r="O29" s="9">
        <v>1505</v>
      </c>
      <c r="P29" s="9">
        <v>1633</v>
      </c>
      <c r="Q29" s="9">
        <v>1507</v>
      </c>
      <c r="R29" s="9">
        <v>1518</v>
      </c>
      <c r="S29" s="9">
        <v>1519</v>
      </c>
      <c r="T29" s="9">
        <v>1486</v>
      </c>
      <c r="U29" s="9">
        <v>1560</v>
      </c>
      <c r="V29" s="9">
        <v>1548</v>
      </c>
      <c r="W29" s="9">
        <v>1539</v>
      </c>
      <c r="X29" s="9">
        <v>1517</v>
      </c>
      <c r="Y29" s="9">
        <v>1362</v>
      </c>
      <c r="Z29" s="9">
        <v>1440</v>
      </c>
      <c r="AA29" s="9">
        <v>1467</v>
      </c>
      <c r="AB29" s="9">
        <v>1357</v>
      </c>
      <c r="AC29" s="9">
        <v>1368</v>
      </c>
      <c r="AD29" s="9">
        <v>1535</v>
      </c>
      <c r="AE29" s="9">
        <v>1529</v>
      </c>
      <c r="AF29" s="9">
        <v>1433</v>
      </c>
      <c r="AG29" s="9">
        <v>1385</v>
      </c>
      <c r="AH29" s="9">
        <v>1574</v>
      </c>
      <c r="AI29" s="9">
        <v>1482</v>
      </c>
      <c r="AJ29" s="9">
        <v>1534</v>
      </c>
      <c r="AK29" s="9">
        <v>1512</v>
      </c>
      <c r="AL29" s="9">
        <v>1507</v>
      </c>
      <c r="AM29" s="9">
        <v>1504</v>
      </c>
      <c r="AN29" s="9">
        <v>1529</v>
      </c>
      <c r="AO29" s="9">
        <v>1557</v>
      </c>
      <c r="AP29" s="9">
        <v>1560</v>
      </c>
      <c r="AQ29" s="9">
        <v>1425</v>
      </c>
      <c r="AR29" s="9">
        <v>1383</v>
      </c>
      <c r="AS29" s="9">
        <v>1730</v>
      </c>
      <c r="AT29" s="9">
        <v>1424</v>
      </c>
      <c r="AU29" s="9">
        <v>1614</v>
      </c>
      <c r="AV29" s="9">
        <v>1481</v>
      </c>
      <c r="AW29" s="9">
        <v>1434</v>
      </c>
      <c r="AX29" s="9">
        <v>1460</v>
      </c>
      <c r="AY29" s="9">
        <v>1494</v>
      </c>
      <c r="AZ29" s="9">
        <v>1424</v>
      </c>
      <c r="BA29" s="9">
        <v>1423</v>
      </c>
      <c r="BB29" s="9">
        <v>1443</v>
      </c>
      <c r="BC29" s="9">
        <v>1463</v>
      </c>
      <c r="BD29" s="9">
        <v>1458</v>
      </c>
      <c r="BE29" s="9">
        <v>1524</v>
      </c>
      <c r="BF29" s="9">
        <v>1623</v>
      </c>
      <c r="BG29" s="9">
        <v>1483</v>
      </c>
      <c r="BH29" s="9">
        <v>1435</v>
      </c>
      <c r="BI29" s="9">
        <v>1476</v>
      </c>
      <c r="BJ29" s="9">
        <v>1387</v>
      </c>
      <c r="BK29" s="9">
        <v>1461</v>
      </c>
      <c r="BL29" s="9">
        <v>1664</v>
      </c>
      <c r="BM29" s="9">
        <v>1646</v>
      </c>
      <c r="BN29" s="9">
        <v>1574</v>
      </c>
      <c r="BO29" s="9">
        <v>1612</v>
      </c>
      <c r="BP29" s="9">
        <v>1652</v>
      </c>
      <c r="BQ29" s="9">
        <v>1426</v>
      </c>
      <c r="BR29" s="9">
        <v>1601</v>
      </c>
      <c r="BS29" s="9">
        <v>1540</v>
      </c>
      <c r="BT29" s="9">
        <v>1431</v>
      </c>
      <c r="BU29" s="9">
        <v>808</v>
      </c>
      <c r="BV29" s="9">
        <v>1570</v>
      </c>
      <c r="BW29" s="9">
        <v>1560</v>
      </c>
      <c r="BX29" s="9">
        <v>1623</v>
      </c>
      <c r="BY29" s="9">
        <v>1616</v>
      </c>
      <c r="BZ29" s="9">
        <v>1634</v>
      </c>
      <c r="CA29" s="9">
        <v>1278</v>
      </c>
      <c r="CB29" s="9">
        <v>1448</v>
      </c>
      <c r="CC29" s="9">
        <v>1440</v>
      </c>
      <c r="CD29" s="9">
        <v>1524</v>
      </c>
      <c r="CE29" s="9">
        <v>1354</v>
      </c>
      <c r="CF29" s="9">
        <v>1526</v>
      </c>
      <c r="CG29" s="9">
        <v>1468</v>
      </c>
      <c r="CH29" s="9">
        <v>1662</v>
      </c>
      <c r="CI29" s="9">
        <v>1637</v>
      </c>
      <c r="CJ29" s="9">
        <v>1668</v>
      </c>
      <c r="CK29" s="9">
        <v>1434</v>
      </c>
      <c r="CL29" s="9">
        <v>1434</v>
      </c>
      <c r="CM29" s="9">
        <v>1498</v>
      </c>
      <c r="CN29" s="9">
        <v>1474</v>
      </c>
      <c r="CO29" s="9">
        <v>1484</v>
      </c>
      <c r="CP29" s="9">
        <v>1476</v>
      </c>
      <c r="CQ29" s="9">
        <v>1482</v>
      </c>
      <c r="CR29" s="9">
        <v>1462</v>
      </c>
      <c r="CS29" s="9">
        <v>1518</v>
      </c>
      <c r="CT29" s="9">
        <v>1548</v>
      </c>
      <c r="CU29" s="9">
        <v>1536</v>
      </c>
      <c r="CV29" s="9">
        <v>1506</v>
      </c>
      <c r="CW29" s="9">
        <v>1420</v>
      </c>
      <c r="CX29" s="9">
        <v>1518</v>
      </c>
      <c r="CY29" s="9">
        <v>852</v>
      </c>
      <c r="CZ29" s="9">
        <v>1526</v>
      </c>
      <c r="DA29" s="9">
        <v>1522</v>
      </c>
      <c r="DB29" s="9">
        <v>1392</v>
      </c>
      <c r="DC29" s="9">
        <v>1380</v>
      </c>
      <c r="DD29" s="9">
        <v>1445</v>
      </c>
      <c r="DE29" s="9">
        <v>1374</v>
      </c>
      <c r="DF29" s="9">
        <v>1467</v>
      </c>
      <c r="DG29" s="9">
        <v>1475</v>
      </c>
      <c r="DH29" s="9">
        <v>1474</v>
      </c>
      <c r="DI29" s="9">
        <v>1478</v>
      </c>
      <c r="DJ29" s="9">
        <v>1511</v>
      </c>
      <c r="DK29" s="9">
        <v>1491</v>
      </c>
      <c r="DL29" s="9">
        <v>1614</v>
      </c>
      <c r="DM29" s="9">
        <v>1520</v>
      </c>
      <c r="DN29" s="9">
        <v>1670</v>
      </c>
      <c r="DO29" s="9">
        <v>1602</v>
      </c>
      <c r="DP29" s="9">
        <v>1478</v>
      </c>
      <c r="DQ29" s="9">
        <v>1644</v>
      </c>
      <c r="DR29" s="9">
        <v>1440</v>
      </c>
      <c r="DS29" s="9">
        <v>1540</v>
      </c>
      <c r="DT29" s="9">
        <v>1554</v>
      </c>
      <c r="DU29" s="9">
        <v>1631</v>
      </c>
      <c r="DV29" s="9">
        <v>1336</v>
      </c>
      <c r="DW29" s="9">
        <v>1451</v>
      </c>
      <c r="DX29" s="9">
        <v>1586</v>
      </c>
      <c r="DY29" s="9">
        <v>1656</v>
      </c>
      <c r="DZ29" s="9">
        <v>1488</v>
      </c>
      <c r="EA29" s="9">
        <v>1495</v>
      </c>
      <c r="EB29" s="9">
        <v>1533</v>
      </c>
      <c r="EC29" s="9">
        <v>1558</v>
      </c>
      <c r="ED29" s="9">
        <v>1441</v>
      </c>
      <c r="EE29" s="9">
        <v>1517</v>
      </c>
      <c r="EF29" s="9">
        <v>1528</v>
      </c>
      <c r="EG29" s="9">
        <v>1489</v>
      </c>
      <c r="EH29" s="9">
        <v>1402</v>
      </c>
      <c r="EI29" s="9">
        <v>1439</v>
      </c>
      <c r="EJ29" s="9">
        <v>1671</v>
      </c>
      <c r="EK29" s="9">
        <v>1678</v>
      </c>
      <c r="EL29" s="9">
        <v>1600</v>
      </c>
      <c r="EM29" s="9">
        <v>1605</v>
      </c>
      <c r="EN29" s="9">
        <v>1543</v>
      </c>
      <c r="EO29" s="9">
        <v>1329</v>
      </c>
      <c r="EP29" s="9">
        <v>1682</v>
      </c>
      <c r="EQ29" s="9">
        <v>1585</v>
      </c>
      <c r="ER29" s="9">
        <v>1621</v>
      </c>
      <c r="ES29" s="9">
        <v>1524</v>
      </c>
      <c r="ET29" s="9">
        <v>1501</v>
      </c>
      <c r="EU29" s="9">
        <v>1501</v>
      </c>
      <c r="EV29" s="9">
        <v>1483</v>
      </c>
      <c r="EW29" s="9">
        <v>1526</v>
      </c>
      <c r="EX29" s="9">
        <v>1424</v>
      </c>
      <c r="EY29" s="9">
        <v>1651</v>
      </c>
      <c r="EZ29" s="9">
        <v>1393</v>
      </c>
      <c r="FA29" s="9">
        <v>1673</v>
      </c>
      <c r="FB29" s="9">
        <v>1561</v>
      </c>
      <c r="FC29" s="9">
        <v>1408</v>
      </c>
      <c r="FD29" s="9">
        <v>1614</v>
      </c>
      <c r="FE29" s="9">
        <v>1641</v>
      </c>
      <c r="FF29" s="9">
        <v>1640</v>
      </c>
      <c r="FG29" s="9">
        <v>1516</v>
      </c>
      <c r="FH29" s="9">
        <v>1615</v>
      </c>
      <c r="FI29" s="9">
        <v>1508</v>
      </c>
      <c r="FJ29" s="9">
        <v>1487</v>
      </c>
      <c r="FK29" s="9">
        <v>1467</v>
      </c>
      <c r="FL29" s="9">
        <v>1430</v>
      </c>
      <c r="FM29" s="9">
        <v>1400</v>
      </c>
      <c r="FN29" s="9">
        <v>1395</v>
      </c>
      <c r="FO29" s="9">
        <v>1455</v>
      </c>
      <c r="FP29" s="9">
        <v>1671</v>
      </c>
      <c r="FQ29" s="9">
        <v>1438</v>
      </c>
      <c r="FR29" s="9">
        <v>1592</v>
      </c>
      <c r="FS29" s="9">
        <v>1600</v>
      </c>
      <c r="FT29" s="9">
        <v>1445</v>
      </c>
      <c r="FU29" s="9">
        <v>1376</v>
      </c>
      <c r="FV29" s="9">
        <v>1415</v>
      </c>
      <c r="FW29" s="9">
        <v>1571</v>
      </c>
      <c r="FX29" s="9">
        <v>1486</v>
      </c>
      <c r="FY29" s="9">
        <v>1358</v>
      </c>
      <c r="FZ29" s="9">
        <v>1457</v>
      </c>
      <c r="GA29" s="9">
        <v>1440</v>
      </c>
      <c r="GB29" s="9">
        <v>1388</v>
      </c>
      <c r="GC29" s="9">
        <v>1511</v>
      </c>
      <c r="GD29" s="9">
        <v>1673</v>
      </c>
      <c r="GE29" s="9">
        <v>1459</v>
      </c>
      <c r="GF29" s="9">
        <v>1467</v>
      </c>
      <c r="GG29" s="9">
        <v>1314</v>
      </c>
      <c r="GH29" s="9">
        <v>1627</v>
      </c>
      <c r="GI29" s="9">
        <v>1461</v>
      </c>
      <c r="GJ29" s="9">
        <v>1416</v>
      </c>
      <c r="GK29" s="9">
        <v>1477</v>
      </c>
      <c r="GL29" s="9">
        <v>1643</v>
      </c>
      <c r="GM29" s="9">
        <v>1682</v>
      </c>
      <c r="GN29" s="9">
        <v>1526</v>
      </c>
      <c r="GO29" s="9">
        <v>1668</v>
      </c>
      <c r="GP29" s="9">
        <v>1536</v>
      </c>
      <c r="GQ29" s="9">
        <v>1547</v>
      </c>
      <c r="GR29" s="9">
        <v>1509</v>
      </c>
      <c r="GS29" s="9">
        <v>1340</v>
      </c>
      <c r="GT29" s="9">
        <v>1424</v>
      </c>
      <c r="GU29" s="9">
        <v>1389</v>
      </c>
      <c r="GV29" s="9">
        <v>1234</v>
      </c>
      <c r="GW29" s="9">
        <v>1445</v>
      </c>
      <c r="GX29" s="9">
        <v>1481</v>
      </c>
      <c r="GY29" s="9">
        <v>1301</v>
      </c>
      <c r="GZ29" s="9">
        <v>1210</v>
      </c>
      <c r="HA29" s="9">
        <v>1489</v>
      </c>
      <c r="HB29" s="9"/>
      <c r="HC29" s="9"/>
      <c r="HD29" s="9">
        <v>1303</v>
      </c>
      <c r="HE29" s="9">
        <v>1009</v>
      </c>
      <c r="HF29" s="9">
        <v>1400</v>
      </c>
      <c r="HG29" s="9"/>
      <c r="HH29" s="9">
        <v>1606</v>
      </c>
      <c r="HI29" s="9">
        <v>1405</v>
      </c>
      <c r="HJ29" s="9">
        <v>1308</v>
      </c>
      <c r="HK29" s="9">
        <v>1339</v>
      </c>
      <c r="HL29" s="9">
        <v>1506</v>
      </c>
      <c r="HM29" s="9">
        <v>1502</v>
      </c>
      <c r="HN29" s="9">
        <v>1405</v>
      </c>
      <c r="HO29" s="9">
        <v>1358</v>
      </c>
      <c r="HP29" s="9">
        <v>1540</v>
      </c>
      <c r="HQ29" s="9">
        <v>1416</v>
      </c>
      <c r="HR29" s="9">
        <v>1432</v>
      </c>
      <c r="HS29" s="9">
        <v>1461</v>
      </c>
      <c r="HT29" s="9">
        <v>1461</v>
      </c>
      <c r="HU29" s="9">
        <v>1450</v>
      </c>
      <c r="HV29" s="9">
        <v>1627</v>
      </c>
      <c r="HW29" s="9">
        <v>1233</v>
      </c>
      <c r="HX29" s="9">
        <v>1134</v>
      </c>
      <c r="HY29" s="9">
        <v>1111</v>
      </c>
      <c r="HZ29" s="9">
        <v>1011</v>
      </c>
      <c r="IA29" s="9">
        <v>1189</v>
      </c>
      <c r="IB29" s="9">
        <v>1337</v>
      </c>
      <c r="IC29" s="9">
        <v>1478</v>
      </c>
      <c r="ID29" s="9">
        <v>1378</v>
      </c>
      <c r="IE29" s="9">
        <v>1410</v>
      </c>
      <c r="IF29" s="9">
        <v>1428</v>
      </c>
      <c r="IG29" s="9">
        <v>1463</v>
      </c>
      <c r="IH29" s="9">
        <v>1232</v>
      </c>
      <c r="II29" s="9">
        <v>1310</v>
      </c>
      <c r="IJ29" s="9">
        <v>1067</v>
      </c>
      <c r="IK29" s="9">
        <v>1232</v>
      </c>
      <c r="IL29" s="9">
        <v>1081</v>
      </c>
      <c r="IM29" s="9">
        <v>1234</v>
      </c>
      <c r="IN29" s="9">
        <v>998</v>
      </c>
      <c r="IO29" s="9"/>
      <c r="IP29" s="9">
        <v>1175</v>
      </c>
      <c r="IQ29" s="9">
        <v>1445</v>
      </c>
      <c r="IR29" s="9">
        <v>699</v>
      </c>
      <c r="IS29" s="9">
        <v>1343</v>
      </c>
      <c r="IT29" s="9">
        <v>1284</v>
      </c>
      <c r="IU29" s="9"/>
      <c r="IV29" s="9"/>
      <c r="IW29" s="9">
        <v>1210</v>
      </c>
      <c r="IX29" s="9">
        <v>1310</v>
      </c>
      <c r="IY29" s="9">
        <v>1380</v>
      </c>
      <c r="IZ29" s="9">
        <v>1298</v>
      </c>
      <c r="JA29" s="9">
        <v>1175</v>
      </c>
      <c r="JB29" s="11">
        <v>38</v>
      </c>
      <c r="JC29" s="11">
        <v>46.1</v>
      </c>
      <c r="JD29" s="11">
        <v>2</v>
      </c>
      <c r="JE29" s="11">
        <v>5.3</v>
      </c>
      <c r="JF29" s="11"/>
      <c r="JG29" s="11">
        <v>0</v>
      </c>
      <c r="JH29" s="13">
        <v>7.22</v>
      </c>
      <c r="JI29" s="12"/>
      <c r="JJ29" s="12"/>
      <c r="JK29" s="9">
        <v>82851348.836999997</v>
      </c>
      <c r="JL29" s="9">
        <v>281586.67300000001</v>
      </c>
      <c r="JM29" s="9">
        <v>55957678.329000004</v>
      </c>
      <c r="JN29" s="9">
        <v>61345.995999999999</v>
      </c>
      <c r="JO29" s="9">
        <v>83647713.106000006</v>
      </c>
      <c r="JP29" s="9">
        <v>186202.29199999999</v>
      </c>
      <c r="JQ29" s="9">
        <v>60554920.387000002</v>
      </c>
      <c r="JR29" s="9">
        <v>55352.805999999997</v>
      </c>
      <c r="JS29" s="11">
        <v>314127642.01099998</v>
      </c>
      <c r="JT29" s="11">
        <v>83095.409</v>
      </c>
      <c r="JU29" s="14">
        <f t="shared" si="81"/>
        <v>93673.370999991894</v>
      </c>
      <c r="JV29" s="14">
        <f t="shared" si="82"/>
        <v>13.183000000019092</v>
      </c>
      <c r="JW29" s="14">
        <f t="shared" si="83"/>
        <v>91970.06400000304</v>
      </c>
      <c r="JX29" s="14">
        <f t="shared" si="84"/>
        <v>9.0210000000006403</v>
      </c>
      <c r="JY29" s="14">
        <f t="shared" si="85"/>
        <v>96488.874000012875</v>
      </c>
      <c r="JZ29" s="14">
        <f t="shared" si="86"/>
        <v>24.144999999989523</v>
      </c>
      <c r="KA29" s="14">
        <f t="shared" si="87"/>
        <v>69417.144000001252</v>
      </c>
      <c r="KB29" s="14">
        <f t="shared" si="88"/>
        <v>12.960999999995693</v>
      </c>
      <c r="KC29" s="14">
        <f t="shared" si="90"/>
        <v>351160.1629999876</v>
      </c>
      <c r="KD29" s="14">
        <f t="shared" si="89"/>
        <v>54.826000000000931</v>
      </c>
      <c r="KE29" s="15">
        <f t="shared" si="92"/>
        <v>185621.23099999491</v>
      </c>
      <c r="KF29" s="15">
        <f t="shared" si="93"/>
        <v>351105.3369999876</v>
      </c>
      <c r="KG29" s="16">
        <f>(RD[[#This Row],[Sunset Time (POA&lt;20 W/m2)]]-RD[[#This Row],[Sunrise Time (POA&gt;20 W/m2)]])*24</f>
        <v>11.999999999999998</v>
      </c>
      <c r="KH29" s="53">
        <f>RD[[#This Row],[GHI ]]</f>
        <v>0</v>
      </c>
      <c r="KI29" s="53">
        <f>RD[[#This Row],[POA]]</f>
        <v>7.22</v>
      </c>
      <c r="KJ29" s="53">
        <f>RD[[#This Row],[AT (°C) 14 Hours]]</f>
        <v>38</v>
      </c>
      <c r="KK29" s="53">
        <f>RD[[#This Row],[MT (°C) Gen. Hours]]</f>
        <v>46.1</v>
      </c>
      <c r="KL29" s="53">
        <f>RD[[#This Row],[WS_Avg (m/s) (24 Hours)]]</f>
        <v>2</v>
      </c>
      <c r="KM29" s="53">
        <f>RD[[#This Row],[WS_Max (m/s)]]</f>
        <v>5.3</v>
      </c>
      <c r="KN29" s="54">
        <f>SUM(RD[[#This Row],[BLK1_INV1]:[BLK8_INV27]])</f>
        <v>355743</v>
      </c>
      <c r="KO29" s="95"/>
      <c r="KP29" s="55"/>
      <c r="KQ29" s="90" t="str">
        <f>IFERROR(RD[[#This Row],[WPR_Eac]]/RD[[#This Row],[WPR_Edc]],"")</f>
        <v/>
      </c>
    </row>
    <row r="30" spans="2:303" ht="15" customHeight="1" x14ac:dyDescent="0.25">
      <c r="B30" s="52">
        <v>45771</v>
      </c>
      <c r="C30" s="9">
        <f>YEAR(RD[[#This Row],[Date]])+IF(MONTH(RD[[#This Row],[Date]])&gt;=4,1,0)</f>
        <v>2026</v>
      </c>
      <c r="D30" s="6">
        <f t="shared" si="91"/>
        <v>2025</v>
      </c>
      <c r="E30" s="7"/>
      <c r="F30" s="7"/>
      <c r="G30" s="8" t="str">
        <f>TEXT(RD[[#This Row],[Date]],"mmm-yy")</f>
        <v>Apr-25</v>
      </c>
      <c r="H30" s="6">
        <f t="shared" si="94"/>
        <v>30</v>
      </c>
      <c r="I30" s="9">
        <f>'Basic Data '!$S$2</f>
        <v>66750</v>
      </c>
      <c r="J30" s="10">
        <v>0.29166666666666669</v>
      </c>
      <c r="K30" s="10">
        <v>0.79166666666666663</v>
      </c>
      <c r="L30" s="9">
        <v>1619</v>
      </c>
      <c r="M30" s="9">
        <v>1624</v>
      </c>
      <c r="N30" s="9">
        <v>1501</v>
      </c>
      <c r="O30" s="9">
        <v>1492</v>
      </c>
      <c r="P30" s="9">
        <v>1608</v>
      </c>
      <c r="Q30" s="9">
        <v>1487</v>
      </c>
      <c r="R30" s="9">
        <v>1482</v>
      </c>
      <c r="S30" s="9">
        <v>1482</v>
      </c>
      <c r="T30" s="9">
        <v>1453</v>
      </c>
      <c r="U30" s="9">
        <v>1527</v>
      </c>
      <c r="V30" s="9">
        <v>1514</v>
      </c>
      <c r="W30" s="9">
        <v>1502</v>
      </c>
      <c r="X30" s="9">
        <v>1484</v>
      </c>
      <c r="Y30" s="9">
        <v>1328</v>
      </c>
      <c r="Z30" s="9">
        <v>1433</v>
      </c>
      <c r="AA30" s="9">
        <v>1477</v>
      </c>
      <c r="AB30" s="9">
        <v>1432</v>
      </c>
      <c r="AC30" s="9">
        <v>1435</v>
      </c>
      <c r="AD30" s="9">
        <v>1605</v>
      </c>
      <c r="AE30" s="9">
        <v>1575</v>
      </c>
      <c r="AF30" s="9">
        <v>1490</v>
      </c>
      <c r="AG30" s="9">
        <v>1438</v>
      </c>
      <c r="AH30" s="9">
        <v>1641</v>
      </c>
      <c r="AI30" s="9">
        <v>1538</v>
      </c>
      <c r="AJ30" s="9">
        <v>1575</v>
      </c>
      <c r="AK30" s="9">
        <v>1545</v>
      </c>
      <c r="AL30" s="9">
        <v>1533</v>
      </c>
      <c r="AM30" s="9">
        <v>1506</v>
      </c>
      <c r="AN30" s="9">
        <v>1552</v>
      </c>
      <c r="AO30" s="9">
        <v>1579</v>
      </c>
      <c r="AP30" s="9">
        <v>1580</v>
      </c>
      <c r="AQ30" s="9">
        <v>1445</v>
      </c>
      <c r="AR30" s="9">
        <v>1374</v>
      </c>
      <c r="AS30" s="9">
        <v>1712</v>
      </c>
      <c r="AT30" s="9">
        <v>1418</v>
      </c>
      <c r="AU30" s="9">
        <v>1616</v>
      </c>
      <c r="AV30" s="9">
        <v>1470</v>
      </c>
      <c r="AW30" s="9">
        <v>1408</v>
      </c>
      <c r="AX30" s="9">
        <v>1427</v>
      </c>
      <c r="AY30" s="9">
        <v>1459</v>
      </c>
      <c r="AZ30" s="9">
        <v>1399</v>
      </c>
      <c r="BA30" s="9">
        <v>1394</v>
      </c>
      <c r="BB30" s="9">
        <v>1415</v>
      </c>
      <c r="BC30" s="9">
        <v>1429</v>
      </c>
      <c r="BD30" s="9">
        <v>1448</v>
      </c>
      <c r="BE30" s="9">
        <v>1515</v>
      </c>
      <c r="BF30" s="9">
        <v>1604</v>
      </c>
      <c r="BG30" s="9">
        <v>1455</v>
      </c>
      <c r="BH30" s="9">
        <v>1224</v>
      </c>
      <c r="BI30" s="9">
        <v>1256</v>
      </c>
      <c r="BJ30" s="9">
        <v>1187</v>
      </c>
      <c r="BK30" s="9">
        <v>1252</v>
      </c>
      <c r="BL30" s="9">
        <v>1426</v>
      </c>
      <c r="BM30" s="9">
        <v>1414</v>
      </c>
      <c r="BN30" s="9">
        <v>1346</v>
      </c>
      <c r="BO30" s="9">
        <v>1381</v>
      </c>
      <c r="BP30" s="9">
        <v>1402</v>
      </c>
      <c r="BQ30" s="9">
        <v>1220</v>
      </c>
      <c r="BR30" s="9">
        <v>1411</v>
      </c>
      <c r="BS30" s="9">
        <v>1370</v>
      </c>
      <c r="BT30" s="9">
        <v>1226</v>
      </c>
      <c r="BU30" s="9">
        <v>1112</v>
      </c>
      <c r="BV30" s="9">
        <v>1595</v>
      </c>
      <c r="BW30" s="9">
        <v>1563</v>
      </c>
      <c r="BX30" s="9">
        <v>1594</v>
      </c>
      <c r="BY30" s="9">
        <v>1587</v>
      </c>
      <c r="BZ30" s="9">
        <v>1603</v>
      </c>
      <c r="CA30" s="9">
        <v>1251</v>
      </c>
      <c r="CB30" s="9">
        <v>1418</v>
      </c>
      <c r="CC30" s="9">
        <v>1419</v>
      </c>
      <c r="CD30" s="9">
        <v>1491</v>
      </c>
      <c r="CE30" s="9">
        <v>1311</v>
      </c>
      <c r="CF30" s="9">
        <v>1512</v>
      </c>
      <c r="CG30" s="9">
        <v>1436</v>
      </c>
      <c r="CH30" s="9">
        <v>1648</v>
      </c>
      <c r="CI30" s="9">
        <v>1622</v>
      </c>
      <c r="CJ30" s="9">
        <v>1653</v>
      </c>
      <c r="CK30" s="9">
        <v>1414</v>
      </c>
      <c r="CL30" s="9">
        <v>1421</v>
      </c>
      <c r="CM30" s="9">
        <v>1452</v>
      </c>
      <c r="CN30" s="9">
        <v>1470</v>
      </c>
      <c r="CO30" s="9">
        <v>1476</v>
      </c>
      <c r="CP30" s="9">
        <v>1471</v>
      </c>
      <c r="CQ30" s="9">
        <v>1487</v>
      </c>
      <c r="CR30" s="9">
        <v>1452</v>
      </c>
      <c r="CS30" s="9">
        <v>1509</v>
      </c>
      <c r="CT30" s="9">
        <v>1518</v>
      </c>
      <c r="CU30" s="9">
        <v>1505</v>
      </c>
      <c r="CV30" s="9">
        <v>1476</v>
      </c>
      <c r="CW30" s="9">
        <v>1377</v>
      </c>
      <c r="CX30" s="9">
        <v>1474</v>
      </c>
      <c r="CY30" s="9">
        <v>755</v>
      </c>
      <c r="CZ30" s="9">
        <v>1508</v>
      </c>
      <c r="DA30" s="9">
        <v>1515</v>
      </c>
      <c r="DB30" s="9">
        <v>1395</v>
      </c>
      <c r="DC30" s="9">
        <v>1325</v>
      </c>
      <c r="DD30" s="9">
        <v>1422</v>
      </c>
      <c r="DE30" s="9">
        <v>1321</v>
      </c>
      <c r="DF30" s="9">
        <v>1461</v>
      </c>
      <c r="DG30" s="9">
        <v>1486</v>
      </c>
      <c r="DH30" s="9">
        <v>1463</v>
      </c>
      <c r="DI30" s="9">
        <v>1475</v>
      </c>
      <c r="DJ30" s="9">
        <v>1505</v>
      </c>
      <c r="DK30" s="9">
        <v>1482</v>
      </c>
      <c r="DL30" s="9">
        <v>1589</v>
      </c>
      <c r="DM30" s="9">
        <v>1493</v>
      </c>
      <c r="DN30" s="9">
        <v>1638</v>
      </c>
      <c r="DO30" s="9">
        <v>1611</v>
      </c>
      <c r="DP30" s="9">
        <v>1498</v>
      </c>
      <c r="DQ30" s="9">
        <v>1578</v>
      </c>
      <c r="DR30" s="9">
        <v>1394</v>
      </c>
      <c r="DS30" s="9">
        <v>1501</v>
      </c>
      <c r="DT30" s="9">
        <v>1509</v>
      </c>
      <c r="DU30" s="9">
        <v>1623</v>
      </c>
      <c r="DV30" s="9">
        <v>1306</v>
      </c>
      <c r="DW30" s="9">
        <v>1430</v>
      </c>
      <c r="DX30" s="9">
        <v>1580</v>
      </c>
      <c r="DY30" s="9">
        <v>1613</v>
      </c>
      <c r="DZ30" s="9">
        <v>1440</v>
      </c>
      <c r="EA30" s="9">
        <v>1456</v>
      </c>
      <c r="EB30" s="9">
        <v>1497</v>
      </c>
      <c r="EC30" s="9">
        <v>1515</v>
      </c>
      <c r="ED30" s="9">
        <v>1390</v>
      </c>
      <c r="EE30" s="9">
        <v>1478</v>
      </c>
      <c r="EF30" s="9">
        <v>1492</v>
      </c>
      <c r="EG30" s="9">
        <v>1492</v>
      </c>
      <c r="EH30" s="9">
        <v>1377</v>
      </c>
      <c r="EI30" s="9">
        <v>1406</v>
      </c>
      <c r="EJ30" s="9">
        <v>1631</v>
      </c>
      <c r="EK30" s="9">
        <v>1639</v>
      </c>
      <c r="EL30" s="9">
        <v>1567</v>
      </c>
      <c r="EM30" s="9">
        <v>1571</v>
      </c>
      <c r="EN30" s="9">
        <v>1525</v>
      </c>
      <c r="EO30" s="9">
        <v>1322</v>
      </c>
      <c r="EP30" s="9">
        <v>1680</v>
      </c>
      <c r="EQ30" s="9">
        <v>1568</v>
      </c>
      <c r="ER30" s="9">
        <v>1612</v>
      </c>
      <c r="ES30" s="9">
        <v>1515</v>
      </c>
      <c r="ET30" s="9">
        <v>1513</v>
      </c>
      <c r="EU30" s="9">
        <v>1500</v>
      </c>
      <c r="EV30" s="9">
        <v>1465</v>
      </c>
      <c r="EW30" s="9">
        <v>1501</v>
      </c>
      <c r="EX30" s="9">
        <v>1436</v>
      </c>
      <c r="EY30" s="9">
        <v>1658</v>
      </c>
      <c r="EZ30" s="9">
        <v>1386</v>
      </c>
      <c r="FA30" s="9">
        <v>1671</v>
      </c>
      <c r="FB30" s="9">
        <v>1483</v>
      </c>
      <c r="FC30" s="9">
        <v>1376</v>
      </c>
      <c r="FD30" s="9">
        <v>1587</v>
      </c>
      <c r="FE30" s="9">
        <v>1654</v>
      </c>
      <c r="FF30" s="9">
        <v>1608</v>
      </c>
      <c r="FG30" s="9">
        <v>1491</v>
      </c>
      <c r="FH30" s="9">
        <v>1631</v>
      </c>
      <c r="FI30" s="9">
        <v>1486</v>
      </c>
      <c r="FJ30" s="9">
        <v>1447</v>
      </c>
      <c r="FK30" s="9">
        <v>1472</v>
      </c>
      <c r="FL30" s="9">
        <v>1389</v>
      </c>
      <c r="FM30" s="9">
        <v>1404</v>
      </c>
      <c r="FN30" s="9">
        <v>1366</v>
      </c>
      <c r="FO30" s="9">
        <v>1424</v>
      </c>
      <c r="FP30" s="9">
        <v>1636</v>
      </c>
      <c r="FQ30" s="9">
        <v>1408</v>
      </c>
      <c r="FR30" s="9">
        <v>1557</v>
      </c>
      <c r="FS30" s="9">
        <v>1567</v>
      </c>
      <c r="FT30" s="9">
        <v>1413</v>
      </c>
      <c r="FU30" s="9">
        <v>1343</v>
      </c>
      <c r="FV30" s="9">
        <v>1388</v>
      </c>
      <c r="FW30" s="9">
        <v>1534</v>
      </c>
      <c r="FX30" s="9">
        <v>1452</v>
      </c>
      <c r="FY30" s="9">
        <v>1334</v>
      </c>
      <c r="FZ30" s="9">
        <v>1432</v>
      </c>
      <c r="GA30" s="9">
        <v>1418</v>
      </c>
      <c r="GB30" s="9">
        <v>1354</v>
      </c>
      <c r="GC30" s="9">
        <v>1480</v>
      </c>
      <c r="GD30" s="9">
        <v>1671</v>
      </c>
      <c r="GE30" s="9">
        <v>1462</v>
      </c>
      <c r="GF30" s="9">
        <v>1482</v>
      </c>
      <c r="GG30" s="9">
        <v>1324</v>
      </c>
      <c r="GH30" s="9">
        <v>1671</v>
      </c>
      <c r="GI30" s="9">
        <v>1488</v>
      </c>
      <c r="GJ30" s="9">
        <v>1449</v>
      </c>
      <c r="GK30" s="9">
        <v>1491</v>
      </c>
      <c r="GL30" s="9">
        <v>1606</v>
      </c>
      <c r="GM30" s="9">
        <v>1650</v>
      </c>
      <c r="GN30" s="9">
        <v>1527</v>
      </c>
      <c r="GO30" s="9">
        <v>1644</v>
      </c>
      <c r="GP30" s="9">
        <v>1543</v>
      </c>
      <c r="GQ30" s="9">
        <v>1551</v>
      </c>
      <c r="GR30" s="9">
        <v>1489</v>
      </c>
      <c r="GS30" s="9">
        <v>1342</v>
      </c>
      <c r="GT30" s="9">
        <v>1413</v>
      </c>
      <c r="GU30" s="9">
        <v>1379</v>
      </c>
      <c r="GV30" s="9">
        <v>1229</v>
      </c>
      <c r="GW30" s="9">
        <v>1423</v>
      </c>
      <c r="GX30" s="9">
        <v>1472</v>
      </c>
      <c r="GY30" s="9">
        <v>1274</v>
      </c>
      <c r="GZ30" s="9">
        <v>1184</v>
      </c>
      <c r="HA30" s="9">
        <v>1479</v>
      </c>
      <c r="HB30" s="9"/>
      <c r="HC30" s="9"/>
      <c r="HD30" s="9">
        <v>1279</v>
      </c>
      <c r="HE30" s="9">
        <v>992</v>
      </c>
      <c r="HF30" s="9">
        <v>1369</v>
      </c>
      <c r="HG30" s="9"/>
      <c r="HH30" s="9">
        <v>1573</v>
      </c>
      <c r="HI30" s="9">
        <v>1371</v>
      </c>
      <c r="HJ30" s="9">
        <v>1448</v>
      </c>
      <c r="HK30" s="9">
        <v>1342</v>
      </c>
      <c r="HL30" s="9">
        <v>1334</v>
      </c>
      <c r="HM30" s="9">
        <v>1416</v>
      </c>
      <c r="HN30" s="9">
        <v>1459</v>
      </c>
      <c r="HO30" s="9">
        <v>1401</v>
      </c>
      <c r="HP30" s="9">
        <v>1453</v>
      </c>
      <c r="HQ30" s="9">
        <v>1452</v>
      </c>
      <c r="HR30" s="9">
        <v>1468</v>
      </c>
      <c r="HS30" s="9">
        <v>1453</v>
      </c>
      <c r="HT30" s="9">
        <v>1574</v>
      </c>
      <c r="HU30" s="9">
        <v>1625</v>
      </c>
      <c r="HV30" s="9">
        <v>1430</v>
      </c>
      <c r="HW30" s="9">
        <v>1139</v>
      </c>
      <c r="HX30" s="9">
        <v>1139</v>
      </c>
      <c r="HY30" s="9">
        <v>1114</v>
      </c>
      <c r="HZ30" s="9">
        <v>1008</v>
      </c>
      <c r="IA30" s="9">
        <v>1175</v>
      </c>
      <c r="IB30" s="9">
        <v>1405</v>
      </c>
      <c r="IC30" s="9">
        <v>1564</v>
      </c>
      <c r="ID30" s="9">
        <v>1377</v>
      </c>
      <c r="IE30" s="9">
        <v>1435</v>
      </c>
      <c r="IF30" s="9">
        <v>1434</v>
      </c>
      <c r="IG30" s="9">
        <v>1467</v>
      </c>
      <c r="IH30" s="9">
        <v>1538</v>
      </c>
      <c r="II30" s="9">
        <v>1392</v>
      </c>
      <c r="IJ30" s="9">
        <v>1127</v>
      </c>
      <c r="IK30" s="9">
        <v>1302</v>
      </c>
      <c r="IL30" s="9">
        <v>1141</v>
      </c>
      <c r="IM30" s="9">
        <v>1304</v>
      </c>
      <c r="IN30" s="9">
        <v>1441</v>
      </c>
      <c r="IO30" s="9"/>
      <c r="IP30" s="9">
        <v>1175</v>
      </c>
      <c r="IQ30" s="9">
        <v>1449</v>
      </c>
      <c r="IR30" s="9">
        <v>621</v>
      </c>
      <c r="IS30" s="9">
        <v>1315</v>
      </c>
      <c r="IT30" s="9">
        <v>1263</v>
      </c>
      <c r="IU30" s="9"/>
      <c r="IV30" s="9"/>
      <c r="IW30" s="9">
        <v>1278</v>
      </c>
      <c r="IX30" s="9">
        <v>1353</v>
      </c>
      <c r="IY30" s="9">
        <v>1260</v>
      </c>
      <c r="IZ30" s="9">
        <v>1152</v>
      </c>
      <c r="JA30" s="9">
        <v>1182</v>
      </c>
      <c r="JB30" s="11">
        <v>36.5</v>
      </c>
      <c r="JC30" s="11">
        <v>45.1</v>
      </c>
      <c r="JD30" s="11">
        <v>2.4700000000000002</v>
      </c>
      <c r="JE30" s="11">
        <v>8.3000000000000007</v>
      </c>
      <c r="JF30" s="11"/>
      <c r="JG30" s="11">
        <v>0</v>
      </c>
      <c r="JH30" s="13">
        <v>7.18</v>
      </c>
      <c r="JI30" s="12"/>
      <c r="JJ30" s="12"/>
      <c r="JK30" s="9">
        <v>82942719.164000005</v>
      </c>
      <c r="JL30" s="9">
        <v>281600.43800000002</v>
      </c>
      <c r="JM30" s="9">
        <v>56048174.185999997</v>
      </c>
      <c r="JN30" s="9">
        <v>61355.934999999998</v>
      </c>
      <c r="JO30" s="9">
        <v>83743255.547000006</v>
      </c>
      <c r="JP30" s="9">
        <v>186244.522</v>
      </c>
      <c r="JQ30" s="9">
        <v>60624877.611000001</v>
      </c>
      <c r="JR30" s="9">
        <v>55365.966999999997</v>
      </c>
      <c r="JS30" s="11">
        <v>314474585.97600001</v>
      </c>
      <c r="JT30" s="11">
        <v>83153.540999999997</v>
      </c>
      <c r="JU30" s="14">
        <f t="shared" si="81"/>
        <v>91370.327000007033</v>
      </c>
      <c r="JV30" s="14">
        <f t="shared" ref="JV30:JV35" si="95">IF((JL30-JL29)&lt;0,"",(JL30-JL29))</f>
        <v>13.76500000001397</v>
      </c>
      <c r="JW30" s="14">
        <f t="shared" si="83"/>
        <v>90495.856999993324</v>
      </c>
      <c r="JX30" s="14">
        <f t="shared" si="84"/>
        <v>9.9389999999984866</v>
      </c>
      <c r="JY30" s="14">
        <f t="shared" si="85"/>
        <v>95542.440999999642</v>
      </c>
      <c r="JZ30" s="14">
        <f t="shared" si="86"/>
        <v>42.230000000010477</v>
      </c>
      <c r="KA30" s="14">
        <f t="shared" si="87"/>
        <v>69957.223999999464</v>
      </c>
      <c r="KB30" s="14">
        <f t="shared" si="88"/>
        <v>13.161000000000058</v>
      </c>
      <c r="KC30" s="14">
        <f t="shared" si="90"/>
        <v>346943.96500003338</v>
      </c>
      <c r="KD30" s="14">
        <f t="shared" si="89"/>
        <v>58.131999999997788</v>
      </c>
      <c r="KE30" s="15">
        <f t="shared" si="92"/>
        <v>181842.48000000033</v>
      </c>
      <c r="KF30" s="15">
        <f t="shared" si="93"/>
        <v>346885.8330000334</v>
      </c>
      <c r="KG30" s="16">
        <f>(RD[[#This Row],[Sunset Time (POA&lt;20 W/m2)]]-RD[[#This Row],[Sunrise Time (POA&gt;20 W/m2)]])*24</f>
        <v>11.999999999999998</v>
      </c>
      <c r="KH30" s="53">
        <f>RD[[#This Row],[GHI ]]</f>
        <v>0</v>
      </c>
      <c r="KI30" s="53">
        <f>RD[[#This Row],[POA]]</f>
        <v>7.18</v>
      </c>
      <c r="KJ30" s="53">
        <f>RD[[#This Row],[AT (°C) 14 Hours]]</f>
        <v>36.5</v>
      </c>
      <c r="KK30" s="53">
        <f>RD[[#This Row],[MT (°C) Gen. Hours]]</f>
        <v>45.1</v>
      </c>
      <c r="KL30" s="53">
        <f>RD[[#This Row],[WS_Avg (m/s) (24 Hours)]]</f>
        <v>2.4700000000000002</v>
      </c>
      <c r="KM30" s="53">
        <f>RD[[#This Row],[WS_Max (m/s)]]</f>
        <v>8.3000000000000007</v>
      </c>
      <c r="KN30" s="54">
        <f>SUM(RD[[#This Row],[BLK1_INV1]:[BLK8_INV27]])</f>
        <v>351420</v>
      </c>
      <c r="KO30" s="95"/>
      <c r="KP30" s="55"/>
      <c r="KQ30" s="90" t="str">
        <f>IFERROR(RD[[#This Row],[WPR_Eac]]/RD[[#This Row],[WPR_Edc]],"")</f>
        <v/>
      </c>
    </row>
    <row r="31" spans="2:303" ht="15" customHeight="1" x14ac:dyDescent="0.25">
      <c r="B31" s="52">
        <v>45772</v>
      </c>
      <c r="C31" s="9">
        <f>YEAR(RD[[#This Row],[Date]])+IF(MONTH(RD[[#This Row],[Date]])&gt;=4,1,0)</f>
        <v>2026</v>
      </c>
      <c r="D31" s="6">
        <f t="shared" si="91"/>
        <v>2025</v>
      </c>
      <c r="E31" s="7"/>
      <c r="F31" s="7"/>
      <c r="G31" s="8" t="str">
        <f>TEXT(RD[[#This Row],[Date]],"mmm-yy")</f>
        <v>Apr-25</v>
      </c>
      <c r="H31" s="6">
        <f t="shared" si="94"/>
        <v>30</v>
      </c>
      <c r="I31" s="9">
        <f>'Basic Data '!$S$2</f>
        <v>66750</v>
      </c>
      <c r="J31" s="10">
        <v>0.29166666666666669</v>
      </c>
      <c r="K31" s="10">
        <v>0.79166666666666663</v>
      </c>
      <c r="L31" s="9">
        <v>1522</v>
      </c>
      <c r="M31" s="9">
        <v>1531</v>
      </c>
      <c r="N31" s="9">
        <v>1418</v>
      </c>
      <c r="O31" s="9">
        <v>1410</v>
      </c>
      <c r="P31" s="9">
        <v>1520</v>
      </c>
      <c r="Q31" s="9">
        <v>1408</v>
      </c>
      <c r="R31" s="9">
        <v>1398</v>
      </c>
      <c r="S31" s="9">
        <v>1398</v>
      </c>
      <c r="T31" s="9">
        <v>1371</v>
      </c>
      <c r="U31" s="9">
        <v>1443</v>
      </c>
      <c r="V31" s="9">
        <v>1433</v>
      </c>
      <c r="W31" s="9">
        <v>1420</v>
      </c>
      <c r="X31" s="9">
        <v>1399</v>
      </c>
      <c r="Y31" s="9">
        <v>1254</v>
      </c>
      <c r="Z31" s="9">
        <v>1354</v>
      </c>
      <c r="AA31" s="9">
        <v>1398</v>
      </c>
      <c r="AB31" s="9">
        <v>1178</v>
      </c>
      <c r="AC31" s="9">
        <v>1179</v>
      </c>
      <c r="AD31" s="9">
        <v>1330</v>
      </c>
      <c r="AE31" s="9">
        <v>1312</v>
      </c>
      <c r="AF31" s="9">
        <v>1226</v>
      </c>
      <c r="AG31" s="9">
        <v>1191</v>
      </c>
      <c r="AH31" s="9">
        <v>1354</v>
      </c>
      <c r="AI31" s="9">
        <v>1282</v>
      </c>
      <c r="AJ31" s="9">
        <v>1325</v>
      </c>
      <c r="AK31" s="9">
        <v>1308</v>
      </c>
      <c r="AL31" s="9">
        <v>1302</v>
      </c>
      <c r="AM31" s="9">
        <v>1282</v>
      </c>
      <c r="AN31" s="9">
        <v>1293</v>
      </c>
      <c r="AO31" s="9">
        <v>1319</v>
      </c>
      <c r="AP31" s="9">
        <v>1584</v>
      </c>
      <c r="AQ31" s="9">
        <v>1208</v>
      </c>
      <c r="AR31" s="9">
        <v>1287</v>
      </c>
      <c r="AS31" s="9">
        <v>1621</v>
      </c>
      <c r="AT31" s="9">
        <v>1343</v>
      </c>
      <c r="AU31" s="9">
        <v>1420</v>
      </c>
      <c r="AV31" s="9">
        <v>1391</v>
      </c>
      <c r="AW31" s="9">
        <v>1331</v>
      </c>
      <c r="AX31" s="9">
        <v>1352</v>
      </c>
      <c r="AY31" s="9">
        <v>1379</v>
      </c>
      <c r="AZ31" s="9">
        <v>1343</v>
      </c>
      <c r="BA31" s="9">
        <v>1333</v>
      </c>
      <c r="BB31" s="9">
        <v>1361</v>
      </c>
      <c r="BC31" s="9">
        <v>1371</v>
      </c>
      <c r="BD31" s="9">
        <v>1395</v>
      </c>
      <c r="BE31" s="9">
        <v>1438</v>
      </c>
      <c r="BF31" s="9">
        <v>1534</v>
      </c>
      <c r="BG31" s="9">
        <v>1398</v>
      </c>
      <c r="BH31" s="9">
        <v>1347</v>
      </c>
      <c r="BI31" s="9">
        <v>1397</v>
      </c>
      <c r="BJ31" s="9">
        <v>1321</v>
      </c>
      <c r="BK31" s="9">
        <v>1390</v>
      </c>
      <c r="BL31" s="9">
        <v>1578</v>
      </c>
      <c r="BM31" s="9">
        <v>1563</v>
      </c>
      <c r="BN31" s="9">
        <v>1475</v>
      </c>
      <c r="BO31" s="9">
        <v>1519</v>
      </c>
      <c r="BP31" s="9">
        <v>1535</v>
      </c>
      <c r="BQ31" s="9">
        <v>1333</v>
      </c>
      <c r="BR31" s="9">
        <v>1553</v>
      </c>
      <c r="BS31" s="9">
        <v>1508</v>
      </c>
      <c r="BT31" s="9">
        <v>1340</v>
      </c>
      <c r="BU31" s="9">
        <v>1115</v>
      </c>
      <c r="BV31" s="9">
        <v>1592</v>
      </c>
      <c r="BW31" s="9">
        <v>1573</v>
      </c>
      <c r="BX31" s="9">
        <v>1508</v>
      </c>
      <c r="BY31" s="9">
        <v>1500</v>
      </c>
      <c r="BZ31" s="9">
        <v>1517</v>
      </c>
      <c r="CA31" s="9">
        <v>1183</v>
      </c>
      <c r="CB31" s="9">
        <v>1348</v>
      </c>
      <c r="CC31" s="9">
        <v>1342</v>
      </c>
      <c r="CD31" s="9">
        <v>1413</v>
      </c>
      <c r="CE31" s="9">
        <v>1260</v>
      </c>
      <c r="CF31" s="9">
        <v>1443</v>
      </c>
      <c r="CG31" s="9">
        <v>1364</v>
      </c>
      <c r="CH31" s="9">
        <v>1573</v>
      </c>
      <c r="CI31" s="9">
        <v>1549</v>
      </c>
      <c r="CJ31" s="9">
        <v>1579</v>
      </c>
      <c r="CK31" s="9">
        <v>1356</v>
      </c>
      <c r="CL31" s="9">
        <v>1361</v>
      </c>
      <c r="CM31" s="9">
        <v>1391</v>
      </c>
      <c r="CN31" s="9">
        <v>1402</v>
      </c>
      <c r="CO31" s="9">
        <v>1404</v>
      </c>
      <c r="CP31" s="9">
        <v>1401</v>
      </c>
      <c r="CQ31" s="9">
        <v>1415</v>
      </c>
      <c r="CR31" s="9">
        <v>1400</v>
      </c>
      <c r="CS31" s="9">
        <v>1433</v>
      </c>
      <c r="CT31" s="9">
        <v>1451</v>
      </c>
      <c r="CU31" s="9">
        <v>1438</v>
      </c>
      <c r="CV31" s="9">
        <v>1409</v>
      </c>
      <c r="CW31" s="9">
        <v>1292</v>
      </c>
      <c r="CX31" s="9">
        <v>1312</v>
      </c>
      <c r="CY31" s="9">
        <v>1000</v>
      </c>
      <c r="CZ31" s="9">
        <v>1533</v>
      </c>
      <c r="DA31" s="9">
        <v>1443</v>
      </c>
      <c r="DB31" s="9">
        <v>1396</v>
      </c>
      <c r="DC31" s="9">
        <v>1355</v>
      </c>
      <c r="DD31" s="9">
        <v>1365</v>
      </c>
      <c r="DE31" s="9">
        <v>1408</v>
      </c>
      <c r="DF31" s="9">
        <v>1377</v>
      </c>
      <c r="DG31" s="9">
        <v>1401</v>
      </c>
      <c r="DH31" s="9">
        <v>1437</v>
      </c>
      <c r="DI31" s="9">
        <v>1390</v>
      </c>
      <c r="DJ31" s="9">
        <v>1417</v>
      </c>
      <c r="DK31" s="9">
        <v>1394</v>
      </c>
      <c r="DL31" s="9">
        <v>1540</v>
      </c>
      <c r="DM31" s="9">
        <v>1404</v>
      </c>
      <c r="DN31" s="9">
        <v>1541</v>
      </c>
      <c r="DO31" s="9">
        <v>1520</v>
      </c>
      <c r="DP31" s="9">
        <v>1417</v>
      </c>
      <c r="DQ31" s="9">
        <v>1504</v>
      </c>
      <c r="DR31" s="9">
        <v>1508</v>
      </c>
      <c r="DS31" s="9">
        <v>1453</v>
      </c>
      <c r="DT31" s="9">
        <v>1469</v>
      </c>
      <c r="DU31" s="9">
        <v>1559</v>
      </c>
      <c r="DV31" s="9">
        <v>1408</v>
      </c>
      <c r="DW31" s="9">
        <v>1383</v>
      </c>
      <c r="DX31" s="9">
        <v>1517</v>
      </c>
      <c r="DY31" s="9">
        <v>1539</v>
      </c>
      <c r="DZ31" s="9">
        <v>1512</v>
      </c>
      <c r="EA31" s="9">
        <v>1392</v>
      </c>
      <c r="EB31" s="9">
        <v>1422</v>
      </c>
      <c r="EC31" s="9">
        <v>1428</v>
      </c>
      <c r="ED31" s="9">
        <v>1513</v>
      </c>
      <c r="EE31" s="9">
        <v>1401</v>
      </c>
      <c r="EF31" s="9">
        <v>1405</v>
      </c>
      <c r="EG31" s="9">
        <v>1489</v>
      </c>
      <c r="EH31" s="9">
        <v>1319</v>
      </c>
      <c r="EI31" s="9">
        <v>1347</v>
      </c>
      <c r="EJ31" s="9">
        <v>1563</v>
      </c>
      <c r="EK31" s="9">
        <v>1570</v>
      </c>
      <c r="EL31" s="9">
        <v>1508</v>
      </c>
      <c r="EM31" s="9">
        <v>1517</v>
      </c>
      <c r="EN31" s="9">
        <v>1472</v>
      </c>
      <c r="EO31" s="9">
        <v>1262</v>
      </c>
      <c r="EP31" s="9">
        <v>1597</v>
      </c>
      <c r="EQ31" s="9">
        <v>1490</v>
      </c>
      <c r="ER31" s="9">
        <v>1531</v>
      </c>
      <c r="ES31" s="9">
        <v>1437</v>
      </c>
      <c r="ET31" s="9">
        <v>1439</v>
      </c>
      <c r="EU31" s="9">
        <v>1420</v>
      </c>
      <c r="EV31" s="9">
        <v>1408</v>
      </c>
      <c r="EW31" s="9">
        <v>1415</v>
      </c>
      <c r="EX31" s="9">
        <v>1358</v>
      </c>
      <c r="EY31" s="9">
        <v>1561</v>
      </c>
      <c r="EZ31" s="9">
        <v>1306</v>
      </c>
      <c r="FA31" s="9">
        <v>1574</v>
      </c>
      <c r="FB31" s="9">
        <v>1435</v>
      </c>
      <c r="FC31" s="9">
        <v>1296</v>
      </c>
      <c r="FD31" s="9">
        <v>1494</v>
      </c>
      <c r="FE31" s="9">
        <v>1510</v>
      </c>
      <c r="FF31" s="9">
        <v>1512</v>
      </c>
      <c r="FG31" s="9">
        <v>1403</v>
      </c>
      <c r="FH31" s="9">
        <v>1535</v>
      </c>
      <c r="FI31" s="9">
        <v>1400</v>
      </c>
      <c r="FJ31" s="9">
        <v>1382</v>
      </c>
      <c r="FK31" s="9">
        <v>1374</v>
      </c>
      <c r="FL31" s="9">
        <v>1392</v>
      </c>
      <c r="FM31" s="9">
        <v>1335</v>
      </c>
      <c r="FN31" s="9">
        <v>1280</v>
      </c>
      <c r="FO31" s="9">
        <v>1339</v>
      </c>
      <c r="FP31" s="9">
        <v>1533</v>
      </c>
      <c r="FQ31" s="9">
        <v>1324</v>
      </c>
      <c r="FR31" s="9">
        <v>1459</v>
      </c>
      <c r="FS31" s="9">
        <v>1468</v>
      </c>
      <c r="FT31" s="9">
        <v>1408</v>
      </c>
      <c r="FU31" s="9">
        <v>1267</v>
      </c>
      <c r="FV31" s="9">
        <v>1307</v>
      </c>
      <c r="FW31" s="9">
        <v>1446</v>
      </c>
      <c r="FX31" s="9">
        <v>1370</v>
      </c>
      <c r="FY31" s="9">
        <v>1258</v>
      </c>
      <c r="FZ31" s="9">
        <v>1353</v>
      </c>
      <c r="GA31" s="9">
        <v>1339</v>
      </c>
      <c r="GB31" s="9">
        <v>1280</v>
      </c>
      <c r="GC31" s="9">
        <v>1393</v>
      </c>
      <c r="GD31" s="9">
        <v>1610</v>
      </c>
      <c r="GE31" s="9">
        <v>1402</v>
      </c>
      <c r="GF31" s="9">
        <v>1410</v>
      </c>
      <c r="GG31" s="9">
        <v>1266</v>
      </c>
      <c r="GH31" s="9">
        <v>1595</v>
      </c>
      <c r="GI31" s="9">
        <v>1424</v>
      </c>
      <c r="GJ31" s="9">
        <v>1380</v>
      </c>
      <c r="GK31" s="9">
        <v>1420</v>
      </c>
      <c r="GL31" s="9">
        <v>1506</v>
      </c>
      <c r="GM31" s="9">
        <v>1568</v>
      </c>
      <c r="GN31" s="9">
        <v>1466</v>
      </c>
      <c r="GO31" s="9">
        <v>1570</v>
      </c>
      <c r="GP31" s="9">
        <v>1476</v>
      </c>
      <c r="GQ31" s="9">
        <v>1482</v>
      </c>
      <c r="GR31" s="9">
        <v>1408</v>
      </c>
      <c r="GS31" s="9">
        <v>1310</v>
      </c>
      <c r="GT31" s="9">
        <v>1335</v>
      </c>
      <c r="GU31" s="9">
        <v>1303</v>
      </c>
      <c r="GV31" s="9">
        <v>1203</v>
      </c>
      <c r="GW31" s="9">
        <v>1343</v>
      </c>
      <c r="GX31" s="9">
        <v>1429</v>
      </c>
      <c r="GY31" s="9">
        <v>1257</v>
      </c>
      <c r="GZ31" s="9">
        <v>1170</v>
      </c>
      <c r="HA31" s="9">
        <v>1410</v>
      </c>
      <c r="HB31" s="9"/>
      <c r="HC31" s="9"/>
      <c r="HD31" s="9">
        <v>1231</v>
      </c>
      <c r="HE31" s="9">
        <v>934</v>
      </c>
      <c r="HF31" s="9">
        <v>1290</v>
      </c>
      <c r="HG31" s="9"/>
      <c r="HH31" s="9">
        <v>1488</v>
      </c>
      <c r="HI31" s="9">
        <v>1296</v>
      </c>
      <c r="HJ31" s="9">
        <v>1379</v>
      </c>
      <c r="HK31" s="9">
        <v>1327</v>
      </c>
      <c r="HL31" s="9">
        <v>1382</v>
      </c>
      <c r="HM31" s="9">
        <v>1378</v>
      </c>
      <c r="HN31" s="9">
        <v>1390</v>
      </c>
      <c r="HO31" s="9">
        <v>1395</v>
      </c>
      <c r="HP31" s="9">
        <v>1398</v>
      </c>
      <c r="HQ31" s="9">
        <v>1394</v>
      </c>
      <c r="HR31" s="9">
        <v>1389</v>
      </c>
      <c r="HS31" s="9">
        <v>1440</v>
      </c>
      <c r="HT31" s="9">
        <v>1493</v>
      </c>
      <c r="HU31" s="9">
        <v>1550</v>
      </c>
      <c r="HV31" s="9">
        <v>1364</v>
      </c>
      <c r="HW31" s="9">
        <v>1163</v>
      </c>
      <c r="HX31" s="9">
        <v>1132</v>
      </c>
      <c r="HY31" s="9">
        <v>1107</v>
      </c>
      <c r="HZ31" s="9">
        <v>929</v>
      </c>
      <c r="IA31" s="9">
        <v>1084</v>
      </c>
      <c r="IB31" s="9">
        <v>1297</v>
      </c>
      <c r="IC31" s="9">
        <v>1441</v>
      </c>
      <c r="ID31" s="9">
        <v>1270</v>
      </c>
      <c r="IE31" s="9">
        <v>1319</v>
      </c>
      <c r="IF31" s="9">
        <v>1421</v>
      </c>
      <c r="IG31" s="9">
        <v>1455</v>
      </c>
      <c r="IH31" s="9">
        <v>1416</v>
      </c>
      <c r="II31" s="9">
        <v>1285</v>
      </c>
      <c r="IJ31" s="9">
        <v>1035</v>
      </c>
      <c r="IK31" s="9">
        <v>1199</v>
      </c>
      <c r="IL31" s="9">
        <v>1049</v>
      </c>
      <c r="IM31" s="9">
        <v>1202</v>
      </c>
      <c r="IN31" s="9">
        <v>956</v>
      </c>
      <c r="IO31" s="9"/>
      <c r="IP31" s="9">
        <v>1175</v>
      </c>
      <c r="IQ31" s="9">
        <v>1433</v>
      </c>
      <c r="IR31" s="9">
        <v>581</v>
      </c>
      <c r="IS31" s="9">
        <v>1237</v>
      </c>
      <c r="IT31" s="9">
        <v>1188</v>
      </c>
      <c r="IU31" s="9"/>
      <c r="IV31" s="9"/>
      <c r="IW31" s="9">
        <v>1271</v>
      </c>
      <c r="IX31" s="9">
        <v>1347</v>
      </c>
      <c r="IY31" s="9">
        <v>1188</v>
      </c>
      <c r="IZ31" s="9">
        <v>1152</v>
      </c>
      <c r="JA31" s="9">
        <v>1039</v>
      </c>
      <c r="JB31" s="11">
        <v>37.08</v>
      </c>
      <c r="JC31" s="11">
        <v>47.02</v>
      </c>
      <c r="JD31" s="11">
        <v>1.4</v>
      </c>
      <c r="JE31" s="11">
        <v>6.5</v>
      </c>
      <c r="JF31" s="11"/>
      <c r="JG31" s="11">
        <v>0</v>
      </c>
      <c r="JH31" s="13">
        <v>7.1</v>
      </c>
      <c r="JI31" s="12"/>
      <c r="JJ31" s="12"/>
      <c r="JK31" s="9">
        <v>83028954.272</v>
      </c>
      <c r="JL31" s="9">
        <v>281612.67700000003</v>
      </c>
      <c r="JM31" s="9">
        <v>56135133.046999998</v>
      </c>
      <c r="JN31" s="9">
        <v>61364.572</v>
      </c>
      <c r="JO31" s="9">
        <v>83833891.496000007</v>
      </c>
      <c r="JP31" s="9">
        <v>186312.49900000001</v>
      </c>
      <c r="JQ31" s="9">
        <v>60691066.881999999</v>
      </c>
      <c r="JR31" s="9">
        <v>55377.347999999998</v>
      </c>
      <c r="JS31" s="11">
        <v>314804205.23400003</v>
      </c>
      <c r="JT31" s="11">
        <v>83205.260999999999</v>
      </c>
      <c r="JU31" s="14">
        <f t="shared" si="81"/>
        <v>86235.107999995351</v>
      </c>
      <c r="JV31" s="14">
        <f t="shared" si="95"/>
        <v>12.239000000001397</v>
      </c>
      <c r="JW31" s="14">
        <f t="shared" si="83"/>
        <v>86958.861000001431</v>
      </c>
      <c r="JX31" s="14">
        <f t="shared" si="84"/>
        <v>8.6370000000024447</v>
      </c>
      <c r="JY31" s="14">
        <f t="shared" si="85"/>
        <v>90635.949000000954</v>
      </c>
      <c r="JZ31" s="14">
        <f t="shared" si="86"/>
        <v>67.977000000013504</v>
      </c>
      <c r="KA31" s="14">
        <f t="shared" si="87"/>
        <v>66189.270999997854</v>
      </c>
      <c r="KB31" s="14">
        <f t="shared" si="88"/>
        <v>11.381000000001222</v>
      </c>
      <c r="KC31" s="14">
        <f t="shared" si="90"/>
        <v>329619.25800001621</v>
      </c>
      <c r="KD31" s="14">
        <f t="shared" si="89"/>
        <v>51.720000000001164</v>
      </c>
      <c r="KE31" s="15">
        <f t="shared" si="92"/>
        <v>173173.09299999679</v>
      </c>
      <c r="KF31" s="15">
        <f t="shared" si="93"/>
        <v>329567.53800001624</v>
      </c>
      <c r="KG31" s="16">
        <f>(RD[[#This Row],[Sunset Time (POA&lt;20 W/m2)]]-RD[[#This Row],[Sunrise Time (POA&gt;20 W/m2)]])*24</f>
        <v>11.999999999999998</v>
      </c>
      <c r="KH31" s="53">
        <f>RD[[#This Row],[GHI ]]</f>
        <v>0</v>
      </c>
      <c r="KI31" s="53">
        <f>RD[[#This Row],[POA]]</f>
        <v>7.1</v>
      </c>
      <c r="KJ31" s="53">
        <f>RD[[#This Row],[AT (°C) 14 Hours]]</f>
        <v>37.08</v>
      </c>
      <c r="KK31" s="53">
        <f>RD[[#This Row],[MT (°C) Gen. Hours]]</f>
        <v>47.02</v>
      </c>
      <c r="KL31" s="53">
        <f>RD[[#This Row],[WS_Avg (m/s) (24 Hours)]]</f>
        <v>1.4</v>
      </c>
      <c r="KM31" s="53">
        <f>RD[[#This Row],[WS_Max (m/s)]]</f>
        <v>6.5</v>
      </c>
      <c r="KN31" s="54">
        <f>SUM(RD[[#This Row],[BLK1_INV1]:[BLK8_INV27]])</f>
        <v>335649</v>
      </c>
      <c r="KO31" s="95"/>
      <c r="KP31" s="55"/>
      <c r="KQ31" s="90" t="str">
        <f>IFERROR(RD[[#This Row],[WPR_Eac]]/RD[[#This Row],[WPR_Edc]],"")</f>
        <v/>
      </c>
    </row>
    <row r="32" spans="2:303" ht="15" customHeight="1" x14ac:dyDescent="0.25">
      <c r="B32" s="52">
        <v>45773</v>
      </c>
      <c r="C32" s="9">
        <f>YEAR(RD[[#This Row],[Date]])+IF(MONTH(RD[[#This Row],[Date]])&gt;=4,1,0)</f>
        <v>2026</v>
      </c>
      <c r="D32" s="6">
        <f t="shared" si="91"/>
        <v>2025</v>
      </c>
      <c r="E32" s="7"/>
      <c r="F32" s="7"/>
      <c r="G32" s="8" t="str">
        <f>TEXT(RD[[#This Row],[Date]],"mmm-yy")</f>
        <v>Apr-25</v>
      </c>
      <c r="H32" s="6">
        <f t="shared" si="94"/>
        <v>30</v>
      </c>
      <c r="I32" s="9">
        <f>'Basic Data '!$S$2</f>
        <v>66750</v>
      </c>
      <c r="J32" s="10">
        <v>0.29166666666666669</v>
      </c>
      <c r="K32" s="10">
        <v>0.79166666666666663</v>
      </c>
      <c r="L32" s="9">
        <v>1168</v>
      </c>
      <c r="M32" s="9">
        <v>1144</v>
      </c>
      <c r="N32" s="9">
        <v>1091</v>
      </c>
      <c r="O32" s="9">
        <v>1079</v>
      </c>
      <c r="P32" s="9">
        <v>1169</v>
      </c>
      <c r="Q32" s="9">
        <v>1088</v>
      </c>
      <c r="R32" s="9">
        <v>1086</v>
      </c>
      <c r="S32" s="9">
        <v>1088</v>
      </c>
      <c r="T32" s="9">
        <v>1071</v>
      </c>
      <c r="U32" s="9">
        <v>1133</v>
      </c>
      <c r="V32" s="9">
        <v>1116</v>
      </c>
      <c r="W32" s="9">
        <v>1104</v>
      </c>
      <c r="X32" s="9">
        <v>1086</v>
      </c>
      <c r="Y32" s="9">
        <v>1060</v>
      </c>
      <c r="Z32" s="9">
        <v>1039</v>
      </c>
      <c r="AA32" s="9">
        <v>1071</v>
      </c>
      <c r="AB32" s="9">
        <v>1038</v>
      </c>
      <c r="AC32" s="9">
        <v>1036</v>
      </c>
      <c r="AD32" s="9">
        <v>1174</v>
      </c>
      <c r="AE32" s="9">
        <v>1155</v>
      </c>
      <c r="AF32" s="9">
        <v>1079</v>
      </c>
      <c r="AG32" s="9">
        <v>1053</v>
      </c>
      <c r="AH32" s="9">
        <v>1195</v>
      </c>
      <c r="AI32" s="9">
        <v>1133</v>
      </c>
      <c r="AJ32" s="9">
        <v>1166</v>
      </c>
      <c r="AK32" s="9">
        <v>1155</v>
      </c>
      <c r="AL32" s="9">
        <v>1151</v>
      </c>
      <c r="AM32" s="9">
        <v>1162</v>
      </c>
      <c r="AN32" s="9">
        <v>1158</v>
      </c>
      <c r="AO32" s="9">
        <v>1180</v>
      </c>
      <c r="AP32" s="9">
        <v>1076</v>
      </c>
      <c r="AQ32" s="9">
        <v>1089</v>
      </c>
      <c r="AR32" s="9">
        <v>1081</v>
      </c>
      <c r="AS32" s="9">
        <v>1243</v>
      </c>
      <c r="AT32" s="9">
        <v>1037</v>
      </c>
      <c r="AU32" s="9">
        <v>1091</v>
      </c>
      <c r="AV32" s="9">
        <v>1087</v>
      </c>
      <c r="AW32" s="9">
        <v>1044</v>
      </c>
      <c r="AX32" s="9">
        <v>1057</v>
      </c>
      <c r="AY32" s="9">
        <v>1077</v>
      </c>
      <c r="AZ32" s="9">
        <v>1044</v>
      </c>
      <c r="BA32" s="9">
        <v>1029</v>
      </c>
      <c r="BB32" s="9">
        <v>1049</v>
      </c>
      <c r="BC32" s="9">
        <v>1056</v>
      </c>
      <c r="BD32" s="9">
        <v>1070</v>
      </c>
      <c r="BE32" s="9">
        <v>1092</v>
      </c>
      <c r="BF32" s="9">
        <v>1173</v>
      </c>
      <c r="BG32" s="9">
        <v>1071</v>
      </c>
      <c r="BH32" s="9">
        <v>1071</v>
      </c>
      <c r="BI32" s="9">
        <v>1099</v>
      </c>
      <c r="BJ32" s="9">
        <v>1047</v>
      </c>
      <c r="BK32" s="9">
        <v>1088</v>
      </c>
      <c r="BL32" s="9">
        <v>1240</v>
      </c>
      <c r="BM32" s="9">
        <v>1226</v>
      </c>
      <c r="BN32" s="9">
        <v>1168</v>
      </c>
      <c r="BO32" s="9">
        <v>1203</v>
      </c>
      <c r="BP32" s="9">
        <v>1228</v>
      </c>
      <c r="BQ32" s="9">
        <v>1095</v>
      </c>
      <c r="BR32" s="9">
        <v>1227</v>
      </c>
      <c r="BS32" s="9">
        <v>1191</v>
      </c>
      <c r="BT32" s="9">
        <v>1080</v>
      </c>
      <c r="BU32" s="9">
        <v>1206</v>
      </c>
      <c r="BV32" s="9">
        <v>1083</v>
      </c>
      <c r="BW32" s="9">
        <v>1204</v>
      </c>
      <c r="BX32" s="9">
        <v>1175</v>
      </c>
      <c r="BY32" s="9">
        <v>1170</v>
      </c>
      <c r="BZ32" s="9">
        <v>1184</v>
      </c>
      <c r="CA32" s="9">
        <v>974</v>
      </c>
      <c r="CB32" s="9">
        <v>1055</v>
      </c>
      <c r="CC32" s="9">
        <v>1030</v>
      </c>
      <c r="CD32" s="9">
        <v>1084</v>
      </c>
      <c r="CE32" s="9">
        <v>1042</v>
      </c>
      <c r="CF32" s="9">
        <v>1102</v>
      </c>
      <c r="CG32" s="9">
        <v>1062</v>
      </c>
      <c r="CH32" s="9">
        <v>1211</v>
      </c>
      <c r="CI32" s="9">
        <v>1198</v>
      </c>
      <c r="CJ32" s="9">
        <v>1214</v>
      </c>
      <c r="CK32" s="9">
        <v>1048</v>
      </c>
      <c r="CL32" s="9">
        <v>1056</v>
      </c>
      <c r="CM32" s="9">
        <v>1104</v>
      </c>
      <c r="CN32" s="9">
        <v>1074</v>
      </c>
      <c r="CO32" s="9">
        <v>1077</v>
      </c>
      <c r="CP32" s="9">
        <v>1077</v>
      </c>
      <c r="CQ32" s="9">
        <v>1085</v>
      </c>
      <c r="CR32" s="9">
        <v>1068</v>
      </c>
      <c r="CS32" s="9">
        <v>1083</v>
      </c>
      <c r="CT32" s="9">
        <v>1103</v>
      </c>
      <c r="CU32" s="9">
        <v>1090</v>
      </c>
      <c r="CV32" s="9">
        <v>1088</v>
      </c>
      <c r="CW32" s="9">
        <v>1082</v>
      </c>
      <c r="CX32" s="9">
        <v>1116</v>
      </c>
      <c r="CY32" s="9">
        <v>1131</v>
      </c>
      <c r="CZ32" s="9">
        <v>1103</v>
      </c>
      <c r="DA32" s="9">
        <v>1097</v>
      </c>
      <c r="DB32" s="9">
        <v>1134</v>
      </c>
      <c r="DC32" s="9">
        <v>1052</v>
      </c>
      <c r="DD32" s="9">
        <v>1053</v>
      </c>
      <c r="DE32" s="9">
        <v>1069</v>
      </c>
      <c r="DF32" s="9">
        <v>1046</v>
      </c>
      <c r="DG32" s="9">
        <v>1064</v>
      </c>
      <c r="DH32" s="9">
        <v>1092</v>
      </c>
      <c r="DI32" s="9">
        <v>1058</v>
      </c>
      <c r="DJ32" s="9">
        <v>1078</v>
      </c>
      <c r="DK32" s="9">
        <v>1068</v>
      </c>
      <c r="DL32" s="9">
        <v>1196</v>
      </c>
      <c r="DM32" s="9">
        <v>1100</v>
      </c>
      <c r="DN32" s="9">
        <v>1189</v>
      </c>
      <c r="DO32" s="9">
        <v>1170</v>
      </c>
      <c r="DP32" s="9">
        <v>1077</v>
      </c>
      <c r="DQ32" s="9">
        <v>1197</v>
      </c>
      <c r="DR32" s="9">
        <v>1187</v>
      </c>
      <c r="DS32" s="9">
        <v>1136</v>
      </c>
      <c r="DT32" s="9">
        <v>1160</v>
      </c>
      <c r="DU32" s="9">
        <v>1200</v>
      </c>
      <c r="DV32" s="9">
        <v>1068</v>
      </c>
      <c r="DW32" s="9">
        <v>1074</v>
      </c>
      <c r="DX32" s="9">
        <v>1169</v>
      </c>
      <c r="DY32" s="9">
        <v>1216</v>
      </c>
      <c r="DZ32" s="9">
        <v>1209</v>
      </c>
      <c r="EA32" s="9">
        <v>1082</v>
      </c>
      <c r="EB32" s="9">
        <v>1101</v>
      </c>
      <c r="EC32" s="9">
        <v>1127</v>
      </c>
      <c r="ED32" s="9">
        <v>1183</v>
      </c>
      <c r="EE32" s="9">
        <v>1090</v>
      </c>
      <c r="EF32" s="9">
        <v>1105</v>
      </c>
      <c r="EG32" s="9">
        <v>1196</v>
      </c>
      <c r="EH32" s="9">
        <v>1017</v>
      </c>
      <c r="EI32" s="9">
        <v>1037</v>
      </c>
      <c r="EJ32" s="9">
        <v>1199</v>
      </c>
      <c r="EK32" s="9">
        <v>1199</v>
      </c>
      <c r="EL32" s="9">
        <v>1153</v>
      </c>
      <c r="EM32" s="9">
        <v>1156</v>
      </c>
      <c r="EN32" s="9">
        <v>1131</v>
      </c>
      <c r="EO32" s="9">
        <v>966</v>
      </c>
      <c r="EP32" s="9">
        <v>1223</v>
      </c>
      <c r="EQ32" s="9">
        <v>1142</v>
      </c>
      <c r="ER32" s="9">
        <v>1170</v>
      </c>
      <c r="ES32" s="9">
        <v>1101</v>
      </c>
      <c r="ET32" s="9">
        <v>1102</v>
      </c>
      <c r="EU32" s="9">
        <v>1093</v>
      </c>
      <c r="EV32" s="9">
        <v>1077</v>
      </c>
      <c r="EW32" s="9">
        <v>1088</v>
      </c>
      <c r="EX32" s="9">
        <v>1033</v>
      </c>
      <c r="EY32" s="9">
        <v>1193</v>
      </c>
      <c r="EZ32" s="9">
        <v>1002</v>
      </c>
      <c r="FA32" s="9">
        <v>1198</v>
      </c>
      <c r="FB32" s="9">
        <v>1073</v>
      </c>
      <c r="FC32" s="9">
        <v>998</v>
      </c>
      <c r="FD32" s="9">
        <v>1161</v>
      </c>
      <c r="FE32" s="9">
        <v>1174</v>
      </c>
      <c r="FF32" s="9">
        <v>1177</v>
      </c>
      <c r="FG32" s="9">
        <v>1084</v>
      </c>
      <c r="FH32" s="9">
        <v>1174</v>
      </c>
      <c r="FI32" s="9">
        <v>1084</v>
      </c>
      <c r="FJ32" s="9">
        <v>1067</v>
      </c>
      <c r="FK32" s="9">
        <v>1055</v>
      </c>
      <c r="FL32" s="9">
        <v>1054</v>
      </c>
      <c r="FM32" s="9">
        <v>1022</v>
      </c>
      <c r="FN32" s="9">
        <v>1083</v>
      </c>
      <c r="FO32" s="9">
        <v>1039</v>
      </c>
      <c r="FP32" s="9">
        <v>1195</v>
      </c>
      <c r="FQ32" s="9">
        <v>1027</v>
      </c>
      <c r="FR32" s="9">
        <v>1125</v>
      </c>
      <c r="FS32" s="9">
        <v>1141</v>
      </c>
      <c r="FT32" s="9">
        <v>1110</v>
      </c>
      <c r="FU32" s="9">
        <v>985</v>
      </c>
      <c r="FV32" s="9">
        <v>1016</v>
      </c>
      <c r="FW32" s="9">
        <v>1122</v>
      </c>
      <c r="FX32" s="9">
        <v>1060</v>
      </c>
      <c r="FY32" s="9">
        <v>977</v>
      </c>
      <c r="FZ32" s="9">
        <v>1053</v>
      </c>
      <c r="GA32" s="9">
        <v>1034</v>
      </c>
      <c r="GB32" s="9">
        <v>1001</v>
      </c>
      <c r="GC32" s="9">
        <v>1078</v>
      </c>
      <c r="GD32" s="9">
        <v>1241</v>
      </c>
      <c r="GE32" s="9">
        <v>1079</v>
      </c>
      <c r="GF32" s="9">
        <v>1088</v>
      </c>
      <c r="GG32" s="9">
        <v>1089</v>
      </c>
      <c r="GH32" s="9">
        <v>1233</v>
      </c>
      <c r="GI32" s="9">
        <v>1102</v>
      </c>
      <c r="GJ32" s="9">
        <v>1067</v>
      </c>
      <c r="GK32" s="9">
        <v>1106</v>
      </c>
      <c r="GL32" s="9">
        <v>1163</v>
      </c>
      <c r="GM32" s="9">
        <v>1208</v>
      </c>
      <c r="GN32" s="9">
        <v>1133</v>
      </c>
      <c r="GO32" s="9">
        <v>1216</v>
      </c>
      <c r="GP32" s="9">
        <v>1139</v>
      </c>
      <c r="GQ32" s="9">
        <v>1140</v>
      </c>
      <c r="GR32" s="9">
        <v>1097</v>
      </c>
      <c r="GS32" s="9">
        <v>1101</v>
      </c>
      <c r="GT32" s="9">
        <v>1019</v>
      </c>
      <c r="GU32" s="9">
        <v>1011</v>
      </c>
      <c r="GV32" s="9">
        <v>1113</v>
      </c>
      <c r="GW32" s="9">
        <v>1025</v>
      </c>
      <c r="GX32" s="9">
        <v>1082</v>
      </c>
      <c r="GY32" s="9">
        <v>1130</v>
      </c>
      <c r="GZ32" s="9">
        <v>1060</v>
      </c>
      <c r="HA32" s="9">
        <v>1083</v>
      </c>
      <c r="HB32" s="9"/>
      <c r="HC32" s="9"/>
      <c r="HD32" s="9">
        <v>1050</v>
      </c>
      <c r="HE32" s="9">
        <v>768</v>
      </c>
      <c r="HF32" s="9">
        <v>1013</v>
      </c>
      <c r="HG32" s="9"/>
      <c r="HH32" s="9">
        <v>1137</v>
      </c>
      <c r="HI32" s="9">
        <v>1011</v>
      </c>
      <c r="HJ32" s="9">
        <v>1054</v>
      </c>
      <c r="HK32" s="9">
        <v>1020</v>
      </c>
      <c r="HL32" s="9">
        <v>1053</v>
      </c>
      <c r="HM32" s="9">
        <v>1065</v>
      </c>
      <c r="HN32" s="9">
        <v>1056</v>
      </c>
      <c r="HO32" s="9">
        <v>1073</v>
      </c>
      <c r="HP32" s="9">
        <v>1084</v>
      </c>
      <c r="HQ32" s="9">
        <v>1105</v>
      </c>
      <c r="HR32" s="9">
        <v>1086</v>
      </c>
      <c r="HS32" s="9">
        <v>1114</v>
      </c>
      <c r="HT32" s="9">
        <v>1166</v>
      </c>
      <c r="HU32" s="9">
        <v>1219</v>
      </c>
      <c r="HV32" s="9">
        <v>1035</v>
      </c>
      <c r="HW32" s="9">
        <v>1113</v>
      </c>
      <c r="HX32" s="9">
        <v>1050</v>
      </c>
      <c r="HY32" s="9">
        <v>1060</v>
      </c>
      <c r="HZ32" s="9">
        <v>914</v>
      </c>
      <c r="IA32" s="9">
        <v>1008</v>
      </c>
      <c r="IB32" s="9">
        <v>1029</v>
      </c>
      <c r="IC32" s="9">
        <v>1153</v>
      </c>
      <c r="ID32" s="9">
        <v>1026</v>
      </c>
      <c r="IE32" s="9">
        <v>1055</v>
      </c>
      <c r="IF32" s="9">
        <v>1021</v>
      </c>
      <c r="IG32" s="9">
        <v>1089</v>
      </c>
      <c r="IH32" s="9">
        <v>1130</v>
      </c>
      <c r="II32" s="9">
        <v>1038</v>
      </c>
      <c r="IJ32" s="9">
        <v>835</v>
      </c>
      <c r="IK32" s="9">
        <v>957</v>
      </c>
      <c r="IL32" s="9">
        <v>842</v>
      </c>
      <c r="IM32" s="9">
        <v>959</v>
      </c>
      <c r="IN32" s="9">
        <v>758</v>
      </c>
      <c r="IO32" s="9"/>
      <c r="IP32" s="9">
        <v>1175</v>
      </c>
      <c r="IQ32" s="9">
        <v>1163</v>
      </c>
      <c r="IR32" s="9">
        <v>588</v>
      </c>
      <c r="IS32" s="9">
        <v>1200</v>
      </c>
      <c r="IT32" s="9">
        <v>1050</v>
      </c>
      <c r="IU32" s="9"/>
      <c r="IV32" s="9"/>
      <c r="IW32" s="9">
        <v>1011</v>
      </c>
      <c r="IX32" s="9">
        <v>1100</v>
      </c>
      <c r="IY32" s="9">
        <v>1080</v>
      </c>
      <c r="IZ32" s="9">
        <v>1157</v>
      </c>
      <c r="JA32" s="9">
        <v>981</v>
      </c>
      <c r="JB32" s="11">
        <v>36.9</v>
      </c>
      <c r="JC32" s="11">
        <v>43.37</v>
      </c>
      <c r="JD32" s="11">
        <v>1.8</v>
      </c>
      <c r="JE32" s="11">
        <v>9.9</v>
      </c>
      <c r="JF32" s="11"/>
      <c r="JG32" s="11">
        <v>0</v>
      </c>
      <c r="JH32" s="13">
        <v>5.34</v>
      </c>
      <c r="JI32" s="12"/>
      <c r="JJ32" s="12"/>
      <c r="JK32" s="9">
        <v>83099811.756999999</v>
      </c>
      <c r="JL32" s="9">
        <v>281622.63799999998</v>
      </c>
      <c r="JM32" s="9">
        <v>56203507.306000002</v>
      </c>
      <c r="JN32" s="9">
        <v>61372.195</v>
      </c>
      <c r="JO32" s="9">
        <v>83904016.467999995</v>
      </c>
      <c r="JP32" s="9">
        <v>186328.13</v>
      </c>
      <c r="JQ32" s="9">
        <v>60742671.538000003</v>
      </c>
      <c r="JR32" s="9">
        <v>55387.237000000001</v>
      </c>
      <c r="JS32" s="11">
        <v>315064821.33399999</v>
      </c>
      <c r="JT32" s="11">
        <v>83247.126000000004</v>
      </c>
      <c r="JU32" s="14">
        <f t="shared" si="81"/>
        <v>70857.484999999404</v>
      </c>
      <c r="JV32" s="14">
        <f t="shared" si="95"/>
        <v>9.9609999999520369</v>
      </c>
      <c r="JW32" s="14">
        <f t="shared" si="83"/>
        <v>68374.259000003338</v>
      </c>
      <c r="JX32" s="14">
        <f t="shared" si="84"/>
        <v>7.6229999999995925</v>
      </c>
      <c r="JY32" s="14">
        <f t="shared" si="85"/>
        <v>70124.97199998796</v>
      </c>
      <c r="JZ32" s="14">
        <f t="shared" si="86"/>
        <v>15.630999999993946</v>
      </c>
      <c r="KA32" s="14">
        <f t="shared" si="87"/>
        <v>51604.656000003219</v>
      </c>
      <c r="KB32" s="14">
        <f t="shared" si="88"/>
        <v>9.8890000000028522</v>
      </c>
      <c r="KC32" s="14">
        <f t="shared" si="90"/>
        <v>260616.09999996424</v>
      </c>
      <c r="KD32" s="14">
        <f t="shared" si="89"/>
        <v>41.865000000005239</v>
      </c>
      <c r="KE32" s="15">
        <f t="shared" si="92"/>
        <v>139214.1600000028</v>
      </c>
      <c r="KF32" s="15">
        <f t="shared" si="93"/>
        <v>260574.23499996425</v>
      </c>
      <c r="KG32" s="16">
        <f>(RD[[#This Row],[Sunset Time (POA&lt;20 W/m2)]]-RD[[#This Row],[Sunrise Time (POA&gt;20 W/m2)]])*24</f>
        <v>11.999999999999998</v>
      </c>
      <c r="KH32" s="53">
        <f>RD[[#This Row],[GHI ]]</f>
        <v>0</v>
      </c>
      <c r="KI32" s="53">
        <f>RD[[#This Row],[POA]]</f>
        <v>5.34</v>
      </c>
      <c r="KJ32" s="53">
        <f>RD[[#This Row],[AT (°C) 14 Hours]]</f>
        <v>36.9</v>
      </c>
      <c r="KK32" s="53">
        <f>RD[[#This Row],[MT (°C) Gen. Hours]]</f>
        <v>43.37</v>
      </c>
      <c r="KL32" s="53">
        <f>RD[[#This Row],[WS_Avg (m/s) (24 Hours)]]</f>
        <v>1.8</v>
      </c>
      <c r="KM32" s="53">
        <f>RD[[#This Row],[WS_Max (m/s)]]</f>
        <v>9.9</v>
      </c>
      <c r="KN32" s="54">
        <f>SUM(RD[[#This Row],[BLK1_INV1]:[BLK8_INV27]])</f>
        <v>266123</v>
      </c>
      <c r="KO32" s="95"/>
      <c r="KP32" s="55"/>
      <c r="KQ32" s="90" t="str">
        <f>IFERROR(RD[[#This Row],[WPR_Eac]]/RD[[#This Row],[WPR_Edc]],"")</f>
        <v/>
      </c>
    </row>
    <row r="33" spans="2:303" ht="15" customHeight="1" x14ac:dyDescent="0.25">
      <c r="B33" s="52">
        <v>45774</v>
      </c>
      <c r="C33" s="9">
        <f>YEAR(RD[[#This Row],[Date]])+IF(MONTH(RD[[#This Row],[Date]])&gt;=4,1,0)</f>
        <v>2026</v>
      </c>
      <c r="D33" s="6">
        <f>YEAR(B33)</f>
        <v>2025</v>
      </c>
      <c r="E33" s="7"/>
      <c r="F33" s="7"/>
      <c r="G33" s="8" t="str">
        <f>TEXT(RD[[#This Row],[Date]],"mmm-yy")</f>
        <v>Apr-25</v>
      </c>
      <c r="H33" s="6">
        <f t="shared" si="94"/>
        <v>30</v>
      </c>
      <c r="I33" s="9">
        <f>'Basic Data '!$S$2</f>
        <v>66750</v>
      </c>
      <c r="J33" s="10">
        <v>0.29166666666666669</v>
      </c>
      <c r="K33" s="10">
        <v>0.79166666666666663</v>
      </c>
      <c r="L33" s="9">
        <v>1233</v>
      </c>
      <c r="M33" s="9">
        <v>1194</v>
      </c>
      <c r="N33" s="9">
        <v>1147</v>
      </c>
      <c r="O33" s="9">
        <v>1136</v>
      </c>
      <c r="P33" s="9">
        <v>1228</v>
      </c>
      <c r="Q33" s="9">
        <v>1137</v>
      </c>
      <c r="R33" s="9">
        <v>1142</v>
      </c>
      <c r="S33" s="9">
        <v>1133</v>
      </c>
      <c r="T33" s="9">
        <v>1126</v>
      </c>
      <c r="U33" s="9">
        <v>1192</v>
      </c>
      <c r="V33" s="9">
        <v>1170</v>
      </c>
      <c r="W33" s="9">
        <v>1150</v>
      </c>
      <c r="X33" s="9">
        <v>1136</v>
      </c>
      <c r="Y33" s="9">
        <v>1125</v>
      </c>
      <c r="Z33" s="9">
        <v>1192</v>
      </c>
      <c r="AA33" s="9">
        <v>1170</v>
      </c>
      <c r="AB33" s="9">
        <v>1082</v>
      </c>
      <c r="AC33" s="9">
        <v>1094</v>
      </c>
      <c r="AD33" s="9">
        <v>1226</v>
      </c>
      <c r="AE33" s="9">
        <v>1150</v>
      </c>
      <c r="AF33" s="9">
        <v>1146</v>
      </c>
      <c r="AG33" s="9">
        <v>1262</v>
      </c>
      <c r="AH33" s="9">
        <v>1187</v>
      </c>
      <c r="AI33" s="9">
        <v>1232</v>
      </c>
      <c r="AJ33" s="9">
        <v>1225</v>
      </c>
      <c r="AK33" s="9">
        <v>1232</v>
      </c>
      <c r="AL33" s="9">
        <v>1214</v>
      </c>
      <c r="AM33" s="9">
        <v>1262</v>
      </c>
      <c r="AN33" s="9">
        <v>1234</v>
      </c>
      <c r="AO33" s="9">
        <v>1206</v>
      </c>
      <c r="AP33" s="9">
        <v>1235</v>
      </c>
      <c r="AQ33" s="9">
        <v>1213</v>
      </c>
      <c r="AR33" s="9">
        <v>975</v>
      </c>
      <c r="AS33" s="9">
        <v>1048</v>
      </c>
      <c r="AT33" s="9">
        <v>930</v>
      </c>
      <c r="AU33" s="9">
        <v>1069</v>
      </c>
      <c r="AV33" s="9">
        <v>1069</v>
      </c>
      <c r="AW33" s="9">
        <v>1027</v>
      </c>
      <c r="AX33" s="9">
        <v>1054</v>
      </c>
      <c r="AY33" s="9">
        <v>1074</v>
      </c>
      <c r="AZ33" s="9">
        <v>1022</v>
      </c>
      <c r="BA33" s="9">
        <v>1011</v>
      </c>
      <c r="BB33" s="9">
        <v>1045</v>
      </c>
      <c r="BC33" s="9">
        <v>1050</v>
      </c>
      <c r="BD33" s="9">
        <v>1053</v>
      </c>
      <c r="BE33" s="9">
        <v>1078</v>
      </c>
      <c r="BF33" s="9">
        <v>1172</v>
      </c>
      <c r="BG33" s="9">
        <v>1071</v>
      </c>
      <c r="BH33" s="9">
        <v>1068</v>
      </c>
      <c r="BI33" s="9">
        <v>1068</v>
      </c>
      <c r="BJ33" s="9">
        <v>1093</v>
      </c>
      <c r="BK33" s="9">
        <v>1041</v>
      </c>
      <c r="BL33" s="9">
        <v>1080</v>
      </c>
      <c r="BM33" s="9">
        <v>1236</v>
      </c>
      <c r="BN33" s="9">
        <v>1225</v>
      </c>
      <c r="BO33" s="9">
        <v>1162</v>
      </c>
      <c r="BP33" s="9">
        <v>1180</v>
      </c>
      <c r="BQ33" s="9">
        <v>1228</v>
      </c>
      <c r="BR33" s="9">
        <v>1094</v>
      </c>
      <c r="BS33" s="9">
        <v>1213</v>
      </c>
      <c r="BT33" s="9">
        <v>1178</v>
      </c>
      <c r="BU33" s="9">
        <v>1070</v>
      </c>
      <c r="BV33" s="9">
        <v>1192</v>
      </c>
      <c r="BW33" s="9">
        <v>1213</v>
      </c>
      <c r="BX33" s="9">
        <v>1205</v>
      </c>
      <c r="BY33" s="9">
        <v>1199</v>
      </c>
      <c r="BZ33" s="9">
        <v>1219</v>
      </c>
      <c r="CA33" s="9">
        <v>1088</v>
      </c>
      <c r="CB33" s="9">
        <v>1096</v>
      </c>
      <c r="CC33" s="9">
        <v>1055</v>
      </c>
      <c r="CD33" s="9">
        <v>1127</v>
      </c>
      <c r="CE33" s="9">
        <v>1129</v>
      </c>
      <c r="CF33" s="9">
        <v>1143</v>
      </c>
      <c r="CG33" s="9">
        <v>1100</v>
      </c>
      <c r="CH33" s="9">
        <v>1273</v>
      </c>
      <c r="CI33" s="9">
        <v>1254</v>
      </c>
      <c r="CJ33" s="9">
        <v>1276</v>
      </c>
      <c r="CK33" s="9">
        <v>1102</v>
      </c>
      <c r="CL33" s="9">
        <v>1099</v>
      </c>
      <c r="CM33" s="9">
        <v>1158</v>
      </c>
      <c r="CN33" s="9">
        <v>1128</v>
      </c>
      <c r="CO33" s="9">
        <v>1134</v>
      </c>
      <c r="CP33" s="9">
        <v>1119</v>
      </c>
      <c r="CQ33" s="9">
        <v>1086</v>
      </c>
      <c r="CR33" s="9">
        <v>1112</v>
      </c>
      <c r="CS33" s="9">
        <v>1134</v>
      </c>
      <c r="CT33" s="9">
        <v>1151</v>
      </c>
      <c r="CU33" s="9">
        <v>1139</v>
      </c>
      <c r="CV33" s="9">
        <v>1136</v>
      </c>
      <c r="CW33" s="9">
        <v>1130</v>
      </c>
      <c r="CX33" s="9">
        <v>1159</v>
      </c>
      <c r="CY33" s="9">
        <v>1241</v>
      </c>
      <c r="CZ33" s="9">
        <v>1145</v>
      </c>
      <c r="DA33" s="9">
        <v>1160</v>
      </c>
      <c r="DB33" s="9">
        <v>1206</v>
      </c>
      <c r="DC33" s="9">
        <v>1086</v>
      </c>
      <c r="DD33" s="9">
        <v>1091</v>
      </c>
      <c r="DE33" s="9">
        <v>1121</v>
      </c>
      <c r="DF33" s="9">
        <v>1111</v>
      </c>
      <c r="DG33" s="9">
        <v>1111</v>
      </c>
      <c r="DH33" s="9">
        <v>1141</v>
      </c>
      <c r="DI33" s="9">
        <v>1122</v>
      </c>
      <c r="DJ33" s="9">
        <v>1137</v>
      </c>
      <c r="DK33" s="9">
        <v>1113</v>
      </c>
      <c r="DL33" s="9">
        <v>1273</v>
      </c>
      <c r="DM33" s="9">
        <v>1133</v>
      </c>
      <c r="DN33" s="9">
        <v>1276</v>
      </c>
      <c r="DO33" s="9">
        <v>1220</v>
      </c>
      <c r="DP33" s="9">
        <v>1127</v>
      </c>
      <c r="DQ33" s="9">
        <v>1221</v>
      </c>
      <c r="DR33" s="9">
        <v>1205</v>
      </c>
      <c r="DS33" s="9">
        <v>1170</v>
      </c>
      <c r="DT33" s="9">
        <v>1227</v>
      </c>
      <c r="DU33" s="9">
        <v>1248</v>
      </c>
      <c r="DV33" s="9">
        <v>1131</v>
      </c>
      <c r="DW33" s="9">
        <v>1111</v>
      </c>
      <c r="DX33" s="9">
        <v>1209</v>
      </c>
      <c r="DY33" s="9">
        <v>1225</v>
      </c>
      <c r="DZ33" s="9">
        <v>1224</v>
      </c>
      <c r="EA33" s="9">
        <v>1106</v>
      </c>
      <c r="EB33" s="9">
        <v>1124</v>
      </c>
      <c r="EC33" s="9">
        <v>1149</v>
      </c>
      <c r="ED33" s="9">
        <v>1196</v>
      </c>
      <c r="EE33" s="9">
        <v>1115</v>
      </c>
      <c r="EF33" s="9">
        <v>1133</v>
      </c>
      <c r="EG33" s="9">
        <v>1187</v>
      </c>
      <c r="EH33" s="9">
        <v>1056</v>
      </c>
      <c r="EI33" s="9">
        <v>1073</v>
      </c>
      <c r="EJ33" s="9">
        <v>1249</v>
      </c>
      <c r="EK33" s="9">
        <v>1246</v>
      </c>
      <c r="EL33" s="9">
        <v>1196</v>
      </c>
      <c r="EM33" s="9">
        <v>1201</v>
      </c>
      <c r="EN33" s="9">
        <v>1169</v>
      </c>
      <c r="EO33" s="9">
        <v>1005</v>
      </c>
      <c r="EP33" s="9">
        <v>1257</v>
      </c>
      <c r="EQ33" s="9">
        <v>1192</v>
      </c>
      <c r="ER33" s="9">
        <v>1218</v>
      </c>
      <c r="ES33" s="9">
        <v>1160</v>
      </c>
      <c r="ET33" s="9">
        <v>1162</v>
      </c>
      <c r="EU33" s="9">
        <v>1151</v>
      </c>
      <c r="EV33" s="9">
        <v>1115</v>
      </c>
      <c r="EW33" s="9">
        <v>1153</v>
      </c>
      <c r="EX33" s="9">
        <v>1086</v>
      </c>
      <c r="EY33" s="9">
        <v>1258</v>
      </c>
      <c r="EZ33" s="9">
        <v>1052</v>
      </c>
      <c r="FA33" s="9">
        <v>1262</v>
      </c>
      <c r="FB33" s="9">
        <v>1125</v>
      </c>
      <c r="FC33" s="9">
        <v>1043</v>
      </c>
      <c r="FD33" s="9">
        <v>1204</v>
      </c>
      <c r="FE33" s="9">
        <v>1224</v>
      </c>
      <c r="FF33" s="9">
        <v>1226</v>
      </c>
      <c r="FG33" s="9">
        <v>1123</v>
      </c>
      <c r="FH33" s="9">
        <v>1214</v>
      </c>
      <c r="FI33" s="9">
        <v>1121</v>
      </c>
      <c r="FJ33" s="9">
        <v>1104</v>
      </c>
      <c r="FK33" s="9">
        <v>1092</v>
      </c>
      <c r="FL33" s="9">
        <v>1057</v>
      </c>
      <c r="FM33" s="9">
        <v>1081</v>
      </c>
      <c r="FN33" s="9">
        <v>1026</v>
      </c>
      <c r="FO33" s="9">
        <v>1078</v>
      </c>
      <c r="FP33" s="9">
        <v>1237</v>
      </c>
      <c r="FQ33" s="9">
        <v>1065</v>
      </c>
      <c r="FR33" s="9">
        <v>1170</v>
      </c>
      <c r="FS33" s="9">
        <v>1182</v>
      </c>
      <c r="FT33" s="9">
        <v>1160</v>
      </c>
      <c r="FU33" s="9">
        <v>1021</v>
      </c>
      <c r="FV33" s="9">
        <v>1060</v>
      </c>
      <c r="FW33" s="9">
        <v>1165</v>
      </c>
      <c r="FX33" s="9">
        <v>1125</v>
      </c>
      <c r="FY33" s="9">
        <v>1026</v>
      </c>
      <c r="FZ33" s="9">
        <v>1113</v>
      </c>
      <c r="GA33" s="9">
        <v>1086</v>
      </c>
      <c r="GB33" s="9">
        <v>1032</v>
      </c>
      <c r="GC33" s="9">
        <v>1125</v>
      </c>
      <c r="GD33" s="9">
        <v>1177</v>
      </c>
      <c r="GE33" s="9">
        <v>1277</v>
      </c>
      <c r="GF33" s="9">
        <v>1113</v>
      </c>
      <c r="GG33" s="9">
        <v>1008</v>
      </c>
      <c r="GH33" s="9">
        <v>1275</v>
      </c>
      <c r="GI33" s="9">
        <v>1139</v>
      </c>
      <c r="GJ33" s="9">
        <v>1100</v>
      </c>
      <c r="GK33" s="9">
        <v>1140</v>
      </c>
      <c r="GL33" s="9">
        <v>1208</v>
      </c>
      <c r="GM33" s="9">
        <v>1252</v>
      </c>
      <c r="GN33" s="9">
        <v>1167</v>
      </c>
      <c r="GO33" s="9">
        <v>1255</v>
      </c>
      <c r="GP33" s="9">
        <v>1175</v>
      </c>
      <c r="GQ33" s="9">
        <v>1170</v>
      </c>
      <c r="GR33" s="9">
        <v>1138</v>
      </c>
      <c r="GS33" s="9">
        <v>1028</v>
      </c>
      <c r="GT33" s="9">
        <v>1031</v>
      </c>
      <c r="GU33" s="9">
        <v>1011</v>
      </c>
      <c r="GV33" s="9">
        <v>1103</v>
      </c>
      <c r="GW33" s="9">
        <v>1133</v>
      </c>
      <c r="GX33" s="9">
        <v>1095</v>
      </c>
      <c r="GY33" s="9">
        <v>982</v>
      </c>
      <c r="GZ33" s="9">
        <v>956</v>
      </c>
      <c r="HA33" s="9">
        <v>1106</v>
      </c>
      <c r="HB33" s="9"/>
      <c r="HC33" s="9"/>
      <c r="HD33" s="9">
        <v>997</v>
      </c>
      <c r="HE33" s="9">
        <v>765</v>
      </c>
      <c r="HF33" s="9">
        <v>1027</v>
      </c>
      <c r="HG33" s="9"/>
      <c r="HH33" s="9">
        <v>1171</v>
      </c>
      <c r="HI33" s="9">
        <v>1018</v>
      </c>
      <c r="HJ33" s="9">
        <v>1076</v>
      </c>
      <c r="HK33" s="9">
        <v>1042</v>
      </c>
      <c r="HL33" s="9">
        <v>1078</v>
      </c>
      <c r="HM33" s="9">
        <v>1091</v>
      </c>
      <c r="HN33" s="9">
        <v>1086</v>
      </c>
      <c r="HO33" s="9">
        <v>1100</v>
      </c>
      <c r="HP33" s="9">
        <v>1112</v>
      </c>
      <c r="HQ33" s="9">
        <v>1126</v>
      </c>
      <c r="HR33" s="9">
        <v>1136</v>
      </c>
      <c r="HS33" s="9">
        <v>1134</v>
      </c>
      <c r="HT33" s="9">
        <v>1183</v>
      </c>
      <c r="HU33" s="9">
        <v>1206</v>
      </c>
      <c r="HV33" s="9">
        <v>1255</v>
      </c>
      <c r="HW33" s="9">
        <v>1069</v>
      </c>
      <c r="HX33" s="9">
        <v>903</v>
      </c>
      <c r="HY33" s="9">
        <v>1052</v>
      </c>
      <c r="HZ33" s="9">
        <v>760</v>
      </c>
      <c r="IA33" s="9">
        <v>912</v>
      </c>
      <c r="IB33" s="9">
        <v>1050</v>
      </c>
      <c r="IC33" s="9">
        <v>1151</v>
      </c>
      <c r="ID33" s="9">
        <v>1050</v>
      </c>
      <c r="IE33" s="9">
        <v>1061</v>
      </c>
      <c r="IF33" s="9">
        <v>1133</v>
      </c>
      <c r="IG33" s="9">
        <v>1092</v>
      </c>
      <c r="IH33" s="9">
        <v>1140</v>
      </c>
      <c r="II33" s="9">
        <v>1083</v>
      </c>
      <c r="IJ33" s="9">
        <v>950</v>
      </c>
      <c r="IK33" s="9">
        <v>1103</v>
      </c>
      <c r="IL33" s="9">
        <v>930</v>
      </c>
      <c r="IM33" s="9">
        <v>1010</v>
      </c>
      <c r="IN33" s="9">
        <v>965</v>
      </c>
      <c r="IO33" s="9"/>
      <c r="IP33" s="9">
        <v>1172</v>
      </c>
      <c r="IQ33" s="9">
        <v>1170</v>
      </c>
      <c r="IR33" s="9">
        <v>931</v>
      </c>
      <c r="IS33" s="9">
        <v>1204</v>
      </c>
      <c r="IT33" s="9">
        <v>1032</v>
      </c>
      <c r="IU33" s="9"/>
      <c r="IV33" s="9"/>
      <c r="IW33" s="9">
        <v>1056</v>
      </c>
      <c r="IX33" s="9">
        <v>1032</v>
      </c>
      <c r="IY33" s="9">
        <v>1078</v>
      </c>
      <c r="IZ33" s="9">
        <v>1153</v>
      </c>
      <c r="JA33" s="9">
        <v>1103</v>
      </c>
      <c r="JB33" s="11">
        <v>38</v>
      </c>
      <c r="JC33" s="11">
        <v>45.8</v>
      </c>
      <c r="JD33" s="11">
        <v>1.9</v>
      </c>
      <c r="JE33" s="11">
        <v>6.1</v>
      </c>
      <c r="JF33" s="11"/>
      <c r="JG33" s="11">
        <v>0</v>
      </c>
      <c r="JH33" s="13">
        <v>5.5</v>
      </c>
      <c r="JI33" s="12"/>
      <c r="JJ33" s="12"/>
      <c r="JK33" s="9">
        <v>83171848.185000002</v>
      </c>
      <c r="JL33" s="9">
        <v>281686.886</v>
      </c>
      <c r="JM33" s="9">
        <v>56274614.127999999</v>
      </c>
      <c r="JN33" s="9">
        <v>61382.252</v>
      </c>
      <c r="JO33" s="9">
        <v>83976924.048999995</v>
      </c>
      <c r="JP33" s="9">
        <v>186398.997</v>
      </c>
      <c r="JQ33" s="9">
        <v>60795693.148999996</v>
      </c>
      <c r="JR33" s="9">
        <v>55399.987999999998</v>
      </c>
      <c r="JS33" s="11">
        <v>315333493.71799999</v>
      </c>
      <c r="JT33" s="11">
        <v>83305.997000000003</v>
      </c>
      <c r="JU33" s="14">
        <f t="shared" si="81"/>
        <v>72036.428000003099</v>
      </c>
      <c r="JV33" s="14">
        <f t="shared" si="95"/>
        <v>64.24800000002142</v>
      </c>
      <c r="JW33" s="14">
        <f t="shared" si="83"/>
        <v>71106.821999996901</v>
      </c>
      <c r="JX33" s="14">
        <f t="shared" si="84"/>
        <v>10.057000000000698</v>
      </c>
      <c r="JY33" s="14">
        <f t="shared" si="85"/>
        <v>72907.581000000238</v>
      </c>
      <c r="JZ33" s="14">
        <f t="shared" si="86"/>
        <v>70.86699999999837</v>
      </c>
      <c r="KA33" s="14">
        <f t="shared" si="87"/>
        <v>53021.61099999398</v>
      </c>
      <c r="KB33" s="14">
        <f t="shared" si="88"/>
        <v>12.750999999996566</v>
      </c>
      <c r="KC33" s="14">
        <f t="shared" si="90"/>
        <v>268672.38400000334</v>
      </c>
      <c r="KD33" s="14">
        <f t="shared" si="89"/>
        <v>58.870999999999185</v>
      </c>
      <c r="KE33" s="15">
        <f>(JU33+JW33)-(JV33+JX33)</f>
        <v>143068.94499999998</v>
      </c>
      <c r="KF33" s="15">
        <f>IFERROR(KC33-KD33,"")</f>
        <v>268613.51300000335</v>
      </c>
      <c r="KG33" s="16">
        <f>(RD[[#This Row],[Sunset Time (POA&lt;20 W/m2)]]-RD[[#This Row],[Sunrise Time (POA&gt;20 W/m2)]])*24</f>
        <v>11.999999999999998</v>
      </c>
      <c r="KH33" s="53">
        <f>RD[[#This Row],[GHI ]]</f>
        <v>0</v>
      </c>
      <c r="KI33" s="53">
        <f>RD[[#This Row],[POA]]</f>
        <v>5.5</v>
      </c>
      <c r="KJ33" s="53">
        <f>RD[[#This Row],[AT (°C) 14 Hours]]</f>
        <v>38</v>
      </c>
      <c r="KK33" s="53">
        <f>RD[[#This Row],[MT (°C) Gen. Hours]]</f>
        <v>45.8</v>
      </c>
      <c r="KL33" s="53">
        <f>RD[[#This Row],[WS_Avg (m/s) (24 Hours)]]</f>
        <v>1.9</v>
      </c>
      <c r="KM33" s="53">
        <f>RD[[#This Row],[WS_Max (m/s)]]</f>
        <v>6.1</v>
      </c>
      <c r="KN33" s="54">
        <f>SUM(RD[[#This Row],[BLK1_INV1]:[BLK8_INV27]])</f>
        <v>274076</v>
      </c>
      <c r="KO33" s="95"/>
      <c r="KP33" s="55"/>
      <c r="KQ33" s="90" t="str">
        <f>IFERROR(RD[[#This Row],[WPR_Eac]]/RD[[#This Row],[WPR_Edc]],"")</f>
        <v/>
      </c>
    </row>
    <row r="34" spans="2:303" ht="15" customHeight="1" x14ac:dyDescent="0.25">
      <c r="B34" s="52">
        <v>45775</v>
      </c>
      <c r="C34" s="9">
        <f>YEAR(RD[[#This Row],[Date]])+IF(MONTH(RD[[#This Row],[Date]])&gt;=4,1,0)</f>
        <v>2026</v>
      </c>
      <c r="D34" s="6">
        <f>YEAR(B34)</f>
        <v>2025</v>
      </c>
      <c r="E34" s="7"/>
      <c r="F34" s="7"/>
      <c r="G34" s="8" t="str">
        <f>TEXT(RD[[#This Row],[Date]],"mmm-yy")</f>
        <v>Apr-25</v>
      </c>
      <c r="H34" s="6">
        <f>DAY(EOMONTH(B34,0))</f>
        <v>30</v>
      </c>
      <c r="I34" s="9">
        <f>'Basic Data '!$S$2</f>
        <v>66750</v>
      </c>
      <c r="J34" s="10">
        <v>0.29166666666666669</v>
      </c>
      <c r="K34" s="10">
        <v>0.79166666666666663</v>
      </c>
      <c r="L34" s="9">
        <v>1375.6</v>
      </c>
      <c r="M34" s="9">
        <v>1331.9</v>
      </c>
      <c r="N34" s="9" t="s">
        <v>413</v>
      </c>
      <c r="O34" s="9">
        <v>1267.5</v>
      </c>
      <c r="P34" s="9">
        <v>1366.8</v>
      </c>
      <c r="Q34" s="9">
        <v>1266.4000000000001</v>
      </c>
      <c r="R34" s="9">
        <v>1274</v>
      </c>
      <c r="S34" s="9">
        <v>1261.9000000000001</v>
      </c>
      <c r="T34" s="9">
        <v>1255.4000000000001</v>
      </c>
      <c r="U34" s="9">
        <v>1325.2</v>
      </c>
      <c r="V34" s="9">
        <v>1314</v>
      </c>
      <c r="W34" s="9">
        <v>1280.0999999999999</v>
      </c>
      <c r="X34" s="9">
        <v>1260.3</v>
      </c>
      <c r="Y34" s="9">
        <v>1179.0999999999999</v>
      </c>
      <c r="Z34" s="9">
        <v>1207.8</v>
      </c>
      <c r="AA34" s="9">
        <v>1246.7</v>
      </c>
      <c r="AB34" s="9">
        <v>1208.7</v>
      </c>
      <c r="AC34" s="9">
        <v>1222.7</v>
      </c>
      <c r="AD34" s="9">
        <v>1364</v>
      </c>
      <c r="AE34" s="9">
        <v>1373.6</v>
      </c>
      <c r="AF34" s="9">
        <v>1286.5999999999999</v>
      </c>
      <c r="AG34" s="9">
        <v>1292.0999999999999</v>
      </c>
      <c r="AH34" s="9">
        <v>1403.3</v>
      </c>
      <c r="AI34" s="9">
        <v>1340.3</v>
      </c>
      <c r="AJ34" s="9">
        <v>1382.2</v>
      </c>
      <c r="AK34" s="9">
        <v>1364.7</v>
      </c>
      <c r="AL34" s="9">
        <v>1361.8</v>
      </c>
      <c r="AM34" s="9">
        <v>1400.7</v>
      </c>
      <c r="AN34" s="9">
        <v>1344.6</v>
      </c>
      <c r="AO34" s="9">
        <v>1378.4</v>
      </c>
      <c r="AP34" s="9">
        <v>1239.3</v>
      </c>
      <c r="AQ34" s="9">
        <v>1259.8</v>
      </c>
      <c r="AR34" s="9">
        <v>1154.4000000000001</v>
      </c>
      <c r="AS34" s="9">
        <v>1456.1</v>
      </c>
      <c r="AT34" s="9">
        <v>1099.5</v>
      </c>
      <c r="AU34" s="9">
        <v>1263.5999999999999</v>
      </c>
      <c r="AV34" s="9">
        <v>1258.0999999999999</v>
      </c>
      <c r="AW34" s="9">
        <v>1200.2</v>
      </c>
      <c r="AX34" s="9">
        <v>1264.0999999999999</v>
      </c>
      <c r="AY34" s="9">
        <v>1277.8</v>
      </c>
      <c r="AZ34" s="9">
        <v>1210.7</v>
      </c>
      <c r="BA34" s="9">
        <v>1222.4000000000001</v>
      </c>
      <c r="BB34" s="9">
        <v>1262.5</v>
      </c>
      <c r="BC34" s="9">
        <v>1254.9000000000001</v>
      </c>
      <c r="BD34" s="9">
        <v>1249.0999999999999</v>
      </c>
      <c r="BE34" s="9">
        <v>1273.8</v>
      </c>
      <c r="BF34" s="9">
        <v>1386.9</v>
      </c>
      <c r="BG34" s="9">
        <v>1270.5999999999999</v>
      </c>
      <c r="BH34" s="9">
        <v>1258.0999999999999</v>
      </c>
      <c r="BI34" s="9">
        <v>1287.0999999999999</v>
      </c>
      <c r="BJ34" s="9">
        <v>1222.0999999999999</v>
      </c>
      <c r="BK34" s="9">
        <v>1269.5999999999999</v>
      </c>
      <c r="BL34" s="9">
        <v>1401.5</v>
      </c>
      <c r="BM34" s="9">
        <v>1440.5</v>
      </c>
      <c r="BN34" s="9">
        <v>1367.4</v>
      </c>
      <c r="BO34" s="9">
        <v>1385.9</v>
      </c>
      <c r="BP34" s="9">
        <v>1442.9</v>
      </c>
      <c r="BQ34" s="9">
        <v>1295.4000000000001</v>
      </c>
      <c r="BR34" s="9">
        <v>1421.2</v>
      </c>
      <c r="BS34" s="9">
        <v>1377.5</v>
      </c>
      <c r="BT34" s="9">
        <v>1261.4000000000001</v>
      </c>
      <c r="BU34" s="9">
        <v>1398</v>
      </c>
      <c r="BV34" s="9">
        <v>1265.7</v>
      </c>
      <c r="BW34" s="9">
        <v>1132.0999999999999</v>
      </c>
      <c r="BX34" s="9">
        <v>1370.1</v>
      </c>
      <c r="BY34" s="9">
        <v>1363.1</v>
      </c>
      <c r="BZ34" s="9">
        <v>1386.9</v>
      </c>
      <c r="CA34" s="9">
        <v>1216.5999999999999</v>
      </c>
      <c r="CB34" s="9">
        <v>1251</v>
      </c>
      <c r="CC34" s="9">
        <v>1201.0999999999999</v>
      </c>
      <c r="CD34" s="9">
        <v>1267.4000000000001</v>
      </c>
      <c r="CE34" s="9">
        <v>1266.5</v>
      </c>
      <c r="CF34" s="9">
        <v>1284.2</v>
      </c>
      <c r="CG34" s="9">
        <v>1267.0999999999999</v>
      </c>
      <c r="CH34" s="9">
        <v>1471.6</v>
      </c>
      <c r="CI34" s="9">
        <v>1450.4</v>
      </c>
      <c r="CJ34" s="9">
        <v>1459.5</v>
      </c>
      <c r="CK34" s="9">
        <v>1253.7</v>
      </c>
      <c r="CL34" s="9">
        <v>1242.0999999999999</v>
      </c>
      <c r="CM34" s="9">
        <v>1337.1</v>
      </c>
      <c r="CN34" s="9">
        <v>1270.0999999999999</v>
      </c>
      <c r="CO34" s="9">
        <v>1279.5</v>
      </c>
      <c r="CP34" s="9">
        <v>1265.2</v>
      </c>
      <c r="CQ34" s="9">
        <v>1225.3</v>
      </c>
      <c r="CR34" s="9">
        <v>1252.5</v>
      </c>
      <c r="CS34" s="9">
        <v>1270.0999999999999</v>
      </c>
      <c r="CT34" s="9">
        <v>1289.3</v>
      </c>
      <c r="CU34" s="9">
        <v>1275.4000000000001</v>
      </c>
      <c r="CV34" s="9">
        <v>1272.8</v>
      </c>
      <c r="CW34" s="9">
        <v>1268</v>
      </c>
      <c r="CX34" s="9">
        <v>1323.4</v>
      </c>
      <c r="CY34" s="9">
        <v>1375</v>
      </c>
      <c r="CZ34" s="9">
        <v>1296</v>
      </c>
      <c r="DA34" s="9">
        <v>1291.7</v>
      </c>
      <c r="DB34" s="9">
        <v>1328.4</v>
      </c>
      <c r="DC34" s="9">
        <v>1217.8</v>
      </c>
      <c r="DD34" s="9">
        <v>1235.5</v>
      </c>
      <c r="DE34" s="9">
        <v>1266.0999999999999</v>
      </c>
      <c r="DF34" s="9">
        <v>1255.9000000000001</v>
      </c>
      <c r="DG34" s="9">
        <v>1258.5999999999999</v>
      </c>
      <c r="DH34" s="9">
        <v>1291.2</v>
      </c>
      <c r="DI34" s="9">
        <v>1267.7</v>
      </c>
      <c r="DJ34" s="9">
        <v>1287.9000000000001</v>
      </c>
      <c r="DK34" s="9">
        <v>1260.9000000000001</v>
      </c>
      <c r="DL34" s="9">
        <v>1405.5</v>
      </c>
      <c r="DM34" s="9">
        <v>1282.3</v>
      </c>
      <c r="DN34" s="9">
        <v>1385.6</v>
      </c>
      <c r="DO34" s="9">
        <v>1409.7</v>
      </c>
      <c r="DP34" s="9">
        <v>1286.0999999999999</v>
      </c>
      <c r="DQ34" s="9">
        <v>1403.7</v>
      </c>
      <c r="DR34" s="9">
        <v>1373.7</v>
      </c>
      <c r="DS34" s="9">
        <v>1374.1</v>
      </c>
      <c r="DT34" s="9">
        <v>1421.3</v>
      </c>
      <c r="DU34" s="9">
        <v>1443.1</v>
      </c>
      <c r="DV34" s="9">
        <v>1284.0999999999999</v>
      </c>
      <c r="DW34" s="9">
        <v>1293.4000000000001</v>
      </c>
      <c r="DX34" s="9">
        <v>1405.1</v>
      </c>
      <c r="DY34" s="9">
        <v>1406.2</v>
      </c>
      <c r="DZ34" s="9">
        <v>1401.9</v>
      </c>
      <c r="EA34" s="9">
        <v>1248.0999999999999</v>
      </c>
      <c r="EB34" s="9">
        <v>1281.5</v>
      </c>
      <c r="EC34" s="9">
        <v>1326.1</v>
      </c>
      <c r="ED34" s="9">
        <v>1364.2</v>
      </c>
      <c r="EE34" s="9">
        <v>1264.9000000000001</v>
      </c>
      <c r="EF34" s="9">
        <v>1282.2</v>
      </c>
      <c r="EG34" s="9">
        <v>1386.5</v>
      </c>
      <c r="EH34" s="9">
        <v>1179.3</v>
      </c>
      <c r="EI34" s="9">
        <v>1202.7</v>
      </c>
      <c r="EJ34" s="9">
        <v>1400</v>
      </c>
      <c r="EK34" s="9">
        <v>1399.8</v>
      </c>
      <c r="EL34" s="9">
        <v>1343.1</v>
      </c>
      <c r="EM34" s="9">
        <v>1350.2</v>
      </c>
      <c r="EN34" s="9">
        <v>1306.9000000000001</v>
      </c>
      <c r="EO34" s="9">
        <v>1138</v>
      </c>
      <c r="EP34" s="9">
        <v>1440</v>
      </c>
      <c r="EQ34" s="9">
        <v>1371.1</v>
      </c>
      <c r="ER34" s="9">
        <v>1387.3</v>
      </c>
      <c r="ES34" s="9">
        <v>1311.5</v>
      </c>
      <c r="ET34" s="9">
        <v>1306.5</v>
      </c>
      <c r="EU34" s="9">
        <v>1288.3</v>
      </c>
      <c r="EV34" s="9">
        <v>1247.4000000000001</v>
      </c>
      <c r="EW34" s="9">
        <v>1292.3</v>
      </c>
      <c r="EX34" s="9">
        <v>1223.2</v>
      </c>
      <c r="EY34" s="9">
        <v>1411.5</v>
      </c>
      <c r="EZ34" s="9">
        <v>1183.5999999999999</v>
      </c>
      <c r="FA34" s="9">
        <v>1417.6</v>
      </c>
      <c r="FB34" s="9">
        <v>1264.0999999999999</v>
      </c>
      <c r="FC34" s="9">
        <v>1171.9000000000001</v>
      </c>
      <c r="FD34" s="9">
        <v>1353.6</v>
      </c>
      <c r="FE34" s="9">
        <v>1372.9</v>
      </c>
      <c r="FF34" s="9">
        <v>1378.7</v>
      </c>
      <c r="FG34" s="9">
        <v>1267</v>
      </c>
      <c r="FH34" s="9">
        <v>1369.3</v>
      </c>
      <c r="FI34" s="9">
        <v>1307</v>
      </c>
      <c r="FJ34" s="9">
        <v>1246.5</v>
      </c>
      <c r="FK34" s="9">
        <v>1230.7</v>
      </c>
      <c r="FL34" s="9">
        <v>1235.5</v>
      </c>
      <c r="FM34" s="9">
        <v>1213.2</v>
      </c>
      <c r="FN34" s="9">
        <v>1147.0999999999999</v>
      </c>
      <c r="FO34" s="9">
        <v>1203.0999999999999</v>
      </c>
      <c r="FP34" s="9">
        <v>1378.6</v>
      </c>
      <c r="FQ34" s="9">
        <v>1189.4000000000001</v>
      </c>
      <c r="FR34" s="9">
        <v>1309.9000000000001</v>
      </c>
      <c r="FS34" s="9">
        <v>1317.6</v>
      </c>
      <c r="FT34" s="9">
        <v>1279</v>
      </c>
      <c r="FU34" s="9">
        <v>1135.2</v>
      </c>
      <c r="FV34" s="9">
        <v>1187.9000000000001</v>
      </c>
      <c r="FW34" s="9">
        <v>1295.0999999999999</v>
      </c>
      <c r="FX34" s="9">
        <v>1251.3</v>
      </c>
      <c r="FY34" s="9">
        <v>1141.7</v>
      </c>
      <c r="FZ34" s="9">
        <v>1242.5</v>
      </c>
      <c r="GA34" s="9">
        <v>1210.5999999999999</v>
      </c>
      <c r="GB34" s="9">
        <v>1149.4000000000001</v>
      </c>
      <c r="GC34" s="9">
        <v>1252.3</v>
      </c>
      <c r="GD34" s="9">
        <v>1430.2</v>
      </c>
      <c r="GE34" s="9">
        <v>1248.4000000000001</v>
      </c>
      <c r="GF34" s="9">
        <v>1255.5999999999999</v>
      </c>
      <c r="GG34" s="9">
        <v>1129.8</v>
      </c>
      <c r="GH34" s="9">
        <v>1427.7</v>
      </c>
      <c r="GI34" s="9">
        <v>1274.2</v>
      </c>
      <c r="GJ34" s="9">
        <v>1230.7</v>
      </c>
      <c r="GK34" s="9">
        <v>1271.0999999999999</v>
      </c>
      <c r="GL34" s="9">
        <v>1351.6</v>
      </c>
      <c r="GM34" s="9">
        <v>1397.8</v>
      </c>
      <c r="GN34" s="9">
        <v>1309.4000000000001</v>
      </c>
      <c r="GO34" s="9">
        <v>1405.5</v>
      </c>
      <c r="GP34" s="9">
        <v>1317</v>
      </c>
      <c r="GQ34" s="9">
        <v>1319.4</v>
      </c>
      <c r="GR34" s="9">
        <v>1268.8</v>
      </c>
      <c r="GS34" s="9">
        <v>1145.4000000000001</v>
      </c>
      <c r="GT34" s="9">
        <v>1160.7</v>
      </c>
      <c r="GU34" s="9">
        <v>1133.9000000000001</v>
      </c>
      <c r="GV34" s="9">
        <v>817</v>
      </c>
      <c r="GW34" s="9">
        <v>1180.2</v>
      </c>
      <c r="GX34" s="9">
        <v>1273.8</v>
      </c>
      <c r="GY34" s="9">
        <v>1122.8</v>
      </c>
      <c r="GZ34" s="9">
        <v>1086.4000000000001</v>
      </c>
      <c r="HA34" s="9">
        <v>1302.2</v>
      </c>
      <c r="HB34" s="9"/>
      <c r="HC34" s="9"/>
      <c r="HD34" s="9">
        <v>1085.5999999999999</v>
      </c>
      <c r="HE34" s="9">
        <v>848.4</v>
      </c>
      <c r="HF34" s="9">
        <v>1175.3</v>
      </c>
      <c r="HG34" s="9"/>
      <c r="HH34" s="9">
        <v>1327.6</v>
      </c>
      <c r="HI34" s="9">
        <v>1157.3</v>
      </c>
      <c r="HJ34" s="9">
        <v>1219.3</v>
      </c>
      <c r="HK34" s="9">
        <v>1188.2</v>
      </c>
      <c r="HL34" s="9">
        <v>1224.8</v>
      </c>
      <c r="HM34" s="9">
        <v>1233.5999999999999</v>
      </c>
      <c r="HN34" s="9">
        <v>1232.3</v>
      </c>
      <c r="HO34" s="9">
        <v>1244.3</v>
      </c>
      <c r="HP34" s="9">
        <v>1258.9000000000001</v>
      </c>
      <c r="HQ34" s="9">
        <v>1291.9000000000001</v>
      </c>
      <c r="HR34" s="9">
        <v>1291.5</v>
      </c>
      <c r="HS34" s="9">
        <v>1297.9000000000001</v>
      </c>
      <c r="HT34" s="9">
        <v>1374.4</v>
      </c>
      <c r="HU34" s="9">
        <v>1438.4</v>
      </c>
      <c r="HV34" s="9">
        <v>1214.5999999999999</v>
      </c>
      <c r="HW34" s="9">
        <v>1021.2</v>
      </c>
      <c r="HX34" s="9">
        <v>930.5</v>
      </c>
      <c r="HY34" s="9">
        <v>574.79999999999995</v>
      </c>
      <c r="HZ34" s="9">
        <v>862.5</v>
      </c>
      <c r="IA34" s="9">
        <v>1005.9</v>
      </c>
      <c r="IB34" s="9">
        <v>1163</v>
      </c>
      <c r="IC34" s="9">
        <v>1308.5999999999999</v>
      </c>
      <c r="ID34" s="9">
        <v>1171.9000000000001</v>
      </c>
      <c r="IE34" s="9">
        <v>1214.5999999999999</v>
      </c>
      <c r="IF34" s="9">
        <v>1224.5</v>
      </c>
      <c r="IG34" s="9">
        <v>1276</v>
      </c>
      <c r="IH34" s="9">
        <v>1307.2</v>
      </c>
      <c r="II34" s="9">
        <v>1192.9000000000001</v>
      </c>
      <c r="IJ34" s="9">
        <v>969.7</v>
      </c>
      <c r="IK34" s="9">
        <v>1106.5</v>
      </c>
      <c r="IL34" s="9">
        <v>977.5</v>
      </c>
      <c r="IM34" s="9">
        <v>1112.9000000000001</v>
      </c>
      <c r="IN34" s="9">
        <v>1065</v>
      </c>
      <c r="IO34" s="9"/>
      <c r="IP34" s="9">
        <v>1670.5</v>
      </c>
      <c r="IQ34" s="9">
        <v>1313</v>
      </c>
      <c r="IR34" s="9">
        <v>512.6</v>
      </c>
      <c r="IS34" s="9">
        <v>1245</v>
      </c>
      <c r="IT34" s="9">
        <v>1200</v>
      </c>
      <c r="IU34" s="9"/>
      <c r="IV34" s="9"/>
      <c r="IW34" s="9">
        <v>1202.9000000000001</v>
      </c>
      <c r="IX34" s="9">
        <v>1173.9000000000001</v>
      </c>
      <c r="IY34" s="9">
        <v>738.9</v>
      </c>
      <c r="IZ34" s="9">
        <v>1112</v>
      </c>
      <c r="JA34" s="9">
        <v>1012</v>
      </c>
      <c r="JB34" s="11">
        <v>38.9724</v>
      </c>
      <c r="JC34" s="11">
        <v>45.833799999999997</v>
      </c>
      <c r="JD34" s="11">
        <v>2.2648999999999999</v>
      </c>
      <c r="JE34" s="11">
        <v>5.9</v>
      </c>
      <c r="JF34" s="11"/>
      <c r="JG34" s="11">
        <v>0</v>
      </c>
      <c r="JH34" s="13">
        <v>6.2</v>
      </c>
      <c r="JI34" s="12"/>
      <c r="JJ34" s="12"/>
      <c r="JK34" s="9">
        <v>83254910.280000001</v>
      </c>
      <c r="JL34" s="9">
        <v>281723.886</v>
      </c>
      <c r="JM34" s="9">
        <v>56355236.306000002</v>
      </c>
      <c r="JN34" s="9">
        <v>61393.252</v>
      </c>
      <c r="JO34" s="9">
        <v>84058696.004999995</v>
      </c>
      <c r="JP34" s="9">
        <v>186454.997</v>
      </c>
      <c r="JQ34" s="9">
        <v>60856040.737999998</v>
      </c>
      <c r="JR34" s="9">
        <v>55412</v>
      </c>
      <c r="JS34" s="11">
        <v>315638896.47899997</v>
      </c>
      <c r="JT34" s="11">
        <v>83366.997000000003</v>
      </c>
      <c r="JU34" s="14">
        <f t="shared" ref="JU34:JU35" si="96">IF((JK34-JK33)&lt;0,"",(JK34-JK33))</f>
        <v>83062.094999998808</v>
      </c>
      <c r="JV34" s="14">
        <f t="shared" si="95"/>
        <v>37</v>
      </c>
      <c r="JW34" s="14">
        <f t="shared" ref="JW34:JW35" si="97">IF((JM34-JM33)&lt;0,"",(JM34-JM33))</f>
        <v>80622.178000003099</v>
      </c>
      <c r="JX34" s="14">
        <f t="shared" ref="JX34:JX35" si="98">IF((JN34-JN33)&lt;0,"",(JN34-JN33))</f>
        <v>11</v>
      </c>
      <c r="JY34" s="14">
        <f t="shared" ref="JY34:JY35" si="99">IF((JO34-JO33)&lt;0,"",(JO34-JO33))</f>
        <v>81771.956000000238</v>
      </c>
      <c r="JZ34" s="14">
        <f t="shared" ref="JZ34:JZ35" si="100">IF((JP34-JP33)&lt;0,"",(JP34-JP33))</f>
        <v>56</v>
      </c>
      <c r="KA34" s="14">
        <f t="shared" ref="KA34:KA35" si="101">IF((JQ34-JQ33)&lt;0,"",(JQ34-JQ33))</f>
        <v>60347.58900000155</v>
      </c>
      <c r="KB34" s="14">
        <f t="shared" ref="KB34:KB35" si="102">IF((JR34-JR33)&lt;0,"",(JR34-JR33))</f>
        <v>12.012000000002445</v>
      </c>
      <c r="KC34" s="14">
        <f t="shared" ref="KC34:KC35" si="103">IF((JS34-JS33)&lt;0,"",(JS34-JS33))</f>
        <v>305402.76099997759</v>
      </c>
      <c r="KD34" s="14">
        <f t="shared" ref="KD34:KD35" si="104">IF((JT34-JT33)&lt;0,"",(JT34-JT33))</f>
        <v>61</v>
      </c>
      <c r="KE34" s="15">
        <f>(JU34+JW34)-(JV34+JX34)</f>
        <v>163636.27300000191</v>
      </c>
      <c r="KF34" s="15">
        <f>IFERROR(KC34-KD34,"")</f>
        <v>305341.76099997759</v>
      </c>
      <c r="KG34" s="16">
        <f>(RD[[#This Row],[Sunset Time (POA&lt;20 W/m2)]]-RD[[#This Row],[Sunrise Time (POA&gt;20 W/m2)]])*24</f>
        <v>11.999999999999998</v>
      </c>
      <c r="KH34" s="53">
        <f>RD[[#This Row],[GHI ]]</f>
        <v>0</v>
      </c>
      <c r="KI34" s="53">
        <f>RD[[#This Row],[POA]]</f>
        <v>6.2</v>
      </c>
      <c r="KJ34" s="53">
        <f>RD[[#This Row],[AT (°C) 14 Hours]]</f>
        <v>38.9724</v>
      </c>
      <c r="KK34" s="53">
        <f>RD[[#This Row],[MT (°C) Gen. Hours]]</f>
        <v>45.833799999999997</v>
      </c>
      <c r="KL34" s="53">
        <f>RD[[#This Row],[WS_Avg (m/s) (24 Hours)]]</f>
        <v>2.2648999999999999</v>
      </c>
      <c r="KM34" s="53">
        <f>RD[[#This Row],[WS_Max (m/s)]]</f>
        <v>5.9</v>
      </c>
      <c r="KN34" s="54">
        <f>SUM(RD[[#This Row],[BLK1_INV1]:[BLK8_INV27]])</f>
        <v>306127.9000000002</v>
      </c>
      <c r="KO34" s="95"/>
      <c r="KP34" s="55"/>
      <c r="KQ34" s="90" t="str">
        <f>IFERROR(RD[[#This Row],[WPR_Eac]]/RD[[#This Row],[WPR_Edc]],"")</f>
        <v/>
      </c>
    </row>
    <row r="35" spans="2:303" ht="15" customHeight="1" x14ac:dyDescent="0.25">
      <c r="B35" s="52">
        <v>45776</v>
      </c>
      <c r="C35" s="9">
        <f>YEAR(RD[[#This Row],[Date]])+IF(MONTH(RD[[#This Row],[Date]])&gt;=4,1,0)</f>
        <v>2026</v>
      </c>
      <c r="D35" s="6">
        <f t="shared" ref="D35:D36" si="105">YEAR(B35)</f>
        <v>2025</v>
      </c>
      <c r="E35" s="7"/>
      <c r="F35" s="7"/>
      <c r="G35" s="8" t="str">
        <f>TEXT(RD[[#This Row],[Date]],"mmm-yy")</f>
        <v>Apr-25</v>
      </c>
      <c r="H35" s="6">
        <f t="shared" ref="H35:H36" si="106">DAY(EOMONTH(B35,0))</f>
        <v>30</v>
      </c>
      <c r="I35" s="9">
        <f>'Basic Data '!$S$2</f>
        <v>66750</v>
      </c>
      <c r="J35" s="10">
        <v>0.29166666666666669</v>
      </c>
      <c r="K35" s="10">
        <v>0.79166666666666663</v>
      </c>
      <c r="L35" s="9">
        <v>1407</v>
      </c>
      <c r="M35" s="9">
        <v>1364</v>
      </c>
      <c r="N35" s="9">
        <v>1308</v>
      </c>
      <c r="O35" s="9">
        <v>1299</v>
      </c>
      <c r="P35" s="9">
        <v>1396</v>
      </c>
      <c r="Q35" s="9">
        <v>1295</v>
      </c>
      <c r="R35" s="9">
        <v>1302</v>
      </c>
      <c r="S35" s="9">
        <v>1289</v>
      </c>
      <c r="T35" s="9">
        <v>1283</v>
      </c>
      <c r="U35" s="9">
        <v>1353</v>
      </c>
      <c r="V35" s="9">
        <v>1343</v>
      </c>
      <c r="W35" s="9">
        <v>1311</v>
      </c>
      <c r="X35" s="9">
        <v>1290</v>
      </c>
      <c r="Y35" s="9">
        <v>1208</v>
      </c>
      <c r="Z35" s="9">
        <v>1234</v>
      </c>
      <c r="AA35" s="9">
        <v>1278</v>
      </c>
      <c r="AB35" s="9">
        <v>1238</v>
      </c>
      <c r="AC35" s="9">
        <v>1306</v>
      </c>
      <c r="AD35" s="9">
        <v>1394</v>
      </c>
      <c r="AE35" s="9">
        <v>1408</v>
      </c>
      <c r="AF35" s="9">
        <v>1318</v>
      </c>
      <c r="AG35" s="9">
        <v>1321</v>
      </c>
      <c r="AH35" s="9">
        <v>1439</v>
      </c>
      <c r="AI35" s="9">
        <v>1369</v>
      </c>
      <c r="AJ35" s="9">
        <v>1414</v>
      </c>
      <c r="AK35" s="9">
        <v>1398</v>
      </c>
      <c r="AL35" s="9">
        <v>1394</v>
      </c>
      <c r="AM35" s="9">
        <v>1432</v>
      </c>
      <c r="AN35" s="9">
        <v>1371</v>
      </c>
      <c r="AO35" s="9">
        <v>1411</v>
      </c>
      <c r="AP35" s="9">
        <v>1264</v>
      </c>
      <c r="AQ35" s="9">
        <v>1289</v>
      </c>
      <c r="AR35" s="9">
        <v>1177</v>
      </c>
      <c r="AS35" s="9">
        <v>1560</v>
      </c>
      <c r="AT35" s="9">
        <v>1117</v>
      </c>
      <c r="AU35" s="9">
        <v>1288</v>
      </c>
      <c r="AV35" s="9">
        <v>1290</v>
      </c>
      <c r="AW35" s="9">
        <v>1258</v>
      </c>
      <c r="AX35" s="9">
        <v>1293</v>
      </c>
      <c r="AY35" s="9">
        <v>1308</v>
      </c>
      <c r="AZ35" s="9">
        <v>1254</v>
      </c>
      <c r="BA35" s="9">
        <v>1251</v>
      </c>
      <c r="BB35" s="9">
        <v>1291</v>
      </c>
      <c r="BC35" s="9">
        <v>1282</v>
      </c>
      <c r="BD35" s="9">
        <v>1301</v>
      </c>
      <c r="BE35" s="9">
        <v>1320</v>
      </c>
      <c r="BF35" s="9">
        <v>1437</v>
      </c>
      <c r="BG35" s="9">
        <v>1300</v>
      </c>
      <c r="BH35" s="9">
        <v>1289</v>
      </c>
      <c r="BI35" s="9">
        <v>1318</v>
      </c>
      <c r="BJ35" s="9">
        <v>1255</v>
      </c>
      <c r="BK35" s="9">
        <v>1302</v>
      </c>
      <c r="BL35" s="9">
        <v>1445</v>
      </c>
      <c r="BM35" s="9">
        <v>1490</v>
      </c>
      <c r="BN35" s="9">
        <v>1397</v>
      </c>
      <c r="BO35" s="9">
        <v>1418</v>
      </c>
      <c r="BP35" s="9">
        <v>1475</v>
      </c>
      <c r="BQ35" s="9">
        <v>1325</v>
      </c>
      <c r="BR35" s="9">
        <v>1458</v>
      </c>
      <c r="BS35" s="9">
        <v>1409</v>
      </c>
      <c r="BT35" s="9">
        <v>1294</v>
      </c>
      <c r="BU35" s="9">
        <v>1428</v>
      </c>
      <c r="BV35" s="9">
        <v>1299</v>
      </c>
      <c r="BW35" s="9">
        <v>1154</v>
      </c>
      <c r="BX35" s="9">
        <v>1404</v>
      </c>
      <c r="BY35" s="9">
        <v>1396</v>
      </c>
      <c r="BZ35" s="9">
        <v>1421</v>
      </c>
      <c r="CA35" s="9">
        <v>1325</v>
      </c>
      <c r="CB35" s="9">
        <v>1281</v>
      </c>
      <c r="CC35" s="9">
        <v>1283</v>
      </c>
      <c r="CD35" s="9">
        <v>1299</v>
      </c>
      <c r="CE35" s="9">
        <v>1298</v>
      </c>
      <c r="CF35" s="9">
        <v>1311</v>
      </c>
      <c r="CG35" s="9">
        <v>1302</v>
      </c>
      <c r="CH35" s="9">
        <v>1504</v>
      </c>
      <c r="CI35" s="9">
        <v>1483</v>
      </c>
      <c r="CJ35" s="9">
        <v>1495</v>
      </c>
      <c r="CK35" s="9">
        <v>1299</v>
      </c>
      <c r="CL35" s="9">
        <v>1279</v>
      </c>
      <c r="CM35" s="9">
        <v>1390</v>
      </c>
      <c r="CN35" s="9">
        <v>1331</v>
      </c>
      <c r="CO35" s="9">
        <v>1327</v>
      </c>
      <c r="CP35" s="9">
        <v>1298</v>
      </c>
      <c r="CQ35" s="9">
        <v>1307</v>
      </c>
      <c r="CR35" s="9">
        <v>1302</v>
      </c>
      <c r="CS35" s="9">
        <v>1313</v>
      </c>
      <c r="CT35" s="9">
        <v>1322</v>
      </c>
      <c r="CU35" s="9">
        <v>1307</v>
      </c>
      <c r="CV35" s="9">
        <v>1302</v>
      </c>
      <c r="CW35" s="9">
        <v>1299</v>
      </c>
      <c r="CX35" s="9">
        <v>1354</v>
      </c>
      <c r="CY35" s="9">
        <v>1363</v>
      </c>
      <c r="CZ35" s="9">
        <v>1329</v>
      </c>
      <c r="DA35" s="9">
        <v>1325</v>
      </c>
      <c r="DB35" s="9">
        <v>1399</v>
      </c>
      <c r="DC35" s="9">
        <v>1239</v>
      </c>
      <c r="DD35" s="9">
        <v>1270</v>
      </c>
      <c r="DE35" s="9">
        <v>1298</v>
      </c>
      <c r="DF35" s="9">
        <v>1290</v>
      </c>
      <c r="DG35" s="9">
        <v>1293</v>
      </c>
      <c r="DH35" s="9">
        <v>1324</v>
      </c>
      <c r="DI35" s="9">
        <v>1301</v>
      </c>
      <c r="DJ35" s="9">
        <v>1326</v>
      </c>
      <c r="DK35" s="9">
        <v>1300</v>
      </c>
      <c r="DL35" s="9">
        <v>1447</v>
      </c>
      <c r="DM35" s="9">
        <v>1320</v>
      </c>
      <c r="DN35" s="9">
        <v>1601</v>
      </c>
      <c r="DO35" s="9">
        <v>1444</v>
      </c>
      <c r="DP35" s="9">
        <v>1320</v>
      </c>
      <c r="DQ35" s="9">
        <v>1448</v>
      </c>
      <c r="DR35" s="9">
        <v>1410</v>
      </c>
      <c r="DS35" s="9">
        <v>1411</v>
      </c>
      <c r="DT35" s="9">
        <v>1485</v>
      </c>
      <c r="DU35" s="9">
        <v>1479</v>
      </c>
      <c r="DV35" s="9">
        <v>1314</v>
      </c>
      <c r="DW35" s="9">
        <v>1328</v>
      </c>
      <c r="DX35" s="9">
        <v>1440</v>
      </c>
      <c r="DY35" s="9">
        <v>1441</v>
      </c>
      <c r="DZ35" s="9">
        <v>1437</v>
      </c>
      <c r="EA35" s="9">
        <v>1284</v>
      </c>
      <c r="EB35" s="9">
        <v>1319</v>
      </c>
      <c r="EC35" s="9">
        <v>1356</v>
      </c>
      <c r="ED35" s="9">
        <v>1401</v>
      </c>
      <c r="EE35" s="9">
        <v>1298</v>
      </c>
      <c r="EF35" s="9">
        <v>1316</v>
      </c>
      <c r="EG35" s="9">
        <v>1425</v>
      </c>
      <c r="EH35" s="9">
        <v>1210</v>
      </c>
      <c r="EI35" s="9">
        <v>1223</v>
      </c>
      <c r="EJ35" s="9">
        <v>1428</v>
      </c>
      <c r="EK35" s="9">
        <v>1429</v>
      </c>
      <c r="EL35" s="9">
        <v>1373</v>
      </c>
      <c r="EM35" s="9">
        <v>1379</v>
      </c>
      <c r="EN35" s="9">
        <v>1327</v>
      </c>
      <c r="EO35" s="9">
        <v>1163</v>
      </c>
      <c r="EP35" s="9">
        <v>1471</v>
      </c>
      <c r="EQ35" s="9">
        <v>1399</v>
      </c>
      <c r="ER35" s="9">
        <v>1477</v>
      </c>
      <c r="ES35" s="9">
        <v>1337</v>
      </c>
      <c r="ET35" s="9">
        <v>1338</v>
      </c>
      <c r="EU35" s="9">
        <v>1314</v>
      </c>
      <c r="EV35" s="9">
        <v>1267</v>
      </c>
      <c r="EW35" s="9">
        <v>1316</v>
      </c>
      <c r="EX35" s="9">
        <v>1149</v>
      </c>
      <c r="EY35" s="9">
        <v>1447</v>
      </c>
      <c r="EZ35" s="9">
        <v>1214</v>
      </c>
      <c r="FA35" s="9">
        <v>1454</v>
      </c>
      <c r="FB35" s="9">
        <v>1290</v>
      </c>
      <c r="FC35" s="9">
        <v>1200</v>
      </c>
      <c r="FD35" s="9">
        <v>1386</v>
      </c>
      <c r="FE35" s="9">
        <v>1406</v>
      </c>
      <c r="FF35" s="9">
        <v>1414</v>
      </c>
      <c r="FG35" s="9">
        <v>1301</v>
      </c>
      <c r="FH35" s="9">
        <v>1486</v>
      </c>
      <c r="FI35" s="9">
        <v>1304</v>
      </c>
      <c r="FJ35" s="9">
        <v>1280</v>
      </c>
      <c r="FK35" s="9">
        <v>1262</v>
      </c>
      <c r="FL35" s="9">
        <v>1280</v>
      </c>
      <c r="FM35" s="9">
        <v>1251</v>
      </c>
      <c r="FN35" s="9">
        <v>1173</v>
      </c>
      <c r="FO35" s="9">
        <v>1228</v>
      </c>
      <c r="FP35" s="9">
        <v>1410</v>
      </c>
      <c r="FQ35" s="9">
        <v>1215</v>
      </c>
      <c r="FR35" s="9">
        <v>1339</v>
      </c>
      <c r="FS35" s="9">
        <v>1344</v>
      </c>
      <c r="FT35" s="9">
        <v>1293</v>
      </c>
      <c r="FU35" s="9">
        <v>1163</v>
      </c>
      <c r="FV35" s="9">
        <v>1208</v>
      </c>
      <c r="FW35" s="9">
        <v>1319</v>
      </c>
      <c r="FX35" s="9">
        <v>1277</v>
      </c>
      <c r="FY35" s="9">
        <v>1161</v>
      </c>
      <c r="FZ35" s="9">
        <v>1262</v>
      </c>
      <c r="GA35" s="9">
        <v>1230</v>
      </c>
      <c r="GB35" s="9">
        <v>1168</v>
      </c>
      <c r="GC35" s="9">
        <v>1277</v>
      </c>
      <c r="GD35" s="9">
        <v>1465</v>
      </c>
      <c r="GE35" s="9">
        <v>1276</v>
      </c>
      <c r="GF35" s="9">
        <v>1286</v>
      </c>
      <c r="GG35" s="9">
        <v>1153</v>
      </c>
      <c r="GH35" s="9">
        <v>1462</v>
      </c>
      <c r="GI35" s="9">
        <v>1304</v>
      </c>
      <c r="GJ35" s="9">
        <v>1259</v>
      </c>
      <c r="GK35" s="9">
        <v>1291</v>
      </c>
      <c r="GL35" s="9">
        <v>1383</v>
      </c>
      <c r="GM35" s="9">
        <v>1431</v>
      </c>
      <c r="GN35" s="9">
        <v>1339</v>
      </c>
      <c r="GO35" s="9">
        <v>1439</v>
      </c>
      <c r="GP35" s="9">
        <v>1347</v>
      </c>
      <c r="GQ35" s="9">
        <v>1351</v>
      </c>
      <c r="GR35" s="9">
        <v>1292</v>
      </c>
      <c r="GS35" s="9">
        <v>1164</v>
      </c>
      <c r="GT35" s="9">
        <v>1191</v>
      </c>
      <c r="GU35" s="9">
        <v>1154</v>
      </c>
      <c r="GV35" s="9">
        <v>940</v>
      </c>
      <c r="GW35" s="9">
        <v>1209</v>
      </c>
      <c r="GX35" s="9">
        <v>1309</v>
      </c>
      <c r="GY35" s="9">
        <v>1169</v>
      </c>
      <c r="GZ35" s="9">
        <v>1113</v>
      </c>
      <c r="HA35" s="9">
        <v>1336</v>
      </c>
      <c r="HB35" s="9"/>
      <c r="HC35" s="9"/>
      <c r="HD35" s="9">
        <v>1254</v>
      </c>
      <c r="HE35" s="9">
        <v>872</v>
      </c>
      <c r="HF35" s="9">
        <v>1182</v>
      </c>
      <c r="HG35" s="9"/>
      <c r="HH35" s="9">
        <v>1330</v>
      </c>
      <c r="HI35" s="9">
        <v>1255</v>
      </c>
      <c r="HJ35" s="9">
        <v>1249</v>
      </c>
      <c r="HK35" s="9">
        <v>1214</v>
      </c>
      <c r="HL35" s="9">
        <v>1255</v>
      </c>
      <c r="HM35" s="9">
        <v>1264</v>
      </c>
      <c r="HN35" s="9">
        <v>1266</v>
      </c>
      <c r="HO35" s="9">
        <v>1278</v>
      </c>
      <c r="HP35" s="9">
        <v>1296</v>
      </c>
      <c r="HQ35" s="9">
        <v>1326</v>
      </c>
      <c r="HR35" s="9">
        <v>1321</v>
      </c>
      <c r="HS35" s="9">
        <v>1331</v>
      </c>
      <c r="HT35" s="9">
        <v>1405</v>
      </c>
      <c r="HU35" s="9">
        <v>1472</v>
      </c>
      <c r="HV35" s="9">
        <v>1246</v>
      </c>
      <c r="HW35" s="9">
        <v>1040</v>
      </c>
      <c r="HX35" s="9">
        <v>951</v>
      </c>
      <c r="HY35" s="9">
        <v>688</v>
      </c>
      <c r="HZ35" s="9">
        <v>894</v>
      </c>
      <c r="IA35" s="9">
        <v>1057</v>
      </c>
      <c r="IB35" s="9">
        <v>1334</v>
      </c>
      <c r="IC35" s="9">
        <v>1368</v>
      </c>
      <c r="ID35" s="9">
        <v>1323</v>
      </c>
      <c r="IE35" s="9">
        <v>1335</v>
      </c>
      <c r="IF35" s="9">
        <v>1230</v>
      </c>
      <c r="IG35" s="9">
        <v>1450</v>
      </c>
      <c r="IH35" s="9">
        <v>1381</v>
      </c>
      <c r="II35" s="9">
        <v>1264</v>
      </c>
      <c r="IJ35" s="9">
        <v>1022</v>
      </c>
      <c r="IK35" s="9">
        <v>1224</v>
      </c>
      <c r="IL35" s="9">
        <v>1031</v>
      </c>
      <c r="IM35" s="9">
        <v>1194</v>
      </c>
      <c r="IN35" s="9">
        <v>1031</v>
      </c>
      <c r="IO35" s="9"/>
      <c r="IP35" s="9">
        <v>1665</v>
      </c>
      <c r="IQ35" s="9">
        <v>1195</v>
      </c>
      <c r="IR35" s="9">
        <v>520</v>
      </c>
      <c r="IS35" s="9">
        <v>1110</v>
      </c>
      <c r="IT35" s="9">
        <v>1142</v>
      </c>
      <c r="IU35" s="9"/>
      <c r="IV35" s="9"/>
      <c r="IW35" s="9">
        <v>1097</v>
      </c>
      <c r="IX35" s="9">
        <v>1225</v>
      </c>
      <c r="IY35" s="9">
        <v>798</v>
      </c>
      <c r="IZ35" s="9">
        <v>1178</v>
      </c>
      <c r="JA35" s="9">
        <v>1099</v>
      </c>
      <c r="JB35" s="11">
        <v>40</v>
      </c>
      <c r="JC35" s="11">
        <v>46</v>
      </c>
      <c r="JD35" s="11">
        <v>2.1</v>
      </c>
      <c r="JE35" s="11">
        <v>5.0999999999999996</v>
      </c>
      <c r="JF35" s="11"/>
      <c r="JG35" s="11">
        <v>0</v>
      </c>
      <c r="JH35" s="13">
        <v>6.38</v>
      </c>
      <c r="JI35" s="12"/>
      <c r="JJ35" s="12"/>
      <c r="JK35" s="9">
        <v>83340164.309</v>
      </c>
      <c r="JL35" s="9">
        <v>281785</v>
      </c>
      <c r="JM35" s="9">
        <v>56438227.545000002</v>
      </c>
      <c r="JN35" s="9">
        <v>61405</v>
      </c>
      <c r="JO35" s="9">
        <v>84142145.622999996</v>
      </c>
      <c r="JP35" s="9">
        <v>186495</v>
      </c>
      <c r="JQ35" s="9">
        <v>60919090.960000001</v>
      </c>
      <c r="JR35" s="9">
        <v>55425</v>
      </c>
      <c r="JS35" s="11">
        <v>315953204.40969998</v>
      </c>
      <c r="JT35" s="11">
        <v>83421</v>
      </c>
      <c r="JU35" s="14">
        <f t="shared" si="96"/>
        <v>85254.028999999166</v>
      </c>
      <c r="JV35" s="14">
        <f t="shared" si="95"/>
        <v>61.114000000001397</v>
      </c>
      <c r="JW35" s="14">
        <f t="shared" si="97"/>
        <v>82991.23900000006</v>
      </c>
      <c r="JX35" s="14">
        <f t="shared" si="98"/>
        <v>11.747999999999593</v>
      </c>
      <c r="JY35" s="14">
        <f t="shared" si="99"/>
        <v>83449.618000000715</v>
      </c>
      <c r="JZ35" s="14">
        <f t="shared" si="100"/>
        <v>40.002999999996973</v>
      </c>
      <c r="KA35" s="14">
        <f t="shared" si="101"/>
        <v>63050.222000002861</v>
      </c>
      <c r="KB35" s="14">
        <f t="shared" si="102"/>
        <v>13</v>
      </c>
      <c r="KC35" s="14">
        <f t="shared" si="103"/>
        <v>314307.9307000041</v>
      </c>
      <c r="KD35" s="14">
        <f t="shared" si="104"/>
        <v>54.002999999996973</v>
      </c>
      <c r="KE35" s="15">
        <f t="shared" ref="KE35:KE36" si="107">(JU35+JW35)-(JV35+JX35)</f>
        <v>168172.40599999923</v>
      </c>
      <c r="KF35" s="15">
        <f t="shared" ref="KF35:KF36" si="108">IFERROR(KC35-KD35,"")</f>
        <v>314253.92770000407</v>
      </c>
      <c r="KG35" s="16">
        <f>(RD[[#This Row],[Sunset Time (POA&lt;20 W/m2)]]-RD[[#This Row],[Sunrise Time (POA&gt;20 W/m2)]])*24</f>
        <v>11.999999999999998</v>
      </c>
      <c r="KH35" s="53">
        <f>RD[[#This Row],[GHI ]]</f>
        <v>0</v>
      </c>
      <c r="KI35" s="53">
        <f>RD[[#This Row],[POA]]</f>
        <v>6.38</v>
      </c>
      <c r="KJ35" s="53">
        <f>RD[[#This Row],[AT (°C) 14 Hours]]</f>
        <v>40</v>
      </c>
      <c r="KK35" s="53">
        <f>RD[[#This Row],[MT (°C) Gen. Hours]]</f>
        <v>46</v>
      </c>
      <c r="KL35" s="53">
        <f>RD[[#This Row],[WS_Avg (m/s) (24 Hours)]]</f>
        <v>2.1</v>
      </c>
      <c r="KM35" s="53">
        <f>RD[[#This Row],[WS_Max (m/s)]]</f>
        <v>5.0999999999999996</v>
      </c>
      <c r="KN35" s="54">
        <f>SUM(RD[[#This Row],[BLK1_INV1]:[BLK8_INV27]])</f>
        <v>316090</v>
      </c>
      <c r="KO35" s="95"/>
      <c r="KP35" s="55"/>
      <c r="KQ35" s="90" t="str">
        <f>IFERROR(RD[[#This Row],[WPR_Eac]]/RD[[#This Row],[WPR_Edc]],"")</f>
        <v/>
      </c>
    </row>
    <row r="36" spans="2:303" ht="15" customHeight="1" x14ac:dyDescent="0.25">
      <c r="B36" s="52">
        <v>45777</v>
      </c>
      <c r="C36" s="9">
        <f>YEAR(RD[[#This Row],[Date]])+IF(MONTH(RD[[#This Row],[Date]])&gt;=4,1,0)</f>
        <v>2026</v>
      </c>
      <c r="D36" s="6">
        <f t="shared" si="105"/>
        <v>2025</v>
      </c>
      <c r="E36" s="7"/>
      <c r="F36" s="7"/>
      <c r="G36" s="8" t="str">
        <f>TEXT(RD[[#This Row],[Date]],"mmm-yy")</f>
        <v>Apr-25</v>
      </c>
      <c r="H36" s="6">
        <f t="shared" si="106"/>
        <v>30</v>
      </c>
      <c r="I36" s="9">
        <f>'Basic Data '!$S$2</f>
        <v>66750</v>
      </c>
      <c r="J36" s="10">
        <v>0.29166666666666669</v>
      </c>
      <c r="K36" s="10">
        <v>0.79166666666666663</v>
      </c>
      <c r="L36" s="9">
        <v>1370.1</v>
      </c>
      <c r="M36" s="9">
        <v>1329.7</v>
      </c>
      <c r="N36" s="9">
        <v>1272</v>
      </c>
      <c r="O36" s="9">
        <v>1262.9000000000001</v>
      </c>
      <c r="P36" s="9">
        <v>1358.6</v>
      </c>
      <c r="Q36" s="9">
        <v>1260.8</v>
      </c>
      <c r="R36" s="9">
        <v>1269.7</v>
      </c>
      <c r="S36" s="9">
        <v>1256.5</v>
      </c>
      <c r="T36" s="9">
        <v>1248.5</v>
      </c>
      <c r="U36" s="9">
        <v>1318.5</v>
      </c>
      <c r="V36" s="9">
        <v>1307.4000000000001</v>
      </c>
      <c r="W36" s="9">
        <v>1276</v>
      </c>
      <c r="X36" s="9">
        <v>1257.2</v>
      </c>
      <c r="Y36" s="9">
        <v>1174.5999999999999</v>
      </c>
      <c r="Z36" s="9">
        <v>1202</v>
      </c>
      <c r="AA36" s="9">
        <v>1245.5999999999999</v>
      </c>
      <c r="AB36" s="9">
        <v>1206.7</v>
      </c>
      <c r="AC36" s="9">
        <v>1273.0999999999999</v>
      </c>
      <c r="AD36" s="9">
        <v>1358.5</v>
      </c>
      <c r="AE36" s="9">
        <v>1372.7</v>
      </c>
      <c r="AF36" s="9">
        <v>1285.0999999999999</v>
      </c>
      <c r="AG36" s="9">
        <v>1286.5</v>
      </c>
      <c r="AH36" s="9">
        <v>1401</v>
      </c>
      <c r="AI36" s="9">
        <v>1437.3</v>
      </c>
      <c r="AJ36" s="9">
        <v>1377.9</v>
      </c>
      <c r="AK36" s="9">
        <v>1359.5</v>
      </c>
      <c r="AL36" s="9">
        <v>1356.9</v>
      </c>
      <c r="AM36" s="9">
        <v>1396</v>
      </c>
      <c r="AN36" s="9">
        <v>1373.5</v>
      </c>
      <c r="AO36" s="9">
        <v>1376.2</v>
      </c>
      <c r="AP36" s="9">
        <v>1236.2</v>
      </c>
      <c r="AQ36" s="9">
        <v>1321.7</v>
      </c>
      <c r="AR36" s="9">
        <v>1147.5999999999999</v>
      </c>
      <c r="AS36" s="9">
        <v>1524.4</v>
      </c>
      <c r="AT36" s="9">
        <v>1195.9000000000001</v>
      </c>
      <c r="AU36" s="9">
        <v>1253.7</v>
      </c>
      <c r="AV36" s="9">
        <v>1258.2</v>
      </c>
      <c r="AW36" s="9">
        <v>1233</v>
      </c>
      <c r="AX36" s="9">
        <v>1259.4000000000001</v>
      </c>
      <c r="AY36" s="9">
        <v>1275.4000000000001</v>
      </c>
      <c r="AZ36" s="9">
        <v>1240.3</v>
      </c>
      <c r="BA36" s="9">
        <v>1227</v>
      </c>
      <c r="BB36" s="9">
        <v>1258.2</v>
      </c>
      <c r="BC36" s="9">
        <v>1248.8</v>
      </c>
      <c r="BD36" s="9">
        <v>1277.8</v>
      </c>
      <c r="BE36" s="9">
        <v>1306.8</v>
      </c>
      <c r="BF36" s="9">
        <v>1409.5</v>
      </c>
      <c r="BG36" s="9">
        <v>1266.0999999999999</v>
      </c>
      <c r="BH36" s="9">
        <v>1255.5</v>
      </c>
      <c r="BI36" s="9">
        <v>1283.7</v>
      </c>
      <c r="BJ36" s="9">
        <v>1223.3</v>
      </c>
      <c r="BK36" s="9">
        <v>1276.8</v>
      </c>
      <c r="BL36" s="9">
        <v>1430.6</v>
      </c>
      <c r="BM36" s="9">
        <v>1472.1</v>
      </c>
      <c r="BN36" s="9">
        <v>1362.2</v>
      </c>
      <c r="BO36" s="9">
        <v>1168.5</v>
      </c>
      <c r="BP36" s="9">
        <v>1438.9</v>
      </c>
      <c r="BQ36" s="9">
        <v>1289.9000000000001</v>
      </c>
      <c r="BR36" s="9">
        <v>1420.2</v>
      </c>
      <c r="BS36" s="9">
        <v>1430.4</v>
      </c>
      <c r="BT36" s="9">
        <v>1263.4000000000001</v>
      </c>
      <c r="BU36" s="9">
        <v>1393.4</v>
      </c>
      <c r="BV36" s="9">
        <v>1262.7</v>
      </c>
      <c r="BW36" s="9">
        <v>1126.5</v>
      </c>
      <c r="BX36" s="9">
        <v>1367.2</v>
      </c>
      <c r="BY36" s="9">
        <v>1359.2</v>
      </c>
      <c r="BZ36" s="9">
        <v>1383.6</v>
      </c>
      <c r="CA36" s="9">
        <v>1270.4000000000001</v>
      </c>
      <c r="CB36" s="9">
        <v>1247.3</v>
      </c>
      <c r="CC36" s="9">
        <v>1249.5999999999999</v>
      </c>
      <c r="CD36" s="9">
        <v>1265.3</v>
      </c>
      <c r="CE36" s="9">
        <v>1263.7</v>
      </c>
      <c r="CF36" s="9">
        <v>1275.4000000000001</v>
      </c>
      <c r="CG36" s="9">
        <v>1266.9000000000001</v>
      </c>
      <c r="CH36" s="9">
        <v>1462.6</v>
      </c>
      <c r="CI36" s="9">
        <v>1441.3</v>
      </c>
      <c r="CJ36" s="9">
        <v>1454.4</v>
      </c>
      <c r="CK36" s="9">
        <v>1267.0999999999999</v>
      </c>
      <c r="CL36" s="9">
        <v>1246.0999999999999</v>
      </c>
      <c r="CM36" s="9">
        <v>1350.9</v>
      </c>
      <c r="CN36" s="9">
        <v>1300.5999999999999</v>
      </c>
      <c r="CO36" s="9">
        <v>1295.4000000000001</v>
      </c>
      <c r="CP36" s="9">
        <v>1261.9000000000001</v>
      </c>
      <c r="CQ36" s="9">
        <v>1271.5999999999999</v>
      </c>
      <c r="CR36" s="9">
        <v>1276.5999999999999</v>
      </c>
      <c r="CS36" s="9">
        <v>1302.5</v>
      </c>
      <c r="CT36" s="9">
        <v>1233.8</v>
      </c>
      <c r="CU36" s="9">
        <v>1278</v>
      </c>
      <c r="CV36" s="9">
        <v>1268.7</v>
      </c>
      <c r="CW36" s="9">
        <v>1263</v>
      </c>
      <c r="CX36" s="9">
        <v>1317.4</v>
      </c>
      <c r="CY36" s="9">
        <v>1342.6</v>
      </c>
      <c r="CZ36" s="9">
        <v>1294</v>
      </c>
      <c r="DA36" s="9">
        <v>1289.4000000000001</v>
      </c>
      <c r="DB36" s="9">
        <v>1377.2</v>
      </c>
      <c r="DC36" s="9">
        <v>1205.9000000000001</v>
      </c>
      <c r="DD36" s="9">
        <v>1235.9000000000001</v>
      </c>
      <c r="DE36" s="9">
        <v>1264.7</v>
      </c>
      <c r="DF36" s="9">
        <v>1254</v>
      </c>
      <c r="DG36" s="9">
        <v>1257.2</v>
      </c>
      <c r="DH36" s="9">
        <v>1287.4000000000001</v>
      </c>
      <c r="DI36" s="9">
        <v>1264.0999999999999</v>
      </c>
      <c r="DJ36" s="9">
        <v>1289.0999999999999</v>
      </c>
      <c r="DK36" s="9">
        <v>1262.8</v>
      </c>
      <c r="DL36" s="9">
        <v>1406.4</v>
      </c>
      <c r="DM36" s="9">
        <v>1281.9000000000001</v>
      </c>
      <c r="DN36" s="9">
        <v>1557.6</v>
      </c>
      <c r="DO36" s="9">
        <v>1405.2</v>
      </c>
      <c r="DP36" s="9">
        <v>1282.3</v>
      </c>
      <c r="DQ36" s="9">
        <v>1407.4</v>
      </c>
      <c r="DR36" s="9">
        <v>1371.8</v>
      </c>
      <c r="DS36" s="9">
        <v>1371.3</v>
      </c>
      <c r="DT36" s="9">
        <v>1441.7</v>
      </c>
      <c r="DU36" s="9">
        <v>1438.3</v>
      </c>
      <c r="DV36" s="9">
        <v>1279.3</v>
      </c>
      <c r="DW36" s="9">
        <v>1290.8</v>
      </c>
      <c r="DX36" s="9">
        <v>1401.1</v>
      </c>
      <c r="DY36" s="9">
        <v>1403.5</v>
      </c>
      <c r="DZ36" s="9">
        <v>1398</v>
      </c>
      <c r="EA36" s="9">
        <v>1249.3</v>
      </c>
      <c r="EB36" s="9">
        <v>1282.8</v>
      </c>
      <c r="EC36" s="9">
        <v>1322.6</v>
      </c>
      <c r="ED36" s="9">
        <v>1365</v>
      </c>
      <c r="EE36" s="9">
        <v>1262.9000000000001</v>
      </c>
      <c r="EF36" s="9">
        <v>1280.2</v>
      </c>
      <c r="EG36" s="9">
        <v>1385.9</v>
      </c>
      <c r="EH36" s="9">
        <v>1183.5</v>
      </c>
      <c r="EI36" s="9">
        <v>1195.2</v>
      </c>
      <c r="EJ36" s="9">
        <v>1391.4</v>
      </c>
      <c r="EK36" s="9">
        <v>1394.1</v>
      </c>
      <c r="EL36" s="9">
        <v>1341.2</v>
      </c>
      <c r="EM36" s="9">
        <v>1346.8</v>
      </c>
      <c r="EN36" s="9">
        <v>1293.7</v>
      </c>
      <c r="EO36" s="9">
        <v>1133.4000000000001</v>
      </c>
      <c r="EP36" s="9">
        <v>1434.5</v>
      </c>
      <c r="EQ36" s="9">
        <v>1363.4</v>
      </c>
      <c r="ER36" s="9">
        <v>1382</v>
      </c>
      <c r="ES36" s="9">
        <v>1301.8</v>
      </c>
      <c r="ET36" s="9">
        <v>1305.5</v>
      </c>
      <c r="EU36" s="9">
        <v>1283</v>
      </c>
      <c r="EV36" s="9">
        <v>1236.9000000000001</v>
      </c>
      <c r="EW36" s="9">
        <v>1285.4000000000001</v>
      </c>
      <c r="EX36" s="9">
        <v>1121.4000000000001</v>
      </c>
      <c r="EY36" s="9">
        <v>1411.4</v>
      </c>
      <c r="EZ36" s="9">
        <v>1184.3</v>
      </c>
      <c r="FA36" s="9">
        <v>1372.9</v>
      </c>
      <c r="FB36" s="9">
        <v>1262.0999999999999</v>
      </c>
      <c r="FC36" s="9">
        <v>1170.8</v>
      </c>
      <c r="FD36" s="9">
        <v>1351.4</v>
      </c>
      <c r="FE36" s="9">
        <v>1372.4</v>
      </c>
      <c r="FF36" s="9">
        <v>1378.7</v>
      </c>
      <c r="FG36" s="9">
        <v>1269.9000000000001</v>
      </c>
      <c r="FH36" s="9">
        <v>1449.2</v>
      </c>
      <c r="FI36" s="9">
        <v>1270.5999999999999</v>
      </c>
      <c r="FJ36" s="9">
        <v>1250.9000000000001</v>
      </c>
      <c r="FK36" s="9">
        <v>1230.9000000000001</v>
      </c>
      <c r="FL36" s="9">
        <v>1239.5</v>
      </c>
      <c r="FM36" s="9">
        <v>1221.7</v>
      </c>
      <c r="FN36" s="9">
        <v>1144</v>
      </c>
      <c r="FO36" s="9">
        <v>1197.3</v>
      </c>
      <c r="FP36" s="9">
        <v>1374.1</v>
      </c>
      <c r="FQ36" s="9">
        <v>1186.7</v>
      </c>
      <c r="FR36" s="9">
        <v>1306.7</v>
      </c>
      <c r="FS36" s="9">
        <v>1310.3</v>
      </c>
      <c r="FT36" s="9">
        <v>1243.5</v>
      </c>
      <c r="FU36" s="9">
        <v>997.1</v>
      </c>
      <c r="FV36" s="9">
        <v>1200.4000000000001</v>
      </c>
      <c r="FW36" s="9">
        <v>1334.4</v>
      </c>
      <c r="FX36" s="9">
        <v>1252.2</v>
      </c>
      <c r="FY36" s="9">
        <v>1129.5</v>
      </c>
      <c r="FZ36" s="9">
        <v>1237.7</v>
      </c>
      <c r="GA36" s="9">
        <v>1194.8</v>
      </c>
      <c r="GB36" s="9">
        <v>1173.4000000000001</v>
      </c>
      <c r="GC36" s="9">
        <v>1243.2</v>
      </c>
      <c r="GD36" s="9">
        <v>1427.4</v>
      </c>
      <c r="GE36" s="9">
        <v>1245.5999999999999</v>
      </c>
      <c r="GF36" s="9">
        <v>1256.0999999999999</v>
      </c>
      <c r="GG36" s="9">
        <v>1126.4000000000001</v>
      </c>
      <c r="GH36" s="9">
        <v>1445.2</v>
      </c>
      <c r="GI36" s="9">
        <v>1274.0999999999999</v>
      </c>
      <c r="GJ36" s="9">
        <v>1244</v>
      </c>
      <c r="GK36" s="9">
        <v>1261.0999999999999</v>
      </c>
      <c r="GL36" s="9">
        <v>1350.8</v>
      </c>
      <c r="GM36" s="9">
        <v>1396.6</v>
      </c>
      <c r="GN36" s="9">
        <v>1307.9000000000001</v>
      </c>
      <c r="GO36" s="9">
        <v>1404.2</v>
      </c>
      <c r="GP36" s="9">
        <v>1313.1</v>
      </c>
      <c r="GQ36" s="9">
        <v>1317</v>
      </c>
      <c r="GR36" s="9">
        <v>1256.5</v>
      </c>
      <c r="GS36" s="9">
        <v>1131.0999999999999</v>
      </c>
      <c r="GT36" s="9">
        <v>1157.0999999999999</v>
      </c>
      <c r="GU36" s="9">
        <v>1122.2</v>
      </c>
      <c r="GV36" s="9">
        <v>1101.0999999999999</v>
      </c>
      <c r="GW36" s="9">
        <v>1175.5999999999999</v>
      </c>
      <c r="GX36" s="9">
        <v>1272.5</v>
      </c>
      <c r="GY36" s="9">
        <v>1233.0999999999999</v>
      </c>
      <c r="GZ36" s="9">
        <v>1082.5</v>
      </c>
      <c r="HA36" s="9">
        <v>1298.2</v>
      </c>
      <c r="HB36" s="9"/>
      <c r="HC36" s="9"/>
      <c r="HD36" s="9">
        <v>1087.0999999999999</v>
      </c>
      <c r="HE36" s="9">
        <v>847.8</v>
      </c>
      <c r="HF36" s="9">
        <v>1208.7</v>
      </c>
      <c r="HG36" s="9"/>
      <c r="HH36" s="9">
        <v>1321.5</v>
      </c>
      <c r="HI36" s="9">
        <v>1149.9000000000001</v>
      </c>
      <c r="HJ36" s="9">
        <v>1215</v>
      </c>
      <c r="HK36" s="9">
        <v>1181.5999999999999</v>
      </c>
      <c r="HL36" s="9">
        <v>1220.5999999999999</v>
      </c>
      <c r="HM36" s="9">
        <v>1231.8</v>
      </c>
      <c r="HN36" s="9">
        <v>1232.5</v>
      </c>
      <c r="HO36" s="9">
        <v>1244.2</v>
      </c>
      <c r="HP36" s="9">
        <v>1261.8</v>
      </c>
      <c r="HQ36" s="9">
        <v>1292.3</v>
      </c>
      <c r="HR36" s="9">
        <v>1285</v>
      </c>
      <c r="HS36" s="9">
        <v>1295</v>
      </c>
      <c r="HT36" s="9">
        <v>1365.3</v>
      </c>
      <c r="HU36" s="9">
        <v>1431.5</v>
      </c>
      <c r="HV36" s="9">
        <v>1213.7</v>
      </c>
      <c r="HW36" s="9">
        <v>1014.9</v>
      </c>
      <c r="HX36" s="9">
        <v>926</v>
      </c>
      <c r="HY36" s="9">
        <v>717.9</v>
      </c>
      <c r="HZ36" s="9">
        <v>850.9</v>
      </c>
      <c r="IA36" s="9">
        <v>1006.8</v>
      </c>
      <c r="IB36" s="9">
        <v>1277.5</v>
      </c>
      <c r="IC36" s="9">
        <v>1392.3</v>
      </c>
      <c r="ID36" s="9">
        <v>1296.5999999999999</v>
      </c>
      <c r="IE36" s="9">
        <v>1308.2</v>
      </c>
      <c r="IF36" s="9">
        <v>1315.5</v>
      </c>
      <c r="IG36" s="9">
        <v>1365.5</v>
      </c>
      <c r="IH36" s="9">
        <v>1390.3</v>
      </c>
      <c r="II36" s="9">
        <v>1312.7</v>
      </c>
      <c r="IJ36" s="9">
        <v>976.6</v>
      </c>
      <c r="IK36" s="9">
        <v>1203</v>
      </c>
      <c r="IL36" s="9">
        <v>980.5</v>
      </c>
      <c r="IM36" s="9">
        <v>1152.8</v>
      </c>
      <c r="IN36" s="9">
        <v>1005.7</v>
      </c>
      <c r="IO36" s="9"/>
      <c r="IP36" s="9">
        <v>1645</v>
      </c>
      <c r="IQ36" s="9">
        <v>1282.0999999999999</v>
      </c>
      <c r="IR36" s="9">
        <v>521.5</v>
      </c>
      <c r="IS36" s="9">
        <v>1192.2</v>
      </c>
      <c r="IT36" s="9">
        <v>1128</v>
      </c>
      <c r="IU36" s="9"/>
      <c r="IV36" s="9"/>
      <c r="IW36" s="9">
        <v>1190.8</v>
      </c>
      <c r="IX36" s="9">
        <v>1166.4000000000001</v>
      </c>
      <c r="IY36" s="9">
        <v>794.5</v>
      </c>
      <c r="IZ36" s="9">
        <v>1121.5999999999999</v>
      </c>
      <c r="JA36" s="9">
        <v>1055.5</v>
      </c>
      <c r="JB36" s="11">
        <v>35.51</v>
      </c>
      <c r="JC36" s="11">
        <v>43.47</v>
      </c>
      <c r="JD36" s="11">
        <v>2.54</v>
      </c>
      <c r="JE36" s="11">
        <v>6.7</v>
      </c>
      <c r="JF36" s="11"/>
      <c r="JG36" s="11">
        <v>0</v>
      </c>
      <c r="JH36" s="13">
        <v>6.29</v>
      </c>
      <c r="JI36" s="12"/>
      <c r="JJ36" s="12"/>
      <c r="JK36" s="9">
        <v>83423432.754999995</v>
      </c>
      <c r="JL36" s="9">
        <v>281823.45600000001</v>
      </c>
      <c r="JM36" s="9">
        <v>56518786.828000002</v>
      </c>
      <c r="JN36" s="9">
        <v>61413.794999999998</v>
      </c>
      <c r="JO36" s="9">
        <v>84223652.282000005</v>
      </c>
      <c r="JP36" s="9">
        <v>186538.50899999999</v>
      </c>
      <c r="JQ36" s="9">
        <v>60981207.811999999</v>
      </c>
      <c r="JR36" s="9">
        <v>55435.396000000001</v>
      </c>
      <c r="JS36" s="11">
        <v>316260211.85900003</v>
      </c>
      <c r="JT36" s="11">
        <v>83464.615000000005</v>
      </c>
      <c r="JU36" s="14">
        <f t="shared" ref="JU36:JU37" si="109">IF((JK36-JK35)&lt;0,"",(JK36-JK35))</f>
        <v>83268.445999994874</v>
      </c>
      <c r="JV36" s="14">
        <f t="shared" ref="JV36:JV37" si="110">IF((JL36-JL35)&lt;0,"",(JL36-JL35))</f>
        <v>38.456000000005588</v>
      </c>
      <c r="JW36" s="14">
        <f t="shared" ref="JW36:JW37" si="111">IF((JM36-JM35)&lt;0,"",(JM36-JM35))</f>
        <v>80559.282999999821</v>
      </c>
      <c r="JX36" s="14">
        <f>IF((JN36-JN35)&lt;0,"",(JN36-JN35))</f>
        <v>8.7949999999982538</v>
      </c>
      <c r="JY36" s="14">
        <f t="shared" ref="JY36:JY37" si="112">IF((JO36-JO35)&lt;0,"",(JO36-JO35))</f>
        <v>81506.659000009298</v>
      </c>
      <c r="JZ36" s="14">
        <f t="shared" ref="JZ36:JZ37" si="113">IF((JP36-JP35)&lt;0,"",(JP36-JP35))</f>
        <v>43.50899999999092</v>
      </c>
      <c r="KA36" s="14">
        <f t="shared" ref="KA36:KA37" si="114">IF((JQ36-JQ35)&lt;0,"",(JQ36-JQ35))</f>
        <v>62116.851999998093</v>
      </c>
      <c r="KB36" s="14">
        <f t="shared" ref="KB36:KC39" si="115">IF((JR36-JR35)&lt;0,"",(JR36-JR35))</f>
        <v>10.39600000000064</v>
      </c>
      <c r="KC36" s="14">
        <f t="shared" si="115"/>
        <v>307007.44930005074</v>
      </c>
      <c r="KD36" s="14">
        <f t="shared" ref="KD36:KD37" si="116">IF((JT36-JT35)&lt;0,"",(JT36-JT35))</f>
        <v>43.615000000005239</v>
      </c>
      <c r="KE36" s="15">
        <f t="shared" si="107"/>
        <v>163780.47799999471</v>
      </c>
      <c r="KF36" s="15">
        <f t="shared" si="108"/>
        <v>306963.83430005074</v>
      </c>
      <c r="KG36" s="16">
        <f>(RD[[#This Row],[Sunset Time (POA&lt;20 W/m2)]]-RD[[#This Row],[Sunrise Time (POA&gt;20 W/m2)]])*24</f>
        <v>11.999999999999998</v>
      </c>
      <c r="KH36" s="53">
        <f>RD[[#This Row],[GHI ]]</f>
        <v>0</v>
      </c>
      <c r="KI36" s="53">
        <f>RD[[#This Row],[POA]]</f>
        <v>6.29</v>
      </c>
      <c r="KJ36" s="53">
        <f>RD[[#This Row],[AT (°C) 14 Hours]]</f>
        <v>35.51</v>
      </c>
      <c r="KK36" s="53">
        <f>RD[[#This Row],[MT (°C) Gen. Hours]]</f>
        <v>43.47</v>
      </c>
      <c r="KL36" s="53">
        <f>RD[[#This Row],[WS_Avg (m/s) (24 Hours)]]</f>
        <v>2.54</v>
      </c>
      <c r="KM36" s="53">
        <f>RD[[#This Row],[WS_Max (m/s)]]</f>
        <v>6.7</v>
      </c>
      <c r="KN36" s="54">
        <f>SUM(RD[[#This Row],[BLK1_INV1]:[BLK8_INV27]])</f>
        <v>308834.89999999985</v>
      </c>
      <c r="KO36" s="95"/>
      <c r="KP36" s="55"/>
      <c r="KQ36" s="90" t="str">
        <f>IFERROR(RD[[#This Row],[WPR_Eac]]/RD[[#This Row],[WPR_Edc]],"")</f>
        <v/>
      </c>
    </row>
    <row r="37" spans="2:303" ht="15" customHeight="1" x14ac:dyDescent="0.25">
      <c r="B37" s="52">
        <v>45778</v>
      </c>
      <c r="C37" s="9">
        <f>YEAR(RD[[#This Row],[Date]])+IF(MONTH(RD[[#This Row],[Date]])&gt;=4,1,0)</f>
        <v>2026</v>
      </c>
      <c r="D37" s="6">
        <f>YEAR(B37)</f>
        <v>2025</v>
      </c>
      <c r="E37" s="7"/>
      <c r="F37" s="7"/>
      <c r="G37" s="8" t="str">
        <f>TEXT(RD[[#This Row],[Date]],"mmm-yy")</f>
        <v>May-25</v>
      </c>
      <c r="H37" s="6">
        <f>DAY(EOMONTH(B37,0))</f>
        <v>31</v>
      </c>
      <c r="I37" s="9">
        <v>66750</v>
      </c>
      <c r="J37" s="10">
        <v>0.29166666666666669</v>
      </c>
      <c r="K37" s="10">
        <v>0.79166666666666663</v>
      </c>
      <c r="L37" s="9">
        <v>1312.3</v>
      </c>
      <c r="M37" s="9">
        <v>1273.4000000000001</v>
      </c>
      <c r="N37" s="9">
        <v>1219.5</v>
      </c>
      <c r="O37" s="9">
        <v>1212.5</v>
      </c>
      <c r="P37" s="9">
        <v>1304.8</v>
      </c>
      <c r="Q37" s="9">
        <v>1208.9000000000001</v>
      </c>
      <c r="R37" s="9">
        <v>1214.3</v>
      </c>
      <c r="S37" s="9">
        <v>1201.7</v>
      </c>
      <c r="T37" s="9">
        <v>1215.7</v>
      </c>
      <c r="U37" s="9">
        <v>1263</v>
      </c>
      <c r="V37" s="9">
        <v>1251.2</v>
      </c>
      <c r="W37" s="9">
        <v>1221.8</v>
      </c>
      <c r="X37" s="9">
        <v>1201.9000000000001</v>
      </c>
      <c r="Y37" s="9">
        <v>1124.5999999999999</v>
      </c>
      <c r="Z37" s="9">
        <v>1183.3</v>
      </c>
      <c r="AA37" s="9">
        <v>1231.8</v>
      </c>
      <c r="AB37" s="9">
        <v>1181.5999999999999</v>
      </c>
      <c r="AC37" s="9">
        <v>1238.4000000000001</v>
      </c>
      <c r="AD37" s="9">
        <v>1305.5</v>
      </c>
      <c r="AE37" s="9">
        <v>1314.2</v>
      </c>
      <c r="AF37" s="9">
        <v>1241.0999999999999</v>
      </c>
      <c r="AG37" s="9">
        <v>1251.2</v>
      </c>
      <c r="AH37" s="9">
        <v>1375.2</v>
      </c>
      <c r="AI37" s="9">
        <v>1381.6</v>
      </c>
      <c r="AJ37" s="9">
        <v>1319.7</v>
      </c>
      <c r="AK37" s="9">
        <v>1301.0999999999999</v>
      </c>
      <c r="AL37" s="9">
        <v>1300.8</v>
      </c>
      <c r="AM37" s="9">
        <v>1340.8</v>
      </c>
      <c r="AN37" s="9">
        <v>1326.2</v>
      </c>
      <c r="AO37" s="9">
        <v>1317.6</v>
      </c>
      <c r="AP37" s="9">
        <v>1312.2</v>
      </c>
      <c r="AQ37" s="9">
        <v>1288.2</v>
      </c>
      <c r="AR37" s="9">
        <v>1119.2</v>
      </c>
      <c r="AS37" s="9">
        <v>1462.8</v>
      </c>
      <c r="AT37" s="9">
        <v>1145.2</v>
      </c>
      <c r="AU37" s="9">
        <v>1201</v>
      </c>
      <c r="AV37" s="9">
        <v>1203.7</v>
      </c>
      <c r="AW37" s="9">
        <v>1178.0999999999999</v>
      </c>
      <c r="AX37" s="9">
        <v>1205.3</v>
      </c>
      <c r="AY37" s="9">
        <v>1219.7</v>
      </c>
      <c r="AZ37" s="9">
        <v>1184.7</v>
      </c>
      <c r="BA37" s="9">
        <v>1172.4000000000001</v>
      </c>
      <c r="BB37" s="9">
        <v>1204.5999999999999</v>
      </c>
      <c r="BC37" s="9">
        <v>1195.5999999999999</v>
      </c>
      <c r="BD37" s="9">
        <v>1223.5</v>
      </c>
      <c r="BE37" s="9">
        <v>1255.4000000000001</v>
      </c>
      <c r="BF37" s="9">
        <v>1349.6</v>
      </c>
      <c r="BG37" s="9">
        <v>1211.8</v>
      </c>
      <c r="BH37" s="9">
        <v>1213.2</v>
      </c>
      <c r="BI37" s="9">
        <v>1233.5</v>
      </c>
      <c r="BJ37" s="9">
        <v>1176.0999999999999</v>
      </c>
      <c r="BK37" s="9">
        <v>1231.4000000000001</v>
      </c>
      <c r="BL37" s="9">
        <v>1380.8</v>
      </c>
      <c r="BM37" s="9">
        <v>1413.8</v>
      </c>
      <c r="BN37" s="9">
        <v>1307.8</v>
      </c>
      <c r="BO37" s="9">
        <v>1324.4</v>
      </c>
      <c r="BP37" s="9">
        <v>1375.3</v>
      </c>
      <c r="BQ37" s="9">
        <v>1233.9000000000001</v>
      </c>
      <c r="BR37" s="9">
        <v>1386.7</v>
      </c>
      <c r="BS37" s="9">
        <v>1379.8</v>
      </c>
      <c r="BT37" s="9">
        <v>1206.9000000000001</v>
      </c>
      <c r="BU37" s="9">
        <v>1333.7</v>
      </c>
      <c r="BV37" s="9">
        <v>1201.5999999999999</v>
      </c>
      <c r="BW37" s="9">
        <v>1071.2</v>
      </c>
      <c r="BX37" s="9">
        <v>1364.9</v>
      </c>
      <c r="BY37" s="9">
        <v>1304.8</v>
      </c>
      <c r="BZ37" s="9">
        <v>1323</v>
      </c>
      <c r="CA37" s="9">
        <v>1225.9000000000001</v>
      </c>
      <c r="CB37" s="9">
        <v>1193.3</v>
      </c>
      <c r="CC37" s="9">
        <v>1194.8</v>
      </c>
      <c r="CD37" s="9">
        <v>1210.8</v>
      </c>
      <c r="CE37" s="9">
        <v>1208.5999999999999</v>
      </c>
      <c r="CF37" s="9">
        <v>1220.3</v>
      </c>
      <c r="CG37" s="9">
        <v>1211.2</v>
      </c>
      <c r="CH37" s="9">
        <v>1398.2</v>
      </c>
      <c r="CI37" s="9">
        <v>1378</v>
      </c>
      <c r="CJ37" s="9">
        <v>1389.4</v>
      </c>
      <c r="CK37" s="9">
        <v>1210</v>
      </c>
      <c r="CL37" s="9">
        <v>1190</v>
      </c>
      <c r="CM37" s="9">
        <v>1289.5</v>
      </c>
      <c r="CN37" s="9">
        <v>1243.2</v>
      </c>
      <c r="CO37" s="9">
        <v>1238.4000000000001</v>
      </c>
      <c r="CP37" s="9">
        <v>1206.8</v>
      </c>
      <c r="CQ37" s="9">
        <v>1215.9000000000001</v>
      </c>
      <c r="CR37" s="9">
        <v>1221.5999999999999</v>
      </c>
      <c r="CS37" s="9">
        <v>1250.9000000000001</v>
      </c>
      <c r="CT37" s="9">
        <v>1184.8</v>
      </c>
      <c r="CU37" s="9">
        <v>1226.2</v>
      </c>
      <c r="CV37" s="9">
        <v>1211.5999999999999</v>
      </c>
      <c r="CW37" s="9">
        <v>1210.0999999999999</v>
      </c>
      <c r="CX37" s="9">
        <v>1262</v>
      </c>
      <c r="CY37" s="9">
        <v>1292.3</v>
      </c>
      <c r="CZ37" s="9">
        <v>1236.7</v>
      </c>
      <c r="DA37" s="9">
        <v>1233</v>
      </c>
      <c r="DB37" s="9">
        <v>1313.5</v>
      </c>
      <c r="DC37" s="9">
        <v>1171.5</v>
      </c>
      <c r="DD37" s="9">
        <v>1180.2</v>
      </c>
      <c r="DE37" s="9">
        <v>1209.0999999999999</v>
      </c>
      <c r="DF37" s="9">
        <v>1198.3</v>
      </c>
      <c r="DG37" s="9">
        <v>1202.5</v>
      </c>
      <c r="DH37" s="9">
        <v>1231.2</v>
      </c>
      <c r="DI37" s="9">
        <v>1208.8</v>
      </c>
      <c r="DJ37" s="9">
        <v>1233.5999999999999</v>
      </c>
      <c r="DK37" s="9">
        <v>1208.2</v>
      </c>
      <c r="DL37" s="9">
        <v>1344.6</v>
      </c>
      <c r="DM37" s="9">
        <v>1220.9000000000001</v>
      </c>
      <c r="DN37" s="9">
        <v>1490.8</v>
      </c>
      <c r="DO37" s="9">
        <v>1343</v>
      </c>
      <c r="DP37" s="9">
        <v>1226.5</v>
      </c>
      <c r="DQ37" s="9">
        <v>1345.8</v>
      </c>
      <c r="DR37" s="9">
        <v>1312.3</v>
      </c>
      <c r="DS37" s="9">
        <v>1320.5</v>
      </c>
      <c r="DT37" s="9">
        <v>1388.2</v>
      </c>
      <c r="DU37" s="9">
        <v>1380.2</v>
      </c>
      <c r="DV37" s="9">
        <v>1222.8</v>
      </c>
      <c r="DW37" s="9">
        <v>1239.8</v>
      </c>
      <c r="DX37" s="9">
        <v>1345</v>
      </c>
      <c r="DY37" s="9">
        <v>1341.3</v>
      </c>
      <c r="DZ37" s="9">
        <v>1334.2</v>
      </c>
      <c r="EA37" s="9">
        <v>1215.9000000000001</v>
      </c>
      <c r="EB37" s="9">
        <v>1249.2</v>
      </c>
      <c r="EC37" s="9">
        <v>1334.7</v>
      </c>
      <c r="ED37" s="9">
        <v>1316.7</v>
      </c>
      <c r="EE37" s="9">
        <v>1207.8</v>
      </c>
      <c r="EF37" s="9">
        <v>1224.5</v>
      </c>
      <c r="EG37" s="9">
        <v>1312.5</v>
      </c>
      <c r="EH37" s="9">
        <v>1159.3</v>
      </c>
      <c r="EI37" s="9">
        <v>1161.3</v>
      </c>
      <c r="EJ37" s="9">
        <v>1330.4</v>
      </c>
      <c r="EK37" s="9">
        <v>1333.3</v>
      </c>
      <c r="EL37" s="9">
        <v>1275</v>
      </c>
      <c r="EM37" s="9">
        <v>1319.5</v>
      </c>
      <c r="EN37" s="9">
        <v>1268.4000000000001</v>
      </c>
      <c r="EO37" s="9">
        <v>1085.0999999999999</v>
      </c>
      <c r="EP37" s="9">
        <v>1375.1</v>
      </c>
      <c r="EQ37" s="9">
        <v>1306.0999999999999</v>
      </c>
      <c r="ER37" s="9">
        <v>1326.1</v>
      </c>
      <c r="ES37" s="9">
        <v>1247</v>
      </c>
      <c r="ET37" s="9">
        <v>1251.9000000000001</v>
      </c>
      <c r="EU37" s="9">
        <v>1243.2</v>
      </c>
      <c r="EV37" s="9">
        <v>1185.4000000000001</v>
      </c>
      <c r="EW37" s="9">
        <v>1258.8</v>
      </c>
      <c r="EX37" s="9">
        <v>1077.4000000000001</v>
      </c>
      <c r="EY37" s="9">
        <v>1345.4</v>
      </c>
      <c r="EZ37" s="9">
        <v>1136.4000000000001</v>
      </c>
      <c r="FA37" s="9">
        <v>1342.8</v>
      </c>
      <c r="FB37" s="9">
        <v>1223.8</v>
      </c>
      <c r="FC37" s="9">
        <v>1124.0999999999999</v>
      </c>
      <c r="FD37" s="9">
        <v>1292.5999999999999</v>
      </c>
      <c r="FE37" s="9">
        <v>1316</v>
      </c>
      <c r="FF37" s="9">
        <v>1319.7</v>
      </c>
      <c r="FG37" s="9">
        <v>1213.5999999999999</v>
      </c>
      <c r="FH37" s="9">
        <v>1386.9</v>
      </c>
      <c r="FI37" s="9">
        <v>1215.3</v>
      </c>
      <c r="FJ37" s="9">
        <v>1195.7</v>
      </c>
      <c r="FK37" s="9">
        <v>1178.3</v>
      </c>
      <c r="FL37" s="9">
        <v>1181.3</v>
      </c>
      <c r="FM37" s="9">
        <v>1189.5999999999999</v>
      </c>
      <c r="FN37" s="9">
        <v>1119.4000000000001</v>
      </c>
      <c r="FO37" s="9">
        <v>1145.7</v>
      </c>
      <c r="FP37" s="9">
        <v>1317.8</v>
      </c>
      <c r="FQ37" s="9">
        <v>1136.5</v>
      </c>
      <c r="FR37" s="9">
        <v>1249.2</v>
      </c>
      <c r="FS37" s="9">
        <v>1255</v>
      </c>
      <c r="FT37" s="9">
        <v>1282.5999999999999</v>
      </c>
      <c r="FU37" s="9">
        <v>1100.7</v>
      </c>
      <c r="FV37" s="9">
        <v>1173.7</v>
      </c>
      <c r="FW37" s="9">
        <v>1311.6</v>
      </c>
      <c r="FX37" s="9">
        <v>1221</v>
      </c>
      <c r="FY37" s="9">
        <v>1081.8</v>
      </c>
      <c r="FZ37" s="9">
        <v>1193.7</v>
      </c>
      <c r="GA37" s="9">
        <v>1144.2</v>
      </c>
      <c r="GB37" s="9">
        <v>1233.4000000000001</v>
      </c>
      <c r="GC37" s="9">
        <v>1208.4000000000001</v>
      </c>
      <c r="GD37" s="9">
        <v>1367.2</v>
      </c>
      <c r="GE37" s="9">
        <v>1194.3</v>
      </c>
      <c r="GF37" s="9">
        <v>1249.5</v>
      </c>
      <c r="GG37" s="9">
        <v>1111.5</v>
      </c>
      <c r="GH37" s="9">
        <v>1415.5</v>
      </c>
      <c r="GI37" s="9">
        <v>1251.3</v>
      </c>
      <c r="GJ37" s="9">
        <v>1230.2</v>
      </c>
      <c r="GK37" s="9">
        <v>1212</v>
      </c>
      <c r="GL37" s="9">
        <v>1294.5999999999999</v>
      </c>
      <c r="GM37" s="9">
        <v>1339.3</v>
      </c>
      <c r="GN37" s="9">
        <v>1251.8</v>
      </c>
      <c r="GO37" s="9">
        <v>1344.3</v>
      </c>
      <c r="GP37" s="9">
        <v>1264.4000000000001</v>
      </c>
      <c r="GQ37" s="9">
        <v>1260.5999999999999</v>
      </c>
      <c r="GR37" s="9">
        <v>1201.5</v>
      </c>
      <c r="GS37" s="9">
        <v>1118.5999999999999</v>
      </c>
      <c r="GT37" s="9">
        <v>1151.3</v>
      </c>
      <c r="GU37" s="9">
        <v>1114.2</v>
      </c>
      <c r="GV37" s="9">
        <v>1063.2</v>
      </c>
      <c r="GW37" s="9">
        <v>1149.3</v>
      </c>
      <c r="GX37" s="9">
        <v>1227.5</v>
      </c>
      <c r="GY37" s="9">
        <v>1209.9000000000001</v>
      </c>
      <c r="GZ37" s="9">
        <v>1036.9000000000001</v>
      </c>
      <c r="HA37" s="9">
        <v>1265.5999999999999</v>
      </c>
      <c r="HB37" s="9"/>
      <c r="HC37" s="9"/>
      <c r="HD37" s="9">
        <v>1042</v>
      </c>
      <c r="HE37" s="9">
        <v>813.4</v>
      </c>
      <c r="HF37" s="9">
        <v>1158.5999999999999</v>
      </c>
      <c r="HG37" s="9"/>
      <c r="HH37" s="9">
        <v>1268.2</v>
      </c>
      <c r="HI37" s="9">
        <v>1120.2</v>
      </c>
      <c r="HJ37" s="9">
        <v>1167.2</v>
      </c>
      <c r="HK37" s="9">
        <v>1138.7</v>
      </c>
      <c r="HL37" s="9">
        <v>1175.2</v>
      </c>
      <c r="HM37" s="9">
        <v>1179</v>
      </c>
      <c r="HN37" s="9">
        <v>1181.3</v>
      </c>
      <c r="HO37" s="9">
        <v>1190.5999999999999</v>
      </c>
      <c r="HP37" s="9">
        <v>1209.3</v>
      </c>
      <c r="HQ37" s="9">
        <v>1237.2</v>
      </c>
      <c r="HR37" s="9">
        <v>1228.2</v>
      </c>
      <c r="HS37" s="9">
        <v>1245.5999999999999</v>
      </c>
      <c r="HT37" s="9">
        <v>1306.2</v>
      </c>
      <c r="HU37" s="9">
        <v>1369.4</v>
      </c>
      <c r="HV37" s="9">
        <v>1163.3</v>
      </c>
      <c r="HW37" s="9">
        <v>971</v>
      </c>
      <c r="HX37" s="9">
        <v>886.5</v>
      </c>
      <c r="HY37" s="9">
        <v>707.1</v>
      </c>
      <c r="HZ37" s="9">
        <v>899.1</v>
      </c>
      <c r="IA37" s="9">
        <v>1017.6</v>
      </c>
      <c r="IB37" s="9">
        <v>1254.2</v>
      </c>
      <c r="IC37" s="9">
        <v>1357.1</v>
      </c>
      <c r="ID37" s="9">
        <v>1263</v>
      </c>
      <c r="IE37" s="9">
        <v>1273.4000000000001</v>
      </c>
      <c r="IF37" s="9">
        <v>1277.5999999999999</v>
      </c>
      <c r="IG37" s="9">
        <v>1323.1</v>
      </c>
      <c r="IH37" s="9">
        <v>1356.2</v>
      </c>
      <c r="II37" s="9">
        <v>1273.2</v>
      </c>
      <c r="IJ37" s="9">
        <v>958.4</v>
      </c>
      <c r="IK37" s="9">
        <v>1180</v>
      </c>
      <c r="IL37" s="9">
        <v>960.6</v>
      </c>
      <c r="IM37" s="9">
        <v>1128.9000000000001</v>
      </c>
      <c r="IN37" s="9">
        <v>984.4</v>
      </c>
      <c r="IO37" s="9"/>
      <c r="IP37" s="9">
        <v>1578.1</v>
      </c>
      <c r="IQ37" s="9">
        <v>1229.2</v>
      </c>
      <c r="IR37" s="9">
        <v>501.1</v>
      </c>
      <c r="IS37" s="9">
        <v>1143.4000000000001</v>
      </c>
      <c r="IT37" s="9">
        <v>1100.8</v>
      </c>
      <c r="IU37" s="9"/>
      <c r="IV37" s="9"/>
      <c r="IW37" s="9">
        <v>1139.3</v>
      </c>
      <c r="IX37" s="9">
        <v>1117.4000000000001</v>
      </c>
      <c r="IY37" s="9">
        <v>797.8</v>
      </c>
      <c r="IZ37" s="9">
        <v>1080</v>
      </c>
      <c r="JA37" s="9">
        <v>1000.1</v>
      </c>
      <c r="JB37" s="11">
        <v>34.64</v>
      </c>
      <c r="JC37" s="11">
        <v>42.7</v>
      </c>
      <c r="JD37" s="11">
        <v>3.78</v>
      </c>
      <c r="JE37" s="11">
        <v>7.5</v>
      </c>
      <c r="JF37" s="11"/>
      <c r="JG37" s="11">
        <v>0</v>
      </c>
      <c r="JH37" s="13">
        <v>6.3</v>
      </c>
      <c r="JI37" s="12"/>
      <c r="JJ37" s="12"/>
      <c r="JK37" s="9">
        <v>83503615.232999995</v>
      </c>
      <c r="JL37" s="9">
        <v>281835.46600000001</v>
      </c>
      <c r="JM37" s="9">
        <v>56596133.071000002</v>
      </c>
      <c r="JN37" s="9">
        <v>61424</v>
      </c>
      <c r="JO37" s="9">
        <v>84302475.451000005</v>
      </c>
      <c r="JP37" s="9">
        <v>186580</v>
      </c>
      <c r="JQ37" s="9">
        <v>61041530.906000003</v>
      </c>
      <c r="JR37" s="9">
        <v>55471.572999999997</v>
      </c>
      <c r="JS37" s="11">
        <v>316556555.74400002</v>
      </c>
      <c r="JT37" s="11">
        <v>83487.600000000006</v>
      </c>
      <c r="JU37" s="14">
        <f t="shared" si="109"/>
        <v>80182.478000000119</v>
      </c>
      <c r="JV37" s="14">
        <f t="shared" si="110"/>
        <v>12.010000000009313</v>
      </c>
      <c r="JW37" s="14">
        <f t="shared" si="111"/>
        <v>77346.243000000715</v>
      </c>
      <c r="JX37" s="14">
        <f>IF((JN37-JN36)&lt;0,"",(JN37-JN36))</f>
        <v>10.205000000001746</v>
      </c>
      <c r="JY37" s="14">
        <f t="shared" si="112"/>
        <v>78823.168999999762</v>
      </c>
      <c r="JZ37" s="14">
        <f t="shared" si="113"/>
        <v>41.49100000000908</v>
      </c>
      <c r="KA37" s="14">
        <f t="shared" si="114"/>
        <v>60323.094000004232</v>
      </c>
      <c r="KB37" s="14">
        <f t="shared" si="115"/>
        <v>36.176999999996042</v>
      </c>
      <c r="KC37" s="14">
        <f t="shared" si="115"/>
        <v>296343.88499999046</v>
      </c>
      <c r="KD37" s="14">
        <f t="shared" si="116"/>
        <v>22.985000000000582</v>
      </c>
      <c r="KE37" s="15">
        <f>(JU37+JW37)-(JV37+JX37)</f>
        <v>157506.50600000081</v>
      </c>
      <c r="KF37" s="15">
        <f>IFERROR(KC37-KD37,"")</f>
        <v>296320.89999999048</v>
      </c>
      <c r="KG37" s="16">
        <f>(RD[[#This Row],[Sunset Time (POA&lt;20 W/m2)]]-RD[[#This Row],[Sunrise Time (POA&gt;20 W/m2)]])*24</f>
        <v>11.999999999999998</v>
      </c>
      <c r="KH37" s="53">
        <f>RD[[#This Row],[GHI ]]</f>
        <v>0</v>
      </c>
      <c r="KI37" s="53">
        <f>RD[[#This Row],[POA]]</f>
        <v>6.3</v>
      </c>
      <c r="KJ37" s="53">
        <f>RD[[#This Row],[AT (°C) 14 Hours]]</f>
        <v>34.64</v>
      </c>
      <c r="KK37" s="53">
        <f>RD[[#This Row],[MT (°C) Gen. Hours]]</f>
        <v>42.7</v>
      </c>
      <c r="KL37" s="53">
        <f>RD[[#This Row],[WS_Avg (m/s) (24 Hours)]]</f>
        <v>3.78</v>
      </c>
      <c r="KM37" s="53">
        <f>RD[[#This Row],[WS_Max (m/s)]]</f>
        <v>7.5</v>
      </c>
      <c r="KN37" s="54">
        <f>SUM(RD[[#This Row],[BLK1_INV1]:[BLK8_INV27]])</f>
        <v>298175.1999999999</v>
      </c>
      <c r="KO37" s="95"/>
      <c r="KP37" s="55"/>
      <c r="KQ37" s="90" t="str">
        <f>IFERROR(RD[[#This Row],[WPR_Eac]]/RD[[#This Row],[WPR_Edc]],"")</f>
        <v/>
      </c>
    </row>
    <row r="38" spans="2:303" ht="15" customHeight="1" x14ac:dyDescent="0.25">
      <c r="B38" s="52">
        <v>45779</v>
      </c>
      <c r="C38" s="9">
        <f>YEAR(RD[[#This Row],[Date]])+IF(MONTH(RD[[#This Row],[Date]])&gt;=4,1,0)</f>
        <v>2026</v>
      </c>
      <c r="D38" s="6">
        <f>YEAR(B38)</f>
        <v>2025</v>
      </c>
      <c r="E38" s="7"/>
      <c r="F38" s="7"/>
      <c r="G38" s="8" t="str">
        <f>TEXT(RD[[#This Row],[Date]],"mmm-yy")</f>
        <v>May-25</v>
      </c>
      <c r="H38" s="6">
        <f>DAY(EOMONTH(B38,0))</f>
        <v>31</v>
      </c>
      <c r="I38" s="9">
        <f>'Basic Data '!$S$2</f>
        <v>66750</v>
      </c>
      <c r="J38" s="10">
        <v>0.29166666666666669</v>
      </c>
      <c r="K38" s="10">
        <v>0.79166666666666663</v>
      </c>
      <c r="L38" s="9">
        <v>931.2</v>
      </c>
      <c r="M38" s="9">
        <v>903.1</v>
      </c>
      <c r="N38" s="9">
        <v>871.3</v>
      </c>
      <c r="O38" s="9">
        <v>863.9</v>
      </c>
      <c r="P38" s="9">
        <v>932.6</v>
      </c>
      <c r="Q38" s="9">
        <v>866.2</v>
      </c>
      <c r="R38" s="9">
        <v>858.4</v>
      </c>
      <c r="S38" s="9">
        <v>859.9</v>
      </c>
      <c r="T38" s="9">
        <v>858.4</v>
      </c>
      <c r="U38" s="9">
        <v>904.8</v>
      </c>
      <c r="V38" s="9">
        <v>880.7</v>
      </c>
      <c r="W38" s="9">
        <v>873</v>
      </c>
      <c r="X38" s="9">
        <v>859.6</v>
      </c>
      <c r="Y38" s="9">
        <v>810.1</v>
      </c>
      <c r="Z38" s="9">
        <v>830.1</v>
      </c>
      <c r="AA38" s="9">
        <v>864.1</v>
      </c>
      <c r="AB38" s="9">
        <v>823.6</v>
      </c>
      <c r="AC38" s="9">
        <v>859</v>
      </c>
      <c r="AD38" s="9">
        <v>932.3</v>
      </c>
      <c r="AE38" s="9">
        <v>928.7</v>
      </c>
      <c r="AF38" s="9">
        <v>866.7</v>
      </c>
      <c r="AG38" s="9">
        <v>873.6</v>
      </c>
      <c r="AH38" s="9">
        <v>957.6</v>
      </c>
      <c r="AI38" s="9">
        <v>979.4</v>
      </c>
      <c r="AJ38" s="9">
        <v>931.5</v>
      </c>
      <c r="AK38" s="9">
        <v>922.8</v>
      </c>
      <c r="AL38" s="9">
        <v>917.2</v>
      </c>
      <c r="AM38" s="9">
        <v>950.4</v>
      </c>
      <c r="AN38" s="9">
        <v>958</v>
      </c>
      <c r="AO38" s="9">
        <v>942.1</v>
      </c>
      <c r="AP38" s="9">
        <v>938.6</v>
      </c>
      <c r="AQ38" s="9">
        <v>941.3</v>
      </c>
      <c r="AR38" s="9">
        <v>796.7</v>
      </c>
      <c r="AS38" s="9">
        <v>1105.3</v>
      </c>
      <c r="AT38" s="9">
        <v>832.4</v>
      </c>
      <c r="AU38" s="9">
        <v>859.7</v>
      </c>
      <c r="AV38" s="9">
        <v>857.5</v>
      </c>
      <c r="AW38" s="9">
        <v>837.6</v>
      </c>
      <c r="AX38" s="9">
        <v>845.6</v>
      </c>
      <c r="AY38" s="9">
        <v>850.7</v>
      </c>
      <c r="AZ38" s="9">
        <v>840.1</v>
      </c>
      <c r="BA38" s="9">
        <v>822.2</v>
      </c>
      <c r="BB38" s="9">
        <v>843.6</v>
      </c>
      <c r="BC38" s="9">
        <v>836.8</v>
      </c>
      <c r="BD38" s="9">
        <v>854.1</v>
      </c>
      <c r="BE38" s="9">
        <v>887.4</v>
      </c>
      <c r="BF38" s="9">
        <v>934.1</v>
      </c>
      <c r="BG38" s="9">
        <v>846.8</v>
      </c>
      <c r="BH38" s="9">
        <v>856.7</v>
      </c>
      <c r="BI38" s="9">
        <v>877.3</v>
      </c>
      <c r="BJ38" s="9">
        <v>833.9</v>
      </c>
      <c r="BK38" s="9">
        <v>854.3</v>
      </c>
      <c r="BL38" s="9">
        <v>952.1</v>
      </c>
      <c r="BM38" s="9">
        <v>975.8</v>
      </c>
      <c r="BN38" s="9">
        <v>926.8</v>
      </c>
      <c r="BO38" s="9">
        <v>942.8</v>
      </c>
      <c r="BP38" s="9">
        <v>971.1</v>
      </c>
      <c r="BQ38" s="9">
        <v>859.2</v>
      </c>
      <c r="BR38" s="9">
        <v>969.6</v>
      </c>
      <c r="BS38" s="9">
        <v>985.1</v>
      </c>
      <c r="BT38" s="9">
        <v>858.5</v>
      </c>
      <c r="BU38" s="9">
        <v>970.4</v>
      </c>
      <c r="BV38" s="9">
        <v>853.5</v>
      </c>
      <c r="BW38" s="9">
        <v>879.4</v>
      </c>
      <c r="BX38" s="9">
        <v>932.7</v>
      </c>
      <c r="BY38" s="9">
        <v>917.8</v>
      </c>
      <c r="BZ38" s="9">
        <v>933.3</v>
      </c>
      <c r="CA38" s="9">
        <v>899.7</v>
      </c>
      <c r="CB38" s="9">
        <v>845.2</v>
      </c>
      <c r="CC38" s="9">
        <v>842.2</v>
      </c>
      <c r="CD38" s="9">
        <v>854.9</v>
      </c>
      <c r="CE38" s="9">
        <v>853.4</v>
      </c>
      <c r="CF38" s="9">
        <v>863.3</v>
      </c>
      <c r="CG38" s="9">
        <v>855.4</v>
      </c>
      <c r="CH38" s="9">
        <v>970.7</v>
      </c>
      <c r="CI38" s="9">
        <v>556.1</v>
      </c>
      <c r="CJ38" s="9">
        <v>988.2</v>
      </c>
      <c r="CK38" s="9">
        <v>836.9</v>
      </c>
      <c r="CL38" s="9">
        <v>827.3</v>
      </c>
      <c r="CM38" s="9">
        <v>915.9</v>
      </c>
      <c r="CN38" s="9">
        <v>857.9</v>
      </c>
      <c r="CO38" s="9">
        <v>855.8</v>
      </c>
      <c r="CP38" s="9">
        <v>849.7</v>
      </c>
      <c r="CQ38" s="9">
        <v>857.1</v>
      </c>
      <c r="CR38" s="9">
        <v>850.1</v>
      </c>
      <c r="CS38" s="9">
        <v>861.4</v>
      </c>
      <c r="CT38" s="9">
        <v>873</v>
      </c>
      <c r="CU38" s="9">
        <v>861.5</v>
      </c>
      <c r="CV38" s="9">
        <v>854.8</v>
      </c>
      <c r="CW38" s="9">
        <v>850.3</v>
      </c>
      <c r="CX38" s="9">
        <v>887.9</v>
      </c>
      <c r="CY38" s="9">
        <v>924</v>
      </c>
      <c r="CZ38" s="9">
        <v>874.2</v>
      </c>
      <c r="DA38" s="9">
        <v>871.9</v>
      </c>
      <c r="DB38" s="9">
        <v>930.6</v>
      </c>
      <c r="DC38" s="9">
        <v>836.2</v>
      </c>
      <c r="DD38" s="9">
        <v>825.7</v>
      </c>
      <c r="DE38" s="9">
        <v>868</v>
      </c>
      <c r="DF38" s="9">
        <v>839.1</v>
      </c>
      <c r="DG38" s="9">
        <v>848.4</v>
      </c>
      <c r="DH38" s="9">
        <v>871.1</v>
      </c>
      <c r="DI38" s="9">
        <v>843.6</v>
      </c>
      <c r="DJ38" s="9">
        <v>869.9</v>
      </c>
      <c r="DK38" s="9">
        <v>853.6</v>
      </c>
      <c r="DL38" s="9">
        <v>955</v>
      </c>
      <c r="DM38" s="9">
        <v>863.4</v>
      </c>
      <c r="DN38" s="9">
        <v>1054.7</v>
      </c>
      <c r="DO38" s="9">
        <v>942.8</v>
      </c>
      <c r="DP38" s="9">
        <v>860.7</v>
      </c>
      <c r="DQ38" s="9">
        <v>953.2</v>
      </c>
      <c r="DR38" s="9">
        <v>933.3</v>
      </c>
      <c r="DS38" s="9">
        <v>918.2</v>
      </c>
      <c r="DT38" s="9">
        <v>971.2</v>
      </c>
      <c r="DU38" s="9">
        <v>962.9</v>
      </c>
      <c r="DV38" s="9">
        <v>853</v>
      </c>
      <c r="DW38" s="9">
        <v>861</v>
      </c>
      <c r="DX38" s="9">
        <v>940.8</v>
      </c>
      <c r="DY38" s="9">
        <v>960.6</v>
      </c>
      <c r="DZ38" s="9">
        <v>953.4</v>
      </c>
      <c r="EA38" s="9">
        <v>853.4</v>
      </c>
      <c r="EB38" s="9">
        <v>875.7</v>
      </c>
      <c r="EC38" s="9">
        <v>948</v>
      </c>
      <c r="ED38" s="9">
        <v>937.3</v>
      </c>
      <c r="EE38" s="9">
        <v>854.4</v>
      </c>
      <c r="EF38" s="9">
        <v>868</v>
      </c>
      <c r="EG38" s="9">
        <v>931.4</v>
      </c>
      <c r="EH38" s="9">
        <v>828.7</v>
      </c>
      <c r="EI38" s="9">
        <v>823.2</v>
      </c>
      <c r="EJ38" s="9">
        <v>940.7</v>
      </c>
      <c r="EK38" s="9">
        <v>941.5</v>
      </c>
      <c r="EL38" s="9">
        <v>892.2</v>
      </c>
      <c r="EM38" s="9">
        <v>907.4</v>
      </c>
      <c r="EN38" s="9">
        <v>894.6</v>
      </c>
      <c r="EO38" s="9">
        <v>764.3</v>
      </c>
      <c r="EP38" s="9">
        <v>963.3</v>
      </c>
      <c r="EQ38" s="9">
        <v>916.8</v>
      </c>
      <c r="ER38" s="9">
        <v>923.9</v>
      </c>
      <c r="ES38" s="9">
        <v>877.8</v>
      </c>
      <c r="ET38" s="9">
        <v>880.2</v>
      </c>
      <c r="EU38" s="9">
        <v>875.1</v>
      </c>
      <c r="EV38" s="9">
        <v>837.6</v>
      </c>
      <c r="EW38" s="9">
        <v>915.7</v>
      </c>
      <c r="EX38" s="9">
        <v>764.7</v>
      </c>
      <c r="EY38" s="9">
        <v>958</v>
      </c>
      <c r="EZ38" s="9">
        <v>800.6</v>
      </c>
      <c r="FA38" s="9">
        <v>932.5</v>
      </c>
      <c r="FB38" s="9">
        <v>855</v>
      </c>
      <c r="FC38" s="9">
        <v>793.3</v>
      </c>
      <c r="FD38" s="9">
        <v>915.7</v>
      </c>
      <c r="FE38" s="9">
        <v>933.3</v>
      </c>
      <c r="FF38" s="9">
        <v>936.2</v>
      </c>
      <c r="FG38" s="9">
        <v>859.4</v>
      </c>
      <c r="FH38" s="9">
        <v>986.2</v>
      </c>
      <c r="FI38" s="9">
        <v>858.2</v>
      </c>
      <c r="FJ38" s="9">
        <v>840.7</v>
      </c>
      <c r="FK38" s="9">
        <v>829.9</v>
      </c>
      <c r="FL38" s="9">
        <v>830.3</v>
      </c>
      <c r="FM38" s="9">
        <v>828.6</v>
      </c>
      <c r="FN38" s="9">
        <v>850.2</v>
      </c>
      <c r="FO38" s="9">
        <v>819.2</v>
      </c>
      <c r="FP38" s="9">
        <v>947</v>
      </c>
      <c r="FQ38" s="9">
        <v>812.5</v>
      </c>
      <c r="FR38" s="9">
        <v>913.3</v>
      </c>
      <c r="FS38" s="9">
        <v>918.4</v>
      </c>
      <c r="FT38" s="9">
        <v>926.2</v>
      </c>
      <c r="FU38" s="9">
        <v>792.1</v>
      </c>
      <c r="FV38" s="9">
        <v>809.4</v>
      </c>
      <c r="FW38" s="9">
        <v>922.6</v>
      </c>
      <c r="FX38" s="9">
        <v>843.6</v>
      </c>
      <c r="FY38" s="9">
        <v>805.8</v>
      </c>
      <c r="FZ38" s="9">
        <v>852.8</v>
      </c>
      <c r="GA38" s="9">
        <v>818.9</v>
      </c>
      <c r="GB38" s="9">
        <v>915.2</v>
      </c>
      <c r="GC38" s="9">
        <v>855.7</v>
      </c>
      <c r="GD38" s="9">
        <v>962</v>
      </c>
      <c r="GE38" s="9">
        <v>842</v>
      </c>
      <c r="GF38" s="9">
        <v>852.2</v>
      </c>
      <c r="GG38" s="9">
        <v>810.2</v>
      </c>
      <c r="GH38" s="9">
        <v>973.1</v>
      </c>
      <c r="GI38" s="9">
        <v>871.4</v>
      </c>
      <c r="GJ38" s="9">
        <v>905.9</v>
      </c>
      <c r="GK38" s="9">
        <v>910.2</v>
      </c>
      <c r="GL38" s="9">
        <v>955.4</v>
      </c>
      <c r="GM38" s="9">
        <v>943.6</v>
      </c>
      <c r="GN38" s="9">
        <v>885.1</v>
      </c>
      <c r="GO38" s="9">
        <v>950.1</v>
      </c>
      <c r="GP38" s="9">
        <v>887.4</v>
      </c>
      <c r="GQ38" s="9">
        <v>892.2</v>
      </c>
      <c r="GR38" s="9">
        <v>854.9</v>
      </c>
      <c r="GS38" s="9">
        <v>842.1</v>
      </c>
      <c r="GT38" s="9">
        <v>813.4</v>
      </c>
      <c r="GU38" s="9">
        <v>822.2</v>
      </c>
      <c r="GV38" s="9">
        <v>814.9</v>
      </c>
      <c r="GW38" s="9">
        <v>811.9</v>
      </c>
      <c r="GX38" s="9">
        <v>854.6</v>
      </c>
      <c r="GY38" s="9">
        <v>835.9</v>
      </c>
      <c r="GZ38" s="9">
        <v>723</v>
      </c>
      <c r="HA38" s="9">
        <v>873.3</v>
      </c>
      <c r="HB38" s="9"/>
      <c r="HC38" s="9"/>
      <c r="HD38" s="9">
        <v>756.4</v>
      </c>
      <c r="HE38" s="9">
        <v>592.70000000000005</v>
      </c>
      <c r="HF38" s="9">
        <v>855</v>
      </c>
      <c r="HG38" s="9"/>
      <c r="HH38" s="9">
        <v>918.5</v>
      </c>
      <c r="HI38" s="9">
        <v>798.1</v>
      </c>
      <c r="HJ38" s="9">
        <v>849.3</v>
      </c>
      <c r="HK38" s="9">
        <v>822.4</v>
      </c>
      <c r="HL38" s="9">
        <v>843.1</v>
      </c>
      <c r="HM38" s="9">
        <v>840.1</v>
      </c>
      <c r="HN38" s="9">
        <v>844.5</v>
      </c>
      <c r="HO38" s="9">
        <v>850.2</v>
      </c>
      <c r="HP38" s="9">
        <v>850.6</v>
      </c>
      <c r="HQ38" s="9">
        <v>869.3</v>
      </c>
      <c r="HR38" s="9">
        <v>853.6</v>
      </c>
      <c r="HS38" s="9">
        <v>870.7</v>
      </c>
      <c r="HT38" s="9">
        <v>923.3</v>
      </c>
      <c r="HU38" s="9">
        <v>977.9</v>
      </c>
      <c r="HV38" s="9">
        <v>826.8</v>
      </c>
      <c r="HW38" s="9">
        <v>720.5</v>
      </c>
      <c r="HX38" s="9">
        <v>650.1</v>
      </c>
      <c r="HY38" s="9">
        <v>578.79999999999995</v>
      </c>
      <c r="HZ38" s="9">
        <v>652.70000000000005</v>
      </c>
      <c r="IA38" s="9">
        <v>739.2</v>
      </c>
      <c r="IB38" s="9">
        <v>853.6</v>
      </c>
      <c r="IC38" s="9">
        <v>929.2</v>
      </c>
      <c r="ID38" s="9">
        <v>899.4</v>
      </c>
      <c r="IE38" s="9">
        <v>903.6</v>
      </c>
      <c r="IF38" s="9">
        <v>900.1</v>
      </c>
      <c r="IG38" s="9">
        <v>896.6</v>
      </c>
      <c r="IH38" s="9">
        <v>922</v>
      </c>
      <c r="II38" s="9">
        <v>903.3</v>
      </c>
      <c r="IJ38" s="9">
        <v>697.9</v>
      </c>
      <c r="IK38" s="9">
        <v>833</v>
      </c>
      <c r="IL38" s="9">
        <v>697</v>
      </c>
      <c r="IM38" s="9">
        <v>813.6</v>
      </c>
      <c r="IN38" s="9">
        <v>709.8</v>
      </c>
      <c r="IO38" s="9"/>
      <c r="IP38" s="9">
        <v>1101</v>
      </c>
      <c r="IQ38" s="9">
        <v>870.2</v>
      </c>
      <c r="IR38" s="9">
        <v>347.6</v>
      </c>
      <c r="IS38" s="9">
        <v>802.5</v>
      </c>
      <c r="IT38" s="9">
        <v>775.1</v>
      </c>
      <c r="IU38" s="9"/>
      <c r="IV38" s="9"/>
      <c r="IW38" s="9">
        <v>822.7</v>
      </c>
      <c r="IX38" s="9">
        <v>853.1</v>
      </c>
      <c r="IY38" s="9">
        <v>565.1</v>
      </c>
      <c r="IZ38" s="9">
        <v>767.8</v>
      </c>
      <c r="JA38" s="9">
        <v>725.4</v>
      </c>
      <c r="JB38" s="11">
        <v>26.59</v>
      </c>
      <c r="JC38" s="11">
        <v>33.020000000000003</v>
      </c>
      <c r="JD38" s="11">
        <v>3.03</v>
      </c>
      <c r="JE38" s="11">
        <v>7.7</v>
      </c>
      <c r="JF38" s="11"/>
      <c r="JG38" s="11">
        <v>0</v>
      </c>
      <c r="JH38" s="13">
        <v>4.16</v>
      </c>
      <c r="JI38" s="12"/>
      <c r="JJ38" s="12"/>
      <c r="JK38" s="9">
        <v>83560630.703999996</v>
      </c>
      <c r="JL38" s="9">
        <v>281851.28399999999</v>
      </c>
      <c r="JM38" s="9">
        <v>56650810.423</v>
      </c>
      <c r="JN38" s="9">
        <v>61437</v>
      </c>
      <c r="JO38" s="9">
        <v>84358523.570999995</v>
      </c>
      <c r="JP38" s="9">
        <v>186623</v>
      </c>
      <c r="JQ38" s="9">
        <v>61084340.104000002</v>
      </c>
      <c r="JR38" s="9">
        <v>55483</v>
      </c>
      <c r="JS38" s="11">
        <v>316766786.32700002</v>
      </c>
      <c r="JT38" s="11">
        <v>83569.119999999995</v>
      </c>
      <c r="JU38" s="14">
        <f t="shared" ref="JU38:JU39" si="117">IF((JK38-JK37)&lt;0,"",(JK38-JK37))</f>
        <v>57015.471000000834</v>
      </c>
      <c r="JV38" s="14">
        <f>IF((JL38-JL37)&lt;0,"",(JL38-JL37))</f>
        <v>15.817999999970198</v>
      </c>
      <c r="JW38" s="14">
        <f t="shared" ref="JW38:JW39" si="118">IF((JM38-JM37)&lt;0,"",(JM38-JM37))</f>
        <v>54677.351999998093</v>
      </c>
      <c r="JX38" s="14">
        <f>IF((JN38-JN37)&lt;0,"",(JN38-JN37))</f>
        <v>13</v>
      </c>
      <c r="JY38" s="14">
        <f t="shared" ref="JY38:JY39" si="119">IF((JO38-JO37)&lt;0,"",(JO38-JO37))</f>
        <v>56048.119999989867</v>
      </c>
      <c r="JZ38" s="14">
        <f t="shared" ref="JZ38:JZ39" si="120">IF((JP38-JP37)&lt;0,"",(JP38-JP37))</f>
        <v>43</v>
      </c>
      <c r="KA38" s="14">
        <f t="shared" ref="KA38:KA39" si="121">IF((JQ38-JQ37)&lt;0,"",(JQ38-JQ37))</f>
        <v>42809.197999998927</v>
      </c>
      <c r="KB38" s="14">
        <f t="shared" si="115"/>
        <v>11.427000000003318</v>
      </c>
      <c r="KC38" s="14">
        <f t="shared" si="115"/>
        <v>210230.58300000429</v>
      </c>
      <c r="KD38" s="14">
        <f t="shared" ref="KD38" si="122">IF((JT38-JT37)&lt;0,"",(JT38-JT37))</f>
        <v>81.519999999989523</v>
      </c>
      <c r="KE38" s="15">
        <f>(JU38+JW38)-(JV38+JX38)</f>
        <v>111664.00499999896</v>
      </c>
      <c r="KF38" s="15">
        <f>IFERROR(KC38-KD38,"")</f>
        <v>210149.0630000043</v>
      </c>
      <c r="KG38" s="16">
        <f>(RD[[#This Row],[Sunset Time (POA&lt;20 W/m2)]]-RD[[#This Row],[Sunrise Time (POA&gt;20 W/m2)]])*24</f>
        <v>11.999999999999998</v>
      </c>
      <c r="KH38" s="53">
        <f>RD[[#This Row],[GHI ]]</f>
        <v>0</v>
      </c>
      <c r="KI38" s="53">
        <f>RD[[#This Row],[POA]]</f>
        <v>4.16</v>
      </c>
      <c r="KJ38" s="53">
        <f>RD[[#This Row],[AT (°C) 14 Hours]]</f>
        <v>26.59</v>
      </c>
      <c r="KK38" s="53">
        <f>RD[[#This Row],[MT (°C) Gen. Hours]]</f>
        <v>33.020000000000003</v>
      </c>
      <c r="KL38" s="53">
        <f>RD[[#This Row],[WS_Avg (m/s) (24 Hours)]]</f>
        <v>3.03</v>
      </c>
      <c r="KM38" s="53">
        <f>RD[[#This Row],[WS_Max (m/s)]]</f>
        <v>7.7</v>
      </c>
      <c r="KN38" s="54">
        <f>SUM(RD[[#This Row],[BLK1_INV1]:[BLK8_INV27]])</f>
        <v>211112.00000000009</v>
      </c>
      <c r="KO38" s="95"/>
      <c r="KP38" s="55"/>
      <c r="KQ38" s="90" t="str">
        <f>IFERROR(RD[[#This Row],[WPR_Eac]]/RD[[#This Row],[WPR_Edc]],"")</f>
        <v/>
      </c>
    </row>
    <row r="39" spans="2:303" ht="15" customHeight="1" x14ac:dyDescent="0.25">
      <c r="B39" s="52">
        <v>45780</v>
      </c>
      <c r="C39" s="9">
        <f>YEAR(RD[[#This Row],[Date]])+IF(MONTH(RD[[#This Row],[Date]])&gt;=4,1,0)</f>
        <v>2026</v>
      </c>
      <c r="D39" s="6">
        <f>YEAR(B39)</f>
        <v>2025</v>
      </c>
      <c r="E39" s="7"/>
      <c r="F39" s="7"/>
      <c r="G39" s="8" t="str">
        <f>TEXT(RD[[#This Row],[Date]],"mmm-yy")</f>
        <v>May-25</v>
      </c>
      <c r="H39" s="6">
        <f>DAY(EOMONTH(B39,0))</f>
        <v>31</v>
      </c>
      <c r="I39" s="9">
        <f>'Basic Data '!$S$2</f>
        <v>66750</v>
      </c>
      <c r="J39" s="10">
        <v>0.29166666666666669</v>
      </c>
      <c r="K39" s="10">
        <v>0.79166666666666663</v>
      </c>
      <c r="L39" s="9">
        <v>1289.3</v>
      </c>
      <c r="M39" s="9">
        <v>1249.0999999999999</v>
      </c>
      <c r="N39" s="9">
        <v>1206.8</v>
      </c>
      <c r="O39" s="9">
        <v>1201.5</v>
      </c>
      <c r="P39" s="9">
        <v>1293.8</v>
      </c>
      <c r="Q39" s="9">
        <v>1199.4000000000001</v>
      </c>
      <c r="R39" s="9">
        <v>1192.9000000000001</v>
      </c>
      <c r="S39" s="9">
        <v>1196.8</v>
      </c>
      <c r="T39" s="9">
        <v>1192</v>
      </c>
      <c r="U39" s="9">
        <v>1253.4000000000001</v>
      </c>
      <c r="V39" s="9">
        <v>1220.5</v>
      </c>
      <c r="W39" s="9">
        <v>1214.9000000000001</v>
      </c>
      <c r="X39" s="9">
        <v>1198.0999999999999</v>
      </c>
      <c r="Y39" s="9">
        <v>1129.2</v>
      </c>
      <c r="Z39" s="9">
        <v>1169</v>
      </c>
      <c r="AA39" s="9">
        <v>1198.8</v>
      </c>
      <c r="AB39" s="9">
        <v>1146.0999999999999</v>
      </c>
      <c r="AC39" s="9">
        <v>1194.5</v>
      </c>
      <c r="AD39" s="9">
        <v>1293.9000000000001</v>
      </c>
      <c r="AE39" s="9">
        <v>1289.0999999999999</v>
      </c>
      <c r="AF39" s="9">
        <v>1205.7</v>
      </c>
      <c r="AG39" s="9">
        <v>1209.7</v>
      </c>
      <c r="AH39" s="9">
        <v>1328.7</v>
      </c>
      <c r="AI39" s="9">
        <v>1356.4</v>
      </c>
      <c r="AJ39" s="9">
        <v>1300.9000000000001</v>
      </c>
      <c r="AK39" s="9">
        <v>1283.5</v>
      </c>
      <c r="AL39" s="9">
        <v>1278.5</v>
      </c>
      <c r="AM39" s="9">
        <v>1325.8</v>
      </c>
      <c r="AN39" s="9">
        <v>1332.1</v>
      </c>
      <c r="AO39" s="9">
        <v>1319</v>
      </c>
      <c r="AP39" s="9">
        <v>1329.5</v>
      </c>
      <c r="AQ39" s="9">
        <v>1320.7</v>
      </c>
      <c r="AR39" s="9">
        <v>1118.0999999999999</v>
      </c>
      <c r="AS39" s="9">
        <v>1541.2</v>
      </c>
      <c r="AT39" s="9">
        <v>1143.8</v>
      </c>
      <c r="AU39" s="9">
        <v>1212.9000000000001</v>
      </c>
      <c r="AV39" s="9">
        <v>1189.9000000000001</v>
      </c>
      <c r="AW39" s="9">
        <v>1167.9000000000001</v>
      </c>
      <c r="AX39" s="9">
        <v>1184.2</v>
      </c>
      <c r="AY39" s="9">
        <v>1197.9000000000001</v>
      </c>
      <c r="AZ39" s="9">
        <v>1178</v>
      </c>
      <c r="BA39" s="9">
        <v>1158.2</v>
      </c>
      <c r="BB39" s="9">
        <v>1182</v>
      </c>
      <c r="BC39" s="9">
        <v>1175</v>
      </c>
      <c r="BD39" s="9">
        <v>1189.5</v>
      </c>
      <c r="BE39" s="9">
        <v>1202.2</v>
      </c>
      <c r="BF39" s="9">
        <v>1295.5</v>
      </c>
      <c r="BG39" s="9">
        <v>1184.4000000000001</v>
      </c>
      <c r="BH39" s="9">
        <v>1194.0999999999999</v>
      </c>
      <c r="BI39" s="9">
        <v>1191.5999999999999</v>
      </c>
      <c r="BJ39" s="9">
        <v>1153.2</v>
      </c>
      <c r="BK39" s="9">
        <v>1196.7</v>
      </c>
      <c r="BL39" s="9">
        <v>1345.9</v>
      </c>
      <c r="BM39" s="9">
        <v>1351</v>
      </c>
      <c r="BN39" s="9">
        <v>1289.5999999999999</v>
      </c>
      <c r="BO39" s="9">
        <v>1309.5999999999999</v>
      </c>
      <c r="BP39" s="9">
        <v>1347.4</v>
      </c>
      <c r="BQ39" s="9">
        <v>1206.4000000000001</v>
      </c>
      <c r="BR39" s="9">
        <v>1344.4</v>
      </c>
      <c r="BS39" s="9">
        <v>1361.1</v>
      </c>
      <c r="BT39" s="9">
        <v>1196.4000000000001</v>
      </c>
      <c r="BU39" s="9">
        <v>1350.5</v>
      </c>
      <c r="BV39" s="9">
        <v>1198.2</v>
      </c>
      <c r="BW39" s="9">
        <v>1193.0999999999999</v>
      </c>
      <c r="BX39" s="9">
        <v>1296.0999999999999</v>
      </c>
      <c r="BY39" s="9">
        <v>1276.2</v>
      </c>
      <c r="BZ39" s="9">
        <v>1299.0999999999999</v>
      </c>
      <c r="CA39" s="9">
        <v>1230</v>
      </c>
      <c r="CB39" s="9">
        <v>1186.8</v>
      </c>
      <c r="CC39" s="9">
        <v>1177.7</v>
      </c>
      <c r="CD39" s="9">
        <v>1189.8</v>
      </c>
      <c r="CE39" s="9">
        <v>1189</v>
      </c>
      <c r="CF39" s="9">
        <v>1214.3</v>
      </c>
      <c r="CG39" s="9">
        <v>1194.2</v>
      </c>
      <c r="CH39" s="9">
        <v>1355.2</v>
      </c>
      <c r="CI39" s="9">
        <v>1345.4</v>
      </c>
      <c r="CJ39" s="9">
        <v>1348.4</v>
      </c>
      <c r="CK39" s="9">
        <v>1170.3</v>
      </c>
      <c r="CL39" s="9">
        <v>1157.7</v>
      </c>
      <c r="CM39" s="9">
        <v>1269.3</v>
      </c>
      <c r="CN39" s="9">
        <v>1196.5</v>
      </c>
      <c r="CO39" s="9">
        <v>1195.7</v>
      </c>
      <c r="CP39" s="9">
        <v>1186.8</v>
      </c>
      <c r="CQ39" s="9">
        <v>1196.7</v>
      </c>
      <c r="CR39" s="9">
        <v>1189.0999999999999</v>
      </c>
      <c r="CS39" s="9">
        <v>1197.4000000000001</v>
      </c>
      <c r="CT39" s="9">
        <v>1211.9000000000001</v>
      </c>
      <c r="CU39" s="9">
        <v>1196.7</v>
      </c>
      <c r="CV39" s="9">
        <v>1170.0999999999999</v>
      </c>
      <c r="CW39" s="9">
        <v>1183.2</v>
      </c>
      <c r="CX39" s="9">
        <v>1237.3</v>
      </c>
      <c r="CY39" s="9">
        <v>1286</v>
      </c>
      <c r="CZ39" s="9">
        <v>1218.2</v>
      </c>
      <c r="DA39" s="9">
        <v>1214.0999999999999</v>
      </c>
      <c r="DB39" s="9">
        <v>1293.8</v>
      </c>
      <c r="DC39" s="9">
        <v>1142.4000000000001</v>
      </c>
      <c r="DD39" s="9">
        <v>1156.7</v>
      </c>
      <c r="DE39" s="9">
        <v>1199.4000000000001</v>
      </c>
      <c r="DF39" s="9">
        <v>1177.7</v>
      </c>
      <c r="DG39" s="9">
        <v>1188</v>
      </c>
      <c r="DH39" s="9">
        <v>1219.5999999999999</v>
      </c>
      <c r="DI39" s="9">
        <v>1182.4000000000001</v>
      </c>
      <c r="DJ39" s="9">
        <v>1210.0999999999999</v>
      </c>
      <c r="DK39" s="9">
        <v>1189.9000000000001</v>
      </c>
      <c r="DL39" s="9">
        <v>1349.5</v>
      </c>
      <c r="DM39" s="9">
        <v>1199</v>
      </c>
      <c r="DN39" s="9">
        <v>1439</v>
      </c>
      <c r="DO39" s="9">
        <v>1322.9</v>
      </c>
      <c r="DP39" s="9">
        <v>1201.3</v>
      </c>
      <c r="DQ39" s="9">
        <v>1320.5</v>
      </c>
      <c r="DR39" s="9">
        <v>1292.2</v>
      </c>
      <c r="DS39" s="9">
        <v>1279.3</v>
      </c>
      <c r="DT39" s="9">
        <v>1348.1</v>
      </c>
      <c r="DU39" s="9">
        <v>1341.1</v>
      </c>
      <c r="DV39" s="9">
        <v>1191.3</v>
      </c>
      <c r="DW39" s="9">
        <v>1200.8</v>
      </c>
      <c r="DX39" s="9">
        <v>1313.5</v>
      </c>
      <c r="DY39" s="9">
        <v>1329.2</v>
      </c>
      <c r="DZ39" s="9">
        <v>1321.1</v>
      </c>
      <c r="EA39" s="9">
        <v>1186.0999999999999</v>
      </c>
      <c r="EB39" s="9">
        <v>1213.3</v>
      </c>
      <c r="EC39" s="9">
        <v>1313.3</v>
      </c>
      <c r="ED39" s="9">
        <v>1294.3</v>
      </c>
      <c r="EE39" s="9">
        <v>1189</v>
      </c>
      <c r="EF39" s="9">
        <v>1205.2</v>
      </c>
      <c r="EG39" s="9">
        <v>1332.5</v>
      </c>
      <c r="EH39" s="9">
        <v>1120.0999999999999</v>
      </c>
      <c r="EI39" s="9">
        <v>1138.5</v>
      </c>
      <c r="EJ39" s="9">
        <v>1322</v>
      </c>
      <c r="EK39" s="9">
        <v>1319.3</v>
      </c>
      <c r="EL39" s="9">
        <v>1220</v>
      </c>
      <c r="EM39" s="9">
        <v>1266</v>
      </c>
      <c r="EN39" s="9">
        <v>1225.5999999999999</v>
      </c>
      <c r="EO39" s="9">
        <v>1069.4000000000001</v>
      </c>
      <c r="EP39" s="9">
        <v>1342.2</v>
      </c>
      <c r="EQ39" s="9">
        <v>1283.7</v>
      </c>
      <c r="ER39" s="9">
        <v>1294.9000000000001</v>
      </c>
      <c r="ES39" s="9">
        <v>1228.0999999999999</v>
      </c>
      <c r="ET39" s="9">
        <v>1218.7</v>
      </c>
      <c r="EU39" s="9">
        <v>1208.8</v>
      </c>
      <c r="EV39" s="9">
        <v>1270.4000000000001</v>
      </c>
      <c r="EW39" s="9">
        <v>1266.2</v>
      </c>
      <c r="EX39" s="9">
        <v>1144.8</v>
      </c>
      <c r="EY39" s="9">
        <v>1324.4</v>
      </c>
      <c r="EZ39" s="9">
        <v>1101.5999999999999</v>
      </c>
      <c r="FA39" s="9">
        <v>1337.3</v>
      </c>
      <c r="FB39" s="9">
        <v>1187</v>
      </c>
      <c r="FC39" s="9">
        <v>1101.5</v>
      </c>
      <c r="FD39" s="9">
        <v>1272.2</v>
      </c>
      <c r="FE39" s="9">
        <v>1297</v>
      </c>
      <c r="FF39" s="9">
        <v>1299.8</v>
      </c>
      <c r="FG39" s="9">
        <v>1192.7</v>
      </c>
      <c r="FH39" s="9">
        <v>1365.3</v>
      </c>
      <c r="FI39" s="9">
        <v>1229.3</v>
      </c>
      <c r="FJ39" s="9">
        <v>1173.0999999999999</v>
      </c>
      <c r="FK39" s="9">
        <v>1159</v>
      </c>
      <c r="FL39" s="9">
        <v>1149.0999999999999</v>
      </c>
      <c r="FM39" s="9">
        <v>1155.4000000000001</v>
      </c>
      <c r="FN39" s="9">
        <v>1184</v>
      </c>
      <c r="FO39" s="9">
        <v>1146.8</v>
      </c>
      <c r="FP39" s="9">
        <v>1313.8</v>
      </c>
      <c r="FQ39" s="9">
        <v>1142.7</v>
      </c>
      <c r="FR39" s="9">
        <v>1292.4000000000001</v>
      </c>
      <c r="FS39" s="9">
        <v>1273.5</v>
      </c>
      <c r="FT39" s="9">
        <v>1309.5</v>
      </c>
      <c r="FU39" s="9">
        <v>1114.0999999999999</v>
      </c>
      <c r="FV39" s="9">
        <v>1128.0999999999999</v>
      </c>
      <c r="FW39" s="9">
        <v>1290.4000000000001</v>
      </c>
      <c r="FX39" s="9">
        <v>1171</v>
      </c>
      <c r="FY39" s="9">
        <v>1125.9000000000001</v>
      </c>
      <c r="FZ39" s="9">
        <v>1230</v>
      </c>
      <c r="GA39" s="9">
        <v>1147.2</v>
      </c>
      <c r="GB39" s="9">
        <v>1280.9000000000001</v>
      </c>
      <c r="GC39" s="9">
        <v>1199.5999999999999</v>
      </c>
      <c r="GD39" s="9">
        <v>1335.9</v>
      </c>
      <c r="GE39" s="9">
        <v>1173.5</v>
      </c>
      <c r="GF39" s="9">
        <v>1176.2</v>
      </c>
      <c r="GG39" s="9">
        <v>1112.5999999999999</v>
      </c>
      <c r="GH39" s="9">
        <v>1349.6</v>
      </c>
      <c r="GI39" s="9">
        <v>1177.8</v>
      </c>
      <c r="GJ39" s="9">
        <v>1261.8</v>
      </c>
      <c r="GK39" s="9">
        <v>1278.5999999999999</v>
      </c>
      <c r="GL39" s="9">
        <v>1307.8</v>
      </c>
      <c r="GM39" s="9">
        <v>1303.5</v>
      </c>
      <c r="GN39" s="9">
        <v>1230.9000000000001</v>
      </c>
      <c r="GO39" s="9">
        <v>1325.6</v>
      </c>
      <c r="GP39" s="9">
        <v>1233.5999999999999</v>
      </c>
      <c r="GQ39" s="9">
        <v>1214</v>
      </c>
      <c r="GR39" s="9">
        <v>1194.5999999999999</v>
      </c>
      <c r="GS39" s="9">
        <v>1174.7</v>
      </c>
      <c r="GT39" s="9">
        <v>1130</v>
      </c>
      <c r="GU39" s="9">
        <v>1123.8</v>
      </c>
      <c r="GV39" s="9">
        <v>1070.4000000000001</v>
      </c>
      <c r="GW39" s="9">
        <v>1127.0999999999999</v>
      </c>
      <c r="GX39" s="9">
        <v>1186.5</v>
      </c>
      <c r="GY39" s="9">
        <v>1159.8</v>
      </c>
      <c r="GZ39" s="9">
        <v>1003.5</v>
      </c>
      <c r="HA39" s="9">
        <v>1207.9000000000001</v>
      </c>
      <c r="HB39" s="9"/>
      <c r="HC39" s="9"/>
      <c r="HD39" s="9">
        <v>1043.7</v>
      </c>
      <c r="HE39" s="9">
        <v>816.6</v>
      </c>
      <c r="HF39" s="9">
        <v>1173</v>
      </c>
      <c r="HG39" s="9"/>
      <c r="HH39" s="9">
        <v>1277.9000000000001</v>
      </c>
      <c r="HI39" s="9">
        <v>1096.0999999999999</v>
      </c>
      <c r="HJ39" s="9">
        <v>1180.7</v>
      </c>
      <c r="HK39" s="9">
        <v>1151.8</v>
      </c>
      <c r="HL39" s="9">
        <v>1175.5999999999999</v>
      </c>
      <c r="HM39" s="9">
        <v>1182.4000000000001</v>
      </c>
      <c r="HN39" s="9">
        <v>1183.7</v>
      </c>
      <c r="HO39" s="9">
        <v>1192.0999999999999</v>
      </c>
      <c r="HP39" s="9">
        <v>1201.5</v>
      </c>
      <c r="HQ39" s="9">
        <v>1216.8</v>
      </c>
      <c r="HR39" s="9">
        <v>1142.5</v>
      </c>
      <c r="HS39" s="9">
        <v>1211</v>
      </c>
      <c r="HT39" s="9">
        <v>1290.5</v>
      </c>
      <c r="HU39" s="9">
        <v>1361.9</v>
      </c>
      <c r="HV39" s="9">
        <v>1140.9000000000001</v>
      </c>
      <c r="HW39" s="9">
        <v>1007.7</v>
      </c>
      <c r="HX39" s="9">
        <v>905.2</v>
      </c>
      <c r="HY39" s="9">
        <v>800.1</v>
      </c>
      <c r="HZ39" s="242">
        <v>873</v>
      </c>
      <c r="IA39" s="242">
        <v>1035.9000000000001</v>
      </c>
      <c r="IB39" s="242">
        <v>1200.2</v>
      </c>
      <c r="IC39" s="242">
        <v>1334.2</v>
      </c>
      <c r="ID39" s="242">
        <v>1251.5999999999999</v>
      </c>
      <c r="IE39" s="242">
        <v>1252.2</v>
      </c>
      <c r="IF39" s="242">
        <v>1204.5999999999999</v>
      </c>
      <c r="IG39" s="242">
        <v>1301.5999999999999</v>
      </c>
      <c r="IH39" s="242">
        <v>1330.7</v>
      </c>
      <c r="II39" s="242">
        <v>1188</v>
      </c>
      <c r="IJ39" s="242" t="s">
        <v>438</v>
      </c>
      <c r="IK39" s="242">
        <v>1169.2</v>
      </c>
      <c r="IL39" s="242">
        <v>1018.8</v>
      </c>
      <c r="IM39" s="242">
        <v>1113</v>
      </c>
      <c r="IN39" s="242">
        <v>991</v>
      </c>
      <c r="IO39" s="242"/>
      <c r="IP39" s="242">
        <v>1356</v>
      </c>
      <c r="IQ39" s="242">
        <v>1167.5</v>
      </c>
      <c r="IR39" s="242">
        <v>508</v>
      </c>
      <c r="IS39" s="242">
        <v>1089.3</v>
      </c>
      <c r="IT39" s="242">
        <v>1059.2</v>
      </c>
      <c r="IU39" s="242"/>
      <c r="IV39" s="242"/>
      <c r="IW39" s="242">
        <v>1206.8</v>
      </c>
      <c r="IX39" s="242">
        <v>1243.5</v>
      </c>
      <c r="IY39" s="242">
        <v>784.2</v>
      </c>
      <c r="IZ39" s="242">
        <v>1015.6</v>
      </c>
      <c r="JA39" s="242">
        <v>931</v>
      </c>
      <c r="JB39" s="242">
        <v>27</v>
      </c>
      <c r="JC39" s="242">
        <v>31</v>
      </c>
      <c r="JD39" s="242">
        <v>3.1</v>
      </c>
      <c r="JE39" s="242">
        <v>5.9</v>
      </c>
      <c r="JF39" s="11"/>
      <c r="JG39" s="11">
        <v>0</v>
      </c>
      <c r="JH39" s="13">
        <v>5.85</v>
      </c>
      <c r="JI39" s="12"/>
      <c r="JJ39" s="12"/>
      <c r="JK39" s="9">
        <v>83639719.131999999</v>
      </c>
      <c r="JL39" s="9">
        <v>281866.63</v>
      </c>
      <c r="JM39" s="9">
        <v>56726946.982000001</v>
      </c>
      <c r="JN39" s="9">
        <v>61457.095999999998</v>
      </c>
      <c r="JO39" s="9">
        <v>84436429.549999997</v>
      </c>
      <c r="JP39" s="9">
        <v>186658.58600000001</v>
      </c>
      <c r="JQ39" s="9">
        <v>61144398.402999997</v>
      </c>
      <c r="JR39" s="9">
        <v>55497.082000000002</v>
      </c>
      <c r="JS39" s="11">
        <v>317059642.463</v>
      </c>
      <c r="JT39" s="11">
        <v>83628.289999999994</v>
      </c>
      <c r="JU39" s="14">
        <f t="shared" si="117"/>
        <v>79088.428000003099</v>
      </c>
      <c r="JV39" s="14">
        <f>IF((JL39-JL38)&lt;0,"",(JL39-JL38))</f>
        <v>15.346000000019558</v>
      </c>
      <c r="JW39" s="14">
        <f t="shared" si="118"/>
        <v>76136.559000000358</v>
      </c>
      <c r="JX39" s="14">
        <f>IF((JN39-JN38)&lt;0,"",(JN39-JN38))</f>
        <v>20.09599999999773</v>
      </c>
      <c r="JY39" s="14">
        <f t="shared" si="119"/>
        <v>77905.979000002146</v>
      </c>
      <c r="JZ39" s="14">
        <f t="shared" si="120"/>
        <v>35.586000000010245</v>
      </c>
      <c r="KA39" s="14">
        <f t="shared" si="121"/>
        <v>60058.298999994993</v>
      </c>
      <c r="KB39" s="14">
        <f>IF((JR39-JR38)&lt;0,"",(JR39-JR38))</f>
        <v>14.082000000002154</v>
      </c>
      <c r="KC39" s="14">
        <f t="shared" si="115"/>
        <v>292856.13599997759</v>
      </c>
      <c r="KD39" s="14">
        <f>IF((JT39-JT38)&lt;0,"",(JT39-JT38))</f>
        <v>59.169999999998254</v>
      </c>
      <c r="KE39" s="15">
        <f>(JU39+JW39)-(JV39+JX39)</f>
        <v>155189.54500000345</v>
      </c>
      <c r="KF39" s="15">
        <f>IFERROR(KC39-KD39,"")</f>
        <v>292796.9659999776</v>
      </c>
      <c r="KG39" s="16">
        <f>(RD[[#This Row],[Sunset Time (POA&lt;20 W/m2)]]-RD[[#This Row],[Sunrise Time (POA&gt;20 W/m2)]])*24</f>
        <v>11.999999999999998</v>
      </c>
      <c r="KH39" s="53">
        <f>RD[[#This Row],[GHI ]]</f>
        <v>0</v>
      </c>
      <c r="KI39" s="53">
        <f>RD[[#This Row],[POA]]</f>
        <v>5.85</v>
      </c>
      <c r="KJ39" s="53">
        <f>RD[[#This Row],[AT (°C) 14 Hours]]</f>
        <v>27</v>
      </c>
      <c r="KK39" s="53">
        <f>RD[[#This Row],[MT (°C) Gen. Hours]]</f>
        <v>31</v>
      </c>
      <c r="KL39" s="53">
        <f>RD[[#This Row],[WS_Avg (m/s) (24 Hours)]]</f>
        <v>3.1</v>
      </c>
      <c r="KM39" s="53">
        <f>RD[[#This Row],[WS_Max (m/s)]]</f>
        <v>5.9</v>
      </c>
      <c r="KN39" s="54">
        <f>SUM(RD[[#This Row],[BLK1_INV1]:[BLK8_INV27]])</f>
        <v>293329.99999999994</v>
      </c>
      <c r="KO39" s="95"/>
      <c r="KP39" s="55"/>
      <c r="KQ39" s="90" t="str">
        <f>IFERROR(RD[[#This Row],[WPR_Eac]]/RD[[#This Row],[WPR_Edc]],"")</f>
        <v/>
      </c>
    </row>
    <row r="40" spans="2:303" ht="15" customHeight="1" x14ac:dyDescent="0.25">
      <c r="B40" s="52">
        <v>45781</v>
      </c>
      <c r="C40" s="9">
        <f>YEAR(RD[[#This Row],[Date]])+IF(MONTH(RD[[#This Row],[Date]])&gt;=4,1,0)</f>
        <v>2026</v>
      </c>
      <c r="D40" s="6">
        <f>YEAR(B40)</f>
        <v>2025</v>
      </c>
      <c r="E40" s="7"/>
      <c r="F40" s="7"/>
      <c r="G40" s="8" t="str">
        <f>TEXT(RD[[#This Row],[Date]],"mmm-yy")</f>
        <v>May-25</v>
      </c>
      <c r="H40" s="6">
        <f>DAY(EOMONTH(B40,0))</f>
        <v>31</v>
      </c>
      <c r="I40" s="9">
        <f>'Basic Data '!$S$2</f>
        <v>66750</v>
      </c>
      <c r="J40" s="10">
        <v>0.22847222222222222</v>
      </c>
      <c r="K40" s="10">
        <v>0.2638888888888889</v>
      </c>
      <c r="L40" s="9">
        <v>1414</v>
      </c>
      <c r="M40" s="9">
        <v>1371</v>
      </c>
      <c r="N40" s="9">
        <v>1323</v>
      </c>
      <c r="O40" s="9">
        <v>1318</v>
      </c>
      <c r="P40" s="9">
        <v>1423</v>
      </c>
      <c r="Q40" s="9">
        <v>1316</v>
      </c>
      <c r="R40" s="9">
        <v>1307</v>
      </c>
      <c r="S40" s="9">
        <v>1328</v>
      </c>
      <c r="T40" s="9">
        <v>1372</v>
      </c>
      <c r="U40" s="9">
        <v>1383</v>
      </c>
      <c r="V40" s="9">
        <v>1338</v>
      </c>
      <c r="W40" s="9">
        <v>1345</v>
      </c>
      <c r="X40" s="9">
        <v>1325</v>
      </c>
      <c r="Y40" s="9">
        <v>1244</v>
      </c>
      <c r="Z40" s="9">
        <v>1318</v>
      </c>
      <c r="AA40" s="9">
        <v>1312</v>
      </c>
      <c r="AB40" s="9">
        <v>1255</v>
      </c>
      <c r="AC40" s="9">
        <v>1310</v>
      </c>
      <c r="AD40" s="9">
        <v>1417</v>
      </c>
      <c r="AE40" s="9">
        <v>1417</v>
      </c>
      <c r="AF40" s="9">
        <v>1322</v>
      </c>
      <c r="AG40" s="9">
        <v>1326</v>
      </c>
      <c r="AH40" s="9">
        <v>1451</v>
      </c>
      <c r="AI40" s="9">
        <v>1484</v>
      </c>
      <c r="AJ40" s="9">
        <v>1428</v>
      </c>
      <c r="AK40" s="9">
        <v>1409</v>
      </c>
      <c r="AL40" s="9">
        <v>1403</v>
      </c>
      <c r="AM40" s="9">
        <v>1453</v>
      </c>
      <c r="AN40" s="9">
        <v>1462</v>
      </c>
      <c r="AO40" s="9">
        <v>1442</v>
      </c>
      <c r="AP40" s="9">
        <v>1410</v>
      </c>
      <c r="AQ40" s="9">
        <v>1444</v>
      </c>
      <c r="AR40" s="9">
        <v>1222</v>
      </c>
      <c r="AS40" s="9">
        <v>1617</v>
      </c>
      <c r="AT40" s="9">
        <v>1251</v>
      </c>
      <c r="AU40" s="9">
        <v>1328</v>
      </c>
      <c r="AV40" s="9">
        <v>1306</v>
      </c>
      <c r="AW40" s="9">
        <v>1292</v>
      </c>
      <c r="AX40" s="9">
        <v>1305</v>
      </c>
      <c r="AY40" s="9">
        <v>1321</v>
      </c>
      <c r="AZ40" s="9">
        <v>1297</v>
      </c>
      <c r="BA40" s="9">
        <v>1282</v>
      </c>
      <c r="BB40" s="9">
        <v>1301</v>
      </c>
      <c r="BC40" s="9">
        <v>1294</v>
      </c>
      <c r="BD40" s="9">
        <v>1313</v>
      </c>
      <c r="BE40" s="9">
        <v>1332</v>
      </c>
      <c r="BF40" s="9">
        <v>1430</v>
      </c>
      <c r="BG40" s="9">
        <v>1303</v>
      </c>
      <c r="BH40" s="9">
        <v>1353</v>
      </c>
      <c r="BI40" s="9">
        <v>1331</v>
      </c>
      <c r="BJ40" s="9">
        <v>1274</v>
      </c>
      <c r="BK40" s="9">
        <v>1328</v>
      </c>
      <c r="BL40" s="9">
        <v>1513</v>
      </c>
      <c r="BM40" s="9">
        <v>1498</v>
      </c>
      <c r="BN40" s="9">
        <v>1412</v>
      </c>
      <c r="BO40" s="9">
        <v>1436</v>
      </c>
      <c r="BP40" s="9">
        <v>1479</v>
      </c>
      <c r="BQ40" s="9">
        <v>1321</v>
      </c>
      <c r="BR40" s="9">
        <v>1473</v>
      </c>
      <c r="BS40" s="9">
        <v>1494</v>
      </c>
      <c r="BT40" s="9">
        <v>1324</v>
      </c>
      <c r="BU40" s="9">
        <v>1483</v>
      </c>
      <c r="BV40" s="9">
        <v>1307</v>
      </c>
      <c r="BW40" s="9">
        <v>1304</v>
      </c>
      <c r="BX40" s="9">
        <v>1414</v>
      </c>
      <c r="BY40" s="9">
        <v>1395</v>
      </c>
      <c r="BZ40" s="9">
        <v>1418</v>
      </c>
      <c r="CA40" s="9">
        <v>1310</v>
      </c>
      <c r="CB40" s="9">
        <v>1292</v>
      </c>
      <c r="CC40" s="9">
        <v>1286</v>
      </c>
      <c r="CD40" s="9">
        <v>1302</v>
      </c>
      <c r="CE40" s="9">
        <v>1299</v>
      </c>
      <c r="CF40" s="9">
        <v>1339</v>
      </c>
      <c r="CG40" s="9">
        <v>1308</v>
      </c>
      <c r="CH40" s="9">
        <v>1475</v>
      </c>
      <c r="CI40" s="9">
        <v>1398</v>
      </c>
      <c r="CJ40" s="9">
        <v>1468</v>
      </c>
      <c r="CK40" s="9">
        <v>1276</v>
      </c>
      <c r="CL40" s="9">
        <v>1273</v>
      </c>
      <c r="CM40" s="9">
        <v>1376</v>
      </c>
      <c r="CN40" s="9">
        <v>1310</v>
      </c>
      <c r="CO40" s="9">
        <v>1313</v>
      </c>
      <c r="CP40" s="9">
        <v>1309</v>
      </c>
      <c r="CQ40" s="9">
        <v>1320</v>
      </c>
      <c r="CR40" s="9">
        <v>1312</v>
      </c>
      <c r="CS40" s="9">
        <v>1326</v>
      </c>
      <c r="CT40" s="9">
        <v>1342</v>
      </c>
      <c r="CU40" s="9">
        <v>1325</v>
      </c>
      <c r="CV40" s="9">
        <v>1244</v>
      </c>
      <c r="CW40" s="9">
        <v>1290</v>
      </c>
      <c r="CX40" s="9">
        <v>1345</v>
      </c>
      <c r="CY40" s="9">
        <v>1378</v>
      </c>
      <c r="CZ40" s="9">
        <v>1293</v>
      </c>
      <c r="DA40" s="9">
        <v>1341</v>
      </c>
      <c r="DB40" s="9">
        <v>1412</v>
      </c>
      <c r="DC40" s="9">
        <v>1269</v>
      </c>
      <c r="DD40" s="9">
        <v>1278</v>
      </c>
      <c r="DE40" s="9">
        <v>1328</v>
      </c>
      <c r="DF40" s="9">
        <v>1300</v>
      </c>
      <c r="DG40" s="9">
        <v>1317</v>
      </c>
      <c r="DH40" s="9">
        <v>1355</v>
      </c>
      <c r="DI40" s="9">
        <v>1312</v>
      </c>
      <c r="DJ40" s="9">
        <v>1341</v>
      </c>
      <c r="DK40" s="9">
        <v>1316</v>
      </c>
      <c r="DL40" s="9">
        <v>1488</v>
      </c>
      <c r="DM40" s="9">
        <v>1328</v>
      </c>
      <c r="DN40" s="9">
        <v>1564</v>
      </c>
      <c r="DO40" s="9">
        <v>1444</v>
      </c>
      <c r="DP40" s="9">
        <v>1322</v>
      </c>
      <c r="DQ40" s="9">
        <v>1455</v>
      </c>
      <c r="DR40" s="9">
        <v>1432</v>
      </c>
      <c r="DS40" s="9">
        <v>1387</v>
      </c>
      <c r="DT40" s="9">
        <v>1452</v>
      </c>
      <c r="DU40" s="9">
        <v>1463</v>
      </c>
      <c r="DV40" s="9">
        <v>1303</v>
      </c>
      <c r="DW40" s="9">
        <v>1298</v>
      </c>
      <c r="DX40" s="9">
        <v>1432</v>
      </c>
      <c r="DY40" s="9">
        <v>1453</v>
      </c>
      <c r="DZ40" s="9">
        <v>1469</v>
      </c>
      <c r="EA40" s="9">
        <v>1306</v>
      </c>
      <c r="EB40" s="9">
        <v>1328</v>
      </c>
      <c r="EC40" s="9">
        <v>1423</v>
      </c>
      <c r="ED40" s="9">
        <v>1418</v>
      </c>
      <c r="EE40" s="9">
        <v>1300</v>
      </c>
      <c r="EF40" s="9">
        <v>1337</v>
      </c>
      <c r="EG40" s="9">
        <v>1433</v>
      </c>
      <c r="EH40" s="9">
        <v>1221</v>
      </c>
      <c r="EI40" s="9">
        <v>1245</v>
      </c>
      <c r="EJ40" s="9">
        <v>1443</v>
      </c>
      <c r="EK40" s="9">
        <v>1443</v>
      </c>
      <c r="EL40" s="9">
        <v>1284</v>
      </c>
      <c r="EM40" s="9">
        <v>1389</v>
      </c>
      <c r="EN40" s="9">
        <v>1341</v>
      </c>
      <c r="EO40" s="9">
        <v>1168</v>
      </c>
      <c r="EP40" s="9">
        <v>1471</v>
      </c>
      <c r="EQ40" s="9">
        <v>1404</v>
      </c>
      <c r="ER40" s="9">
        <v>1417</v>
      </c>
      <c r="ES40" s="9">
        <v>1382</v>
      </c>
      <c r="ET40" s="9">
        <v>1333</v>
      </c>
      <c r="EU40" s="9">
        <v>1322</v>
      </c>
      <c r="EV40" s="9">
        <v>1326</v>
      </c>
      <c r="EW40" s="9">
        <v>1378</v>
      </c>
      <c r="EX40" s="9">
        <v>1198</v>
      </c>
      <c r="EY40" s="9">
        <v>1450</v>
      </c>
      <c r="EZ40" s="9">
        <v>1213</v>
      </c>
      <c r="FA40" s="9">
        <v>1464</v>
      </c>
      <c r="FB40" s="9">
        <v>1299</v>
      </c>
      <c r="FC40" s="9">
        <v>1207</v>
      </c>
      <c r="FD40" s="9">
        <v>1390</v>
      </c>
      <c r="FE40" s="9">
        <v>1414</v>
      </c>
      <c r="FF40" s="9">
        <v>1426</v>
      </c>
      <c r="FG40" s="9">
        <v>1306</v>
      </c>
      <c r="FH40" s="9">
        <v>1493</v>
      </c>
      <c r="FI40" s="9">
        <v>1308</v>
      </c>
      <c r="FJ40" s="9">
        <v>1286</v>
      </c>
      <c r="FK40" s="9">
        <v>1267</v>
      </c>
      <c r="FL40" s="9">
        <v>1414</v>
      </c>
      <c r="FM40" s="9">
        <v>1234</v>
      </c>
      <c r="FN40" s="9">
        <v>1300</v>
      </c>
      <c r="FO40" s="9">
        <v>1253</v>
      </c>
      <c r="FP40" s="9">
        <v>1445</v>
      </c>
      <c r="FQ40" s="9">
        <v>1247</v>
      </c>
      <c r="FR40" s="9">
        <v>1422</v>
      </c>
      <c r="FS40" s="9">
        <v>1408</v>
      </c>
      <c r="FT40" s="9">
        <v>1433</v>
      </c>
      <c r="FU40" s="9">
        <v>1217</v>
      </c>
      <c r="FV40" s="9">
        <v>1235</v>
      </c>
      <c r="FW40" s="9">
        <v>1409</v>
      </c>
      <c r="FX40" s="9">
        <v>1484</v>
      </c>
      <c r="FY40" s="9">
        <v>1233</v>
      </c>
      <c r="FZ40" s="9">
        <v>1310</v>
      </c>
      <c r="GA40" s="9">
        <v>1251</v>
      </c>
      <c r="GB40" s="9">
        <v>1396</v>
      </c>
      <c r="GC40" s="9">
        <v>1312</v>
      </c>
      <c r="GD40" s="9">
        <v>1476</v>
      </c>
      <c r="GE40" s="9">
        <v>1291</v>
      </c>
      <c r="GF40" s="9">
        <v>1301</v>
      </c>
      <c r="GG40" s="9">
        <v>1222</v>
      </c>
      <c r="GH40" s="9">
        <v>1483</v>
      </c>
      <c r="GI40" s="9">
        <v>1322</v>
      </c>
      <c r="GJ40" s="9">
        <v>1387</v>
      </c>
      <c r="GK40" s="9">
        <v>1407</v>
      </c>
      <c r="GL40" s="9">
        <v>1477</v>
      </c>
      <c r="GM40" s="9">
        <v>1446</v>
      </c>
      <c r="GN40" s="9">
        <v>1352</v>
      </c>
      <c r="GO40" s="9">
        <v>1459</v>
      </c>
      <c r="GP40" s="9">
        <v>1397</v>
      </c>
      <c r="GQ40" s="9">
        <v>1364</v>
      </c>
      <c r="GR40" s="9">
        <v>1311</v>
      </c>
      <c r="GS40" s="9">
        <v>1294</v>
      </c>
      <c r="GT40" s="9">
        <v>1237</v>
      </c>
      <c r="GU40" s="9">
        <v>1237</v>
      </c>
      <c r="GV40" s="9">
        <v>1244</v>
      </c>
      <c r="GW40" s="9">
        <v>1317</v>
      </c>
      <c r="GX40" s="9">
        <v>1267</v>
      </c>
      <c r="GY40" s="9">
        <v>1278</v>
      </c>
      <c r="GZ40" s="9">
        <v>1100</v>
      </c>
      <c r="HA40" s="9">
        <v>1276</v>
      </c>
      <c r="HB40" s="9"/>
      <c r="HC40" s="9"/>
      <c r="HD40" s="9">
        <v>1100</v>
      </c>
      <c r="HE40" s="9">
        <v>998</v>
      </c>
      <c r="HF40" s="9">
        <v>1396</v>
      </c>
      <c r="HG40" s="9"/>
      <c r="HH40" s="9">
        <v>1259</v>
      </c>
      <c r="HI40" s="9">
        <v>1313</v>
      </c>
      <c r="HJ40" s="9">
        <v>1279</v>
      </c>
      <c r="HK40" s="9">
        <v>1312</v>
      </c>
      <c r="HL40" s="9">
        <v>1309</v>
      </c>
      <c r="HM40" s="9">
        <v>1316</v>
      </c>
      <c r="HN40" s="9">
        <v>1318</v>
      </c>
      <c r="HO40" s="9">
        <v>1328</v>
      </c>
      <c r="HP40" s="9">
        <v>1339</v>
      </c>
      <c r="HQ40" s="9">
        <v>1252</v>
      </c>
      <c r="HR40" s="9">
        <v>1328</v>
      </c>
      <c r="HS40" s="9">
        <v>1411</v>
      </c>
      <c r="HT40" s="9">
        <v>1485</v>
      </c>
      <c r="HU40" s="9">
        <v>1378</v>
      </c>
      <c r="HV40" s="9">
        <v>1106</v>
      </c>
      <c r="HW40" s="9">
        <v>999</v>
      </c>
      <c r="HX40" s="9">
        <v>876</v>
      </c>
      <c r="HY40" s="9">
        <v>798</v>
      </c>
      <c r="HZ40" s="9">
        <v>929</v>
      </c>
      <c r="IA40" s="9">
        <v>1114</v>
      </c>
      <c r="IB40" s="9">
        <v>1323</v>
      </c>
      <c r="IC40" s="9">
        <v>1434</v>
      </c>
      <c r="ID40" s="9">
        <v>1342</v>
      </c>
      <c r="IE40" s="9">
        <v>1342</v>
      </c>
      <c r="IF40" s="9">
        <v>1219</v>
      </c>
      <c r="IG40" s="9">
        <v>1310</v>
      </c>
      <c r="IH40" s="9">
        <v>1403</v>
      </c>
      <c r="II40" s="9">
        <v>1393</v>
      </c>
      <c r="IJ40" s="9">
        <v>1109</v>
      </c>
      <c r="IK40" s="9">
        <v>1285</v>
      </c>
      <c r="IL40" s="9">
        <v>1113</v>
      </c>
      <c r="IM40" s="9">
        <v>1207</v>
      </c>
      <c r="IN40" s="9">
        <v>1074</v>
      </c>
      <c r="IO40" s="9"/>
      <c r="IP40" s="9">
        <v>1410</v>
      </c>
      <c r="IQ40" s="9">
        <v>1333</v>
      </c>
      <c r="IR40" s="9">
        <v>598</v>
      </c>
      <c r="IS40" s="9">
        <v>1246</v>
      </c>
      <c r="IT40" s="9">
        <v>1195</v>
      </c>
      <c r="IU40" s="9"/>
      <c r="IV40" s="9"/>
      <c r="IW40" s="9">
        <v>1339</v>
      </c>
      <c r="IX40" s="9">
        <v>1383</v>
      </c>
      <c r="IY40" s="9">
        <v>860</v>
      </c>
      <c r="IZ40" s="9">
        <v>1126</v>
      </c>
      <c r="JA40" s="9">
        <v>1010</v>
      </c>
      <c r="JB40" s="11">
        <v>33.65</v>
      </c>
      <c r="JC40" s="11">
        <v>43.22</v>
      </c>
      <c r="JD40" s="11">
        <v>1.9</v>
      </c>
      <c r="JE40" s="11">
        <v>7.5</v>
      </c>
      <c r="JF40" s="11"/>
      <c r="JG40" s="11">
        <v>0</v>
      </c>
      <c r="JH40" s="13">
        <v>6.49</v>
      </c>
      <c r="JI40" s="12"/>
      <c r="JJ40" s="12"/>
      <c r="JK40" s="9">
        <v>83726824.722000003</v>
      </c>
      <c r="JL40" s="9">
        <v>281882.85100000002</v>
      </c>
      <c r="JM40" s="9">
        <v>56809802.289999999</v>
      </c>
      <c r="JN40" s="9">
        <v>61467.68</v>
      </c>
      <c r="JO40" s="9">
        <v>84521862.024000004</v>
      </c>
      <c r="JP40" s="9">
        <v>186707.95300000001</v>
      </c>
      <c r="JQ40" s="9">
        <v>61210236.424000002</v>
      </c>
      <c r="JR40" s="9">
        <v>55510.862000000001</v>
      </c>
      <c r="JS40" s="11">
        <v>317380486.88</v>
      </c>
      <c r="JT40" s="11">
        <v>83692.452000000005</v>
      </c>
      <c r="JU40" s="14">
        <v>87105.590000003576</v>
      </c>
      <c r="JV40" s="14">
        <v>16.221000000019558</v>
      </c>
      <c r="JW40" s="14">
        <v>82855.307999998331</v>
      </c>
      <c r="JX40" s="14">
        <v>10.584000000002561</v>
      </c>
      <c r="JY40" s="282">
        <v>85432.474000006914</v>
      </c>
      <c r="JZ40" s="282">
        <v>49.36699999999837</v>
      </c>
      <c r="KA40" s="282">
        <v>65838.021000005305</v>
      </c>
      <c r="KB40" s="282">
        <v>13.779999999998836</v>
      </c>
      <c r="KC40" s="14">
        <v>320844.41699999571</v>
      </c>
      <c r="KD40" s="14">
        <v>64.162000000011176</v>
      </c>
      <c r="KE40" s="15">
        <v>169934.09300000189</v>
      </c>
      <c r="KF40" s="15">
        <v>320780.2549999957</v>
      </c>
      <c r="KG40" s="16">
        <v>11.999999999999998</v>
      </c>
      <c r="KH40" s="53">
        <v>0</v>
      </c>
      <c r="KI40" s="53">
        <v>6.49</v>
      </c>
      <c r="KJ40" s="53">
        <v>33.65</v>
      </c>
      <c r="KK40" s="53">
        <v>43.22</v>
      </c>
      <c r="KL40" s="53">
        <v>1.9</v>
      </c>
      <c r="KM40" s="53">
        <v>7.5</v>
      </c>
      <c r="KN40" s="54">
        <v>322757</v>
      </c>
      <c r="KO40" s="95"/>
      <c r="KP40" s="55"/>
      <c r="KQ40" s="90" t="str">
        <f>IFERROR(RD[[#This Row],[WPR_Eac]]/RD[[#This Row],[WPR_Edc]],"")</f>
        <v/>
      </c>
    </row>
    <row r="41" spans="2:303" ht="15" customHeight="1" x14ac:dyDescent="0.25">
      <c r="B41" s="52">
        <v>45782</v>
      </c>
      <c r="C41" s="215">
        <f>YEAR(RD[[#This Row],[Date]])+IF(MONTH(RD[[#This Row],[Date]])&gt;=4,1,0)</f>
        <v>2026</v>
      </c>
      <c r="D41" s="129">
        <f>YEAR(B41)</f>
        <v>2025</v>
      </c>
      <c r="E41" s="216"/>
      <c r="F41" s="216"/>
      <c r="G41" s="217" t="str">
        <f>TEXT(RD[[#This Row],[Date]],"mmm-yy")</f>
        <v>May-25</v>
      </c>
      <c r="H41" s="129">
        <f>DAY(EOMONTH(B41,0))</f>
        <v>31</v>
      </c>
      <c r="I41" s="215">
        <f>'Basic Data '!$S$2</f>
        <v>66750</v>
      </c>
      <c r="J41" s="232">
        <v>0.23055555555555554</v>
      </c>
      <c r="K41" s="232">
        <v>0.76180555555555562</v>
      </c>
      <c r="L41" s="278">
        <v>927.5</v>
      </c>
      <c r="M41" s="278">
        <v>900.4</v>
      </c>
      <c r="N41" s="278">
        <v>867.5</v>
      </c>
      <c r="O41" s="278">
        <v>865.8</v>
      </c>
      <c r="P41" s="278">
        <v>933.3</v>
      </c>
      <c r="Q41" s="278">
        <v>861.3</v>
      </c>
      <c r="R41" s="278">
        <v>868.1</v>
      </c>
      <c r="S41" s="278">
        <v>864.7</v>
      </c>
      <c r="T41" s="278">
        <v>893.3</v>
      </c>
      <c r="U41" s="278">
        <v>901.5</v>
      </c>
      <c r="V41" s="278">
        <v>877.5</v>
      </c>
      <c r="W41" s="278">
        <v>875.4</v>
      </c>
      <c r="X41" s="278">
        <v>862.5</v>
      </c>
      <c r="Y41" s="278">
        <v>811.6</v>
      </c>
      <c r="Z41" s="278">
        <v>856.7</v>
      </c>
      <c r="AA41" s="278">
        <v>854.1</v>
      </c>
      <c r="AB41" s="278">
        <v>822.7</v>
      </c>
      <c r="AC41" s="278">
        <v>856.2</v>
      </c>
      <c r="AD41" s="278">
        <v>925</v>
      </c>
      <c r="AE41" s="278">
        <v>925.5</v>
      </c>
      <c r="AF41" s="278">
        <v>861.6</v>
      </c>
      <c r="AG41" s="278">
        <v>857.7</v>
      </c>
      <c r="AH41" s="278">
        <v>944.4</v>
      </c>
      <c r="AI41" s="278">
        <v>962.7</v>
      </c>
      <c r="AJ41" s="278">
        <v>929.6</v>
      </c>
      <c r="AK41" s="278">
        <v>912.4</v>
      </c>
      <c r="AL41" s="278">
        <v>907.1</v>
      </c>
      <c r="AM41" s="278">
        <v>942.3</v>
      </c>
      <c r="AN41" s="278">
        <v>942.5</v>
      </c>
      <c r="AO41" s="278">
        <v>935.4</v>
      </c>
      <c r="AP41" s="278">
        <v>929.5</v>
      </c>
      <c r="AQ41" s="278">
        <v>934.9</v>
      </c>
      <c r="AR41" s="278">
        <v>805.9</v>
      </c>
      <c r="AS41" s="278">
        <v>1065.4000000000001</v>
      </c>
      <c r="AT41" s="278">
        <v>841.4</v>
      </c>
      <c r="AU41" s="278">
        <v>938.1</v>
      </c>
      <c r="AV41" s="278">
        <v>861.6</v>
      </c>
      <c r="AW41" s="278">
        <v>853.1</v>
      </c>
      <c r="AX41" s="278">
        <v>864.9</v>
      </c>
      <c r="AY41" s="278">
        <v>874.9</v>
      </c>
      <c r="AZ41" s="278">
        <v>859.6</v>
      </c>
      <c r="BA41" s="278">
        <v>846.8</v>
      </c>
      <c r="BB41" s="278">
        <v>863.1</v>
      </c>
      <c r="BC41" s="278">
        <v>855.8</v>
      </c>
      <c r="BD41" s="278">
        <v>871.8</v>
      </c>
      <c r="BE41" s="278">
        <v>878.3</v>
      </c>
      <c r="BF41" s="278">
        <v>946.8</v>
      </c>
      <c r="BG41" s="278">
        <v>865.7</v>
      </c>
      <c r="BH41" s="278">
        <v>899.4</v>
      </c>
      <c r="BI41" s="278">
        <v>884.6</v>
      </c>
      <c r="BJ41" s="278">
        <v>842</v>
      </c>
      <c r="BK41" s="278">
        <v>871.8</v>
      </c>
      <c r="BL41" s="278">
        <v>994.1</v>
      </c>
      <c r="BM41" s="278">
        <v>984.5</v>
      </c>
      <c r="BN41" s="278">
        <v>931.7</v>
      </c>
      <c r="BO41" s="278">
        <v>942.5</v>
      </c>
      <c r="BP41" s="278">
        <v>984</v>
      </c>
      <c r="BQ41" s="278">
        <v>868.7</v>
      </c>
      <c r="BR41" s="278">
        <v>968.1</v>
      </c>
      <c r="BS41" s="278">
        <v>978.7</v>
      </c>
      <c r="BT41" s="278">
        <v>873.6</v>
      </c>
      <c r="BU41" s="278">
        <v>976.5</v>
      </c>
      <c r="BV41" s="278">
        <v>870</v>
      </c>
      <c r="BW41" s="278">
        <v>847</v>
      </c>
      <c r="BX41" s="278">
        <v>931.4</v>
      </c>
      <c r="BY41" s="278">
        <v>918.7</v>
      </c>
      <c r="BZ41" s="278">
        <v>934.7</v>
      </c>
      <c r="CA41" s="278">
        <v>905</v>
      </c>
      <c r="CB41" s="278">
        <v>855.6</v>
      </c>
      <c r="CC41" s="278">
        <v>779</v>
      </c>
      <c r="CD41" s="278">
        <v>861.2</v>
      </c>
      <c r="CE41" s="278">
        <v>860</v>
      </c>
      <c r="CF41" s="278">
        <v>877.9</v>
      </c>
      <c r="CG41" s="278">
        <v>861.5</v>
      </c>
      <c r="CH41" s="278">
        <v>965.7</v>
      </c>
      <c r="CI41" s="278">
        <v>1001.5</v>
      </c>
      <c r="CJ41" s="278">
        <v>960</v>
      </c>
      <c r="CK41" s="278">
        <v>834.2</v>
      </c>
      <c r="CL41" s="278">
        <v>832.7</v>
      </c>
      <c r="CM41" s="278">
        <v>922.6</v>
      </c>
      <c r="CN41" s="278">
        <v>867.9</v>
      </c>
      <c r="CO41" s="278">
        <v>865.1</v>
      </c>
      <c r="CP41" s="278">
        <v>861.8</v>
      </c>
      <c r="CQ41" s="278">
        <v>864.7</v>
      </c>
      <c r="CR41" s="278">
        <v>864.7</v>
      </c>
      <c r="CS41" s="278">
        <v>871.3</v>
      </c>
      <c r="CT41" s="278">
        <v>880.1</v>
      </c>
      <c r="CU41" s="278">
        <v>868.5</v>
      </c>
      <c r="CV41" s="278">
        <v>874.1</v>
      </c>
      <c r="CW41" s="278">
        <v>855.7</v>
      </c>
      <c r="CX41" s="278">
        <v>888.1</v>
      </c>
      <c r="CY41" s="278">
        <v>934.6</v>
      </c>
      <c r="CZ41" s="278">
        <v>870.2</v>
      </c>
      <c r="DA41" s="278">
        <v>879</v>
      </c>
      <c r="DB41" s="278">
        <v>932.5</v>
      </c>
      <c r="DC41" s="278">
        <v>821.7</v>
      </c>
      <c r="DD41" s="278">
        <v>835.9</v>
      </c>
      <c r="DE41" s="278">
        <v>866.3</v>
      </c>
      <c r="DF41" s="278">
        <v>857.2</v>
      </c>
      <c r="DG41" s="278">
        <v>853.5</v>
      </c>
      <c r="DH41" s="278">
        <v>885.5</v>
      </c>
      <c r="DI41" s="278">
        <v>860.4</v>
      </c>
      <c r="DJ41" s="278">
        <v>880</v>
      </c>
      <c r="DK41" s="278">
        <v>862.8</v>
      </c>
      <c r="DL41" s="278">
        <v>979.2</v>
      </c>
      <c r="DM41" s="278">
        <v>867.2</v>
      </c>
      <c r="DN41" s="278">
        <v>1019</v>
      </c>
      <c r="DO41" s="278">
        <v>954.6</v>
      </c>
      <c r="DP41" s="278">
        <v>872</v>
      </c>
      <c r="DQ41" s="278">
        <v>962.1</v>
      </c>
      <c r="DR41" s="278">
        <v>938.8</v>
      </c>
      <c r="DS41" s="278">
        <v>892.7</v>
      </c>
      <c r="DT41" s="278">
        <v>955.7</v>
      </c>
      <c r="DU41" s="278">
        <v>962.7</v>
      </c>
      <c r="DV41" s="278">
        <v>858.7</v>
      </c>
      <c r="DW41" s="278">
        <v>863.7</v>
      </c>
      <c r="DX41" s="278">
        <v>946.7</v>
      </c>
      <c r="DY41" s="278">
        <v>956.3</v>
      </c>
      <c r="DZ41" s="278">
        <v>960.4</v>
      </c>
      <c r="EA41" s="278">
        <v>859.3</v>
      </c>
      <c r="EB41" s="278">
        <v>875.6</v>
      </c>
      <c r="EC41" s="278">
        <v>938.8</v>
      </c>
      <c r="ED41" s="278">
        <v>934.6</v>
      </c>
      <c r="EE41" s="278">
        <v>856.3</v>
      </c>
      <c r="EF41" s="278">
        <v>872</v>
      </c>
      <c r="EG41" s="278">
        <v>940.1</v>
      </c>
      <c r="EH41" s="278">
        <v>834.3</v>
      </c>
      <c r="EI41" s="278">
        <v>835.1</v>
      </c>
      <c r="EJ41" s="278">
        <v>941.9</v>
      </c>
      <c r="EK41" s="278">
        <v>945.2</v>
      </c>
      <c r="EL41" s="278">
        <v>901.7</v>
      </c>
      <c r="EM41" s="278">
        <v>908.1</v>
      </c>
      <c r="EN41" s="278">
        <v>905.2</v>
      </c>
      <c r="EO41" s="278">
        <v>768.3</v>
      </c>
      <c r="EP41" s="278">
        <v>962.4</v>
      </c>
      <c r="EQ41" s="278">
        <v>926.3</v>
      </c>
      <c r="ER41" s="278">
        <v>931.2</v>
      </c>
      <c r="ES41" s="278">
        <v>879.7</v>
      </c>
      <c r="ET41" s="278">
        <v>876</v>
      </c>
      <c r="EU41" s="278">
        <v>858.2</v>
      </c>
      <c r="EV41" s="278">
        <v>832.5</v>
      </c>
      <c r="EW41" s="278">
        <v>903.3</v>
      </c>
      <c r="EX41" s="278">
        <v>769.1</v>
      </c>
      <c r="EY41" s="278">
        <v>947.7</v>
      </c>
      <c r="EZ41" s="278">
        <v>783.9</v>
      </c>
      <c r="FA41" s="278">
        <v>924.6</v>
      </c>
      <c r="FB41" s="278">
        <v>846.4</v>
      </c>
      <c r="FC41" s="278">
        <v>785.7</v>
      </c>
      <c r="FD41" s="278">
        <v>906.4</v>
      </c>
      <c r="FE41" s="278">
        <v>923.7</v>
      </c>
      <c r="FF41" s="278">
        <v>930.3</v>
      </c>
      <c r="FG41" s="278">
        <v>853.5</v>
      </c>
      <c r="FH41" s="278">
        <v>945.6</v>
      </c>
      <c r="FI41" s="278">
        <v>861.8</v>
      </c>
      <c r="FJ41" s="278">
        <v>850.5</v>
      </c>
      <c r="FK41" s="278">
        <v>831.1</v>
      </c>
      <c r="FL41" s="278">
        <v>827.7</v>
      </c>
      <c r="FM41" s="278">
        <v>810.9</v>
      </c>
      <c r="FN41" s="278">
        <v>850.9</v>
      </c>
      <c r="FO41" s="278">
        <v>817.6</v>
      </c>
      <c r="FP41" s="278">
        <v>959.3</v>
      </c>
      <c r="FQ41" s="278">
        <v>830.1</v>
      </c>
      <c r="FR41" s="278">
        <v>951.6</v>
      </c>
      <c r="FS41" s="278">
        <v>922.6</v>
      </c>
      <c r="FT41" s="278">
        <v>953.3</v>
      </c>
      <c r="FU41" s="278">
        <v>791.8</v>
      </c>
      <c r="FV41" s="278">
        <v>806</v>
      </c>
      <c r="FW41" s="278">
        <v>919.7</v>
      </c>
      <c r="FX41" s="278">
        <v>839.3</v>
      </c>
      <c r="FY41" s="278">
        <v>804.3</v>
      </c>
      <c r="FZ41" s="278">
        <v>826.6</v>
      </c>
      <c r="GA41" s="278">
        <v>816.5</v>
      </c>
      <c r="GB41" s="278">
        <v>909.2</v>
      </c>
      <c r="GC41" s="278">
        <v>853.8</v>
      </c>
      <c r="GD41" s="278">
        <v>977.1</v>
      </c>
      <c r="GE41" s="278">
        <v>845.9</v>
      </c>
      <c r="GF41" s="278">
        <v>949.1</v>
      </c>
      <c r="GG41" s="278">
        <v>796.3</v>
      </c>
      <c r="GH41" s="278">
        <v>974</v>
      </c>
      <c r="GI41" s="278">
        <v>864.5</v>
      </c>
      <c r="GJ41" s="278">
        <v>905.7</v>
      </c>
      <c r="GK41" s="278">
        <v>917.4</v>
      </c>
      <c r="GL41" s="278">
        <v>975.6</v>
      </c>
      <c r="GM41" s="278">
        <v>952.9</v>
      </c>
      <c r="GN41" s="278">
        <v>890.1</v>
      </c>
      <c r="GO41" s="278">
        <v>972.6</v>
      </c>
      <c r="GP41" s="278">
        <v>884</v>
      </c>
      <c r="GQ41" s="278">
        <v>892</v>
      </c>
      <c r="GR41" s="278">
        <v>858.8</v>
      </c>
      <c r="GS41" s="278">
        <v>792.6</v>
      </c>
      <c r="GT41" s="278">
        <v>797.5</v>
      </c>
      <c r="GU41" s="278">
        <v>780.6</v>
      </c>
      <c r="GV41" s="278">
        <v>773.3</v>
      </c>
      <c r="GW41" s="278">
        <v>807.5</v>
      </c>
      <c r="GX41" s="278">
        <v>852.7</v>
      </c>
      <c r="GY41" s="278">
        <v>818.4</v>
      </c>
      <c r="GZ41" s="278">
        <v>710.3</v>
      </c>
      <c r="HA41" s="278">
        <v>859.8</v>
      </c>
      <c r="HB41" s="278"/>
      <c r="HC41" s="278"/>
      <c r="HD41" s="278">
        <v>782.6</v>
      </c>
      <c r="HE41" s="278">
        <v>541.4</v>
      </c>
      <c r="HF41" s="278">
        <v>827</v>
      </c>
      <c r="HG41" s="278"/>
      <c r="HH41" s="278">
        <v>917.1</v>
      </c>
      <c r="HI41" s="278">
        <v>765.1</v>
      </c>
      <c r="HJ41" s="278">
        <v>854.3</v>
      </c>
      <c r="HK41" s="278">
        <v>827.3</v>
      </c>
      <c r="HL41" s="278">
        <v>854.2</v>
      </c>
      <c r="HM41" s="278">
        <v>860.3</v>
      </c>
      <c r="HN41" s="278">
        <v>862.9</v>
      </c>
      <c r="HO41" s="278">
        <v>866</v>
      </c>
      <c r="HP41" s="278">
        <v>868.7</v>
      </c>
      <c r="HQ41" s="278">
        <v>876.1</v>
      </c>
      <c r="HR41" s="278">
        <v>809.1</v>
      </c>
      <c r="HS41" s="278">
        <v>865</v>
      </c>
      <c r="HT41" s="278">
        <v>926</v>
      </c>
      <c r="HU41" s="278">
        <v>940.2</v>
      </c>
      <c r="HV41" s="278">
        <v>807</v>
      </c>
      <c r="HW41" s="278">
        <v>718.3</v>
      </c>
      <c r="HX41" s="278">
        <v>644.6</v>
      </c>
      <c r="HY41" s="278">
        <v>568.5</v>
      </c>
      <c r="HZ41" s="278">
        <v>623.4</v>
      </c>
      <c r="IA41" s="278">
        <v>749.5</v>
      </c>
      <c r="IB41" s="278">
        <v>893</v>
      </c>
      <c r="IC41" s="278">
        <v>957.9</v>
      </c>
      <c r="ID41" s="278">
        <v>881.2</v>
      </c>
      <c r="IE41" s="278">
        <v>888.7</v>
      </c>
      <c r="IF41" s="278">
        <v>810.5</v>
      </c>
      <c r="IG41" s="278">
        <v>931.4</v>
      </c>
      <c r="IH41" s="278">
        <v>913.5</v>
      </c>
      <c r="II41" s="278">
        <v>913.6</v>
      </c>
      <c r="IJ41" s="278">
        <v>727.1</v>
      </c>
      <c r="IK41" s="278">
        <v>857.6</v>
      </c>
      <c r="IL41" s="278">
        <v>736</v>
      </c>
      <c r="IM41" s="278">
        <v>814.6</v>
      </c>
      <c r="IN41" s="278">
        <v>719.9</v>
      </c>
      <c r="IO41" s="278"/>
      <c r="IP41" s="278">
        <v>1139.9000000000001</v>
      </c>
      <c r="IQ41" s="278">
        <v>868.9</v>
      </c>
      <c r="IR41" s="278">
        <v>397.2</v>
      </c>
      <c r="IS41" s="278">
        <v>813.4</v>
      </c>
      <c r="IT41" s="278">
        <v>780.9</v>
      </c>
      <c r="IU41" s="278"/>
      <c r="IV41" s="278"/>
      <c r="IW41" s="278">
        <v>870.2</v>
      </c>
      <c r="IX41" s="278">
        <v>900.7</v>
      </c>
      <c r="IY41" s="278">
        <v>568</v>
      </c>
      <c r="IZ41" s="278">
        <v>748.4</v>
      </c>
      <c r="JA41" s="278">
        <v>741.8</v>
      </c>
      <c r="JB41" s="279">
        <v>27.91</v>
      </c>
      <c r="JC41" s="279">
        <v>34.01</v>
      </c>
      <c r="JD41" s="279">
        <v>2.69</v>
      </c>
      <c r="JE41" s="279">
        <v>9.1</v>
      </c>
      <c r="JF41" s="279"/>
      <c r="JG41" s="279">
        <v>0</v>
      </c>
      <c r="JH41" s="280">
        <v>4.1399999999999997</v>
      </c>
      <c r="JI41" s="281"/>
      <c r="JJ41" s="281"/>
      <c r="JK41" s="278">
        <v>83784058.891000003</v>
      </c>
      <c r="JL41" s="278">
        <v>281898.85100000002</v>
      </c>
      <c r="JM41" s="278">
        <v>56864716.575000003</v>
      </c>
      <c r="JN41" s="278">
        <v>61479.68</v>
      </c>
      <c r="JO41" s="278">
        <v>84577882.490999997</v>
      </c>
      <c r="JP41" s="278">
        <v>186757.95300000001</v>
      </c>
      <c r="JQ41" s="278">
        <v>61253729.251000002</v>
      </c>
      <c r="JR41" s="278">
        <v>55528.862000000001</v>
      </c>
      <c r="JS41" s="279">
        <v>317591883.67199999</v>
      </c>
      <c r="JT41" s="279">
        <v>83756.214000000007</v>
      </c>
      <c r="JU41" s="283">
        <f t="shared" ref="JU41:KD41" si="123">IF((JK41-JK40)&lt;0,"",(JK41-JK40))</f>
        <v>57234.168999999762</v>
      </c>
      <c r="JV41" s="283">
        <f t="shared" si="123"/>
        <v>16</v>
      </c>
      <c r="JW41" s="283">
        <f t="shared" si="123"/>
        <v>54914.285000003874</v>
      </c>
      <c r="JX41" s="283">
        <f t="shared" si="123"/>
        <v>12</v>
      </c>
      <c r="JY41" s="284">
        <f t="shared" si="123"/>
        <v>56020.466999992728</v>
      </c>
      <c r="JZ41" s="284">
        <f t="shared" si="123"/>
        <v>50</v>
      </c>
      <c r="KA41" s="284">
        <f t="shared" si="123"/>
        <v>43492.826999999583</v>
      </c>
      <c r="KB41" s="284">
        <f t="shared" si="123"/>
        <v>18</v>
      </c>
      <c r="KC41" s="283">
        <f t="shared" si="123"/>
        <v>211396.79199999571</v>
      </c>
      <c r="KD41" s="283">
        <f t="shared" si="123"/>
        <v>63.762000000002445</v>
      </c>
      <c r="KE41" s="285">
        <f t="shared" ref="KE41" si="124">(JU41+JW41)-(JV41+JX41)</f>
        <v>112120.45400000364</v>
      </c>
      <c r="KF41" s="285">
        <f t="shared" ref="KF41" si="125">IFERROR(KC41-KD41,"")</f>
        <v>211333.02999999572</v>
      </c>
      <c r="KG41" s="286">
        <v>11.999999999999998</v>
      </c>
      <c r="KH41" s="287">
        <v>0</v>
      </c>
      <c r="KI41" s="287">
        <v>4.1399999999999997</v>
      </c>
      <c r="KJ41" s="287">
        <v>27.91</v>
      </c>
      <c r="KK41" s="287">
        <v>34.01</v>
      </c>
      <c r="KL41" s="287">
        <v>2.69</v>
      </c>
      <c r="KM41" s="287">
        <v>9.1</v>
      </c>
      <c r="KN41" s="288">
        <v>212087.70000000004</v>
      </c>
      <c r="KO41" s="221"/>
      <c r="KP41" s="222"/>
      <c r="KQ41" s="132" t="str">
        <f>IFERROR(RD[[#This Row],[WPR_Eac]]/RD[[#This Row],[WPR_Edc]],"")</f>
        <v/>
      </c>
    </row>
    <row r="42" spans="2:303" ht="15" customHeight="1" x14ac:dyDescent="0.25">
      <c r="B42" s="52">
        <v>45783</v>
      </c>
      <c r="C42" s="9">
        <f>YEAR(RD[[#This Row],[Date]])+IF(MONTH(RD[[#This Row],[Date]])&gt;=4,1,0)</f>
        <v>2026</v>
      </c>
      <c r="D42" s="6">
        <f t="shared" ref="D42:D53" si="126">YEAR(B42)</f>
        <v>2025</v>
      </c>
      <c r="E42" s="7"/>
      <c r="F42" s="7"/>
      <c r="G42" s="8" t="str">
        <f>TEXT(RD[[#This Row],[Date]],"mmm-yy")</f>
        <v>May-25</v>
      </c>
      <c r="H42" s="6">
        <f t="shared" ref="H42:H53" si="127">DAY(EOMONTH(B42,0))</f>
        <v>31</v>
      </c>
      <c r="I42" s="9">
        <f>'Basic Data '!$S$2</f>
        <v>66750</v>
      </c>
      <c r="J42" s="10">
        <v>0.25625000000000003</v>
      </c>
      <c r="K42" s="10">
        <v>0.76666666666666661</v>
      </c>
      <c r="L42" s="260">
        <v>1403.8</v>
      </c>
      <c r="M42" s="260">
        <v>1413.5</v>
      </c>
      <c r="N42" s="260">
        <v>1314.9</v>
      </c>
      <c r="O42" s="260">
        <v>1308.9000000000001</v>
      </c>
      <c r="P42" s="260">
        <v>1410.1</v>
      </c>
      <c r="Q42" s="260">
        <v>1303.3</v>
      </c>
      <c r="R42" s="260">
        <v>1310.5999999999999</v>
      </c>
      <c r="S42" s="260">
        <v>1311.6</v>
      </c>
      <c r="T42" s="260">
        <v>1353.5</v>
      </c>
      <c r="U42" s="260">
        <v>1366.1</v>
      </c>
      <c r="V42" s="260">
        <v>1332.4</v>
      </c>
      <c r="W42" s="260">
        <v>1325.1</v>
      </c>
      <c r="X42" s="260">
        <v>1304.5</v>
      </c>
      <c r="Y42" s="260">
        <v>1228.5999999999999</v>
      </c>
      <c r="Z42" s="260">
        <v>1307.5</v>
      </c>
      <c r="AA42" s="260">
        <v>1301.2</v>
      </c>
      <c r="AB42" s="260">
        <v>1245.2</v>
      </c>
      <c r="AC42" s="260">
        <v>1296.5999999999999</v>
      </c>
      <c r="AD42" s="260">
        <v>1404.3</v>
      </c>
      <c r="AE42" s="260">
        <v>1402.9</v>
      </c>
      <c r="AF42" s="260">
        <v>1308.5</v>
      </c>
      <c r="AG42" s="260">
        <v>1313.6</v>
      </c>
      <c r="AH42" s="260">
        <v>1436.6</v>
      </c>
      <c r="AI42" s="260">
        <v>1472.5</v>
      </c>
      <c r="AJ42" s="260">
        <v>1414.1</v>
      </c>
      <c r="AK42" s="260">
        <v>1396.7</v>
      </c>
      <c r="AL42" s="260">
        <v>1389</v>
      </c>
      <c r="AM42" s="260">
        <v>1443.5</v>
      </c>
      <c r="AN42" s="260">
        <v>1454.8</v>
      </c>
      <c r="AO42" s="260">
        <v>1436.5</v>
      </c>
      <c r="AP42" s="260">
        <v>1441.5</v>
      </c>
      <c r="AQ42" s="260">
        <v>1444.8</v>
      </c>
      <c r="AR42" s="260">
        <v>1194.9000000000001</v>
      </c>
      <c r="AS42" s="260">
        <v>1567</v>
      </c>
      <c r="AT42" s="260">
        <v>1227</v>
      </c>
      <c r="AU42" s="260">
        <v>1395.6</v>
      </c>
      <c r="AV42" s="260">
        <v>1263.4000000000001</v>
      </c>
      <c r="AW42" s="260">
        <v>1244</v>
      </c>
      <c r="AX42" s="260">
        <v>1259.7</v>
      </c>
      <c r="AY42" s="260">
        <v>1274.3</v>
      </c>
      <c r="AZ42" s="260">
        <v>1252.8</v>
      </c>
      <c r="BA42" s="260">
        <v>1234.0999999999999</v>
      </c>
      <c r="BB42" s="260">
        <v>1255.7</v>
      </c>
      <c r="BC42" s="260">
        <v>1249.5999999999999</v>
      </c>
      <c r="BD42" s="260">
        <v>1265.9000000000001</v>
      </c>
      <c r="BE42" s="260">
        <v>1281.5999999999999</v>
      </c>
      <c r="BF42" s="260">
        <v>1375.4</v>
      </c>
      <c r="BG42" s="260">
        <v>1255.4000000000001</v>
      </c>
      <c r="BH42" s="260">
        <v>1315.2</v>
      </c>
      <c r="BI42" s="260">
        <v>1293.0999999999999</v>
      </c>
      <c r="BJ42" s="260">
        <v>1271.4000000000001</v>
      </c>
      <c r="BK42" s="260">
        <v>1271.0999999999999</v>
      </c>
      <c r="BL42" s="260">
        <v>1450.2</v>
      </c>
      <c r="BM42" s="260">
        <v>1438.1</v>
      </c>
      <c r="BN42" s="260">
        <v>1367.7</v>
      </c>
      <c r="BO42" s="260">
        <v>1386.7</v>
      </c>
      <c r="BP42" s="260">
        <v>1441.3</v>
      </c>
      <c r="BQ42" s="260">
        <v>1281.4000000000001</v>
      </c>
      <c r="BR42" s="260">
        <v>1425.5</v>
      </c>
      <c r="BS42" s="260">
        <v>1444.7</v>
      </c>
      <c r="BT42" s="260">
        <v>1272.0999999999999</v>
      </c>
      <c r="BU42" s="260">
        <v>1440.2</v>
      </c>
      <c r="BV42" s="260">
        <v>1267.5999999999999</v>
      </c>
      <c r="BW42" s="260">
        <v>1257.9000000000001</v>
      </c>
      <c r="BX42" s="260">
        <v>1413.7</v>
      </c>
      <c r="BY42" s="260">
        <v>1402.1</v>
      </c>
      <c r="BZ42" s="260">
        <v>1417.7</v>
      </c>
      <c r="CA42" s="260">
        <v>1425.8</v>
      </c>
      <c r="CB42" s="260">
        <v>1296.2</v>
      </c>
      <c r="CC42" s="260">
        <v>1301.0999999999999</v>
      </c>
      <c r="CD42" s="260">
        <v>1302.5999999999999</v>
      </c>
      <c r="CE42" s="260">
        <v>1300.7</v>
      </c>
      <c r="CF42" s="260">
        <v>1325.2</v>
      </c>
      <c r="CG42" s="260">
        <v>1301.2</v>
      </c>
      <c r="CH42" s="260">
        <v>1466.2</v>
      </c>
      <c r="CI42" s="260">
        <v>1471.5</v>
      </c>
      <c r="CJ42" s="260">
        <v>1466.8</v>
      </c>
      <c r="CK42" s="260">
        <v>1273</v>
      </c>
      <c r="CL42" s="260">
        <v>1266.2</v>
      </c>
      <c r="CM42" s="260">
        <v>1372.6</v>
      </c>
      <c r="CN42" s="260">
        <v>1308.7</v>
      </c>
      <c r="CO42" s="260">
        <v>1310.0999999999999</v>
      </c>
      <c r="CP42" s="260">
        <v>1303.2</v>
      </c>
      <c r="CQ42" s="260">
        <v>1314.7</v>
      </c>
      <c r="CR42" s="260">
        <v>1304.8</v>
      </c>
      <c r="CS42" s="260">
        <v>1314.8</v>
      </c>
      <c r="CT42" s="260">
        <v>1326.9</v>
      </c>
      <c r="CU42" s="260">
        <v>1306.7</v>
      </c>
      <c r="CV42" s="260">
        <v>1303.7</v>
      </c>
      <c r="CW42" s="260">
        <v>1293.0999999999999</v>
      </c>
      <c r="CX42" s="260">
        <v>1353.9</v>
      </c>
      <c r="CY42" s="260">
        <v>1361.2</v>
      </c>
      <c r="CZ42" s="260">
        <v>1338.1</v>
      </c>
      <c r="DA42" s="260">
        <v>1328.8</v>
      </c>
      <c r="DB42" s="260">
        <v>1440.5</v>
      </c>
      <c r="DC42" s="260">
        <v>1302.3</v>
      </c>
      <c r="DD42" s="260">
        <v>1300.4000000000001</v>
      </c>
      <c r="DE42" s="260">
        <v>1311.9</v>
      </c>
      <c r="DF42" s="260">
        <v>1293.0999999999999</v>
      </c>
      <c r="DG42" s="260">
        <v>1300</v>
      </c>
      <c r="DH42" s="260">
        <v>1336.8</v>
      </c>
      <c r="DI42" s="260">
        <v>1298.7</v>
      </c>
      <c r="DJ42" s="260">
        <v>1325.5</v>
      </c>
      <c r="DK42" s="260">
        <v>1300.7</v>
      </c>
      <c r="DL42" s="260">
        <v>1471.5</v>
      </c>
      <c r="DM42" s="260">
        <v>1312.1</v>
      </c>
      <c r="DN42" s="260">
        <v>1549.1</v>
      </c>
      <c r="DO42" s="260">
        <v>1447</v>
      </c>
      <c r="DP42" s="260">
        <v>1316.4</v>
      </c>
      <c r="DQ42" s="260">
        <v>1449</v>
      </c>
      <c r="DR42" s="260">
        <v>1413.9</v>
      </c>
      <c r="DS42" s="260">
        <v>1390.2</v>
      </c>
      <c r="DT42" s="260">
        <v>1451.9</v>
      </c>
      <c r="DU42" s="260">
        <v>1462.6</v>
      </c>
      <c r="DV42" s="260">
        <v>1304.0999999999999</v>
      </c>
      <c r="DW42" s="260">
        <v>1279.5</v>
      </c>
      <c r="DX42" s="260">
        <v>1434.5</v>
      </c>
      <c r="DY42" s="260">
        <v>1450.8</v>
      </c>
      <c r="DZ42" s="260">
        <v>1447.2</v>
      </c>
      <c r="EA42" s="260">
        <v>1297.4000000000001</v>
      </c>
      <c r="EB42" s="260">
        <v>1322.4</v>
      </c>
      <c r="EC42" s="260">
        <v>1418.2</v>
      </c>
      <c r="ED42" s="260">
        <v>1413.1</v>
      </c>
      <c r="EE42" s="260">
        <v>1301.5</v>
      </c>
      <c r="EF42" s="260">
        <v>1315.9</v>
      </c>
      <c r="EG42" s="260">
        <v>1430.4</v>
      </c>
      <c r="EH42" s="260">
        <v>1293.5999999999999</v>
      </c>
      <c r="EI42" s="260">
        <v>1304.5</v>
      </c>
      <c r="EJ42" s="260">
        <v>1439</v>
      </c>
      <c r="EK42" s="260">
        <v>1438.6</v>
      </c>
      <c r="EL42" s="260">
        <v>1378.9</v>
      </c>
      <c r="EM42" s="260">
        <v>1382.6</v>
      </c>
      <c r="EN42" s="260">
        <v>1371.2</v>
      </c>
      <c r="EO42" s="260">
        <v>1162.9000000000001</v>
      </c>
      <c r="EP42" s="260">
        <v>1467.7</v>
      </c>
      <c r="EQ42" s="260">
        <v>1403.3</v>
      </c>
      <c r="ER42" s="260">
        <v>1416.6</v>
      </c>
      <c r="ES42" s="260">
        <v>1389.7</v>
      </c>
      <c r="ET42" s="260">
        <v>1382.2</v>
      </c>
      <c r="EU42" s="260">
        <v>1308.4000000000001</v>
      </c>
      <c r="EV42" s="260">
        <v>1273.9000000000001</v>
      </c>
      <c r="EW42" s="260">
        <v>1380.2</v>
      </c>
      <c r="EX42" s="260">
        <v>1251.2</v>
      </c>
      <c r="EY42" s="260">
        <v>1440.9</v>
      </c>
      <c r="EZ42" s="260">
        <v>1203</v>
      </c>
      <c r="FA42" s="260">
        <v>1455.7</v>
      </c>
      <c r="FB42" s="260">
        <v>1289.4000000000001</v>
      </c>
      <c r="FC42" s="260">
        <v>1201.9000000000001</v>
      </c>
      <c r="FD42" s="260">
        <v>1385.2</v>
      </c>
      <c r="FE42" s="260">
        <v>1409.6</v>
      </c>
      <c r="FF42" s="260">
        <v>1418.3</v>
      </c>
      <c r="FG42" s="260">
        <v>1302.5999999999999</v>
      </c>
      <c r="FH42" s="260">
        <v>1487.8</v>
      </c>
      <c r="FI42" s="260">
        <v>1302.5999999999999</v>
      </c>
      <c r="FJ42" s="260">
        <v>1283.3</v>
      </c>
      <c r="FK42" s="260">
        <v>1264.8</v>
      </c>
      <c r="FL42" s="260">
        <v>1265.8</v>
      </c>
      <c r="FM42" s="260">
        <v>1278.5</v>
      </c>
      <c r="FN42" s="260">
        <v>1297.5</v>
      </c>
      <c r="FO42" s="260">
        <v>1245.9000000000001</v>
      </c>
      <c r="FP42" s="260">
        <v>1447.9</v>
      </c>
      <c r="FQ42" s="260">
        <v>1248.0999999999999</v>
      </c>
      <c r="FR42" s="260">
        <v>1430.6</v>
      </c>
      <c r="FS42" s="260">
        <v>1407</v>
      </c>
      <c r="FT42" s="260">
        <v>1446.5</v>
      </c>
      <c r="FU42" s="260">
        <v>1221.8</v>
      </c>
      <c r="FV42" s="260">
        <v>1240.3</v>
      </c>
      <c r="FW42" s="260">
        <v>1407.2</v>
      </c>
      <c r="FX42" s="260">
        <v>1286.3</v>
      </c>
      <c r="FY42" s="260">
        <v>1236</v>
      </c>
      <c r="FZ42" s="260">
        <v>1275.7</v>
      </c>
      <c r="GA42" s="260">
        <v>1250.8</v>
      </c>
      <c r="GB42" s="260">
        <v>1410.3</v>
      </c>
      <c r="GC42" s="260">
        <v>1312.7</v>
      </c>
      <c r="GD42" s="260">
        <v>1474</v>
      </c>
      <c r="GE42" s="260">
        <v>1289.0999999999999</v>
      </c>
      <c r="GF42" s="260">
        <v>1300</v>
      </c>
      <c r="GG42" s="260">
        <v>1240</v>
      </c>
      <c r="GH42" s="260">
        <v>1482.5</v>
      </c>
      <c r="GI42" s="260">
        <v>1347.2</v>
      </c>
      <c r="GJ42" s="260">
        <v>1158.0999999999999</v>
      </c>
      <c r="GK42" s="260">
        <v>1417.2</v>
      </c>
      <c r="GL42" s="260">
        <v>1455.7</v>
      </c>
      <c r="GM42" s="260">
        <v>1425</v>
      </c>
      <c r="GN42" s="260">
        <v>1373.1</v>
      </c>
      <c r="GO42" s="260">
        <v>1458.3</v>
      </c>
      <c r="GP42" s="260">
        <v>1355.8</v>
      </c>
      <c r="GQ42" s="260">
        <v>1364.2</v>
      </c>
      <c r="GR42" s="260">
        <v>1315.5</v>
      </c>
      <c r="GS42" s="260">
        <v>1208</v>
      </c>
      <c r="GT42" s="260">
        <v>1247.5999999999999</v>
      </c>
      <c r="GU42" s="260">
        <v>1245.5999999999999</v>
      </c>
      <c r="GV42" s="260">
        <v>1187.9000000000001</v>
      </c>
      <c r="GW42" s="260">
        <v>1242.5999999999999</v>
      </c>
      <c r="GX42" s="260">
        <v>1240.2</v>
      </c>
      <c r="GY42" s="260">
        <v>1201.3</v>
      </c>
      <c r="GZ42" s="260">
        <v>1096.7</v>
      </c>
      <c r="HA42" s="260">
        <v>1308.8</v>
      </c>
      <c r="HB42" s="260"/>
      <c r="HC42" s="260"/>
      <c r="HD42" s="260">
        <v>1003.4</v>
      </c>
      <c r="HE42" s="260">
        <v>873</v>
      </c>
      <c r="HF42" s="260">
        <v>1292.0999999999999</v>
      </c>
      <c r="HG42" s="260"/>
      <c r="HH42" s="260">
        <v>1388.3</v>
      </c>
      <c r="HI42" s="260">
        <v>1193.3</v>
      </c>
      <c r="HJ42" s="260">
        <v>1262.9000000000001</v>
      </c>
      <c r="HK42" s="260">
        <v>1265.2</v>
      </c>
      <c r="HL42" s="260">
        <v>1289.4000000000001</v>
      </c>
      <c r="HM42" s="260">
        <v>1296.9000000000001</v>
      </c>
      <c r="HN42" s="260">
        <v>1297.0999999999999</v>
      </c>
      <c r="HO42" s="260">
        <v>1304.3</v>
      </c>
      <c r="HP42" s="260">
        <v>1307.7</v>
      </c>
      <c r="HQ42" s="260">
        <v>1322.8</v>
      </c>
      <c r="HR42" s="260">
        <v>1256.5999999999999</v>
      </c>
      <c r="HS42" s="260">
        <v>1324.7</v>
      </c>
      <c r="HT42" s="260">
        <v>1469.7</v>
      </c>
      <c r="HU42" s="260">
        <v>1490.2</v>
      </c>
      <c r="HV42" s="260">
        <v>1224.9000000000001</v>
      </c>
      <c r="HW42" s="260">
        <v>1125.5999999999999</v>
      </c>
      <c r="HX42" s="260">
        <v>1010.6</v>
      </c>
      <c r="HY42" s="260">
        <v>863</v>
      </c>
      <c r="HZ42" s="260">
        <v>956</v>
      </c>
      <c r="IA42" s="260">
        <v>1142.8</v>
      </c>
      <c r="IB42" s="260">
        <v>1360.1</v>
      </c>
      <c r="IC42" s="260">
        <v>1464.9</v>
      </c>
      <c r="ID42" s="260">
        <v>1381.8</v>
      </c>
      <c r="IE42" s="260">
        <v>1375</v>
      </c>
      <c r="IF42" s="260">
        <v>1345.5</v>
      </c>
      <c r="IG42" s="260">
        <v>1379.2</v>
      </c>
      <c r="IH42" s="260">
        <v>1398.4</v>
      </c>
      <c r="II42" s="260">
        <v>1436</v>
      </c>
      <c r="IJ42" s="260">
        <v>1153.8</v>
      </c>
      <c r="IK42" s="260">
        <v>1297.7</v>
      </c>
      <c r="IL42" s="260">
        <v>1165.3</v>
      </c>
      <c r="IM42" s="260">
        <v>1243.2</v>
      </c>
      <c r="IN42" s="260">
        <v>1020.2</v>
      </c>
      <c r="IO42" s="260"/>
      <c r="IP42" s="260">
        <v>1693.2</v>
      </c>
      <c r="IQ42" s="260">
        <v>1313.9</v>
      </c>
      <c r="IR42" s="260">
        <v>541.4</v>
      </c>
      <c r="IS42" s="260">
        <v>1226.2</v>
      </c>
      <c r="IT42" s="260">
        <v>1187.7</v>
      </c>
      <c r="IU42" s="260"/>
      <c r="IV42" s="260"/>
      <c r="IW42" s="260">
        <v>1308.4000000000001</v>
      </c>
      <c r="IX42" s="260">
        <v>1371.1</v>
      </c>
      <c r="IY42" s="260">
        <v>878</v>
      </c>
      <c r="IZ42" s="260">
        <v>1167.9000000000001</v>
      </c>
      <c r="JA42" s="260">
        <v>980.5</v>
      </c>
      <c r="JB42" s="289">
        <v>30.59</v>
      </c>
      <c r="JC42" s="289">
        <v>43.32</v>
      </c>
      <c r="JD42" s="289">
        <v>1.89</v>
      </c>
      <c r="JE42" s="289">
        <v>5.0999999999999996</v>
      </c>
      <c r="JF42" s="289"/>
      <c r="JG42" s="289">
        <v>0</v>
      </c>
      <c r="JH42" s="259">
        <v>6.31</v>
      </c>
      <c r="JI42" s="290"/>
      <c r="JJ42" s="290"/>
      <c r="JK42" s="260">
        <v>83869638.121000007</v>
      </c>
      <c r="JL42" s="278">
        <v>281921.136</v>
      </c>
      <c r="JM42" s="260">
        <v>56947478.718000002</v>
      </c>
      <c r="JN42" s="278">
        <v>61523.885000000002</v>
      </c>
      <c r="JO42" s="260">
        <v>84663181.628000006</v>
      </c>
      <c r="JP42" s="278">
        <v>186809.826</v>
      </c>
      <c r="JQ42" s="260">
        <v>61320152.130999997</v>
      </c>
      <c r="JR42" s="278">
        <v>55583.377</v>
      </c>
      <c r="JS42" s="289">
        <v>317911517.35000002</v>
      </c>
      <c r="JT42" s="289">
        <v>83859.521999999997</v>
      </c>
      <c r="JU42" s="283">
        <f t="shared" ref="JU42" si="128">IF((JK42-JK41)&lt;0,"",(JK42-JK41))</f>
        <v>85579.230000004172</v>
      </c>
      <c r="JV42" s="283">
        <f t="shared" ref="JV42" si="129">IF((JL42-JL41)&lt;0,"",(JL42-JL41))</f>
        <v>22.284999999974389</v>
      </c>
      <c r="JW42" s="283">
        <f t="shared" ref="JW42" si="130">IF((JM42-JM41)&lt;0,"",(JM42-JM41))</f>
        <v>82762.142999999225</v>
      </c>
      <c r="JX42" s="283">
        <f t="shared" ref="JX42" si="131">IF((JN42-JN41)&lt;0,"",(JN42-JN41))</f>
        <v>44.205000000001746</v>
      </c>
      <c r="JY42" s="284">
        <f t="shared" ref="JY42" si="132">IF((JO42-JO41)&lt;0,"",(JO42-JO41))</f>
        <v>85299.137000009418</v>
      </c>
      <c r="JZ42" s="284">
        <f t="shared" ref="JZ42" si="133">IF((JP42-JP41)&lt;0,"",(JP42-JP41))</f>
        <v>51.872999999992317</v>
      </c>
      <c r="KA42" s="284">
        <f t="shared" ref="KA42" si="134">IF((JQ42-JQ41)&lt;0,"",(JQ42-JQ41))</f>
        <v>66422.879999995232</v>
      </c>
      <c r="KB42" s="284">
        <f t="shared" ref="KB42" si="135">IF((JR42-JR41)&lt;0,"",(JR42-JR41))</f>
        <v>54.514999999999418</v>
      </c>
      <c r="KC42" s="283">
        <f t="shared" ref="KC42" si="136">IF((JS42-JS41)&lt;0,"",(JS42-JS41))</f>
        <v>319633.6780000329</v>
      </c>
      <c r="KD42" s="283">
        <f t="shared" ref="KD42" si="137">IF((JT42-JT41)&lt;0,"",(JT42-JT41))</f>
        <v>103.30799999998999</v>
      </c>
      <c r="KE42" s="291">
        <f t="shared" ref="KE42:KE53" si="138">(JU42+JW42)-(JV42+JX42)</f>
        <v>168274.88300000341</v>
      </c>
      <c r="KF42" s="291">
        <f t="shared" ref="KF42:KF53" si="139">IFERROR(KC42-KD42,"")</f>
        <v>319530.37000003294</v>
      </c>
      <c r="KG42" s="292">
        <f>(RD[[#This Row],[Sunset Time (POA&lt;20 W/m2)]]-RD[[#This Row],[Sunrise Time (POA&gt;20 W/m2)]])*24</f>
        <v>12.249999999999996</v>
      </c>
      <c r="KH42" s="293">
        <f>RD[[#This Row],[GHI ]]</f>
        <v>0</v>
      </c>
      <c r="KI42" s="293">
        <f>RD[[#This Row],[POA]]</f>
        <v>6.31</v>
      </c>
      <c r="KJ42" s="293">
        <f>RD[[#This Row],[AT (°C) 14 Hours]]</f>
        <v>30.59</v>
      </c>
      <c r="KK42" s="293">
        <f>RD[[#This Row],[MT (°C) Gen. Hours]]</f>
        <v>43.32</v>
      </c>
      <c r="KL42" s="293">
        <f>RD[[#This Row],[WS_Avg (m/s) (24 Hours)]]</f>
        <v>1.89</v>
      </c>
      <c r="KM42" s="293">
        <f>RD[[#This Row],[WS_Max (m/s)]]</f>
        <v>5.0999999999999996</v>
      </c>
      <c r="KN42" s="294">
        <f>SUM(RD[[#This Row],[BLK1_INV1]:[BLK8_INV27]])</f>
        <v>321279.50000000023</v>
      </c>
      <c r="KO42" s="95"/>
      <c r="KP42" s="55"/>
      <c r="KQ42" s="90" t="str">
        <f>IFERROR(RD[[#This Row],[WPR_Eac]]/RD[[#This Row],[WPR_Edc]],"")</f>
        <v/>
      </c>
    </row>
    <row r="43" spans="2:303" ht="15" customHeight="1" x14ac:dyDescent="0.25">
      <c r="B43" s="52">
        <v>45784</v>
      </c>
      <c r="C43" s="9">
        <f>YEAR(RD[[#This Row],[Date]])+IF(MONTH(RD[[#This Row],[Date]])&gt;=4,1,0)</f>
        <v>2026</v>
      </c>
      <c r="D43" s="6">
        <f t="shared" si="126"/>
        <v>2025</v>
      </c>
      <c r="E43" s="7"/>
      <c r="F43" s="7"/>
      <c r="G43" s="8" t="str">
        <f>TEXT(RD[[#This Row],[Date]],"mmm-yy")</f>
        <v>May-25</v>
      </c>
      <c r="H43" s="6">
        <f t="shared" si="127"/>
        <v>31</v>
      </c>
      <c r="I43" s="9">
        <f>'Basic Data '!$S$2</f>
        <v>66750</v>
      </c>
      <c r="J43" s="10">
        <v>0.24722222222222223</v>
      </c>
      <c r="K43" s="10">
        <v>0.77083333333333337</v>
      </c>
      <c r="L43" s="260">
        <v>885.8</v>
      </c>
      <c r="M43" s="260">
        <v>892.1</v>
      </c>
      <c r="N43" s="260">
        <v>827.8</v>
      </c>
      <c r="O43" s="260">
        <v>823.8</v>
      </c>
      <c r="P43" s="260">
        <v>893.8</v>
      </c>
      <c r="Q43" s="260">
        <v>825.8</v>
      </c>
      <c r="R43" s="260">
        <v>830.3</v>
      </c>
      <c r="S43" s="260">
        <v>830.1</v>
      </c>
      <c r="T43" s="260">
        <v>853.1</v>
      </c>
      <c r="U43" s="260">
        <v>859.5</v>
      </c>
      <c r="V43" s="260">
        <v>841.9</v>
      </c>
      <c r="W43" s="260">
        <v>838.3</v>
      </c>
      <c r="X43" s="260">
        <v>826</v>
      </c>
      <c r="Y43" s="260">
        <v>774.2</v>
      </c>
      <c r="Z43" s="260">
        <v>826.5</v>
      </c>
      <c r="AA43" s="260">
        <v>820</v>
      </c>
      <c r="AB43" s="260">
        <v>789.5</v>
      </c>
      <c r="AC43" s="260">
        <v>823.8</v>
      </c>
      <c r="AD43" s="260">
        <v>887.6</v>
      </c>
      <c r="AE43" s="260">
        <v>889.3</v>
      </c>
      <c r="AF43" s="260">
        <v>831.4</v>
      </c>
      <c r="AG43" s="260">
        <v>828.9</v>
      </c>
      <c r="AH43" s="260">
        <v>903.4</v>
      </c>
      <c r="AI43" s="260">
        <v>926.9</v>
      </c>
      <c r="AJ43" s="260">
        <v>898.9</v>
      </c>
      <c r="AK43" s="260">
        <v>887</v>
      </c>
      <c r="AL43" s="260">
        <v>878.9</v>
      </c>
      <c r="AM43" s="260">
        <v>910.3</v>
      </c>
      <c r="AN43" s="260">
        <v>917</v>
      </c>
      <c r="AO43" s="260">
        <v>906.8</v>
      </c>
      <c r="AP43" s="260">
        <v>915.2</v>
      </c>
      <c r="AQ43" s="260">
        <v>911.1</v>
      </c>
      <c r="AR43" s="260">
        <v>783.6</v>
      </c>
      <c r="AS43" s="260">
        <v>1023.8</v>
      </c>
      <c r="AT43" s="260">
        <v>803.4</v>
      </c>
      <c r="AU43" s="260">
        <v>911.6</v>
      </c>
      <c r="AV43" s="260">
        <v>824.3</v>
      </c>
      <c r="AW43" s="260">
        <v>811.5</v>
      </c>
      <c r="AX43" s="260">
        <v>823.4</v>
      </c>
      <c r="AY43" s="260">
        <v>831.1</v>
      </c>
      <c r="AZ43" s="260">
        <v>821.8</v>
      </c>
      <c r="BA43" s="260">
        <v>815.1</v>
      </c>
      <c r="BB43" s="260">
        <v>821.1</v>
      </c>
      <c r="BC43" s="260">
        <v>818.2</v>
      </c>
      <c r="BD43" s="260">
        <v>828.3</v>
      </c>
      <c r="BE43" s="260">
        <v>837.8</v>
      </c>
      <c r="BF43" s="260">
        <v>894.5</v>
      </c>
      <c r="BG43" s="260">
        <v>821</v>
      </c>
      <c r="BH43" s="260">
        <v>855.9</v>
      </c>
      <c r="BI43" s="260">
        <v>841</v>
      </c>
      <c r="BJ43" s="260">
        <v>827.1</v>
      </c>
      <c r="BK43" s="260">
        <v>829.8</v>
      </c>
      <c r="BL43" s="260">
        <v>945</v>
      </c>
      <c r="BM43" s="260">
        <v>939.6</v>
      </c>
      <c r="BN43" s="260">
        <v>893.5</v>
      </c>
      <c r="BO43" s="260">
        <v>904.3</v>
      </c>
      <c r="BP43" s="260">
        <v>8938.5</v>
      </c>
      <c r="BQ43" s="260">
        <v>834.2</v>
      </c>
      <c r="BR43" s="260">
        <v>928.3</v>
      </c>
      <c r="BS43" s="260">
        <v>938</v>
      </c>
      <c r="BT43" s="260">
        <v>829.6</v>
      </c>
      <c r="BU43" s="260">
        <v>935.9</v>
      </c>
      <c r="BV43" s="260">
        <v>823.9</v>
      </c>
      <c r="BW43" s="260">
        <v>802</v>
      </c>
      <c r="BX43" s="260">
        <v>899.7</v>
      </c>
      <c r="BY43" s="260">
        <v>893.5</v>
      </c>
      <c r="BZ43" s="260">
        <v>902.7</v>
      </c>
      <c r="CA43" s="260">
        <v>907.1</v>
      </c>
      <c r="CB43" s="260">
        <v>822.4</v>
      </c>
      <c r="CC43" s="260">
        <v>826.2</v>
      </c>
      <c r="CD43" s="260">
        <v>828.1</v>
      </c>
      <c r="CE43" s="260">
        <v>825.1</v>
      </c>
      <c r="CF43" s="260">
        <v>846.8</v>
      </c>
      <c r="CG43" s="260">
        <v>831.8</v>
      </c>
      <c r="CH43" s="260">
        <v>936.3</v>
      </c>
      <c r="CI43" s="260">
        <v>906.7</v>
      </c>
      <c r="CJ43" s="260">
        <v>935.2</v>
      </c>
      <c r="CK43" s="260">
        <v>814.4</v>
      </c>
      <c r="CL43" s="260">
        <v>810.6</v>
      </c>
      <c r="CM43" s="260">
        <v>873.7</v>
      </c>
      <c r="CN43" s="260">
        <v>832.3</v>
      </c>
      <c r="CO43" s="260">
        <v>833.7</v>
      </c>
      <c r="CP43" s="260">
        <v>828.4</v>
      </c>
      <c r="CQ43" s="260">
        <v>836.8</v>
      </c>
      <c r="CR43" s="260">
        <v>828.3</v>
      </c>
      <c r="CS43" s="260">
        <v>834.5</v>
      </c>
      <c r="CT43" s="260">
        <v>840.6</v>
      </c>
      <c r="CU43" s="260">
        <v>829.4</v>
      </c>
      <c r="CV43" s="260">
        <v>826</v>
      </c>
      <c r="CW43" s="260">
        <v>819.5</v>
      </c>
      <c r="CX43" s="260">
        <v>859</v>
      </c>
      <c r="CY43" s="260">
        <v>886.2</v>
      </c>
      <c r="CZ43" s="260">
        <v>848.2</v>
      </c>
      <c r="DA43" s="260">
        <v>846</v>
      </c>
      <c r="DB43" s="260">
        <v>927.8</v>
      </c>
      <c r="DC43" s="260">
        <v>808.3</v>
      </c>
      <c r="DD43" s="260">
        <v>813</v>
      </c>
      <c r="DE43" s="260">
        <v>841</v>
      </c>
      <c r="DF43" s="260">
        <v>830.9</v>
      </c>
      <c r="DG43" s="260">
        <v>834.7</v>
      </c>
      <c r="DH43" s="260">
        <v>855.8</v>
      </c>
      <c r="DI43" s="260">
        <v>830.4</v>
      </c>
      <c r="DJ43" s="260">
        <v>847</v>
      </c>
      <c r="DK43" s="260">
        <v>832.2</v>
      </c>
      <c r="DL43" s="260">
        <v>944.2</v>
      </c>
      <c r="DM43" s="260">
        <v>834.5</v>
      </c>
      <c r="DN43" s="260">
        <v>976.5</v>
      </c>
      <c r="DO43" s="260">
        <v>926.8</v>
      </c>
      <c r="DP43" s="260">
        <v>841.1</v>
      </c>
      <c r="DQ43" s="260">
        <v>923.6</v>
      </c>
      <c r="DR43" s="260">
        <v>898.6</v>
      </c>
      <c r="DS43" s="260">
        <v>892.3</v>
      </c>
      <c r="DT43" s="260">
        <v>922.1</v>
      </c>
      <c r="DU43" s="260">
        <v>936.1</v>
      </c>
      <c r="DV43" s="260">
        <v>833.4</v>
      </c>
      <c r="DW43" s="260">
        <v>769.8</v>
      </c>
      <c r="DX43" s="260">
        <v>921.9</v>
      </c>
      <c r="DY43" s="260">
        <v>920.6</v>
      </c>
      <c r="DZ43" s="260">
        <v>922.6</v>
      </c>
      <c r="EA43" s="260">
        <v>825.2</v>
      </c>
      <c r="EB43" s="260">
        <v>842.6</v>
      </c>
      <c r="EC43" s="260">
        <v>905.4</v>
      </c>
      <c r="ED43" s="260">
        <v>897.4</v>
      </c>
      <c r="EE43" s="260">
        <v>828.5</v>
      </c>
      <c r="EF43" s="260">
        <v>838.9</v>
      </c>
      <c r="EG43" s="260">
        <v>908.3</v>
      </c>
      <c r="EH43" s="260">
        <v>790.9</v>
      </c>
      <c r="EI43" s="260">
        <v>794.6</v>
      </c>
      <c r="EJ43" s="260">
        <v>921.3</v>
      </c>
      <c r="EK43" s="260">
        <v>921</v>
      </c>
      <c r="EL43" s="260">
        <v>887.2</v>
      </c>
      <c r="EM43" s="260">
        <v>881.1</v>
      </c>
      <c r="EN43" s="260">
        <v>850.2</v>
      </c>
      <c r="EO43" s="260">
        <v>739.3</v>
      </c>
      <c r="EP43" s="260">
        <v>934.2</v>
      </c>
      <c r="EQ43" s="260">
        <v>900.2</v>
      </c>
      <c r="ER43" s="260">
        <v>906.4</v>
      </c>
      <c r="ES43" s="260">
        <v>892.9</v>
      </c>
      <c r="ET43" s="260">
        <v>877.6</v>
      </c>
      <c r="EU43" s="260">
        <v>833.8</v>
      </c>
      <c r="EV43" s="260">
        <v>809.8</v>
      </c>
      <c r="EW43" s="260">
        <v>870.8</v>
      </c>
      <c r="EX43" s="260">
        <v>806.8</v>
      </c>
      <c r="EY43" s="260">
        <v>916.2</v>
      </c>
      <c r="EZ43" s="260">
        <v>761.5</v>
      </c>
      <c r="FA43" s="260">
        <v>927</v>
      </c>
      <c r="FB43" s="260">
        <v>822</v>
      </c>
      <c r="FC43" s="260">
        <v>764.7</v>
      </c>
      <c r="FD43" s="260">
        <v>880.6</v>
      </c>
      <c r="FE43" s="260">
        <v>894.9</v>
      </c>
      <c r="FF43" s="260">
        <v>905.1</v>
      </c>
      <c r="FG43" s="260">
        <v>829.3</v>
      </c>
      <c r="FH43" s="260">
        <v>944.3</v>
      </c>
      <c r="FI43" s="260">
        <v>831.7</v>
      </c>
      <c r="FJ43" s="260">
        <v>819.2</v>
      </c>
      <c r="FK43" s="260">
        <v>807.9</v>
      </c>
      <c r="FL43" s="260">
        <v>811.5</v>
      </c>
      <c r="FM43" s="260">
        <v>798.2</v>
      </c>
      <c r="FN43" s="260">
        <v>827</v>
      </c>
      <c r="FO43" s="260">
        <v>794.8</v>
      </c>
      <c r="FP43" s="260">
        <v>921</v>
      </c>
      <c r="FQ43" s="260">
        <v>800.1</v>
      </c>
      <c r="FR43" s="260">
        <v>917.5</v>
      </c>
      <c r="FS43" s="260">
        <v>895.3</v>
      </c>
      <c r="FT43" s="260">
        <v>927.4</v>
      </c>
      <c r="FU43" s="260">
        <v>778.1</v>
      </c>
      <c r="FV43" s="260">
        <v>796.7</v>
      </c>
      <c r="FW43" s="260">
        <v>905.9</v>
      </c>
      <c r="FX43" s="260">
        <v>825.9</v>
      </c>
      <c r="FY43" s="260">
        <v>799.9</v>
      </c>
      <c r="FZ43" s="260">
        <v>822.3</v>
      </c>
      <c r="GA43" s="260">
        <v>801.1</v>
      </c>
      <c r="GB43" s="260">
        <v>842.2</v>
      </c>
      <c r="GC43" s="260">
        <v>842.2</v>
      </c>
      <c r="GD43" s="260">
        <v>938.5</v>
      </c>
      <c r="GE43" s="260">
        <v>822.5</v>
      </c>
      <c r="GF43" s="260">
        <v>828.4</v>
      </c>
      <c r="GG43" s="260">
        <v>814</v>
      </c>
      <c r="GH43" s="260">
        <v>947.5</v>
      </c>
      <c r="GI43" s="260">
        <v>838.5</v>
      </c>
      <c r="GJ43" s="260">
        <v>888.2</v>
      </c>
      <c r="GK43" s="260">
        <v>899</v>
      </c>
      <c r="GL43" s="260">
        <v>935.7</v>
      </c>
      <c r="GM43" s="260">
        <v>907</v>
      </c>
      <c r="GN43" s="260">
        <v>898.4</v>
      </c>
      <c r="GO43" s="260">
        <v>933.3</v>
      </c>
      <c r="GP43" s="260">
        <v>863.8</v>
      </c>
      <c r="GQ43" s="260">
        <v>866.7</v>
      </c>
      <c r="GR43" s="260">
        <v>838</v>
      </c>
      <c r="GS43" s="260">
        <v>781</v>
      </c>
      <c r="GT43" s="260">
        <v>801.2</v>
      </c>
      <c r="GU43" s="260">
        <v>790.5</v>
      </c>
      <c r="GV43" s="260">
        <v>672.9</v>
      </c>
      <c r="GW43" s="260">
        <v>820.1</v>
      </c>
      <c r="GX43" s="260">
        <v>791.5</v>
      </c>
      <c r="GY43" s="260">
        <v>818.9</v>
      </c>
      <c r="GZ43" s="260">
        <v>704.5</v>
      </c>
      <c r="HA43" s="260">
        <v>841.5</v>
      </c>
      <c r="HB43" s="260"/>
      <c r="HC43" s="260"/>
      <c r="HD43" s="260">
        <v>655.5</v>
      </c>
      <c r="HE43" s="260">
        <v>564.5</v>
      </c>
      <c r="HF43" s="260">
        <v>823.2</v>
      </c>
      <c r="HG43" s="260"/>
      <c r="HH43" s="260">
        <v>888.2</v>
      </c>
      <c r="HI43" s="260">
        <v>772.5</v>
      </c>
      <c r="HJ43" s="260">
        <v>810.3</v>
      </c>
      <c r="HK43" s="260">
        <v>802.6</v>
      </c>
      <c r="HL43" s="260">
        <v>825.6</v>
      </c>
      <c r="HM43" s="260">
        <v>821.9</v>
      </c>
      <c r="HN43" s="260">
        <v>825.6</v>
      </c>
      <c r="HO43" s="260">
        <v>824.1</v>
      </c>
      <c r="HP43" s="260">
        <v>836.2</v>
      </c>
      <c r="HQ43" s="260">
        <v>841</v>
      </c>
      <c r="HR43" s="260">
        <v>823.7</v>
      </c>
      <c r="HS43" s="260">
        <v>847.3</v>
      </c>
      <c r="HT43" s="260">
        <v>938.8</v>
      </c>
      <c r="HU43" s="260">
        <v>954.2</v>
      </c>
      <c r="HV43" s="260">
        <v>776.4</v>
      </c>
      <c r="HW43" s="260">
        <v>741.3</v>
      </c>
      <c r="HX43" s="260">
        <v>600.20000000000005</v>
      </c>
      <c r="HY43" s="260">
        <v>500</v>
      </c>
      <c r="HZ43" s="260">
        <v>607.20000000000005</v>
      </c>
      <c r="IA43" s="260">
        <v>725.5</v>
      </c>
      <c r="IB43" s="260">
        <v>870.8</v>
      </c>
      <c r="IC43" s="260">
        <v>931.8</v>
      </c>
      <c r="ID43" s="260">
        <v>866.6</v>
      </c>
      <c r="IE43" s="260">
        <v>869.3</v>
      </c>
      <c r="IF43" s="260">
        <v>881.5</v>
      </c>
      <c r="IG43" s="260">
        <v>869.5</v>
      </c>
      <c r="IH43" s="260">
        <v>891</v>
      </c>
      <c r="II43" s="260">
        <v>900</v>
      </c>
      <c r="IJ43" s="260">
        <v>722</v>
      </c>
      <c r="IK43" s="260">
        <v>827.9</v>
      </c>
      <c r="IL43" s="260">
        <v>735.5</v>
      </c>
      <c r="IM43" s="260">
        <v>788.2</v>
      </c>
      <c r="IN43" s="260">
        <v>670.9</v>
      </c>
      <c r="IO43" s="260"/>
      <c r="IP43" s="260">
        <v>1075.5</v>
      </c>
      <c r="IQ43" s="260">
        <v>835.5</v>
      </c>
      <c r="IR43" s="260">
        <v>376.2</v>
      </c>
      <c r="IS43" s="260">
        <v>779.5</v>
      </c>
      <c r="IT43" s="260">
        <v>750</v>
      </c>
      <c r="IU43" s="260"/>
      <c r="IV43" s="260"/>
      <c r="IW43" s="260">
        <v>832.7</v>
      </c>
      <c r="IX43" s="260">
        <v>873.8</v>
      </c>
      <c r="IY43" s="260">
        <v>562.1</v>
      </c>
      <c r="IZ43" s="260">
        <v>744.1</v>
      </c>
      <c r="JA43" s="260">
        <v>610.1</v>
      </c>
      <c r="JB43" s="289">
        <v>26.11</v>
      </c>
      <c r="JC43" s="289">
        <v>40.909999999999997</v>
      </c>
      <c r="JD43" s="289">
        <v>2.1</v>
      </c>
      <c r="JE43" s="289">
        <v>4.9000000000000004</v>
      </c>
      <c r="JF43" s="289"/>
      <c r="JG43" s="289">
        <v>0</v>
      </c>
      <c r="JH43" s="259">
        <v>5.46</v>
      </c>
      <c r="JI43" s="290"/>
      <c r="JJ43" s="290"/>
      <c r="JK43" s="260">
        <v>83924495.221000001</v>
      </c>
      <c r="JL43" s="260">
        <v>281921.74300000002</v>
      </c>
      <c r="JM43" s="260">
        <v>56999990.354999997</v>
      </c>
      <c r="JN43" s="260">
        <v>61559.483</v>
      </c>
      <c r="JO43" s="260">
        <v>84717738.397</v>
      </c>
      <c r="JP43" s="260">
        <v>186820.49900000001</v>
      </c>
      <c r="JQ43" s="260">
        <v>61362560.511</v>
      </c>
      <c r="JR43" s="260">
        <v>55627.81</v>
      </c>
      <c r="JS43" s="289">
        <v>318115576.32700002</v>
      </c>
      <c r="JT43" s="289">
        <v>83861.638000000006</v>
      </c>
      <c r="JU43" s="283">
        <f t="shared" ref="JU43:JU44" si="140">IF((JK43-JK42)&lt;0,"",(JK43-JK42))</f>
        <v>54857.09999999404</v>
      </c>
      <c r="JV43" s="283">
        <f t="shared" ref="JV43:JV45" si="141">IF((JL43-JL42)&lt;0,"",(JL43-JL42))</f>
        <v>0.60700000001816079</v>
      </c>
      <c r="JW43" s="283">
        <f t="shared" ref="JW43" si="142">IF((JM43-JM42)&lt;0,"",(JM43-JM42))</f>
        <v>52511.636999994516</v>
      </c>
      <c r="JX43" s="283">
        <f t="shared" ref="JX43" si="143">IF((JN43-JN42)&lt;0,"",(JN43-JN42))</f>
        <v>35.597999999998137</v>
      </c>
      <c r="JY43" s="284">
        <f t="shared" ref="JY43" si="144">IF((JO43-JO42)&lt;0,"",(JO43-JO42))</f>
        <v>54556.768999993801</v>
      </c>
      <c r="JZ43" s="284">
        <f t="shared" ref="JZ43:JZ44" si="145">IF((JP43-JP42)&lt;0,"",(JP43-JP42))</f>
        <v>10.673000000009779</v>
      </c>
      <c r="KA43" s="284">
        <f t="shared" ref="KA43" si="146">IF((JQ43-JQ42)&lt;0,"",(JQ43-JQ42))</f>
        <v>42408.380000002682</v>
      </c>
      <c r="KB43" s="284">
        <f t="shared" ref="KB43" si="147">IF((JR43-JR42)&lt;0,"",(JR43-JR42))</f>
        <v>44.432999999997264</v>
      </c>
      <c r="KC43" s="283">
        <f t="shared" ref="KC43" si="148">IF((JS43-JS42)&lt;0,"",(JS43-JS42))</f>
        <v>204058.97699999809</v>
      </c>
      <c r="KD43" s="283">
        <f t="shared" ref="KD43" si="149">IF((JT43-JT42)&lt;0,"",(JT43-JT42))</f>
        <v>2.1160000000090804</v>
      </c>
      <c r="KE43" s="291">
        <f t="shared" ref="KE43:KE45" si="150">(JU43+JW43)-(JV43+JX43)</f>
        <v>107332.53199998854</v>
      </c>
      <c r="KF43" s="291">
        <f t="shared" ref="KF43" si="151">IFERROR(KC43-KD43,"")</f>
        <v>204056.86099999808</v>
      </c>
      <c r="KG43" s="292">
        <f>(RD[[#This Row],[Sunset Time (POA&lt;20 W/m2)]]-RD[[#This Row],[Sunrise Time (POA&gt;20 W/m2)]])*24</f>
        <v>12.566666666666666</v>
      </c>
      <c r="KH43" s="293">
        <f>RD[[#This Row],[GHI ]]</f>
        <v>0</v>
      </c>
      <c r="KI43" s="293">
        <f>RD[[#This Row],[POA]]</f>
        <v>5.46</v>
      </c>
      <c r="KJ43" s="293">
        <f>RD[[#This Row],[AT (°C) 14 Hours]]</f>
        <v>26.11</v>
      </c>
      <c r="KK43" s="293">
        <f>RD[[#This Row],[MT (°C) Gen. Hours]]</f>
        <v>40.909999999999997</v>
      </c>
      <c r="KL43" s="293">
        <f>RD[[#This Row],[WS_Avg (m/s) (24 Hours)]]</f>
        <v>2.1</v>
      </c>
      <c r="KM43" s="293">
        <f>RD[[#This Row],[WS_Max (m/s)]]</f>
        <v>4.9000000000000004</v>
      </c>
      <c r="KN43" s="294">
        <f>SUM(RD[[#This Row],[BLK1_INV1]:[BLK8_INV27]])</f>
        <v>213164.2000000001</v>
      </c>
      <c r="KO43" s="95"/>
      <c r="KP43" s="55"/>
      <c r="KQ43" s="90" t="str">
        <f>IFERROR(RD[[#This Row],[WPR_Eac]]/RD[[#This Row],[WPR_Edc]],"")</f>
        <v/>
      </c>
    </row>
    <row r="44" spans="2:303" ht="15" customHeight="1" x14ac:dyDescent="0.25">
      <c r="B44" s="52">
        <v>45785</v>
      </c>
      <c r="C44" s="9">
        <f>YEAR(RD[[#This Row],[Date]])+IF(MONTH(RD[[#This Row],[Date]])&gt;=4,1,0)</f>
        <v>2026</v>
      </c>
      <c r="D44" s="6">
        <f t="shared" si="126"/>
        <v>2025</v>
      </c>
      <c r="E44" s="7"/>
      <c r="F44" s="7"/>
      <c r="G44" s="8" t="str">
        <f>TEXT(RD[[#This Row],[Date]],"mmm-yy")</f>
        <v>May-25</v>
      </c>
      <c r="H44" s="6">
        <f t="shared" si="127"/>
        <v>31</v>
      </c>
      <c r="I44" s="9">
        <f>'Basic Data '!$S$2</f>
        <v>66750</v>
      </c>
      <c r="J44" s="10">
        <v>0.2590277777777778</v>
      </c>
      <c r="K44" s="10">
        <v>0.77777777777777779</v>
      </c>
      <c r="L44" s="264">
        <v>1281</v>
      </c>
      <c r="M44" s="264">
        <v>1291</v>
      </c>
      <c r="N44" s="264">
        <v>1205</v>
      </c>
      <c r="O44" s="264">
        <v>1195</v>
      </c>
      <c r="P44" s="264">
        <v>1300</v>
      </c>
      <c r="Q44" s="264">
        <v>1200</v>
      </c>
      <c r="R44" s="264">
        <v>1210</v>
      </c>
      <c r="S44" s="264">
        <v>1210</v>
      </c>
      <c r="T44" s="264">
        <v>1254</v>
      </c>
      <c r="U44" s="264">
        <v>1264</v>
      </c>
      <c r="V44" s="264">
        <v>1226</v>
      </c>
      <c r="W44" s="264">
        <v>1219</v>
      </c>
      <c r="X44" s="264">
        <v>1202</v>
      </c>
      <c r="Y44" s="264">
        <v>1133</v>
      </c>
      <c r="Z44" s="264">
        <v>1205</v>
      </c>
      <c r="AA44" s="264">
        <v>1201</v>
      </c>
      <c r="AB44" s="264">
        <v>1148</v>
      </c>
      <c r="AC44" s="264">
        <v>1195</v>
      </c>
      <c r="AD44" s="264">
        <v>1302</v>
      </c>
      <c r="AE44" s="264">
        <v>1294</v>
      </c>
      <c r="AF44" s="264">
        <v>1207</v>
      </c>
      <c r="AG44" s="264">
        <v>1215</v>
      </c>
      <c r="AH44" s="264">
        <v>1329</v>
      </c>
      <c r="AI44" s="264">
        <v>1366</v>
      </c>
      <c r="AJ44" s="264">
        <v>1307</v>
      </c>
      <c r="AK44" s="264">
        <v>1291</v>
      </c>
      <c r="AL44" s="264">
        <v>1288</v>
      </c>
      <c r="AM44" s="264">
        <v>1340</v>
      </c>
      <c r="AN44" s="264">
        <v>1349</v>
      </c>
      <c r="AO44" s="264">
        <v>1334</v>
      </c>
      <c r="AP44" s="264">
        <v>1310</v>
      </c>
      <c r="AQ44" s="264">
        <v>1342</v>
      </c>
      <c r="AR44" s="264">
        <v>1147</v>
      </c>
      <c r="AS44" s="264">
        <v>934</v>
      </c>
      <c r="AT44" s="264">
        <v>1180</v>
      </c>
      <c r="AU44" s="264">
        <v>1340</v>
      </c>
      <c r="AV44" s="264">
        <v>1213</v>
      </c>
      <c r="AW44" s="264">
        <v>1190</v>
      </c>
      <c r="AX44" s="264">
        <v>1202</v>
      </c>
      <c r="AY44" s="264">
        <v>1208</v>
      </c>
      <c r="AZ44" s="264">
        <v>1202</v>
      </c>
      <c r="BA44" s="264" t="s">
        <v>413</v>
      </c>
      <c r="BB44" s="264">
        <v>1205</v>
      </c>
      <c r="BC44" s="264">
        <v>1201</v>
      </c>
      <c r="BD44" s="264">
        <v>1215</v>
      </c>
      <c r="BE44" s="264">
        <v>1217</v>
      </c>
      <c r="BF44" s="264">
        <v>1310</v>
      </c>
      <c r="BG44" s="264">
        <v>1201</v>
      </c>
      <c r="BH44" s="264">
        <v>1240</v>
      </c>
      <c r="BI44" s="264">
        <v>1217</v>
      </c>
      <c r="BJ44" s="264">
        <v>1200</v>
      </c>
      <c r="BK44" s="264">
        <v>1200</v>
      </c>
      <c r="BL44" s="264">
        <v>1370</v>
      </c>
      <c r="BM44" s="264">
        <v>1360</v>
      </c>
      <c r="BN44" s="264">
        <v>1299</v>
      </c>
      <c r="BO44" s="264">
        <v>1306</v>
      </c>
      <c r="BP44" s="264">
        <v>1367</v>
      </c>
      <c r="BQ44" s="264">
        <v>1212</v>
      </c>
      <c r="BR44" s="264">
        <v>1351</v>
      </c>
      <c r="BS44" s="264">
        <v>1375</v>
      </c>
      <c r="BT44" s="264">
        <v>1212</v>
      </c>
      <c r="BU44" s="264">
        <v>1361</v>
      </c>
      <c r="BV44" s="264">
        <v>1276</v>
      </c>
      <c r="BW44" s="264">
        <v>1098</v>
      </c>
      <c r="BX44" s="264">
        <v>1382</v>
      </c>
      <c r="BY44" s="264">
        <v>1374</v>
      </c>
      <c r="BZ44" s="264">
        <v>1383</v>
      </c>
      <c r="CA44" s="264">
        <v>1230</v>
      </c>
      <c r="CB44" s="264">
        <v>1280</v>
      </c>
      <c r="CC44" s="264">
        <v>1283</v>
      </c>
      <c r="CD44" s="264">
        <v>1291</v>
      </c>
      <c r="CE44" s="264">
        <v>1248</v>
      </c>
      <c r="CF44" s="264">
        <v>1335</v>
      </c>
      <c r="CG44" s="264">
        <v>1275</v>
      </c>
      <c r="CH44" s="264">
        <v>1433</v>
      </c>
      <c r="CI44" s="264">
        <v>1402</v>
      </c>
      <c r="CJ44" s="264">
        <v>1436</v>
      </c>
      <c r="CK44" s="264">
        <v>1258</v>
      </c>
      <c r="CL44" s="264">
        <v>1259</v>
      </c>
      <c r="CM44" s="264">
        <v>1340</v>
      </c>
      <c r="CN44" s="264">
        <v>1304</v>
      </c>
      <c r="CO44" s="264">
        <v>1302</v>
      </c>
      <c r="CP44" s="264">
        <v>1288</v>
      </c>
      <c r="CQ44" s="264">
        <v>1303</v>
      </c>
      <c r="CR44" s="264">
        <v>1296</v>
      </c>
      <c r="CS44" s="264">
        <v>1294</v>
      </c>
      <c r="CT44" s="264">
        <v>1300</v>
      </c>
      <c r="CU44" s="264">
        <v>1275</v>
      </c>
      <c r="CV44" s="264">
        <v>1266</v>
      </c>
      <c r="CW44" s="264">
        <v>1265</v>
      </c>
      <c r="CX44" s="264">
        <v>1301</v>
      </c>
      <c r="CY44" s="264">
        <v>1210</v>
      </c>
      <c r="CZ44" s="264">
        <v>1312</v>
      </c>
      <c r="DA44" s="264">
        <v>1321</v>
      </c>
      <c r="DB44" s="264">
        <v>1398</v>
      </c>
      <c r="DC44" s="264">
        <v>1266</v>
      </c>
      <c r="DD44" s="264">
        <v>1263</v>
      </c>
      <c r="DE44" s="264">
        <v>1312</v>
      </c>
      <c r="DF44" s="264">
        <v>1285</v>
      </c>
      <c r="DG44" s="264">
        <v>1298</v>
      </c>
      <c r="DH44" s="264">
        <v>1330</v>
      </c>
      <c r="DI44" s="264">
        <v>1288</v>
      </c>
      <c r="DJ44" s="264">
        <v>1315</v>
      </c>
      <c r="DK44" s="264">
        <v>1297</v>
      </c>
      <c r="DL44" s="264">
        <v>1447</v>
      </c>
      <c r="DM44" s="264">
        <v>1303</v>
      </c>
      <c r="DN44" s="264">
        <v>1513</v>
      </c>
      <c r="DO44" s="264">
        <v>1432</v>
      </c>
      <c r="DP44" s="264">
        <v>1308</v>
      </c>
      <c r="DQ44" s="264">
        <v>1413</v>
      </c>
      <c r="DR44" s="264">
        <v>1404</v>
      </c>
      <c r="DS44" s="264">
        <v>1380</v>
      </c>
      <c r="DT44" s="264">
        <v>1422</v>
      </c>
      <c r="DU44" s="264">
        <v>1306</v>
      </c>
      <c r="DV44" s="264">
        <v>1188</v>
      </c>
      <c r="DW44" s="264">
        <v>1404</v>
      </c>
      <c r="DX44" s="264">
        <v>1420</v>
      </c>
      <c r="DY44" s="264">
        <v>1424</v>
      </c>
      <c r="DZ44" s="264">
        <v>1286</v>
      </c>
      <c r="EA44" s="264">
        <v>1304</v>
      </c>
      <c r="EB44" s="264">
        <v>1377</v>
      </c>
      <c r="EC44" s="264">
        <v>1389</v>
      </c>
      <c r="ED44" s="264">
        <v>1296</v>
      </c>
      <c r="EE44" s="264">
        <v>1317</v>
      </c>
      <c r="EF44" s="264">
        <v>1298</v>
      </c>
      <c r="EG44" s="264">
        <v>1410</v>
      </c>
      <c r="EH44" s="264">
        <v>1062</v>
      </c>
      <c r="EI44" s="264">
        <v>1099</v>
      </c>
      <c r="EJ44" s="264">
        <v>1270</v>
      </c>
      <c r="EK44" s="264">
        <v>1273</v>
      </c>
      <c r="EL44" s="264">
        <v>1135</v>
      </c>
      <c r="EM44" s="264">
        <v>1225</v>
      </c>
      <c r="EN44" s="264">
        <v>1175</v>
      </c>
      <c r="EO44" s="264">
        <v>1039</v>
      </c>
      <c r="EP44" s="264">
        <v>1316</v>
      </c>
      <c r="EQ44" s="264">
        <v>1270</v>
      </c>
      <c r="ER44" s="264">
        <v>1271</v>
      </c>
      <c r="ES44" s="264">
        <v>1254</v>
      </c>
      <c r="ET44" s="264">
        <v>1237</v>
      </c>
      <c r="EU44" s="264">
        <v>1173</v>
      </c>
      <c r="EV44" s="264">
        <v>1123</v>
      </c>
      <c r="EW44" s="264">
        <v>1227</v>
      </c>
      <c r="EX44" s="264">
        <v>1120</v>
      </c>
      <c r="EY44" s="264">
        <v>1289</v>
      </c>
      <c r="EZ44" s="264">
        <v>1078</v>
      </c>
      <c r="FA44" s="264">
        <v>1255</v>
      </c>
      <c r="FB44" s="264">
        <v>1155</v>
      </c>
      <c r="FC44" s="264">
        <v>1074</v>
      </c>
      <c r="FD44" s="264">
        <v>1225</v>
      </c>
      <c r="FE44" s="264">
        <v>1254</v>
      </c>
      <c r="FF44" s="264">
        <v>1255</v>
      </c>
      <c r="FG44" s="264">
        <v>1155</v>
      </c>
      <c r="FH44" s="264">
        <v>1322</v>
      </c>
      <c r="FI44" s="264">
        <v>1160</v>
      </c>
      <c r="FJ44" s="264">
        <v>1145</v>
      </c>
      <c r="FK44" s="264">
        <v>1123</v>
      </c>
      <c r="FL44" s="264">
        <v>1110</v>
      </c>
      <c r="FM44" s="264">
        <v>1131</v>
      </c>
      <c r="FN44" s="264">
        <v>1096</v>
      </c>
      <c r="FO44" s="264">
        <v>1198</v>
      </c>
      <c r="FP44" s="264">
        <v>1152</v>
      </c>
      <c r="FQ44" s="264">
        <v>1341</v>
      </c>
      <c r="FR44" s="264">
        <v>1155</v>
      </c>
      <c r="FS44" s="264">
        <v>1318</v>
      </c>
      <c r="FT44" s="264">
        <v>1301</v>
      </c>
      <c r="FU44" s="264">
        <v>1228</v>
      </c>
      <c r="FV44" s="264">
        <v>1025</v>
      </c>
      <c r="FW44" s="264">
        <v>1150</v>
      </c>
      <c r="FX44" s="264">
        <v>1062</v>
      </c>
      <c r="FY44" s="264">
        <v>1150</v>
      </c>
      <c r="FZ44" s="264">
        <v>1062</v>
      </c>
      <c r="GA44" s="264">
        <v>1192</v>
      </c>
      <c r="GB44" s="264">
        <v>1301</v>
      </c>
      <c r="GC44" s="264">
        <v>1217</v>
      </c>
      <c r="GD44" s="264">
        <v>1360</v>
      </c>
      <c r="GE44" s="264">
        <v>1189</v>
      </c>
      <c r="GF44" s="264">
        <v>1199</v>
      </c>
      <c r="GG44" s="264">
        <v>1173</v>
      </c>
      <c r="GH44" s="264">
        <v>1369</v>
      </c>
      <c r="GI44" s="264">
        <v>1215</v>
      </c>
      <c r="GJ44" s="264">
        <v>1284</v>
      </c>
      <c r="GK44" s="264">
        <v>1310</v>
      </c>
      <c r="GL44" s="264">
        <v>1343</v>
      </c>
      <c r="GM44" s="264">
        <v>1316</v>
      </c>
      <c r="GN44" s="264">
        <v>1299</v>
      </c>
      <c r="GO44" s="264">
        <v>1347</v>
      </c>
      <c r="GP44" s="264">
        <v>1251</v>
      </c>
      <c r="GQ44" s="264">
        <v>1258</v>
      </c>
      <c r="GR44" s="264">
        <v>1215</v>
      </c>
      <c r="GS44" s="264">
        <v>1224</v>
      </c>
      <c r="GT44" s="264">
        <v>1269</v>
      </c>
      <c r="GU44" s="264">
        <v>1261</v>
      </c>
      <c r="GV44" s="264">
        <v>1248</v>
      </c>
      <c r="GW44" s="264">
        <v>1276</v>
      </c>
      <c r="GX44" s="264">
        <v>1234</v>
      </c>
      <c r="GY44" s="264">
        <v>1277</v>
      </c>
      <c r="GZ44" s="264">
        <v>1098</v>
      </c>
      <c r="HA44" s="264">
        <v>1304</v>
      </c>
      <c r="HB44" s="264"/>
      <c r="HC44" s="264"/>
      <c r="HD44" s="264">
        <v>1140</v>
      </c>
      <c r="HE44" s="264">
        <v>879</v>
      </c>
      <c r="HF44" s="264">
        <v>1284</v>
      </c>
      <c r="HG44" s="264"/>
      <c r="HH44" s="264">
        <v>1373</v>
      </c>
      <c r="HI44" s="264">
        <v>1206</v>
      </c>
      <c r="HJ44" s="264">
        <v>1282</v>
      </c>
      <c r="HK44" s="264">
        <v>1249</v>
      </c>
      <c r="HL44" s="264">
        <v>1280</v>
      </c>
      <c r="HM44" s="264">
        <v>1286</v>
      </c>
      <c r="HN44" s="264">
        <v>1284</v>
      </c>
      <c r="HO44" s="264">
        <v>1292</v>
      </c>
      <c r="HP44" s="264">
        <v>1297</v>
      </c>
      <c r="HQ44" s="264">
        <v>1299</v>
      </c>
      <c r="HR44" s="264">
        <v>1308</v>
      </c>
      <c r="HS44" s="264">
        <v>1440</v>
      </c>
      <c r="HT44" s="264">
        <v>1463</v>
      </c>
      <c r="HU44" s="264">
        <v>1193</v>
      </c>
      <c r="HV44" s="264">
        <v>1143</v>
      </c>
      <c r="HW44" s="264">
        <v>1198</v>
      </c>
      <c r="HX44" s="264">
        <v>1010</v>
      </c>
      <c r="HY44" s="264">
        <v>810</v>
      </c>
      <c r="HZ44" s="264">
        <v>944</v>
      </c>
      <c r="IA44" s="264">
        <v>1128</v>
      </c>
      <c r="IB44" s="264">
        <v>1348</v>
      </c>
      <c r="IC44" s="264">
        <v>1440</v>
      </c>
      <c r="ID44" s="264">
        <v>1374</v>
      </c>
      <c r="IE44" s="264">
        <v>1368</v>
      </c>
      <c r="IF44" s="264">
        <v>1310</v>
      </c>
      <c r="IG44" s="264">
        <v>1346</v>
      </c>
      <c r="IH44" s="264">
        <v>1385</v>
      </c>
      <c r="II44" s="264">
        <v>1423</v>
      </c>
      <c r="IJ44" s="264">
        <v>1151</v>
      </c>
      <c r="IK44" s="264">
        <v>1294</v>
      </c>
      <c r="IL44" s="264">
        <v>1159</v>
      </c>
      <c r="IM44" s="264">
        <v>1230</v>
      </c>
      <c r="IN44" s="264">
        <v>1048</v>
      </c>
      <c r="IO44" s="264"/>
      <c r="IP44" s="264">
        <v>1175</v>
      </c>
      <c r="IQ44" s="264">
        <v>1310</v>
      </c>
      <c r="IR44" s="264">
        <v>587</v>
      </c>
      <c r="IS44" s="264">
        <v>810</v>
      </c>
      <c r="IT44" s="264">
        <v>1164</v>
      </c>
      <c r="IU44" s="264"/>
      <c r="IV44" s="264"/>
      <c r="IW44" s="264">
        <v>1278</v>
      </c>
      <c r="IX44" s="264">
        <v>1337</v>
      </c>
      <c r="IY44" s="264">
        <v>864</v>
      </c>
      <c r="IZ44" s="264">
        <v>1161</v>
      </c>
      <c r="JA44" s="264">
        <v>990</v>
      </c>
      <c r="JB44" s="289">
        <v>31.23</v>
      </c>
      <c r="JC44" s="289">
        <v>40.22</v>
      </c>
      <c r="JD44" s="289">
        <v>2.0499999999999998</v>
      </c>
      <c r="JE44" s="289">
        <v>7.9</v>
      </c>
      <c r="JF44" s="289"/>
      <c r="JG44" s="289">
        <v>0</v>
      </c>
      <c r="JH44" s="259">
        <v>6.54</v>
      </c>
      <c r="JI44" s="290"/>
      <c r="JJ44" s="290"/>
      <c r="JK44" s="260">
        <v>84038086.452000007</v>
      </c>
      <c r="JL44" s="260">
        <v>281938.34499999997</v>
      </c>
      <c r="JM44" s="260">
        <v>57081493.737000003</v>
      </c>
      <c r="JN44" s="260">
        <v>61571.091999999997</v>
      </c>
      <c r="JO44" s="260">
        <v>84794945.871000007</v>
      </c>
      <c r="JP44" s="260">
        <v>186840</v>
      </c>
      <c r="JQ44" s="260">
        <v>61428667.417999998</v>
      </c>
      <c r="JR44" s="260">
        <v>55643.599000000002</v>
      </c>
      <c r="JS44" s="289">
        <v>318419804.81300002</v>
      </c>
      <c r="JT44" s="289">
        <v>83928.17</v>
      </c>
      <c r="JU44" s="283">
        <f t="shared" si="140"/>
        <v>113591.2310000062</v>
      </c>
      <c r="JV44" s="283">
        <f t="shared" si="141"/>
        <v>16.601999999955297</v>
      </c>
      <c r="JW44" s="283">
        <f t="shared" ref="JW44" si="152">IF((JM44-JM43)&lt;0,"",(JM44-JM43))</f>
        <v>81503.382000006735</v>
      </c>
      <c r="JX44" s="283">
        <f t="shared" ref="JX44" si="153">IF((JN44-JN43)&lt;0,"",(JN44-JN43))</f>
        <v>11.60899999999674</v>
      </c>
      <c r="JY44" s="284">
        <f t="shared" ref="JY44" si="154">IF((JO44-JO43)&lt;0,"",(JO44-JO43))</f>
        <v>77207.474000006914</v>
      </c>
      <c r="JZ44" s="284">
        <f t="shared" si="145"/>
        <v>19.50099999998929</v>
      </c>
      <c r="KA44" s="284">
        <f t="shared" ref="KA44" si="155">IF((JQ44-JQ43)&lt;0,"",(JQ44-JQ43))</f>
        <v>66106.906999997795</v>
      </c>
      <c r="KB44" s="284">
        <f t="shared" ref="KB44" si="156">IF((JR44-JR43)&lt;0,"",(JR44-JR43))</f>
        <v>15.789000000004307</v>
      </c>
      <c r="KC44" s="283">
        <f t="shared" ref="KC44" si="157">IF((JS44-JS43)&lt;0,"",(JS44-JS43))</f>
        <v>304228.48600000143</v>
      </c>
      <c r="KD44" s="283">
        <f t="shared" ref="KD44:KD47" si="158">IF((JT44-JT43)&lt;0,"",(JT44-JT43))</f>
        <v>66.531999999991967</v>
      </c>
      <c r="KE44" s="291">
        <f t="shared" si="150"/>
        <v>195066.40200001298</v>
      </c>
      <c r="KF44" s="291">
        <f t="shared" ref="KF44" si="159">IFERROR(KC44-KD44,"")</f>
        <v>304161.95400000142</v>
      </c>
      <c r="KG44" s="292">
        <f>(RD[[#This Row],[Sunset Time (POA&lt;20 W/m2)]]-RD[[#This Row],[Sunrise Time (POA&gt;20 W/m2)]])*24</f>
        <v>12.450000000000001</v>
      </c>
      <c r="KH44" s="293">
        <f>RD[[#This Row],[GHI ]]</f>
        <v>0</v>
      </c>
      <c r="KI44" s="293">
        <f>RD[[#This Row],[POA]]</f>
        <v>6.54</v>
      </c>
      <c r="KJ44" s="293">
        <f>RD[[#This Row],[AT (°C) 14 Hours]]</f>
        <v>31.23</v>
      </c>
      <c r="KK44" s="293">
        <f>RD[[#This Row],[MT (°C) Gen. Hours]]</f>
        <v>40.22</v>
      </c>
      <c r="KL44" s="293">
        <f>RD[[#This Row],[WS_Avg (m/s) (24 Hours)]]</f>
        <v>2.0499999999999998</v>
      </c>
      <c r="KM44" s="293">
        <f>RD[[#This Row],[WS_Max (m/s)]]</f>
        <v>7.9</v>
      </c>
      <c r="KN44" s="294">
        <f>SUM(RD[[#This Row],[BLK1_INV1]:[BLK8_INV27]])</f>
        <v>302578</v>
      </c>
      <c r="KO44" s="95"/>
      <c r="KP44" s="55"/>
      <c r="KQ44" s="90" t="str">
        <f>IFERROR(RD[[#This Row],[WPR_Eac]]/RD[[#This Row],[WPR_Edc]],"")</f>
        <v/>
      </c>
    </row>
    <row r="45" spans="2:303" ht="15" customHeight="1" x14ac:dyDescent="0.25">
      <c r="B45" s="52">
        <v>45786</v>
      </c>
      <c r="C45" s="9">
        <f>YEAR(RD[[#This Row],[Date]])+IF(MONTH(RD[[#This Row],[Date]])&gt;=4,1,0)</f>
        <v>2026</v>
      </c>
      <c r="D45" s="6">
        <f t="shared" si="126"/>
        <v>2025</v>
      </c>
      <c r="E45" s="7"/>
      <c r="F45" s="7"/>
      <c r="G45" s="8" t="str">
        <f>TEXT(RD[[#This Row],[Date]],"mmm-yy")</f>
        <v>May-25</v>
      </c>
      <c r="H45" s="6">
        <f t="shared" si="127"/>
        <v>31</v>
      </c>
      <c r="I45" s="9">
        <f>'Basic Data '!$S$2</f>
        <v>66750</v>
      </c>
      <c r="J45" s="10">
        <v>0.26041666666666669</v>
      </c>
      <c r="K45" s="10">
        <v>0.76666666666666661</v>
      </c>
      <c r="L45" s="260">
        <v>1446</v>
      </c>
      <c r="M45" s="260">
        <v>1459</v>
      </c>
      <c r="N45" s="260">
        <v>1359</v>
      </c>
      <c r="O45" s="260">
        <v>1353</v>
      </c>
      <c r="P45" s="260">
        <v>1466</v>
      </c>
      <c r="Q45" s="260">
        <v>1363</v>
      </c>
      <c r="R45" s="260">
        <v>1364</v>
      </c>
      <c r="S45" s="260">
        <v>1366</v>
      </c>
      <c r="T45" s="260">
        <v>1414</v>
      </c>
      <c r="U45" s="260">
        <v>1430</v>
      </c>
      <c r="V45" s="260">
        <v>1380</v>
      </c>
      <c r="W45" s="260">
        <v>1376</v>
      </c>
      <c r="X45" s="260">
        <v>1358</v>
      </c>
      <c r="Y45" s="260">
        <v>1282</v>
      </c>
      <c r="Z45" s="260">
        <v>1358</v>
      </c>
      <c r="AA45" s="260">
        <v>1354</v>
      </c>
      <c r="AB45" s="260">
        <v>1278</v>
      </c>
      <c r="AC45" s="260">
        <v>1310</v>
      </c>
      <c r="AD45" s="260">
        <v>1396</v>
      </c>
      <c r="AE45" s="260">
        <v>1408</v>
      </c>
      <c r="AF45" s="260">
        <v>1309</v>
      </c>
      <c r="AG45" s="260">
        <v>1316</v>
      </c>
      <c r="AH45" s="260">
        <v>1478</v>
      </c>
      <c r="AI45" s="260">
        <v>1478</v>
      </c>
      <c r="AJ45" s="260">
        <v>1415</v>
      </c>
      <c r="AK45" s="260">
        <v>1410</v>
      </c>
      <c r="AL45" s="260">
        <v>1393</v>
      </c>
      <c r="AM45" s="260">
        <v>1452</v>
      </c>
      <c r="AN45" s="260">
        <v>1457</v>
      </c>
      <c r="AO45" s="260">
        <v>1439</v>
      </c>
      <c r="AP45" s="260">
        <v>1498</v>
      </c>
      <c r="AQ45" s="260">
        <v>1468</v>
      </c>
      <c r="AR45" s="260">
        <v>1272</v>
      </c>
      <c r="AS45" s="260">
        <v>1637</v>
      </c>
      <c r="AT45" s="260">
        <v>1315</v>
      </c>
      <c r="AU45" s="260">
        <v>1482</v>
      </c>
      <c r="AV45" s="260">
        <v>1336</v>
      </c>
      <c r="AW45" s="260">
        <v>1315</v>
      </c>
      <c r="AX45" s="260">
        <v>1340</v>
      </c>
      <c r="AY45" s="260">
        <v>1354</v>
      </c>
      <c r="AZ45" s="260">
        <v>1329</v>
      </c>
      <c r="BA45" s="260">
        <v>1314</v>
      </c>
      <c r="BB45" s="260">
        <v>1336</v>
      </c>
      <c r="BC45" s="260">
        <v>1332</v>
      </c>
      <c r="BD45" s="260">
        <v>1347</v>
      </c>
      <c r="BE45" s="260">
        <v>1355</v>
      </c>
      <c r="BF45" s="260">
        <v>1431</v>
      </c>
      <c r="BG45" s="260">
        <v>1343</v>
      </c>
      <c r="BH45" s="260">
        <v>1399</v>
      </c>
      <c r="BI45" s="260">
        <v>1373</v>
      </c>
      <c r="BJ45" s="260">
        <v>1349</v>
      </c>
      <c r="BK45" s="260">
        <v>1343</v>
      </c>
      <c r="BL45" s="260">
        <v>1532</v>
      </c>
      <c r="BM45" s="260">
        <v>1520</v>
      </c>
      <c r="BN45" s="260">
        <v>1460</v>
      </c>
      <c r="BO45" s="260">
        <v>1473</v>
      </c>
      <c r="BP45" s="260">
        <v>1541</v>
      </c>
      <c r="BQ45" s="260">
        <v>1363</v>
      </c>
      <c r="BR45" s="260">
        <v>1512</v>
      </c>
      <c r="BS45" s="260">
        <v>1533</v>
      </c>
      <c r="BT45" s="260">
        <v>1346</v>
      </c>
      <c r="BU45" s="260">
        <v>1523</v>
      </c>
      <c r="BV45" s="260">
        <v>1378</v>
      </c>
      <c r="BW45" s="260">
        <v>1363</v>
      </c>
      <c r="BX45" s="260">
        <v>1447</v>
      </c>
      <c r="BY45" s="260">
        <v>1432</v>
      </c>
      <c r="BZ45" s="260">
        <v>1455</v>
      </c>
      <c r="CA45" s="260">
        <v>1219</v>
      </c>
      <c r="CB45" s="260">
        <v>1326</v>
      </c>
      <c r="CC45" s="260">
        <v>1328</v>
      </c>
      <c r="CD45" s="260">
        <v>1346</v>
      </c>
      <c r="CE45" s="260">
        <v>1349</v>
      </c>
      <c r="CF45" s="260">
        <v>1361</v>
      </c>
      <c r="CG45" s="260">
        <v>1308</v>
      </c>
      <c r="CH45" s="260">
        <v>1495</v>
      </c>
      <c r="CI45" s="260">
        <v>1455</v>
      </c>
      <c r="CJ45" s="260">
        <v>1500</v>
      </c>
      <c r="CK45" s="260">
        <v>1308</v>
      </c>
      <c r="CL45" s="260">
        <v>1302</v>
      </c>
      <c r="CM45" s="260">
        <v>1367</v>
      </c>
      <c r="CN45" s="260">
        <v>1355</v>
      </c>
      <c r="CO45" s="260">
        <v>1352</v>
      </c>
      <c r="CP45" s="260">
        <v>1339</v>
      </c>
      <c r="CQ45" s="260">
        <v>1347</v>
      </c>
      <c r="CR45" s="260">
        <v>1350</v>
      </c>
      <c r="CS45" s="260">
        <v>1351</v>
      </c>
      <c r="CT45" s="260">
        <v>1365</v>
      </c>
      <c r="CU45" s="260">
        <v>1344</v>
      </c>
      <c r="CV45" s="260">
        <v>1352</v>
      </c>
      <c r="CW45" s="260">
        <v>1340</v>
      </c>
      <c r="CX45" s="260">
        <v>1388</v>
      </c>
      <c r="CY45" s="260">
        <v>1310</v>
      </c>
      <c r="CZ45" s="260">
        <v>1373</v>
      </c>
      <c r="DA45" s="260">
        <v>1365</v>
      </c>
      <c r="DB45" s="260">
        <v>1410</v>
      </c>
      <c r="DC45" s="260">
        <v>1290</v>
      </c>
      <c r="DD45" s="260">
        <v>1296</v>
      </c>
      <c r="DE45" s="260">
        <v>1344</v>
      </c>
      <c r="DF45" s="260">
        <v>1318</v>
      </c>
      <c r="DG45" s="260">
        <v>1331</v>
      </c>
      <c r="DH45" s="260">
        <v>1362</v>
      </c>
      <c r="DI45" s="260">
        <v>1320</v>
      </c>
      <c r="DJ45" s="260">
        <v>1347</v>
      </c>
      <c r="DK45" s="260">
        <v>1329</v>
      </c>
      <c r="DL45" s="260">
        <v>1498</v>
      </c>
      <c r="DM45" s="260">
        <v>1233</v>
      </c>
      <c r="DN45" s="260">
        <v>1557</v>
      </c>
      <c r="DO45" s="260">
        <v>1478</v>
      </c>
      <c r="DP45" s="260">
        <v>1350</v>
      </c>
      <c r="DQ45" s="260">
        <v>1446</v>
      </c>
      <c r="DR45" s="260">
        <v>1446</v>
      </c>
      <c r="DS45" s="260">
        <v>1405</v>
      </c>
      <c r="DT45" s="260">
        <v>1461</v>
      </c>
      <c r="DU45" s="260">
        <v>1492</v>
      </c>
      <c r="DV45" s="260">
        <v>1343</v>
      </c>
      <c r="DW45" s="260">
        <v>1203</v>
      </c>
      <c r="DX45" s="260">
        <v>1457</v>
      </c>
      <c r="DY45" s="260">
        <v>1478</v>
      </c>
      <c r="DZ45" s="260">
        <v>1475</v>
      </c>
      <c r="EA45" s="260">
        <v>1319</v>
      </c>
      <c r="EB45" s="260">
        <v>1350</v>
      </c>
      <c r="EC45" s="260">
        <v>1395</v>
      </c>
      <c r="ED45" s="260">
        <v>1447</v>
      </c>
      <c r="EE45" s="260">
        <v>1336</v>
      </c>
      <c r="EF45" s="260">
        <v>1349</v>
      </c>
      <c r="EG45" s="260">
        <v>1463</v>
      </c>
      <c r="EH45" s="260">
        <v>1239</v>
      </c>
      <c r="EI45" s="260">
        <v>1271</v>
      </c>
      <c r="EJ45" s="260">
        <v>1464</v>
      </c>
      <c r="EK45" s="260">
        <v>1469</v>
      </c>
      <c r="EL45" s="260">
        <v>1307</v>
      </c>
      <c r="EM45" s="260">
        <v>1419</v>
      </c>
      <c r="EN45" s="260">
        <v>1370</v>
      </c>
      <c r="EO45" s="260">
        <v>1201</v>
      </c>
      <c r="EP45" s="260">
        <v>1503</v>
      </c>
      <c r="EQ45" s="260">
        <v>1450</v>
      </c>
      <c r="ER45" s="260">
        <v>1449</v>
      </c>
      <c r="ES45" s="260">
        <v>1431</v>
      </c>
      <c r="ET45" s="260">
        <v>1406</v>
      </c>
      <c r="EU45" s="260">
        <v>1334</v>
      </c>
      <c r="EV45" s="260">
        <v>1307</v>
      </c>
      <c r="EW45" s="260">
        <v>1400</v>
      </c>
      <c r="EX45" s="260">
        <v>1278</v>
      </c>
      <c r="EY45" s="260">
        <v>1463</v>
      </c>
      <c r="EZ45" s="260">
        <v>1224</v>
      </c>
      <c r="FA45" s="260">
        <v>1427</v>
      </c>
      <c r="FB45" s="260">
        <v>1316</v>
      </c>
      <c r="FC45" s="260">
        <v>1225</v>
      </c>
      <c r="FD45" s="260">
        <v>1401</v>
      </c>
      <c r="FE45" s="260">
        <v>1426</v>
      </c>
      <c r="FF45" s="260">
        <v>1433</v>
      </c>
      <c r="FG45" s="260">
        <v>1321</v>
      </c>
      <c r="FH45" s="260">
        <v>1515</v>
      </c>
      <c r="FI45" s="260">
        <v>1322</v>
      </c>
      <c r="FJ45" s="260">
        <v>1305</v>
      </c>
      <c r="FK45" s="260">
        <v>1288</v>
      </c>
      <c r="FL45" s="260">
        <v>1278</v>
      </c>
      <c r="FM45" s="260">
        <v>1255</v>
      </c>
      <c r="FN45" s="260">
        <v>1353</v>
      </c>
      <c r="FO45" s="260">
        <v>1301</v>
      </c>
      <c r="FP45" s="260">
        <v>1510</v>
      </c>
      <c r="FQ45" s="260">
        <v>1305</v>
      </c>
      <c r="FR45" s="260">
        <v>1491</v>
      </c>
      <c r="FS45" s="260">
        <v>1467</v>
      </c>
      <c r="FT45" s="260">
        <v>1393</v>
      </c>
      <c r="FU45" s="260">
        <v>1163</v>
      </c>
      <c r="FV45" s="260">
        <v>1303</v>
      </c>
      <c r="FW45" s="260">
        <v>1206</v>
      </c>
      <c r="FX45" s="260">
        <v>1344</v>
      </c>
      <c r="FY45" s="260">
        <v>1314</v>
      </c>
      <c r="FZ45" s="260">
        <v>1346</v>
      </c>
      <c r="GA45" s="260">
        <v>1317</v>
      </c>
      <c r="GB45" s="260">
        <v>1480</v>
      </c>
      <c r="GC45" s="260">
        <v>1387</v>
      </c>
      <c r="GD45" s="260">
        <v>1528</v>
      </c>
      <c r="GE45" s="260">
        <v>1339</v>
      </c>
      <c r="GF45" s="260">
        <v>1342</v>
      </c>
      <c r="GG45" s="260">
        <v>1321</v>
      </c>
      <c r="GH45" s="260">
        <v>1542</v>
      </c>
      <c r="GI45" s="260">
        <v>1368</v>
      </c>
      <c r="GJ45" s="260">
        <v>1445</v>
      </c>
      <c r="GK45" s="260">
        <v>1472</v>
      </c>
      <c r="GL45" s="260">
        <v>1516</v>
      </c>
      <c r="GM45" s="260">
        <v>1482</v>
      </c>
      <c r="GN45" s="260">
        <v>1465</v>
      </c>
      <c r="GO45" s="260">
        <v>1520</v>
      </c>
      <c r="GP45" s="260">
        <v>1401</v>
      </c>
      <c r="GQ45" s="260">
        <v>1409</v>
      </c>
      <c r="GR45" s="260">
        <v>1370</v>
      </c>
      <c r="GS45" s="260">
        <v>1377</v>
      </c>
      <c r="GT45" s="260">
        <v>1298</v>
      </c>
      <c r="GU45" s="260">
        <v>1286</v>
      </c>
      <c r="GV45" s="260">
        <v>1268</v>
      </c>
      <c r="GW45" s="260">
        <v>1307</v>
      </c>
      <c r="GX45" s="260">
        <v>1268</v>
      </c>
      <c r="GY45" s="260">
        <v>1312</v>
      </c>
      <c r="GZ45" s="260">
        <v>1134</v>
      </c>
      <c r="HA45" s="260">
        <v>1364</v>
      </c>
      <c r="HB45" s="260"/>
      <c r="HC45" s="260"/>
      <c r="HD45" s="260">
        <v>1121</v>
      </c>
      <c r="HE45" s="260">
        <v>914</v>
      </c>
      <c r="HF45" s="260">
        <v>1338</v>
      </c>
      <c r="HG45" s="260"/>
      <c r="HH45" s="260">
        <v>1436</v>
      </c>
      <c r="HI45" s="260">
        <v>1271</v>
      </c>
      <c r="HJ45" s="260">
        <v>1312</v>
      </c>
      <c r="HK45" s="260">
        <v>1286</v>
      </c>
      <c r="HL45" s="260">
        <v>1309</v>
      </c>
      <c r="HM45" s="260">
        <v>1315</v>
      </c>
      <c r="HN45" s="260">
        <v>1320</v>
      </c>
      <c r="HO45" s="260">
        <v>1322</v>
      </c>
      <c r="HP45" s="260">
        <v>1358</v>
      </c>
      <c r="HQ45" s="260">
        <v>1363</v>
      </c>
      <c r="HR45" s="260">
        <v>1346</v>
      </c>
      <c r="HS45" s="260">
        <v>1349</v>
      </c>
      <c r="HT45" s="260">
        <v>1493</v>
      </c>
      <c r="HU45" s="260">
        <v>1519</v>
      </c>
      <c r="HV45" s="260">
        <v>1243</v>
      </c>
      <c r="HW45" s="260">
        <v>1199</v>
      </c>
      <c r="HX45" s="260">
        <v>1095</v>
      </c>
      <c r="HY45" s="260">
        <v>870</v>
      </c>
      <c r="HZ45" s="260">
        <v>921</v>
      </c>
      <c r="IA45" s="260">
        <v>1096</v>
      </c>
      <c r="IB45" s="260">
        <v>1308</v>
      </c>
      <c r="IC45" s="260">
        <v>1397</v>
      </c>
      <c r="ID45" s="260">
        <v>1328</v>
      </c>
      <c r="IE45" s="260">
        <v>1320</v>
      </c>
      <c r="IF45" s="260">
        <v>1390</v>
      </c>
      <c r="IG45" s="260">
        <v>1410</v>
      </c>
      <c r="IH45" s="260">
        <v>1341</v>
      </c>
      <c r="II45" s="260">
        <v>1375</v>
      </c>
      <c r="IJ45" s="260">
        <v>1106</v>
      </c>
      <c r="IK45" s="260">
        <v>1251</v>
      </c>
      <c r="IL45" s="260">
        <v>1115</v>
      </c>
      <c r="IM45" s="260">
        <v>1188</v>
      </c>
      <c r="IN45" s="260">
        <v>1014</v>
      </c>
      <c r="IO45" s="260"/>
      <c r="IP45" s="260">
        <v>1175</v>
      </c>
      <c r="IQ45" s="260">
        <v>1378</v>
      </c>
      <c r="IR45" s="260">
        <v>518</v>
      </c>
      <c r="IS45" s="260">
        <v>1228</v>
      </c>
      <c r="IT45" s="260">
        <v>1193</v>
      </c>
      <c r="IU45" s="260"/>
      <c r="IV45" s="260"/>
      <c r="IW45" s="260">
        <v>1310</v>
      </c>
      <c r="IX45" s="260">
        <v>1318</v>
      </c>
      <c r="IY45" s="260">
        <v>1382</v>
      </c>
      <c r="IZ45" s="260">
        <v>898</v>
      </c>
      <c r="JA45" s="260">
        <v>1184</v>
      </c>
      <c r="JB45" s="289">
        <v>32.39</v>
      </c>
      <c r="JC45" s="289">
        <v>43.99</v>
      </c>
      <c r="JD45" s="289">
        <v>1.81</v>
      </c>
      <c r="JE45" s="289">
        <v>7.1</v>
      </c>
      <c r="JF45" s="289"/>
      <c r="JG45" s="289">
        <v>0</v>
      </c>
      <c r="JH45" s="259">
        <v>6.68</v>
      </c>
      <c r="JI45" s="290"/>
      <c r="JJ45" s="290"/>
      <c r="JK45" s="260">
        <v>84093096.913000003</v>
      </c>
      <c r="JL45" s="260">
        <v>281952.25199999998</v>
      </c>
      <c r="JM45" s="260">
        <v>57165631.997000001</v>
      </c>
      <c r="JN45" s="260">
        <v>61582.722999999998</v>
      </c>
      <c r="JO45" s="260">
        <v>84882994.442000002</v>
      </c>
      <c r="JP45" s="260">
        <v>186889.538</v>
      </c>
      <c r="JQ45" s="260">
        <v>61495600.917000003</v>
      </c>
      <c r="JR45" s="260">
        <v>55657.622000000003</v>
      </c>
      <c r="JS45" s="289">
        <v>318747693.79900002</v>
      </c>
      <c r="JT45" s="289">
        <v>83981.736000000004</v>
      </c>
      <c r="JU45" s="283">
        <f t="shared" ref="JU45:JU48" si="160">IF((JK45-JK44)&lt;0,"",(JK45-JK44))</f>
        <v>55010.46099999547</v>
      </c>
      <c r="JV45" s="283">
        <f t="shared" si="141"/>
        <v>13.907000000006519</v>
      </c>
      <c r="JW45" s="283">
        <f t="shared" ref="JW45:JW48" si="161">IF((JM45-JM44)&lt;0,"",(JM45-JM44))</f>
        <v>84138.259999997914</v>
      </c>
      <c r="JX45" s="283">
        <f t="shared" ref="JX45:JX48" si="162">IF((JN45-JN44)&lt;0,"",(JN45-JN44))</f>
        <v>11.631000000001222</v>
      </c>
      <c r="JY45" s="284">
        <f t="shared" ref="JY45:JY48" si="163">IF((JO45-JO44)&lt;0,"",(JO45-JO44))</f>
        <v>88048.570999994874</v>
      </c>
      <c r="JZ45" s="284">
        <f t="shared" ref="JZ45:JZ48" si="164">IF((JP45-JP44)&lt;0,"",(JP45-JP44))</f>
        <v>49.538000000000466</v>
      </c>
      <c r="KA45" s="284">
        <f t="shared" ref="KA45:KA48" si="165">IF((JQ45-JQ44)&lt;0,"",(JQ45-JQ44))</f>
        <v>66933.499000005424</v>
      </c>
      <c r="KB45" s="284">
        <f t="shared" ref="KB45:KB48" si="166">IF((JR45-JR44)&lt;0,"",(JR45-JR44))</f>
        <v>14.023000000001048</v>
      </c>
      <c r="KC45" s="283">
        <f t="shared" ref="KC45:KC48" si="167">IF((JS45-JS44)&lt;0,"",(JS45-JS44))</f>
        <v>327888.98600000143</v>
      </c>
      <c r="KD45" s="283">
        <f t="shared" si="158"/>
        <v>53.56600000000617</v>
      </c>
      <c r="KE45" s="291">
        <f t="shared" si="150"/>
        <v>139123.18299999338</v>
      </c>
      <c r="KF45" s="291">
        <f t="shared" ref="KF45:KF48" si="168">IFERROR(KC45-KD45,"")</f>
        <v>327835.42000000144</v>
      </c>
      <c r="KG45" s="292">
        <f>(RD[[#This Row],[Sunset Time (POA&lt;20 W/m2)]]-RD[[#This Row],[Sunrise Time (POA&gt;20 W/m2)]])*24</f>
        <v>12.149999999999997</v>
      </c>
      <c r="KH45" s="293">
        <f>RD[[#This Row],[GHI ]]</f>
        <v>0</v>
      </c>
      <c r="KI45" s="293">
        <f>RD[[#This Row],[POA]]</f>
        <v>6.68</v>
      </c>
      <c r="KJ45" s="293">
        <f>RD[[#This Row],[AT (°C) 14 Hours]]</f>
        <v>32.39</v>
      </c>
      <c r="KK45" s="293">
        <f>RD[[#This Row],[MT (°C) Gen. Hours]]</f>
        <v>43.99</v>
      </c>
      <c r="KL45" s="293">
        <f>RD[[#This Row],[WS_Avg (m/s) (24 Hours)]]</f>
        <v>1.81</v>
      </c>
      <c r="KM45" s="293">
        <f>RD[[#This Row],[WS_Max (m/s)]]</f>
        <v>7.1</v>
      </c>
      <c r="KN45" s="294">
        <f>SUM(RD[[#This Row],[BLK1_INV1]:[BLK8_INV27]])</f>
        <v>328786</v>
      </c>
      <c r="KO45" s="95"/>
      <c r="KP45" s="55"/>
      <c r="KQ45" s="90" t="str">
        <f>IFERROR(RD[[#This Row],[WPR_Eac]]/RD[[#This Row],[WPR_Edc]],"")</f>
        <v/>
      </c>
    </row>
    <row r="46" spans="2:303" ht="15" customHeight="1" x14ac:dyDescent="0.25">
      <c r="B46" s="52">
        <v>45787</v>
      </c>
      <c r="C46" s="9">
        <f>YEAR(RD[[#This Row],[Date]])+IF(MONTH(RD[[#This Row],[Date]])&gt;=4,1,0)</f>
        <v>2026</v>
      </c>
      <c r="D46" s="6">
        <f t="shared" si="126"/>
        <v>2025</v>
      </c>
      <c r="E46" s="7"/>
      <c r="F46" s="7"/>
      <c r="G46" s="8" t="str">
        <f>TEXT(RD[[#This Row],[Date]],"mmm-yy")</f>
        <v>May-25</v>
      </c>
      <c r="H46" s="6">
        <f t="shared" si="127"/>
        <v>31</v>
      </c>
      <c r="I46" s="9">
        <f>'Basic Data '!$S$2</f>
        <v>66750</v>
      </c>
      <c r="J46" s="10">
        <v>0.25347222222222221</v>
      </c>
      <c r="K46" s="10">
        <v>0.75694444444444453</v>
      </c>
      <c r="L46" s="260">
        <v>1244</v>
      </c>
      <c r="M46" s="260">
        <v>1254.3</v>
      </c>
      <c r="N46" s="260">
        <v>1165.3</v>
      </c>
      <c r="O46" s="260">
        <v>1160.2</v>
      </c>
      <c r="P46" s="260">
        <v>1256.7</v>
      </c>
      <c r="Q46" s="260">
        <v>1160.3</v>
      </c>
      <c r="R46" s="260">
        <v>1168</v>
      </c>
      <c r="S46" s="260">
        <v>1168.3</v>
      </c>
      <c r="T46" s="260">
        <v>1205.5</v>
      </c>
      <c r="U46" s="260">
        <v>1214.9000000000001</v>
      </c>
      <c r="V46" s="260">
        <v>1188.9000000000001</v>
      </c>
      <c r="W46" s="260">
        <v>1182.5</v>
      </c>
      <c r="X46" s="260">
        <v>1164.5</v>
      </c>
      <c r="Y46" s="260">
        <v>1096.4000000000001</v>
      </c>
      <c r="Z46" s="260">
        <v>1132.5999999999999</v>
      </c>
      <c r="AA46" s="260">
        <v>1156.7</v>
      </c>
      <c r="AB46" s="260">
        <v>1106.2</v>
      </c>
      <c r="AC46" s="260">
        <v>1147.7</v>
      </c>
      <c r="AD46" s="260">
        <v>1238.9000000000001</v>
      </c>
      <c r="AE46" s="260">
        <v>1238.4000000000001</v>
      </c>
      <c r="AF46" s="260">
        <v>1159.3</v>
      </c>
      <c r="AG46" s="260">
        <v>1159.3</v>
      </c>
      <c r="AH46" s="260">
        <v>1271.0999999999999</v>
      </c>
      <c r="AI46" s="260">
        <v>1298.5</v>
      </c>
      <c r="AJ46" s="260">
        <v>1254.5999999999999</v>
      </c>
      <c r="AK46" s="260">
        <v>1234.5</v>
      </c>
      <c r="AL46" s="260">
        <v>1126.4000000000001</v>
      </c>
      <c r="AM46" s="260">
        <v>1274</v>
      </c>
      <c r="AN46" s="260">
        <v>1282.3</v>
      </c>
      <c r="AO46" s="260">
        <v>1265.0999999999999</v>
      </c>
      <c r="AP46" s="260">
        <v>1165.3</v>
      </c>
      <c r="AQ46" s="260">
        <v>1268.5999999999999</v>
      </c>
      <c r="AR46" s="260">
        <v>1087.3</v>
      </c>
      <c r="AS46" s="260">
        <v>1415.9</v>
      </c>
      <c r="AT46" s="260">
        <v>1124.9000000000001</v>
      </c>
      <c r="AU46" s="260">
        <v>1263</v>
      </c>
      <c r="AV46" s="260">
        <v>1151.4000000000001</v>
      </c>
      <c r="AW46" s="260">
        <v>1137.4000000000001</v>
      </c>
      <c r="AX46" s="260">
        <v>1155.5999999999999</v>
      </c>
      <c r="AY46" s="260">
        <v>1167.69</v>
      </c>
      <c r="AZ46" s="260">
        <v>1147.9000000000001</v>
      </c>
      <c r="BA46" s="260">
        <v>1136.2</v>
      </c>
      <c r="BB46" s="260">
        <v>1105.0999999999999</v>
      </c>
      <c r="BC46" s="260">
        <v>1147</v>
      </c>
      <c r="BD46" s="260">
        <v>1160.3</v>
      </c>
      <c r="BE46" s="260">
        <v>1166.2</v>
      </c>
      <c r="BF46" s="260">
        <v>1257.8</v>
      </c>
      <c r="BG46" s="260">
        <v>1152.9000000000001</v>
      </c>
      <c r="BH46" s="260">
        <v>1203.5</v>
      </c>
      <c r="BI46" s="260">
        <v>1181.8</v>
      </c>
      <c r="BJ46" s="260">
        <v>1161.3</v>
      </c>
      <c r="BK46" s="260">
        <v>1159.5999999999999</v>
      </c>
      <c r="BL46" s="260">
        <v>1322.3</v>
      </c>
      <c r="BM46" s="260">
        <v>1312.3</v>
      </c>
      <c r="BN46" s="260">
        <v>1251.7</v>
      </c>
      <c r="BO46" s="260">
        <v>1267.5</v>
      </c>
      <c r="BP46" s="260">
        <v>1320.6</v>
      </c>
      <c r="BQ46" s="260">
        <v>1175.8</v>
      </c>
      <c r="BR46" s="260">
        <v>1298.7</v>
      </c>
      <c r="BS46" s="260">
        <v>1306.9000000000001</v>
      </c>
      <c r="BT46" s="260">
        <v>1167.8</v>
      </c>
      <c r="BU46" s="260">
        <v>1306.9000000000001</v>
      </c>
      <c r="BV46" s="260">
        <v>1162.3</v>
      </c>
      <c r="BW46" s="260">
        <v>1135.5999999999999</v>
      </c>
      <c r="BX46" s="260">
        <v>1256.3</v>
      </c>
      <c r="BY46" s="260">
        <v>1247.3</v>
      </c>
      <c r="BZ46" s="260">
        <v>1260.0999999999999</v>
      </c>
      <c r="CA46" s="260">
        <v>1098.3</v>
      </c>
      <c r="CB46" s="260">
        <v>1142.5999999999999</v>
      </c>
      <c r="CC46" s="260">
        <v>1151.7</v>
      </c>
      <c r="CD46" s="260">
        <v>1161.0999999999999</v>
      </c>
      <c r="CE46" s="260">
        <v>1157.4000000000001</v>
      </c>
      <c r="CF46" s="260">
        <v>1177.9000000000001</v>
      </c>
      <c r="CG46" s="260">
        <v>1141.5</v>
      </c>
      <c r="CH46" s="260">
        <v>1300.3</v>
      </c>
      <c r="CI46" s="260">
        <v>1270.5999999999999</v>
      </c>
      <c r="CJ46" s="260">
        <v>1302.9000000000001</v>
      </c>
      <c r="CK46" s="260">
        <v>1125.8</v>
      </c>
      <c r="CL46" s="260">
        <v>1123.5999999999999</v>
      </c>
      <c r="CM46" s="260">
        <v>1200</v>
      </c>
      <c r="CN46" s="260">
        <v>1165.9000000000001</v>
      </c>
      <c r="CO46" s="260">
        <v>1163.9000000000001</v>
      </c>
      <c r="CP46" s="260">
        <v>1152.3</v>
      </c>
      <c r="CQ46" s="260">
        <v>1162.5999999999999</v>
      </c>
      <c r="CR46" s="260">
        <v>1161.5999999999999</v>
      </c>
      <c r="CS46" s="260">
        <v>1172.7</v>
      </c>
      <c r="CT46" s="260">
        <v>1155.5999999999999</v>
      </c>
      <c r="CU46" s="260">
        <v>1158.3</v>
      </c>
      <c r="CV46" s="260">
        <v>1148</v>
      </c>
      <c r="CW46" s="260">
        <v>1192.9000000000001</v>
      </c>
      <c r="CX46" s="260">
        <v>824.9</v>
      </c>
      <c r="CY46" s="260">
        <v>1182.0999999999999</v>
      </c>
      <c r="CZ46" s="260">
        <v>1177.4125100000001</v>
      </c>
      <c r="DA46" s="260">
        <v>1251</v>
      </c>
      <c r="DB46" s="260">
        <v>1321</v>
      </c>
      <c r="DC46" s="260">
        <v>1115.3</v>
      </c>
      <c r="DD46" s="260">
        <v>1124.7</v>
      </c>
      <c r="DE46" s="260">
        <v>1169.5999999999999</v>
      </c>
      <c r="DF46" s="260">
        <v>1150.2</v>
      </c>
      <c r="DG46" s="260">
        <v>1158.2</v>
      </c>
      <c r="DH46" s="260">
        <v>1186.3</v>
      </c>
      <c r="DI46" s="260">
        <v>1153.5999999999999</v>
      </c>
      <c r="DJ46" s="260">
        <v>1174.7</v>
      </c>
      <c r="DK46" s="260">
        <v>1157.7</v>
      </c>
      <c r="DL46" s="260">
        <v>1314.9</v>
      </c>
      <c r="DM46" s="260">
        <v>1158.2</v>
      </c>
      <c r="DN46" s="260">
        <v>1376.2</v>
      </c>
      <c r="DO46" s="260">
        <v>1288.7</v>
      </c>
      <c r="DP46" s="260">
        <v>1171.4000000000001</v>
      </c>
      <c r="DQ46" s="260">
        <v>1269.2</v>
      </c>
      <c r="DR46" s="260">
        <v>1257.0999999999999</v>
      </c>
      <c r="DS46" s="260">
        <v>1225.4000000000001</v>
      </c>
      <c r="DT46" s="260">
        <v>1278.2</v>
      </c>
      <c r="DU46" s="260">
        <v>1296.8</v>
      </c>
      <c r="DV46" s="260">
        <v>1165.9000000000001</v>
      </c>
      <c r="DW46" s="260">
        <v>1104.5</v>
      </c>
      <c r="DX46" s="260">
        <v>1269.3</v>
      </c>
      <c r="DY46" s="260">
        <v>1288.5999999999999</v>
      </c>
      <c r="DZ46" s="260">
        <v>1285.5999999999999</v>
      </c>
      <c r="EA46" s="260">
        <v>1154.5999999999999</v>
      </c>
      <c r="EB46" s="260">
        <v>1177</v>
      </c>
      <c r="EC46" s="260">
        <v>1228.7</v>
      </c>
      <c r="ED46" s="260">
        <v>1259.4000000000001</v>
      </c>
      <c r="EE46" s="260">
        <v>1161.8</v>
      </c>
      <c r="EF46" s="260">
        <v>1171.5999999999999</v>
      </c>
      <c r="EG46" s="260">
        <v>1270.3</v>
      </c>
      <c r="EH46" s="260">
        <v>1069.5999999999999</v>
      </c>
      <c r="EI46" s="260">
        <v>1097</v>
      </c>
      <c r="EJ46" s="260">
        <v>1268.2</v>
      </c>
      <c r="EK46" s="260">
        <v>1218.5999999999999</v>
      </c>
      <c r="EL46" s="260">
        <v>1123.9000000000001</v>
      </c>
      <c r="EM46" s="260">
        <v>1216.7</v>
      </c>
      <c r="EN46" s="260">
        <v>1168</v>
      </c>
      <c r="EO46" s="260">
        <v>1026.5999999999999</v>
      </c>
      <c r="EP46" s="260">
        <v>1289.9000000000001</v>
      </c>
      <c r="EQ46" s="260">
        <v>1238.2</v>
      </c>
      <c r="ER46" s="260">
        <v>1244.4000000000001</v>
      </c>
      <c r="ES46" s="260">
        <v>1113.4000000000001</v>
      </c>
      <c r="ET46" s="260">
        <v>1209.9000000000001</v>
      </c>
      <c r="EU46" s="260">
        <v>1147.5999999999999</v>
      </c>
      <c r="EV46" s="260">
        <v>1117</v>
      </c>
      <c r="EW46" s="260">
        <v>1209.3</v>
      </c>
      <c r="EX46" s="260">
        <v>1103.0999999999999</v>
      </c>
      <c r="EY46" s="260">
        <v>1263.5</v>
      </c>
      <c r="EZ46" s="260">
        <v>1055.0999999999999</v>
      </c>
      <c r="FA46" s="260">
        <v>1233.9000000000001</v>
      </c>
      <c r="FB46" s="260">
        <v>1136.2</v>
      </c>
      <c r="FC46" s="260">
        <v>1058.9000000000001</v>
      </c>
      <c r="FD46" s="260">
        <v>1223.96</v>
      </c>
      <c r="FE46" s="260">
        <v>1247</v>
      </c>
      <c r="FF46" s="260">
        <v>1251.2</v>
      </c>
      <c r="FG46" s="260">
        <v>1148</v>
      </c>
      <c r="FH46" s="260">
        <v>1319.4</v>
      </c>
      <c r="FI46" s="260">
        <v>1174</v>
      </c>
      <c r="FJ46" s="260">
        <v>1147.8</v>
      </c>
      <c r="FK46" s="260">
        <v>1133.2</v>
      </c>
      <c r="FL46" s="260">
        <v>1118.9000000000001</v>
      </c>
      <c r="FM46" s="260">
        <v>1080.5999999999999</v>
      </c>
      <c r="FN46" s="260">
        <v>1138.5</v>
      </c>
      <c r="FO46" s="260">
        <v>1091.3</v>
      </c>
      <c r="FP46" s="260">
        <v>1268.4000000000001</v>
      </c>
      <c r="FQ46" s="260">
        <v>1097.5999999999999</v>
      </c>
      <c r="FR46" s="260">
        <v>1252.7</v>
      </c>
      <c r="FS46" s="260">
        <v>1226.8</v>
      </c>
      <c r="FT46" s="260">
        <v>1168.3</v>
      </c>
      <c r="FU46" s="260">
        <v>968.2</v>
      </c>
      <c r="FV46" s="260">
        <v>1095.5</v>
      </c>
      <c r="FW46" s="260">
        <v>1000.2</v>
      </c>
      <c r="FX46" s="260">
        <v>1135.5</v>
      </c>
      <c r="FY46" s="260">
        <v>1109.5999999999999</v>
      </c>
      <c r="FZ46" s="260">
        <v>1132.3</v>
      </c>
      <c r="GA46" s="260">
        <v>1110.7</v>
      </c>
      <c r="GB46" s="260">
        <v>1247.3</v>
      </c>
      <c r="GC46" s="260">
        <v>1165.4000000000001</v>
      </c>
      <c r="GD46" s="260">
        <v>1237.5999999999999</v>
      </c>
      <c r="GE46" s="260">
        <v>1124.5999999999999</v>
      </c>
      <c r="GF46" s="260">
        <v>1135.9000000000001</v>
      </c>
      <c r="GG46" s="260">
        <v>1113.5999999999999</v>
      </c>
      <c r="GH46" s="260">
        <v>1303</v>
      </c>
      <c r="GI46" s="260">
        <v>1152.4000000000001</v>
      </c>
      <c r="GJ46" s="260">
        <v>1219.3</v>
      </c>
      <c r="GK46" s="260">
        <v>1248.0999999999999</v>
      </c>
      <c r="GL46" s="260">
        <v>1270.3</v>
      </c>
      <c r="GM46" s="260">
        <v>1241.8</v>
      </c>
      <c r="GN46" s="260">
        <v>1231.5999999999999</v>
      </c>
      <c r="GO46" s="260">
        <v>1275</v>
      </c>
      <c r="GP46" s="260" t="s">
        <v>439</v>
      </c>
      <c r="GQ46" s="260">
        <v>1189.5</v>
      </c>
      <c r="GR46" s="260">
        <v>1160.8</v>
      </c>
      <c r="GS46" s="260">
        <v>1166</v>
      </c>
      <c r="GT46" s="260">
        <v>1143.9000000000001</v>
      </c>
      <c r="GU46" s="260">
        <v>1122.8</v>
      </c>
      <c r="GV46" s="260">
        <v>1110.4000000000001</v>
      </c>
      <c r="GW46" s="260">
        <v>1167.4000000000001</v>
      </c>
      <c r="GX46" s="260">
        <v>1107.0999999999999</v>
      </c>
      <c r="GY46" s="260">
        <v>1165.4000000000001</v>
      </c>
      <c r="GZ46" s="260">
        <v>981.4</v>
      </c>
      <c r="HA46" s="260">
        <v>1187.5999999999999</v>
      </c>
      <c r="HB46" s="260"/>
      <c r="HC46" s="260"/>
      <c r="HD46" s="260">
        <v>1005.6</v>
      </c>
      <c r="HE46" s="260">
        <v>799.5</v>
      </c>
      <c r="HF46" s="260">
        <v>1161.9000000000001</v>
      </c>
      <c r="HG46" s="260"/>
      <c r="HH46" s="260">
        <v>1251.2</v>
      </c>
      <c r="HI46" s="260">
        <v>1109.4000000000001</v>
      </c>
      <c r="HJ46" s="260">
        <v>1165.2</v>
      </c>
      <c r="HK46" s="260">
        <v>1124.7</v>
      </c>
      <c r="HL46" s="260">
        <v>1159.5999999999999</v>
      </c>
      <c r="HM46" s="260">
        <v>1162.3</v>
      </c>
      <c r="HN46" s="260">
        <v>1180.0999999999999</v>
      </c>
      <c r="HO46" s="260">
        <v>1170</v>
      </c>
      <c r="HP46" s="260">
        <v>1181.4000000000001</v>
      </c>
      <c r="HQ46" s="260">
        <v>1184.2</v>
      </c>
      <c r="HR46" s="260">
        <v>1166.9000000000001</v>
      </c>
      <c r="HS46" s="260">
        <v>1176.4000000000001</v>
      </c>
      <c r="HT46" s="260">
        <v>1298.7</v>
      </c>
      <c r="HU46" s="260">
        <v>1317</v>
      </c>
      <c r="HV46" s="260">
        <v>1079.4000000000001</v>
      </c>
      <c r="HW46" s="260">
        <v>1041.0999999999999</v>
      </c>
      <c r="HX46" s="260">
        <v>998</v>
      </c>
      <c r="HY46" s="260">
        <v>962</v>
      </c>
      <c r="HZ46" s="260">
        <v>821</v>
      </c>
      <c r="IA46" s="260">
        <v>975.7</v>
      </c>
      <c r="IB46" s="260">
        <v>1168.2</v>
      </c>
      <c r="IC46" s="260">
        <v>1246.7</v>
      </c>
      <c r="ID46" s="260">
        <v>1180.3</v>
      </c>
      <c r="IE46" s="260">
        <v>1177.9000000000001</v>
      </c>
      <c r="IF46" s="260">
        <v>1306</v>
      </c>
      <c r="IG46" s="260">
        <v>1256.3</v>
      </c>
      <c r="IH46" s="260">
        <v>1200.0999999999999</v>
      </c>
      <c r="II46" s="260">
        <v>1220.7</v>
      </c>
      <c r="IJ46" s="260">
        <v>974.6</v>
      </c>
      <c r="IK46" s="260">
        <v>1112</v>
      </c>
      <c r="IL46" s="260">
        <v>988.4</v>
      </c>
      <c r="IM46" s="260">
        <v>1059.3</v>
      </c>
      <c r="IN46" s="260">
        <v>901</v>
      </c>
      <c r="IO46" s="260"/>
      <c r="IP46" s="260">
        <v>1175.0999999999999</v>
      </c>
      <c r="IQ46" s="260">
        <v>1290</v>
      </c>
      <c r="IR46" s="260">
        <v>520</v>
      </c>
      <c r="IS46" s="260">
        <v>1198</v>
      </c>
      <c r="IT46" s="260">
        <v>1075.2</v>
      </c>
      <c r="IU46" s="260"/>
      <c r="IV46" s="260"/>
      <c r="IW46" s="260">
        <v>1280</v>
      </c>
      <c r="IX46" s="260">
        <v>1150.9000000000001</v>
      </c>
      <c r="IY46" s="260">
        <v>1204</v>
      </c>
      <c r="IZ46" s="260">
        <v>766</v>
      </c>
      <c r="JA46" s="260">
        <v>1020.1</v>
      </c>
      <c r="JB46" s="289">
        <v>29.02</v>
      </c>
      <c r="JC46" s="289">
        <v>40.1</v>
      </c>
      <c r="JD46" s="289">
        <v>1.6</v>
      </c>
      <c r="JE46" s="289">
        <v>5.4</v>
      </c>
      <c r="JF46" s="289"/>
      <c r="JG46" s="289">
        <v>0</v>
      </c>
      <c r="JH46" s="259">
        <v>5.78</v>
      </c>
      <c r="JI46" s="290"/>
      <c r="JJ46" s="290"/>
      <c r="JK46" s="260">
        <v>84170081.761999995</v>
      </c>
      <c r="JL46" s="9">
        <v>281964.31599999999</v>
      </c>
      <c r="JM46" s="260">
        <v>57238934.706</v>
      </c>
      <c r="JN46" s="260">
        <v>61593.285000000003</v>
      </c>
      <c r="JO46" s="260">
        <v>84958087.188999996</v>
      </c>
      <c r="JP46" s="260">
        <v>186920.64600000001</v>
      </c>
      <c r="JQ46" s="260">
        <v>61554663.803999998</v>
      </c>
      <c r="JR46" s="260">
        <v>55671.487999999998</v>
      </c>
      <c r="JS46" s="289">
        <v>319031987.79000002</v>
      </c>
      <c r="JT46" s="11">
        <v>84029.622000000003</v>
      </c>
      <c r="JU46" s="283">
        <f t="shared" ref="JU46" si="169">IF((JK46-JK45)&lt;0,"",(JK46-JK45))</f>
        <v>76984.848999992013</v>
      </c>
      <c r="JV46" s="283">
        <f t="shared" ref="JV46:JV48" si="170">IF((JL46-JL45)&lt;0,"",(JL46-JL45))</f>
        <v>12.064000000013039</v>
      </c>
      <c r="JW46" s="283">
        <f t="shared" ref="JW46:JW47" si="171">IF((JM46-JM45)&lt;0,"",(JM46-JM45))</f>
        <v>73302.708999998868</v>
      </c>
      <c r="JX46" s="283">
        <f t="shared" ref="JX46" si="172">IF((JN46-JN45)&lt;0,"",(JN46-JN45))</f>
        <v>10.562000000005355</v>
      </c>
      <c r="JY46" s="284">
        <f t="shared" ref="JY46" si="173">IF((JO46-JO45)&lt;0,"",(JO46-JO45))</f>
        <v>75092.74699999392</v>
      </c>
      <c r="JZ46" s="284">
        <f t="shared" ref="JZ46" si="174">IF((JP46-JP45)&lt;0,"",(JP46-JP45))</f>
        <v>31.108000000007451</v>
      </c>
      <c r="KA46" s="284">
        <f t="shared" ref="KA46" si="175">IF((JQ46-JQ45)&lt;0,"",(JQ46-JQ45))</f>
        <v>59062.886999994516</v>
      </c>
      <c r="KB46" s="284">
        <f t="shared" ref="KB46" si="176">IF((JR46-JR45)&lt;0,"",(JR46-JR45))</f>
        <v>13.865999999994528</v>
      </c>
      <c r="KC46" s="283">
        <f t="shared" ref="KC46" si="177">IF((JS46-JS45)&lt;0,"",(JS46-JS45))</f>
        <v>284293.99099999666</v>
      </c>
      <c r="KD46" s="283">
        <f t="shared" ref="KD46" si="178">IF((JT46-JT45)&lt;0,"",(JT46-JT45))</f>
        <v>47.885999999998603</v>
      </c>
      <c r="KE46" s="291">
        <f t="shared" ref="KE46" si="179">(JU46+JW46)-(JV46+JX46)</f>
        <v>150264.93199999086</v>
      </c>
      <c r="KF46" s="291">
        <f t="shared" ref="KF46" si="180">IFERROR(KC46-KD46,"")</f>
        <v>284246.10499999666</v>
      </c>
      <c r="KG46" s="292">
        <f>(RD[[#This Row],[Sunset Time (POA&lt;20 W/m2)]]-RD[[#This Row],[Sunrise Time (POA&gt;20 W/m2)]])*24</f>
        <v>12.083333333333336</v>
      </c>
      <c r="KH46" s="293">
        <f>RD[[#This Row],[GHI ]]</f>
        <v>0</v>
      </c>
      <c r="KI46" s="293">
        <f>RD[[#This Row],[POA]]</f>
        <v>5.78</v>
      </c>
      <c r="KJ46" s="293">
        <f>RD[[#This Row],[AT (°C) 14 Hours]]</f>
        <v>29.02</v>
      </c>
      <c r="KK46" s="293">
        <f>RD[[#This Row],[MT (°C) Gen. Hours]]</f>
        <v>40.1</v>
      </c>
      <c r="KL46" s="293">
        <f>RD[[#This Row],[WS_Avg (m/s) (24 Hours)]]</f>
        <v>1.6</v>
      </c>
      <c r="KM46" s="293">
        <f>RD[[#This Row],[WS_Max (m/s)]]</f>
        <v>5.4</v>
      </c>
      <c r="KN46" s="294">
        <f>SUM(RD[[#This Row],[BLK1_INV1]:[BLK8_INV27]])</f>
        <v>283650.66251000005</v>
      </c>
      <c r="KO46" s="95"/>
      <c r="KP46" s="55"/>
      <c r="KQ46" s="90" t="str">
        <f>IFERROR(RD[[#This Row],[WPR_Eac]]/RD[[#This Row],[WPR_Edc]],"")</f>
        <v/>
      </c>
    </row>
    <row r="47" spans="2:303" ht="15" customHeight="1" x14ac:dyDescent="0.25">
      <c r="B47" s="52">
        <v>45788</v>
      </c>
      <c r="C47" s="9">
        <f>YEAR(RD[[#This Row],[Date]])+IF(MONTH(RD[[#This Row],[Date]])&gt;=4,1,0)</f>
        <v>2026</v>
      </c>
      <c r="D47" s="6">
        <f t="shared" si="126"/>
        <v>2025</v>
      </c>
      <c r="E47" s="7"/>
      <c r="F47" s="7"/>
      <c r="G47" s="8" t="str">
        <f>TEXT(RD[[#This Row],[Date]],"mmm-yy")</f>
        <v>May-25</v>
      </c>
      <c r="H47" s="6">
        <f t="shared" si="127"/>
        <v>31</v>
      </c>
      <c r="I47" s="9">
        <f>'Basic Data '!$S$2</f>
        <v>66750</v>
      </c>
      <c r="J47" s="10">
        <v>0.24166666666666667</v>
      </c>
      <c r="K47" s="10">
        <v>0.76041666666666663</v>
      </c>
      <c r="L47" s="260">
        <v>1468</v>
      </c>
      <c r="M47" s="260">
        <v>1482</v>
      </c>
      <c r="N47" s="260">
        <v>1375</v>
      </c>
      <c r="O47" s="260">
        <v>1367</v>
      </c>
      <c r="P47" s="260">
        <v>1475</v>
      </c>
      <c r="Q47" s="260">
        <v>1366</v>
      </c>
      <c r="R47" s="260">
        <v>1372</v>
      </c>
      <c r="S47" s="260">
        <v>1375</v>
      </c>
      <c r="T47" s="260">
        <v>1420</v>
      </c>
      <c r="U47" s="260">
        <v>1431</v>
      </c>
      <c r="V47" s="260">
        <v>1398</v>
      </c>
      <c r="W47" s="260">
        <v>1394</v>
      </c>
      <c r="X47" s="260">
        <v>1373</v>
      </c>
      <c r="Y47" s="260">
        <v>1294</v>
      </c>
      <c r="Z47" s="260">
        <v>1376</v>
      </c>
      <c r="AA47" s="260">
        <v>1370</v>
      </c>
      <c r="AB47" s="260">
        <v>1312</v>
      </c>
      <c r="AC47" s="260">
        <v>1367</v>
      </c>
      <c r="AD47" s="260">
        <v>1475</v>
      </c>
      <c r="AE47" s="260">
        <v>1477</v>
      </c>
      <c r="AF47" s="260">
        <v>1380</v>
      </c>
      <c r="AG47" s="260">
        <v>1382</v>
      </c>
      <c r="AH47" s="260">
        <v>1513</v>
      </c>
      <c r="AI47" s="260">
        <v>1545</v>
      </c>
      <c r="AJ47" s="260">
        <v>1489</v>
      </c>
      <c r="AK47" s="260">
        <v>1468</v>
      </c>
      <c r="AL47" s="260">
        <v>1461</v>
      </c>
      <c r="AM47" s="260">
        <v>1514</v>
      </c>
      <c r="AN47" s="260">
        <v>1525</v>
      </c>
      <c r="AO47" s="260">
        <v>1510</v>
      </c>
      <c r="AP47" s="260">
        <v>1440</v>
      </c>
      <c r="AQ47" s="260">
        <v>1517</v>
      </c>
      <c r="AR47" s="260">
        <v>1272</v>
      </c>
      <c r="AS47" s="260">
        <v>1668</v>
      </c>
      <c r="AT47" s="260">
        <v>1313</v>
      </c>
      <c r="AU47" s="260">
        <v>1482</v>
      </c>
      <c r="AV47" s="260">
        <v>1363</v>
      </c>
      <c r="AW47" s="260">
        <v>1341</v>
      </c>
      <c r="AX47" s="260">
        <v>1356</v>
      </c>
      <c r="AY47" s="260">
        <v>1370</v>
      </c>
      <c r="AZ47" s="260">
        <v>1352</v>
      </c>
      <c r="BA47" s="260">
        <v>1336</v>
      </c>
      <c r="BB47" s="260">
        <v>1292</v>
      </c>
      <c r="BC47" s="260">
        <v>1344</v>
      </c>
      <c r="BD47" s="260">
        <v>1362</v>
      </c>
      <c r="BE47" s="260">
        <v>1374</v>
      </c>
      <c r="BF47" s="260">
        <v>1481</v>
      </c>
      <c r="BG47" s="260">
        <v>1352</v>
      </c>
      <c r="BH47" s="260">
        <v>1416</v>
      </c>
      <c r="BI47" s="260">
        <v>1392</v>
      </c>
      <c r="BJ47" s="260">
        <v>1368</v>
      </c>
      <c r="BK47" s="260">
        <v>1366</v>
      </c>
      <c r="BL47" s="260">
        <v>1555</v>
      </c>
      <c r="BM47" s="260">
        <v>1543</v>
      </c>
      <c r="BN47" s="260">
        <v>1468</v>
      </c>
      <c r="BO47" s="260">
        <v>1490</v>
      </c>
      <c r="BP47" s="260">
        <v>1550</v>
      </c>
      <c r="BQ47" s="260">
        <v>1383</v>
      </c>
      <c r="BR47" s="260">
        <v>1539</v>
      </c>
      <c r="BS47" s="260">
        <v>1557</v>
      </c>
      <c r="BT47" s="260">
        <v>1373</v>
      </c>
      <c r="BU47" s="260">
        <v>1546</v>
      </c>
      <c r="BV47" s="260">
        <v>1310</v>
      </c>
      <c r="BW47" s="260">
        <v>1310</v>
      </c>
      <c r="BX47" s="260">
        <v>1482</v>
      </c>
      <c r="BY47" s="260">
        <v>1472</v>
      </c>
      <c r="BZ47" s="260">
        <v>1491</v>
      </c>
      <c r="CA47" s="260">
        <v>1328</v>
      </c>
      <c r="CB47" s="260">
        <v>1360</v>
      </c>
      <c r="CC47" s="260">
        <v>1355</v>
      </c>
      <c r="CD47" s="260">
        <v>1366</v>
      </c>
      <c r="CE47" s="260">
        <v>1361</v>
      </c>
      <c r="CF47" s="260">
        <v>1384</v>
      </c>
      <c r="CG47" s="260">
        <v>1370</v>
      </c>
      <c r="CH47" s="260">
        <v>1545</v>
      </c>
      <c r="CI47" s="260">
        <v>1495</v>
      </c>
      <c r="CJ47" s="260">
        <v>1538</v>
      </c>
      <c r="CK47" s="260">
        <v>1319</v>
      </c>
      <c r="CL47" s="260">
        <v>1313</v>
      </c>
      <c r="CM47" s="260">
        <v>1439</v>
      </c>
      <c r="CN47" s="260">
        <v>1365</v>
      </c>
      <c r="CO47" s="260">
        <v>1366</v>
      </c>
      <c r="CP47" s="260">
        <v>1356</v>
      </c>
      <c r="CQ47" s="260">
        <v>1395</v>
      </c>
      <c r="CR47" s="260">
        <v>1363</v>
      </c>
      <c r="CS47" s="260">
        <v>1369</v>
      </c>
      <c r="CT47" s="260">
        <v>1384</v>
      </c>
      <c r="CU47" s="260">
        <v>1364</v>
      </c>
      <c r="CV47" s="260">
        <v>1364</v>
      </c>
      <c r="CW47" s="260">
        <v>1351</v>
      </c>
      <c r="CX47" s="260">
        <v>1417</v>
      </c>
      <c r="CY47" s="260">
        <v>1310</v>
      </c>
      <c r="CZ47" s="260">
        <v>1391</v>
      </c>
      <c r="DA47" s="260">
        <v>1384</v>
      </c>
      <c r="DB47" s="260">
        <v>1478</v>
      </c>
      <c r="DC47" s="260">
        <v>1308</v>
      </c>
      <c r="DD47" s="260">
        <v>1319</v>
      </c>
      <c r="DE47" s="260">
        <v>1376</v>
      </c>
      <c r="DF47" s="260">
        <v>1355</v>
      </c>
      <c r="DG47" s="260">
        <v>1364</v>
      </c>
      <c r="DH47" s="260">
        <v>1399</v>
      </c>
      <c r="DI47" s="260">
        <v>1363</v>
      </c>
      <c r="DJ47" s="260">
        <v>1384</v>
      </c>
      <c r="DK47" s="260">
        <v>1363</v>
      </c>
      <c r="DL47" s="260">
        <v>1560</v>
      </c>
      <c r="DM47" s="260">
        <v>1374</v>
      </c>
      <c r="DN47" s="260">
        <v>1638</v>
      </c>
      <c r="DO47" s="260">
        <v>1525</v>
      </c>
      <c r="DP47" s="260">
        <v>1386</v>
      </c>
      <c r="DQ47" s="260">
        <v>1560</v>
      </c>
      <c r="DR47" s="260">
        <v>1491</v>
      </c>
      <c r="DS47" s="260">
        <v>1471</v>
      </c>
      <c r="DT47" s="260">
        <v>1537</v>
      </c>
      <c r="DU47" s="260">
        <v>1538</v>
      </c>
      <c r="DV47" s="260">
        <v>1371</v>
      </c>
      <c r="DW47" s="260">
        <v>1387</v>
      </c>
      <c r="DX47" s="260">
        <v>1514</v>
      </c>
      <c r="DY47" s="260">
        <v>1547</v>
      </c>
      <c r="DZ47" s="260">
        <v>1534</v>
      </c>
      <c r="EA47" s="260">
        <v>1376</v>
      </c>
      <c r="EB47" s="260">
        <v>1396</v>
      </c>
      <c r="EC47" s="260">
        <v>1482</v>
      </c>
      <c r="ED47" s="260">
        <v>1497</v>
      </c>
      <c r="EE47" s="260">
        <v>1377</v>
      </c>
      <c r="EF47" s="260">
        <v>1385</v>
      </c>
      <c r="EG47" s="260">
        <v>1460</v>
      </c>
      <c r="EH47" s="260">
        <v>1264</v>
      </c>
      <c r="EI47" s="260">
        <v>1310</v>
      </c>
      <c r="EJ47" s="260">
        <v>1503</v>
      </c>
      <c r="EK47" s="260">
        <v>1452</v>
      </c>
      <c r="EL47" s="260">
        <v>1333</v>
      </c>
      <c r="EM47" s="260">
        <v>1442</v>
      </c>
      <c r="EN47" s="260">
        <v>1375</v>
      </c>
      <c r="EO47" s="260">
        <v>1217</v>
      </c>
      <c r="EP47" s="260">
        <v>1533</v>
      </c>
      <c r="EQ47" s="260">
        <v>1465</v>
      </c>
      <c r="ER47" s="260">
        <v>1478</v>
      </c>
      <c r="ES47" s="260">
        <v>1458</v>
      </c>
      <c r="ET47" s="260">
        <v>1439</v>
      </c>
      <c r="EU47" s="260">
        <v>1371</v>
      </c>
      <c r="EV47" s="260">
        <v>1319</v>
      </c>
      <c r="EW47" s="260">
        <v>1420</v>
      </c>
      <c r="EX47" s="260">
        <v>1313</v>
      </c>
      <c r="EY47" s="260">
        <v>1502</v>
      </c>
      <c r="EZ47" s="260">
        <v>1266</v>
      </c>
      <c r="FA47" s="260">
        <v>1520</v>
      </c>
      <c r="FB47" s="260">
        <v>1351</v>
      </c>
      <c r="FC47" s="260">
        <v>1258</v>
      </c>
      <c r="FD47" s="260">
        <v>1474</v>
      </c>
      <c r="FE47" s="260">
        <v>1482</v>
      </c>
      <c r="FF47" s="260">
        <v>1496</v>
      </c>
      <c r="FG47" s="260">
        <v>1370</v>
      </c>
      <c r="FH47" s="260">
        <v>1576</v>
      </c>
      <c r="FI47" s="260">
        <v>1375</v>
      </c>
      <c r="FJ47" s="260">
        <v>1357</v>
      </c>
      <c r="FK47" s="260">
        <v>1341</v>
      </c>
      <c r="FL47" s="260">
        <v>1310</v>
      </c>
      <c r="FM47" s="260">
        <v>1276</v>
      </c>
      <c r="FN47" s="260">
        <v>1358</v>
      </c>
      <c r="FO47" s="260">
        <v>1304</v>
      </c>
      <c r="FP47" s="260">
        <v>1512</v>
      </c>
      <c r="FQ47" s="260">
        <v>1254</v>
      </c>
      <c r="FR47" s="260">
        <v>1487</v>
      </c>
      <c r="FS47" s="260">
        <v>1464</v>
      </c>
      <c r="FT47" s="260">
        <v>1504</v>
      </c>
      <c r="FU47" s="260">
        <v>1329</v>
      </c>
      <c r="FV47" s="260">
        <v>1298</v>
      </c>
      <c r="FW47" s="260">
        <v>1311</v>
      </c>
      <c r="FX47" s="260">
        <v>1350</v>
      </c>
      <c r="FY47" s="260">
        <v>1313</v>
      </c>
      <c r="FZ47" s="260">
        <v>1340</v>
      </c>
      <c r="GA47" s="260">
        <v>1308</v>
      </c>
      <c r="GB47" s="260">
        <v>1478</v>
      </c>
      <c r="GC47" s="260">
        <v>1383</v>
      </c>
      <c r="GD47" s="260">
        <v>1476</v>
      </c>
      <c r="GE47" s="260">
        <v>1341</v>
      </c>
      <c r="GF47" s="260">
        <v>1357</v>
      </c>
      <c r="GG47" s="260">
        <v>1325</v>
      </c>
      <c r="GH47" s="260">
        <v>1512</v>
      </c>
      <c r="GI47" s="260">
        <v>1357</v>
      </c>
      <c r="GJ47" s="260">
        <v>1471</v>
      </c>
      <c r="GK47" s="260">
        <v>1473</v>
      </c>
      <c r="GL47" s="260">
        <v>1515</v>
      </c>
      <c r="GM47" s="260">
        <v>1482</v>
      </c>
      <c r="GN47" s="260">
        <v>1469</v>
      </c>
      <c r="GO47" s="260">
        <v>1518</v>
      </c>
      <c r="GP47" s="260">
        <v>1410</v>
      </c>
      <c r="GQ47" s="260">
        <v>1418</v>
      </c>
      <c r="GR47" s="260">
        <v>1374</v>
      </c>
      <c r="GS47" s="260">
        <v>1374</v>
      </c>
      <c r="GT47" s="260">
        <v>1356</v>
      </c>
      <c r="GU47" s="260">
        <v>1344</v>
      </c>
      <c r="GV47" s="260">
        <v>1227</v>
      </c>
      <c r="GW47" s="260">
        <v>1379</v>
      </c>
      <c r="GX47" s="260">
        <v>1307</v>
      </c>
      <c r="GY47" s="260">
        <v>1378</v>
      </c>
      <c r="GZ47" s="260">
        <v>1156</v>
      </c>
      <c r="HA47" s="260">
        <v>1405</v>
      </c>
      <c r="HB47" s="260"/>
      <c r="HC47" s="260"/>
      <c r="HD47" s="260">
        <v>1177</v>
      </c>
      <c r="HE47" s="260">
        <v>926</v>
      </c>
      <c r="HF47" s="260">
        <v>1377</v>
      </c>
      <c r="HG47" s="260"/>
      <c r="HH47" s="260">
        <v>1488</v>
      </c>
      <c r="HI47" s="260">
        <v>1314</v>
      </c>
      <c r="HJ47" s="260">
        <v>1378</v>
      </c>
      <c r="HK47" s="260">
        <v>1342</v>
      </c>
      <c r="HL47" s="260">
        <v>1373</v>
      </c>
      <c r="HM47" s="260">
        <v>1372</v>
      </c>
      <c r="HN47" s="260">
        <v>1392</v>
      </c>
      <c r="HO47" s="260">
        <v>1381</v>
      </c>
      <c r="HP47" s="260">
        <v>1393</v>
      </c>
      <c r="HQ47" s="260">
        <v>1414</v>
      </c>
      <c r="HR47" s="260">
        <v>1382</v>
      </c>
      <c r="HS47" s="260">
        <v>1388</v>
      </c>
      <c r="HT47" s="260">
        <v>1546</v>
      </c>
      <c r="HU47" s="260">
        <v>1576</v>
      </c>
      <c r="HV47" s="260">
        <v>1281</v>
      </c>
      <c r="HW47" s="260">
        <v>1236</v>
      </c>
      <c r="HX47" s="260">
        <v>1278</v>
      </c>
      <c r="HY47" s="260">
        <v>1263</v>
      </c>
      <c r="HZ47" s="260">
        <v>1105</v>
      </c>
      <c r="IA47" s="260">
        <v>1196</v>
      </c>
      <c r="IB47" s="260">
        <v>1429</v>
      </c>
      <c r="IC47" s="260">
        <v>1541</v>
      </c>
      <c r="ID47" s="260">
        <v>1465</v>
      </c>
      <c r="IE47" s="260">
        <v>1453</v>
      </c>
      <c r="IF47" s="260">
        <v>1410</v>
      </c>
      <c r="IG47" s="260">
        <v>1478</v>
      </c>
      <c r="IH47" s="260">
        <v>1475</v>
      </c>
      <c r="II47" s="260">
        <v>1517</v>
      </c>
      <c r="IJ47" s="260">
        <v>1220</v>
      </c>
      <c r="IK47" s="260">
        <v>1360</v>
      </c>
      <c r="IL47" s="260">
        <v>1234</v>
      </c>
      <c r="IM47" s="260">
        <v>1305</v>
      </c>
      <c r="IN47" s="260">
        <v>1107</v>
      </c>
      <c r="IO47" s="260"/>
      <c r="IP47" s="9">
        <v>1350</v>
      </c>
      <c r="IQ47" s="9">
        <v>1398</v>
      </c>
      <c r="IR47" s="9">
        <v>587</v>
      </c>
      <c r="IS47" s="9">
        <v>1280</v>
      </c>
      <c r="IT47" s="9">
        <v>1281</v>
      </c>
      <c r="IU47" s="9"/>
      <c r="IV47" s="9"/>
      <c r="IW47" s="9">
        <v>1230</v>
      </c>
      <c r="IX47" s="9">
        <v>1319</v>
      </c>
      <c r="IY47" s="9">
        <v>1369</v>
      </c>
      <c r="IZ47" s="9">
        <v>1436</v>
      </c>
      <c r="JA47" s="9">
        <v>1226</v>
      </c>
      <c r="JB47" s="289">
        <v>31.8</v>
      </c>
      <c r="JC47" s="289">
        <v>43.4</v>
      </c>
      <c r="JD47" s="289">
        <v>1.5</v>
      </c>
      <c r="JE47" s="289">
        <v>4.8</v>
      </c>
      <c r="JF47" s="289"/>
      <c r="JG47" s="289">
        <v>0</v>
      </c>
      <c r="JH47" s="259">
        <v>6.7</v>
      </c>
      <c r="JI47" s="290"/>
      <c r="JJ47" s="290"/>
      <c r="JK47" s="260">
        <v>84260905.718999997</v>
      </c>
      <c r="JL47" s="260">
        <v>281980.51400000002</v>
      </c>
      <c r="JM47" s="260">
        <v>57325630.313000001</v>
      </c>
      <c r="JN47" s="260">
        <v>61632.383000000002</v>
      </c>
      <c r="JO47" s="260">
        <v>85046238.547999993</v>
      </c>
      <c r="JP47" s="260">
        <v>186946.05900000001</v>
      </c>
      <c r="JQ47" s="260">
        <v>61625296.527999997</v>
      </c>
      <c r="JR47" s="260">
        <v>55720.302000000003</v>
      </c>
      <c r="JS47" s="289">
        <v>319368171.542</v>
      </c>
      <c r="JT47" s="289">
        <v>84092.853000000003</v>
      </c>
      <c r="JU47" s="283">
        <f t="shared" si="160"/>
        <v>90823.957000002265</v>
      </c>
      <c r="JV47" s="283">
        <f t="shared" si="170"/>
        <v>16.198000000033062</v>
      </c>
      <c r="JW47" s="283">
        <f t="shared" si="171"/>
        <v>86695.607000000775</v>
      </c>
      <c r="JX47" s="283">
        <f t="shared" si="162"/>
        <v>39.097999999998137</v>
      </c>
      <c r="JY47" s="284">
        <f t="shared" si="163"/>
        <v>88151.358999997377</v>
      </c>
      <c r="JZ47" s="284">
        <f t="shared" si="164"/>
        <v>25.413000000000466</v>
      </c>
      <c r="KA47" s="284">
        <f t="shared" si="165"/>
        <v>70632.723999999464</v>
      </c>
      <c r="KB47" s="284">
        <f t="shared" si="166"/>
        <v>48.814000000005763</v>
      </c>
      <c r="KC47" s="283">
        <f t="shared" si="167"/>
        <v>336183.75199997425</v>
      </c>
      <c r="KD47" s="283">
        <f t="shared" si="158"/>
        <v>63.230999999999767</v>
      </c>
      <c r="KE47" s="291">
        <f t="shared" ref="KE47:KE48" si="181">(JU47+JW47)-(JV47+JX47)</f>
        <v>177464.26800000301</v>
      </c>
      <c r="KF47" s="291">
        <f t="shared" si="168"/>
        <v>336120.52099997422</v>
      </c>
      <c r="KG47" s="292">
        <f>(RD[[#This Row],[Sunset Time (POA&lt;20 W/m2)]]-RD[[#This Row],[Sunrise Time (POA&gt;20 W/m2)]])*24</f>
        <v>12.45</v>
      </c>
      <c r="KH47" s="293">
        <f>RD[[#This Row],[GHI ]]</f>
        <v>0</v>
      </c>
      <c r="KI47" s="293">
        <f>RD[[#This Row],[POA]]</f>
        <v>6.7</v>
      </c>
      <c r="KJ47" s="293">
        <f>RD[[#This Row],[AT (°C) 14 Hours]]</f>
        <v>31.8</v>
      </c>
      <c r="KK47" s="293">
        <f>RD[[#This Row],[MT (°C) Gen. Hours]]</f>
        <v>43.4</v>
      </c>
      <c r="KL47" s="293">
        <f>RD[[#This Row],[WS_Avg (m/s) (24 Hours)]]</f>
        <v>1.5</v>
      </c>
      <c r="KM47" s="293">
        <f>RD[[#This Row],[WS_Max (m/s)]]</f>
        <v>4.8</v>
      </c>
      <c r="KN47" s="294">
        <f>SUM(RD[[#This Row],[BLK1_INV1]:[BLK8_INV27]])</f>
        <v>338732</v>
      </c>
      <c r="KO47" s="95"/>
      <c r="KP47" s="55"/>
      <c r="KQ47" s="90" t="str">
        <f>IFERROR(RD[[#This Row],[WPR_Eac]]/RD[[#This Row],[WPR_Edc]],"")</f>
        <v/>
      </c>
    </row>
    <row r="48" spans="2:303" ht="15" customHeight="1" x14ac:dyDescent="0.25">
      <c r="B48" s="52">
        <v>45789</v>
      </c>
      <c r="C48" s="9">
        <f>YEAR(RD[[#This Row],[Date]])+IF(MONTH(RD[[#This Row],[Date]])&gt;=4,1,0)</f>
        <v>2026</v>
      </c>
      <c r="D48" s="6">
        <f t="shared" si="126"/>
        <v>2025</v>
      </c>
      <c r="E48" s="7"/>
      <c r="F48" s="7"/>
      <c r="G48" s="8" t="str">
        <f>TEXT(RD[[#This Row],[Date]],"mmm-yy")</f>
        <v>May-25</v>
      </c>
      <c r="H48" s="6">
        <f t="shared" si="127"/>
        <v>31</v>
      </c>
      <c r="I48" s="9">
        <f>'Basic Data '!$S$2</f>
        <v>66750</v>
      </c>
      <c r="J48" s="10">
        <v>0.2590277777777778</v>
      </c>
      <c r="K48" s="10">
        <v>0.77222222222222225</v>
      </c>
      <c r="L48" s="260">
        <v>1500</v>
      </c>
      <c r="M48" s="260">
        <v>1512</v>
      </c>
      <c r="N48" s="260">
        <v>1401</v>
      </c>
      <c r="O48" s="260">
        <v>1395</v>
      </c>
      <c r="P48" s="260">
        <v>1502</v>
      </c>
      <c r="Q48" s="260">
        <v>1392</v>
      </c>
      <c r="R48" s="260">
        <v>1401</v>
      </c>
      <c r="S48" s="260">
        <v>1403</v>
      </c>
      <c r="T48" s="260">
        <v>1446</v>
      </c>
      <c r="U48" s="260">
        <v>1460</v>
      </c>
      <c r="V48" s="260">
        <v>1427</v>
      </c>
      <c r="W48" s="260">
        <v>1422</v>
      </c>
      <c r="X48" s="260">
        <v>1401</v>
      </c>
      <c r="Y48" s="260">
        <v>1319</v>
      </c>
      <c r="Z48" s="260">
        <v>1392</v>
      </c>
      <c r="AA48" s="260">
        <v>1394</v>
      </c>
      <c r="AB48" s="260">
        <v>1336</v>
      </c>
      <c r="AC48" s="260">
        <v>1393</v>
      </c>
      <c r="AD48" s="260">
        <v>1508</v>
      </c>
      <c r="AE48" s="260">
        <v>1511</v>
      </c>
      <c r="AF48" s="260">
        <v>1401</v>
      </c>
      <c r="AG48" s="260">
        <v>1409</v>
      </c>
      <c r="AH48" s="260">
        <v>1539</v>
      </c>
      <c r="AI48" s="260">
        <v>1579</v>
      </c>
      <c r="AJ48" s="260">
        <v>1522</v>
      </c>
      <c r="AK48" s="260">
        <v>1502</v>
      </c>
      <c r="AL48" s="260">
        <v>1496</v>
      </c>
      <c r="AM48" s="260">
        <v>1550</v>
      </c>
      <c r="AN48" s="260">
        <v>1565</v>
      </c>
      <c r="AO48" s="260">
        <v>1542</v>
      </c>
      <c r="AP48" s="260">
        <v>1425</v>
      </c>
      <c r="AQ48" s="260">
        <v>1552</v>
      </c>
      <c r="AR48" s="260">
        <v>1305</v>
      </c>
      <c r="AS48" s="260">
        <v>1702</v>
      </c>
      <c r="AT48" s="260">
        <v>1347</v>
      </c>
      <c r="AU48" s="260">
        <v>1517</v>
      </c>
      <c r="AV48" s="260">
        <v>1391</v>
      </c>
      <c r="AW48" s="260">
        <v>1371</v>
      </c>
      <c r="AX48" s="260">
        <v>1388</v>
      </c>
      <c r="AY48" s="260">
        <v>1401</v>
      </c>
      <c r="AZ48" s="260">
        <v>1380</v>
      </c>
      <c r="BA48" s="260">
        <v>1354</v>
      </c>
      <c r="BB48" s="260">
        <v>1323</v>
      </c>
      <c r="BC48" s="260">
        <v>1377</v>
      </c>
      <c r="BD48" s="260">
        <v>1391</v>
      </c>
      <c r="BE48" s="260">
        <v>1404</v>
      </c>
      <c r="BF48" s="260">
        <v>1511</v>
      </c>
      <c r="BG48" s="260">
        <v>1381</v>
      </c>
      <c r="BH48" s="260">
        <v>1444</v>
      </c>
      <c r="BI48" s="260">
        <v>1421</v>
      </c>
      <c r="BJ48" s="260">
        <v>1394</v>
      </c>
      <c r="BK48" s="260">
        <v>1393</v>
      </c>
      <c r="BL48" s="260">
        <v>1585</v>
      </c>
      <c r="BM48" s="260">
        <v>1576</v>
      </c>
      <c r="BN48" s="260">
        <v>1500</v>
      </c>
      <c r="BO48" s="260">
        <v>1516</v>
      </c>
      <c r="BP48" s="260">
        <v>1579</v>
      </c>
      <c r="BQ48" s="260">
        <v>1412</v>
      </c>
      <c r="BR48" s="260">
        <v>1568</v>
      </c>
      <c r="BS48" s="260">
        <v>1590</v>
      </c>
      <c r="BT48" s="260">
        <v>1401</v>
      </c>
      <c r="BU48" s="260">
        <v>1577</v>
      </c>
      <c r="BV48" s="260">
        <v>1391</v>
      </c>
      <c r="BW48" s="260">
        <v>1370</v>
      </c>
      <c r="BX48" s="260">
        <v>1518</v>
      </c>
      <c r="BY48" s="260">
        <v>1508</v>
      </c>
      <c r="BZ48" s="260">
        <v>1526</v>
      </c>
      <c r="CA48" s="260">
        <v>1350</v>
      </c>
      <c r="CB48" s="260">
        <v>1385</v>
      </c>
      <c r="CC48" s="260">
        <v>1388</v>
      </c>
      <c r="CD48" s="260">
        <v>1397</v>
      </c>
      <c r="CE48" s="260">
        <v>1393</v>
      </c>
      <c r="CF48" s="260">
        <v>1415</v>
      </c>
      <c r="CG48" s="260">
        <v>1396</v>
      </c>
      <c r="CH48" s="260">
        <v>1590</v>
      </c>
      <c r="CI48" s="260">
        <v>1545</v>
      </c>
      <c r="CJ48" s="260">
        <v>1583</v>
      </c>
      <c r="CK48" s="260">
        <v>1350</v>
      </c>
      <c r="CL48" s="260">
        <v>1342</v>
      </c>
      <c r="CM48" s="260">
        <v>1452</v>
      </c>
      <c r="CN48" s="260">
        <v>1397</v>
      </c>
      <c r="CO48" s="260">
        <v>1397</v>
      </c>
      <c r="CP48" s="260">
        <v>1387</v>
      </c>
      <c r="CQ48" s="260">
        <v>1397</v>
      </c>
      <c r="CR48" s="260">
        <v>1386</v>
      </c>
      <c r="CS48" s="260">
        <v>1399</v>
      </c>
      <c r="CT48" s="260">
        <v>1413</v>
      </c>
      <c r="CU48" s="260">
        <v>1394</v>
      </c>
      <c r="CV48" s="260">
        <v>1393</v>
      </c>
      <c r="CW48" s="260">
        <v>1379</v>
      </c>
      <c r="CX48" s="260">
        <v>1447</v>
      </c>
      <c r="CY48" s="260">
        <v>1356</v>
      </c>
      <c r="CZ48" s="260">
        <v>1423</v>
      </c>
      <c r="DA48" s="260">
        <v>1416</v>
      </c>
      <c r="DB48" s="260">
        <v>1543</v>
      </c>
      <c r="DC48" s="260">
        <v>1342</v>
      </c>
      <c r="DD48" s="260">
        <v>1351</v>
      </c>
      <c r="DE48" s="260">
        <v>1408</v>
      </c>
      <c r="DF48" s="260">
        <v>1388</v>
      </c>
      <c r="DG48" s="260">
        <v>1396</v>
      </c>
      <c r="DH48" s="260">
        <v>1436</v>
      </c>
      <c r="DI48" s="260">
        <v>1395</v>
      </c>
      <c r="DJ48" s="260">
        <v>1424</v>
      </c>
      <c r="DK48" s="260">
        <v>1396</v>
      </c>
      <c r="DL48" s="260">
        <v>1599</v>
      </c>
      <c r="DM48" s="260">
        <v>1413</v>
      </c>
      <c r="DN48" s="260">
        <v>1674</v>
      </c>
      <c r="DO48" s="260">
        <v>1560</v>
      </c>
      <c r="DP48" s="260">
        <v>1417</v>
      </c>
      <c r="DQ48" s="260">
        <v>1556</v>
      </c>
      <c r="DR48" s="260">
        <v>1528</v>
      </c>
      <c r="DS48" s="260">
        <v>1499</v>
      </c>
      <c r="DT48" s="260">
        <v>1541</v>
      </c>
      <c r="DU48" s="260">
        <v>1576</v>
      </c>
      <c r="DV48" s="260">
        <v>1404</v>
      </c>
      <c r="DW48" s="260">
        <v>1301</v>
      </c>
      <c r="DX48" s="260">
        <v>1548</v>
      </c>
      <c r="DY48" s="260">
        <v>1585</v>
      </c>
      <c r="DZ48" s="260">
        <v>1574</v>
      </c>
      <c r="EA48" s="260">
        <v>1413</v>
      </c>
      <c r="EB48" s="260">
        <v>1430</v>
      </c>
      <c r="EC48" s="260">
        <v>1512</v>
      </c>
      <c r="ED48" s="260">
        <v>1534</v>
      </c>
      <c r="EE48" s="260">
        <v>1409</v>
      </c>
      <c r="EF48" s="260">
        <v>1419</v>
      </c>
      <c r="EG48" s="260">
        <v>1548</v>
      </c>
      <c r="EH48" s="260">
        <v>1346</v>
      </c>
      <c r="EI48" s="260">
        <v>1367</v>
      </c>
      <c r="EJ48" s="260">
        <v>1563</v>
      </c>
      <c r="EK48" s="260">
        <v>1495</v>
      </c>
      <c r="EL48" s="260">
        <v>1364</v>
      </c>
      <c r="EM48" s="260">
        <v>1474</v>
      </c>
      <c r="EN48" s="260">
        <v>1408</v>
      </c>
      <c r="EO48" s="260">
        <v>1244</v>
      </c>
      <c r="EP48" s="260">
        <v>1570</v>
      </c>
      <c r="EQ48" s="260">
        <v>1501</v>
      </c>
      <c r="ER48" s="260">
        <v>1512</v>
      </c>
      <c r="ES48" s="260">
        <v>1481</v>
      </c>
      <c r="ET48" s="260">
        <v>1474</v>
      </c>
      <c r="EU48" s="260">
        <v>1406</v>
      </c>
      <c r="EV48" s="260">
        <v>1350</v>
      </c>
      <c r="EW48" s="260">
        <v>1455</v>
      </c>
      <c r="EX48" s="260">
        <v>1345</v>
      </c>
      <c r="EY48" s="260">
        <v>1539</v>
      </c>
      <c r="EZ48" s="260">
        <v>1367</v>
      </c>
      <c r="FA48" s="260">
        <v>1555</v>
      </c>
      <c r="FB48" s="260">
        <v>1387</v>
      </c>
      <c r="FC48" s="260">
        <v>1291</v>
      </c>
      <c r="FD48" s="260">
        <v>1511</v>
      </c>
      <c r="FE48" s="260">
        <v>1520</v>
      </c>
      <c r="FF48" s="260">
        <v>1533</v>
      </c>
      <c r="FG48" s="260">
        <v>1405</v>
      </c>
      <c r="FH48" s="260">
        <v>1615</v>
      </c>
      <c r="FI48" s="260">
        <v>1410</v>
      </c>
      <c r="FJ48" s="260">
        <v>1389</v>
      </c>
      <c r="FK48" s="260">
        <v>1375</v>
      </c>
      <c r="FL48" s="260">
        <v>1328</v>
      </c>
      <c r="FM48" s="260">
        <v>1307</v>
      </c>
      <c r="FN48" s="260">
        <v>1393</v>
      </c>
      <c r="FO48" s="260">
        <v>1341</v>
      </c>
      <c r="FP48" s="260">
        <v>1552</v>
      </c>
      <c r="FQ48" s="260">
        <v>1283</v>
      </c>
      <c r="FR48" s="260">
        <v>1525</v>
      </c>
      <c r="FS48" s="260">
        <v>1498</v>
      </c>
      <c r="FT48" s="260">
        <v>1539</v>
      </c>
      <c r="FU48" s="260">
        <v>1297</v>
      </c>
      <c r="FV48" s="260">
        <v>1323</v>
      </c>
      <c r="FW48" s="260">
        <v>1518</v>
      </c>
      <c r="FX48" s="260">
        <v>1375</v>
      </c>
      <c r="FY48" s="260">
        <v>1339</v>
      </c>
      <c r="FZ48" s="260">
        <v>1352</v>
      </c>
      <c r="GA48" s="260">
        <v>1334</v>
      </c>
      <c r="GB48" s="260">
        <v>1504</v>
      </c>
      <c r="GC48" s="260">
        <v>1410</v>
      </c>
      <c r="GD48" s="260">
        <v>1517</v>
      </c>
      <c r="GE48" s="260">
        <v>1377</v>
      </c>
      <c r="GF48" s="260">
        <v>1389</v>
      </c>
      <c r="GG48" s="260">
        <v>1355</v>
      </c>
      <c r="GH48" s="260">
        <v>1524</v>
      </c>
      <c r="GI48" s="260">
        <v>1405</v>
      </c>
      <c r="GJ48" s="260">
        <v>1486</v>
      </c>
      <c r="GK48" s="260">
        <v>1504</v>
      </c>
      <c r="GL48" s="260">
        <v>1551</v>
      </c>
      <c r="GM48" s="260">
        <v>1517</v>
      </c>
      <c r="GN48" s="260">
        <v>1507</v>
      </c>
      <c r="GO48" s="260">
        <v>1497</v>
      </c>
      <c r="GP48" s="260">
        <v>1447</v>
      </c>
      <c r="GQ48" s="260">
        <v>1455</v>
      </c>
      <c r="GR48" s="260">
        <v>1400</v>
      </c>
      <c r="GS48" s="260">
        <v>1404</v>
      </c>
      <c r="GT48" s="260">
        <v>1392</v>
      </c>
      <c r="GU48" s="260">
        <v>1386</v>
      </c>
      <c r="GV48" s="260">
        <v>1362</v>
      </c>
      <c r="GW48" s="260">
        <v>1413</v>
      </c>
      <c r="GX48" s="260">
        <v>1340</v>
      </c>
      <c r="GY48" s="260">
        <v>1411</v>
      </c>
      <c r="GZ48" s="260">
        <v>1185</v>
      </c>
      <c r="HA48" s="260">
        <v>1437</v>
      </c>
      <c r="HB48" s="260"/>
      <c r="HC48" s="260"/>
      <c r="HD48" s="260">
        <v>1205</v>
      </c>
      <c r="HE48" s="260">
        <v>980</v>
      </c>
      <c r="HF48" s="260">
        <v>1409</v>
      </c>
      <c r="HG48" s="260"/>
      <c r="HH48" s="260">
        <v>1520</v>
      </c>
      <c r="HI48" s="260">
        <v>1343</v>
      </c>
      <c r="HJ48" s="260">
        <v>1414</v>
      </c>
      <c r="HK48" s="260">
        <v>1378</v>
      </c>
      <c r="HL48" s="260">
        <v>1406</v>
      </c>
      <c r="HM48" s="260">
        <v>1405</v>
      </c>
      <c r="HN48" s="260">
        <v>1423</v>
      </c>
      <c r="HO48" s="260">
        <v>1414</v>
      </c>
      <c r="HP48" s="260">
        <v>1424</v>
      </c>
      <c r="HQ48" s="260">
        <v>1444</v>
      </c>
      <c r="HR48" s="260">
        <v>1415</v>
      </c>
      <c r="HS48" s="260">
        <v>1422</v>
      </c>
      <c r="HT48" s="260">
        <v>1582</v>
      </c>
      <c r="HU48" s="260">
        <v>1611</v>
      </c>
      <c r="HV48" s="260">
        <v>1305</v>
      </c>
      <c r="HW48" s="260">
        <v>1266</v>
      </c>
      <c r="HX48" s="260">
        <v>1095</v>
      </c>
      <c r="HY48" s="260">
        <v>919</v>
      </c>
      <c r="HZ48" s="260">
        <v>1130</v>
      </c>
      <c r="IA48" s="260">
        <v>1185</v>
      </c>
      <c r="IB48" s="260">
        <v>1420</v>
      </c>
      <c r="IC48" s="260">
        <v>1519</v>
      </c>
      <c r="ID48" s="260">
        <v>1458</v>
      </c>
      <c r="IE48" s="260">
        <v>1460</v>
      </c>
      <c r="IF48" s="260">
        <v>1450</v>
      </c>
      <c r="IG48" s="260">
        <v>1478</v>
      </c>
      <c r="IH48" s="260">
        <v>1463</v>
      </c>
      <c r="II48" s="260">
        <v>1511</v>
      </c>
      <c r="IJ48" s="260">
        <v>1212</v>
      </c>
      <c r="IK48" s="260">
        <v>1357</v>
      </c>
      <c r="IL48" s="260">
        <v>1226</v>
      </c>
      <c r="IM48" s="260">
        <v>1290</v>
      </c>
      <c r="IN48" s="260">
        <v>1097</v>
      </c>
      <c r="IO48" s="260"/>
      <c r="IP48" s="260">
        <v>1520</v>
      </c>
      <c r="IQ48" s="260">
        <v>1368</v>
      </c>
      <c r="IR48" s="260">
        <v>534</v>
      </c>
      <c r="IS48" s="260">
        <v>1280</v>
      </c>
      <c r="IT48" s="260">
        <v>1400</v>
      </c>
      <c r="IU48" s="260"/>
      <c r="IV48" s="260"/>
      <c r="IW48" s="260">
        <v>1470</v>
      </c>
      <c r="IX48" s="260">
        <v>1312</v>
      </c>
      <c r="IY48" s="260">
        <v>1335</v>
      </c>
      <c r="IZ48" s="260">
        <v>1415</v>
      </c>
      <c r="JA48" s="260">
        <v>1422</v>
      </c>
      <c r="JB48" s="289">
        <v>35.130000000000003</v>
      </c>
      <c r="JC48" s="289">
        <v>43.88</v>
      </c>
      <c r="JD48" s="289">
        <v>1.88</v>
      </c>
      <c r="JE48" s="289">
        <v>7.3</v>
      </c>
      <c r="JF48" s="289"/>
      <c r="JG48" s="289">
        <v>0</v>
      </c>
      <c r="JH48" s="259">
        <v>6.85</v>
      </c>
      <c r="JI48" s="290"/>
      <c r="JJ48" s="290"/>
      <c r="JK48" s="260">
        <v>84353521.616999999</v>
      </c>
      <c r="JL48" s="260">
        <v>281995.734</v>
      </c>
      <c r="JM48" s="260">
        <v>57414124.155000001</v>
      </c>
      <c r="JN48" s="260">
        <v>61641.406999999999</v>
      </c>
      <c r="JO48" s="260">
        <v>85137234.454999998</v>
      </c>
      <c r="JP48" s="260">
        <v>186972.56899999999</v>
      </c>
      <c r="JQ48" s="260">
        <v>61697142.630999997</v>
      </c>
      <c r="JR48" s="260">
        <v>55734.392999999996</v>
      </c>
      <c r="JS48" s="289">
        <v>319711873.32599998</v>
      </c>
      <c r="JT48" s="289">
        <v>84154.281000000003</v>
      </c>
      <c r="JU48" s="283">
        <f t="shared" si="160"/>
        <v>92615.898000001907</v>
      </c>
      <c r="JV48" s="283">
        <f t="shared" si="170"/>
        <v>15.21999999997206</v>
      </c>
      <c r="JW48" s="283">
        <f t="shared" si="161"/>
        <v>88493.842000000179</v>
      </c>
      <c r="JX48" s="283">
        <f t="shared" si="162"/>
        <v>9.0239999999976135</v>
      </c>
      <c r="JY48" s="284">
        <f t="shared" si="163"/>
        <v>90995.907000005245</v>
      </c>
      <c r="JZ48" s="284">
        <f t="shared" si="164"/>
        <v>26.509999999980209</v>
      </c>
      <c r="KA48" s="284">
        <f t="shared" si="165"/>
        <v>71846.103000000119</v>
      </c>
      <c r="KB48" s="284">
        <f t="shared" si="166"/>
        <v>14.090999999993073</v>
      </c>
      <c r="KC48" s="283">
        <f t="shared" si="167"/>
        <v>343701.7839999795</v>
      </c>
      <c r="KD48" s="283">
        <f t="shared" ref="KD48" si="182">IF((JT48-JT47)&lt;0,"",(JT48-JT47))</f>
        <v>61.427999999999884</v>
      </c>
      <c r="KE48" s="291">
        <f t="shared" si="181"/>
        <v>181085.49600000211</v>
      </c>
      <c r="KF48" s="291">
        <f t="shared" si="168"/>
        <v>343640.35599997948</v>
      </c>
      <c r="KG48" s="292">
        <f>(RD[[#This Row],[Sunset Time (POA&lt;20 W/m2)]]-RD[[#This Row],[Sunrise Time (POA&gt;20 W/m2)]])*24</f>
        <v>12.316666666666668</v>
      </c>
      <c r="KH48" s="293">
        <f>RD[[#This Row],[GHI ]]</f>
        <v>0</v>
      </c>
      <c r="KI48" s="293">
        <f>RD[[#This Row],[POA]]</f>
        <v>6.85</v>
      </c>
      <c r="KJ48" s="293">
        <f>RD[[#This Row],[AT (°C) 14 Hours]]</f>
        <v>35.130000000000003</v>
      </c>
      <c r="KK48" s="293">
        <f>RD[[#This Row],[MT (°C) Gen. Hours]]</f>
        <v>43.88</v>
      </c>
      <c r="KL48" s="293">
        <f>RD[[#This Row],[WS_Avg (m/s) (24 Hours)]]</f>
        <v>1.88</v>
      </c>
      <c r="KM48" s="293">
        <f>RD[[#This Row],[WS_Max (m/s)]]</f>
        <v>7.3</v>
      </c>
      <c r="KN48" s="294">
        <f>SUM(RD[[#This Row],[BLK1_INV1]:[BLK8_INV27]])</f>
        <v>345699</v>
      </c>
      <c r="KO48" s="95"/>
      <c r="KP48" s="55"/>
      <c r="KQ48" s="90" t="str">
        <f>IFERROR(RD[[#This Row],[WPR_Eac]]/RD[[#This Row],[WPR_Edc]],"")</f>
        <v/>
      </c>
    </row>
    <row r="49" spans="2:303" ht="15" customHeight="1" x14ac:dyDescent="0.25">
      <c r="B49" s="52">
        <v>45790</v>
      </c>
      <c r="C49" s="9">
        <f>YEAR(RD[[#This Row],[Date]])+IF(MONTH(RD[[#This Row],[Date]])&gt;=4,1,0)</f>
        <v>2026</v>
      </c>
      <c r="D49" s="6">
        <f t="shared" si="126"/>
        <v>2025</v>
      </c>
      <c r="E49" s="7"/>
      <c r="F49" s="7"/>
      <c r="G49" s="8" t="str">
        <f>TEXT(RD[[#This Row],[Date]],"mmm-yy")</f>
        <v>May-25</v>
      </c>
      <c r="H49" s="6">
        <f t="shared" si="127"/>
        <v>31</v>
      </c>
      <c r="I49" s="9">
        <f>'Basic Data '!$S$2</f>
        <v>66750</v>
      </c>
      <c r="J49" s="10">
        <v>0.25208333333333333</v>
      </c>
      <c r="K49" s="10">
        <v>0.77083333333333337</v>
      </c>
      <c r="L49" s="260">
        <v>1250</v>
      </c>
      <c r="M49" s="260">
        <v>1272</v>
      </c>
      <c r="N49" s="260">
        <v>1181</v>
      </c>
      <c r="O49" s="260">
        <v>1176</v>
      </c>
      <c r="P49" s="260">
        <v>1270</v>
      </c>
      <c r="Q49" s="260">
        <v>1173</v>
      </c>
      <c r="R49" s="260">
        <v>1178</v>
      </c>
      <c r="S49" s="260">
        <v>1182</v>
      </c>
      <c r="T49" s="260">
        <v>1221</v>
      </c>
      <c r="U49" s="260">
        <v>1232</v>
      </c>
      <c r="V49" s="260">
        <v>1168</v>
      </c>
      <c r="W49" s="260">
        <v>1182</v>
      </c>
      <c r="X49" s="260">
        <v>1156</v>
      </c>
      <c r="Y49" s="260">
        <v>1076</v>
      </c>
      <c r="Z49" s="260">
        <v>1132</v>
      </c>
      <c r="AA49" s="260">
        <v>1175</v>
      </c>
      <c r="AB49" s="260">
        <v>1088</v>
      </c>
      <c r="AC49" s="260">
        <v>1071</v>
      </c>
      <c r="AD49" s="260">
        <v>1161</v>
      </c>
      <c r="AE49" s="260">
        <v>1161</v>
      </c>
      <c r="AF49" s="260">
        <v>1075</v>
      </c>
      <c r="AG49" s="260">
        <v>1084</v>
      </c>
      <c r="AH49" s="260">
        <v>1188.9000000000001</v>
      </c>
      <c r="AI49" s="260">
        <v>1218</v>
      </c>
      <c r="AJ49" s="260">
        <v>1171</v>
      </c>
      <c r="AK49" s="260">
        <v>1156</v>
      </c>
      <c r="AL49" s="260">
        <v>1153</v>
      </c>
      <c r="AM49" s="260">
        <v>1198</v>
      </c>
      <c r="AN49" s="260">
        <v>1209</v>
      </c>
      <c r="AO49" s="260">
        <v>1192</v>
      </c>
      <c r="AP49" s="260">
        <v>1198</v>
      </c>
      <c r="AQ49" s="260">
        <v>1202</v>
      </c>
      <c r="AR49" s="260">
        <v>1126.7</v>
      </c>
      <c r="AS49" s="260">
        <v>1430</v>
      </c>
      <c r="AT49" s="260">
        <v>1131</v>
      </c>
      <c r="AU49" s="260">
        <v>1267</v>
      </c>
      <c r="AV49" s="260">
        <v>1166</v>
      </c>
      <c r="AW49" s="260">
        <v>1151</v>
      </c>
      <c r="AX49" s="260">
        <v>1168</v>
      </c>
      <c r="AY49" s="260">
        <v>1180</v>
      </c>
      <c r="AZ49" s="260">
        <v>1163</v>
      </c>
      <c r="BA49" s="260">
        <v>1105</v>
      </c>
      <c r="BB49" s="260">
        <v>1135</v>
      </c>
      <c r="BC49" s="260">
        <v>1158</v>
      </c>
      <c r="BD49" s="260">
        <v>1168</v>
      </c>
      <c r="BE49" s="260">
        <v>1178</v>
      </c>
      <c r="BF49" s="260">
        <v>1267</v>
      </c>
      <c r="BG49" s="260">
        <v>1159</v>
      </c>
      <c r="BH49" s="260">
        <v>1213</v>
      </c>
      <c r="BI49" s="260">
        <v>1195</v>
      </c>
      <c r="BJ49" s="260">
        <v>1171</v>
      </c>
      <c r="BK49" s="260">
        <v>1168</v>
      </c>
      <c r="BL49" s="260">
        <v>1331</v>
      </c>
      <c r="BM49" s="260">
        <v>1320</v>
      </c>
      <c r="BN49" s="260">
        <v>1260</v>
      </c>
      <c r="BO49" s="260">
        <v>1281</v>
      </c>
      <c r="BP49" s="260">
        <v>1330</v>
      </c>
      <c r="BQ49" s="260">
        <v>1192</v>
      </c>
      <c r="BR49" s="260">
        <v>1317</v>
      </c>
      <c r="BS49" s="260">
        <v>1333</v>
      </c>
      <c r="BT49" s="260">
        <v>1180</v>
      </c>
      <c r="BU49" s="260">
        <v>1297</v>
      </c>
      <c r="BV49" s="260">
        <v>1158</v>
      </c>
      <c r="BW49" s="260">
        <v>1110</v>
      </c>
      <c r="BX49" s="260">
        <v>1273</v>
      </c>
      <c r="BY49" s="260">
        <v>1262</v>
      </c>
      <c r="BZ49" s="260">
        <v>1277</v>
      </c>
      <c r="CA49" s="260">
        <v>1128.8</v>
      </c>
      <c r="CB49" s="260">
        <v>1159</v>
      </c>
      <c r="CC49" s="260">
        <v>1160</v>
      </c>
      <c r="CD49" s="260">
        <v>1169</v>
      </c>
      <c r="CE49" s="260">
        <v>1166</v>
      </c>
      <c r="CF49" s="260">
        <v>1186</v>
      </c>
      <c r="CG49" s="260">
        <v>1159</v>
      </c>
      <c r="CH49" s="260">
        <v>1322</v>
      </c>
      <c r="CI49" s="260">
        <v>1298</v>
      </c>
      <c r="CJ49" s="260">
        <v>1325</v>
      </c>
      <c r="CK49" s="260">
        <v>1139</v>
      </c>
      <c r="CL49" s="260">
        <v>1131</v>
      </c>
      <c r="CM49" s="260">
        <v>1210</v>
      </c>
      <c r="CN49" s="260">
        <v>1171</v>
      </c>
      <c r="CO49" s="260">
        <v>1178</v>
      </c>
      <c r="CP49" s="260">
        <v>1161</v>
      </c>
      <c r="CQ49" s="260">
        <v>1169</v>
      </c>
      <c r="CR49" s="260">
        <v>1165</v>
      </c>
      <c r="CS49" s="260">
        <v>1170</v>
      </c>
      <c r="CT49" s="260">
        <v>1183</v>
      </c>
      <c r="CU49" s="260">
        <v>1167</v>
      </c>
      <c r="CV49" s="260">
        <v>1167</v>
      </c>
      <c r="CW49" s="260">
        <v>1158</v>
      </c>
      <c r="CX49" s="260">
        <v>1212</v>
      </c>
      <c r="CY49" s="260">
        <v>1212</v>
      </c>
      <c r="CZ49" s="260">
        <v>1175</v>
      </c>
      <c r="DA49" s="260">
        <v>1154</v>
      </c>
      <c r="DB49" s="260">
        <v>1303</v>
      </c>
      <c r="DC49" s="260">
        <v>1117</v>
      </c>
      <c r="DD49" s="260">
        <v>1127</v>
      </c>
      <c r="DE49" s="260">
        <v>1167</v>
      </c>
      <c r="DF49" s="260">
        <v>1148</v>
      </c>
      <c r="DG49" s="260">
        <v>1157</v>
      </c>
      <c r="DH49" s="260">
        <v>1188</v>
      </c>
      <c r="DI49" s="260">
        <v>1156</v>
      </c>
      <c r="DJ49" s="260">
        <v>1175</v>
      </c>
      <c r="DK49" s="260">
        <v>1153</v>
      </c>
      <c r="DL49" s="260">
        <v>1310</v>
      </c>
      <c r="DM49" s="260">
        <v>1167</v>
      </c>
      <c r="DN49" s="260">
        <v>1371</v>
      </c>
      <c r="DO49" s="260">
        <v>1289</v>
      </c>
      <c r="DP49" s="260">
        <v>1172</v>
      </c>
      <c r="DQ49" s="260">
        <v>1267</v>
      </c>
      <c r="DR49" s="260">
        <v>1258</v>
      </c>
      <c r="DS49" s="260">
        <v>1233</v>
      </c>
      <c r="DT49" s="260">
        <v>1273</v>
      </c>
      <c r="DU49" s="260">
        <v>1304</v>
      </c>
      <c r="DV49" s="260">
        <v>1163</v>
      </c>
      <c r="DW49" s="260">
        <v>1106</v>
      </c>
      <c r="DX49" s="260">
        <v>1276</v>
      </c>
      <c r="DY49" s="260">
        <v>1301</v>
      </c>
      <c r="DZ49" s="260">
        <v>1291</v>
      </c>
      <c r="EA49" s="260">
        <v>1165</v>
      </c>
      <c r="EB49" s="260">
        <v>1185</v>
      </c>
      <c r="EC49" s="260">
        <v>1263</v>
      </c>
      <c r="ED49" s="260">
        <v>1267</v>
      </c>
      <c r="EE49" s="260">
        <v>1166</v>
      </c>
      <c r="EF49" s="260">
        <v>1174</v>
      </c>
      <c r="EG49" s="260">
        <v>1398</v>
      </c>
      <c r="EH49" s="260">
        <v>1130</v>
      </c>
      <c r="EI49" s="260">
        <v>1134</v>
      </c>
      <c r="EJ49" s="260">
        <v>1302</v>
      </c>
      <c r="EK49" s="260">
        <v>1238</v>
      </c>
      <c r="EL49" s="260">
        <v>1159</v>
      </c>
      <c r="EM49" s="260">
        <v>1246</v>
      </c>
      <c r="EN49" s="260">
        <v>1164</v>
      </c>
      <c r="EO49" s="260">
        <v>1025</v>
      </c>
      <c r="EP49" s="260">
        <v>1298</v>
      </c>
      <c r="EQ49" s="260">
        <v>1244</v>
      </c>
      <c r="ER49" s="260">
        <v>1254</v>
      </c>
      <c r="ES49" s="260">
        <v>1238</v>
      </c>
      <c r="ET49" s="260">
        <v>1214</v>
      </c>
      <c r="EU49" s="260">
        <v>1155</v>
      </c>
      <c r="EV49" s="260">
        <v>1117</v>
      </c>
      <c r="EW49" s="260">
        <v>1212</v>
      </c>
      <c r="EX49" s="260">
        <v>1124</v>
      </c>
      <c r="EY49" s="260">
        <v>1270</v>
      </c>
      <c r="EZ49" s="260">
        <v>1080</v>
      </c>
      <c r="FA49" s="260">
        <v>1241</v>
      </c>
      <c r="FB49" s="260">
        <v>1147</v>
      </c>
      <c r="FC49" s="260">
        <v>1069</v>
      </c>
      <c r="FD49" s="260">
        <v>1249</v>
      </c>
      <c r="FE49" s="260">
        <v>1264</v>
      </c>
      <c r="FF49" s="260">
        <v>1265</v>
      </c>
      <c r="FG49" s="260">
        <v>1158</v>
      </c>
      <c r="FH49" s="260">
        <v>1327</v>
      </c>
      <c r="FI49" s="260">
        <v>1159</v>
      </c>
      <c r="FJ49" s="260">
        <v>1144</v>
      </c>
      <c r="FK49" s="260">
        <v>1135</v>
      </c>
      <c r="FL49" s="260">
        <v>1198</v>
      </c>
      <c r="FM49" s="260">
        <v>1088</v>
      </c>
      <c r="FN49" s="260">
        <v>1170</v>
      </c>
      <c r="FO49" s="260">
        <v>1131</v>
      </c>
      <c r="FP49" s="260">
        <v>1308</v>
      </c>
      <c r="FQ49" s="260">
        <v>1112</v>
      </c>
      <c r="FR49" s="260">
        <v>1291</v>
      </c>
      <c r="FS49" s="260">
        <v>1263</v>
      </c>
      <c r="FT49" s="260">
        <v>1301</v>
      </c>
      <c r="FU49" s="260">
        <v>1089</v>
      </c>
      <c r="FV49" s="260">
        <v>1110</v>
      </c>
      <c r="FW49" s="260">
        <v>1276</v>
      </c>
      <c r="FX49" s="260">
        <v>1157</v>
      </c>
      <c r="FY49" s="260">
        <v>1125</v>
      </c>
      <c r="FZ49" s="260">
        <v>1131</v>
      </c>
      <c r="GA49" s="260">
        <v>1123</v>
      </c>
      <c r="GB49" s="260">
        <v>1273</v>
      </c>
      <c r="GC49" s="260">
        <v>1186</v>
      </c>
      <c r="GD49" s="260">
        <v>1272</v>
      </c>
      <c r="GE49" s="260">
        <v>1157</v>
      </c>
      <c r="GF49" s="260">
        <v>1166</v>
      </c>
      <c r="GG49" s="260">
        <v>1141</v>
      </c>
      <c r="GH49" s="260">
        <v>1282</v>
      </c>
      <c r="GI49" s="260">
        <v>1182</v>
      </c>
      <c r="GJ49" s="260">
        <v>1250</v>
      </c>
      <c r="GK49" s="260">
        <v>1264</v>
      </c>
      <c r="GL49" s="260">
        <v>1308</v>
      </c>
      <c r="GM49" s="260">
        <v>1278</v>
      </c>
      <c r="GN49" s="260">
        <v>1268</v>
      </c>
      <c r="GO49" s="260">
        <v>1260</v>
      </c>
      <c r="GP49" s="260">
        <v>1214</v>
      </c>
      <c r="GQ49" s="260">
        <v>1221</v>
      </c>
      <c r="GR49" s="260">
        <v>1173</v>
      </c>
      <c r="GS49" s="260">
        <v>1169</v>
      </c>
      <c r="GT49" s="260">
        <v>1144</v>
      </c>
      <c r="GU49" s="260">
        <v>1137</v>
      </c>
      <c r="GV49" s="260">
        <v>1119</v>
      </c>
      <c r="GW49" s="260">
        <v>1162</v>
      </c>
      <c r="GX49" s="260">
        <v>1131</v>
      </c>
      <c r="GY49" s="260">
        <v>1160</v>
      </c>
      <c r="GZ49" s="260">
        <v>975</v>
      </c>
      <c r="HA49" s="260">
        <v>1183</v>
      </c>
      <c r="HB49" s="260"/>
      <c r="HC49" s="260"/>
      <c r="HD49" s="260">
        <v>1004</v>
      </c>
      <c r="HE49" s="260">
        <v>842</v>
      </c>
      <c r="HF49" s="260">
        <v>1155</v>
      </c>
      <c r="HG49" s="260"/>
      <c r="HH49" s="260">
        <v>1252</v>
      </c>
      <c r="HI49" s="260">
        <v>1114</v>
      </c>
      <c r="HJ49" s="260">
        <v>1163</v>
      </c>
      <c r="HK49" s="260">
        <v>1126</v>
      </c>
      <c r="HL49" s="260">
        <v>1158</v>
      </c>
      <c r="HM49" s="260">
        <v>1159</v>
      </c>
      <c r="HN49" s="260">
        <v>1171</v>
      </c>
      <c r="HO49" s="260">
        <v>1164</v>
      </c>
      <c r="HP49" s="260">
        <v>1175</v>
      </c>
      <c r="HQ49" s="260">
        <v>1187</v>
      </c>
      <c r="HR49" s="260">
        <v>1165</v>
      </c>
      <c r="HS49" s="260">
        <v>1173</v>
      </c>
      <c r="HT49" s="260">
        <v>1301</v>
      </c>
      <c r="HU49" s="260">
        <v>1332</v>
      </c>
      <c r="HV49" s="260">
        <v>1075</v>
      </c>
      <c r="HW49" s="260">
        <v>1037</v>
      </c>
      <c r="HX49" s="260">
        <v>908</v>
      </c>
      <c r="HY49" s="260">
        <v>750</v>
      </c>
      <c r="HZ49" s="260">
        <v>894</v>
      </c>
      <c r="IA49" s="260">
        <v>1003</v>
      </c>
      <c r="IB49" s="260">
        <v>1205</v>
      </c>
      <c r="IC49" s="260">
        <v>1282</v>
      </c>
      <c r="ID49" s="260">
        <v>1234</v>
      </c>
      <c r="IE49" s="260">
        <v>1223</v>
      </c>
      <c r="IF49" s="260">
        <v>1208</v>
      </c>
      <c r="IG49" s="260">
        <v>1228</v>
      </c>
      <c r="IH49" s="260">
        <v>1243</v>
      </c>
      <c r="II49" s="260">
        <v>1278</v>
      </c>
      <c r="IJ49" s="260">
        <v>1032</v>
      </c>
      <c r="IK49" s="260">
        <v>1145</v>
      </c>
      <c r="IL49" s="260">
        <v>1037</v>
      </c>
      <c r="IM49" s="260">
        <v>1091</v>
      </c>
      <c r="IN49" s="260">
        <v>925</v>
      </c>
      <c r="IO49" s="260"/>
      <c r="IP49" s="260">
        <v>1375</v>
      </c>
      <c r="IQ49" s="260">
        <v>1170</v>
      </c>
      <c r="IR49" s="260">
        <v>425.9</v>
      </c>
      <c r="IS49" s="260">
        <v>1070.4000000000001</v>
      </c>
      <c r="IT49" s="260">
        <v>1076</v>
      </c>
      <c r="IU49" s="260"/>
      <c r="IV49" s="260"/>
      <c r="IW49" s="260">
        <v>1098</v>
      </c>
      <c r="IX49" s="260">
        <v>1142</v>
      </c>
      <c r="IY49" s="260">
        <v>1103</v>
      </c>
      <c r="IZ49" s="260">
        <v>1103</v>
      </c>
      <c r="JA49" s="260">
        <v>1032</v>
      </c>
      <c r="JB49" s="289">
        <v>34.36</v>
      </c>
      <c r="JC49" s="289">
        <v>42.16</v>
      </c>
      <c r="JD49" s="289">
        <v>1.65</v>
      </c>
      <c r="JE49" s="289">
        <v>11.7</v>
      </c>
      <c r="JF49" s="289"/>
      <c r="JG49" s="289">
        <v>0</v>
      </c>
      <c r="JH49" s="259">
        <v>5.73</v>
      </c>
      <c r="JI49" s="290"/>
      <c r="JJ49" s="290"/>
      <c r="JK49" s="260">
        <v>84429612.061000004</v>
      </c>
      <c r="JL49" s="260">
        <v>282011.53499999997</v>
      </c>
      <c r="JM49" s="260">
        <v>57488191.803999998</v>
      </c>
      <c r="JN49" s="260">
        <v>61677.351999999999</v>
      </c>
      <c r="JO49" s="260">
        <v>85214024.795000002</v>
      </c>
      <c r="JP49" s="260">
        <v>187000.005</v>
      </c>
      <c r="JQ49" s="260">
        <v>61757442.493000001</v>
      </c>
      <c r="JR49" s="260">
        <v>55778.947</v>
      </c>
      <c r="JS49" s="289">
        <v>319998971.92900002</v>
      </c>
      <c r="JT49" s="289">
        <v>84220.239000000001</v>
      </c>
      <c r="JU49" s="283">
        <f t="shared" ref="JU49:JU50" si="183">IF((JK49-JK48)&lt;0,"",(JK49-JK48))</f>
        <v>76090.444000005722</v>
      </c>
      <c r="JV49" s="283">
        <f t="shared" ref="JV49:JV50" si="184">IF((JL49-JL48)&lt;0,"",(JL49-JL48))</f>
        <v>15.800999999977648</v>
      </c>
      <c r="JW49" s="283">
        <f t="shared" ref="JW49:JW50" si="185">IF((JM49-JM48)&lt;0,"",(JM49-JM48))</f>
        <v>74067.648999996483</v>
      </c>
      <c r="JX49" s="283">
        <f t="shared" ref="JX49:JX50" si="186">IF((JN49-JN48)&lt;0,"",(JN49-JN48))</f>
        <v>35.944999999999709</v>
      </c>
      <c r="JY49" s="284">
        <f t="shared" ref="JY49:JY50" si="187">IF((JO49-JO48)&lt;0,"",(JO49-JO48))</f>
        <v>76790.340000003576</v>
      </c>
      <c r="JZ49" s="284">
        <f t="shared" ref="JZ49:JZ50" si="188">IF((JP49-JP48)&lt;0,"",(JP49-JP48))</f>
        <v>27.436000000016065</v>
      </c>
      <c r="KA49" s="284">
        <f t="shared" ref="KA49:KA50" si="189">IF((JQ49-JQ48)&lt;0,"",(JQ49-JQ48))</f>
        <v>60299.862000003457</v>
      </c>
      <c r="KB49" s="284">
        <f t="shared" ref="KB49:KB50" si="190">IF((JR49-JR48)&lt;0,"",(JR49-JR48))</f>
        <v>44.554000000003725</v>
      </c>
      <c r="KC49" s="283">
        <f t="shared" ref="KC49:KC50" si="191">IF((JS49-JS48)&lt;0,"",(JS49-JS48))</f>
        <v>287098.60300004482</v>
      </c>
      <c r="KD49" s="283">
        <f t="shared" ref="KD49:KD57" si="192">IF((JT49-JT48)&lt;0,"",(JT49-JT48))</f>
        <v>65.957999999998719</v>
      </c>
      <c r="KE49" s="291">
        <f t="shared" ref="KE49" si="193">(JU49+JW49)-(JV49+JX49)</f>
        <v>150106.34700000222</v>
      </c>
      <c r="KF49" s="291">
        <f t="shared" ref="KF49" si="194">IFERROR(KC49-KD49,"")</f>
        <v>287032.64500004484</v>
      </c>
      <c r="KG49" s="292">
        <f>(RD[[#This Row],[Sunset Time (POA&lt;20 W/m2)]]-RD[[#This Row],[Sunrise Time (POA&gt;20 W/m2)]])*24</f>
        <v>12.450000000000001</v>
      </c>
      <c r="KH49" s="293">
        <f>RD[[#This Row],[GHI ]]</f>
        <v>0</v>
      </c>
      <c r="KI49" s="293">
        <f>RD[[#This Row],[POA]]</f>
        <v>5.73</v>
      </c>
      <c r="KJ49" s="293">
        <f>RD[[#This Row],[AT (°C) 14 Hours]]</f>
        <v>34.36</v>
      </c>
      <c r="KK49" s="293">
        <f>RD[[#This Row],[MT (°C) Gen. Hours]]</f>
        <v>42.16</v>
      </c>
      <c r="KL49" s="293">
        <f>RD[[#This Row],[WS_Avg (m/s) (24 Hours)]]</f>
        <v>1.65</v>
      </c>
      <c r="KM49" s="293">
        <f>RD[[#This Row],[WS_Max (m/s)]]</f>
        <v>11.7</v>
      </c>
      <c r="KN49" s="294">
        <f>SUM(RD[[#This Row],[BLK1_INV1]:[BLK8_INV27]])</f>
        <v>286967.70000000007</v>
      </c>
      <c r="KO49" s="95"/>
      <c r="KP49" s="55"/>
      <c r="KQ49" s="90" t="str">
        <f>IFERROR(RD[[#This Row],[WPR_Eac]]/RD[[#This Row],[WPR_Edc]],"")</f>
        <v/>
      </c>
    </row>
    <row r="50" spans="2:303" ht="15" customHeight="1" x14ac:dyDescent="0.25">
      <c r="B50" s="52">
        <v>45791</v>
      </c>
      <c r="C50" s="9">
        <f>YEAR(RD[[#This Row],[Date]])+IF(MONTH(RD[[#This Row],[Date]])&gt;=4,1,0)</f>
        <v>2026</v>
      </c>
      <c r="D50" s="6">
        <f t="shared" si="126"/>
        <v>2025</v>
      </c>
      <c r="E50" s="7"/>
      <c r="F50" s="7"/>
      <c r="G50" s="8" t="str">
        <f>TEXT(RD[[#This Row],[Date]],"mmm-yy")</f>
        <v>May-25</v>
      </c>
      <c r="H50" s="6">
        <f t="shared" si="127"/>
        <v>31</v>
      </c>
      <c r="I50" s="9">
        <f>'Basic Data '!$S$2</f>
        <v>66750</v>
      </c>
      <c r="J50" s="10">
        <v>0.22916666666666666</v>
      </c>
      <c r="K50" s="10">
        <v>0.76736111111111116</v>
      </c>
      <c r="L50" s="260">
        <v>1516</v>
      </c>
      <c r="M50" s="260">
        <v>1529</v>
      </c>
      <c r="N50" s="260">
        <v>1418</v>
      </c>
      <c r="O50" s="260">
        <v>1410</v>
      </c>
      <c r="P50" s="260">
        <v>1463</v>
      </c>
      <c r="Q50" s="260">
        <v>1406</v>
      </c>
      <c r="R50" s="260">
        <v>1420</v>
      </c>
      <c r="S50" s="260">
        <v>1424</v>
      </c>
      <c r="T50" s="260">
        <v>1466</v>
      </c>
      <c r="U50" s="260">
        <v>1477</v>
      </c>
      <c r="V50" s="260">
        <v>1451</v>
      </c>
      <c r="W50" s="260">
        <v>1444</v>
      </c>
      <c r="X50" s="260">
        <v>1424</v>
      </c>
      <c r="Y50" s="260">
        <v>1339</v>
      </c>
      <c r="Z50" s="260">
        <v>1358</v>
      </c>
      <c r="AA50" s="260">
        <v>1408</v>
      </c>
      <c r="AB50" s="260">
        <v>1351</v>
      </c>
      <c r="AC50" s="260">
        <v>1408</v>
      </c>
      <c r="AD50" s="260">
        <v>1522</v>
      </c>
      <c r="AE50" s="260">
        <v>1529</v>
      </c>
      <c r="AF50" s="260">
        <v>1362</v>
      </c>
      <c r="AG50" s="260">
        <v>1423</v>
      </c>
      <c r="AH50" s="260">
        <v>1558</v>
      </c>
      <c r="AI50" s="260">
        <v>1598</v>
      </c>
      <c r="AJ50" s="260">
        <v>1542</v>
      </c>
      <c r="AK50" s="260">
        <v>1522</v>
      </c>
      <c r="AL50" s="260">
        <v>1516</v>
      </c>
      <c r="AM50" s="260">
        <v>1471</v>
      </c>
      <c r="AN50" s="260">
        <v>1588</v>
      </c>
      <c r="AO50" s="260">
        <v>1563</v>
      </c>
      <c r="AP50" s="260">
        <v>1542</v>
      </c>
      <c r="AQ50" s="260">
        <v>1577</v>
      </c>
      <c r="AR50" s="260">
        <v>1311</v>
      </c>
      <c r="AS50" s="260">
        <v>1719</v>
      </c>
      <c r="AT50" s="260">
        <v>1351</v>
      </c>
      <c r="AU50" s="260">
        <v>1521</v>
      </c>
      <c r="AV50" s="260">
        <v>1404</v>
      </c>
      <c r="AW50" s="260">
        <v>1384</v>
      </c>
      <c r="AX50" s="260">
        <v>1406</v>
      </c>
      <c r="AY50" s="260">
        <v>1421</v>
      </c>
      <c r="AZ50" s="260">
        <v>1396</v>
      </c>
      <c r="BA50" s="260">
        <v>1331</v>
      </c>
      <c r="BB50" s="260">
        <v>1341</v>
      </c>
      <c r="BC50" s="260">
        <v>1395</v>
      </c>
      <c r="BD50" s="260">
        <v>1406</v>
      </c>
      <c r="BE50" s="260">
        <v>1418</v>
      </c>
      <c r="BF50" s="260">
        <v>1526</v>
      </c>
      <c r="BG50" s="260">
        <v>1399</v>
      </c>
      <c r="BH50" s="260">
        <v>1466</v>
      </c>
      <c r="BI50" s="260">
        <v>1441</v>
      </c>
      <c r="BJ50" s="260">
        <v>1410</v>
      </c>
      <c r="BK50" s="260">
        <v>1408</v>
      </c>
      <c r="BL50" s="260">
        <v>1602</v>
      </c>
      <c r="BM50" s="260">
        <v>1591</v>
      </c>
      <c r="BN50" s="260">
        <v>1511</v>
      </c>
      <c r="BO50" s="260">
        <v>1535</v>
      </c>
      <c r="BP50" s="260">
        <v>1602</v>
      </c>
      <c r="BQ50" s="260">
        <v>1433</v>
      </c>
      <c r="BR50" s="260">
        <v>1585</v>
      </c>
      <c r="BS50" s="260">
        <v>1605</v>
      </c>
      <c r="BT50" s="260">
        <v>1419</v>
      </c>
      <c r="BU50" s="260">
        <v>1591</v>
      </c>
      <c r="BV50" s="260">
        <v>1425</v>
      </c>
      <c r="BW50" s="260">
        <v>1309</v>
      </c>
      <c r="BX50" s="260">
        <v>1537</v>
      </c>
      <c r="BY50" s="260">
        <v>1527</v>
      </c>
      <c r="BZ50" s="260">
        <v>1547</v>
      </c>
      <c r="CA50" s="260">
        <v>1313</v>
      </c>
      <c r="CB50" s="260">
        <v>1408</v>
      </c>
      <c r="CC50" s="260">
        <v>1403</v>
      </c>
      <c r="CD50" s="260">
        <v>1419</v>
      </c>
      <c r="CE50" s="260">
        <v>1414</v>
      </c>
      <c r="CF50" s="260">
        <v>1426</v>
      </c>
      <c r="CG50" s="260">
        <v>1407</v>
      </c>
      <c r="CH50" s="260">
        <v>1628</v>
      </c>
      <c r="CI50" s="260">
        <v>1572</v>
      </c>
      <c r="CJ50" s="260">
        <v>1604</v>
      </c>
      <c r="CK50" s="260">
        <v>1365</v>
      </c>
      <c r="CL50" s="260">
        <v>1348</v>
      </c>
      <c r="CM50" s="260">
        <v>1453</v>
      </c>
      <c r="CN50" s="260">
        <v>1415</v>
      </c>
      <c r="CO50" s="260">
        <v>1410</v>
      </c>
      <c r="CP50" s="260">
        <v>1398</v>
      </c>
      <c r="CQ50" s="260">
        <v>1406</v>
      </c>
      <c r="CR50" s="260">
        <v>1407</v>
      </c>
      <c r="CS50" s="260">
        <v>1412</v>
      </c>
      <c r="CT50" s="260">
        <v>1427</v>
      </c>
      <c r="CU50" s="260">
        <v>1408</v>
      </c>
      <c r="CV50" s="260">
        <v>1415</v>
      </c>
      <c r="CW50" s="260">
        <v>1400</v>
      </c>
      <c r="CX50" s="260">
        <v>1468</v>
      </c>
      <c r="CY50" s="260">
        <v>1422</v>
      </c>
      <c r="CZ50" s="260">
        <v>1437</v>
      </c>
      <c r="DA50" s="260">
        <v>1429</v>
      </c>
      <c r="DB50" s="260">
        <v>1415</v>
      </c>
      <c r="DC50" s="260"/>
      <c r="DD50" s="260"/>
      <c r="DE50" s="260"/>
      <c r="DF50" s="260"/>
      <c r="DG50" s="260"/>
      <c r="DH50" s="260"/>
      <c r="DI50" s="260"/>
      <c r="DJ50" s="260"/>
      <c r="DK50" s="260"/>
      <c r="DL50" s="260"/>
      <c r="DM50" s="260"/>
      <c r="DN50" s="260"/>
      <c r="DO50" s="260"/>
      <c r="DP50" s="260"/>
      <c r="DQ50" s="260"/>
      <c r="DR50" s="260"/>
      <c r="DS50" s="260"/>
      <c r="DT50" s="260"/>
      <c r="DU50" s="260"/>
      <c r="DV50" s="260"/>
      <c r="DW50" s="260"/>
      <c r="DX50" s="260"/>
      <c r="DY50" s="260"/>
      <c r="DZ50" s="260"/>
      <c r="EA50" s="260"/>
      <c r="EB50" s="260"/>
      <c r="EC50" s="260"/>
      <c r="ED50" s="260"/>
      <c r="EE50" s="260"/>
      <c r="EF50" s="260"/>
      <c r="EG50" s="260"/>
      <c r="EH50" s="260"/>
      <c r="EI50" s="260"/>
      <c r="EJ50" s="260"/>
      <c r="EK50" s="260"/>
      <c r="EL50" s="260"/>
      <c r="EM50" s="260"/>
      <c r="EN50" s="260"/>
      <c r="EO50" s="260"/>
      <c r="EP50" s="260"/>
      <c r="EQ50" s="260"/>
      <c r="ER50" s="260"/>
      <c r="ES50" s="260"/>
      <c r="ET50" s="260"/>
      <c r="EU50" s="260"/>
      <c r="EV50" s="260"/>
      <c r="EW50" s="260"/>
      <c r="EX50" s="260"/>
      <c r="EY50" s="260"/>
      <c r="EZ50" s="260"/>
      <c r="FA50" s="260"/>
      <c r="FB50" s="260"/>
      <c r="FC50" s="260"/>
      <c r="FD50" s="260"/>
      <c r="FE50" s="260"/>
      <c r="FF50" s="260"/>
      <c r="FG50" s="260"/>
      <c r="FH50" s="260"/>
      <c r="FI50" s="260"/>
      <c r="FJ50" s="260"/>
      <c r="FK50" s="260"/>
      <c r="FL50" s="260"/>
      <c r="FM50" s="260"/>
      <c r="FN50" s="260">
        <v>1404</v>
      </c>
      <c r="FO50" s="260">
        <v>1352</v>
      </c>
      <c r="FP50" s="260">
        <v>1565</v>
      </c>
      <c r="FQ50" s="260">
        <v>1351</v>
      </c>
      <c r="FR50" s="260">
        <v>1544</v>
      </c>
      <c r="FS50" s="260">
        <v>1510</v>
      </c>
      <c r="FT50" s="260">
        <v>1556</v>
      </c>
      <c r="FU50" s="260">
        <v>1300</v>
      </c>
      <c r="FV50" s="260">
        <v>1332</v>
      </c>
      <c r="FW50" s="260">
        <v>1532</v>
      </c>
      <c r="FX50" s="260">
        <v>1390</v>
      </c>
      <c r="FY50" s="260">
        <v>1354</v>
      </c>
      <c r="FZ50" s="260">
        <v>1381</v>
      </c>
      <c r="GA50" s="260">
        <v>1347</v>
      </c>
      <c r="GB50" s="260">
        <v>1525</v>
      </c>
      <c r="GC50" s="260">
        <v>1426</v>
      </c>
      <c r="GD50" s="260">
        <v>1528</v>
      </c>
      <c r="GE50" s="260">
        <v>1386</v>
      </c>
      <c r="GF50" s="260">
        <v>1400</v>
      </c>
      <c r="GG50" s="260">
        <v>1362</v>
      </c>
      <c r="GH50" s="260">
        <v>1542</v>
      </c>
      <c r="GI50" s="260">
        <v>1416</v>
      </c>
      <c r="GJ50" s="260">
        <v>1502</v>
      </c>
      <c r="GK50" s="260">
        <v>1515</v>
      </c>
      <c r="GL50" s="260">
        <v>1567</v>
      </c>
      <c r="GM50" s="260">
        <v>1533</v>
      </c>
      <c r="GN50" s="260">
        <v>1519</v>
      </c>
      <c r="GO50" s="260">
        <v>1508</v>
      </c>
      <c r="GP50" s="260">
        <v>1456</v>
      </c>
      <c r="GQ50" s="260">
        <v>1468</v>
      </c>
      <c r="GR50" s="260">
        <v>1416</v>
      </c>
      <c r="GS50" s="260">
        <v>1416</v>
      </c>
      <c r="GT50" s="260"/>
      <c r="GU50" s="260"/>
      <c r="GV50" s="260"/>
      <c r="GW50" s="260"/>
      <c r="GX50" s="260"/>
      <c r="GY50" s="260"/>
      <c r="GZ50" s="260"/>
      <c r="HA50" s="260"/>
      <c r="HB50" s="260"/>
      <c r="HC50" s="260"/>
      <c r="HD50" s="260"/>
      <c r="HE50" s="260"/>
      <c r="HF50" s="260"/>
      <c r="HG50" s="260"/>
      <c r="HH50" s="260"/>
      <c r="HI50" s="260"/>
      <c r="HJ50" s="260"/>
      <c r="HK50" s="260"/>
      <c r="HL50" s="260"/>
      <c r="HM50" s="260"/>
      <c r="HN50" s="260"/>
      <c r="HO50" s="260"/>
      <c r="HP50" s="260"/>
      <c r="HQ50" s="260"/>
      <c r="HR50" s="260"/>
      <c r="HS50" s="260"/>
      <c r="HT50" s="260"/>
      <c r="HU50" s="260"/>
      <c r="HV50" s="260"/>
      <c r="HW50" s="260"/>
      <c r="HX50" s="260"/>
      <c r="HY50" s="260"/>
      <c r="HZ50" s="260">
        <v>844</v>
      </c>
      <c r="IA50" s="260">
        <v>1003</v>
      </c>
      <c r="IB50" s="260">
        <v>1205</v>
      </c>
      <c r="IC50" s="260">
        <v>1282</v>
      </c>
      <c r="ID50" s="260">
        <v>1234</v>
      </c>
      <c r="IE50" s="260">
        <v>1223</v>
      </c>
      <c r="IF50" s="260">
        <v>1363</v>
      </c>
      <c r="IG50" s="260">
        <v>1310</v>
      </c>
      <c r="IH50" s="260">
        <v>1243</v>
      </c>
      <c r="II50" s="260">
        <v>1278</v>
      </c>
      <c r="IJ50" s="260">
        <v>1032</v>
      </c>
      <c r="IK50" s="260">
        <v>1145</v>
      </c>
      <c r="IL50" s="260">
        <v>1037</v>
      </c>
      <c r="IM50" s="260">
        <v>1091</v>
      </c>
      <c r="IN50" s="260">
        <v>925</v>
      </c>
      <c r="IO50" s="260"/>
      <c r="IP50" s="260"/>
      <c r="IQ50" s="260"/>
      <c r="IR50" s="260"/>
      <c r="IS50" s="260"/>
      <c r="IT50" s="260"/>
      <c r="IU50" s="260"/>
      <c r="IV50" s="260"/>
      <c r="IW50" s="260"/>
      <c r="IX50" s="260"/>
      <c r="IY50" s="260"/>
      <c r="IZ50" s="260"/>
      <c r="JA50" s="260"/>
      <c r="JB50" s="289">
        <v>38.200000000000003</v>
      </c>
      <c r="JC50" s="289">
        <v>45.38</v>
      </c>
      <c r="JD50" s="289">
        <v>2.6</v>
      </c>
      <c r="JE50" s="289">
        <v>7.1</v>
      </c>
      <c r="JF50" s="289"/>
      <c r="JG50" s="289">
        <v>0</v>
      </c>
      <c r="JH50" s="259">
        <v>6.95</v>
      </c>
      <c r="JI50" s="290"/>
      <c r="JJ50" s="290"/>
      <c r="JK50" s="260">
        <v>84523132.601999998</v>
      </c>
      <c r="JL50" s="260">
        <v>282028.228</v>
      </c>
      <c r="JM50" s="260">
        <v>57577637.484999999</v>
      </c>
      <c r="JN50" s="260">
        <v>61704.247000000003</v>
      </c>
      <c r="JO50" s="260">
        <v>85306571.244000003</v>
      </c>
      <c r="JP50" s="260">
        <v>187045.61499999999</v>
      </c>
      <c r="JQ50" s="260">
        <v>61830305.101000004</v>
      </c>
      <c r="JR50" s="260">
        <v>55807.783000000003</v>
      </c>
      <c r="JS50" s="289">
        <v>320347094.315</v>
      </c>
      <c r="JT50" s="289">
        <v>84286.91</v>
      </c>
      <c r="JU50" s="283">
        <f t="shared" si="183"/>
        <v>93520.540999993682</v>
      </c>
      <c r="JV50" s="283">
        <f t="shared" si="184"/>
        <v>16.693000000028405</v>
      </c>
      <c r="JW50" s="283">
        <f t="shared" si="185"/>
        <v>89445.681000001729</v>
      </c>
      <c r="JX50" s="283">
        <f t="shared" si="186"/>
        <v>26.895000000004075</v>
      </c>
      <c r="JY50" s="284">
        <f t="shared" si="187"/>
        <v>92546.449000000954</v>
      </c>
      <c r="JZ50" s="284">
        <f t="shared" si="188"/>
        <v>45.60999999998603</v>
      </c>
      <c r="KA50" s="284">
        <f t="shared" si="189"/>
        <v>72862.608000002801</v>
      </c>
      <c r="KB50" s="284">
        <f t="shared" si="190"/>
        <v>28.836000000002969</v>
      </c>
      <c r="KC50" s="283">
        <f t="shared" si="191"/>
        <v>348122.38599997759</v>
      </c>
      <c r="KD50" s="283">
        <f t="shared" si="192"/>
        <v>66.671000000002095</v>
      </c>
      <c r="KE50" s="291">
        <f t="shared" si="138"/>
        <v>182922.63399999536</v>
      </c>
      <c r="KF50" s="291">
        <f t="shared" si="139"/>
        <v>348055.71499997762</v>
      </c>
      <c r="KG50" s="292">
        <f>(RD[[#This Row],[Sunset Time (POA&lt;20 W/m2)]]-RD[[#This Row],[Sunrise Time (POA&gt;20 W/m2)]])*24</f>
        <v>12.916666666666668</v>
      </c>
      <c r="KH50" s="293">
        <f>RD[[#This Row],[GHI ]]</f>
        <v>0</v>
      </c>
      <c r="KI50" s="293">
        <f>RD[[#This Row],[POA]]</f>
        <v>6.95</v>
      </c>
      <c r="KJ50" s="293">
        <f>RD[[#This Row],[AT (°C) 14 Hours]]</f>
        <v>38.200000000000003</v>
      </c>
      <c r="KK50" s="293">
        <f>RD[[#This Row],[MT (°C) Gen. Hours]]</f>
        <v>45.38</v>
      </c>
      <c r="KL50" s="293">
        <f>RD[[#This Row],[WS_Avg (m/s) (24 Hours)]]</f>
        <v>2.6</v>
      </c>
      <c r="KM50" s="293">
        <f>RD[[#This Row],[WS_Max (m/s)]]</f>
        <v>7.1</v>
      </c>
      <c r="KN50" s="294">
        <f>SUM(RD[[#This Row],[BLK1_INV1]:[BLK8_INV27]])</f>
        <v>201945</v>
      </c>
      <c r="KO50" s="95"/>
      <c r="KP50" s="55"/>
      <c r="KQ50" s="90" t="str">
        <f>IFERROR(RD[[#This Row],[WPR_Eac]]/RD[[#This Row],[WPR_Edc]],"")</f>
        <v/>
      </c>
    </row>
    <row r="51" spans="2:303" ht="15" customHeight="1" x14ac:dyDescent="0.25">
      <c r="B51" s="52">
        <v>45792</v>
      </c>
      <c r="C51" s="9">
        <f>YEAR(RD[[#This Row],[Date]])+IF(MONTH(RD[[#This Row],[Date]])&gt;=4,1,0)</f>
        <v>2026</v>
      </c>
      <c r="D51" s="6">
        <f t="shared" si="126"/>
        <v>2025</v>
      </c>
      <c r="E51" s="7"/>
      <c r="F51" s="7"/>
      <c r="G51" s="8" t="str">
        <f>TEXT(RD[[#This Row],[Date]],"mmm-yy")</f>
        <v>May-25</v>
      </c>
      <c r="H51" s="6">
        <f t="shared" si="127"/>
        <v>31</v>
      </c>
      <c r="I51" s="9">
        <f>'Basic Data '!$S$2</f>
        <v>66750</v>
      </c>
      <c r="J51" s="10">
        <v>0.23611111111111113</v>
      </c>
      <c r="K51" s="10">
        <v>0.77361111111111114</v>
      </c>
      <c r="L51" s="260">
        <v>1470</v>
      </c>
      <c r="M51" s="260">
        <v>1483</v>
      </c>
      <c r="N51" s="260">
        <v>1376</v>
      </c>
      <c r="O51" s="260">
        <v>1367</v>
      </c>
      <c r="P51" s="260">
        <v>1442.4</v>
      </c>
      <c r="Q51" s="260">
        <v>1368</v>
      </c>
      <c r="R51" s="260">
        <v>1382</v>
      </c>
      <c r="S51" s="260">
        <v>1385</v>
      </c>
      <c r="T51" s="260">
        <v>1428</v>
      </c>
      <c r="U51" s="260">
        <v>1438</v>
      </c>
      <c r="V51" s="260">
        <v>1407</v>
      </c>
      <c r="W51" s="260">
        <v>1400</v>
      </c>
      <c r="X51" s="260">
        <v>1382</v>
      </c>
      <c r="Y51" s="260">
        <v>1301</v>
      </c>
      <c r="Z51" s="260">
        <v>1318</v>
      </c>
      <c r="AA51" s="260">
        <v>1366</v>
      </c>
      <c r="AB51" s="260">
        <v>1378</v>
      </c>
      <c r="AC51" s="260">
        <v>1364</v>
      </c>
      <c r="AD51" s="260">
        <v>1476</v>
      </c>
      <c r="AE51" s="260">
        <v>1480</v>
      </c>
      <c r="AF51" s="260">
        <v>1321</v>
      </c>
      <c r="AG51" s="260">
        <v>1381</v>
      </c>
      <c r="AH51" s="260">
        <v>1511</v>
      </c>
      <c r="AI51" s="260">
        <v>1551</v>
      </c>
      <c r="AJ51" s="260">
        <v>1495</v>
      </c>
      <c r="AK51" s="260">
        <v>1510</v>
      </c>
      <c r="AL51" s="260">
        <v>1471</v>
      </c>
      <c r="AM51" s="260">
        <v>1525</v>
      </c>
      <c r="AN51" s="260">
        <v>1543</v>
      </c>
      <c r="AO51" s="260">
        <v>1518</v>
      </c>
      <c r="AP51" s="260">
        <v>1563</v>
      </c>
      <c r="AQ51" s="260">
        <v>1530</v>
      </c>
      <c r="AR51" s="260">
        <v>1268</v>
      </c>
      <c r="AS51" s="260">
        <v>1669</v>
      </c>
      <c r="AT51" s="260">
        <v>1311</v>
      </c>
      <c r="AU51" s="260">
        <v>1494</v>
      </c>
      <c r="AV51" s="260">
        <v>1364</v>
      </c>
      <c r="AW51" s="260">
        <v>1343</v>
      </c>
      <c r="AX51" s="260">
        <v>1364</v>
      </c>
      <c r="AY51" s="260">
        <v>1379</v>
      </c>
      <c r="AZ51" s="260">
        <v>1354</v>
      </c>
      <c r="BA51" s="260">
        <v>1289</v>
      </c>
      <c r="BB51" s="260">
        <v>1301</v>
      </c>
      <c r="BC51" s="260">
        <v>1352</v>
      </c>
      <c r="BD51" s="260">
        <v>1377</v>
      </c>
      <c r="BE51" s="260">
        <v>1374</v>
      </c>
      <c r="BF51" s="260">
        <v>1489</v>
      </c>
      <c r="BG51" s="260">
        <v>1364</v>
      </c>
      <c r="BH51" s="260">
        <v>1424</v>
      </c>
      <c r="BI51" s="260">
        <v>1398</v>
      </c>
      <c r="BJ51" s="260">
        <v>1378</v>
      </c>
      <c r="BK51" s="260">
        <v>1374</v>
      </c>
      <c r="BL51" s="260">
        <v>1555</v>
      </c>
      <c r="BM51" s="260">
        <v>1543</v>
      </c>
      <c r="BN51" s="260">
        <v>1471</v>
      </c>
      <c r="BO51" s="260">
        <v>1488</v>
      </c>
      <c r="BP51" s="260">
        <v>1559</v>
      </c>
      <c r="BQ51" s="260">
        <v>1389</v>
      </c>
      <c r="BR51" s="260">
        <v>1536</v>
      </c>
      <c r="BS51" s="260">
        <v>1556</v>
      </c>
      <c r="BT51" s="260">
        <v>1376</v>
      </c>
      <c r="BU51" s="260">
        <v>1545</v>
      </c>
      <c r="BV51" s="260">
        <v>1463</v>
      </c>
      <c r="BW51" s="260">
        <v>1298</v>
      </c>
      <c r="BX51" s="260">
        <v>1488</v>
      </c>
      <c r="BY51" s="260">
        <v>1478</v>
      </c>
      <c r="BZ51" s="260">
        <v>1498</v>
      </c>
      <c r="CA51" s="260">
        <v>1273</v>
      </c>
      <c r="CB51" s="260">
        <v>1359</v>
      </c>
      <c r="CC51" s="260">
        <v>1367</v>
      </c>
      <c r="CD51" s="260">
        <v>1375</v>
      </c>
      <c r="CE51" s="260">
        <v>1372</v>
      </c>
      <c r="CF51" s="260">
        <v>1389</v>
      </c>
      <c r="CG51" s="260">
        <v>1363</v>
      </c>
      <c r="CH51" s="260">
        <v>1558</v>
      </c>
      <c r="CI51" s="260">
        <v>1523</v>
      </c>
      <c r="CJ51" s="260">
        <v>1552</v>
      </c>
      <c r="CK51" s="260">
        <v>1346</v>
      </c>
      <c r="CL51" s="260">
        <v>1318</v>
      </c>
      <c r="CM51" s="260">
        <v>1401</v>
      </c>
      <c r="CN51" s="260">
        <v>1379</v>
      </c>
      <c r="CO51" s="260">
        <v>1380</v>
      </c>
      <c r="CP51" s="260">
        <v>1356</v>
      </c>
      <c r="CQ51" s="260">
        <v>1362</v>
      </c>
      <c r="CR51" s="260">
        <v>1375</v>
      </c>
      <c r="CS51" s="260">
        <v>1369</v>
      </c>
      <c r="CT51" s="260">
        <v>1393</v>
      </c>
      <c r="CU51" s="260">
        <v>1374</v>
      </c>
      <c r="CV51" s="260">
        <v>1373</v>
      </c>
      <c r="CW51" s="260">
        <v>1359</v>
      </c>
      <c r="CX51" s="260">
        <v>1421</v>
      </c>
      <c r="CY51" s="260">
        <v>1298</v>
      </c>
      <c r="CZ51" s="260">
        <v>1400</v>
      </c>
      <c r="DA51" s="260">
        <v>1390</v>
      </c>
      <c r="DB51" s="260">
        <v>1410</v>
      </c>
      <c r="DC51" s="260">
        <v>1343</v>
      </c>
      <c r="DD51" s="260">
        <v>1354</v>
      </c>
      <c r="DE51" s="260">
        <v>1357</v>
      </c>
      <c r="DF51" s="260">
        <v>1329</v>
      </c>
      <c r="DG51" s="260">
        <v>1291</v>
      </c>
      <c r="DH51" s="260">
        <v>1421</v>
      </c>
      <c r="DI51" s="260">
        <v>1375</v>
      </c>
      <c r="DJ51" s="260">
        <v>1393</v>
      </c>
      <c r="DK51" s="260">
        <v>1344</v>
      </c>
      <c r="DL51" s="260">
        <v>1547</v>
      </c>
      <c r="DM51" s="260">
        <v>1184</v>
      </c>
      <c r="DN51" s="260">
        <v>1379</v>
      </c>
      <c r="DO51" s="260">
        <v>1489</v>
      </c>
      <c r="DP51" s="260">
        <v>1391</v>
      </c>
      <c r="DQ51" s="260">
        <v>1536</v>
      </c>
      <c r="DR51" s="260">
        <v>1419</v>
      </c>
      <c r="DS51" s="260">
        <v>1523</v>
      </c>
      <c r="DT51" s="260">
        <v>1545</v>
      </c>
      <c r="DU51" s="260">
        <v>1587</v>
      </c>
      <c r="DV51" s="260">
        <v>1331</v>
      </c>
      <c r="DW51" s="260">
        <v>1343</v>
      </c>
      <c r="DX51" s="260">
        <v>1556</v>
      </c>
      <c r="DY51" s="260">
        <v>1449</v>
      </c>
      <c r="DZ51" s="260">
        <v>1404</v>
      </c>
      <c r="EA51" s="260">
        <v>1378</v>
      </c>
      <c r="EB51" s="260">
        <v>1408</v>
      </c>
      <c r="EC51" s="260">
        <v>1480</v>
      </c>
      <c r="ED51" s="260">
        <v>1421</v>
      </c>
      <c r="EE51" s="260">
        <v>1334</v>
      </c>
      <c r="EF51" s="260">
        <v>1402</v>
      </c>
      <c r="EG51" s="260">
        <v>1474</v>
      </c>
      <c r="EH51" s="260">
        <v>1259</v>
      </c>
      <c r="EI51" s="260">
        <v>1285</v>
      </c>
      <c r="EJ51" s="260">
        <v>1510</v>
      </c>
      <c r="EK51" s="260">
        <v>1498</v>
      </c>
      <c r="EL51" s="260">
        <v>1426</v>
      </c>
      <c r="EM51" s="260">
        <v>1428</v>
      </c>
      <c r="EN51" s="260">
        <v>1384</v>
      </c>
      <c r="EO51" s="260">
        <v>1263</v>
      </c>
      <c r="EP51" s="260">
        <v>1529</v>
      </c>
      <c r="EQ51" s="260">
        <v>1436</v>
      </c>
      <c r="ER51" s="260">
        <v>1478</v>
      </c>
      <c r="ES51" s="260">
        <v>1400</v>
      </c>
      <c r="ET51" s="260">
        <v>1398</v>
      </c>
      <c r="EU51" s="260">
        <v>1383</v>
      </c>
      <c r="EV51" s="260">
        <v>1342</v>
      </c>
      <c r="EW51" s="260">
        <v>1389</v>
      </c>
      <c r="EX51" s="260">
        <v>1350</v>
      </c>
      <c r="EY51" s="260">
        <v>1510</v>
      </c>
      <c r="EZ51" s="260">
        <v>1300</v>
      </c>
      <c r="FA51" s="260">
        <v>1516</v>
      </c>
      <c r="FB51" s="260">
        <v>1400</v>
      </c>
      <c r="FC51" s="260">
        <v>1268</v>
      </c>
      <c r="FD51" s="260">
        <v>1449</v>
      </c>
      <c r="FE51" s="260">
        <v>1456</v>
      </c>
      <c r="FF51" s="260">
        <v>1477</v>
      </c>
      <c r="FG51" s="260">
        <v>1362</v>
      </c>
      <c r="FH51" s="260">
        <v>1465</v>
      </c>
      <c r="FI51" s="260">
        <v>1360</v>
      </c>
      <c r="FJ51" s="260">
        <v>1337</v>
      </c>
      <c r="FK51" s="260">
        <v>1320</v>
      </c>
      <c r="FL51" s="260">
        <v>1325</v>
      </c>
      <c r="FM51" s="260">
        <v>1282</v>
      </c>
      <c r="FN51" s="260">
        <v>1361</v>
      </c>
      <c r="FO51" s="260">
        <v>1311</v>
      </c>
      <c r="FP51" s="260">
        <v>1522</v>
      </c>
      <c r="FQ51" s="260">
        <v>1312</v>
      </c>
      <c r="FR51" s="260">
        <v>1496</v>
      </c>
      <c r="FS51" s="260">
        <v>1464</v>
      </c>
      <c r="FT51" s="260">
        <v>1508</v>
      </c>
      <c r="FU51" s="260">
        <v>1260</v>
      </c>
      <c r="FV51" s="260">
        <v>1289</v>
      </c>
      <c r="FW51" s="260">
        <v>1485</v>
      </c>
      <c r="FX51" s="260">
        <v>1349</v>
      </c>
      <c r="FY51" s="260">
        <v>1312</v>
      </c>
      <c r="FZ51" s="260">
        <v>1339</v>
      </c>
      <c r="GA51" s="260">
        <v>1306</v>
      </c>
      <c r="GB51" s="260">
        <v>1478</v>
      </c>
      <c r="GC51" s="260">
        <v>1379</v>
      </c>
      <c r="GD51" s="260">
        <v>1480</v>
      </c>
      <c r="GE51" s="260">
        <v>1343</v>
      </c>
      <c r="GF51" s="260">
        <v>1357</v>
      </c>
      <c r="GG51" s="260">
        <v>1320</v>
      </c>
      <c r="GH51" s="260">
        <v>1495</v>
      </c>
      <c r="GI51" s="260">
        <v>1372</v>
      </c>
      <c r="GJ51" s="260">
        <v>1455</v>
      </c>
      <c r="GK51" s="260">
        <v>1470</v>
      </c>
      <c r="GL51" s="260">
        <v>1523</v>
      </c>
      <c r="GM51" s="260">
        <v>1489</v>
      </c>
      <c r="GN51" s="260">
        <v>1471</v>
      </c>
      <c r="GO51" s="260">
        <v>1462</v>
      </c>
      <c r="GP51" s="260">
        <v>1411</v>
      </c>
      <c r="GQ51" s="260">
        <v>1422</v>
      </c>
      <c r="GR51" s="260">
        <v>1377</v>
      </c>
      <c r="GS51" s="260">
        <v>1371</v>
      </c>
      <c r="GT51" s="260">
        <v>1268</v>
      </c>
      <c r="GU51" s="260">
        <v>1213</v>
      </c>
      <c r="GV51" s="260">
        <v>1210</v>
      </c>
      <c r="GW51" s="260">
        <v>1310</v>
      </c>
      <c r="GX51" s="260">
        <v>1339</v>
      </c>
      <c r="GY51" s="260">
        <v>1210</v>
      </c>
      <c r="GZ51" s="260">
        <v>1121</v>
      </c>
      <c r="HA51" s="260">
        <v>1357</v>
      </c>
      <c r="HB51" s="260"/>
      <c r="HC51" s="260"/>
      <c r="HD51" s="260">
        <v>1181</v>
      </c>
      <c r="HE51" s="260">
        <v>921</v>
      </c>
      <c r="HF51" s="260">
        <v>1272</v>
      </c>
      <c r="HG51" s="260"/>
      <c r="HH51" s="260">
        <v>1394</v>
      </c>
      <c r="HI51" s="260">
        <v>1242</v>
      </c>
      <c r="HJ51" s="260">
        <v>1311</v>
      </c>
      <c r="HK51" s="260">
        <v>1290</v>
      </c>
      <c r="HL51" s="260">
        <v>1259</v>
      </c>
      <c r="HM51" s="260">
        <v>1334</v>
      </c>
      <c r="HN51" s="260">
        <v>1343</v>
      </c>
      <c r="HO51" s="260">
        <v>1339</v>
      </c>
      <c r="HP51" s="260">
        <v>1343</v>
      </c>
      <c r="HQ51" s="260">
        <v>1368</v>
      </c>
      <c r="HR51" s="260">
        <v>1369</v>
      </c>
      <c r="HS51" s="260">
        <v>1356</v>
      </c>
      <c r="HT51" s="260">
        <v>1398</v>
      </c>
      <c r="HU51" s="260">
        <v>1542</v>
      </c>
      <c r="HV51" s="260">
        <v>1156</v>
      </c>
      <c r="HW51" s="260">
        <v>1061</v>
      </c>
      <c r="HX51" s="260">
        <v>1069</v>
      </c>
      <c r="HY51" s="260">
        <v>998</v>
      </c>
      <c r="HZ51" s="260">
        <v>952</v>
      </c>
      <c r="IA51" s="260">
        <v>1116</v>
      </c>
      <c r="IB51" s="260">
        <v>1337</v>
      </c>
      <c r="IC51" s="260">
        <v>1489</v>
      </c>
      <c r="ID51" s="260">
        <v>1317</v>
      </c>
      <c r="IE51" s="260">
        <v>1369</v>
      </c>
      <c r="IF51" s="260">
        <v>1362</v>
      </c>
      <c r="IG51" s="260">
        <v>1400</v>
      </c>
      <c r="IH51" s="260">
        <v>1398</v>
      </c>
      <c r="II51" s="260">
        <v>1380</v>
      </c>
      <c r="IJ51" s="260">
        <v>1090</v>
      </c>
      <c r="IK51" s="260">
        <v>1300</v>
      </c>
      <c r="IL51" s="260">
        <v>1150</v>
      </c>
      <c r="IM51" s="260">
        <v>1303</v>
      </c>
      <c r="IN51" s="260">
        <v>1100</v>
      </c>
      <c r="IO51" s="260"/>
      <c r="IP51" s="260">
        <v>1250</v>
      </c>
      <c r="IQ51" s="260">
        <v>1360</v>
      </c>
      <c r="IR51" s="260">
        <v>610</v>
      </c>
      <c r="IS51" s="260">
        <v>1298</v>
      </c>
      <c r="IT51" s="260">
        <v>1283</v>
      </c>
      <c r="IU51" s="260"/>
      <c r="IV51" s="260"/>
      <c r="IW51" s="260">
        <v>1210</v>
      </c>
      <c r="IX51" s="260">
        <v>1412</v>
      </c>
      <c r="IY51" s="260">
        <v>1300</v>
      </c>
      <c r="IZ51" s="260">
        <v>1310</v>
      </c>
      <c r="JA51" s="260">
        <v>1117</v>
      </c>
      <c r="JB51" s="289">
        <v>38.520000000000003</v>
      </c>
      <c r="JC51" s="289">
        <v>46.82</v>
      </c>
      <c r="JD51" s="289">
        <v>2.0499999999999998</v>
      </c>
      <c r="JE51" s="289">
        <v>5.8</v>
      </c>
      <c r="JF51" s="289"/>
      <c r="JG51" s="289">
        <v>0</v>
      </c>
      <c r="JH51" s="259">
        <v>6.81</v>
      </c>
      <c r="JI51" s="290"/>
      <c r="JJ51" s="290"/>
      <c r="JK51" s="260">
        <v>84614020.421000004</v>
      </c>
      <c r="JL51" s="260">
        <v>282042.85499999998</v>
      </c>
      <c r="JM51" s="260">
        <v>57664448.689999998</v>
      </c>
      <c r="JN51" s="260">
        <v>61713.366999999998</v>
      </c>
      <c r="JO51" s="260">
        <v>85396598.142000005</v>
      </c>
      <c r="JP51" s="260">
        <v>187073.753</v>
      </c>
      <c r="JQ51" s="260">
        <v>61901422.817000002</v>
      </c>
      <c r="JR51" s="260">
        <v>55823.055</v>
      </c>
      <c r="JS51" s="289">
        <v>320685759.85900003</v>
      </c>
      <c r="JT51" s="289">
        <v>84346.922000000006</v>
      </c>
      <c r="JU51" s="283">
        <f t="shared" ref="JU51:JU57" si="195">IF((JK51-JK50)&lt;0,"",(JK51-JK50))</f>
        <v>90887.819000005722</v>
      </c>
      <c r="JV51" s="283">
        <f t="shared" ref="JV51:JV57" si="196">IF((JL51-JL50)&lt;0,"",(JL51-JL50))</f>
        <v>14.62699999997858</v>
      </c>
      <c r="JW51" s="283">
        <f t="shared" ref="JW51:JW57" si="197">IF((JM51-JM50)&lt;0,"",(JM51-JM50))</f>
        <v>86811.204999998212</v>
      </c>
      <c r="JX51" s="283">
        <f t="shared" ref="JX51:JX57" si="198">IF((JN51-JN50)&lt;0,"",(JN51-JN50))</f>
        <v>9.1199999999953434</v>
      </c>
      <c r="JY51" s="284">
        <f t="shared" ref="JY51:JY57" si="199">IF((JO51-JO50)&lt;0,"",(JO51-JO50))</f>
        <v>90026.898000001907</v>
      </c>
      <c r="JZ51" s="284">
        <f t="shared" ref="JZ51:JZ57" si="200">IF((JP51-JP50)&lt;0,"",(JP51-JP50))</f>
        <v>28.138000000006286</v>
      </c>
      <c r="KA51" s="284">
        <f t="shared" ref="KA51:KA57" si="201">IF((JQ51-JQ50)&lt;0,"",(JQ51-JQ50))</f>
        <v>71117.715999998152</v>
      </c>
      <c r="KB51" s="284">
        <f t="shared" ref="KB51:KB57" si="202">IF((JR51-JR50)&lt;0,"",(JR51-JR50))</f>
        <v>15.271999999997206</v>
      </c>
      <c r="KC51" s="283">
        <f t="shared" ref="KC51:KC54" si="203">IF((JS51-JS50)&lt;0,"",(JS51-JS50))</f>
        <v>338665.54400002956</v>
      </c>
      <c r="KD51" s="283">
        <f t="shared" si="192"/>
        <v>60.012000000002445</v>
      </c>
      <c r="KE51" s="291">
        <f t="shared" si="138"/>
        <v>177675.27700000396</v>
      </c>
      <c r="KF51" s="291">
        <f>IFERROR(KC51-KD51,"")</f>
        <v>338605.53200002958</v>
      </c>
      <c r="KG51" s="292">
        <f>(RD[[#This Row],[Sunset Time (POA&lt;20 W/m2)]]-RD[[#This Row],[Sunrise Time (POA&gt;20 W/m2)]])*24</f>
        <v>12.899999999999999</v>
      </c>
      <c r="KH51" s="293">
        <f>RD[[#This Row],[GHI ]]</f>
        <v>0</v>
      </c>
      <c r="KI51" s="293">
        <f>RD[[#This Row],[POA]]</f>
        <v>6.81</v>
      </c>
      <c r="KJ51" s="293">
        <f>RD[[#This Row],[AT (°C) 14 Hours]]</f>
        <v>38.520000000000003</v>
      </c>
      <c r="KK51" s="293">
        <f>RD[[#This Row],[MT (°C) Gen. Hours]]</f>
        <v>46.82</v>
      </c>
      <c r="KL51" s="293">
        <f>RD[[#This Row],[WS_Avg (m/s) (24 Hours)]]</f>
        <v>2.0499999999999998</v>
      </c>
      <c r="KM51" s="293">
        <f>RD[[#This Row],[WS_Max (m/s)]]</f>
        <v>5.8</v>
      </c>
      <c r="KN51" s="294">
        <f>SUM(RD[[#This Row],[BLK1_INV1]:[BLK8_INV27]])</f>
        <v>334705.40000000002</v>
      </c>
      <c r="KO51" s="95"/>
      <c r="KP51" s="55"/>
      <c r="KQ51" s="90" t="str">
        <f>IFERROR(RD[[#This Row],[WPR_Eac]]/RD[[#This Row],[WPR_Edc]],"")</f>
        <v/>
      </c>
    </row>
    <row r="52" spans="2:303" ht="15" customHeight="1" x14ac:dyDescent="0.25">
      <c r="B52" s="52">
        <v>45793</v>
      </c>
      <c r="C52" s="9">
        <f>YEAR(RD[[#This Row],[Date]])+IF(MONTH(RD[[#This Row],[Date]])&gt;=4,1,0)</f>
        <v>2026</v>
      </c>
      <c r="D52" s="6"/>
      <c r="E52" s="7"/>
      <c r="F52" s="7"/>
      <c r="G52" s="8" t="str">
        <f>TEXT(RD[[#This Row],[Date]],"mmm-yy")</f>
        <v>May-25</v>
      </c>
      <c r="H52" s="6">
        <f t="shared" si="127"/>
        <v>31</v>
      </c>
      <c r="I52" s="9">
        <f>'Basic Data '!$S$2</f>
        <v>66750</v>
      </c>
      <c r="J52" s="10">
        <v>0.21875</v>
      </c>
      <c r="K52" s="10">
        <v>0.76666666666666661</v>
      </c>
      <c r="L52" s="260">
        <v>1262</v>
      </c>
      <c r="M52" s="260">
        <v>1272</v>
      </c>
      <c r="N52" s="260">
        <v>1181</v>
      </c>
      <c r="O52" s="260">
        <v>1176</v>
      </c>
      <c r="P52" s="260">
        <v>1250</v>
      </c>
      <c r="Q52" s="260">
        <v>1173</v>
      </c>
      <c r="R52" s="260">
        <v>1179</v>
      </c>
      <c r="S52" s="260">
        <v>1181</v>
      </c>
      <c r="T52" s="260">
        <v>1221</v>
      </c>
      <c r="U52" s="260">
        <v>1233</v>
      </c>
      <c r="V52" s="260">
        <v>1208</v>
      </c>
      <c r="W52" s="260">
        <v>1202</v>
      </c>
      <c r="X52" s="260">
        <v>1186</v>
      </c>
      <c r="Y52" s="260">
        <v>1116</v>
      </c>
      <c r="Z52" s="260">
        <v>1167</v>
      </c>
      <c r="AA52" s="260">
        <v>1175</v>
      </c>
      <c r="AB52" s="260">
        <v>1167</v>
      </c>
      <c r="AC52" s="260">
        <v>1153</v>
      </c>
      <c r="AD52" s="260">
        <v>1249</v>
      </c>
      <c r="AE52" s="260">
        <v>1253</v>
      </c>
      <c r="AF52" s="260">
        <v>1209</v>
      </c>
      <c r="AG52" s="260">
        <v>1283</v>
      </c>
      <c r="AH52" s="260">
        <v>1318</v>
      </c>
      <c r="AI52" s="260">
        <v>1303</v>
      </c>
      <c r="AJ52" s="260">
        <v>1312</v>
      </c>
      <c r="AK52" s="260">
        <v>1253</v>
      </c>
      <c r="AL52" s="260">
        <v>1253</v>
      </c>
      <c r="AM52" s="260">
        <v>1339</v>
      </c>
      <c r="AN52" s="260">
        <v>1313</v>
      </c>
      <c r="AO52" s="260">
        <v>1298</v>
      </c>
      <c r="AP52" s="260">
        <v>1292</v>
      </c>
      <c r="AQ52" s="260">
        <v>1332</v>
      </c>
      <c r="AR52" s="260">
        <v>1130</v>
      </c>
      <c r="AS52" s="260">
        <v>1430</v>
      </c>
      <c r="AT52" s="260">
        <v>1203</v>
      </c>
      <c r="AU52" s="260">
        <v>1293</v>
      </c>
      <c r="AV52" s="260">
        <v>1167</v>
      </c>
      <c r="AW52" s="260">
        <v>1151</v>
      </c>
      <c r="AX52" s="260">
        <v>1168</v>
      </c>
      <c r="AY52" s="260">
        <v>1181</v>
      </c>
      <c r="AZ52" s="260">
        <v>1163</v>
      </c>
      <c r="BA52" s="260">
        <v>1170</v>
      </c>
      <c r="BB52" s="260">
        <v>1158</v>
      </c>
      <c r="BC52" s="260">
        <v>1208</v>
      </c>
      <c r="BD52" s="260">
        <v>1168</v>
      </c>
      <c r="BE52" s="260">
        <v>1178</v>
      </c>
      <c r="BF52" s="260">
        <v>1267</v>
      </c>
      <c r="BG52" s="260">
        <v>1159</v>
      </c>
      <c r="BH52" s="260">
        <v>1213</v>
      </c>
      <c r="BI52" s="260">
        <v>1196</v>
      </c>
      <c r="BJ52" s="260">
        <v>1171</v>
      </c>
      <c r="BK52" s="260">
        <v>1168</v>
      </c>
      <c r="BL52" s="260">
        <v>1331</v>
      </c>
      <c r="BM52" s="260">
        <v>1321</v>
      </c>
      <c r="BN52" s="260">
        <v>1260</v>
      </c>
      <c r="BO52" s="260">
        <v>1281</v>
      </c>
      <c r="BP52" s="260">
        <v>1330</v>
      </c>
      <c r="BQ52" s="260">
        <v>1192</v>
      </c>
      <c r="BR52" s="260">
        <v>1303</v>
      </c>
      <c r="BS52" s="260">
        <v>1317</v>
      </c>
      <c r="BT52" s="260">
        <v>1334</v>
      </c>
      <c r="BU52" s="260">
        <v>1292</v>
      </c>
      <c r="BV52" s="260">
        <v>1227</v>
      </c>
      <c r="BW52" s="260">
        <v>1109</v>
      </c>
      <c r="BX52" s="260">
        <v>1273</v>
      </c>
      <c r="BY52" s="260">
        <v>1262</v>
      </c>
      <c r="BZ52" s="260">
        <v>1277</v>
      </c>
      <c r="CA52" s="260">
        <v>1088</v>
      </c>
      <c r="CB52" s="260">
        <v>1193</v>
      </c>
      <c r="CC52" s="260">
        <v>1197</v>
      </c>
      <c r="CD52" s="260">
        <v>1192</v>
      </c>
      <c r="CE52" s="260">
        <v>1166</v>
      </c>
      <c r="CF52" s="260">
        <v>1186</v>
      </c>
      <c r="CG52" s="260">
        <v>1159</v>
      </c>
      <c r="CH52" s="260">
        <v>1322</v>
      </c>
      <c r="CI52" s="260">
        <v>1293</v>
      </c>
      <c r="CJ52" s="260">
        <v>1325</v>
      </c>
      <c r="CK52" s="260">
        <v>1139</v>
      </c>
      <c r="CL52" s="260">
        <v>1181</v>
      </c>
      <c r="CM52" s="260">
        <v>1299</v>
      </c>
      <c r="CN52" s="260">
        <v>1201</v>
      </c>
      <c r="CO52" s="260">
        <v>1172</v>
      </c>
      <c r="CP52" s="260">
        <v>1161</v>
      </c>
      <c r="CQ52" s="260">
        <v>1169</v>
      </c>
      <c r="CR52" s="260">
        <v>1165</v>
      </c>
      <c r="CS52" s="260">
        <v>1170</v>
      </c>
      <c r="CT52" s="260">
        <v>1183</v>
      </c>
      <c r="CU52" s="260">
        <v>1167</v>
      </c>
      <c r="CV52" s="260">
        <v>1167</v>
      </c>
      <c r="CW52" s="260">
        <v>1158</v>
      </c>
      <c r="CX52" s="260">
        <v>1212</v>
      </c>
      <c r="CY52" s="260">
        <v>1270</v>
      </c>
      <c r="CZ52" s="260">
        <v>1190</v>
      </c>
      <c r="DA52" s="260">
        <v>1184</v>
      </c>
      <c r="DB52" s="260">
        <v>1200</v>
      </c>
      <c r="DC52" s="260">
        <v>1125</v>
      </c>
      <c r="DD52" s="260">
        <v>1135</v>
      </c>
      <c r="DE52" s="260">
        <v>1162</v>
      </c>
      <c r="DF52" s="260">
        <v>1160</v>
      </c>
      <c r="DG52" s="260">
        <v>1150</v>
      </c>
      <c r="DH52" s="260">
        <v>1195</v>
      </c>
      <c r="DI52" s="260">
        <v>1153</v>
      </c>
      <c r="DJ52" s="260">
        <v>1170</v>
      </c>
      <c r="DK52" s="260">
        <v>1193</v>
      </c>
      <c r="DL52" s="260">
        <v>1304</v>
      </c>
      <c r="DM52" s="260">
        <v>1140</v>
      </c>
      <c r="DN52" s="260">
        <v>1325</v>
      </c>
      <c r="DO52" s="260">
        <v>1302</v>
      </c>
      <c r="DP52" s="260">
        <v>1180</v>
      </c>
      <c r="DQ52" s="260">
        <v>1290</v>
      </c>
      <c r="DR52" s="260">
        <v>1282</v>
      </c>
      <c r="DS52" s="260">
        <v>1281</v>
      </c>
      <c r="DT52" s="260">
        <v>1325</v>
      </c>
      <c r="DU52" s="260">
        <v>1334</v>
      </c>
      <c r="DV52" s="260">
        <v>1140</v>
      </c>
      <c r="DW52" s="260">
        <v>1205</v>
      </c>
      <c r="DX52" s="260">
        <v>1310</v>
      </c>
      <c r="DY52" s="260">
        <v>1319</v>
      </c>
      <c r="DZ52" s="260">
        <v>1262</v>
      </c>
      <c r="EA52" s="260">
        <v>1178</v>
      </c>
      <c r="EB52" s="260">
        <v>1187</v>
      </c>
      <c r="EC52" s="260">
        <v>1298</v>
      </c>
      <c r="ED52" s="260">
        <v>1240</v>
      </c>
      <c r="EE52" s="260">
        <v>1123</v>
      </c>
      <c r="EF52" s="260">
        <v>1186</v>
      </c>
      <c r="EG52" s="260">
        <v>1498</v>
      </c>
      <c r="EH52" s="260">
        <v>1167</v>
      </c>
      <c r="EI52" s="260">
        <v>1140</v>
      </c>
      <c r="EJ52" s="260">
        <v>1321</v>
      </c>
      <c r="EK52" s="260">
        <v>1303</v>
      </c>
      <c r="EL52" s="260">
        <v>1240</v>
      </c>
      <c r="EM52" s="260">
        <v>1258</v>
      </c>
      <c r="EN52" s="260">
        <v>1230</v>
      </c>
      <c r="EO52" s="260">
        <v>1102</v>
      </c>
      <c r="EP52" s="260">
        <v>1225</v>
      </c>
      <c r="EQ52" s="260">
        <v>1245</v>
      </c>
      <c r="ER52" s="260">
        <v>1240</v>
      </c>
      <c r="ES52" s="260">
        <v>1234</v>
      </c>
      <c r="ET52" s="260">
        <v>1215</v>
      </c>
      <c r="EU52" s="260">
        <v>1150</v>
      </c>
      <c r="EV52" s="260">
        <v>1199</v>
      </c>
      <c r="EW52" s="260">
        <v>1240</v>
      </c>
      <c r="EX52" s="260">
        <v>1138</v>
      </c>
      <c r="EY52" s="260">
        <v>1230</v>
      </c>
      <c r="EZ52" s="260">
        <v>1100</v>
      </c>
      <c r="FA52" s="260">
        <v>1298</v>
      </c>
      <c r="FB52" s="260">
        <v>1134</v>
      </c>
      <c r="FC52" s="260">
        <v>1057</v>
      </c>
      <c r="FD52" s="260">
        <v>1260</v>
      </c>
      <c r="FE52" s="260">
        <v>1239</v>
      </c>
      <c r="FF52" s="260">
        <v>1253</v>
      </c>
      <c r="FG52" s="260">
        <v>1147</v>
      </c>
      <c r="FH52" s="260">
        <v>1290</v>
      </c>
      <c r="FI52" s="260">
        <v>1141</v>
      </c>
      <c r="FJ52" s="260">
        <v>1180</v>
      </c>
      <c r="FK52" s="260">
        <v>1160</v>
      </c>
      <c r="FL52" s="260">
        <v>1198</v>
      </c>
      <c r="FM52" s="260">
        <v>1140</v>
      </c>
      <c r="FN52" s="260">
        <v>1171</v>
      </c>
      <c r="FO52" s="260">
        <v>1131</v>
      </c>
      <c r="FP52" s="260">
        <v>1308</v>
      </c>
      <c r="FQ52" s="260">
        <v>1180</v>
      </c>
      <c r="FR52" s="260">
        <v>1291</v>
      </c>
      <c r="FS52" s="260">
        <v>1320</v>
      </c>
      <c r="FT52" s="260">
        <v>1301</v>
      </c>
      <c r="FU52" s="260">
        <v>1089</v>
      </c>
      <c r="FV52" s="260">
        <v>1160</v>
      </c>
      <c r="FW52" s="260">
        <v>1276</v>
      </c>
      <c r="FX52" s="260">
        <v>1157</v>
      </c>
      <c r="FY52" s="260">
        <v>1125</v>
      </c>
      <c r="FZ52" s="260">
        <v>1132</v>
      </c>
      <c r="GA52" s="260">
        <v>1123</v>
      </c>
      <c r="GB52" s="260">
        <v>1273</v>
      </c>
      <c r="GC52" s="260">
        <v>1186</v>
      </c>
      <c r="GD52" s="260">
        <v>1272</v>
      </c>
      <c r="GE52" s="260">
        <v>1157</v>
      </c>
      <c r="GF52" s="260">
        <v>1166</v>
      </c>
      <c r="GG52" s="260">
        <v>1141</v>
      </c>
      <c r="GH52" s="260">
        <v>1282</v>
      </c>
      <c r="GI52" s="260">
        <v>1182</v>
      </c>
      <c r="GJ52" s="260">
        <v>1250</v>
      </c>
      <c r="GK52" s="260">
        <v>1264</v>
      </c>
      <c r="GL52" s="260">
        <v>1308</v>
      </c>
      <c r="GM52" s="260">
        <v>1278</v>
      </c>
      <c r="GN52" s="260">
        <v>1268</v>
      </c>
      <c r="GO52" s="260">
        <v>1260</v>
      </c>
      <c r="GP52" s="260">
        <v>1214</v>
      </c>
      <c r="GQ52" s="260">
        <v>1221</v>
      </c>
      <c r="GR52" s="260">
        <v>1173</v>
      </c>
      <c r="GS52" s="260">
        <v>1169</v>
      </c>
      <c r="GT52" s="260">
        <v>1153</v>
      </c>
      <c r="GU52" s="260">
        <v>1156</v>
      </c>
      <c r="GV52" s="260">
        <v>1130</v>
      </c>
      <c r="GW52" s="260">
        <v>1139</v>
      </c>
      <c r="GX52" s="260">
        <v>1220</v>
      </c>
      <c r="GY52" s="260">
        <v>1150</v>
      </c>
      <c r="GZ52" s="260">
        <v>1009</v>
      </c>
      <c r="HA52" s="260">
        <v>1233</v>
      </c>
      <c r="HB52" s="260"/>
      <c r="HC52" s="260"/>
      <c r="HD52" s="260">
        <v>1198</v>
      </c>
      <c r="HE52" s="260">
        <v>898</v>
      </c>
      <c r="HF52" s="260">
        <v>1280</v>
      </c>
      <c r="HG52" s="260"/>
      <c r="HH52" s="260">
        <v>1250</v>
      </c>
      <c r="HI52" s="260">
        <v>1278</v>
      </c>
      <c r="HJ52" s="260">
        <v>1182</v>
      </c>
      <c r="HK52" s="260">
        <v>1172</v>
      </c>
      <c r="HL52" s="260">
        <v>1149</v>
      </c>
      <c r="HM52" s="260">
        <v>1209</v>
      </c>
      <c r="HN52" s="260">
        <v>1214</v>
      </c>
      <c r="HO52" s="260">
        <v>1233</v>
      </c>
      <c r="HP52" s="260">
        <v>1230</v>
      </c>
      <c r="HQ52" s="260">
        <v>1244</v>
      </c>
      <c r="HR52" s="260">
        <v>1213</v>
      </c>
      <c r="HS52" s="260">
        <v>1201</v>
      </c>
      <c r="HT52" s="260">
        <v>1230</v>
      </c>
      <c r="HU52" s="260">
        <v>1365</v>
      </c>
      <c r="HV52" s="260">
        <v>1072</v>
      </c>
      <c r="HW52" s="260">
        <v>1110</v>
      </c>
      <c r="HX52" s="260">
        <v>860</v>
      </c>
      <c r="HY52" s="260">
        <v>810</v>
      </c>
      <c r="HZ52" s="260">
        <v>910</v>
      </c>
      <c r="IA52" s="260">
        <v>1011</v>
      </c>
      <c r="IB52" s="260">
        <v>1213</v>
      </c>
      <c r="IC52" s="260">
        <v>1372</v>
      </c>
      <c r="ID52" s="260">
        <v>1198</v>
      </c>
      <c r="IE52" s="260">
        <v>1244</v>
      </c>
      <c r="IF52" s="260">
        <v>1298</v>
      </c>
      <c r="IG52" s="260">
        <v>1278</v>
      </c>
      <c r="IH52" s="260">
        <v>1287</v>
      </c>
      <c r="II52" s="260">
        <v>1300</v>
      </c>
      <c r="IJ52" s="260">
        <v>1099</v>
      </c>
      <c r="IK52" s="260">
        <v>1219</v>
      </c>
      <c r="IL52" s="260">
        <v>1099</v>
      </c>
      <c r="IM52" s="260">
        <v>1100</v>
      </c>
      <c r="IN52" s="260">
        <v>970</v>
      </c>
      <c r="IO52" s="260"/>
      <c r="IP52" s="260">
        <v>1230</v>
      </c>
      <c r="IQ52" s="260">
        <v>1200</v>
      </c>
      <c r="IR52" s="260">
        <v>450</v>
      </c>
      <c r="IS52" s="260">
        <v>1210</v>
      </c>
      <c r="IT52" s="260">
        <v>1123</v>
      </c>
      <c r="IU52" s="260"/>
      <c r="IV52" s="260"/>
      <c r="IW52" s="260">
        <v>1098</v>
      </c>
      <c r="IX52" s="260">
        <v>1298</v>
      </c>
      <c r="IY52" s="260">
        <v>1050</v>
      </c>
      <c r="IZ52" s="260">
        <v>1100</v>
      </c>
      <c r="JA52" s="260">
        <v>930</v>
      </c>
      <c r="JB52" s="289">
        <v>37.78</v>
      </c>
      <c r="JC52" s="289">
        <v>42.3</v>
      </c>
      <c r="JD52" s="289">
        <v>2.2999999999999998</v>
      </c>
      <c r="JE52" s="289">
        <v>11.3</v>
      </c>
      <c r="JF52" s="289"/>
      <c r="JG52" s="289">
        <v>0</v>
      </c>
      <c r="JH52" s="259">
        <v>5.56</v>
      </c>
      <c r="JI52" s="290"/>
      <c r="JJ52" s="290"/>
      <c r="JK52" s="260">
        <v>84689361.033000007</v>
      </c>
      <c r="JL52" s="260">
        <v>282058.64</v>
      </c>
      <c r="JM52" s="260">
        <v>57735686.702</v>
      </c>
      <c r="JN52" s="260">
        <v>61735.502999999997</v>
      </c>
      <c r="JO52" s="260">
        <v>85470963.709999993</v>
      </c>
      <c r="JP52" s="260">
        <v>187105.571</v>
      </c>
      <c r="JQ52" s="260">
        <v>61960225.141999997</v>
      </c>
      <c r="JR52" s="260">
        <v>55851.671000000002</v>
      </c>
      <c r="JS52" s="289">
        <v>320965372.62400001</v>
      </c>
      <c r="JT52" s="289">
        <v>84407.417000000001</v>
      </c>
      <c r="JU52" s="283">
        <f t="shared" si="195"/>
        <v>75340.612000003457</v>
      </c>
      <c r="JV52" s="283">
        <f t="shared" si="196"/>
        <v>15.785000000032596</v>
      </c>
      <c r="JW52" s="283">
        <f t="shared" si="197"/>
        <v>71238.012000001967</v>
      </c>
      <c r="JX52" s="283">
        <f t="shared" si="198"/>
        <v>22.135999999998603</v>
      </c>
      <c r="JY52" s="284">
        <f t="shared" si="199"/>
        <v>74365.567999988794</v>
      </c>
      <c r="JZ52" s="284">
        <f t="shared" si="200"/>
        <v>31.817999999999302</v>
      </c>
      <c r="KA52" s="284">
        <f t="shared" si="201"/>
        <v>58802.32499999553</v>
      </c>
      <c r="KB52" s="284">
        <f t="shared" si="202"/>
        <v>28.616000000001804</v>
      </c>
      <c r="KC52" s="283">
        <f t="shared" si="203"/>
        <v>279612.76499998569</v>
      </c>
      <c r="KD52" s="283">
        <f t="shared" si="192"/>
        <v>60.494999999995343</v>
      </c>
      <c r="KE52" s="291">
        <f t="shared" si="138"/>
        <v>146540.70300000539</v>
      </c>
      <c r="KF52" s="291">
        <f t="shared" si="139"/>
        <v>279552.2699999857</v>
      </c>
      <c r="KG52" s="292">
        <f>(RD[[#This Row],[Sunset Time (POA&lt;20 W/m2)]]-RD[[#This Row],[Sunrise Time (POA&gt;20 W/m2)]])*24</f>
        <v>13.149999999999999</v>
      </c>
      <c r="KH52" s="293">
        <f>RD[[#This Row],[GHI ]]</f>
        <v>0</v>
      </c>
      <c r="KI52" s="293">
        <f>RD[[#This Row],[POA]]</f>
        <v>5.56</v>
      </c>
      <c r="KJ52" s="293">
        <f>RD[[#This Row],[AT (°C) 14 Hours]]</f>
        <v>37.78</v>
      </c>
      <c r="KK52" s="293">
        <f>RD[[#This Row],[MT (°C) Gen. Hours]]</f>
        <v>42.3</v>
      </c>
      <c r="KL52" s="293">
        <f>RD[[#This Row],[WS_Avg (m/s) (24 Hours)]]</f>
        <v>2.2999999999999998</v>
      </c>
      <c r="KM52" s="293">
        <f>RD[[#This Row],[WS_Max (m/s)]]</f>
        <v>11.3</v>
      </c>
      <c r="KN52" s="294">
        <f>SUM(RD[[#This Row],[BLK1_INV1]:[BLK8_INV27]])</f>
        <v>292468</v>
      </c>
      <c r="KO52" s="95"/>
      <c r="KP52" s="55"/>
      <c r="KQ52" s="90" t="str">
        <f>IFERROR(RD[[#This Row],[WPR_Eac]]/RD[[#This Row],[WPR_Edc]],"")</f>
        <v/>
      </c>
    </row>
    <row r="53" spans="2:303" ht="15" customHeight="1" x14ac:dyDescent="0.25">
      <c r="B53" s="52">
        <v>45794</v>
      </c>
      <c r="C53" s="9">
        <f>YEAR(RD[[#This Row],[Date]])+IF(MONTH(RD[[#This Row],[Date]])&gt;=4,1,0)</f>
        <v>2026</v>
      </c>
      <c r="D53" s="6">
        <f t="shared" si="126"/>
        <v>2025</v>
      </c>
      <c r="E53" s="7"/>
      <c r="F53" s="7"/>
      <c r="G53" s="8" t="str">
        <f>TEXT(RD[[#This Row],[Date]],"mmm-yy")</f>
        <v>May-25</v>
      </c>
      <c r="H53" s="6">
        <f t="shared" si="127"/>
        <v>31</v>
      </c>
      <c r="I53" s="9">
        <f>'Basic Data '!$S$2</f>
        <v>66750</v>
      </c>
      <c r="J53" s="10">
        <v>0.22708333333333333</v>
      </c>
      <c r="K53" s="10">
        <v>0.76736111111111116</v>
      </c>
      <c r="L53" s="260">
        <v>1094</v>
      </c>
      <c r="M53" s="260">
        <v>1105</v>
      </c>
      <c r="N53" s="260">
        <v>1030</v>
      </c>
      <c r="O53" s="260">
        <v>1026</v>
      </c>
      <c r="P53" s="260">
        <v>1080</v>
      </c>
      <c r="Q53" s="260">
        <v>1024</v>
      </c>
      <c r="R53" s="260">
        <v>1018</v>
      </c>
      <c r="S53" s="260">
        <v>1021</v>
      </c>
      <c r="T53" s="260">
        <v>1053</v>
      </c>
      <c r="U53" s="260">
        <v>1060</v>
      </c>
      <c r="V53" s="260">
        <v>1038</v>
      </c>
      <c r="W53" s="260">
        <v>1036</v>
      </c>
      <c r="X53" s="260">
        <v>1019</v>
      </c>
      <c r="Y53" s="260">
        <v>958</v>
      </c>
      <c r="Z53" s="260">
        <v>998</v>
      </c>
      <c r="AA53" s="260">
        <v>1009</v>
      </c>
      <c r="AB53" s="260">
        <v>993</v>
      </c>
      <c r="AC53" s="260">
        <v>1000</v>
      </c>
      <c r="AD53" s="260">
        <v>1076</v>
      </c>
      <c r="AE53" s="260">
        <v>1083</v>
      </c>
      <c r="AF53" s="260">
        <v>998</v>
      </c>
      <c r="AG53" s="260">
        <v>1016</v>
      </c>
      <c r="AH53" s="260">
        <v>1113</v>
      </c>
      <c r="AI53" s="260">
        <v>1142</v>
      </c>
      <c r="AJ53" s="260">
        <v>1098</v>
      </c>
      <c r="AK53" s="260">
        <v>1082</v>
      </c>
      <c r="AL53" s="260">
        <v>1082</v>
      </c>
      <c r="AM53" s="260">
        <v>1123</v>
      </c>
      <c r="AN53" s="260">
        <v>1126</v>
      </c>
      <c r="AO53" s="260">
        <v>1115</v>
      </c>
      <c r="AP53" s="260">
        <v>1123</v>
      </c>
      <c r="AQ53" s="260">
        <v>1121</v>
      </c>
      <c r="AR53" s="260">
        <v>998</v>
      </c>
      <c r="AS53" s="260">
        <v>1271</v>
      </c>
      <c r="AT53" s="260">
        <v>993</v>
      </c>
      <c r="AU53" s="260">
        <v>1123</v>
      </c>
      <c r="AV53" s="260">
        <v>994</v>
      </c>
      <c r="AW53" s="260">
        <v>1013</v>
      </c>
      <c r="AX53" s="260">
        <v>994</v>
      </c>
      <c r="AY53" s="260">
        <v>1004</v>
      </c>
      <c r="AZ53" s="260">
        <v>1023</v>
      </c>
      <c r="BA53" s="260">
        <v>993</v>
      </c>
      <c r="BB53" s="260">
        <v>1001</v>
      </c>
      <c r="BC53" s="260">
        <v>1023</v>
      </c>
      <c r="BD53" s="260">
        <v>999</v>
      </c>
      <c r="BE53" s="260">
        <v>1016</v>
      </c>
      <c r="BF53" s="260">
        <v>1088</v>
      </c>
      <c r="BG53" s="260">
        <v>992</v>
      </c>
      <c r="BH53" s="260">
        <v>1039</v>
      </c>
      <c r="BI53" s="260">
        <v>1098</v>
      </c>
      <c r="BJ53" s="260">
        <v>1008</v>
      </c>
      <c r="BK53" s="260">
        <v>1066</v>
      </c>
      <c r="BL53" s="260">
        <v>1150</v>
      </c>
      <c r="BM53" s="260">
        <v>1140</v>
      </c>
      <c r="BN53" s="260">
        <v>1093</v>
      </c>
      <c r="BO53" s="260">
        <v>1116</v>
      </c>
      <c r="BP53" s="260">
        <v>1144</v>
      </c>
      <c r="BQ53" s="260">
        <v>1020</v>
      </c>
      <c r="BR53" s="260">
        <v>1122</v>
      </c>
      <c r="BS53" s="260">
        <v>1153</v>
      </c>
      <c r="BT53" s="260">
        <v>1005</v>
      </c>
      <c r="BU53" s="260">
        <v>1126</v>
      </c>
      <c r="BV53" s="260">
        <v>1030</v>
      </c>
      <c r="BW53" s="260">
        <v>998</v>
      </c>
      <c r="BX53" s="260">
        <v>1085</v>
      </c>
      <c r="BY53" s="260">
        <v>1076</v>
      </c>
      <c r="BZ53" s="260">
        <v>1090</v>
      </c>
      <c r="CA53" s="260">
        <v>998</v>
      </c>
      <c r="CB53" s="260">
        <v>1098</v>
      </c>
      <c r="CC53" s="260">
        <v>1088</v>
      </c>
      <c r="CD53" s="260">
        <v>1098</v>
      </c>
      <c r="CE53" s="260">
        <v>1023</v>
      </c>
      <c r="CF53" s="260">
        <v>1008</v>
      </c>
      <c r="CG53" s="260">
        <v>998</v>
      </c>
      <c r="CH53" s="260">
        <v>1154</v>
      </c>
      <c r="CI53" s="260">
        <v>1190</v>
      </c>
      <c r="CJ53" s="260">
        <v>1145</v>
      </c>
      <c r="CK53" s="260">
        <v>1034</v>
      </c>
      <c r="CL53" s="260">
        <v>1023</v>
      </c>
      <c r="CM53" s="260">
        <v>1098</v>
      </c>
      <c r="CN53" s="260">
        <v>1006</v>
      </c>
      <c r="CO53" s="260">
        <v>1013</v>
      </c>
      <c r="CP53" s="260">
        <v>1003</v>
      </c>
      <c r="CQ53" s="260">
        <v>1006</v>
      </c>
      <c r="CR53" s="260">
        <v>1003</v>
      </c>
      <c r="CS53" s="260">
        <v>1014</v>
      </c>
      <c r="CT53" s="260">
        <v>1011</v>
      </c>
      <c r="CU53" s="260">
        <v>999</v>
      </c>
      <c r="CV53" s="260">
        <v>1023</v>
      </c>
      <c r="CW53" s="260">
        <v>1013</v>
      </c>
      <c r="CX53" s="260">
        <v>1089</v>
      </c>
      <c r="CY53" s="260">
        <v>1100</v>
      </c>
      <c r="CZ53" s="260">
        <v>1019</v>
      </c>
      <c r="DA53" s="260">
        <v>1078</v>
      </c>
      <c r="DB53" s="260">
        <v>1100</v>
      </c>
      <c r="DC53" s="260">
        <v>1002</v>
      </c>
      <c r="DD53" s="260">
        <v>1032</v>
      </c>
      <c r="DE53" s="260">
        <v>1063</v>
      </c>
      <c r="DF53" s="260">
        <v>1038</v>
      </c>
      <c r="DG53" s="260">
        <v>1041</v>
      </c>
      <c r="DH53" s="260">
        <v>1079</v>
      </c>
      <c r="DI53" s="260">
        <v>1035</v>
      </c>
      <c r="DJ53" s="260">
        <v>1066</v>
      </c>
      <c r="DK53" s="260">
        <v>1036</v>
      </c>
      <c r="DL53" s="260">
        <v>1198</v>
      </c>
      <c r="DM53" s="260">
        <v>1044</v>
      </c>
      <c r="DN53" s="260">
        <v>1186</v>
      </c>
      <c r="DO53" s="260">
        <v>1175</v>
      </c>
      <c r="DP53" s="260">
        <v>1068</v>
      </c>
      <c r="DQ53" s="260">
        <v>1187</v>
      </c>
      <c r="DR53" s="260">
        <v>1146</v>
      </c>
      <c r="DS53" s="260">
        <v>1140</v>
      </c>
      <c r="DT53" s="260">
        <v>1201</v>
      </c>
      <c r="DU53" s="260">
        <v>1189</v>
      </c>
      <c r="DV53" s="260">
        <v>1048</v>
      </c>
      <c r="DW53" s="260">
        <v>1074</v>
      </c>
      <c r="DX53" s="260">
        <v>1172</v>
      </c>
      <c r="DY53" s="260">
        <v>1114</v>
      </c>
      <c r="DZ53" s="260">
        <v>1175</v>
      </c>
      <c r="EA53" s="260">
        <v>1064</v>
      </c>
      <c r="EB53" s="260">
        <v>1094</v>
      </c>
      <c r="EC53" s="260">
        <v>1133</v>
      </c>
      <c r="ED53" s="260">
        <v>1114</v>
      </c>
      <c r="EE53" s="260">
        <v>1030</v>
      </c>
      <c r="EF53" s="260">
        <v>1081</v>
      </c>
      <c r="EG53" s="260">
        <v>1478</v>
      </c>
      <c r="EH53" s="260">
        <v>950</v>
      </c>
      <c r="EI53" s="260">
        <v>968</v>
      </c>
      <c r="EJ53" s="260">
        <v>1165</v>
      </c>
      <c r="EK53" s="260">
        <v>1154</v>
      </c>
      <c r="EL53" s="260">
        <v>1059</v>
      </c>
      <c r="EM53" s="260">
        <v>1083</v>
      </c>
      <c r="EN53" s="260">
        <v>1051</v>
      </c>
      <c r="EO53" s="260">
        <v>898</v>
      </c>
      <c r="EP53" s="260">
        <v>1104</v>
      </c>
      <c r="EQ53" s="260">
        <v>1098</v>
      </c>
      <c r="ER53" s="260">
        <v>1051</v>
      </c>
      <c r="ES53" s="260">
        <v>1083</v>
      </c>
      <c r="ET53" s="260">
        <v>1059</v>
      </c>
      <c r="EU53" s="260">
        <v>1004</v>
      </c>
      <c r="EV53" s="260">
        <v>988</v>
      </c>
      <c r="EW53" s="260">
        <v>1046</v>
      </c>
      <c r="EX53" s="260">
        <v>1024</v>
      </c>
      <c r="EY53" s="260">
        <v>1094</v>
      </c>
      <c r="EZ53" s="260">
        <v>999</v>
      </c>
      <c r="FA53" s="260">
        <v>1168</v>
      </c>
      <c r="FB53" s="260">
        <v>1006</v>
      </c>
      <c r="FC53" s="260">
        <v>942</v>
      </c>
      <c r="FD53" s="260">
        <v>1093</v>
      </c>
      <c r="FE53" s="260">
        <v>1113</v>
      </c>
      <c r="FF53" s="260">
        <v>1126</v>
      </c>
      <c r="FG53" s="260">
        <v>1026</v>
      </c>
      <c r="FH53" s="260">
        <v>1119</v>
      </c>
      <c r="FI53" s="260">
        <v>1024</v>
      </c>
      <c r="FJ53" s="260">
        <v>1001</v>
      </c>
      <c r="FK53" s="260">
        <v>988</v>
      </c>
      <c r="FL53" s="260">
        <v>1050</v>
      </c>
      <c r="FM53" s="260">
        <v>1178</v>
      </c>
      <c r="FN53" s="260">
        <v>994</v>
      </c>
      <c r="FO53" s="260">
        <v>958</v>
      </c>
      <c r="FP53" s="260">
        <v>1108</v>
      </c>
      <c r="FQ53" s="260">
        <v>959</v>
      </c>
      <c r="FR53" s="260">
        <v>1103</v>
      </c>
      <c r="FS53" s="260">
        <v>1073</v>
      </c>
      <c r="FT53" s="260">
        <v>1112</v>
      </c>
      <c r="FU53" s="260">
        <v>928</v>
      </c>
      <c r="FV53" s="260">
        <v>950</v>
      </c>
      <c r="FW53" s="260">
        <v>1086</v>
      </c>
      <c r="FX53" s="260">
        <v>985</v>
      </c>
      <c r="FY53" s="260">
        <v>959</v>
      </c>
      <c r="FZ53" s="260">
        <v>980</v>
      </c>
      <c r="GA53" s="260">
        <v>959</v>
      </c>
      <c r="GB53" s="260">
        <v>1081</v>
      </c>
      <c r="GC53" s="260">
        <v>1009</v>
      </c>
      <c r="GD53" s="260">
        <v>1085</v>
      </c>
      <c r="GE53" s="260">
        <v>985</v>
      </c>
      <c r="GF53" s="260">
        <v>990</v>
      </c>
      <c r="GG53" s="260">
        <v>967</v>
      </c>
      <c r="GH53" s="260">
        <v>1093</v>
      </c>
      <c r="GI53" s="260">
        <v>1003</v>
      </c>
      <c r="GJ53" s="260">
        <v>1061</v>
      </c>
      <c r="GK53" s="260">
        <v>1074</v>
      </c>
      <c r="GL53" s="260">
        <v>1125</v>
      </c>
      <c r="GM53" s="260">
        <v>1096</v>
      </c>
      <c r="GN53" s="260">
        <v>1078</v>
      </c>
      <c r="GO53" s="260">
        <v>1070</v>
      </c>
      <c r="GP53" s="260">
        <v>1030</v>
      </c>
      <c r="GQ53" s="260">
        <v>1040</v>
      </c>
      <c r="GR53" s="260">
        <v>1008</v>
      </c>
      <c r="GS53" s="260">
        <v>1003</v>
      </c>
      <c r="GT53" s="260">
        <v>1021</v>
      </c>
      <c r="GU53" s="260">
        <v>1016</v>
      </c>
      <c r="GV53" s="260">
        <v>977</v>
      </c>
      <c r="GW53" s="260">
        <v>1005</v>
      </c>
      <c r="GX53" s="260">
        <v>1064</v>
      </c>
      <c r="GY53" s="260">
        <v>961</v>
      </c>
      <c r="GZ53" s="260">
        <v>900</v>
      </c>
      <c r="HA53" s="260">
        <v>1086</v>
      </c>
      <c r="HB53" s="260"/>
      <c r="HC53" s="260"/>
      <c r="HD53" s="260">
        <v>944</v>
      </c>
      <c r="HE53" s="260">
        <v>738</v>
      </c>
      <c r="HF53" s="260">
        <v>1059</v>
      </c>
      <c r="HG53" s="260"/>
      <c r="HH53" s="260">
        <v>1165</v>
      </c>
      <c r="HI53" s="260">
        <v>1132</v>
      </c>
      <c r="HJ53" s="260">
        <v>1051</v>
      </c>
      <c r="HK53" s="260">
        <v>1020</v>
      </c>
      <c r="HL53" s="260">
        <v>1045</v>
      </c>
      <c r="HM53" s="260">
        <v>1058</v>
      </c>
      <c r="HN53" s="260">
        <v>1065</v>
      </c>
      <c r="HO53" s="260">
        <v>1072</v>
      </c>
      <c r="HP53" s="260">
        <v>1069</v>
      </c>
      <c r="HQ53" s="260">
        <v>1083</v>
      </c>
      <c r="HR53" s="260">
        <v>1086</v>
      </c>
      <c r="HS53" s="260">
        <v>1080</v>
      </c>
      <c r="HT53" s="260">
        <v>1149</v>
      </c>
      <c r="HU53" s="260">
        <v>1235</v>
      </c>
      <c r="HV53" s="260">
        <v>975</v>
      </c>
      <c r="HW53" s="260">
        <v>894</v>
      </c>
      <c r="HX53" s="260">
        <v>790</v>
      </c>
      <c r="HY53" s="260">
        <v>640</v>
      </c>
      <c r="HZ53" s="260">
        <v>783</v>
      </c>
      <c r="IA53" s="260">
        <v>913</v>
      </c>
      <c r="IB53" s="260">
        <v>999</v>
      </c>
      <c r="IC53" s="260">
        <v>1200</v>
      </c>
      <c r="ID53" s="260">
        <v>1018</v>
      </c>
      <c r="IE53" s="260">
        <v>1100</v>
      </c>
      <c r="IF53" s="260">
        <v>1098</v>
      </c>
      <c r="IG53" s="260">
        <v>1097</v>
      </c>
      <c r="IH53" s="260">
        <v>1186</v>
      </c>
      <c r="II53" s="260">
        <v>1141</v>
      </c>
      <c r="IJ53" s="260">
        <v>975</v>
      </c>
      <c r="IK53" s="260">
        <v>994</v>
      </c>
      <c r="IL53" s="260">
        <v>900</v>
      </c>
      <c r="IM53" s="260">
        <v>997</v>
      </c>
      <c r="IN53" s="260">
        <v>960</v>
      </c>
      <c r="IO53" s="260"/>
      <c r="IP53" s="260">
        <v>1250</v>
      </c>
      <c r="IQ53" s="260">
        <v>1068</v>
      </c>
      <c r="IR53" s="260">
        <v>498</v>
      </c>
      <c r="IS53" s="260">
        <v>985</v>
      </c>
      <c r="IT53" s="260">
        <v>918</v>
      </c>
      <c r="IU53" s="260"/>
      <c r="IV53" s="260"/>
      <c r="IW53" s="260">
        <v>1000</v>
      </c>
      <c r="IX53" s="260">
        <v>1000</v>
      </c>
      <c r="IY53" s="260">
        <v>970</v>
      </c>
      <c r="IZ53" s="260">
        <v>920</v>
      </c>
      <c r="JA53" s="260">
        <v>860</v>
      </c>
      <c r="JB53" s="289">
        <v>34.4</v>
      </c>
      <c r="JC53" s="289">
        <v>42</v>
      </c>
      <c r="JD53" s="289">
        <v>2.7</v>
      </c>
      <c r="JE53" s="289">
        <v>19.29</v>
      </c>
      <c r="JF53" s="289"/>
      <c r="JG53" s="289">
        <v>0</v>
      </c>
      <c r="JH53" s="259">
        <v>4.84</v>
      </c>
      <c r="JI53" s="290"/>
      <c r="JJ53" s="290"/>
      <c r="JK53" s="260">
        <v>84756017.785999998</v>
      </c>
      <c r="JL53" s="260">
        <v>282077.97700000001</v>
      </c>
      <c r="JM53" s="260">
        <v>57798684.402999997</v>
      </c>
      <c r="JN53" s="260">
        <v>61771.514999999999</v>
      </c>
      <c r="JO53" s="260">
        <v>85536883.569999993</v>
      </c>
      <c r="JP53" s="260">
        <v>187144.41699999999</v>
      </c>
      <c r="JQ53" s="260">
        <v>62011259.850000001</v>
      </c>
      <c r="JR53" s="260">
        <v>55889.815999999999</v>
      </c>
      <c r="JS53" s="289">
        <v>321211838.83700001</v>
      </c>
      <c r="JT53" s="289">
        <v>84479.581000000006</v>
      </c>
      <c r="JU53" s="283">
        <f t="shared" si="195"/>
        <v>66656.752999991179</v>
      </c>
      <c r="JV53" s="283">
        <f t="shared" si="196"/>
        <v>19.336999999999534</v>
      </c>
      <c r="JW53" s="283">
        <f t="shared" si="197"/>
        <v>62997.700999997556</v>
      </c>
      <c r="JX53" s="283">
        <f t="shared" si="198"/>
        <v>36.012000000002445</v>
      </c>
      <c r="JY53" s="284">
        <f t="shared" si="199"/>
        <v>65919.859999999404</v>
      </c>
      <c r="JZ53" s="284">
        <f t="shared" si="200"/>
        <v>38.845999999990454</v>
      </c>
      <c r="KA53" s="284">
        <f t="shared" si="201"/>
        <v>51034.708000004292</v>
      </c>
      <c r="KB53" s="284">
        <f t="shared" si="202"/>
        <v>38.144999999996799</v>
      </c>
      <c r="KC53" s="283">
        <f t="shared" si="203"/>
        <v>246466.21299999952</v>
      </c>
      <c r="KD53" s="283">
        <f t="shared" si="192"/>
        <v>72.164000000004307</v>
      </c>
      <c r="KE53" s="291">
        <f t="shared" si="138"/>
        <v>129599.10499998873</v>
      </c>
      <c r="KF53" s="291">
        <f t="shared" si="139"/>
        <v>246394.04899999953</v>
      </c>
      <c r="KG53" s="292">
        <f>(RD[[#This Row],[Sunset Time (POA&lt;20 W/m2)]]-RD[[#This Row],[Sunrise Time (POA&gt;20 W/m2)]])*24</f>
        <v>12.966666666666669</v>
      </c>
      <c r="KH53" s="293">
        <f>RD[[#This Row],[GHI ]]</f>
        <v>0</v>
      </c>
      <c r="KI53" s="293">
        <f>RD[[#This Row],[POA]]</f>
        <v>4.84</v>
      </c>
      <c r="KJ53" s="293">
        <f>RD[[#This Row],[AT (°C) 14 Hours]]</f>
        <v>34.4</v>
      </c>
      <c r="KK53" s="293">
        <f>RD[[#This Row],[MT (°C) Gen. Hours]]</f>
        <v>42</v>
      </c>
      <c r="KL53" s="293">
        <f>RD[[#This Row],[WS_Avg (m/s) (24 Hours)]]</f>
        <v>2.7</v>
      </c>
      <c r="KM53" s="293">
        <f>RD[[#This Row],[WS_Max (m/s)]]</f>
        <v>19.29</v>
      </c>
      <c r="KN53" s="294">
        <f>SUM(RD[[#This Row],[BLK1_INV1]:[BLK8_INV27]])</f>
        <v>254893</v>
      </c>
      <c r="KO53" s="95"/>
      <c r="KP53" s="55"/>
      <c r="KQ53" s="90" t="str">
        <f>IFERROR(RD[[#This Row],[WPR_Eac]]/RD[[#This Row],[WPR_Edc]],"")</f>
        <v/>
      </c>
    </row>
    <row r="54" spans="2:303" ht="15" customHeight="1" x14ac:dyDescent="0.25">
      <c r="B54" s="52">
        <v>45795</v>
      </c>
      <c r="C54" s="9">
        <f>YEAR(RD[[#This Row],[Date]])+IF(MONTH(RD[[#This Row],[Date]])&gt;=4,1,0)</f>
        <v>2026</v>
      </c>
      <c r="D54" s="6">
        <f t="shared" ref="D54:D67" si="204">YEAR(B54)</f>
        <v>2025</v>
      </c>
      <c r="E54" s="7"/>
      <c r="F54" s="7"/>
      <c r="G54" s="8" t="str">
        <f>TEXT(RD[[#This Row],[Date]],"mmm-yy")</f>
        <v>May-25</v>
      </c>
      <c r="H54" s="6">
        <f t="shared" ref="H54:H67" si="205">DAY(EOMONTH(B54,0))</f>
        <v>31</v>
      </c>
      <c r="I54" s="9">
        <f>'Basic Data '!$S$2</f>
        <v>66750</v>
      </c>
      <c r="J54" s="10">
        <v>0.21805555555555556</v>
      </c>
      <c r="K54" s="10">
        <v>0.76597222222222217</v>
      </c>
      <c r="L54" s="260">
        <v>1439</v>
      </c>
      <c r="M54" s="260">
        <v>1449</v>
      </c>
      <c r="N54" s="260">
        <v>1344</v>
      </c>
      <c r="O54" s="260">
        <v>1339</v>
      </c>
      <c r="P54" s="260">
        <v>1402</v>
      </c>
      <c r="Q54" s="260">
        <v>1340</v>
      </c>
      <c r="R54" s="260">
        <v>1343</v>
      </c>
      <c r="S54" s="260">
        <v>1346</v>
      </c>
      <c r="T54" s="260">
        <v>1387</v>
      </c>
      <c r="U54" s="260">
        <v>1395</v>
      </c>
      <c r="V54" s="260">
        <v>1368</v>
      </c>
      <c r="W54" s="260">
        <v>1363</v>
      </c>
      <c r="X54" s="260">
        <v>1343</v>
      </c>
      <c r="Y54" s="260">
        <v>1262</v>
      </c>
      <c r="Z54" s="260">
        <v>1310</v>
      </c>
      <c r="AA54" s="260">
        <v>1328</v>
      </c>
      <c r="AB54" s="260">
        <v>1298</v>
      </c>
      <c r="AC54" s="260">
        <v>1327</v>
      </c>
      <c r="AD54" s="260">
        <v>1440</v>
      </c>
      <c r="AE54" s="260">
        <v>1441</v>
      </c>
      <c r="AF54" s="260">
        <v>1310</v>
      </c>
      <c r="AG54" s="260">
        <v>1341</v>
      </c>
      <c r="AH54" s="260">
        <v>1470</v>
      </c>
      <c r="AI54" s="260">
        <v>1507</v>
      </c>
      <c r="AJ54" s="260">
        <v>1455</v>
      </c>
      <c r="AK54" s="260">
        <v>1435</v>
      </c>
      <c r="AL54" s="260">
        <v>1430</v>
      </c>
      <c r="AM54" s="260">
        <v>1485</v>
      </c>
      <c r="AN54" s="260">
        <v>1500</v>
      </c>
      <c r="AO54" s="260">
        <v>1480</v>
      </c>
      <c r="AP54" s="260">
        <v>1498</v>
      </c>
      <c r="AQ54" s="260">
        <v>1490</v>
      </c>
      <c r="AR54" s="260">
        <v>1247</v>
      </c>
      <c r="AS54" s="260">
        <v>1630</v>
      </c>
      <c r="AT54" s="260">
        <v>1293</v>
      </c>
      <c r="AU54" s="260">
        <v>1455</v>
      </c>
      <c r="AV54" s="260">
        <v>1304</v>
      </c>
      <c r="AW54" s="260">
        <v>1307</v>
      </c>
      <c r="AX54" s="260">
        <v>1324</v>
      </c>
      <c r="AY54" s="260">
        <v>1336</v>
      </c>
      <c r="AZ54" s="260">
        <v>1317</v>
      </c>
      <c r="BA54" s="260">
        <v>1298</v>
      </c>
      <c r="BB54" s="260">
        <v>1298</v>
      </c>
      <c r="BC54" s="260">
        <v>1330</v>
      </c>
      <c r="BD54" s="260">
        <v>1276</v>
      </c>
      <c r="BE54" s="260">
        <v>1388</v>
      </c>
      <c r="BF54" s="260">
        <v>1441</v>
      </c>
      <c r="BG54" s="260">
        <v>1317</v>
      </c>
      <c r="BH54" s="260">
        <v>1378</v>
      </c>
      <c r="BI54" s="260">
        <v>1355</v>
      </c>
      <c r="BJ54" s="260">
        <v>1398</v>
      </c>
      <c r="BK54" s="260">
        <v>1330</v>
      </c>
      <c r="BL54" s="260">
        <v>1513</v>
      </c>
      <c r="BM54" s="260">
        <v>1502</v>
      </c>
      <c r="BN54" s="260">
        <v>1435</v>
      </c>
      <c r="BO54" s="260">
        <v>1462</v>
      </c>
      <c r="BP54" s="260">
        <v>1516</v>
      </c>
      <c r="BQ54" s="260">
        <v>1351</v>
      </c>
      <c r="BR54" s="260">
        <v>1496</v>
      </c>
      <c r="BS54" s="260">
        <v>1458</v>
      </c>
      <c r="BT54" s="260">
        <v>1337</v>
      </c>
      <c r="BU54" s="260">
        <v>1507</v>
      </c>
      <c r="BV54" s="260">
        <v>1337</v>
      </c>
      <c r="BW54" s="260">
        <v>1298</v>
      </c>
      <c r="BX54" s="260">
        <v>1445</v>
      </c>
      <c r="BY54" s="260">
        <v>1435</v>
      </c>
      <c r="BZ54" s="260">
        <v>1455</v>
      </c>
      <c r="CA54" s="260">
        <v>1227</v>
      </c>
      <c r="CB54" s="260">
        <v>1316</v>
      </c>
      <c r="CC54" s="260">
        <v>1321</v>
      </c>
      <c r="CD54" s="260">
        <v>1331</v>
      </c>
      <c r="CE54" s="260">
        <v>1326</v>
      </c>
      <c r="CF54" s="260">
        <v>1346</v>
      </c>
      <c r="CG54" s="260">
        <v>1295</v>
      </c>
      <c r="CH54" s="260">
        <v>1518</v>
      </c>
      <c r="CI54" s="260">
        <v>1483</v>
      </c>
      <c r="CJ54" s="260">
        <v>1509</v>
      </c>
      <c r="CK54" s="260">
        <v>1300</v>
      </c>
      <c r="CL54" s="260">
        <v>1298</v>
      </c>
      <c r="CM54" s="260">
        <v>1403</v>
      </c>
      <c r="CN54" s="260">
        <v>1336</v>
      </c>
      <c r="CO54" s="260">
        <v>1337</v>
      </c>
      <c r="CP54" s="260">
        <v>1323</v>
      </c>
      <c r="CQ54" s="260">
        <v>1329</v>
      </c>
      <c r="CR54" s="260">
        <v>1330</v>
      </c>
      <c r="CS54" s="260">
        <v>1334</v>
      </c>
      <c r="CT54" s="260">
        <v>1347</v>
      </c>
      <c r="CU54" s="260">
        <v>1328</v>
      </c>
      <c r="CV54" s="260">
        <v>1328</v>
      </c>
      <c r="CW54" s="260">
        <v>1314</v>
      </c>
      <c r="CX54" s="260">
        <v>1382</v>
      </c>
      <c r="CY54" s="260">
        <v>1398</v>
      </c>
      <c r="CZ54" s="260">
        <v>1358</v>
      </c>
      <c r="DA54" s="260">
        <v>1348</v>
      </c>
      <c r="DB54" s="260">
        <v>1463</v>
      </c>
      <c r="DC54" s="260">
        <v>1328</v>
      </c>
      <c r="DD54" s="260">
        <v>1344</v>
      </c>
      <c r="DE54" s="260">
        <v>1373</v>
      </c>
      <c r="DF54" s="260">
        <v>1376</v>
      </c>
      <c r="DG54" s="260">
        <v>1310</v>
      </c>
      <c r="DH54" s="260">
        <v>1424</v>
      </c>
      <c r="DI54" s="260">
        <v>1373</v>
      </c>
      <c r="DJ54" s="260">
        <v>1396</v>
      </c>
      <c r="DK54" s="260">
        <v>1348</v>
      </c>
      <c r="DL54" s="260">
        <v>1541</v>
      </c>
      <c r="DM54" s="260">
        <v>1310</v>
      </c>
      <c r="DN54" s="260">
        <v>1572</v>
      </c>
      <c r="DO54" s="260">
        <v>1545</v>
      </c>
      <c r="DP54" s="260">
        <v>1406</v>
      </c>
      <c r="DQ54" s="260">
        <v>1534</v>
      </c>
      <c r="DR54" s="260">
        <v>1402</v>
      </c>
      <c r="DS54" s="260">
        <v>1496</v>
      </c>
      <c r="DT54" s="260">
        <v>1547</v>
      </c>
      <c r="DU54" s="260">
        <v>1563</v>
      </c>
      <c r="DV54" s="260">
        <v>1342</v>
      </c>
      <c r="DW54" s="260">
        <v>1406</v>
      </c>
      <c r="DX54" s="260">
        <v>1533</v>
      </c>
      <c r="DY54" s="260">
        <v>1433</v>
      </c>
      <c r="DZ54" s="260">
        <v>1456</v>
      </c>
      <c r="EA54" s="260">
        <v>1377</v>
      </c>
      <c r="EB54" s="260">
        <v>1403</v>
      </c>
      <c r="EC54" s="260">
        <v>1478</v>
      </c>
      <c r="ED54" s="260">
        <v>1417</v>
      </c>
      <c r="EE54" s="260">
        <v>1324</v>
      </c>
      <c r="EF54" s="260">
        <v>1394</v>
      </c>
      <c r="EG54" s="260">
        <v>1482</v>
      </c>
      <c r="EH54" s="260">
        <v>1276</v>
      </c>
      <c r="EI54" s="260">
        <v>1297</v>
      </c>
      <c r="EJ54" s="260">
        <v>1521</v>
      </c>
      <c r="EK54" s="260">
        <v>1514</v>
      </c>
      <c r="EL54" s="260">
        <v>1438</v>
      </c>
      <c r="EM54" s="260">
        <v>1450</v>
      </c>
      <c r="EN54" s="260">
        <v>1423</v>
      </c>
      <c r="EO54" s="260">
        <v>1207</v>
      </c>
      <c r="EP54" s="260">
        <v>1544</v>
      </c>
      <c r="EQ54" s="260">
        <v>1486</v>
      </c>
      <c r="ER54" s="260">
        <v>1480</v>
      </c>
      <c r="ES54" s="260">
        <v>1439</v>
      </c>
      <c r="ET54" s="260">
        <v>1398</v>
      </c>
      <c r="EU54" s="260">
        <v>1402</v>
      </c>
      <c r="EV54" s="260">
        <v>1353</v>
      </c>
      <c r="EW54" s="260">
        <v>1398</v>
      </c>
      <c r="EX54" s="260">
        <v>1391</v>
      </c>
      <c r="EY54" s="260">
        <v>1546</v>
      </c>
      <c r="EZ54" s="260">
        <v>1328</v>
      </c>
      <c r="FA54" s="260">
        <v>1565</v>
      </c>
      <c r="FB54" s="260">
        <v>1356</v>
      </c>
      <c r="FC54" s="260">
        <v>1251</v>
      </c>
      <c r="FD54" s="260">
        <v>1446</v>
      </c>
      <c r="FE54" s="260">
        <v>1470</v>
      </c>
      <c r="FF54" s="260">
        <v>1480</v>
      </c>
      <c r="FG54" s="260">
        <v>1353</v>
      </c>
      <c r="FH54" s="260">
        <v>1496</v>
      </c>
      <c r="FI54" s="260">
        <v>1345</v>
      </c>
      <c r="FJ54" s="260">
        <v>1318</v>
      </c>
      <c r="FK54" s="260">
        <v>1307</v>
      </c>
      <c r="FL54" s="260">
        <v>1310</v>
      </c>
      <c r="FM54" s="260">
        <v>1325</v>
      </c>
      <c r="FN54" s="260">
        <v>1328</v>
      </c>
      <c r="FO54" s="260">
        <v>1278</v>
      </c>
      <c r="FP54" s="260">
        <v>1482</v>
      </c>
      <c r="FQ54" s="260">
        <v>1282</v>
      </c>
      <c r="FR54" s="260">
        <v>1465</v>
      </c>
      <c r="FS54" s="260">
        <v>1412</v>
      </c>
      <c r="FT54" s="260">
        <v>1477</v>
      </c>
      <c r="FU54" s="260">
        <v>1244</v>
      </c>
      <c r="FV54" s="260">
        <v>1263</v>
      </c>
      <c r="FW54" s="260">
        <v>1455</v>
      </c>
      <c r="FX54" s="260">
        <v>1317</v>
      </c>
      <c r="FY54" s="260">
        <v>1285</v>
      </c>
      <c r="FZ54" s="260">
        <v>1309</v>
      </c>
      <c r="GA54" s="260">
        <v>1278</v>
      </c>
      <c r="GB54" s="260">
        <v>1443</v>
      </c>
      <c r="GC54" s="260">
        <v>1360</v>
      </c>
      <c r="GD54" s="260">
        <v>1444</v>
      </c>
      <c r="GE54" s="260">
        <v>1315</v>
      </c>
      <c r="GF54" s="260">
        <v>1315</v>
      </c>
      <c r="GG54" s="260">
        <v>1287</v>
      </c>
      <c r="GH54" s="260">
        <v>1457</v>
      </c>
      <c r="GI54" s="260">
        <v>1338</v>
      </c>
      <c r="GJ54" s="260">
        <v>1414</v>
      </c>
      <c r="GK54" s="260">
        <v>1442</v>
      </c>
      <c r="GL54" s="260">
        <v>1482</v>
      </c>
      <c r="GM54" s="260">
        <v>1442</v>
      </c>
      <c r="GN54" s="260">
        <v>1439</v>
      </c>
      <c r="GO54" s="260">
        <v>1426</v>
      </c>
      <c r="GP54" s="260">
        <v>1375</v>
      </c>
      <c r="GQ54" s="260">
        <v>1389</v>
      </c>
      <c r="GR54" s="260">
        <v>1351</v>
      </c>
      <c r="GS54" s="260">
        <v>1350</v>
      </c>
      <c r="GT54" s="260">
        <v>1324</v>
      </c>
      <c r="GU54" s="260">
        <v>1306</v>
      </c>
      <c r="GV54" s="260">
        <v>1266</v>
      </c>
      <c r="GW54" s="260">
        <v>1330</v>
      </c>
      <c r="GX54" s="260">
        <v>1395</v>
      </c>
      <c r="GY54" s="260">
        <v>1232</v>
      </c>
      <c r="GZ54" s="260">
        <v>1168</v>
      </c>
      <c r="HA54" s="260">
        <v>1419</v>
      </c>
      <c r="HB54" s="260"/>
      <c r="HC54" s="260"/>
      <c r="HD54" s="260">
        <v>1210</v>
      </c>
      <c r="HE54" s="260">
        <v>943</v>
      </c>
      <c r="HF54" s="260">
        <v>1357</v>
      </c>
      <c r="HG54" s="260"/>
      <c r="HH54" s="260">
        <v>1484</v>
      </c>
      <c r="HI54" s="260">
        <v>1378</v>
      </c>
      <c r="HJ54" s="260">
        <v>1353</v>
      </c>
      <c r="HK54" s="260">
        <v>1339</v>
      </c>
      <c r="HL54" s="260">
        <v>1334</v>
      </c>
      <c r="HM54" s="260">
        <v>1382</v>
      </c>
      <c r="HN54" s="260">
        <v>1399</v>
      </c>
      <c r="HO54" s="260">
        <v>1406</v>
      </c>
      <c r="HP54" s="260">
        <v>1403</v>
      </c>
      <c r="HQ54" s="260">
        <v>1420</v>
      </c>
      <c r="HR54" s="260">
        <v>1404</v>
      </c>
      <c r="HS54" s="260">
        <v>1399</v>
      </c>
      <c r="HT54" s="260">
        <v>1478</v>
      </c>
      <c r="HU54" s="260">
        <v>1587</v>
      </c>
      <c r="HV54" s="260">
        <v>1257</v>
      </c>
      <c r="HW54" s="260">
        <v>1164</v>
      </c>
      <c r="HX54" s="260">
        <v>963</v>
      </c>
      <c r="HY54" s="260">
        <v>810</v>
      </c>
      <c r="HZ54" s="260">
        <v>998</v>
      </c>
      <c r="IA54" s="260">
        <v>1174</v>
      </c>
      <c r="IB54" s="260">
        <v>1379</v>
      </c>
      <c r="IC54" s="260">
        <v>1562</v>
      </c>
      <c r="ID54" s="260">
        <v>1386</v>
      </c>
      <c r="IE54" s="260">
        <v>1448</v>
      </c>
      <c r="IF54" s="260">
        <v>1363</v>
      </c>
      <c r="IG54" s="260">
        <v>1378</v>
      </c>
      <c r="IH54" s="260">
        <v>1490</v>
      </c>
      <c r="II54" s="260">
        <v>1468</v>
      </c>
      <c r="IJ54" s="260">
        <v>1264</v>
      </c>
      <c r="IK54" s="260">
        <v>1291</v>
      </c>
      <c r="IL54" s="260">
        <v>1169</v>
      </c>
      <c r="IM54" s="260">
        <v>1300</v>
      </c>
      <c r="IN54" s="260">
        <v>1198</v>
      </c>
      <c r="IO54" s="260"/>
      <c r="IP54" s="260">
        <v>1478</v>
      </c>
      <c r="IQ54" s="260">
        <v>1383</v>
      </c>
      <c r="IR54" s="260">
        <v>633</v>
      </c>
      <c r="IS54" s="260">
        <v>1263</v>
      </c>
      <c r="IT54" s="260">
        <v>1278</v>
      </c>
      <c r="IU54" s="260"/>
      <c r="IV54" s="260"/>
      <c r="IW54" s="260">
        <v>1160</v>
      </c>
      <c r="IX54" s="260">
        <v>1263</v>
      </c>
      <c r="IY54" s="260">
        <v>1234</v>
      </c>
      <c r="IZ54" s="260">
        <v>1198</v>
      </c>
      <c r="JA54" s="260">
        <v>1110</v>
      </c>
      <c r="JB54" s="289">
        <v>32.299999999999997</v>
      </c>
      <c r="JC54" s="289">
        <v>41.68</v>
      </c>
      <c r="JD54" s="289">
        <v>1.1399999999999999</v>
      </c>
      <c r="JE54" s="289">
        <v>4.7</v>
      </c>
      <c r="JF54" s="289"/>
      <c r="JG54" s="289">
        <v>0</v>
      </c>
      <c r="JH54" s="259">
        <v>6.4</v>
      </c>
      <c r="JI54" s="290"/>
      <c r="JJ54" s="290"/>
      <c r="JK54" s="260">
        <v>84844195.863999993</v>
      </c>
      <c r="JL54" s="260">
        <v>282091.68400000001</v>
      </c>
      <c r="JM54" s="260">
        <v>57882888.840999998</v>
      </c>
      <c r="JN54" s="260">
        <v>61778.917000000001</v>
      </c>
      <c r="JO54" s="260">
        <v>85624746.958000004</v>
      </c>
      <c r="JP54" s="260">
        <v>187158.05</v>
      </c>
      <c r="JQ54" s="260">
        <v>62078515.979000002</v>
      </c>
      <c r="JR54" s="260">
        <v>55902.752999999997</v>
      </c>
      <c r="JS54" s="289">
        <v>321539137.16900003</v>
      </c>
      <c r="JT54" s="289">
        <v>84534.380999999994</v>
      </c>
      <c r="JU54" s="283">
        <f t="shared" si="195"/>
        <v>88178.077999994159</v>
      </c>
      <c r="JV54" s="283">
        <f t="shared" si="196"/>
        <v>13.706999999994878</v>
      </c>
      <c r="JW54" s="283">
        <f t="shared" si="197"/>
        <v>84204.438000001013</v>
      </c>
      <c r="JX54" s="283">
        <f t="shared" si="198"/>
        <v>7.4020000000018626</v>
      </c>
      <c r="JY54" s="284">
        <f t="shared" si="199"/>
        <v>87863.388000011444</v>
      </c>
      <c r="JZ54" s="284">
        <f t="shared" si="200"/>
        <v>13.63300000000163</v>
      </c>
      <c r="KA54" s="284">
        <f t="shared" si="201"/>
        <v>67256.129000000656</v>
      </c>
      <c r="KB54" s="284">
        <f t="shared" si="202"/>
        <v>12.936999999998079</v>
      </c>
      <c r="KC54" s="283">
        <f t="shared" si="203"/>
        <v>327298.33200001717</v>
      </c>
      <c r="KD54" s="283">
        <f t="shared" si="192"/>
        <v>54.799999999988358</v>
      </c>
      <c r="KE54" s="291">
        <f t="shared" ref="KE54:KE71" si="206">(JU54+JW54)-(JV54+JX54)</f>
        <v>172361.40699999518</v>
      </c>
      <c r="KF54" s="291">
        <f t="shared" ref="KF54:KF67" si="207">IFERROR(KC54-KD54,"")</f>
        <v>327243.53200001718</v>
      </c>
      <c r="KG54" s="292">
        <f>(RD[[#This Row],[Sunset Time (POA&lt;20 W/m2)]]-RD[[#This Row],[Sunrise Time (POA&gt;20 W/m2)]])*24</f>
        <v>13.149999999999999</v>
      </c>
      <c r="KH54" s="293">
        <f>RD[[#This Row],[GHI ]]</f>
        <v>0</v>
      </c>
      <c r="KI54" s="293">
        <f>RD[[#This Row],[POA]]</f>
        <v>6.4</v>
      </c>
      <c r="KJ54" s="293">
        <f>RD[[#This Row],[AT (°C) 14 Hours]]</f>
        <v>32.299999999999997</v>
      </c>
      <c r="KK54" s="293">
        <f>RD[[#This Row],[MT (°C) Gen. Hours]]</f>
        <v>41.68</v>
      </c>
      <c r="KL54" s="293">
        <f>RD[[#This Row],[WS_Avg (m/s) (24 Hours)]]</f>
        <v>1.1399999999999999</v>
      </c>
      <c r="KM54" s="293">
        <f>RD[[#This Row],[WS_Max (m/s)]]</f>
        <v>4.7</v>
      </c>
      <c r="KN54" s="294">
        <f>SUM(RD[[#This Row],[BLK1_INV1]:[BLK8_INV27]])</f>
        <v>332920</v>
      </c>
      <c r="KO54" s="95"/>
      <c r="KP54" s="55"/>
      <c r="KQ54" s="90" t="str">
        <f>IFERROR(RD[[#This Row],[WPR_Eac]]/RD[[#This Row],[WPR_Edc]],"")</f>
        <v/>
      </c>
    </row>
    <row r="55" spans="2:303" ht="15" customHeight="1" x14ac:dyDescent="0.25">
      <c r="B55" s="52">
        <v>45796</v>
      </c>
      <c r="C55" s="9">
        <f>YEAR(RD[[#This Row],[Date]])+IF(MONTH(RD[[#This Row],[Date]])&gt;=4,1,0)</f>
        <v>2026</v>
      </c>
      <c r="D55" s="6">
        <f t="shared" si="204"/>
        <v>2025</v>
      </c>
      <c r="E55" s="7"/>
      <c r="F55" s="7"/>
      <c r="G55" s="8" t="str">
        <f>TEXT(RD[[#This Row],[Date]],"mmm-yy")</f>
        <v>May-25</v>
      </c>
      <c r="H55" s="6">
        <f t="shared" si="205"/>
        <v>31</v>
      </c>
      <c r="I55" s="9">
        <f>'Basic Data '!$S$2</f>
        <v>66750</v>
      </c>
      <c r="J55" s="10">
        <v>0.21805555555555556</v>
      </c>
      <c r="K55" s="10">
        <v>0.76874999999999993</v>
      </c>
      <c r="L55" s="260">
        <v>1413</v>
      </c>
      <c r="M55" s="260">
        <v>1425</v>
      </c>
      <c r="N55" s="260">
        <v>1321</v>
      </c>
      <c r="O55" s="260">
        <v>1315</v>
      </c>
      <c r="P55" s="260">
        <v>1373</v>
      </c>
      <c r="Q55" s="260">
        <v>1317</v>
      </c>
      <c r="R55" s="260">
        <v>1317</v>
      </c>
      <c r="S55" s="260">
        <v>1320</v>
      </c>
      <c r="T55" s="260">
        <v>1360</v>
      </c>
      <c r="U55" s="260">
        <v>1372</v>
      </c>
      <c r="V55" s="260">
        <v>1346</v>
      </c>
      <c r="W55" s="260">
        <v>1341</v>
      </c>
      <c r="X55" s="260">
        <v>1321</v>
      </c>
      <c r="Y55" s="260">
        <v>1242</v>
      </c>
      <c r="Z55" s="260">
        <v>1308</v>
      </c>
      <c r="AA55" s="260">
        <v>1317</v>
      </c>
      <c r="AB55" s="260">
        <v>1261</v>
      </c>
      <c r="AC55" s="260">
        <v>1311</v>
      </c>
      <c r="AD55" s="260">
        <v>1417</v>
      </c>
      <c r="AE55" s="260">
        <v>1418</v>
      </c>
      <c r="AF55" s="260">
        <v>1310</v>
      </c>
      <c r="AG55" s="260">
        <v>1326</v>
      </c>
      <c r="AH55" s="260">
        <v>1454</v>
      </c>
      <c r="AI55" s="260">
        <v>1490</v>
      </c>
      <c r="AJ55" s="260">
        <v>1428</v>
      </c>
      <c r="AK55" s="260">
        <v>1410</v>
      </c>
      <c r="AL55" s="260">
        <v>1406</v>
      </c>
      <c r="AM55" s="260">
        <v>1459</v>
      </c>
      <c r="AN55" s="260">
        <v>1471</v>
      </c>
      <c r="AO55" s="260">
        <v>1452</v>
      </c>
      <c r="AP55" s="260">
        <v>1425</v>
      </c>
      <c r="AQ55" s="260">
        <v>1464</v>
      </c>
      <c r="AR55" s="260">
        <v>1221</v>
      </c>
      <c r="AS55" s="260">
        <v>1597</v>
      </c>
      <c r="AT55" s="260">
        <v>1269</v>
      </c>
      <c r="AU55" s="260">
        <v>1447</v>
      </c>
      <c r="AV55" s="260">
        <v>1304</v>
      </c>
      <c r="AW55" s="260">
        <v>1280</v>
      </c>
      <c r="AX55" s="260">
        <v>1296</v>
      </c>
      <c r="AY55" s="260">
        <v>1309</v>
      </c>
      <c r="AZ55" s="260">
        <v>1290</v>
      </c>
      <c r="BA55" s="260">
        <v>1259</v>
      </c>
      <c r="BB55" s="260">
        <v>1276</v>
      </c>
      <c r="BC55" s="260">
        <v>1246</v>
      </c>
      <c r="BD55" s="260">
        <v>1284</v>
      </c>
      <c r="BE55" s="260">
        <v>1311</v>
      </c>
      <c r="BF55" s="260">
        <v>1411</v>
      </c>
      <c r="BG55" s="260">
        <v>1290</v>
      </c>
      <c r="BH55" s="260">
        <v>1348</v>
      </c>
      <c r="BI55" s="260">
        <v>1326</v>
      </c>
      <c r="BJ55" s="260">
        <v>1305</v>
      </c>
      <c r="BK55" s="260">
        <v>1302</v>
      </c>
      <c r="BL55" s="260">
        <v>1483</v>
      </c>
      <c r="BM55" s="260">
        <v>1472</v>
      </c>
      <c r="BN55" s="260">
        <v>1402</v>
      </c>
      <c r="BO55" s="260">
        <v>1432</v>
      </c>
      <c r="BP55" s="260">
        <v>1483</v>
      </c>
      <c r="BQ55" s="260">
        <v>1328</v>
      </c>
      <c r="BR55" s="260">
        <v>1475</v>
      </c>
      <c r="BS55" s="260">
        <v>1437</v>
      </c>
      <c r="BT55" s="260">
        <v>1309</v>
      </c>
      <c r="BU55" s="260">
        <v>1476</v>
      </c>
      <c r="BV55" s="260">
        <v>1359</v>
      </c>
      <c r="BW55" s="260">
        <v>1258</v>
      </c>
      <c r="BX55" s="260">
        <v>1415</v>
      </c>
      <c r="BY55" s="260">
        <v>1403</v>
      </c>
      <c r="BZ55" s="260">
        <v>1427</v>
      </c>
      <c r="CA55" s="260">
        <v>1285</v>
      </c>
      <c r="CB55" s="260">
        <v>1301</v>
      </c>
      <c r="CC55" s="260">
        <v>1292</v>
      </c>
      <c r="CD55" s="260">
        <v>1308</v>
      </c>
      <c r="CE55" s="260">
        <v>1306</v>
      </c>
      <c r="CF55" s="260">
        <v>1333</v>
      </c>
      <c r="CG55" s="260">
        <v>1288</v>
      </c>
      <c r="CH55" s="260">
        <v>1488</v>
      </c>
      <c r="CI55" s="260">
        <v>1456</v>
      </c>
      <c r="CJ55" s="260">
        <v>1479</v>
      </c>
      <c r="CK55" s="260">
        <v>1271</v>
      </c>
      <c r="CL55" s="260">
        <v>1249</v>
      </c>
      <c r="CM55" s="260">
        <v>1391</v>
      </c>
      <c r="CN55" s="260">
        <v>1308</v>
      </c>
      <c r="CO55" s="260">
        <v>1307</v>
      </c>
      <c r="CP55" s="260">
        <v>1295</v>
      </c>
      <c r="CQ55" s="260">
        <v>1302</v>
      </c>
      <c r="CR55" s="260">
        <v>1303</v>
      </c>
      <c r="CS55" s="260">
        <v>1306</v>
      </c>
      <c r="CT55" s="260">
        <v>1332</v>
      </c>
      <c r="CU55" s="260">
        <v>1301</v>
      </c>
      <c r="CV55" s="260">
        <v>1305</v>
      </c>
      <c r="CW55" s="260">
        <v>1288</v>
      </c>
      <c r="CX55" s="260">
        <v>1356</v>
      </c>
      <c r="CY55" s="260">
        <v>1400</v>
      </c>
      <c r="CZ55" s="260">
        <v>1340</v>
      </c>
      <c r="DA55" s="260">
        <v>1331</v>
      </c>
      <c r="DB55" s="260">
        <v>1398</v>
      </c>
      <c r="DC55" s="260">
        <v>1273</v>
      </c>
      <c r="DD55" s="260">
        <v>1264</v>
      </c>
      <c r="DE55" s="260">
        <v>1326</v>
      </c>
      <c r="DF55" s="260">
        <v>1302</v>
      </c>
      <c r="DG55" s="260">
        <v>1316</v>
      </c>
      <c r="DH55" s="260">
        <v>1351</v>
      </c>
      <c r="DI55" s="260">
        <v>1309</v>
      </c>
      <c r="DJ55" s="260">
        <v>1336</v>
      </c>
      <c r="DK55" s="260">
        <v>1276</v>
      </c>
      <c r="DL55" s="260">
        <v>1499</v>
      </c>
      <c r="DM55" s="260">
        <v>1329</v>
      </c>
      <c r="DN55" s="260">
        <v>1557</v>
      </c>
      <c r="DO55" s="260">
        <v>1465</v>
      </c>
      <c r="DP55" s="260">
        <v>1328</v>
      </c>
      <c r="DQ55" s="260">
        <v>1469</v>
      </c>
      <c r="DR55" s="260">
        <v>1433</v>
      </c>
      <c r="DS55" s="260">
        <v>1406</v>
      </c>
      <c r="DT55" s="260">
        <v>1474</v>
      </c>
      <c r="DU55" s="260">
        <v>1474</v>
      </c>
      <c r="DV55" s="260">
        <v>1317</v>
      </c>
      <c r="DW55" s="260">
        <v>1322</v>
      </c>
      <c r="DX55" s="260">
        <v>1450</v>
      </c>
      <c r="DY55" s="260">
        <v>1481</v>
      </c>
      <c r="DZ55" s="260">
        <v>1478</v>
      </c>
      <c r="EA55" s="260">
        <v>1316</v>
      </c>
      <c r="EB55" s="260">
        <v>1335</v>
      </c>
      <c r="EC55" s="260">
        <v>1417</v>
      </c>
      <c r="ED55" s="260">
        <v>1372</v>
      </c>
      <c r="EE55" s="260">
        <v>1321</v>
      </c>
      <c r="EF55" s="260">
        <v>1369</v>
      </c>
      <c r="EG55" s="260">
        <v>1432</v>
      </c>
      <c r="EH55" s="260">
        <v>1264</v>
      </c>
      <c r="EI55" s="260">
        <v>1264</v>
      </c>
      <c r="EJ55" s="260">
        <v>1463</v>
      </c>
      <c r="EK55" s="260">
        <v>1458</v>
      </c>
      <c r="EL55" s="260">
        <v>1408</v>
      </c>
      <c r="EM55" s="260">
        <v>1418</v>
      </c>
      <c r="EN55" s="260">
        <v>1412</v>
      </c>
      <c r="EO55" s="260">
        <v>1195</v>
      </c>
      <c r="EP55" s="260">
        <v>1484</v>
      </c>
      <c r="EQ55" s="260">
        <v>1380</v>
      </c>
      <c r="ER55" s="260">
        <v>1434</v>
      </c>
      <c r="ES55" s="260">
        <v>1420</v>
      </c>
      <c r="ET55" s="260">
        <v>1397</v>
      </c>
      <c r="EU55" s="260">
        <v>1324</v>
      </c>
      <c r="EV55" s="260">
        <v>1338</v>
      </c>
      <c r="EW55" s="260">
        <v>1371</v>
      </c>
      <c r="EX55" s="260">
        <v>1327</v>
      </c>
      <c r="EY55" s="260">
        <v>1437</v>
      </c>
      <c r="EZ55" s="260">
        <v>1284</v>
      </c>
      <c r="FA55" s="260">
        <v>1399</v>
      </c>
      <c r="FB55" s="260">
        <v>1304</v>
      </c>
      <c r="FC55" s="260">
        <v>1211</v>
      </c>
      <c r="FD55" s="260">
        <v>1358</v>
      </c>
      <c r="FE55" s="260">
        <v>1424</v>
      </c>
      <c r="FF55" s="260">
        <v>1431</v>
      </c>
      <c r="FG55" s="260">
        <v>1311</v>
      </c>
      <c r="FH55" s="260">
        <v>1505</v>
      </c>
      <c r="FI55" s="260">
        <v>1318</v>
      </c>
      <c r="FJ55" s="260">
        <v>1298</v>
      </c>
      <c r="FK55" s="260">
        <v>1286</v>
      </c>
      <c r="FL55" s="260">
        <v>1254</v>
      </c>
      <c r="FM55" s="260">
        <v>1232</v>
      </c>
      <c r="FN55" s="260">
        <v>1310</v>
      </c>
      <c r="FO55" s="260">
        <v>1270</v>
      </c>
      <c r="FP55" s="260">
        <v>1458</v>
      </c>
      <c r="FQ55" s="260">
        <v>1264</v>
      </c>
      <c r="FR55" s="260">
        <v>1437</v>
      </c>
      <c r="FS55" s="260">
        <v>1411</v>
      </c>
      <c r="FT55" s="260">
        <v>1449</v>
      </c>
      <c r="FU55" s="260">
        <v>1220</v>
      </c>
      <c r="FV55" s="260">
        <v>1243</v>
      </c>
      <c r="FW55" s="260">
        <v>1428</v>
      </c>
      <c r="FX55" s="260">
        <v>1303</v>
      </c>
      <c r="FY55" s="260">
        <v>1259</v>
      </c>
      <c r="FZ55" s="260">
        <v>1288</v>
      </c>
      <c r="GA55" s="260">
        <v>1253</v>
      </c>
      <c r="GB55" s="260">
        <v>1418</v>
      </c>
      <c r="GC55" s="260">
        <v>1328</v>
      </c>
      <c r="GD55" s="260">
        <v>1416</v>
      </c>
      <c r="GE55" s="260">
        <v>1292</v>
      </c>
      <c r="GF55" s="260">
        <v>1306</v>
      </c>
      <c r="GG55" s="260">
        <v>1273</v>
      </c>
      <c r="GH55" s="260">
        <v>1439</v>
      </c>
      <c r="GI55" s="260">
        <v>1325</v>
      </c>
      <c r="GJ55" s="260">
        <v>1398</v>
      </c>
      <c r="GK55" s="260">
        <v>1412</v>
      </c>
      <c r="GL55" s="260">
        <v>1475</v>
      </c>
      <c r="GM55" s="260">
        <v>1414</v>
      </c>
      <c r="GN55" s="260">
        <v>1415</v>
      </c>
      <c r="GO55" s="260">
        <v>1398</v>
      </c>
      <c r="GP55" s="260">
        <v>1365</v>
      </c>
      <c r="GQ55" s="260">
        <v>1365</v>
      </c>
      <c r="GR55" s="260">
        <v>1319</v>
      </c>
      <c r="GS55" s="260">
        <v>1312</v>
      </c>
      <c r="GT55" s="260">
        <v>1293</v>
      </c>
      <c r="GU55" s="260">
        <v>1224</v>
      </c>
      <c r="GV55" s="260">
        <v>1218</v>
      </c>
      <c r="GW55" s="260">
        <v>1313</v>
      </c>
      <c r="GX55" s="260">
        <v>1245</v>
      </c>
      <c r="GY55" s="260">
        <v>1311</v>
      </c>
      <c r="GZ55" s="260">
        <v>1102</v>
      </c>
      <c r="HA55" s="260">
        <v>1336</v>
      </c>
      <c r="HB55" s="260"/>
      <c r="HC55" s="260"/>
      <c r="HD55" s="260">
        <v>1168</v>
      </c>
      <c r="HE55" s="260">
        <v>912</v>
      </c>
      <c r="HF55" s="260">
        <v>1309</v>
      </c>
      <c r="HG55" s="260"/>
      <c r="HH55" s="260">
        <v>1424</v>
      </c>
      <c r="HI55" s="260">
        <v>1258</v>
      </c>
      <c r="HJ55" s="260">
        <v>1315</v>
      </c>
      <c r="HK55" s="260">
        <v>1280</v>
      </c>
      <c r="HL55" s="260">
        <v>1308</v>
      </c>
      <c r="HM55" s="260">
        <v>1310</v>
      </c>
      <c r="HN55" s="260">
        <v>1324</v>
      </c>
      <c r="HO55" s="260">
        <v>1278</v>
      </c>
      <c r="HP55" s="260">
        <v>1323</v>
      </c>
      <c r="HQ55" s="260">
        <v>1283</v>
      </c>
      <c r="HR55" s="260">
        <v>1317</v>
      </c>
      <c r="HS55" s="260">
        <v>1325</v>
      </c>
      <c r="HT55" s="260">
        <v>1475</v>
      </c>
      <c r="HU55" s="260">
        <v>1504</v>
      </c>
      <c r="HV55" s="260">
        <v>1216</v>
      </c>
      <c r="HW55" s="260">
        <v>1177</v>
      </c>
      <c r="HX55" s="260">
        <v>910</v>
      </c>
      <c r="HY55" s="260">
        <v>798</v>
      </c>
      <c r="HZ55" s="260">
        <v>936</v>
      </c>
      <c r="IA55" s="260">
        <v>1111</v>
      </c>
      <c r="IB55" s="260">
        <v>1314</v>
      </c>
      <c r="IC55" s="260">
        <v>1404</v>
      </c>
      <c r="ID55" s="260">
        <v>1343</v>
      </c>
      <c r="IE55" s="260">
        <v>1332</v>
      </c>
      <c r="IF55" s="260">
        <v>1378</v>
      </c>
      <c r="IG55" s="260">
        <v>1398</v>
      </c>
      <c r="IH55" s="260">
        <v>1358</v>
      </c>
      <c r="II55" s="260">
        <v>1392</v>
      </c>
      <c r="IJ55" s="260">
        <v>1136</v>
      </c>
      <c r="IK55" s="260">
        <v>1266</v>
      </c>
      <c r="IL55" s="260">
        <v>1136</v>
      </c>
      <c r="IM55" s="260">
        <v>1278</v>
      </c>
      <c r="IN55" s="260">
        <v>1210</v>
      </c>
      <c r="IO55" s="260"/>
      <c r="IP55" s="260">
        <v>1401</v>
      </c>
      <c r="IQ55" s="260">
        <v>1402</v>
      </c>
      <c r="IR55" s="260">
        <v>610</v>
      </c>
      <c r="IS55" s="260">
        <v>1298</v>
      </c>
      <c r="IT55" s="260">
        <v>1237</v>
      </c>
      <c r="IU55" s="260"/>
      <c r="IV55" s="260"/>
      <c r="IW55" s="260">
        <v>1198</v>
      </c>
      <c r="IX55" s="260">
        <v>1278</v>
      </c>
      <c r="IY55" s="260">
        <v>1210</v>
      </c>
      <c r="IZ55" s="260">
        <v>1178</v>
      </c>
      <c r="JA55" s="260">
        <v>1121</v>
      </c>
      <c r="JB55" s="289">
        <v>36.200000000000003</v>
      </c>
      <c r="JC55" s="289">
        <v>40</v>
      </c>
      <c r="JD55" s="289">
        <v>1.1000000000000001</v>
      </c>
      <c r="JE55" s="289">
        <v>4.2</v>
      </c>
      <c r="JF55" s="289"/>
      <c r="JG55" s="289">
        <v>0</v>
      </c>
      <c r="JH55" s="259">
        <v>6.27</v>
      </c>
      <c r="JI55" s="290"/>
      <c r="JJ55" s="290"/>
      <c r="JK55" s="260">
        <v>84931095.141000003</v>
      </c>
      <c r="JL55" s="260">
        <v>282106.83899999998</v>
      </c>
      <c r="JM55" s="260">
        <v>57965993.75</v>
      </c>
      <c r="JN55" s="260">
        <v>61788.116000000002</v>
      </c>
      <c r="JO55" s="260">
        <v>85711093.858999997</v>
      </c>
      <c r="JP55" s="260">
        <v>187189.533</v>
      </c>
      <c r="JQ55" s="260">
        <v>62145633.467</v>
      </c>
      <c r="JR55" s="260">
        <v>55919.966999999997</v>
      </c>
      <c r="JS55" s="289">
        <v>321862485.79299998</v>
      </c>
      <c r="JT55" s="289">
        <v>84589.751999999993</v>
      </c>
      <c r="JU55" s="283">
        <f t="shared" si="195"/>
        <v>86899.277000010014</v>
      </c>
      <c r="JV55" s="283">
        <f t="shared" si="196"/>
        <v>15.154999999969732</v>
      </c>
      <c r="JW55" s="283">
        <f t="shared" si="197"/>
        <v>83104.909000001848</v>
      </c>
      <c r="JX55" s="283">
        <f t="shared" si="198"/>
        <v>9.1990000000005239</v>
      </c>
      <c r="JY55" s="284">
        <f t="shared" si="199"/>
        <v>86346.900999993086</v>
      </c>
      <c r="JZ55" s="284">
        <f t="shared" si="200"/>
        <v>31.483000000007451</v>
      </c>
      <c r="KA55" s="284">
        <f t="shared" si="201"/>
        <v>67117.487999998033</v>
      </c>
      <c r="KB55" s="284">
        <f t="shared" si="202"/>
        <v>17.213999999999942</v>
      </c>
      <c r="KC55" s="283">
        <f t="shared" ref="KC55:KC60" si="208">IF((JS55-JS54)&lt;0,"",(JS55-JS54))</f>
        <v>323348.62399995327</v>
      </c>
      <c r="KD55" s="283">
        <f t="shared" si="192"/>
        <v>55.370999999999185</v>
      </c>
      <c r="KE55" s="291">
        <f t="shared" si="206"/>
        <v>169979.8320000119</v>
      </c>
      <c r="KF55" s="291">
        <f t="shared" si="207"/>
        <v>323293.25299995329</v>
      </c>
      <c r="KG55" s="292">
        <f>(RD[[#This Row],[Sunset Time (POA&lt;20 W/m2)]]-RD[[#This Row],[Sunrise Time (POA&gt;20 W/m2)]])*24</f>
        <v>13.216666666666665</v>
      </c>
      <c r="KH55" s="293">
        <f>RD[[#This Row],[GHI ]]</f>
        <v>0</v>
      </c>
      <c r="KI55" s="293">
        <f>RD[[#This Row],[POA]]</f>
        <v>6.27</v>
      </c>
      <c r="KJ55" s="293">
        <f>RD[[#This Row],[AT (°C) 14 Hours]]</f>
        <v>36.200000000000003</v>
      </c>
      <c r="KK55" s="293">
        <f>RD[[#This Row],[MT (°C) Gen. Hours]]</f>
        <v>40</v>
      </c>
      <c r="KL55" s="293">
        <f>RD[[#This Row],[WS_Avg (m/s) (24 Hours)]]</f>
        <v>1.1000000000000001</v>
      </c>
      <c r="KM55" s="293">
        <f>RD[[#This Row],[WS_Max (m/s)]]</f>
        <v>4.2</v>
      </c>
      <c r="KN55" s="294">
        <f>SUM(RD[[#This Row],[BLK1_INV1]:[BLK8_INV27]])</f>
        <v>324288</v>
      </c>
      <c r="KO55" s="95"/>
      <c r="KP55" s="55"/>
      <c r="KQ55" s="90" t="str">
        <f>IFERROR(RD[[#This Row],[WPR_Eac]]/RD[[#This Row],[WPR_Edc]],"")</f>
        <v/>
      </c>
    </row>
    <row r="56" spans="2:303" ht="15" customHeight="1" x14ac:dyDescent="0.25">
      <c r="B56" s="52">
        <v>45797</v>
      </c>
      <c r="C56" s="9">
        <f>YEAR(RD[[#This Row],[Date]])+IF(MONTH(RD[[#This Row],[Date]])&gt;=4,1,0)</f>
        <v>2026</v>
      </c>
      <c r="D56" s="6">
        <f t="shared" si="204"/>
        <v>2025</v>
      </c>
      <c r="E56" s="7"/>
      <c r="F56" s="7"/>
      <c r="G56" s="8" t="str">
        <f>TEXT(RD[[#This Row],[Date]],"mmm-yy")</f>
        <v>May-25</v>
      </c>
      <c r="H56" s="6">
        <f t="shared" si="205"/>
        <v>31</v>
      </c>
      <c r="I56" s="9">
        <f>'Basic Data '!$S$2</f>
        <v>66750</v>
      </c>
      <c r="J56" s="10">
        <v>0.21805555555555556</v>
      </c>
      <c r="K56" s="10">
        <v>0.7680555555555556</v>
      </c>
      <c r="L56" s="260">
        <v>1397</v>
      </c>
      <c r="M56" s="260">
        <v>1409</v>
      </c>
      <c r="N56" s="260">
        <v>1306</v>
      </c>
      <c r="O56" s="260">
        <v>1301</v>
      </c>
      <c r="P56" s="260">
        <v>1370</v>
      </c>
      <c r="Q56" s="260">
        <v>1301</v>
      </c>
      <c r="R56" s="260">
        <v>1302</v>
      </c>
      <c r="S56" s="260">
        <v>1305</v>
      </c>
      <c r="T56" s="260">
        <v>1345</v>
      </c>
      <c r="U56" s="260">
        <v>1356</v>
      </c>
      <c r="V56" s="260">
        <v>1330</v>
      </c>
      <c r="W56" s="260">
        <v>1325</v>
      </c>
      <c r="X56" s="260">
        <v>1305</v>
      </c>
      <c r="Y56" s="260">
        <v>1228</v>
      </c>
      <c r="Z56" s="260">
        <v>1304</v>
      </c>
      <c r="AA56" s="260">
        <v>1298</v>
      </c>
      <c r="AB56" s="260">
        <v>1268</v>
      </c>
      <c r="AC56" s="260">
        <v>1303</v>
      </c>
      <c r="AD56" s="260">
        <v>1414</v>
      </c>
      <c r="AE56" s="260">
        <v>1416</v>
      </c>
      <c r="AF56" s="260">
        <v>1316</v>
      </c>
      <c r="AG56" s="260">
        <v>1317</v>
      </c>
      <c r="AH56" s="260">
        <v>1438</v>
      </c>
      <c r="AI56" s="260">
        <v>1482</v>
      </c>
      <c r="AJ56" s="260">
        <v>1430</v>
      </c>
      <c r="AK56" s="260">
        <v>1411</v>
      </c>
      <c r="AL56" s="260">
        <v>1405</v>
      </c>
      <c r="AM56" s="260">
        <v>1460</v>
      </c>
      <c r="AN56" s="260">
        <v>1472</v>
      </c>
      <c r="AO56" s="260">
        <v>1452</v>
      </c>
      <c r="AP56" s="260">
        <v>1415</v>
      </c>
      <c r="AQ56" s="260">
        <v>1461</v>
      </c>
      <c r="AR56" s="260">
        <v>1207</v>
      </c>
      <c r="AS56" s="260">
        <v>1583</v>
      </c>
      <c r="AT56" s="260">
        <v>1243</v>
      </c>
      <c r="AU56" s="260">
        <v>1455</v>
      </c>
      <c r="AV56" s="260">
        <v>1298</v>
      </c>
      <c r="AW56" s="260">
        <v>1267</v>
      </c>
      <c r="AX56" s="260">
        <v>1278</v>
      </c>
      <c r="AY56" s="260">
        <v>1293</v>
      </c>
      <c r="AZ56" s="260">
        <v>1272</v>
      </c>
      <c r="BA56" s="260">
        <v>1270</v>
      </c>
      <c r="BB56" s="260">
        <v>1282</v>
      </c>
      <c r="BC56" s="260">
        <v>1268</v>
      </c>
      <c r="BD56" s="260">
        <v>1308</v>
      </c>
      <c r="BE56" s="260">
        <v>1308</v>
      </c>
      <c r="BF56" s="260">
        <v>1404</v>
      </c>
      <c r="BG56" s="260">
        <v>1275</v>
      </c>
      <c r="BH56" s="260">
        <v>1338</v>
      </c>
      <c r="BI56" s="260">
        <v>1314</v>
      </c>
      <c r="BJ56" s="260">
        <v>1293</v>
      </c>
      <c r="BK56" s="260">
        <v>1309</v>
      </c>
      <c r="BL56" s="260">
        <v>1467</v>
      </c>
      <c r="BM56" s="260">
        <v>1463</v>
      </c>
      <c r="BN56" s="260">
        <v>1392</v>
      </c>
      <c r="BO56" s="260">
        <v>1415</v>
      </c>
      <c r="BP56" s="260">
        <v>1467</v>
      </c>
      <c r="BQ56" s="260">
        <v>1313</v>
      </c>
      <c r="BR56" s="260">
        <v>1455</v>
      </c>
      <c r="BS56" s="260">
        <v>1433</v>
      </c>
      <c r="BT56" s="260">
        <v>1295</v>
      </c>
      <c r="BU56" s="260">
        <v>1465</v>
      </c>
      <c r="BV56" s="260">
        <v>1398</v>
      </c>
      <c r="BW56" s="260">
        <v>1260</v>
      </c>
      <c r="BX56" s="260">
        <v>1413</v>
      </c>
      <c r="BY56" s="260">
        <v>1391</v>
      </c>
      <c r="BZ56" s="260">
        <v>1423</v>
      </c>
      <c r="CA56" s="260">
        <v>1263</v>
      </c>
      <c r="CB56" s="260">
        <v>1282</v>
      </c>
      <c r="CC56" s="260">
        <v>1278</v>
      </c>
      <c r="CD56" s="260">
        <v>1295</v>
      </c>
      <c r="CE56" s="260">
        <v>1292</v>
      </c>
      <c r="CF56" s="260">
        <v>1318</v>
      </c>
      <c r="CG56" s="260">
        <v>1285</v>
      </c>
      <c r="CH56" s="260">
        <v>1494</v>
      </c>
      <c r="CI56" s="260">
        <v>1457</v>
      </c>
      <c r="CJ56" s="260">
        <v>1481</v>
      </c>
      <c r="CK56" s="260">
        <v>1263</v>
      </c>
      <c r="CL56" s="260">
        <v>1232</v>
      </c>
      <c r="CM56" s="260">
        <v>1351</v>
      </c>
      <c r="CN56" s="260">
        <v>1300</v>
      </c>
      <c r="CO56" s="260">
        <v>1298</v>
      </c>
      <c r="CP56" s="260">
        <v>1281</v>
      </c>
      <c r="CQ56" s="260">
        <v>1288</v>
      </c>
      <c r="CR56" s="260">
        <v>1290</v>
      </c>
      <c r="CS56" s="260">
        <v>1292</v>
      </c>
      <c r="CT56" s="260">
        <v>1317</v>
      </c>
      <c r="CU56" s="260">
        <v>1310</v>
      </c>
      <c r="CV56" s="260">
        <v>1291</v>
      </c>
      <c r="CW56" s="260">
        <v>1281</v>
      </c>
      <c r="CX56" s="260">
        <v>1342</v>
      </c>
      <c r="CY56" s="260">
        <v>1363</v>
      </c>
      <c r="CZ56" s="260">
        <v>1325</v>
      </c>
      <c r="DA56" s="260">
        <v>1318</v>
      </c>
      <c r="DB56" s="260">
        <v>1398</v>
      </c>
      <c r="DC56" s="260">
        <v>1262</v>
      </c>
      <c r="DD56" s="260">
        <v>1260</v>
      </c>
      <c r="DE56" s="260">
        <v>1316</v>
      </c>
      <c r="DF56" s="260">
        <v>1298</v>
      </c>
      <c r="DG56" s="260">
        <v>1306</v>
      </c>
      <c r="DH56" s="260">
        <v>1344</v>
      </c>
      <c r="DI56" s="260">
        <v>1301</v>
      </c>
      <c r="DJ56" s="260">
        <v>1333</v>
      </c>
      <c r="DK56" s="260">
        <v>1311</v>
      </c>
      <c r="DL56" s="260">
        <v>1497</v>
      </c>
      <c r="DM56" s="260">
        <v>1321</v>
      </c>
      <c r="DN56" s="260">
        <v>1564</v>
      </c>
      <c r="DO56" s="260">
        <v>1450</v>
      </c>
      <c r="DP56" s="260">
        <v>1314</v>
      </c>
      <c r="DQ56" s="260">
        <v>1436</v>
      </c>
      <c r="DR56" s="260">
        <v>1423</v>
      </c>
      <c r="DS56" s="260">
        <v>1385</v>
      </c>
      <c r="DT56" s="260">
        <v>1426</v>
      </c>
      <c r="DU56" s="260">
        <v>1456</v>
      </c>
      <c r="DV56" s="260">
        <v>1302</v>
      </c>
      <c r="DW56" s="260">
        <v>1310</v>
      </c>
      <c r="DX56" s="260">
        <v>1434</v>
      </c>
      <c r="DY56" s="260">
        <v>1468</v>
      </c>
      <c r="DZ56" s="260">
        <v>1471</v>
      </c>
      <c r="EA56" s="260">
        <v>1303</v>
      </c>
      <c r="EB56" s="260">
        <v>1321</v>
      </c>
      <c r="EC56" s="260">
        <v>1401</v>
      </c>
      <c r="ED56" s="260">
        <v>1360</v>
      </c>
      <c r="EE56" s="260">
        <v>1308</v>
      </c>
      <c r="EF56" s="260">
        <v>1327</v>
      </c>
      <c r="EG56" s="260">
        <v>1470</v>
      </c>
      <c r="EH56" s="260">
        <v>1255</v>
      </c>
      <c r="EI56" s="260">
        <v>1263</v>
      </c>
      <c r="EJ56" s="260">
        <v>1450</v>
      </c>
      <c r="EK56" s="260">
        <v>1446</v>
      </c>
      <c r="EL56" s="260">
        <v>1395</v>
      </c>
      <c r="EM56" s="260">
        <v>1404</v>
      </c>
      <c r="EN56" s="260">
        <v>1400</v>
      </c>
      <c r="EO56" s="260">
        <v>1197</v>
      </c>
      <c r="EP56" s="260">
        <v>1476</v>
      </c>
      <c r="EQ56" s="260">
        <v>1365</v>
      </c>
      <c r="ER56" s="260">
        <v>1424</v>
      </c>
      <c r="ES56" s="260">
        <v>1405</v>
      </c>
      <c r="ET56" s="260">
        <v>1389</v>
      </c>
      <c r="EU56" s="260">
        <v>1316</v>
      </c>
      <c r="EV56" s="260">
        <v>1327</v>
      </c>
      <c r="EW56" s="260">
        <v>1359</v>
      </c>
      <c r="EX56" s="260">
        <v>1320</v>
      </c>
      <c r="EY56" s="260">
        <v>1427</v>
      </c>
      <c r="EZ56" s="260">
        <v>1276</v>
      </c>
      <c r="FA56" s="260">
        <v>1353</v>
      </c>
      <c r="FB56" s="260">
        <v>1295</v>
      </c>
      <c r="FC56" s="260">
        <v>1203</v>
      </c>
      <c r="FD56" s="260">
        <v>1353</v>
      </c>
      <c r="FE56" s="260">
        <v>1411</v>
      </c>
      <c r="FF56" s="260">
        <v>1421</v>
      </c>
      <c r="FG56" s="260">
        <v>1302</v>
      </c>
      <c r="FH56" s="260">
        <v>1493</v>
      </c>
      <c r="FI56" s="260">
        <v>1315</v>
      </c>
      <c r="FJ56" s="260">
        <v>1292</v>
      </c>
      <c r="FK56" s="260">
        <v>1275</v>
      </c>
      <c r="FL56" s="260">
        <v>1298</v>
      </c>
      <c r="FM56" s="260">
        <v>1227</v>
      </c>
      <c r="FN56" s="260">
        <v>1296</v>
      </c>
      <c r="FO56" s="260">
        <v>1254</v>
      </c>
      <c r="FP56" s="260">
        <v>1441</v>
      </c>
      <c r="FQ56" s="260">
        <v>1246</v>
      </c>
      <c r="FR56" s="260">
        <v>1423</v>
      </c>
      <c r="FS56" s="260">
        <v>1393</v>
      </c>
      <c r="FT56" s="260">
        <v>1431</v>
      </c>
      <c r="FU56" s="260">
        <v>1202</v>
      </c>
      <c r="FV56" s="260">
        <v>1259</v>
      </c>
      <c r="FW56" s="260">
        <v>1447</v>
      </c>
      <c r="FX56" s="260">
        <v>1302</v>
      </c>
      <c r="FY56" s="260">
        <v>1245</v>
      </c>
      <c r="FZ56" s="260">
        <v>1288</v>
      </c>
      <c r="GA56" s="260">
        <v>1233</v>
      </c>
      <c r="GB56" s="260">
        <v>1416</v>
      </c>
      <c r="GC56" s="260">
        <v>1312</v>
      </c>
      <c r="GD56" s="260">
        <v>1411</v>
      </c>
      <c r="GE56" s="260">
        <v>1280</v>
      </c>
      <c r="GF56" s="260">
        <v>1302</v>
      </c>
      <c r="GG56" s="260">
        <v>1266</v>
      </c>
      <c r="GH56" s="260">
        <v>1429</v>
      </c>
      <c r="GI56" s="260">
        <v>1311</v>
      </c>
      <c r="GJ56" s="260">
        <v>1393</v>
      </c>
      <c r="GK56" s="260">
        <v>1395</v>
      </c>
      <c r="GL56" s="260">
        <v>1467</v>
      </c>
      <c r="GM56" s="260">
        <v>1405</v>
      </c>
      <c r="GN56" s="260">
        <v>1398</v>
      </c>
      <c r="GO56" s="260">
        <v>1383</v>
      </c>
      <c r="GP56" s="260">
        <v>1353</v>
      </c>
      <c r="GQ56" s="260">
        <v>1353</v>
      </c>
      <c r="GR56" s="260">
        <v>1301</v>
      </c>
      <c r="GS56" s="260">
        <v>1294</v>
      </c>
      <c r="GT56" s="260">
        <v>1283</v>
      </c>
      <c r="GU56" s="260">
        <v>1236</v>
      </c>
      <c r="GV56" s="260">
        <v>1201</v>
      </c>
      <c r="GW56" s="260">
        <v>1307</v>
      </c>
      <c r="GX56" s="260">
        <v>1230</v>
      </c>
      <c r="GY56" s="260">
        <v>1313</v>
      </c>
      <c r="GZ56" s="260">
        <v>1089</v>
      </c>
      <c r="HA56" s="260">
        <v>1329</v>
      </c>
      <c r="HB56" s="260"/>
      <c r="HC56" s="260"/>
      <c r="HD56" s="260">
        <v>1134</v>
      </c>
      <c r="HE56" s="260">
        <v>904</v>
      </c>
      <c r="HF56" s="260">
        <v>1292</v>
      </c>
      <c r="HG56" s="260"/>
      <c r="HH56" s="260">
        <v>1410</v>
      </c>
      <c r="HI56" s="260">
        <v>1249</v>
      </c>
      <c r="HJ56" s="260">
        <v>1302</v>
      </c>
      <c r="HK56" s="260">
        <v>1272</v>
      </c>
      <c r="HL56" s="260">
        <v>1295</v>
      </c>
      <c r="HM56" s="260">
        <v>1297</v>
      </c>
      <c r="HN56" s="260">
        <v>1310</v>
      </c>
      <c r="HO56" s="260">
        <v>1300</v>
      </c>
      <c r="HP56" s="260">
        <v>1308</v>
      </c>
      <c r="HQ56" s="260">
        <v>1329</v>
      </c>
      <c r="HR56" s="260">
        <v>1302</v>
      </c>
      <c r="HS56" s="260">
        <v>1311</v>
      </c>
      <c r="HT56" s="260">
        <v>1459</v>
      </c>
      <c r="HU56" s="260">
        <v>1476</v>
      </c>
      <c r="HV56" s="260">
        <v>1201</v>
      </c>
      <c r="HW56" s="260">
        <v>1167</v>
      </c>
      <c r="HX56" s="260">
        <v>910</v>
      </c>
      <c r="HY56" s="260">
        <v>810</v>
      </c>
      <c r="HZ56" s="260">
        <v>957</v>
      </c>
      <c r="IA56" s="260">
        <v>1136</v>
      </c>
      <c r="IB56" s="260">
        <v>1378</v>
      </c>
      <c r="IC56" s="260">
        <v>1439</v>
      </c>
      <c r="ID56" s="260">
        <v>1377</v>
      </c>
      <c r="IE56" s="260">
        <v>1363</v>
      </c>
      <c r="IF56" s="260">
        <v>1398</v>
      </c>
      <c r="IG56" s="260">
        <v>1363</v>
      </c>
      <c r="IH56" s="260">
        <v>1386</v>
      </c>
      <c r="II56" s="260">
        <v>1427</v>
      </c>
      <c r="IJ56" s="260">
        <v>1202</v>
      </c>
      <c r="IK56" s="260">
        <v>1296</v>
      </c>
      <c r="IL56" s="260">
        <v>1161</v>
      </c>
      <c r="IM56" s="260">
        <v>1263</v>
      </c>
      <c r="IN56" s="260">
        <v>1223</v>
      </c>
      <c r="IO56" s="260"/>
      <c r="IP56" s="260">
        <v>1855</v>
      </c>
      <c r="IQ56" s="260">
        <v>1361</v>
      </c>
      <c r="IR56" s="260">
        <v>598</v>
      </c>
      <c r="IS56" s="260">
        <v>1278</v>
      </c>
      <c r="IT56" s="260">
        <v>1223</v>
      </c>
      <c r="IU56" s="260"/>
      <c r="IV56" s="260"/>
      <c r="IW56" s="260">
        <v>1210</v>
      </c>
      <c r="IX56" s="260">
        <v>1356</v>
      </c>
      <c r="IY56" s="260">
        <v>1226</v>
      </c>
      <c r="IZ56" s="260">
        <v>1164</v>
      </c>
      <c r="JA56" s="260">
        <v>1132</v>
      </c>
      <c r="JB56" s="289">
        <v>36.200000000000003</v>
      </c>
      <c r="JC56" s="289">
        <v>38.229999999999997</v>
      </c>
      <c r="JD56" s="289">
        <v>1.3</v>
      </c>
      <c r="JE56" s="289">
        <v>6.3</v>
      </c>
      <c r="JF56" s="289"/>
      <c r="JG56" s="289">
        <v>0</v>
      </c>
      <c r="JH56" s="259">
        <v>6.27</v>
      </c>
      <c r="JI56" s="290"/>
      <c r="JJ56" s="290"/>
      <c r="JK56" s="260">
        <v>85017444.060000002</v>
      </c>
      <c r="JL56" s="260">
        <v>282131.80599999998</v>
      </c>
      <c r="JM56" s="260">
        <v>58048179.351000004</v>
      </c>
      <c r="JN56" s="260">
        <v>61814.197</v>
      </c>
      <c r="JO56" s="260">
        <v>85796789.223000005</v>
      </c>
      <c r="JP56" s="260">
        <v>187222.61199999999</v>
      </c>
      <c r="JQ56" s="260">
        <v>62212722.539999999</v>
      </c>
      <c r="JR56" s="260">
        <v>55950.154999999999</v>
      </c>
      <c r="JS56" s="289">
        <v>322183673.47399998</v>
      </c>
      <c r="JT56" s="289">
        <v>84680.597999999998</v>
      </c>
      <c r="JU56" s="283">
        <f t="shared" si="195"/>
        <v>86348.918999999762</v>
      </c>
      <c r="JV56" s="283">
        <f t="shared" si="196"/>
        <v>24.967000000004191</v>
      </c>
      <c r="JW56" s="283">
        <f t="shared" si="197"/>
        <v>82185.601000003517</v>
      </c>
      <c r="JX56" s="283">
        <f t="shared" si="198"/>
        <v>26.080999999998312</v>
      </c>
      <c r="JY56" s="284">
        <f t="shared" si="199"/>
        <v>85695.36400000751</v>
      </c>
      <c r="JZ56" s="284">
        <f t="shared" si="200"/>
        <v>33.078999999997905</v>
      </c>
      <c r="KA56" s="284">
        <f t="shared" si="201"/>
        <v>67089.072999998927</v>
      </c>
      <c r="KB56" s="284">
        <f t="shared" si="202"/>
        <v>30.188000000001921</v>
      </c>
      <c r="KC56" s="283">
        <f t="shared" si="208"/>
        <v>321187.68099999428</v>
      </c>
      <c r="KD56" s="283">
        <f t="shared" si="192"/>
        <v>90.846000000005006</v>
      </c>
      <c r="KE56" s="291">
        <f t="shared" si="206"/>
        <v>168483.47200000327</v>
      </c>
      <c r="KF56" s="291">
        <f t="shared" si="207"/>
        <v>321096.83499999426</v>
      </c>
      <c r="KG56" s="292">
        <f>(RD[[#This Row],[Sunset Time (POA&lt;20 W/m2)]]-RD[[#This Row],[Sunrise Time (POA&gt;20 W/m2)]])*24</f>
        <v>13.200000000000001</v>
      </c>
      <c r="KH56" s="293">
        <f>RD[[#This Row],[GHI ]]</f>
        <v>0</v>
      </c>
      <c r="KI56" s="293">
        <f>RD[[#This Row],[POA]]</f>
        <v>6.27</v>
      </c>
      <c r="KJ56" s="293">
        <f>RD[[#This Row],[AT (°C) 14 Hours]]</f>
        <v>36.200000000000003</v>
      </c>
      <c r="KK56" s="293">
        <f>RD[[#This Row],[MT (°C) Gen. Hours]]</f>
        <v>38.229999999999997</v>
      </c>
      <c r="KL56" s="293">
        <f>RD[[#This Row],[WS_Avg (m/s) (24 Hours)]]</f>
        <v>1.3</v>
      </c>
      <c r="KM56" s="293">
        <f>RD[[#This Row],[WS_Max (m/s)]]</f>
        <v>6.3</v>
      </c>
      <c r="KN56" s="294">
        <f>SUM(RD[[#This Row],[BLK1_INV1]:[BLK8_INV27]])</f>
        <v>323147</v>
      </c>
      <c r="KO56" s="95"/>
      <c r="KP56" s="55"/>
      <c r="KQ56" s="90" t="str">
        <f>IFERROR(RD[[#This Row],[WPR_Eac]]/RD[[#This Row],[WPR_Edc]],"")</f>
        <v/>
      </c>
    </row>
    <row r="57" spans="2:303" ht="15" customHeight="1" x14ac:dyDescent="0.25">
      <c r="B57" s="52">
        <v>45798</v>
      </c>
      <c r="C57" s="9">
        <f>YEAR(RD[[#This Row],[Date]])+IF(MONTH(RD[[#This Row],[Date]])&gt;=4,1,0)</f>
        <v>2026</v>
      </c>
      <c r="D57" s="6">
        <f t="shared" si="204"/>
        <v>2025</v>
      </c>
      <c r="E57" s="7"/>
      <c r="F57" s="7"/>
      <c r="G57" s="8" t="str">
        <f>TEXT(RD[[#This Row],[Date]],"mmm-yy")</f>
        <v>May-25</v>
      </c>
      <c r="H57" s="6">
        <f t="shared" si="205"/>
        <v>31</v>
      </c>
      <c r="I57" s="9">
        <f>'Basic Data '!$S$2</f>
        <v>66750</v>
      </c>
      <c r="J57" s="10">
        <v>0.21944444444444444</v>
      </c>
      <c r="K57" s="10">
        <v>0.76874999999999993</v>
      </c>
      <c r="L57" s="260">
        <v>1279</v>
      </c>
      <c r="M57" s="260">
        <v>1291</v>
      </c>
      <c r="N57" s="260">
        <v>1197</v>
      </c>
      <c r="O57" s="260">
        <v>1194</v>
      </c>
      <c r="P57" s="260">
        <v>1252</v>
      </c>
      <c r="Q57" s="260">
        <v>1192</v>
      </c>
      <c r="R57" s="260">
        <v>1220.3</v>
      </c>
      <c r="S57" s="260">
        <v>1193</v>
      </c>
      <c r="T57" s="260">
        <v>1232</v>
      </c>
      <c r="U57" s="260">
        <v>1242</v>
      </c>
      <c r="V57" s="260">
        <v>1217</v>
      </c>
      <c r="W57" s="260">
        <v>1211</v>
      </c>
      <c r="X57" s="260">
        <v>1196</v>
      </c>
      <c r="Y57" s="260">
        <v>1124</v>
      </c>
      <c r="Z57" s="260">
        <v>1193</v>
      </c>
      <c r="AA57" s="260">
        <v>1189</v>
      </c>
      <c r="AB57" s="260">
        <v>1174</v>
      </c>
      <c r="AC57" s="260">
        <v>1193</v>
      </c>
      <c r="AD57" s="260">
        <v>1293</v>
      </c>
      <c r="AE57" s="260">
        <v>1295</v>
      </c>
      <c r="AF57" s="260">
        <v>1205</v>
      </c>
      <c r="AG57" s="260">
        <v>1205</v>
      </c>
      <c r="AH57" s="260">
        <v>1319</v>
      </c>
      <c r="AI57" s="260">
        <v>1360</v>
      </c>
      <c r="AJ57" s="260">
        <v>1310</v>
      </c>
      <c r="AK57" s="260">
        <v>1291</v>
      </c>
      <c r="AL57" s="260">
        <v>1288</v>
      </c>
      <c r="AM57" s="260">
        <v>1340</v>
      </c>
      <c r="AN57" s="260">
        <v>1355</v>
      </c>
      <c r="AO57" s="260">
        <v>1339</v>
      </c>
      <c r="AP57" s="260">
        <v>1325</v>
      </c>
      <c r="AQ57" s="260">
        <v>1352</v>
      </c>
      <c r="AR57" s="260">
        <v>1128</v>
      </c>
      <c r="AS57" s="260">
        <v>1458</v>
      </c>
      <c r="AT57" s="260">
        <v>1176</v>
      </c>
      <c r="AU57" s="260">
        <v>1346</v>
      </c>
      <c r="AV57" s="260">
        <v>1208</v>
      </c>
      <c r="AW57" s="260">
        <v>1188</v>
      </c>
      <c r="AX57" s="260">
        <v>1203</v>
      </c>
      <c r="AY57" s="260">
        <v>1202</v>
      </c>
      <c r="AZ57" s="260">
        <v>1201</v>
      </c>
      <c r="BA57" s="260">
        <v>1185</v>
      </c>
      <c r="BB57" s="260">
        <v>1212</v>
      </c>
      <c r="BC57" s="260">
        <v>1185</v>
      </c>
      <c r="BD57" s="260">
        <v>1214</v>
      </c>
      <c r="BE57" s="260">
        <v>1210</v>
      </c>
      <c r="BF57" s="260">
        <v>1310</v>
      </c>
      <c r="BG57" s="260">
        <v>1189</v>
      </c>
      <c r="BH57" s="260">
        <v>1223</v>
      </c>
      <c r="BI57" s="260">
        <v>1205</v>
      </c>
      <c r="BJ57" s="260">
        <v>1196</v>
      </c>
      <c r="BK57" s="260">
        <v>1197</v>
      </c>
      <c r="BL57" s="260">
        <v>1372</v>
      </c>
      <c r="BM57" s="260">
        <v>1343</v>
      </c>
      <c r="BN57" s="260">
        <v>1275</v>
      </c>
      <c r="BO57" s="260">
        <v>1308</v>
      </c>
      <c r="BP57" s="260">
        <v>1341</v>
      </c>
      <c r="BQ57" s="260">
        <v>1201</v>
      </c>
      <c r="BR57" s="260">
        <v>1340</v>
      </c>
      <c r="BS57" s="260">
        <v>1308</v>
      </c>
      <c r="BT57" s="260">
        <v>1209</v>
      </c>
      <c r="BU57" s="260">
        <v>1363</v>
      </c>
      <c r="BV57" s="260">
        <v>1325</v>
      </c>
      <c r="BW57" s="260">
        <v>1208</v>
      </c>
      <c r="BX57" s="260">
        <v>1290</v>
      </c>
      <c r="BY57" s="260">
        <v>1269</v>
      </c>
      <c r="BZ57" s="260">
        <v>1300</v>
      </c>
      <c r="CA57" s="260">
        <v>1167</v>
      </c>
      <c r="CB57" s="260">
        <v>1171</v>
      </c>
      <c r="CC57" s="260">
        <v>1165</v>
      </c>
      <c r="CD57" s="260">
        <v>1183</v>
      </c>
      <c r="CE57" s="260">
        <v>1180</v>
      </c>
      <c r="CF57" s="260">
        <v>1216</v>
      </c>
      <c r="CG57" s="260">
        <v>1186</v>
      </c>
      <c r="CH57" s="260">
        <v>1374</v>
      </c>
      <c r="CI57" s="260">
        <v>1343</v>
      </c>
      <c r="CJ57" s="260">
        <v>1364</v>
      </c>
      <c r="CK57" s="260">
        <v>1171</v>
      </c>
      <c r="CL57" s="260">
        <v>1169.4000000000001</v>
      </c>
      <c r="CM57" s="260">
        <v>1254</v>
      </c>
      <c r="CN57" s="260">
        <v>1208</v>
      </c>
      <c r="CO57" s="260">
        <v>1208</v>
      </c>
      <c r="CP57" s="260">
        <v>1196</v>
      </c>
      <c r="CQ57" s="260">
        <v>1201</v>
      </c>
      <c r="CR57" s="260">
        <v>1205</v>
      </c>
      <c r="CS57" s="260">
        <v>1202</v>
      </c>
      <c r="CT57" s="260">
        <v>1203</v>
      </c>
      <c r="CU57" s="260">
        <v>1196</v>
      </c>
      <c r="CV57" s="260">
        <v>1179</v>
      </c>
      <c r="CW57" s="260">
        <v>1170</v>
      </c>
      <c r="CX57" s="260">
        <v>1226</v>
      </c>
      <c r="CY57" s="260">
        <v>1298</v>
      </c>
      <c r="CZ57" s="260">
        <v>1226</v>
      </c>
      <c r="DA57" s="260">
        <v>1217</v>
      </c>
      <c r="DB57" s="260">
        <v>1310</v>
      </c>
      <c r="DC57" s="260">
        <v>1155</v>
      </c>
      <c r="DD57" s="260">
        <v>1163</v>
      </c>
      <c r="DE57" s="260">
        <v>1199</v>
      </c>
      <c r="DF57" s="260">
        <v>1184</v>
      </c>
      <c r="DG57" s="260">
        <v>1192</v>
      </c>
      <c r="DH57" s="260">
        <v>1225</v>
      </c>
      <c r="DI57" s="260">
        <v>1186</v>
      </c>
      <c r="DJ57" s="260">
        <v>1215</v>
      </c>
      <c r="DK57" s="260">
        <v>1195</v>
      </c>
      <c r="DL57" s="260">
        <v>1361</v>
      </c>
      <c r="DM57" s="260">
        <v>1205</v>
      </c>
      <c r="DN57" s="260">
        <v>1428</v>
      </c>
      <c r="DO57" s="260">
        <v>1323</v>
      </c>
      <c r="DP57" s="260">
        <v>1198</v>
      </c>
      <c r="DQ57" s="260">
        <v>1305</v>
      </c>
      <c r="DR57" s="260">
        <v>1296</v>
      </c>
      <c r="DS57" s="260">
        <v>1270</v>
      </c>
      <c r="DT57" s="260">
        <v>1315</v>
      </c>
      <c r="DU57" s="260">
        <v>1330</v>
      </c>
      <c r="DV57" s="260">
        <v>1188</v>
      </c>
      <c r="DW57" s="260">
        <v>1263</v>
      </c>
      <c r="DX57" s="260">
        <v>1311</v>
      </c>
      <c r="DY57" s="260">
        <v>1335</v>
      </c>
      <c r="DZ57" s="260">
        <v>1337</v>
      </c>
      <c r="EA57" s="260">
        <v>1188</v>
      </c>
      <c r="EB57" s="260">
        <v>1207</v>
      </c>
      <c r="EC57" s="260">
        <v>1294.0999999999999</v>
      </c>
      <c r="ED57" s="260">
        <v>1309.0999999999999</v>
      </c>
      <c r="EE57" s="260">
        <v>1195</v>
      </c>
      <c r="EF57" s="260">
        <v>1210</v>
      </c>
      <c r="EG57" s="260">
        <v>1326</v>
      </c>
      <c r="EH57" s="260">
        <v>1192</v>
      </c>
      <c r="EI57" s="260">
        <v>1165</v>
      </c>
      <c r="EJ57" s="260">
        <v>1323</v>
      </c>
      <c r="EK57" s="260">
        <v>1319</v>
      </c>
      <c r="EL57" s="260">
        <v>1273</v>
      </c>
      <c r="EM57" s="260">
        <v>1281</v>
      </c>
      <c r="EN57" s="260">
        <v>1277</v>
      </c>
      <c r="EO57" s="260">
        <v>1093</v>
      </c>
      <c r="EP57" s="260">
        <v>1344</v>
      </c>
      <c r="EQ57" s="260">
        <v>1249</v>
      </c>
      <c r="ER57" s="260">
        <v>1300</v>
      </c>
      <c r="ES57" s="260">
        <v>1286</v>
      </c>
      <c r="ET57" s="260">
        <v>1266</v>
      </c>
      <c r="EU57" s="260">
        <v>1195</v>
      </c>
      <c r="EV57" s="260">
        <v>1210</v>
      </c>
      <c r="EW57" s="260">
        <v>1246</v>
      </c>
      <c r="EX57" s="260">
        <v>1206</v>
      </c>
      <c r="EY57" s="260">
        <v>1300</v>
      </c>
      <c r="EZ57" s="260">
        <v>1209</v>
      </c>
      <c r="FA57" s="260">
        <v>1263</v>
      </c>
      <c r="FB57" s="260">
        <v>1179</v>
      </c>
      <c r="FC57" s="260">
        <v>1095</v>
      </c>
      <c r="FD57" s="260">
        <v>1258</v>
      </c>
      <c r="FE57" s="260">
        <v>1287</v>
      </c>
      <c r="FF57" s="260">
        <v>1295</v>
      </c>
      <c r="FG57" s="260">
        <v>1184</v>
      </c>
      <c r="FH57" s="260">
        <v>1355</v>
      </c>
      <c r="FI57" s="260">
        <v>1198</v>
      </c>
      <c r="FJ57" s="260">
        <v>1181</v>
      </c>
      <c r="FK57" s="260">
        <v>1163</v>
      </c>
      <c r="FL57" s="260">
        <v>1165</v>
      </c>
      <c r="FM57" s="260">
        <v>1145</v>
      </c>
      <c r="FN57" s="260">
        <v>1181</v>
      </c>
      <c r="FO57" s="260">
        <v>1144</v>
      </c>
      <c r="FP57" s="260">
        <v>1311</v>
      </c>
      <c r="FQ57" s="260">
        <v>1165</v>
      </c>
      <c r="FR57" s="260">
        <v>1298</v>
      </c>
      <c r="FS57" s="260">
        <v>1276</v>
      </c>
      <c r="FT57" s="260">
        <v>1308</v>
      </c>
      <c r="FU57" s="260">
        <v>1163</v>
      </c>
      <c r="FV57" s="260">
        <v>1170</v>
      </c>
      <c r="FW57" s="260">
        <v>1328</v>
      </c>
      <c r="FX57" s="260">
        <v>1192</v>
      </c>
      <c r="FY57" s="260">
        <v>1144</v>
      </c>
      <c r="FZ57" s="260">
        <v>1184</v>
      </c>
      <c r="GA57" s="260">
        <v>1150</v>
      </c>
      <c r="GB57" s="260">
        <v>1309</v>
      </c>
      <c r="GC57" s="260">
        <v>1204</v>
      </c>
      <c r="GD57" s="260">
        <v>1330</v>
      </c>
      <c r="GE57" s="260">
        <v>1169</v>
      </c>
      <c r="GF57" s="260">
        <v>1186</v>
      </c>
      <c r="GG57" s="260">
        <v>1162</v>
      </c>
      <c r="GH57" s="260">
        <v>1304</v>
      </c>
      <c r="GI57" s="260">
        <v>1199</v>
      </c>
      <c r="GJ57" s="260">
        <v>1268</v>
      </c>
      <c r="GK57" s="260">
        <v>1287</v>
      </c>
      <c r="GL57" s="260">
        <v>1284</v>
      </c>
      <c r="GM57" s="260">
        <v>1278</v>
      </c>
      <c r="GN57" s="260">
        <v>1275</v>
      </c>
      <c r="GO57" s="260">
        <v>1281</v>
      </c>
      <c r="GP57" s="260">
        <v>1236</v>
      </c>
      <c r="GQ57" s="260">
        <v>1233</v>
      </c>
      <c r="GR57" s="260">
        <v>1203</v>
      </c>
      <c r="GS57" s="260">
        <v>1245</v>
      </c>
      <c r="GT57" s="260">
        <v>1188</v>
      </c>
      <c r="GU57" s="260">
        <v>1165</v>
      </c>
      <c r="GV57" s="260">
        <v>1119</v>
      </c>
      <c r="GW57" s="260">
        <v>1220</v>
      </c>
      <c r="GX57" s="260">
        <v>1152</v>
      </c>
      <c r="GY57" s="260">
        <v>1211</v>
      </c>
      <c r="GZ57" s="260">
        <v>1000</v>
      </c>
      <c r="HA57" s="260">
        <v>1238</v>
      </c>
      <c r="HB57" s="260"/>
      <c r="HC57" s="260"/>
      <c r="HD57" s="260">
        <v>1046</v>
      </c>
      <c r="HE57" s="260">
        <v>824</v>
      </c>
      <c r="HF57" s="260">
        <v>1179</v>
      </c>
      <c r="HG57" s="260"/>
      <c r="HH57" s="260">
        <v>1291</v>
      </c>
      <c r="HI57" s="260">
        <v>1144</v>
      </c>
      <c r="HJ57" s="260">
        <v>1205</v>
      </c>
      <c r="HK57" s="260">
        <v>1175</v>
      </c>
      <c r="HL57" s="260">
        <v>1211</v>
      </c>
      <c r="HM57" s="260">
        <v>1181</v>
      </c>
      <c r="HN57" s="260">
        <v>1219</v>
      </c>
      <c r="HO57" s="260">
        <v>1186</v>
      </c>
      <c r="HP57" s="260">
        <v>1208</v>
      </c>
      <c r="HQ57" s="260">
        <v>1214</v>
      </c>
      <c r="HR57" s="260">
        <v>1203</v>
      </c>
      <c r="HS57" s="260">
        <v>1198</v>
      </c>
      <c r="HT57" s="260">
        <v>1378</v>
      </c>
      <c r="HU57" s="260">
        <v>1364</v>
      </c>
      <c r="HV57" s="260">
        <v>1098</v>
      </c>
      <c r="HW57" s="260">
        <v>1066</v>
      </c>
      <c r="HX57" s="260">
        <v>868</v>
      </c>
      <c r="HY57" s="260">
        <v>726</v>
      </c>
      <c r="HZ57" s="260">
        <v>889.7</v>
      </c>
      <c r="IA57" s="260">
        <v>1047</v>
      </c>
      <c r="IB57" s="260">
        <v>1260</v>
      </c>
      <c r="IC57" s="260">
        <v>1328</v>
      </c>
      <c r="ID57" s="260">
        <v>1270</v>
      </c>
      <c r="IE57" s="260">
        <v>1263</v>
      </c>
      <c r="IF57" s="260">
        <v>1264</v>
      </c>
      <c r="IG57" s="260">
        <v>1298</v>
      </c>
      <c r="IH57" s="260">
        <v>1323</v>
      </c>
      <c r="II57" s="260">
        <v>1298</v>
      </c>
      <c r="IJ57" s="260">
        <v>1126</v>
      </c>
      <c r="IK57" s="260">
        <v>1180</v>
      </c>
      <c r="IL57" s="260">
        <v>1054</v>
      </c>
      <c r="IM57" s="260">
        <v>1163</v>
      </c>
      <c r="IN57" s="260">
        <v>1126</v>
      </c>
      <c r="IO57" s="260"/>
      <c r="IP57" s="260">
        <v>1698</v>
      </c>
      <c r="IQ57" s="260">
        <v>1298</v>
      </c>
      <c r="IR57" s="260">
        <v>550</v>
      </c>
      <c r="IS57" s="260">
        <v>1210</v>
      </c>
      <c r="IT57" s="260">
        <v>1169</v>
      </c>
      <c r="IU57" s="260"/>
      <c r="IV57" s="260"/>
      <c r="IW57" s="260">
        <v>1110</v>
      </c>
      <c r="IX57" s="260">
        <v>1266</v>
      </c>
      <c r="IY57" s="260">
        <v>1240</v>
      </c>
      <c r="IZ57" s="260">
        <v>1110</v>
      </c>
      <c r="JA57" s="260">
        <v>1051</v>
      </c>
      <c r="JB57" s="289">
        <v>35.5</v>
      </c>
      <c r="JC57" s="289">
        <v>28</v>
      </c>
      <c r="JD57" s="289">
        <v>1.1000000000000001</v>
      </c>
      <c r="JE57" s="289">
        <v>4.3</v>
      </c>
      <c r="JF57" s="289"/>
      <c r="JG57" s="289">
        <v>0</v>
      </c>
      <c r="JH57" s="259">
        <v>5.79</v>
      </c>
      <c r="JI57" s="290"/>
      <c r="JJ57" s="290"/>
      <c r="JK57" s="260">
        <v>85097003.113999993</v>
      </c>
      <c r="JL57" s="260">
        <v>282158.20199999999</v>
      </c>
      <c r="JM57" s="260">
        <v>58123585.217</v>
      </c>
      <c r="JN57" s="260">
        <v>61835.796000000002</v>
      </c>
      <c r="JO57" s="260">
        <v>85875128.953999996</v>
      </c>
      <c r="JP57" s="260">
        <v>187246.75899999999</v>
      </c>
      <c r="JQ57" s="260">
        <v>62274322.813000001</v>
      </c>
      <c r="JR57" s="260">
        <v>55975.841999999997</v>
      </c>
      <c r="JS57" s="289">
        <v>322478484.40700001</v>
      </c>
      <c r="JT57" s="289">
        <v>84768.572</v>
      </c>
      <c r="JU57" s="283">
        <f t="shared" si="195"/>
        <v>79559.053999990225</v>
      </c>
      <c r="JV57" s="283">
        <f t="shared" si="196"/>
        <v>26.396000000007916</v>
      </c>
      <c r="JW57" s="283">
        <f t="shared" si="197"/>
        <v>75405.865999996662</v>
      </c>
      <c r="JX57" s="283">
        <f t="shared" si="198"/>
        <v>21.599000000001979</v>
      </c>
      <c r="JY57" s="284">
        <f t="shared" si="199"/>
        <v>78339.730999991298</v>
      </c>
      <c r="JZ57" s="284">
        <f t="shared" si="200"/>
        <v>24.146999999997206</v>
      </c>
      <c r="KA57" s="284">
        <f t="shared" si="201"/>
        <v>61600.273000001907</v>
      </c>
      <c r="KB57" s="284">
        <f t="shared" si="202"/>
        <v>25.686999999998079</v>
      </c>
      <c r="KC57" s="283">
        <f t="shared" si="208"/>
        <v>294810.93300002813</v>
      </c>
      <c r="KD57" s="283">
        <f t="shared" si="192"/>
        <v>87.974000000001979</v>
      </c>
      <c r="KE57" s="291">
        <f t="shared" si="206"/>
        <v>154916.92499998689</v>
      </c>
      <c r="KF57" s="291">
        <f t="shared" si="207"/>
        <v>294722.95900002815</v>
      </c>
      <c r="KG57" s="292">
        <f>(RD[[#This Row],[Sunset Time (POA&lt;20 W/m2)]]-RD[[#This Row],[Sunrise Time (POA&gt;20 W/m2)]])*24</f>
        <v>13.183333333333332</v>
      </c>
      <c r="KH57" s="293">
        <f>RD[[#This Row],[GHI ]]</f>
        <v>0</v>
      </c>
      <c r="KI57" s="293">
        <f>RD[[#This Row],[POA]]</f>
        <v>5.79</v>
      </c>
      <c r="KJ57" s="293">
        <f>RD[[#This Row],[AT (°C) 14 Hours]]</f>
        <v>35.5</v>
      </c>
      <c r="KK57" s="293">
        <f>RD[[#This Row],[MT (°C) Gen. Hours]]</f>
        <v>28</v>
      </c>
      <c r="KL57" s="293">
        <f>RD[[#This Row],[WS_Avg (m/s) (24 Hours)]]</f>
        <v>1.1000000000000001</v>
      </c>
      <c r="KM57" s="293">
        <f>RD[[#This Row],[WS_Max (m/s)]]</f>
        <v>4.3</v>
      </c>
      <c r="KN57" s="294">
        <f>SUM(RD[[#This Row],[BLK1_INV1]:[BLK8_INV27]])</f>
        <v>297837.60000000003</v>
      </c>
      <c r="KO57" s="95"/>
      <c r="KP57" s="55"/>
      <c r="KQ57" s="90" t="str">
        <f>IFERROR(RD[[#This Row],[WPR_Eac]]/RD[[#This Row],[WPR_Edc]],"")</f>
        <v/>
      </c>
    </row>
    <row r="58" spans="2:303" ht="15" customHeight="1" x14ac:dyDescent="0.25">
      <c r="B58" s="52">
        <v>45799</v>
      </c>
      <c r="C58" s="9">
        <f>YEAR(RD[[#This Row],[Date]])+IF(MONTH(RD[[#This Row],[Date]])&gt;=4,1,0)</f>
        <v>2026</v>
      </c>
      <c r="D58" s="6">
        <f t="shared" si="204"/>
        <v>2025</v>
      </c>
      <c r="E58" s="7"/>
      <c r="F58" s="7"/>
      <c r="G58" s="8" t="str">
        <f>TEXT(RD[[#This Row],[Date]],"mmm-yy")</f>
        <v>May-25</v>
      </c>
      <c r="H58" s="6">
        <f t="shared" si="205"/>
        <v>31</v>
      </c>
      <c r="I58" s="9">
        <f>'Basic Data '!$S$2</f>
        <v>66750</v>
      </c>
      <c r="J58" s="10">
        <v>0.21944444444444444</v>
      </c>
      <c r="K58" s="10">
        <v>0.77013888888888893</v>
      </c>
      <c r="L58" s="260">
        <v>1401</v>
      </c>
      <c r="M58" s="260">
        <v>1396</v>
      </c>
      <c r="N58" s="260">
        <v>1300</v>
      </c>
      <c r="O58" s="260">
        <v>1275</v>
      </c>
      <c r="P58" s="260">
        <v>1384</v>
      </c>
      <c r="Q58" s="260">
        <v>1319</v>
      </c>
      <c r="R58" s="260">
        <v>1294</v>
      </c>
      <c r="S58" s="260">
        <v>1316</v>
      </c>
      <c r="T58" s="260">
        <v>1362</v>
      </c>
      <c r="U58" s="260">
        <v>1372</v>
      </c>
      <c r="V58" s="260">
        <v>1334</v>
      </c>
      <c r="W58" s="260">
        <v>1338</v>
      </c>
      <c r="X58" s="260">
        <v>1321</v>
      </c>
      <c r="Y58" s="260">
        <v>1243</v>
      </c>
      <c r="Z58" s="260">
        <v>1311</v>
      </c>
      <c r="AA58" s="260">
        <v>1321</v>
      </c>
      <c r="AB58" s="260">
        <v>1260</v>
      </c>
      <c r="AC58" s="260">
        <v>1314</v>
      </c>
      <c r="AD58" s="260">
        <v>1423</v>
      </c>
      <c r="AE58" s="260">
        <v>1411</v>
      </c>
      <c r="AF58" s="260">
        <v>1292</v>
      </c>
      <c r="AG58" s="260">
        <v>1332</v>
      </c>
      <c r="AH58" s="260">
        <v>1461</v>
      </c>
      <c r="AI58" s="260">
        <v>1475</v>
      </c>
      <c r="AJ58" s="260">
        <v>1443</v>
      </c>
      <c r="AK58" s="260">
        <v>1392</v>
      </c>
      <c r="AL58" s="260">
        <v>1420</v>
      </c>
      <c r="AM58" s="260">
        <v>1476</v>
      </c>
      <c r="AN58" s="260">
        <v>1479</v>
      </c>
      <c r="AO58" s="260">
        <v>1458</v>
      </c>
      <c r="AP58" s="260">
        <v>1443.5</v>
      </c>
      <c r="AQ58" s="260">
        <v>1486</v>
      </c>
      <c r="AR58" s="260">
        <v>1208</v>
      </c>
      <c r="AS58" s="260">
        <v>1610</v>
      </c>
      <c r="AT58" s="260">
        <v>1297</v>
      </c>
      <c r="AU58" s="260">
        <v>1478</v>
      </c>
      <c r="AV58" s="260">
        <v>1239</v>
      </c>
      <c r="AW58" s="260">
        <v>1300</v>
      </c>
      <c r="AX58" s="260">
        <v>1319</v>
      </c>
      <c r="AY58" s="260">
        <v>1275</v>
      </c>
      <c r="AZ58" s="260">
        <v>1316</v>
      </c>
      <c r="BA58" s="260">
        <v>1284</v>
      </c>
      <c r="BB58" s="260">
        <v>1300</v>
      </c>
      <c r="BC58" s="260">
        <v>1268</v>
      </c>
      <c r="BD58" s="260">
        <v>1300</v>
      </c>
      <c r="BE58" s="260">
        <v>1327</v>
      </c>
      <c r="BF58" s="260">
        <v>1433</v>
      </c>
      <c r="BG58" s="260">
        <v>1304</v>
      </c>
      <c r="BH58" s="260">
        <v>1366</v>
      </c>
      <c r="BI58" s="260">
        <v>1344</v>
      </c>
      <c r="BJ58" s="260">
        <v>1276</v>
      </c>
      <c r="BK58" s="260">
        <v>1333</v>
      </c>
      <c r="BL58" s="260">
        <v>1514</v>
      </c>
      <c r="BM58" s="260">
        <v>1492</v>
      </c>
      <c r="BN58" s="260">
        <v>1409</v>
      </c>
      <c r="BO58" s="260">
        <v>1434</v>
      </c>
      <c r="BP58" s="260">
        <v>1480</v>
      </c>
      <c r="BQ58" s="260">
        <v>1325</v>
      </c>
      <c r="BR58" s="260">
        <v>1479</v>
      </c>
      <c r="BS58" s="260">
        <v>1438</v>
      </c>
      <c r="BT58" s="260">
        <v>1325</v>
      </c>
      <c r="BU58" s="260">
        <v>1495</v>
      </c>
      <c r="BV58" s="260">
        <v>1412</v>
      </c>
      <c r="BW58" s="260">
        <v>1305</v>
      </c>
      <c r="BX58" s="260">
        <v>1421</v>
      </c>
      <c r="BY58" s="260">
        <v>1395</v>
      </c>
      <c r="BZ58" s="260">
        <v>1433</v>
      </c>
      <c r="CA58" s="260">
        <v>1311</v>
      </c>
      <c r="CB58" s="260">
        <v>1311</v>
      </c>
      <c r="CC58" s="260">
        <v>1298</v>
      </c>
      <c r="CD58" s="260">
        <v>1318</v>
      </c>
      <c r="CE58" s="260">
        <v>1316</v>
      </c>
      <c r="CF58" s="260">
        <v>1338</v>
      </c>
      <c r="CG58" s="260">
        <v>1309</v>
      </c>
      <c r="CH58" s="260">
        <v>1500</v>
      </c>
      <c r="CI58" s="260">
        <v>1465</v>
      </c>
      <c r="CJ58" s="260">
        <v>1493</v>
      </c>
      <c r="CK58" s="260">
        <v>1279</v>
      </c>
      <c r="CL58" s="260">
        <v>1293</v>
      </c>
      <c r="CM58" s="260">
        <v>1398</v>
      </c>
      <c r="CN58" s="260">
        <v>1319</v>
      </c>
      <c r="CO58" s="260">
        <v>1314</v>
      </c>
      <c r="CP58" s="260">
        <v>1304</v>
      </c>
      <c r="CQ58" s="260">
        <v>1308</v>
      </c>
      <c r="CR58" s="260">
        <v>1313</v>
      </c>
      <c r="CS58" s="260">
        <v>1301</v>
      </c>
      <c r="CT58" s="260">
        <v>1328</v>
      </c>
      <c r="CU58" s="260">
        <v>1319</v>
      </c>
      <c r="CV58" s="260">
        <v>1315</v>
      </c>
      <c r="CW58" s="260">
        <v>1308</v>
      </c>
      <c r="CX58" s="260">
        <v>1359</v>
      </c>
      <c r="CY58" s="260">
        <v>1375</v>
      </c>
      <c r="CZ58" s="260">
        <v>1348</v>
      </c>
      <c r="DA58" s="260">
        <v>1341</v>
      </c>
      <c r="DB58" s="260">
        <v>1423.6</v>
      </c>
      <c r="DC58" s="260">
        <v>1271</v>
      </c>
      <c r="DD58" s="260">
        <v>1264</v>
      </c>
      <c r="DE58" s="260">
        <v>1312</v>
      </c>
      <c r="DF58" s="260">
        <v>1292</v>
      </c>
      <c r="DG58" s="260">
        <v>1303</v>
      </c>
      <c r="DH58" s="260">
        <v>1342</v>
      </c>
      <c r="DI58" s="260">
        <v>1300</v>
      </c>
      <c r="DJ58" s="260">
        <v>1330</v>
      </c>
      <c r="DK58" s="260">
        <v>1305</v>
      </c>
      <c r="DL58" s="260">
        <v>1432</v>
      </c>
      <c r="DM58" s="260">
        <v>1322</v>
      </c>
      <c r="DN58" s="260">
        <v>1559</v>
      </c>
      <c r="DO58" s="260">
        <v>1446</v>
      </c>
      <c r="DP58" s="260">
        <v>1312</v>
      </c>
      <c r="DQ58" s="260">
        <v>1456</v>
      </c>
      <c r="DR58" s="260">
        <v>1423</v>
      </c>
      <c r="DS58" s="260">
        <v>1394</v>
      </c>
      <c r="DT58" s="260">
        <v>1472</v>
      </c>
      <c r="DU58" s="260">
        <v>1485</v>
      </c>
      <c r="DV58" s="260">
        <v>1302</v>
      </c>
      <c r="DW58" s="260">
        <v>1271</v>
      </c>
      <c r="DX58" s="260">
        <v>1432</v>
      </c>
      <c r="DY58" s="260">
        <v>1463</v>
      </c>
      <c r="DZ58" s="260">
        <v>1462</v>
      </c>
      <c r="EA58" s="260">
        <v>1316</v>
      </c>
      <c r="EB58" s="260">
        <v>1329</v>
      </c>
      <c r="EC58" s="260">
        <v>1429</v>
      </c>
      <c r="ED58" s="260">
        <v>1427</v>
      </c>
      <c r="EE58" s="260">
        <v>1312</v>
      </c>
      <c r="EF58" s="260">
        <v>1328</v>
      </c>
      <c r="EG58" s="260">
        <v>1438</v>
      </c>
      <c r="EH58" s="260">
        <v>1241</v>
      </c>
      <c r="EI58" s="260">
        <v>1275</v>
      </c>
      <c r="EJ58" s="260">
        <v>1462</v>
      </c>
      <c r="EK58" s="260">
        <v>1450</v>
      </c>
      <c r="EL58" s="260">
        <v>1405</v>
      </c>
      <c r="EM58" s="260">
        <v>1421</v>
      </c>
      <c r="EN58" s="260">
        <v>1368</v>
      </c>
      <c r="EO58" s="260">
        <v>1228</v>
      </c>
      <c r="EP58" s="260">
        <v>1513</v>
      </c>
      <c r="EQ58" s="260">
        <v>1402</v>
      </c>
      <c r="ER58" s="260">
        <v>1450</v>
      </c>
      <c r="ES58" s="260">
        <v>1443</v>
      </c>
      <c r="ET58" s="260">
        <v>1425</v>
      </c>
      <c r="EU58" s="260">
        <v>1334</v>
      </c>
      <c r="EV58" s="260">
        <v>1342</v>
      </c>
      <c r="EW58" s="260">
        <v>1396</v>
      </c>
      <c r="EX58" s="260">
        <v>1346</v>
      </c>
      <c r="EY58" s="260">
        <v>1462</v>
      </c>
      <c r="EZ58" s="260">
        <v>1302</v>
      </c>
      <c r="FA58" s="260">
        <v>1390</v>
      </c>
      <c r="FB58" s="260">
        <v>1313</v>
      </c>
      <c r="FC58" s="260">
        <v>1139</v>
      </c>
      <c r="FD58" s="260">
        <v>1395</v>
      </c>
      <c r="FE58" s="260">
        <v>1419</v>
      </c>
      <c r="FF58" s="260">
        <v>1422</v>
      </c>
      <c r="FG58" s="260">
        <v>1296</v>
      </c>
      <c r="FH58" s="260">
        <v>1492</v>
      </c>
      <c r="FI58" s="260">
        <v>1312</v>
      </c>
      <c r="FJ58" s="260">
        <v>1290</v>
      </c>
      <c r="FK58" s="260">
        <v>1275</v>
      </c>
      <c r="FL58" s="260">
        <v>1325</v>
      </c>
      <c r="FM58" s="260">
        <v>1277</v>
      </c>
      <c r="FN58" s="260">
        <v>1311</v>
      </c>
      <c r="FO58" s="260">
        <v>1271</v>
      </c>
      <c r="FP58" s="260">
        <v>1455</v>
      </c>
      <c r="FQ58" s="260">
        <v>1263</v>
      </c>
      <c r="FR58" s="260">
        <v>1443</v>
      </c>
      <c r="FS58" s="260">
        <v>1409</v>
      </c>
      <c r="FT58" s="260">
        <v>1454</v>
      </c>
      <c r="FU58" s="260">
        <v>1280</v>
      </c>
      <c r="FV58" s="260">
        <v>1295</v>
      </c>
      <c r="FW58" s="260">
        <v>1468</v>
      </c>
      <c r="FX58" s="260">
        <v>1320</v>
      </c>
      <c r="FY58" s="260">
        <v>1316</v>
      </c>
      <c r="FZ58" s="260">
        <v>1332</v>
      </c>
      <c r="GA58" s="260">
        <v>1318</v>
      </c>
      <c r="GB58" s="260">
        <v>1450</v>
      </c>
      <c r="GC58" s="260">
        <v>1357</v>
      </c>
      <c r="GD58" s="260">
        <v>1474</v>
      </c>
      <c r="GE58" s="260">
        <v>1296</v>
      </c>
      <c r="GF58" s="260">
        <v>1308</v>
      </c>
      <c r="GG58" s="260">
        <v>1284</v>
      </c>
      <c r="GH58" s="260">
        <v>1446</v>
      </c>
      <c r="GI58" s="260">
        <v>1328</v>
      </c>
      <c r="GJ58" s="260">
        <v>1399</v>
      </c>
      <c r="GK58" s="260">
        <v>1420</v>
      </c>
      <c r="GL58" s="260">
        <v>1431</v>
      </c>
      <c r="GM58" s="260">
        <v>1425</v>
      </c>
      <c r="GN58" s="260">
        <v>1417</v>
      </c>
      <c r="GO58" s="260">
        <v>1400</v>
      </c>
      <c r="GP58" s="260">
        <v>1368</v>
      </c>
      <c r="GQ58" s="260">
        <v>1316</v>
      </c>
      <c r="GR58" s="260">
        <v>1319</v>
      </c>
      <c r="GS58" s="260">
        <v>1391</v>
      </c>
      <c r="GT58" s="260">
        <v>1294</v>
      </c>
      <c r="GU58" s="260">
        <v>1265</v>
      </c>
      <c r="GV58" s="260">
        <v>1217</v>
      </c>
      <c r="GW58" s="260">
        <v>1321</v>
      </c>
      <c r="GX58" s="260">
        <v>1256</v>
      </c>
      <c r="GY58" s="260">
        <v>1314</v>
      </c>
      <c r="GZ58" s="260">
        <v>1105</v>
      </c>
      <c r="HA58" s="260">
        <v>1344</v>
      </c>
      <c r="HB58" s="260"/>
      <c r="HC58" s="260"/>
      <c r="HD58" s="260">
        <v>1190</v>
      </c>
      <c r="HE58" s="260">
        <v>849</v>
      </c>
      <c r="HF58" s="260">
        <v>1255</v>
      </c>
      <c r="HG58" s="260"/>
      <c r="HH58" s="260">
        <v>1418</v>
      </c>
      <c r="HI58" s="260">
        <v>1251</v>
      </c>
      <c r="HJ58" s="260">
        <v>1321</v>
      </c>
      <c r="HK58" s="260">
        <v>1290</v>
      </c>
      <c r="HL58" s="260">
        <v>1317</v>
      </c>
      <c r="HM58" s="260">
        <v>1325</v>
      </c>
      <c r="HN58" s="260">
        <v>1333</v>
      </c>
      <c r="HO58" s="260">
        <v>1333</v>
      </c>
      <c r="HP58" s="260">
        <v>1336</v>
      </c>
      <c r="HQ58" s="260">
        <v>1364</v>
      </c>
      <c r="HR58" s="260">
        <v>1322</v>
      </c>
      <c r="HS58" s="260">
        <v>1316</v>
      </c>
      <c r="HT58" s="260">
        <v>1473</v>
      </c>
      <c r="HU58" s="260">
        <v>1500</v>
      </c>
      <c r="HV58" s="260">
        <v>1212</v>
      </c>
      <c r="HW58" s="260">
        <v>1166</v>
      </c>
      <c r="HX58" s="260">
        <v>962</v>
      </c>
      <c r="HY58" s="260">
        <v>835</v>
      </c>
      <c r="HZ58" s="260">
        <v>964</v>
      </c>
      <c r="IA58" s="260">
        <v>1053</v>
      </c>
      <c r="IB58" s="260">
        <v>1368</v>
      </c>
      <c r="IC58" s="260">
        <v>1461</v>
      </c>
      <c r="ID58" s="260">
        <v>1387</v>
      </c>
      <c r="IE58" s="260">
        <v>1369</v>
      </c>
      <c r="IF58" s="260">
        <v>1378</v>
      </c>
      <c r="IG58" s="260">
        <v>1450.2</v>
      </c>
      <c r="IH58" s="260">
        <v>1455</v>
      </c>
      <c r="II58" s="260">
        <v>1441</v>
      </c>
      <c r="IJ58" s="260">
        <v>1226</v>
      </c>
      <c r="IK58" s="260">
        <v>1271</v>
      </c>
      <c r="IL58" s="260">
        <v>1163</v>
      </c>
      <c r="IM58" s="260">
        <v>1322</v>
      </c>
      <c r="IN58" s="260">
        <v>1192</v>
      </c>
      <c r="IO58" s="260"/>
      <c r="IP58" s="260">
        <v>1721</v>
      </c>
      <c r="IQ58" s="260">
        <v>1371.1</v>
      </c>
      <c r="IR58" s="260">
        <v>519</v>
      </c>
      <c r="IS58" s="260">
        <v>1275</v>
      </c>
      <c r="IT58" s="260">
        <v>1227</v>
      </c>
      <c r="IU58" s="260"/>
      <c r="IV58" s="260"/>
      <c r="IW58" s="260">
        <v>1127.5999999999999</v>
      </c>
      <c r="IX58" s="260">
        <v>1362.5</v>
      </c>
      <c r="IY58" s="260">
        <v>1348.6</v>
      </c>
      <c r="IZ58" s="260">
        <v>1207.7</v>
      </c>
      <c r="JA58" s="260">
        <v>1097</v>
      </c>
      <c r="JB58" s="289">
        <v>33.799999999999997</v>
      </c>
      <c r="JC58" s="289">
        <v>43.42</v>
      </c>
      <c r="JD58" s="289">
        <v>3.64</v>
      </c>
      <c r="JE58" s="289">
        <v>8.3000000000000007</v>
      </c>
      <c r="JF58" s="289"/>
      <c r="JG58" s="289">
        <v>6.88</v>
      </c>
      <c r="JH58" s="259">
        <v>6.41</v>
      </c>
      <c r="JI58" s="290"/>
      <c r="JJ58" s="290"/>
      <c r="JK58" s="260">
        <v>85184158.709000006</v>
      </c>
      <c r="JL58" s="260">
        <v>282186.32</v>
      </c>
      <c r="JM58" s="260">
        <v>58207030.718999997</v>
      </c>
      <c r="JN58" s="260">
        <v>61858.544999999998</v>
      </c>
      <c r="JO58" s="260">
        <v>85961987.152999997</v>
      </c>
      <c r="JP58" s="260">
        <v>187281.33</v>
      </c>
      <c r="JQ58" s="260">
        <v>62341902.178999998</v>
      </c>
      <c r="JR58" s="260">
        <v>56009.599000000002</v>
      </c>
      <c r="JS58" s="289">
        <v>322803070.42000002</v>
      </c>
      <c r="JT58" s="289">
        <v>84859.421000000002</v>
      </c>
      <c r="JU58" s="283">
        <f t="shared" ref="JU58" si="209">IF((JK58-JK57)&lt;0,"",(JK58-JK57))</f>
        <v>87155.595000013709</v>
      </c>
      <c r="JV58" s="283">
        <f t="shared" ref="JV58" si="210">IF((JL58-JL57)&lt;0,"",(JL58-JL57))</f>
        <v>28.118000000016764</v>
      </c>
      <c r="JW58" s="283">
        <f t="shared" ref="JW58" si="211">IF((JM58-JM57)&lt;0,"",(JM58-JM57))</f>
        <v>83445.501999996603</v>
      </c>
      <c r="JX58" s="283">
        <f t="shared" ref="JX58" si="212">IF((JN58-JN57)&lt;0,"",(JN58-JN57))</f>
        <v>22.748999999996158</v>
      </c>
      <c r="JY58" s="284">
        <f t="shared" ref="JY58" si="213">IF((JO58-JO57)&lt;0,"",(JO58-JO57))</f>
        <v>86858.199000000954</v>
      </c>
      <c r="JZ58" s="284">
        <f t="shared" ref="JZ58" si="214">IF((JP58-JP57)&lt;0,"",(JP58-JP57))</f>
        <v>34.570999999996275</v>
      </c>
      <c r="KA58" s="284">
        <f t="shared" ref="KA58" si="215">IF((JQ58-JQ57)&lt;0,"",(JQ58-JQ57))</f>
        <v>67579.365999996662</v>
      </c>
      <c r="KB58" s="284">
        <f t="shared" ref="KB58" si="216">IF((JR58-JR57)&lt;0,"",(JR58-JR57))</f>
        <v>33.757000000005064</v>
      </c>
      <c r="KC58" s="283">
        <f t="shared" si="208"/>
        <v>324586.01300001144</v>
      </c>
      <c r="KD58" s="283">
        <f t="shared" ref="KD58" si="217">IF((JT58-JT57)&lt;0,"",(JT58-JT57))</f>
        <v>90.849000000001979</v>
      </c>
      <c r="KE58" s="291">
        <f t="shared" si="206"/>
        <v>170550.23000001028</v>
      </c>
      <c r="KF58" s="291">
        <f t="shared" si="207"/>
        <v>324495.16400001146</v>
      </c>
      <c r="KG58" s="292">
        <f>(RD[[#This Row],[Sunset Time (POA&lt;20 W/m2)]]-RD[[#This Row],[Sunrise Time (POA&gt;20 W/m2)]])*24</f>
        <v>13.216666666666669</v>
      </c>
      <c r="KH58" s="293">
        <f>RD[[#This Row],[GHI ]]</f>
        <v>6.88</v>
      </c>
      <c r="KI58" s="293">
        <f>RD[[#This Row],[POA]]</f>
        <v>6.41</v>
      </c>
      <c r="KJ58" s="293">
        <f>RD[[#This Row],[AT (°C) 14 Hours]]</f>
        <v>33.799999999999997</v>
      </c>
      <c r="KK58" s="293">
        <f>RD[[#This Row],[MT (°C) Gen. Hours]]</f>
        <v>43.42</v>
      </c>
      <c r="KL58" s="293">
        <f>RD[[#This Row],[WS_Avg (m/s) (24 Hours)]]</f>
        <v>3.64</v>
      </c>
      <c r="KM58" s="293">
        <f>RD[[#This Row],[WS_Max (m/s)]]</f>
        <v>8.3000000000000007</v>
      </c>
      <c r="KN58" s="294">
        <f>SUM(RD[[#This Row],[BLK1_INV1]:[BLK8_INV28]])</f>
        <v>327534.79999999993</v>
      </c>
      <c r="KO58" s="95"/>
      <c r="KP58" s="55"/>
      <c r="KQ58" s="90" t="str">
        <f>IFERROR(RD[[#This Row],[WPR_Eac]]/RD[[#This Row],[WPR_Edc]],"")</f>
        <v/>
      </c>
    </row>
    <row r="59" spans="2:303" ht="15" customHeight="1" x14ac:dyDescent="0.25">
      <c r="B59" s="52">
        <v>45800</v>
      </c>
      <c r="C59" s="9">
        <f>YEAR(RD[[#This Row],[Date]])+IF(MONTH(RD[[#This Row],[Date]])&gt;=4,1,0)</f>
        <v>2026</v>
      </c>
      <c r="D59" s="6">
        <f t="shared" si="204"/>
        <v>2025</v>
      </c>
      <c r="E59" s="7"/>
      <c r="F59" s="7"/>
      <c r="G59" s="8" t="str">
        <f>TEXT(RD[[#This Row],[Date]],"mmm-yy")</f>
        <v>May-25</v>
      </c>
      <c r="H59" s="6">
        <f t="shared" si="205"/>
        <v>31</v>
      </c>
      <c r="I59" s="9">
        <f>'Basic Data '!$S$2</f>
        <v>66750</v>
      </c>
      <c r="J59" s="10">
        <v>0.21736111111111112</v>
      </c>
      <c r="K59" s="10">
        <v>0.77013888888888893</v>
      </c>
      <c r="L59" s="260">
        <v>1402.2</v>
      </c>
      <c r="M59" s="260">
        <v>1418.1</v>
      </c>
      <c r="N59" s="260">
        <v>1319.9</v>
      </c>
      <c r="O59" s="260">
        <v>1316.7</v>
      </c>
      <c r="P59" s="260">
        <v>1391.6</v>
      </c>
      <c r="Q59" s="260">
        <v>1310.8</v>
      </c>
      <c r="R59" s="260">
        <v>1294.8</v>
      </c>
      <c r="S59" s="260">
        <v>1301</v>
      </c>
      <c r="T59" s="260">
        <v>1352.3</v>
      </c>
      <c r="U59" s="260">
        <v>1367.5</v>
      </c>
      <c r="V59" s="260">
        <v>1324.6</v>
      </c>
      <c r="W59" s="260">
        <v>1320.9</v>
      </c>
      <c r="X59" s="260">
        <v>1308.7</v>
      </c>
      <c r="Y59" s="260">
        <v>1241.4000000000001</v>
      </c>
      <c r="Z59" s="260">
        <v>1309.5</v>
      </c>
      <c r="AA59" s="260">
        <v>1312.2</v>
      </c>
      <c r="AB59" s="260">
        <v>1261.0999999999999</v>
      </c>
      <c r="AC59" s="260">
        <v>1300.0999999999999</v>
      </c>
      <c r="AD59" s="260">
        <v>1411.7</v>
      </c>
      <c r="AE59" s="260">
        <v>1413.8</v>
      </c>
      <c r="AF59" s="260">
        <v>1318.2</v>
      </c>
      <c r="AG59" s="260">
        <v>1322.8</v>
      </c>
      <c r="AH59" s="260">
        <v>1456.9</v>
      </c>
      <c r="AI59" s="260">
        <v>1495</v>
      </c>
      <c r="AJ59" s="260">
        <v>1430.4</v>
      </c>
      <c r="AK59" s="260">
        <v>1412.6</v>
      </c>
      <c r="AL59" s="260">
        <v>1410.5</v>
      </c>
      <c r="AM59" s="260">
        <v>1470.4</v>
      </c>
      <c r="AN59" s="260">
        <v>1476.87</v>
      </c>
      <c r="AO59" s="260">
        <v>1462.2</v>
      </c>
      <c r="AP59" s="260">
        <v>1449.6</v>
      </c>
      <c r="AQ59" s="260">
        <v>1473.7</v>
      </c>
      <c r="AR59" s="260">
        <v>1240</v>
      </c>
      <c r="AS59" s="260">
        <v>1599.3</v>
      </c>
      <c r="AT59" s="260">
        <v>1283.4000000000001</v>
      </c>
      <c r="AU59" s="260">
        <v>1471.4</v>
      </c>
      <c r="AV59" s="260">
        <v>1314.7</v>
      </c>
      <c r="AW59" s="260">
        <v>1283.5999999999999</v>
      </c>
      <c r="AX59" s="260">
        <v>1303.5999999999999</v>
      </c>
      <c r="AY59" s="260">
        <v>1344.4</v>
      </c>
      <c r="AZ59" s="260">
        <v>1302</v>
      </c>
      <c r="BA59" s="260">
        <v>1263.5999999999999</v>
      </c>
      <c r="BB59" s="260">
        <v>1309.8</v>
      </c>
      <c r="BC59" s="260">
        <v>1287.4000000000001</v>
      </c>
      <c r="BD59" s="260">
        <v>1311.7</v>
      </c>
      <c r="BE59" s="260">
        <v>1318.6</v>
      </c>
      <c r="BF59" s="260">
        <v>1428.6</v>
      </c>
      <c r="BG59" s="260">
        <v>1300.0999999999999</v>
      </c>
      <c r="BH59" s="260">
        <v>1368.5</v>
      </c>
      <c r="BI59" s="260">
        <v>1346.8</v>
      </c>
      <c r="BJ59" s="260">
        <v>1274.9000000000001</v>
      </c>
      <c r="BK59" s="260">
        <v>1329.8</v>
      </c>
      <c r="BL59" s="260">
        <v>1522.8</v>
      </c>
      <c r="BM59" s="260">
        <v>1482.3</v>
      </c>
      <c r="BN59" s="260">
        <v>1394.7</v>
      </c>
      <c r="BO59" s="260">
        <v>1421.1</v>
      </c>
      <c r="BP59" s="260">
        <v>1459.9</v>
      </c>
      <c r="BQ59" s="260">
        <v>1315.6</v>
      </c>
      <c r="BR59" s="260">
        <v>1468.5</v>
      </c>
      <c r="BS59" s="260">
        <v>1432.7</v>
      </c>
      <c r="BT59" s="260">
        <v>1332.1</v>
      </c>
      <c r="BU59" s="260">
        <v>1496.5</v>
      </c>
      <c r="BV59" s="260">
        <v>1328.3</v>
      </c>
      <c r="BW59" s="260">
        <v>1274.5999999999999</v>
      </c>
      <c r="BX59" s="260">
        <v>1441</v>
      </c>
      <c r="BY59" s="260">
        <v>1421.4</v>
      </c>
      <c r="BZ59" s="260">
        <v>1450.4</v>
      </c>
      <c r="CA59" s="260">
        <v>1301.5999999999999</v>
      </c>
      <c r="CB59" s="260">
        <v>1316.1</v>
      </c>
      <c r="CC59" s="260">
        <v>1303.2</v>
      </c>
      <c r="CD59" s="260">
        <v>1259.7</v>
      </c>
      <c r="CE59" s="260">
        <v>1318.8</v>
      </c>
      <c r="CF59" s="260">
        <v>1323.5</v>
      </c>
      <c r="CG59" s="260">
        <v>1293.7</v>
      </c>
      <c r="CH59" s="260">
        <v>1482.8</v>
      </c>
      <c r="CI59" s="260">
        <v>1446.9</v>
      </c>
      <c r="CJ59" s="260">
        <v>1477.9</v>
      </c>
      <c r="CK59" s="260">
        <v>1292.9000000000001</v>
      </c>
      <c r="CL59" s="260">
        <v>1278</v>
      </c>
      <c r="CM59" s="260">
        <v>1375.7</v>
      </c>
      <c r="CN59" s="260">
        <v>1311.9</v>
      </c>
      <c r="CO59" s="260">
        <v>1311</v>
      </c>
      <c r="CP59" s="260">
        <v>1299.0999999999999</v>
      </c>
      <c r="CQ59" s="260">
        <v>1309.7</v>
      </c>
      <c r="CR59" s="260">
        <v>1304</v>
      </c>
      <c r="CS59" s="260">
        <v>1301.5</v>
      </c>
      <c r="CT59" s="260">
        <v>1317.9</v>
      </c>
      <c r="CU59" s="260">
        <v>1280.7</v>
      </c>
      <c r="CV59" s="260">
        <v>1320.3</v>
      </c>
      <c r="CW59" s="260">
        <v>1312.2</v>
      </c>
      <c r="CX59" s="260">
        <v>1377.4</v>
      </c>
      <c r="CY59" s="260">
        <v>1385.8</v>
      </c>
      <c r="CZ59" s="260">
        <v>1336.5</v>
      </c>
      <c r="DA59" s="260">
        <v>1327.4</v>
      </c>
      <c r="DB59" s="260">
        <v>1485.5</v>
      </c>
      <c r="DC59" s="260">
        <v>1279.2</v>
      </c>
      <c r="DD59" s="260">
        <v>1269.5</v>
      </c>
      <c r="DE59" s="260">
        <v>1297.9000000000001</v>
      </c>
      <c r="DF59" s="260">
        <v>1276.0999999999999</v>
      </c>
      <c r="DG59" s="260">
        <v>1289.5999999999999</v>
      </c>
      <c r="DH59" s="260">
        <v>1330.2</v>
      </c>
      <c r="DI59" s="260">
        <v>1284.5</v>
      </c>
      <c r="DJ59" s="260">
        <v>1318.1</v>
      </c>
      <c r="DK59" s="260">
        <v>1289.2</v>
      </c>
      <c r="DL59" s="260">
        <v>1422.4</v>
      </c>
      <c r="DM59" s="260">
        <v>1314.2</v>
      </c>
      <c r="DN59" s="260">
        <v>1542</v>
      </c>
      <c r="DO59" s="260">
        <v>1433.1</v>
      </c>
      <c r="DP59" s="260">
        <v>1302.8</v>
      </c>
      <c r="DQ59" s="260">
        <v>1430.7</v>
      </c>
      <c r="DR59" s="260">
        <v>1417.7</v>
      </c>
      <c r="DS59" s="260">
        <v>1391.4</v>
      </c>
      <c r="DT59" s="260">
        <v>1456</v>
      </c>
      <c r="DU59" s="260">
        <v>1445.7</v>
      </c>
      <c r="DV59" s="260">
        <v>1288.8</v>
      </c>
      <c r="DW59" s="260">
        <v>1282.5999999999999</v>
      </c>
      <c r="DX59" s="260">
        <v>1420.2</v>
      </c>
      <c r="DY59" s="260">
        <v>1459.6</v>
      </c>
      <c r="DZ59" s="260">
        <v>1458.3</v>
      </c>
      <c r="EA59" s="260">
        <v>1325</v>
      </c>
      <c r="EB59" s="260">
        <v>1331.8</v>
      </c>
      <c r="EC59" s="260">
        <v>1432.8</v>
      </c>
      <c r="ED59" s="260">
        <v>1443.1</v>
      </c>
      <c r="EE59" s="260">
        <v>1306.5</v>
      </c>
      <c r="EF59" s="260">
        <v>1321.4</v>
      </c>
      <c r="EG59" s="260">
        <v>1432.5</v>
      </c>
      <c r="EH59" s="260">
        <v>1265.4000000000001</v>
      </c>
      <c r="EI59" s="260">
        <v>1264.9000000000001</v>
      </c>
      <c r="EJ59" s="260">
        <v>1458.2</v>
      </c>
      <c r="EK59" s="260">
        <v>1459.5</v>
      </c>
      <c r="EL59" s="260">
        <v>1432.3</v>
      </c>
      <c r="EM59" s="260">
        <v>1439.7</v>
      </c>
      <c r="EN59" s="260">
        <v>1432.5</v>
      </c>
      <c r="EO59" s="260">
        <v>1227.2</v>
      </c>
      <c r="EP59" s="260">
        <v>1508.6</v>
      </c>
      <c r="EQ59" s="260">
        <v>1393.1</v>
      </c>
      <c r="ER59" s="260">
        <v>1435</v>
      </c>
      <c r="ES59" s="260">
        <v>1429.4</v>
      </c>
      <c r="ET59" s="260">
        <v>1410.1</v>
      </c>
      <c r="EU59" s="260">
        <v>1324.4</v>
      </c>
      <c r="EV59" s="260">
        <v>1382</v>
      </c>
      <c r="EW59" s="260">
        <v>1398.4</v>
      </c>
      <c r="EX59" s="260">
        <v>1330.5</v>
      </c>
      <c r="EY59" s="260">
        <v>1455.6</v>
      </c>
      <c r="EZ59" s="260">
        <v>1286.4000000000001</v>
      </c>
      <c r="FA59" s="260">
        <v>1394.4</v>
      </c>
      <c r="FB59" s="260">
        <v>1318.7</v>
      </c>
      <c r="FC59" s="260">
        <v>1222.8</v>
      </c>
      <c r="FD59" s="260">
        <v>1409.9</v>
      </c>
      <c r="FE59" s="260">
        <v>1430</v>
      </c>
      <c r="FF59" s="260">
        <v>1414.9</v>
      </c>
      <c r="FG59" s="260">
        <v>1285.5999999999999</v>
      </c>
      <c r="FH59" s="260">
        <v>1479</v>
      </c>
      <c r="FI59" s="260">
        <v>1298.2</v>
      </c>
      <c r="FJ59" s="260">
        <v>1272.9000000000001</v>
      </c>
      <c r="FK59" s="260">
        <v>1267.4000000000001</v>
      </c>
      <c r="FL59" s="260">
        <v>1268.5</v>
      </c>
      <c r="FM59" s="260">
        <v>1271.4000000000001</v>
      </c>
      <c r="FN59" s="260">
        <v>1298.8</v>
      </c>
      <c r="FO59" s="260">
        <v>1259.7</v>
      </c>
      <c r="FP59" s="260">
        <v>1445.3</v>
      </c>
      <c r="FQ59" s="260">
        <v>1250.3</v>
      </c>
      <c r="FR59" s="260">
        <v>1429.4</v>
      </c>
      <c r="FS59" s="260">
        <v>1406.5</v>
      </c>
      <c r="FT59" s="260">
        <v>1438.3</v>
      </c>
      <c r="FU59" s="260">
        <v>1279.0999999999999</v>
      </c>
      <c r="FV59" s="260">
        <v>1285</v>
      </c>
      <c r="FW59" s="260">
        <v>1458.3</v>
      </c>
      <c r="FX59" s="260">
        <v>1306.8</v>
      </c>
      <c r="FY59" s="260">
        <v>1321</v>
      </c>
      <c r="FZ59" s="260">
        <v>1322.1</v>
      </c>
      <c r="GA59" s="260">
        <v>1306.8</v>
      </c>
      <c r="GB59" s="260">
        <v>1439.8</v>
      </c>
      <c r="GC59" s="260">
        <v>1346.9</v>
      </c>
      <c r="GD59" s="260">
        <v>1465.8</v>
      </c>
      <c r="GE59" s="260">
        <v>1285.5</v>
      </c>
      <c r="GF59" s="260">
        <v>1294</v>
      </c>
      <c r="GG59" s="260">
        <v>1272.5999999999999</v>
      </c>
      <c r="GH59" s="260">
        <v>1432.3</v>
      </c>
      <c r="GI59" s="260">
        <v>1317.5</v>
      </c>
      <c r="GJ59" s="260">
        <v>1385.8</v>
      </c>
      <c r="GK59" s="260">
        <v>1407.1</v>
      </c>
      <c r="GL59" s="260">
        <v>1417.5</v>
      </c>
      <c r="GM59" s="260">
        <v>1415.1</v>
      </c>
      <c r="GN59" s="260">
        <v>1405.7</v>
      </c>
      <c r="GO59" s="260">
        <v>1408.7</v>
      </c>
      <c r="GP59" s="260">
        <v>1354.9</v>
      </c>
      <c r="GQ59" s="260">
        <v>1307.7</v>
      </c>
      <c r="GR59" s="260">
        <v>1317.1</v>
      </c>
      <c r="GS59" s="260">
        <v>1379.6</v>
      </c>
      <c r="GT59" s="260">
        <v>1286</v>
      </c>
      <c r="GU59" s="260">
        <v>1260.3</v>
      </c>
      <c r="GV59" s="260">
        <v>1217.7</v>
      </c>
      <c r="GW59" s="260">
        <v>1313.6</v>
      </c>
      <c r="GX59" s="260">
        <v>1254.9000000000001</v>
      </c>
      <c r="GY59" s="260">
        <v>1304.9000000000001</v>
      </c>
      <c r="GZ59" s="260">
        <v>1094.5</v>
      </c>
      <c r="HA59" s="260">
        <v>1333</v>
      </c>
      <c r="HB59" s="260"/>
      <c r="HC59" s="260"/>
      <c r="HD59" s="260">
        <v>1174.4000000000001</v>
      </c>
      <c r="HE59" s="260">
        <v>902.9</v>
      </c>
      <c r="HF59" s="260">
        <v>1282.0999999999999</v>
      </c>
      <c r="HG59" s="260"/>
      <c r="HH59" s="260">
        <v>1393.3</v>
      </c>
      <c r="HI59" s="260">
        <v>1228</v>
      </c>
      <c r="HJ59" s="260">
        <v>1322.9</v>
      </c>
      <c r="HK59" s="260">
        <v>1304.9000000000001</v>
      </c>
      <c r="HL59" s="260">
        <v>1310.0999999999999</v>
      </c>
      <c r="HM59" s="260">
        <v>1342.1</v>
      </c>
      <c r="HN59" s="260">
        <v>1332.4</v>
      </c>
      <c r="HO59" s="260">
        <v>1348.8</v>
      </c>
      <c r="HP59" s="260">
        <v>1340.7</v>
      </c>
      <c r="HQ59" s="260">
        <v>1378.5</v>
      </c>
      <c r="HR59" s="260">
        <v>1320.8</v>
      </c>
      <c r="HS59" s="260">
        <v>1333.3</v>
      </c>
      <c r="HT59" s="260">
        <v>1488.7</v>
      </c>
      <c r="HU59" s="260">
        <v>1517.4</v>
      </c>
      <c r="HV59" s="260">
        <v>1198.7</v>
      </c>
      <c r="HW59" s="260">
        <v>1151.5999999999999</v>
      </c>
      <c r="HX59" s="260">
        <v>999.8</v>
      </c>
      <c r="HY59" s="260">
        <v>851.6</v>
      </c>
      <c r="HZ59" s="260">
        <v>967</v>
      </c>
      <c r="IA59" s="260">
        <v>1100</v>
      </c>
      <c r="IB59" s="260">
        <v>1356.5</v>
      </c>
      <c r="IC59" s="260">
        <v>1440.2</v>
      </c>
      <c r="ID59" s="260">
        <v>1374.7</v>
      </c>
      <c r="IE59" s="260">
        <v>1369.8</v>
      </c>
      <c r="IF59" s="260">
        <v>1390.2</v>
      </c>
      <c r="IG59" s="260">
        <v>1450.1</v>
      </c>
      <c r="IH59" s="260">
        <v>1437.8</v>
      </c>
      <c r="II59" s="260">
        <v>1465.6</v>
      </c>
      <c r="IJ59" s="260">
        <v>1239</v>
      </c>
      <c r="IK59" s="260">
        <v>1273.7</v>
      </c>
      <c r="IL59" s="260">
        <v>1166.8</v>
      </c>
      <c r="IM59" s="260">
        <v>1257</v>
      </c>
      <c r="IN59" s="260">
        <v>1176.8</v>
      </c>
      <c r="IO59" s="260"/>
      <c r="IP59" s="260">
        <v>1751</v>
      </c>
      <c r="IQ59" s="260">
        <v>1381.2</v>
      </c>
      <c r="IR59" s="260">
        <v>520.79999999999995</v>
      </c>
      <c r="IS59" s="260">
        <v>1293.9000000000001</v>
      </c>
      <c r="IT59" s="260">
        <v>1238.7</v>
      </c>
      <c r="IU59" s="260"/>
      <c r="IV59" s="260"/>
      <c r="IW59" s="260">
        <v>1301.9000000000001</v>
      </c>
      <c r="IX59" s="260">
        <v>1331.6</v>
      </c>
      <c r="IY59" s="260">
        <v>1351.4</v>
      </c>
      <c r="IZ59" s="260">
        <v>1212.7</v>
      </c>
      <c r="JA59" s="260">
        <v>1095</v>
      </c>
      <c r="JB59" s="289">
        <v>34.93</v>
      </c>
      <c r="JC59" s="289">
        <v>46.23</v>
      </c>
      <c r="JD59" s="289">
        <v>3.32</v>
      </c>
      <c r="JE59" s="289">
        <v>7.1</v>
      </c>
      <c r="JF59" s="289"/>
      <c r="JG59" s="289">
        <v>6.9</v>
      </c>
      <c r="JH59" s="259">
        <v>6.38</v>
      </c>
      <c r="JI59" s="290"/>
      <c r="JJ59" s="290"/>
      <c r="JK59" s="260">
        <v>85271343.806999996</v>
      </c>
      <c r="JL59" s="260">
        <v>282224.43800000002</v>
      </c>
      <c r="JM59" s="260">
        <v>58289730.442000002</v>
      </c>
      <c r="JN59" s="260">
        <v>61891.294000000002</v>
      </c>
      <c r="JO59" s="260">
        <v>86048437.603</v>
      </c>
      <c r="JP59" s="260">
        <v>187325.90100000001</v>
      </c>
      <c r="JQ59" s="260">
        <v>62409065.75</v>
      </c>
      <c r="JR59" s="260">
        <v>56053.356</v>
      </c>
      <c r="JS59" s="289">
        <v>323126301.23500001</v>
      </c>
      <c r="JT59" s="289">
        <v>84960.27</v>
      </c>
      <c r="JU59" s="283">
        <f t="shared" ref="JU59" si="218">IF((JK59-JK58)&lt;0,"",(JK59-JK58))</f>
        <v>87185.097999989986</v>
      </c>
      <c r="JV59" s="283">
        <f t="shared" ref="JV59" si="219">IF((JL59-JL58)&lt;0,"",(JL59-JL58))</f>
        <v>38.118000000016764</v>
      </c>
      <c r="JW59" s="283">
        <f t="shared" ref="JW59" si="220">IF((JM59-JM58)&lt;0,"",(JM59-JM58))</f>
        <v>82699.723000004888</v>
      </c>
      <c r="JX59" s="283">
        <f t="shared" ref="JX59" si="221">IF((JN59-JN58)&lt;0,"",(JN59-JN58))</f>
        <v>32.749000000003434</v>
      </c>
      <c r="JY59" s="284">
        <f t="shared" ref="JY59" si="222">IF((JO59-JO58)&lt;0,"",(JO59-JO58))</f>
        <v>86450.45000000298</v>
      </c>
      <c r="JZ59" s="284">
        <f t="shared" ref="JZ59" si="223">IF((JP59-JP58)&lt;0,"",(JP59-JP58))</f>
        <v>44.571000000025379</v>
      </c>
      <c r="KA59" s="284">
        <f t="shared" ref="KA59" si="224">IF((JQ59-JQ58)&lt;0,"",(JQ59-JQ58))</f>
        <v>67163.571000002325</v>
      </c>
      <c r="KB59" s="284">
        <f t="shared" ref="KB59" si="225">IF((JR59-JR58)&lt;0,"",(JR59-JR58))</f>
        <v>43.756999999997788</v>
      </c>
      <c r="KC59" s="283">
        <f t="shared" si="208"/>
        <v>323230.81499999762</v>
      </c>
      <c r="KD59" s="283">
        <f t="shared" ref="KD59" si="226">IF((JT59-JT58)&lt;0,"",(JT59-JT58))</f>
        <v>100.84900000000198</v>
      </c>
      <c r="KE59" s="291">
        <f t="shared" si="206"/>
        <v>169813.95399999485</v>
      </c>
      <c r="KF59" s="291">
        <f t="shared" si="207"/>
        <v>323129.96599999763</v>
      </c>
      <c r="KG59" s="292">
        <f>(RD[[#This Row],[Sunset Time (POA&lt;20 W/m2)]]-RD[[#This Row],[Sunrise Time (POA&gt;20 W/m2)]])*24</f>
        <v>13.266666666666667</v>
      </c>
      <c r="KH59" s="293">
        <f>RD[[#This Row],[GHI ]]</f>
        <v>6.9</v>
      </c>
      <c r="KI59" s="293">
        <f>RD[[#This Row],[POA]]</f>
        <v>6.38</v>
      </c>
      <c r="KJ59" s="293">
        <f>RD[[#This Row],[AT (°C) 14 Hours]]</f>
        <v>34.93</v>
      </c>
      <c r="KK59" s="293">
        <f>RD[[#This Row],[MT (°C) Gen. Hours]]</f>
        <v>46.23</v>
      </c>
      <c r="KL59" s="293">
        <f>RD[[#This Row],[WS_Avg (m/s) (24 Hours)]]</f>
        <v>3.32</v>
      </c>
      <c r="KM59" s="293">
        <f>RD[[#This Row],[WS_Max (m/s)]]</f>
        <v>7.1</v>
      </c>
      <c r="KN59" s="294">
        <f>SUM(RD[[#This Row],[BLK1_INV1]:[BLK8_INV27]])</f>
        <v>326090.96999999997</v>
      </c>
      <c r="KO59" s="95"/>
      <c r="KP59" s="55"/>
      <c r="KQ59" s="90" t="str">
        <f>IFERROR(RD[[#This Row],[WPR_Eac]]/RD[[#This Row],[WPR_Edc]],"")</f>
        <v/>
      </c>
    </row>
    <row r="60" spans="2:303" ht="15" customHeight="1" x14ac:dyDescent="0.25">
      <c r="B60" s="52">
        <v>45801</v>
      </c>
      <c r="C60" s="9">
        <f>YEAR(RD[[#This Row],[Date]])+IF(MONTH(RD[[#This Row],[Date]])&gt;=4,1,0)</f>
        <v>2026</v>
      </c>
      <c r="D60" s="6">
        <f t="shared" si="204"/>
        <v>2025</v>
      </c>
      <c r="E60" s="7"/>
      <c r="F60" s="7"/>
      <c r="G60" s="8" t="str">
        <f>TEXT(RD[[#This Row],[Date]],"mmm-yy")</f>
        <v>May-25</v>
      </c>
      <c r="H60" s="6">
        <f t="shared" si="205"/>
        <v>31</v>
      </c>
      <c r="I60" s="9">
        <f>'Basic Data '!$S$2</f>
        <v>66750</v>
      </c>
      <c r="J60" s="295">
        <v>0.21875</v>
      </c>
      <c r="K60" s="295">
        <v>0.77013888888888893</v>
      </c>
      <c r="L60" s="264">
        <v>1259.4000000000001</v>
      </c>
      <c r="M60" s="264">
        <v>1269.5</v>
      </c>
      <c r="N60" s="264">
        <v>1180</v>
      </c>
      <c r="O60" s="264">
        <v>1169.7</v>
      </c>
      <c r="P60" s="264">
        <v>1227.7</v>
      </c>
      <c r="Q60" s="264">
        <v>1172.5999999999999</v>
      </c>
      <c r="R60" s="264">
        <v>1146.2</v>
      </c>
      <c r="S60" s="264">
        <v>1148.8</v>
      </c>
      <c r="T60" s="264">
        <v>1187</v>
      </c>
      <c r="U60" s="264">
        <v>1197.9000000000001</v>
      </c>
      <c r="V60" s="264">
        <v>1177.5</v>
      </c>
      <c r="W60" s="264">
        <v>1170.4000000000001</v>
      </c>
      <c r="X60" s="264">
        <v>1151.3</v>
      </c>
      <c r="Y60" s="264">
        <v>1089</v>
      </c>
      <c r="Z60" s="264">
        <v>1155</v>
      </c>
      <c r="AA60" s="264">
        <v>1153.4000000000001</v>
      </c>
      <c r="AB60" s="264">
        <v>1128.5</v>
      </c>
      <c r="AC60" s="264">
        <v>1148.5999999999999</v>
      </c>
      <c r="AD60" s="264">
        <v>1250.8</v>
      </c>
      <c r="AE60" s="264">
        <v>1247.9000000000001</v>
      </c>
      <c r="AF60" s="264">
        <v>1158.2</v>
      </c>
      <c r="AG60" s="264">
        <v>1163.4000000000001</v>
      </c>
      <c r="AH60" s="264">
        <v>1278.3</v>
      </c>
      <c r="AI60" s="264">
        <v>1311.4</v>
      </c>
      <c r="AJ60" s="264">
        <v>1280</v>
      </c>
      <c r="AK60" s="264">
        <v>1274.3</v>
      </c>
      <c r="AL60" s="264">
        <v>1261.4000000000001</v>
      </c>
      <c r="AM60" s="264">
        <v>1293.7</v>
      </c>
      <c r="AN60" s="264">
        <v>1311.1</v>
      </c>
      <c r="AO60" s="264">
        <v>1290.0999999999999</v>
      </c>
      <c r="AP60" s="264">
        <v>1295.5</v>
      </c>
      <c r="AQ60" s="264">
        <v>1300.7</v>
      </c>
      <c r="AR60" s="264">
        <v>1104.5</v>
      </c>
      <c r="AS60" s="264">
        <v>1430.4</v>
      </c>
      <c r="AT60" s="264">
        <v>1141.9000000000001</v>
      </c>
      <c r="AU60" s="264">
        <v>1315.1</v>
      </c>
      <c r="AV60" s="264">
        <v>1145.2</v>
      </c>
      <c r="AW60" s="264">
        <v>1142.7</v>
      </c>
      <c r="AX60" s="264">
        <v>1160.8</v>
      </c>
      <c r="AY60" s="264">
        <v>1188.3</v>
      </c>
      <c r="AZ60" s="264">
        <v>1158.3</v>
      </c>
      <c r="BA60" s="264">
        <v>1137.5</v>
      </c>
      <c r="BB60" s="264">
        <v>1163.7</v>
      </c>
      <c r="BC60" s="264">
        <v>1143.0999999999999</v>
      </c>
      <c r="BD60" s="264">
        <v>1164.4000000000001</v>
      </c>
      <c r="BE60" s="264">
        <v>1170.3</v>
      </c>
      <c r="BF60" s="264">
        <v>1267.4000000000001</v>
      </c>
      <c r="BG60" s="264">
        <v>1155.7</v>
      </c>
      <c r="BH60" s="264">
        <v>1213.9000000000001</v>
      </c>
      <c r="BI60" s="264">
        <v>1191.7</v>
      </c>
      <c r="BJ60" s="264">
        <v>1129.4000000000001</v>
      </c>
      <c r="BK60" s="264">
        <v>1177.7</v>
      </c>
      <c r="BL60" s="264">
        <v>1347.1</v>
      </c>
      <c r="BM60" s="264">
        <v>1315.2</v>
      </c>
      <c r="BN60" s="264">
        <v>1254.5</v>
      </c>
      <c r="BO60" s="264">
        <v>1287.5999999999999</v>
      </c>
      <c r="BP60" s="264">
        <v>1307.7</v>
      </c>
      <c r="BQ60" s="264">
        <v>1172.5999999999999</v>
      </c>
      <c r="BR60" s="264">
        <v>1304.5</v>
      </c>
      <c r="BS60" s="264">
        <v>1273.9000000000001</v>
      </c>
      <c r="BT60" s="264">
        <v>1183.5</v>
      </c>
      <c r="BU60" s="264">
        <v>1332.5</v>
      </c>
      <c r="BV60" s="264">
        <v>1174.2</v>
      </c>
      <c r="BW60" s="264">
        <v>1141.5</v>
      </c>
      <c r="BX60" s="264">
        <v>1281.8</v>
      </c>
      <c r="BY60" s="264">
        <v>1261.4000000000001</v>
      </c>
      <c r="BZ60" s="264">
        <v>1290.2</v>
      </c>
      <c r="CA60" s="264">
        <v>1159.5</v>
      </c>
      <c r="CB60" s="264">
        <v>1162.5</v>
      </c>
      <c r="CC60" s="264">
        <v>1152.8</v>
      </c>
      <c r="CD60" s="264">
        <v>1168.5999999999999</v>
      </c>
      <c r="CE60" s="264">
        <v>1172.5999999999999</v>
      </c>
      <c r="CF60" s="264">
        <v>1183</v>
      </c>
      <c r="CG60" s="264">
        <v>1144.9000000000001</v>
      </c>
      <c r="CH60" s="264">
        <v>1333.9</v>
      </c>
      <c r="CI60" s="264">
        <v>1303.8</v>
      </c>
      <c r="CJ60" s="264">
        <v>1325.4</v>
      </c>
      <c r="CK60" s="264">
        <v>1149.9000000000001</v>
      </c>
      <c r="CL60" s="264">
        <v>1135.3</v>
      </c>
      <c r="CM60" s="264">
        <v>1235.4000000000001</v>
      </c>
      <c r="CN60" s="264">
        <v>1163</v>
      </c>
      <c r="CO60" s="264">
        <v>1164.9000000000001</v>
      </c>
      <c r="CP60" s="264">
        <v>1158.2</v>
      </c>
      <c r="CQ60" s="264">
        <v>1172.4000000000001</v>
      </c>
      <c r="CR60" s="264">
        <v>1155.3</v>
      </c>
      <c r="CS60" s="264">
        <v>1159</v>
      </c>
      <c r="CT60" s="264">
        <v>1168.8</v>
      </c>
      <c r="CU60" s="264">
        <v>1115.4000000000001</v>
      </c>
      <c r="CV60" s="264">
        <v>1171.9000000000001</v>
      </c>
      <c r="CW60" s="264">
        <v>1161.0999999999999</v>
      </c>
      <c r="CX60" s="264">
        <v>1217.5999999999999</v>
      </c>
      <c r="CY60" s="264">
        <v>1241.5</v>
      </c>
      <c r="CZ60" s="264">
        <v>1144.0999999999999</v>
      </c>
      <c r="DA60" s="264">
        <v>1180.5</v>
      </c>
      <c r="DB60" s="264">
        <v>1330.5</v>
      </c>
      <c r="DC60" s="264">
        <v>1136.5999999999999</v>
      </c>
      <c r="DD60" s="264">
        <v>1127.8</v>
      </c>
      <c r="DE60" s="264">
        <v>1149.3</v>
      </c>
      <c r="DF60" s="264">
        <v>1136.3</v>
      </c>
      <c r="DG60" s="264">
        <v>1141.5999999999999</v>
      </c>
      <c r="DH60" s="264">
        <v>1176.5</v>
      </c>
      <c r="DI60" s="264">
        <v>1143.4000000000001</v>
      </c>
      <c r="DJ60" s="264">
        <v>1172.5999999999999</v>
      </c>
      <c r="DK60" s="264">
        <v>1146.5999999999999</v>
      </c>
      <c r="DL60" s="264">
        <v>1266.5</v>
      </c>
      <c r="DM60" s="264">
        <v>1161.4000000000001</v>
      </c>
      <c r="DN60" s="264">
        <v>1383.1</v>
      </c>
      <c r="DO60" s="264">
        <v>1260.9000000000001</v>
      </c>
      <c r="DP60" s="264">
        <v>1148.0999999999999</v>
      </c>
      <c r="DQ60" s="264">
        <v>1268.7</v>
      </c>
      <c r="DR60" s="264">
        <v>1252.0999999999999</v>
      </c>
      <c r="DS60" s="264">
        <v>1251.4000000000001</v>
      </c>
      <c r="DT60" s="264">
        <v>1318.6</v>
      </c>
      <c r="DU60" s="264">
        <v>1301.5999999999999</v>
      </c>
      <c r="DV60" s="264">
        <v>1135.7</v>
      </c>
      <c r="DW60" s="264">
        <v>1129.9000000000001</v>
      </c>
      <c r="DX60" s="264">
        <v>1276.0999999999999</v>
      </c>
      <c r="DY60" s="264">
        <v>1312.9</v>
      </c>
      <c r="DZ60" s="264">
        <v>1296.0999999999999</v>
      </c>
      <c r="EA60" s="264">
        <v>1189</v>
      </c>
      <c r="EB60" s="264">
        <v>1203.7</v>
      </c>
      <c r="EC60" s="264">
        <v>1279.2</v>
      </c>
      <c r="ED60" s="264">
        <v>1217.4000000000001</v>
      </c>
      <c r="EE60" s="264">
        <v>1167.3</v>
      </c>
      <c r="EF60" s="264">
        <v>1165.0999999999999</v>
      </c>
      <c r="EG60" s="264">
        <v>1271.5</v>
      </c>
      <c r="EH60" s="264">
        <v>1194.5</v>
      </c>
      <c r="EI60" s="264">
        <v>1180.3</v>
      </c>
      <c r="EJ60" s="264">
        <v>1339.4</v>
      </c>
      <c r="EK60" s="264">
        <v>1330</v>
      </c>
      <c r="EL60" s="264">
        <v>1283.2</v>
      </c>
      <c r="EM60" s="264">
        <v>1291.3</v>
      </c>
      <c r="EN60" s="264">
        <v>1281.7</v>
      </c>
      <c r="EO60" s="264">
        <v>1100.5</v>
      </c>
      <c r="EP60" s="264">
        <v>1357.5</v>
      </c>
      <c r="EQ60" s="264">
        <v>1251.5999999999999</v>
      </c>
      <c r="ER60" s="264">
        <v>1293.2</v>
      </c>
      <c r="ES60" s="264">
        <v>1286.8</v>
      </c>
      <c r="ET60" s="264">
        <v>1274.4000000000001</v>
      </c>
      <c r="EU60" s="264">
        <v>1198.0999999999999</v>
      </c>
      <c r="EV60" s="264">
        <v>1269.9000000000001</v>
      </c>
      <c r="EW60" s="264">
        <v>1263.3</v>
      </c>
      <c r="EX60" s="264">
        <v>1196.5</v>
      </c>
      <c r="EY60" s="264">
        <v>1311.1</v>
      </c>
      <c r="EZ60" s="264">
        <v>1159.2</v>
      </c>
      <c r="FA60" s="264">
        <v>1228.8</v>
      </c>
      <c r="FB60" s="264">
        <v>1188.7</v>
      </c>
      <c r="FC60" s="264">
        <v>1107.3</v>
      </c>
      <c r="FD60" s="264">
        <v>1238.0999999999999</v>
      </c>
      <c r="FE60" s="264">
        <v>1306.3</v>
      </c>
      <c r="FF60" s="264">
        <v>1307.4000000000001</v>
      </c>
      <c r="FG60" s="264">
        <v>1183.5</v>
      </c>
      <c r="FH60" s="264">
        <v>1334.7</v>
      </c>
      <c r="FI60" s="264">
        <v>1169.2</v>
      </c>
      <c r="FJ60" s="264">
        <v>1144.5</v>
      </c>
      <c r="FK60" s="264">
        <v>1150.3</v>
      </c>
      <c r="FL60" s="264">
        <v>1157.2</v>
      </c>
      <c r="FM60" s="264">
        <v>1155.5</v>
      </c>
      <c r="FN60" s="264">
        <v>1158.3</v>
      </c>
      <c r="FO60" s="264">
        <v>1124.4000000000001</v>
      </c>
      <c r="FP60" s="264">
        <v>1295.4000000000001</v>
      </c>
      <c r="FQ60" s="264">
        <v>1116.5999999999999</v>
      </c>
      <c r="FR60" s="264">
        <v>1272.5</v>
      </c>
      <c r="FS60" s="264">
        <v>1255.4000000000001</v>
      </c>
      <c r="FT60" s="264">
        <v>1273</v>
      </c>
      <c r="FU60" s="264">
        <v>1176.4000000000001</v>
      </c>
      <c r="FV60" s="264">
        <v>1135.8</v>
      </c>
      <c r="FW60" s="264">
        <v>1290.8</v>
      </c>
      <c r="FX60" s="264">
        <v>1164.7</v>
      </c>
      <c r="FY60" s="264">
        <v>1160.5</v>
      </c>
      <c r="FZ60" s="264">
        <v>1171.9000000000001</v>
      </c>
      <c r="GA60" s="264">
        <v>1167.4000000000001</v>
      </c>
      <c r="GB60" s="264">
        <v>1274.4000000000001</v>
      </c>
      <c r="GC60" s="264">
        <v>1190.0999999999999</v>
      </c>
      <c r="GD60" s="264">
        <v>1268.5999999999999</v>
      </c>
      <c r="GE60" s="264">
        <v>1154.3</v>
      </c>
      <c r="GF60" s="264">
        <v>1167.0999999999999</v>
      </c>
      <c r="GG60" s="264">
        <v>1142.4000000000001</v>
      </c>
      <c r="GH60" s="264">
        <v>1279.2</v>
      </c>
      <c r="GI60" s="264">
        <v>1178.0999999999999</v>
      </c>
      <c r="GJ60" s="264">
        <v>1241.5</v>
      </c>
      <c r="GK60" s="264">
        <v>1255.5999999999999</v>
      </c>
      <c r="GL60" s="264">
        <v>1127.9000000000001</v>
      </c>
      <c r="GM60" s="264">
        <v>762.5</v>
      </c>
      <c r="GN60" s="264">
        <v>1257.9000000000001</v>
      </c>
      <c r="GO60" s="264">
        <v>1264.9000000000001</v>
      </c>
      <c r="GP60" s="264">
        <v>1222.5999999999999</v>
      </c>
      <c r="GQ60" s="264">
        <v>1176.0999999999999</v>
      </c>
      <c r="GR60" s="264">
        <v>1171.5</v>
      </c>
      <c r="GS60" s="264">
        <v>1232.9000000000001</v>
      </c>
      <c r="GT60" s="264">
        <v>1138.0999999999999</v>
      </c>
      <c r="GU60" s="264">
        <v>1078.4000000000001</v>
      </c>
      <c r="GV60" s="264">
        <v>1114.9000000000001</v>
      </c>
      <c r="GW60" s="264">
        <v>1158.4000000000001</v>
      </c>
      <c r="GX60" s="264">
        <v>1101.5</v>
      </c>
      <c r="GY60" s="264">
        <v>1150</v>
      </c>
      <c r="GZ60" s="264">
        <v>962</v>
      </c>
      <c r="HA60" s="264">
        <v>1174.4000000000001</v>
      </c>
      <c r="HB60" s="264"/>
      <c r="HC60" s="264"/>
      <c r="HD60" s="264">
        <v>1039.3</v>
      </c>
      <c r="HE60" s="264">
        <v>812.6</v>
      </c>
      <c r="HF60" s="264">
        <v>1152.0999999999999</v>
      </c>
      <c r="HG60" s="264"/>
      <c r="HH60" s="264">
        <v>1236</v>
      </c>
      <c r="HI60" s="264">
        <v>1099.9000000000001</v>
      </c>
      <c r="HJ60" s="264">
        <v>1171.5999999999999</v>
      </c>
      <c r="HK60" s="264">
        <v>1155.3</v>
      </c>
      <c r="HL60" s="264">
        <v>1156</v>
      </c>
      <c r="HM60" s="264">
        <v>1186</v>
      </c>
      <c r="HN60" s="264">
        <v>1171.3</v>
      </c>
      <c r="HO60" s="264">
        <v>1186.0999999999999</v>
      </c>
      <c r="HP60" s="264">
        <v>1175.8</v>
      </c>
      <c r="HQ60" s="264">
        <v>1206.8</v>
      </c>
      <c r="HR60" s="264">
        <v>1164.5</v>
      </c>
      <c r="HS60" s="264">
        <v>1193.2</v>
      </c>
      <c r="HT60" s="264">
        <v>1318.8</v>
      </c>
      <c r="HU60" s="264">
        <v>1344.8</v>
      </c>
      <c r="HV60" s="264">
        <v>1061.7</v>
      </c>
      <c r="HW60" s="264">
        <v>1020.2</v>
      </c>
      <c r="HX60" s="264">
        <v>895.5</v>
      </c>
      <c r="HY60" s="264">
        <v>770</v>
      </c>
      <c r="HZ60" s="264">
        <v>869.4</v>
      </c>
      <c r="IA60" s="264">
        <v>1005.8</v>
      </c>
      <c r="IB60" s="264">
        <v>1196.3</v>
      </c>
      <c r="IC60" s="264">
        <v>1281.7</v>
      </c>
      <c r="ID60" s="264">
        <v>1227.8</v>
      </c>
      <c r="IE60" s="264">
        <v>1224.5999999999999</v>
      </c>
      <c r="IF60" s="264">
        <v>1212.5</v>
      </c>
      <c r="IG60" s="264">
        <v>1311.5</v>
      </c>
      <c r="IH60" s="264">
        <v>1276.7</v>
      </c>
      <c r="II60" s="264">
        <v>1272.8</v>
      </c>
      <c r="IJ60" s="264">
        <v>1120.3</v>
      </c>
      <c r="IK60" s="264">
        <v>1151.8</v>
      </c>
      <c r="IL60" s="264">
        <v>1061.8</v>
      </c>
      <c r="IM60" s="264">
        <v>1127.5</v>
      </c>
      <c r="IN60" s="264">
        <v>1093.2</v>
      </c>
      <c r="IO60" s="264"/>
      <c r="IP60" s="264">
        <v>1550.5</v>
      </c>
      <c r="IQ60" s="264">
        <v>1227.4000000000001</v>
      </c>
      <c r="IR60" s="264">
        <v>472</v>
      </c>
      <c r="IS60" s="264">
        <v>1141</v>
      </c>
      <c r="IT60" s="264">
        <v>1098.2</v>
      </c>
      <c r="IU60" s="264"/>
      <c r="IV60" s="264"/>
      <c r="IW60" s="264">
        <v>1161.4000000000001</v>
      </c>
      <c r="IX60" s="264">
        <v>1197.3</v>
      </c>
      <c r="IY60" s="264">
        <v>1187.0999999999999</v>
      </c>
      <c r="IZ60" s="264">
        <v>1078.7</v>
      </c>
      <c r="JA60" s="264">
        <v>992.2</v>
      </c>
      <c r="JB60" s="296">
        <v>35.89</v>
      </c>
      <c r="JC60" s="296">
        <v>44.51</v>
      </c>
      <c r="JD60" s="296">
        <v>4.63</v>
      </c>
      <c r="JE60" s="296">
        <v>7.7</v>
      </c>
      <c r="JF60" s="296"/>
      <c r="JG60" s="296">
        <v>6.17</v>
      </c>
      <c r="JH60" s="363">
        <v>5.67</v>
      </c>
      <c r="JI60" s="297"/>
      <c r="JJ60" s="297"/>
      <c r="JK60" s="264">
        <v>85348803.993000001</v>
      </c>
      <c r="JL60" s="264">
        <v>282272.55599999998</v>
      </c>
      <c r="JM60" s="264">
        <v>58363669.317000002</v>
      </c>
      <c r="JN60" s="264">
        <v>61938.042999999998</v>
      </c>
      <c r="JO60" s="264">
        <v>86125519.622999996</v>
      </c>
      <c r="JP60" s="264">
        <v>187381.47200000001</v>
      </c>
      <c r="JQ60" s="264">
        <v>62469113.061999999</v>
      </c>
      <c r="JR60" s="264">
        <v>56111.112999999998</v>
      </c>
      <c r="JS60" s="296">
        <v>323414575.72100002</v>
      </c>
      <c r="JT60" s="296">
        <v>85081.119000000006</v>
      </c>
      <c r="JU60" s="283">
        <f t="shared" ref="JU60" si="227">IF((JK60-JK59)&lt;0,"",(JK60-JK59))</f>
        <v>77460.186000004411</v>
      </c>
      <c r="JV60" s="283">
        <f t="shared" ref="JV60" si="228">IF((JL60-JL59)&lt;0,"",(JL60-JL59))</f>
        <v>48.117999999958556</v>
      </c>
      <c r="JW60" s="283">
        <f t="shared" ref="JW60" si="229">IF((JM60-JM59)&lt;0,"",(JM60-JM59))</f>
        <v>73938.875</v>
      </c>
      <c r="JX60" s="283">
        <f t="shared" ref="JX60" si="230">IF((JN60-JN59)&lt;0,"",(JN60-JN59))</f>
        <v>46.748999999996158</v>
      </c>
      <c r="JY60" s="284">
        <f t="shared" ref="JY60" si="231">IF((JO60-JO59)&lt;0,"",(JO60-JO59))</f>
        <v>77082.019999995828</v>
      </c>
      <c r="JZ60" s="284">
        <f t="shared" ref="JZ60" si="232">IF((JP60-JP59)&lt;0,"",(JP60-JP59))</f>
        <v>55.570999999996275</v>
      </c>
      <c r="KA60" s="284">
        <f t="shared" ref="KA60" si="233">IF((JQ60-JQ59)&lt;0,"",(JQ60-JQ59))</f>
        <v>60047.311999998987</v>
      </c>
      <c r="KB60" s="284">
        <f t="shared" ref="KB60" si="234">IF((JR60-JR59)&lt;0,"",(JR60-JR59))</f>
        <v>57.756999999997788</v>
      </c>
      <c r="KC60" s="283">
        <f t="shared" si="208"/>
        <v>288274.48600000143</v>
      </c>
      <c r="KD60" s="283">
        <f t="shared" ref="KD60" si="235">IF((JT60-JT59)&lt;0,"",(JT60-JT59))</f>
        <v>120.84900000000198</v>
      </c>
      <c r="KE60" s="291">
        <f t="shared" ref="KE60" si="236">(JU60+JW60)-(JV60+JX60)</f>
        <v>151304.19400000444</v>
      </c>
      <c r="KF60" s="291">
        <f t="shared" ref="KF60" si="237">IFERROR(KC60-KD60,"")</f>
        <v>288153.63700000144</v>
      </c>
      <c r="KG60" s="292">
        <f>(RD[[#This Row],[Sunset Time (POA&lt;20 W/m2)]]-RD[[#This Row],[Sunrise Time (POA&gt;20 W/m2)]])*24</f>
        <v>13.233333333333334</v>
      </c>
      <c r="KH60" s="293">
        <f>RD[[#This Row],[GHI ]]</f>
        <v>6.17</v>
      </c>
      <c r="KI60" s="293">
        <f>RD[[#This Row],[POA]]</f>
        <v>5.67</v>
      </c>
      <c r="KJ60" s="293">
        <f>RD[[#This Row],[AT (°C) 14 Hours]]</f>
        <v>35.89</v>
      </c>
      <c r="KK60" s="293">
        <f>RD[[#This Row],[MT (°C) Gen. Hours]]</f>
        <v>44.51</v>
      </c>
      <c r="KL60" s="293">
        <f>RD[[#This Row],[WS_Avg (m/s) (24 Hours)]]</f>
        <v>4.63</v>
      </c>
      <c r="KM60" s="293">
        <f>RD[[#This Row],[WS_Max (m/s)]]</f>
        <v>7.7</v>
      </c>
      <c r="KN60" s="294">
        <f>SUM(RD[[#This Row],[BLK1_INV1]:[BLK8_INV28]])</f>
        <v>290997.69999999995</v>
      </c>
      <c r="KO60" s="95"/>
      <c r="KP60" s="55"/>
      <c r="KQ60" s="90" t="str">
        <f>IFERROR(RD[[#This Row],[WPR_Eac]]/RD[[#This Row],[WPR_Edc]],"")</f>
        <v/>
      </c>
    </row>
    <row r="61" spans="2:303" ht="15" customHeight="1" x14ac:dyDescent="0.25">
      <c r="B61" s="52">
        <v>45802</v>
      </c>
      <c r="C61" s="9">
        <f>YEAR(RD[[#This Row],[Date]])+IF(MONTH(RD[[#This Row],[Date]])&gt;=4,1,0)</f>
        <v>2026</v>
      </c>
      <c r="D61" s="6">
        <f t="shared" si="204"/>
        <v>2025</v>
      </c>
      <c r="E61" s="7"/>
      <c r="F61" s="7"/>
      <c r="G61" s="8" t="str">
        <f>TEXT(RD[[#This Row],[Date]],"mmm-yy")</f>
        <v>May-25</v>
      </c>
      <c r="H61" s="6">
        <f t="shared" si="205"/>
        <v>31</v>
      </c>
      <c r="I61" s="9">
        <f>'Basic Data '!$S$2</f>
        <v>66750</v>
      </c>
      <c r="J61" s="10">
        <v>0.23958333333333334</v>
      </c>
      <c r="K61" s="10">
        <v>0.7715277777777777</v>
      </c>
      <c r="L61" s="260">
        <v>1448</v>
      </c>
      <c r="M61" s="260">
        <v>1462.1</v>
      </c>
      <c r="N61" s="260">
        <v>1353.7</v>
      </c>
      <c r="O61" s="260">
        <v>1350</v>
      </c>
      <c r="P61" s="260">
        <v>1443.4</v>
      </c>
      <c r="Q61" s="260">
        <v>1344.4</v>
      </c>
      <c r="R61" s="260">
        <v>1343.4</v>
      </c>
      <c r="S61" s="260">
        <v>1345.2</v>
      </c>
      <c r="T61" s="260">
        <v>1391.6</v>
      </c>
      <c r="U61" s="260">
        <v>1399.1</v>
      </c>
      <c r="V61" s="260">
        <v>1368.1</v>
      </c>
      <c r="W61" s="260">
        <v>1359.4</v>
      </c>
      <c r="X61" s="260">
        <v>1341.6</v>
      </c>
      <c r="Y61" s="260">
        <v>1264.3</v>
      </c>
      <c r="Z61" s="260">
        <v>1339</v>
      </c>
      <c r="AA61" s="260">
        <v>1336.9</v>
      </c>
      <c r="AB61" s="260">
        <v>1337.2</v>
      </c>
      <c r="AC61" s="260">
        <v>1329.1</v>
      </c>
      <c r="AD61" s="260">
        <v>1438.8</v>
      </c>
      <c r="AE61" s="260">
        <v>1442.6</v>
      </c>
      <c r="AF61" s="260">
        <v>1345</v>
      </c>
      <c r="AG61" s="260">
        <v>1344</v>
      </c>
      <c r="AH61" s="260">
        <v>1475.9</v>
      </c>
      <c r="AI61" s="260">
        <v>1516.9</v>
      </c>
      <c r="AJ61" s="260">
        <v>1462.5</v>
      </c>
      <c r="AK61" s="260">
        <v>1450.6</v>
      </c>
      <c r="AL61" s="260">
        <v>1439.4</v>
      </c>
      <c r="AM61" s="260">
        <v>1491.2</v>
      </c>
      <c r="AN61" s="260">
        <v>1503.2</v>
      </c>
      <c r="AO61" s="260">
        <v>1485.5</v>
      </c>
      <c r="AP61" s="260">
        <v>1501.1</v>
      </c>
      <c r="AQ61" s="260">
        <v>1496.2</v>
      </c>
      <c r="AR61" s="260">
        <v>1260.7</v>
      </c>
      <c r="AS61" s="260">
        <v>1637.4</v>
      </c>
      <c r="AT61" s="260">
        <v>1313</v>
      </c>
      <c r="AU61" s="260">
        <v>1501.1</v>
      </c>
      <c r="AV61" s="260">
        <v>1345.8</v>
      </c>
      <c r="AW61" s="260">
        <v>1310.8</v>
      </c>
      <c r="AX61" s="260">
        <v>1332.6</v>
      </c>
      <c r="AY61" s="260">
        <v>1356.7</v>
      </c>
      <c r="AZ61" s="260">
        <v>1329.9</v>
      </c>
      <c r="BA61" s="260">
        <v>1314.7</v>
      </c>
      <c r="BB61" s="260">
        <v>1338.9</v>
      </c>
      <c r="BC61" s="260">
        <v>1312.8</v>
      </c>
      <c r="BD61" s="260">
        <v>1336.9</v>
      </c>
      <c r="BE61" s="260">
        <v>1346.9</v>
      </c>
      <c r="BF61" s="260">
        <v>1451.4</v>
      </c>
      <c r="BG61" s="260">
        <v>1325.3</v>
      </c>
      <c r="BH61" s="260">
        <v>1383.7</v>
      </c>
      <c r="BI61" s="260">
        <v>1360.6</v>
      </c>
      <c r="BJ61" s="260">
        <v>1301.2</v>
      </c>
      <c r="BK61" s="260">
        <v>1254.0999999999999</v>
      </c>
      <c r="BL61" s="260">
        <v>1537.8</v>
      </c>
      <c r="BM61" s="260">
        <v>1510.4</v>
      </c>
      <c r="BN61" s="260">
        <v>1438.7</v>
      </c>
      <c r="BO61" s="260">
        <v>1522.1</v>
      </c>
      <c r="BP61" s="260">
        <v>1516.3</v>
      </c>
      <c r="BQ61" s="260">
        <v>1349.5</v>
      </c>
      <c r="BR61" s="260">
        <v>1498.8</v>
      </c>
      <c r="BS61" s="260">
        <v>1458.4</v>
      </c>
      <c r="BT61" s="260">
        <v>1350</v>
      </c>
      <c r="BU61" s="260">
        <v>1520.1</v>
      </c>
      <c r="BV61" s="260">
        <v>1336.8</v>
      </c>
      <c r="BW61" s="260">
        <v>1302.3</v>
      </c>
      <c r="BX61" s="260">
        <v>1458.7</v>
      </c>
      <c r="BY61" s="260">
        <v>1446.5</v>
      </c>
      <c r="BZ61" s="260">
        <v>1465.8</v>
      </c>
      <c r="CA61" s="260">
        <v>1359.8</v>
      </c>
      <c r="CB61" s="260">
        <v>1338.5</v>
      </c>
      <c r="CC61" s="260">
        <v>1329.6</v>
      </c>
      <c r="CD61" s="260">
        <v>1339.2</v>
      </c>
      <c r="CE61" s="260">
        <v>1337.5</v>
      </c>
      <c r="CF61" s="260">
        <v>1357.8</v>
      </c>
      <c r="CG61" s="260">
        <v>1342.6</v>
      </c>
      <c r="CH61" s="260">
        <v>1526.9</v>
      </c>
      <c r="CI61" s="260">
        <v>1492.4</v>
      </c>
      <c r="CJ61" s="260">
        <v>1527.8</v>
      </c>
      <c r="CK61" s="260">
        <v>1342.9</v>
      </c>
      <c r="CL61" s="260">
        <v>1325.1</v>
      </c>
      <c r="CM61" s="260">
        <v>1461.2</v>
      </c>
      <c r="CN61" s="260">
        <v>1348.5</v>
      </c>
      <c r="CO61" s="260">
        <v>1351.3</v>
      </c>
      <c r="CP61" s="260">
        <v>1337.1</v>
      </c>
      <c r="CQ61" s="260">
        <v>1354.9</v>
      </c>
      <c r="CR61" s="260">
        <v>1336.7</v>
      </c>
      <c r="CS61" s="260">
        <v>1339.1</v>
      </c>
      <c r="CT61" s="260">
        <v>1355.4</v>
      </c>
      <c r="CU61" s="260">
        <v>1342.9</v>
      </c>
      <c r="CV61" s="260">
        <v>1334.4</v>
      </c>
      <c r="CW61" s="260">
        <v>1324.7</v>
      </c>
      <c r="CX61" s="260">
        <v>1387.2</v>
      </c>
      <c r="CY61" s="260">
        <v>1474.3</v>
      </c>
      <c r="CZ61" s="260">
        <v>1369.3</v>
      </c>
      <c r="DA61" s="260">
        <v>1359.9</v>
      </c>
      <c r="DB61" s="260">
        <v>1507.6</v>
      </c>
      <c r="DC61" s="260">
        <v>1323</v>
      </c>
      <c r="DD61" s="260">
        <v>1334.2</v>
      </c>
      <c r="DE61" s="260">
        <v>1326</v>
      </c>
      <c r="DF61" s="260">
        <v>1302</v>
      </c>
      <c r="DG61" s="260">
        <v>1316</v>
      </c>
      <c r="DH61" s="260">
        <v>1351</v>
      </c>
      <c r="DI61" s="260">
        <v>1309</v>
      </c>
      <c r="DJ61" s="260">
        <v>1336</v>
      </c>
      <c r="DK61" s="260">
        <v>1326</v>
      </c>
      <c r="DL61" s="260">
        <v>1499</v>
      </c>
      <c r="DM61" s="260">
        <v>1329</v>
      </c>
      <c r="DN61" s="260">
        <v>1557</v>
      </c>
      <c r="DO61" s="260">
        <v>1465</v>
      </c>
      <c r="DP61" s="260">
        <v>1328</v>
      </c>
      <c r="DQ61" s="260">
        <v>1469</v>
      </c>
      <c r="DR61" s="260">
        <v>1433</v>
      </c>
      <c r="DS61" s="260">
        <v>1406</v>
      </c>
      <c r="DT61" s="260">
        <v>1474</v>
      </c>
      <c r="DU61" s="260">
        <v>1474</v>
      </c>
      <c r="DV61" s="260">
        <v>1317</v>
      </c>
      <c r="DW61" s="260">
        <v>1322</v>
      </c>
      <c r="DX61" s="260">
        <v>1450</v>
      </c>
      <c r="DY61" s="260">
        <v>1481</v>
      </c>
      <c r="DZ61" s="260">
        <v>1428</v>
      </c>
      <c r="EA61" s="260">
        <v>1316</v>
      </c>
      <c r="EB61" s="260">
        <v>1335</v>
      </c>
      <c r="EC61" s="260">
        <v>1477</v>
      </c>
      <c r="ED61" s="260">
        <v>1372</v>
      </c>
      <c r="EE61" s="260">
        <v>1321</v>
      </c>
      <c r="EF61" s="260">
        <v>1338</v>
      </c>
      <c r="EG61" s="260">
        <v>1525</v>
      </c>
      <c r="EH61" s="260">
        <v>1324</v>
      </c>
      <c r="EI61" s="260">
        <v>1331.9</v>
      </c>
      <c r="EJ61" s="260">
        <v>1463</v>
      </c>
      <c r="EK61" s="260">
        <v>1458</v>
      </c>
      <c r="EL61" s="260">
        <v>1408</v>
      </c>
      <c r="EM61" s="260">
        <v>1418</v>
      </c>
      <c r="EN61" s="260">
        <v>1412</v>
      </c>
      <c r="EO61" s="260">
        <v>1195</v>
      </c>
      <c r="EP61" s="260">
        <v>1484</v>
      </c>
      <c r="EQ61" s="260">
        <v>1400</v>
      </c>
      <c r="ER61" s="260">
        <v>1434</v>
      </c>
      <c r="ES61" s="260">
        <v>1350</v>
      </c>
      <c r="ET61" s="260">
        <v>1397</v>
      </c>
      <c r="EU61" s="260">
        <v>1324</v>
      </c>
      <c r="EV61" s="260">
        <v>1418</v>
      </c>
      <c r="EW61" s="260">
        <v>1421</v>
      </c>
      <c r="EX61" s="260">
        <v>1327</v>
      </c>
      <c r="EY61" s="260">
        <v>1437</v>
      </c>
      <c r="EZ61" s="260">
        <v>1334</v>
      </c>
      <c r="FA61" s="260">
        <v>1409</v>
      </c>
      <c r="FB61" s="260">
        <v>1304</v>
      </c>
      <c r="FC61" s="260">
        <v>1211</v>
      </c>
      <c r="FD61" s="260">
        <v>1408</v>
      </c>
      <c r="FE61" s="260">
        <v>1424</v>
      </c>
      <c r="FF61" s="260">
        <v>1431</v>
      </c>
      <c r="FG61" s="260">
        <v>1311</v>
      </c>
      <c r="FH61" s="260">
        <v>1505</v>
      </c>
      <c r="FI61" s="260">
        <v>1318</v>
      </c>
      <c r="FJ61" s="260">
        <v>1328</v>
      </c>
      <c r="FK61" s="260">
        <v>1332.9</v>
      </c>
      <c r="FL61" s="260">
        <v>1329.1</v>
      </c>
      <c r="FM61" s="260">
        <v>1332</v>
      </c>
      <c r="FN61" s="260">
        <v>1326.7</v>
      </c>
      <c r="FO61" s="260">
        <v>1289.9000000000001</v>
      </c>
      <c r="FP61" s="260">
        <v>1470.7</v>
      </c>
      <c r="FQ61" s="260">
        <v>1298.2</v>
      </c>
      <c r="FR61" s="260">
        <v>1458.3</v>
      </c>
      <c r="FS61" s="260">
        <v>1489.1</v>
      </c>
      <c r="FT61" s="260">
        <v>1467.5</v>
      </c>
      <c r="FU61" s="260">
        <v>1379.1</v>
      </c>
      <c r="FV61" s="260">
        <v>1308.2</v>
      </c>
      <c r="FW61" s="260">
        <v>1485.5</v>
      </c>
      <c r="FX61" s="260">
        <v>1336.2</v>
      </c>
      <c r="FY61" s="260">
        <v>1333.6</v>
      </c>
      <c r="FZ61" s="260">
        <v>1354.5</v>
      </c>
      <c r="GA61" s="260">
        <v>1350.9</v>
      </c>
      <c r="GB61" s="260">
        <v>1471.7</v>
      </c>
      <c r="GC61" s="260">
        <v>1374.9</v>
      </c>
      <c r="GD61" s="260">
        <v>1443</v>
      </c>
      <c r="GE61" s="260">
        <v>1315.8</v>
      </c>
      <c r="GF61" s="260">
        <v>1325.6</v>
      </c>
      <c r="GG61" s="260">
        <v>1304</v>
      </c>
      <c r="GH61" s="260">
        <v>1461.8</v>
      </c>
      <c r="GI61" s="260">
        <v>1344.6</v>
      </c>
      <c r="GJ61" s="260">
        <v>1416.6</v>
      </c>
      <c r="GK61" s="260">
        <v>1448.1</v>
      </c>
      <c r="GL61" s="260">
        <v>1445</v>
      </c>
      <c r="GM61" s="260">
        <v>1444.1</v>
      </c>
      <c r="GN61" s="260">
        <v>1438.7</v>
      </c>
      <c r="GO61" s="260">
        <v>1451.4</v>
      </c>
      <c r="GP61" s="260">
        <v>1383.4</v>
      </c>
      <c r="GQ61" s="260">
        <v>1335.4</v>
      </c>
      <c r="GR61" s="260">
        <v>1351.9</v>
      </c>
      <c r="GS61" s="260">
        <v>1405.4</v>
      </c>
      <c r="GT61" s="260">
        <v>1293</v>
      </c>
      <c r="GU61" s="260">
        <v>1324</v>
      </c>
      <c r="GV61" s="260">
        <v>1258</v>
      </c>
      <c r="GW61" s="260">
        <v>1313</v>
      </c>
      <c r="GX61" s="260">
        <v>1345</v>
      </c>
      <c r="GY61" s="260">
        <v>1271</v>
      </c>
      <c r="GZ61" s="260">
        <v>1102</v>
      </c>
      <c r="HA61" s="260">
        <v>1336</v>
      </c>
      <c r="HB61" s="260"/>
      <c r="HC61" s="260"/>
      <c r="HD61" s="260">
        <v>1188</v>
      </c>
      <c r="HE61" s="260">
        <v>932</v>
      </c>
      <c r="HF61" s="260">
        <v>1319</v>
      </c>
      <c r="HG61" s="260"/>
      <c r="HH61" s="260">
        <v>1424</v>
      </c>
      <c r="HI61" s="260">
        <v>1278</v>
      </c>
      <c r="HJ61" s="260">
        <v>1315</v>
      </c>
      <c r="HK61" s="260">
        <v>1280</v>
      </c>
      <c r="HL61" s="260">
        <v>1308</v>
      </c>
      <c r="HM61" s="260">
        <v>1310</v>
      </c>
      <c r="HN61" s="260">
        <v>1324</v>
      </c>
      <c r="HO61" s="260">
        <v>1333</v>
      </c>
      <c r="HP61" s="260">
        <v>1323</v>
      </c>
      <c r="HQ61" s="260">
        <v>1335.3</v>
      </c>
      <c r="HR61" s="260">
        <v>1317</v>
      </c>
      <c r="HS61" s="260">
        <v>1325</v>
      </c>
      <c r="HT61" s="260">
        <v>1475</v>
      </c>
      <c r="HU61" s="260">
        <v>1504</v>
      </c>
      <c r="HV61" s="260">
        <v>1216</v>
      </c>
      <c r="HW61" s="260">
        <v>1177</v>
      </c>
      <c r="HX61" s="260">
        <v>1026</v>
      </c>
      <c r="HY61" s="260">
        <v>897.1</v>
      </c>
      <c r="HZ61" s="260">
        <v>1016</v>
      </c>
      <c r="IA61" s="260">
        <v>1131</v>
      </c>
      <c r="IB61" s="260">
        <v>1354</v>
      </c>
      <c r="IC61" s="260">
        <v>1474</v>
      </c>
      <c r="ID61" s="260">
        <v>1423</v>
      </c>
      <c r="IE61" s="260">
        <v>1432.1</v>
      </c>
      <c r="IF61" s="260">
        <v>1353.5</v>
      </c>
      <c r="IG61" s="260">
        <v>1465.9</v>
      </c>
      <c r="IH61" s="260">
        <v>1478</v>
      </c>
      <c r="II61" s="260">
        <v>1462</v>
      </c>
      <c r="IJ61" s="260">
        <v>1296</v>
      </c>
      <c r="IK61" s="260">
        <v>1366</v>
      </c>
      <c r="IL61" s="260">
        <v>1256</v>
      </c>
      <c r="IM61" s="260">
        <v>1350</v>
      </c>
      <c r="IN61" s="260">
        <v>1273</v>
      </c>
      <c r="IO61" s="260"/>
      <c r="IP61" s="260">
        <v>1875</v>
      </c>
      <c r="IQ61" s="260">
        <v>1421.8</v>
      </c>
      <c r="IR61" s="260">
        <v>537</v>
      </c>
      <c r="IS61" s="260">
        <v>1320</v>
      </c>
      <c r="IT61" s="260">
        <v>1287</v>
      </c>
      <c r="IU61" s="260"/>
      <c r="IV61" s="260"/>
      <c r="IW61" s="260">
        <v>1278</v>
      </c>
      <c r="IX61" s="260">
        <v>1401</v>
      </c>
      <c r="IY61" s="260">
        <v>1370</v>
      </c>
      <c r="IZ61" s="260">
        <v>1266</v>
      </c>
      <c r="JA61" s="260">
        <v>1181</v>
      </c>
      <c r="JB61" s="289">
        <v>36.28</v>
      </c>
      <c r="JC61" s="289">
        <v>44.75</v>
      </c>
      <c r="JD61" s="289">
        <v>2.4</v>
      </c>
      <c r="JE61" s="289">
        <v>6.5</v>
      </c>
      <c r="JF61" s="289"/>
      <c r="JG61" s="289">
        <v>6.76</v>
      </c>
      <c r="JH61" s="259">
        <v>6.25</v>
      </c>
      <c r="JI61" s="290"/>
      <c r="JJ61" s="290"/>
      <c r="JK61" s="260">
        <v>85437787.569000006</v>
      </c>
      <c r="JL61" s="260">
        <v>282335.674</v>
      </c>
      <c r="JM61" s="260">
        <v>58448978.722000003</v>
      </c>
      <c r="JN61" s="260">
        <v>61998.792000000001</v>
      </c>
      <c r="JO61" s="260">
        <v>86213949.856000006</v>
      </c>
      <c r="JP61" s="260">
        <v>187445.04300000001</v>
      </c>
      <c r="JQ61" s="260">
        <v>62538374.164999999</v>
      </c>
      <c r="JR61" s="260">
        <v>56181.87</v>
      </c>
      <c r="JS61" s="289">
        <v>323746300.69499999</v>
      </c>
      <c r="JT61" s="289">
        <v>85241.967999999993</v>
      </c>
      <c r="JU61" s="283">
        <f t="shared" ref="JU61" si="238">IF((JK61-JK60)&lt;0,"",(JK61-JK60))</f>
        <v>88983.576000005007</v>
      </c>
      <c r="JV61" s="283">
        <f t="shared" ref="JV61" si="239">IF((JL61-JL60)&lt;0,"",(JL61-JL60))</f>
        <v>63.118000000016764</v>
      </c>
      <c r="JW61" s="283">
        <f t="shared" ref="JW61" si="240">IF((JM61-JM60)&lt;0,"",(JM61-JM60))</f>
        <v>85309.405000001192</v>
      </c>
      <c r="JX61" s="283">
        <f t="shared" ref="JX61" si="241">IF((JN61-JN60)&lt;0,"",(JN61-JN60))</f>
        <v>60.749000000003434</v>
      </c>
      <c r="JY61" s="284">
        <f t="shared" ref="JY61" si="242">IF((JO61-JO60)&lt;0,"",(JO61-JO60))</f>
        <v>88430.233000010252</v>
      </c>
      <c r="JZ61" s="284">
        <f t="shared" ref="JZ61" si="243">IF((JP61-JP60)&lt;0,"",(JP61-JP60))</f>
        <v>63.570999999996275</v>
      </c>
      <c r="KA61" s="284">
        <f t="shared" ref="KA61" si="244">IF((JQ61-JQ60)&lt;0,"",(JQ61-JQ60))</f>
        <v>69261.103000000119</v>
      </c>
      <c r="KB61" s="284">
        <f t="shared" ref="KB61" si="245">IF((JR61-JR60)&lt;0,"",(JR61-JR60))</f>
        <v>70.757000000005064</v>
      </c>
      <c r="KC61" s="283">
        <f t="shared" ref="KC61" si="246">IF((JS61-JS60)&lt;0,"",(JS61-JS60))</f>
        <v>331724.97399997711</v>
      </c>
      <c r="KD61" s="283">
        <f t="shared" ref="KD61" si="247">IF((JT61-JT60)&lt;0,"",(JT61-JT60))</f>
        <v>160.84899999998743</v>
      </c>
      <c r="KE61" s="291">
        <f t="shared" si="206"/>
        <v>174169.11400000617</v>
      </c>
      <c r="KF61" s="291">
        <f t="shared" si="207"/>
        <v>331564.12499997712</v>
      </c>
      <c r="KG61" s="292">
        <f>(RD[[#This Row],[Sunset Time (POA&lt;20 W/m2)]]-RD[[#This Row],[Sunrise Time (POA&gt;20 W/m2)]])*24</f>
        <v>12.766666666666664</v>
      </c>
      <c r="KH61" s="293">
        <f>RD[[#This Row],[GHI ]]</f>
        <v>6.76</v>
      </c>
      <c r="KI61" s="293">
        <f>RD[[#This Row],[POA]]</f>
        <v>6.25</v>
      </c>
      <c r="KJ61" s="293">
        <f>RD[[#This Row],[AT (°C) 14 Hours]]</f>
        <v>36.28</v>
      </c>
      <c r="KK61" s="293">
        <f>RD[[#This Row],[MT (°C) Gen. Hours]]</f>
        <v>44.75</v>
      </c>
      <c r="KL61" s="293">
        <f>RD[[#This Row],[WS_Avg (m/s) (24 Hours)]]</f>
        <v>2.4</v>
      </c>
      <c r="KM61" s="293">
        <f>RD[[#This Row],[WS_Max (m/s)]]</f>
        <v>6.5</v>
      </c>
      <c r="KN61" s="294">
        <f>SUM(RD[[#This Row],[BLK1_INV1]:[BLK8_INV28]])</f>
        <v>333824.30000000005</v>
      </c>
      <c r="KO61" s="95"/>
      <c r="KP61" s="55"/>
      <c r="KQ61" s="90" t="str">
        <f>IFERROR(RD[[#This Row],[WPR_Eac]]/RD[[#This Row],[WPR_Edc]],"")</f>
        <v/>
      </c>
    </row>
    <row r="62" spans="2:303" ht="15" customHeight="1" x14ac:dyDescent="0.25">
      <c r="B62" s="52">
        <v>45803</v>
      </c>
      <c r="C62" s="9">
        <f>YEAR(RD[[#This Row],[Date]])+IF(MONTH(RD[[#This Row],[Date]])&gt;=4,1,0)</f>
        <v>2026</v>
      </c>
      <c r="D62" s="6">
        <f t="shared" si="204"/>
        <v>2025</v>
      </c>
      <c r="E62" s="7"/>
      <c r="F62" s="7"/>
      <c r="G62" s="8" t="str">
        <f>TEXT(RD[[#This Row],[Date]],"mmm-yy")</f>
        <v>May-25</v>
      </c>
      <c r="H62" s="6">
        <f t="shared" si="205"/>
        <v>31</v>
      </c>
      <c r="I62" s="9">
        <f>'Basic Data '!$S$2</f>
        <v>66750</v>
      </c>
      <c r="J62" s="10">
        <v>0.21805555555555556</v>
      </c>
      <c r="K62" s="10">
        <v>0.7715277777777777</v>
      </c>
      <c r="L62" s="260">
        <v>1120.8</v>
      </c>
      <c r="M62" s="260">
        <v>1087.0999999999999</v>
      </c>
      <c r="N62" s="260">
        <v>1051.2</v>
      </c>
      <c r="O62" s="260">
        <v>1046.4000000000001</v>
      </c>
      <c r="P62" s="260">
        <v>1081.8</v>
      </c>
      <c r="Q62" s="260">
        <v>1042.9000000000001</v>
      </c>
      <c r="R62" s="260">
        <v>1041.2</v>
      </c>
      <c r="S62" s="260">
        <v>1043.8</v>
      </c>
      <c r="T62" s="260">
        <v>1081.4000000000001</v>
      </c>
      <c r="U62" s="260">
        <v>1088</v>
      </c>
      <c r="V62" s="260">
        <v>1061.3</v>
      </c>
      <c r="W62" s="260">
        <v>1056</v>
      </c>
      <c r="X62" s="260">
        <v>1041.4000000000001</v>
      </c>
      <c r="Y62" s="260">
        <v>979.4</v>
      </c>
      <c r="Z62" s="260">
        <v>1037.5999999999999</v>
      </c>
      <c r="AA62" s="260">
        <v>1037.9000000000001</v>
      </c>
      <c r="AB62" s="260">
        <v>990.2</v>
      </c>
      <c r="AC62" s="260">
        <v>1030.2</v>
      </c>
      <c r="AD62" s="260">
        <v>1119.5</v>
      </c>
      <c r="AE62" s="260">
        <v>1121</v>
      </c>
      <c r="AF62" s="260">
        <v>1040.7</v>
      </c>
      <c r="AG62" s="260">
        <v>1043.8</v>
      </c>
      <c r="AH62" s="260">
        <v>1144.9000000000001</v>
      </c>
      <c r="AI62" s="260">
        <v>1176.4000000000001</v>
      </c>
      <c r="AJ62" s="260">
        <v>1134.3</v>
      </c>
      <c r="AK62" s="260">
        <v>1125.7</v>
      </c>
      <c r="AL62" s="260">
        <v>1116.0999999999999</v>
      </c>
      <c r="AM62" s="260">
        <v>1155</v>
      </c>
      <c r="AN62" s="260">
        <v>1172.5999999999999</v>
      </c>
      <c r="AO62" s="260">
        <v>1151.8</v>
      </c>
      <c r="AP62" s="260">
        <v>1152.5</v>
      </c>
      <c r="AQ62" s="260">
        <v>1162.8</v>
      </c>
      <c r="AR62" s="260">
        <v>968.8</v>
      </c>
      <c r="AS62" s="260">
        <v>1271.8</v>
      </c>
      <c r="AT62" s="260">
        <v>1009.5</v>
      </c>
      <c r="AU62" s="260">
        <v>1155.4000000000001</v>
      </c>
      <c r="AV62" s="260">
        <v>1041.7</v>
      </c>
      <c r="AW62" s="260">
        <v>1014.3</v>
      </c>
      <c r="AX62" s="260">
        <v>1030.4000000000001</v>
      </c>
      <c r="AY62" s="260">
        <v>1049.9000000000001</v>
      </c>
      <c r="AZ62" s="260">
        <v>1025.7</v>
      </c>
      <c r="BA62" s="260">
        <v>1010.7</v>
      </c>
      <c r="BB62" s="260">
        <v>1033.9000000000001</v>
      </c>
      <c r="BC62" s="260">
        <v>1013.7</v>
      </c>
      <c r="BD62" s="260">
        <v>1032.2</v>
      </c>
      <c r="BE62" s="260">
        <v>1041.2</v>
      </c>
      <c r="BF62" s="260">
        <v>1122.8</v>
      </c>
      <c r="BG62" s="260">
        <v>1028.5</v>
      </c>
      <c r="BH62" s="260">
        <v>1066.5999999999999</v>
      </c>
      <c r="BI62" s="260">
        <v>1049.5999999999999</v>
      </c>
      <c r="BJ62" s="260">
        <v>1014.1</v>
      </c>
      <c r="BK62" s="260">
        <v>1035.0999999999999</v>
      </c>
      <c r="BL62" s="260">
        <v>1186.5</v>
      </c>
      <c r="BM62" s="260">
        <v>1166.9000000000001</v>
      </c>
      <c r="BN62" s="260">
        <v>1112.7</v>
      </c>
      <c r="BO62" s="260">
        <v>1176.4000000000001</v>
      </c>
      <c r="BP62" s="260">
        <v>1176.3</v>
      </c>
      <c r="BQ62" s="260">
        <v>1049.5999999999999</v>
      </c>
      <c r="BR62" s="260">
        <v>1163.8</v>
      </c>
      <c r="BS62" s="260">
        <v>1135</v>
      </c>
      <c r="BT62" s="260">
        <v>1044.8</v>
      </c>
      <c r="BU62" s="260">
        <v>1181.2</v>
      </c>
      <c r="BV62" s="260">
        <v>1035.9000000000001</v>
      </c>
      <c r="BW62" s="260">
        <v>1018</v>
      </c>
      <c r="BX62" s="260">
        <v>1121</v>
      </c>
      <c r="BY62" s="260">
        <v>1111</v>
      </c>
      <c r="BZ62" s="260">
        <v>1126.5999999999999</v>
      </c>
      <c r="CA62" s="260">
        <v>1085.3</v>
      </c>
      <c r="CB62" s="260">
        <v>1028.8</v>
      </c>
      <c r="CC62" s="260">
        <v>1021.6</v>
      </c>
      <c r="CD62" s="260">
        <v>1030.8</v>
      </c>
      <c r="CE62" s="260">
        <v>1028.0999999999999</v>
      </c>
      <c r="CF62" s="260">
        <v>1051.2</v>
      </c>
      <c r="CG62" s="260">
        <v>1034.5999999999999</v>
      </c>
      <c r="CH62" s="260">
        <v>1170.7</v>
      </c>
      <c r="CI62" s="260">
        <v>1150.9000000000001</v>
      </c>
      <c r="CJ62" s="260">
        <v>1173.5</v>
      </c>
      <c r="CK62" s="260">
        <v>1029.7</v>
      </c>
      <c r="CL62" s="260">
        <v>1017.4</v>
      </c>
      <c r="CM62" s="260">
        <v>1125</v>
      </c>
      <c r="CN62" s="260">
        <v>1036.5999999999999</v>
      </c>
      <c r="CO62" s="260">
        <v>1039.3</v>
      </c>
      <c r="CP62" s="260">
        <v>1028.3</v>
      </c>
      <c r="CQ62" s="260">
        <v>1041.2</v>
      </c>
      <c r="CR62" s="260">
        <v>1026.8</v>
      </c>
      <c r="CS62" s="260">
        <v>1032.3</v>
      </c>
      <c r="CT62" s="260">
        <v>1044.9000000000001</v>
      </c>
      <c r="CU62" s="260">
        <v>1034.4000000000001</v>
      </c>
      <c r="CV62" s="260">
        <v>1027.8</v>
      </c>
      <c r="CW62" s="260">
        <v>1017</v>
      </c>
      <c r="CX62" s="260">
        <v>1066.2</v>
      </c>
      <c r="CY62" s="260">
        <v>1091.2</v>
      </c>
      <c r="CZ62" s="260">
        <v>1055.4000000000001</v>
      </c>
      <c r="DA62" s="260">
        <v>1045.7</v>
      </c>
      <c r="DB62" s="260">
        <v>1156.2</v>
      </c>
      <c r="DC62" s="260">
        <v>1018</v>
      </c>
      <c r="DD62" s="260">
        <v>1013.7</v>
      </c>
      <c r="DE62" s="260">
        <v>1040.9000000000001</v>
      </c>
      <c r="DF62" s="260">
        <v>1025.4000000000001</v>
      </c>
      <c r="DG62" s="260">
        <v>1031.3</v>
      </c>
      <c r="DH62" s="260">
        <v>1058.0999999999999</v>
      </c>
      <c r="DI62" s="260">
        <v>1025.9000000000001</v>
      </c>
      <c r="DJ62" s="260">
        <v>1044.5999999999999</v>
      </c>
      <c r="DK62" s="260">
        <v>1023.4</v>
      </c>
      <c r="DL62" s="260">
        <v>1170.0999999999999</v>
      </c>
      <c r="DM62" s="260">
        <v>1039.5</v>
      </c>
      <c r="DN62" s="260">
        <v>1226.2</v>
      </c>
      <c r="DO62" s="260">
        <v>1149.7</v>
      </c>
      <c r="DP62" s="260">
        <v>1041.9000000000001</v>
      </c>
      <c r="DQ62" s="260">
        <v>1154.5</v>
      </c>
      <c r="DR62" s="260">
        <v>1120.3</v>
      </c>
      <c r="DS62" s="260">
        <v>1107.8</v>
      </c>
      <c r="DT62" s="260">
        <v>1170</v>
      </c>
      <c r="DU62" s="260">
        <v>1160.0999999999999</v>
      </c>
      <c r="DV62" s="260">
        <v>1033.7</v>
      </c>
      <c r="DW62" s="260">
        <v>1019.7</v>
      </c>
      <c r="DX62" s="260">
        <v>1145.9000000000001</v>
      </c>
      <c r="DY62" s="260">
        <v>1161.3</v>
      </c>
      <c r="DZ62" s="260">
        <v>1154</v>
      </c>
      <c r="EA62" s="260">
        <v>1038.3</v>
      </c>
      <c r="EB62" s="260">
        <v>1054.7</v>
      </c>
      <c r="EC62" s="260">
        <v>1121.5999999999999</v>
      </c>
      <c r="ED62" s="260">
        <v>1090.7</v>
      </c>
      <c r="EE62" s="260">
        <v>1039.2</v>
      </c>
      <c r="EF62" s="260">
        <v>1045.4000000000001</v>
      </c>
      <c r="EG62" s="260">
        <v>1183</v>
      </c>
      <c r="EH62" s="260">
        <v>1009</v>
      </c>
      <c r="EI62" s="260">
        <v>1011.6</v>
      </c>
      <c r="EJ62" s="260">
        <v>1166.8</v>
      </c>
      <c r="EK62" s="260">
        <v>1152.3</v>
      </c>
      <c r="EL62" s="260">
        <v>1110.8</v>
      </c>
      <c r="EM62" s="260">
        <v>1116.4000000000001</v>
      </c>
      <c r="EN62" s="260">
        <v>1113</v>
      </c>
      <c r="EO62" s="260">
        <v>952.5</v>
      </c>
      <c r="EP62" s="260">
        <v>1170.0999999999999</v>
      </c>
      <c r="EQ62" s="260">
        <v>1088.4000000000001</v>
      </c>
      <c r="ER62" s="260">
        <v>1124.5999999999999</v>
      </c>
      <c r="ES62" s="260">
        <v>1118.5</v>
      </c>
      <c r="ET62" s="260">
        <v>1100.8</v>
      </c>
      <c r="EU62" s="260">
        <v>1039.3</v>
      </c>
      <c r="EV62" s="260">
        <v>1098.8</v>
      </c>
      <c r="EW62" s="260">
        <v>1101.5</v>
      </c>
      <c r="EX62" s="260">
        <v>1032.7</v>
      </c>
      <c r="EY62" s="260">
        <v>1133.3599999999999</v>
      </c>
      <c r="EZ62" s="260">
        <v>1008.1</v>
      </c>
      <c r="FA62" s="260">
        <v>1097.9000000000001</v>
      </c>
      <c r="FB62" s="260">
        <v>1027.7</v>
      </c>
      <c r="FC62" s="260">
        <v>958.6</v>
      </c>
      <c r="FD62" s="260">
        <v>1066.5</v>
      </c>
      <c r="FE62" s="260">
        <v>1126.5999999999999</v>
      </c>
      <c r="FF62" s="260">
        <v>1130.3</v>
      </c>
      <c r="FG62" s="260">
        <v>1036</v>
      </c>
      <c r="FH62" s="260">
        <v>1184.9000000000001</v>
      </c>
      <c r="FI62" s="260">
        <v>1038.5</v>
      </c>
      <c r="FJ62" s="260">
        <v>1022.8</v>
      </c>
      <c r="FK62" s="260">
        <v>1015.3</v>
      </c>
      <c r="FL62" s="260">
        <v>1025.5</v>
      </c>
      <c r="FM62" s="260">
        <v>1019.4</v>
      </c>
      <c r="FN62" s="260">
        <v>1018.1</v>
      </c>
      <c r="FO62" s="260">
        <v>988.5</v>
      </c>
      <c r="FP62" s="260">
        <v>1142.9000000000001</v>
      </c>
      <c r="FQ62" s="260">
        <v>1011.9</v>
      </c>
      <c r="FR62" s="260">
        <v>1112.8</v>
      </c>
      <c r="FS62" s="260">
        <v>1121.2</v>
      </c>
      <c r="FT62" s="260">
        <v>1122.5</v>
      </c>
      <c r="FU62" s="260">
        <v>1034.7</v>
      </c>
      <c r="FV62" s="260">
        <v>1004.2</v>
      </c>
      <c r="FW62" s="260">
        <v>1151.5999999999999</v>
      </c>
      <c r="FX62" s="260">
        <v>1030.7</v>
      </c>
      <c r="FY62" s="260">
        <v>1031.0999999999999</v>
      </c>
      <c r="FZ62" s="260">
        <v>1043.9000000000001</v>
      </c>
      <c r="GA62" s="260">
        <v>1028.5999999999999</v>
      </c>
      <c r="GB62" s="260">
        <v>1145.5</v>
      </c>
      <c r="GC62" s="260">
        <v>1064.7</v>
      </c>
      <c r="GD62" s="260">
        <v>1123.0999999999999</v>
      </c>
      <c r="GE62" s="260">
        <v>1004.6</v>
      </c>
      <c r="GF62" s="260">
        <v>1012.1</v>
      </c>
      <c r="GG62" s="260">
        <v>997.2</v>
      </c>
      <c r="GH62" s="260">
        <v>1121.2</v>
      </c>
      <c r="GI62" s="260">
        <v>1031.5</v>
      </c>
      <c r="GJ62" s="260">
        <v>1080.5999999999999</v>
      </c>
      <c r="GK62" s="260">
        <v>1128.2</v>
      </c>
      <c r="GL62" s="260">
        <v>1110.3</v>
      </c>
      <c r="GM62" s="260">
        <v>1106.5999999999999</v>
      </c>
      <c r="GN62" s="260">
        <v>1101</v>
      </c>
      <c r="GO62" s="260">
        <v>1118.0999999999999</v>
      </c>
      <c r="GP62" s="260">
        <v>1059.8</v>
      </c>
      <c r="GQ62" s="260">
        <v>1042.5999999999999</v>
      </c>
      <c r="GR62" s="260">
        <v>1037.5999999999999</v>
      </c>
      <c r="GS62" s="260">
        <v>1087.8</v>
      </c>
      <c r="GT62" s="260">
        <v>1014.2</v>
      </c>
      <c r="GU62" s="260">
        <v>1005.1</v>
      </c>
      <c r="GV62" s="260">
        <v>1012.1</v>
      </c>
      <c r="GW62" s="260">
        <v>1030</v>
      </c>
      <c r="GX62" s="260">
        <v>1026.4000000000001</v>
      </c>
      <c r="GY62" s="260">
        <v>1031.8</v>
      </c>
      <c r="GZ62" s="260">
        <v>866.9</v>
      </c>
      <c r="HA62" s="260">
        <v>1054.4000000000001</v>
      </c>
      <c r="HB62" s="260"/>
      <c r="HC62" s="260"/>
      <c r="HD62" s="260">
        <v>935.5</v>
      </c>
      <c r="HE62" s="260">
        <v>729.4</v>
      </c>
      <c r="HF62" s="260">
        <v>1030.4000000000001</v>
      </c>
      <c r="HG62" s="260"/>
      <c r="HH62" s="260">
        <v>1113.5</v>
      </c>
      <c r="HI62" s="260">
        <v>999.4</v>
      </c>
      <c r="HJ62" s="260">
        <v>1034.4000000000001</v>
      </c>
      <c r="HK62" s="260">
        <v>869.6</v>
      </c>
      <c r="HL62" s="260">
        <v>1027.7</v>
      </c>
      <c r="HM62" s="260">
        <v>1033.3</v>
      </c>
      <c r="HN62" s="260">
        <v>1039.5999999999999</v>
      </c>
      <c r="HO62" s="260">
        <v>1038.3</v>
      </c>
      <c r="HP62" s="260">
        <v>1041.5</v>
      </c>
      <c r="HQ62" s="260">
        <v>1060.5999999999999</v>
      </c>
      <c r="HR62" s="260">
        <v>1035.0999999999999</v>
      </c>
      <c r="HS62" s="260">
        <v>1044.8</v>
      </c>
      <c r="HT62" s="260">
        <v>1164</v>
      </c>
      <c r="HU62" s="260">
        <v>1187.0999999999999</v>
      </c>
      <c r="HV62" s="260">
        <v>960.6</v>
      </c>
      <c r="HW62" s="260">
        <v>924.7</v>
      </c>
      <c r="HX62" s="260">
        <v>800.2</v>
      </c>
      <c r="HY62" s="260">
        <v>677</v>
      </c>
      <c r="HZ62" s="260">
        <v>769.6</v>
      </c>
      <c r="IA62" s="260">
        <v>883.5</v>
      </c>
      <c r="IB62" s="260">
        <v>1025.9000000000001</v>
      </c>
      <c r="IC62" s="260">
        <v>1104.2</v>
      </c>
      <c r="ID62" s="260">
        <v>1050.4000000000001</v>
      </c>
      <c r="IE62" s="260">
        <v>1041.3</v>
      </c>
      <c r="IF62" s="260">
        <v>1019.4</v>
      </c>
      <c r="IG62" s="260">
        <v>1055.5</v>
      </c>
      <c r="IH62" s="260">
        <v>1098.2</v>
      </c>
      <c r="II62" s="260">
        <v>1086.8</v>
      </c>
      <c r="IJ62" s="260">
        <v>927.1</v>
      </c>
      <c r="IK62" s="260">
        <v>998.7</v>
      </c>
      <c r="IL62" s="260">
        <v>931.8</v>
      </c>
      <c r="IM62" s="260">
        <v>962.9</v>
      </c>
      <c r="IN62" s="260">
        <v>897</v>
      </c>
      <c r="IO62" s="260"/>
      <c r="IP62" s="260">
        <v>1450.1</v>
      </c>
      <c r="IQ62" s="260">
        <v>1098.4000000000001</v>
      </c>
      <c r="IR62" s="260">
        <v>411.5</v>
      </c>
      <c r="IS62" s="260">
        <v>1007.7</v>
      </c>
      <c r="IT62" s="260">
        <v>975.9</v>
      </c>
      <c r="IU62" s="260"/>
      <c r="IV62" s="260"/>
      <c r="IW62" s="260">
        <v>1030.0999999999999</v>
      </c>
      <c r="IX62" s="260">
        <v>1075.5</v>
      </c>
      <c r="IY62" s="260">
        <v>1063.4000000000001</v>
      </c>
      <c r="IZ62" s="260">
        <v>993.6</v>
      </c>
      <c r="JA62" s="260">
        <v>920.1</v>
      </c>
      <c r="JB62" s="289">
        <v>32.47</v>
      </c>
      <c r="JC62" s="289">
        <v>39.01</v>
      </c>
      <c r="JD62" s="289">
        <v>3.18</v>
      </c>
      <c r="JE62" s="289">
        <v>8.3000000000000007</v>
      </c>
      <c r="JF62" s="289"/>
      <c r="JG62" s="289">
        <v>5.25</v>
      </c>
      <c r="JH62" s="259">
        <v>4.8099999999999996</v>
      </c>
      <c r="JI62" s="290"/>
      <c r="JJ62" s="290"/>
      <c r="JK62" s="260">
        <v>85506921.011999995</v>
      </c>
      <c r="JL62" s="264">
        <v>282398.79200000002</v>
      </c>
      <c r="JM62" s="260">
        <v>58515310.987999998</v>
      </c>
      <c r="JN62" s="264">
        <v>62059.540999999997</v>
      </c>
      <c r="JO62" s="260">
        <v>86282183.959000006</v>
      </c>
      <c r="JP62" s="264">
        <v>187508.614</v>
      </c>
      <c r="JQ62" s="260">
        <v>62591209.703000002</v>
      </c>
      <c r="JR62" s="264">
        <v>56252.627</v>
      </c>
      <c r="JS62" s="289">
        <v>324002684.18099999</v>
      </c>
      <c r="JT62" s="296">
        <v>85402.816999999995</v>
      </c>
      <c r="JU62" s="283">
        <f t="shared" ref="JU62" si="248">IF((JK62-JK61)&lt;0,"",(JK62-JK61))</f>
        <v>69133.442999988794</v>
      </c>
      <c r="JV62" s="283">
        <f t="shared" ref="JV62" si="249">IF((JL62-JL61)&lt;0,"",(JL62-JL61))</f>
        <v>63.118000000016764</v>
      </c>
      <c r="JW62" s="283">
        <f t="shared" ref="JW62" si="250">IF((JM62-JM61)&lt;0,"",(JM62-JM61))</f>
        <v>66332.265999995172</v>
      </c>
      <c r="JX62" s="283">
        <f t="shared" ref="JX62" si="251">IF((JN62-JN61)&lt;0,"",(JN62-JN61))</f>
        <v>60.748999999996158</v>
      </c>
      <c r="JY62" s="284">
        <f t="shared" ref="JY62" si="252">IF((JO62-JO61)&lt;0,"",(JO62-JO61))</f>
        <v>68234.103000000119</v>
      </c>
      <c r="JZ62" s="284">
        <f t="shared" ref="JZ62" si="253">IF((JP62-JP61)&lt;0,"",(JP62-JP61))</f>
        <v>63.570999999996275</v>
      </c>
      <c r="KA62" s="284">
        <f t="shared" ref="KA62" si="254">IF((JQ62-JQ61)&lt;0,"",(JQ62-JQ61))</f>
        <v>52835.538000002503</v>
      </c>
      <c r="KB62" s="284">
        <f t="shared" ref="KB62" si="255">IF((JR62-JR61)&lt;0,"",(JR62-JR61))</f>
        <v>70.756999999997788</v>
      </c>
      <c r="KC62" s="283">
        <f t="shared" ref="KC62" si="256">IF((JS62-JS61)&lt;0,"",(JS62-JS61))</f>
        <v>256383.48600000143</v>
      </c>
      <c r="KD62" s="283">
        <f t="shared" ref="KD62" si="257">IF((JT62-JT61)&lt;0,"",(JT62-JT61))</f>
        <v>160.84900000000198</v>
      </c>
      <c r="KE62" s="291">
        <f t="shared" si="206"/>
        <v>135341.84199998394</v>
      </c>
      <c r="KF62" s="291">
        <f t="shared" si="207"/>
        <v>256222.63700000144</v>
      </c>
      <c r="KG62" s="292">
        <f>(RD[[#This Row],[Sunset Time (POA&lt;20 W/m2)]]-RD[[#This Row],[Sunrise Time (POA&gt;20 W/m2)]])*24</f>
        <v>13.283333333333331</v>
      </c>
      <c r="KH62" s="293">
        <f>RD[[#This Row],[GHI ]]</f>
        <v>5.25</v>
      </c>
      <c r="KI62" s="293">
        <f>RD[[#This Row],[POA]]</f>
        <v>4.8099999999999996</v>
      </c>
      <c r="KJ62" s="293">
        <f>RD[[#This Row],[AT (°C) 14 Hours]]</f>
        <v>32.47</v>
      </c>
      <c r="KK62" s="293">
        <f>RD[[#This Row],[MT (°C) Gen. Hours]]</f>
        <v>39.01</v>
      </c>
      <c r="KL62" s="293">
        <f>RD[[#This Row],[WS_Avg (m/s) (24 Hours)]]</f>
        <v>3.18</v>
      </c>
      <c r="KM62" s="293">
        <f>RD[[#This Row],[WS_Max (m/s)]]</f>
        <v>8.3000000000000007</v>
      </c>
      <c r="KN62" s="294">
        <f>SUM(RD[[#This Row],[BLK1_INV1]:[BLK8_INV28]])</f>
        <v>258237.06000000003</v>
      </c>
      <c r="KO62" s="95"/>
      <c r="KP62" s="55"/>
      <c r="KQ62" s="90" t="str">
        <f>IFERROR(RD[[#This Row],[WPR_Eac]]/RD[[#This Row],[WPR_Edc]],"")</f>
        <v/>
      </c>
    </row>
    <row r="63" spans="2:303" ht="15" customHeight="1" x14ac:dyDescent="0.25">
      <c r="B63" s="52">
        <v>45804</v>
      </c>
      <c r="C63" s="9">
        <f>YEAR(RD[[#This Row],[Date]])+IF(MONTH(RD[[#This Row],[Date]])&gt;=4,1,0)</f>
        <v>2026</v>
      </c>
      <c r="D63" s="6">
        <f t="shared" si="204"/>
        <v>2025</v>
      </c>
      <c r="E63" s="7"/>
      <c r="F63" s="7"/>
      <c r="G63" s="8" t="str">
        <f>TEXT(RD[[#This Row],[Date]],"mmm-yy")</f>
        <v>May-25</v>
      </c>
      <c r="H63" s="6">
        <f t="shared" si="205"/>
        <v>31</v>
      </c>
      <c r="I63" s="9">
        <f>'Basic Data '!$S$2</f>
        <v>66750</v>
      </c>
      <c r="J63" s="10">
        <v>0.21527777777777779</v>
      </c>
      <c r="K63" s="10">
        <v>0.7715277777777777</v>
      </c>
      <c r="L63" s="260">
        <v>1358.8</v>
      </c>
      <c r="M63" s="260">
        <v>1320.4</v>
      </c>
      <c r="N63" s="260">
        <v>1274</v>
      </c>
      <c r="O63" s="260">
        <v>1270.5999999999999</v>
      </c>
      <c r="P63" s="260">
        <v>1315.6</v>
      </c>
      <c r="Q63" s="260">
        <v>1266.5</v>
      </c>
      <c r="R63" s="260">
        <v>1263</v>
      </c>
      <c r="S63" s="260">
        <v>1270</v>
      </c>
      <c r="T63" s="260">
        <v>1311.4</v>
      </c>
      <c r="U63" s="260">
        <v>1321.7</v>
      </c>
      <c r="V63" s="260">
        <v>1286.2</v>
      </c>
      <c r="W63" s="260">
        <v>1280.9000000000001</v>
      </c>
      <c r="X63" s="260">
        <v>1266.5</v>
      </c>
      <c r="Y63" s="260">
        <v>1190.4000000000001</v>
      </c>
      <c r="Z63" s="260">
        <v>1264</v>
      </c>
      <c r="AA63" s="260">
        <v>1261.4000000000001</v>
      </c>
      <c r="AB63" s="260">
        <v>1179.8</v>
      </c>
      <c r="AC63" s="260">
        <v>1154.3</v>
      </c>
      <c r="AD63" s="260">
        <v>1250.9000000000001</v>
      </c>
      <c r="AE63" s="260">
        <v>1253.7</v>
      </c>
      <c r="AF63" s="260">
        <v>1168.7</v>
      </c>
      <c r="AG63" s="260">
        <v>1171.8</v>
      </c>
      <c r="AH63" s="260">
        <v>1255.9000000000001</v>
      </c>
      <c r="AI63" s="260">
        <v>1316.7</v>
      </c>
      <c r="AJ63" s="260">
        <v>1260.4000000000001</v>
      </c>
      <c r="AK63" s="260">
        <v>1276.0999999999999</v>
      </c>
      <c r="AL63" s="260">
        <v>1267.5999999999999</v>
      </c>
      <c r="AM63" s="260">
        <v>1311.2</v>
      </c>
      <c r="AN63" s="260">
        <v>1302</v>
      </c>
      <c r="AO63" s="260">
        <v>1318.8</v>
      </c>
      <c r="AP63" s="260">
        <v>1300.9000000000001</v>
      </c>
      <c r="AQ63" s="260">
        <v>1310</v>
      </c>
      <c r="AR63" s="260">
        <v>1167.4000000000001</v>
      </c>
      <c r="AS63" s="260">
        <v>1529.4</v>
      </c>
      <c r="AT63" s="260">
        <v>1211.3</v>
      </c>
      <c r="AU63" s="260">
        <v>1398.5</v>
      </c>
      <c r="AV63" s="260">
        <v>1251.7</v>
      </c>
      <c r="AW63" s="260">
        <v>1217.0999999999999</v>
      </c>
      <c r="AX63" s="260">
        <v>1235.5</v>
      </c>
      <c r="AY63" s="260">
        <v>1261</v>
      </c>
      <c r="AZ63" s="260">
        <v>1243</v>
      </c>
      <c r="BA63" s="260">
        <v>1216.3</v>
      </c>
      <c r="BB63" s="260">
        <v>1237.3</v>
      </c>
      <c r="BC63" s="260">
        <v>1211.8</v>
      </c>
      <c r="BD63" s="260">
        <v>1229.5999999999999</v>
      </c>
      <c r="BE63" s="260">
        <v>1234.5999999999999</v>
      </c>
      <c r="BF63" s="260">
        <v>1341.7</v>
      </c>
      <c r="BG63" s="260">
        <v>1228.3</v>
      </c>
      <c r="BH63" s="260">
        <v>1264.7</v>
      </c>
      <c r="BI63" s="260">
        <v>1265.5</v>
      </c>
      <c r="BJ63" s="260">
        <v>1209.5999999999999</v>
      </c>
      <c r="BK63" s="260">
        <v>1228.5</v>
      </c>
      <c r="BL63" s="260">
        <v>1415.9</v>
      </c>
      <c r="BM63" s="260">
        <v>1389.8</v>
      </c>
      <c r="BN63" s="260">
        <v>1341.4</v>
      </c>
      <c r="BO63" s="260">
        <v>1427.3</v>
      </c>
      <c r="BP63" s="260">
        <v>1421.7</v>
      </c>
      <c r="BQ63" s="260">
        <v>1267.0999999999999</v>
      </c>
      <c r="BR63" s="260">
        <v>1407.2</v>
      </c>
      <c r="BS63" s="260">
        <v>1372.4</v>
      </c>
      <c r="BT63" s="260">
        <v>1258.5</v>
      </c>
      <c r="BU63" s="260">
        <v>1422.6</v>
      </c>
      <c r="BV63" s="260">
        <v>1235.5999999999999</v>
      </c>
      <c r="BW63" s="260">
        <v>1201.5</v>
      </c>
      <c r="BX63" s="260">
        <v>1340.5</v>
      </c>
      <c r="BY63" s="260">
        <v>1331.7</v>
      </c>
      <c r="BZ63" s="260">
        <v>1339.8</v>
      </c>
      <c r="CA63" s="260">
        <v>1314.6</v>
      </c>
      <c r="CB63" s="260">
        <v>1233.2</v>
      </c>
      <c r="CC63" s="260">
        <v>1227.9000000000001</v>
      </c>
      <c r="CD63" s="260">
        <v>1224</v>
      </c>
      <c r="CE63" s="260">
        <v>1217.0999999999999</v>
      </c>
      <c r="CF63" s="260">
        <v>1261.0999999999999</v>
      </c>
      <c r="CG63" s="260">
        <v>1236.4000000000001</v>
      </c>
      <c r="CH63" s="260">
        <v>1406.2</v>
      </c>
      <c r="CI63" s="260">
        <v>1384.1</v>
      </c>
      <c r="CJ63" s="260">
        <v>1404</v>
      </c>
      <c r="CK63" s="260">
        <v>1233</v>
      </c>
      <c r="CL63" s="260">
        <v>1219.4000000000001</v>
      </c>
      <c r="CM63" s="260">
        <v>1330.1</v>
      </c>
      <c r="CN63" s="260">
        <v>1240.4000000000001</v>
      </c>
      <c r="CO63" s="260">
        <v>1244.7</v>
      </c>
      <c r="CP63" s="260">
        <v>1225.5</v>
      </c>
      <c r="CQ63" s="260">
        <v>1247</v>
      </c>
      <c r="CR63" s="260">
        <v>1226.2</v>
      </c>
      <c r="CS63" s="260">
        <v>1225.0999999999999</v>
      </c>
      <c r="CT63" s="260">
        <v>1236.8</v>
      </c>
      <c r="CU63" s="260">
        <v>1228.0999999999999</v>
      </c>
      <c r="CV63" s="260">
        <v>1215.0999999999999</v>
      </c>
      <c r="CW63" s="260">
        <v>1207.0999999999999</v>
      </c>
      <c r="CX63" s="260">
        <v>1265.5</v>
      </c>
      <c r="CY63" s="260">
        <v>1332.5</v>
      </c>
      <c r="CZ63" s="260">
        <v>1251.3</v>
      </c>
      <c r="DA63" s="260">
        <v>1248.5999999999999</v>
      </c>
      <c r="DB63" s="260">
        <v>1378.3</v>
      </c>
      <c r="DC63" s="260">
        <v>1228.3</v>
      </c>
      <c r="DD63" s="260">
        <v>1225.7</v>
      </c>
      <c r="DE63" s="260">
        <v>1254.7</v>
      </c>
      <c r="DF63" s="260">
        <v>1246.5</v>
      </c>
      <c r="DG63" s="260">
        <v>1246.5</v>
      </c>
      <c r="DH63" s="260">
        <v>1281.7</v>
      </c>
      <c r="DI63" s="260">
        <v>1250.8</v>
      </c>
      <c r="DJ63" s="260">
        <v>1276.4000000000001</v>
      </c>
      <c r="DK63" s="260">
        <v>1249.4000000000001</v>
      </c>
      <c r="DL63" s="260">
        <v>1419.8</v>
      </c>
      <c r="DM63" s="260">
        <v>1257.8</v>
      </c>
      <c r="DN63" s="260">
        <v>1485.2</v>
      </c>
      <c r="DO63" s="260">
        <v>1385.5</v>
      </c>
      <c r="DP63" s="260">
        <v>1255.4000000000001</v>
      </c>
      <c r="DQ63" s="260">
        <v>1363.7</v>
      </c>
      <c r="DR63" s="260">
        <v>1341.7</v>
      </c>
      <c r="DS63" s="260">
        <v>1323.3</v>
      </c>
      <c r="DT63" s="260">
        <v>1391.4</v>
      </c>
      <c r="DU63" s="260">
        <v>1393.4</v>
      </c>
      <c r="DV63" s="260">
        <v>1247.2</v>
      </c>
      <c r="DW63" s="260">
        <v>1212.5999999999999</v>
      </c>
      <c r="DX63" s="260">
        <v>1375.3</v>
      </c>
      <c r="DY63" s="260">
        <v>1375.5</v>
      </c>
      <c r="DZ63" s="260">
        <v>1373.8</v>
      </c>
      <c r="EA63" s="260">
        <v>1242.0999999999999</v>
      </c>
      <c r="EB63" s="260">
        <v>1265.7</v>
      </c>
      <c r="EC63" s="260">
        <v>1357.5</v>
      </c>
      <c r="ED63" s="260">
        <v>1361.5</v>
      </c>
      <c r="EE63" s="260">
        <v>1254.7</v>
      </c>
      <c r="EF63" s="260">
        <v>1259.5999999999999</v>
      </c>
      <c r="EG63" s="260">
        <v>1408.6</v>
      </c>
      <c r="EH63" s="260">
        <v>1145.4000000000001</v>
      </c>
      <c r="EI63" s="260">
        <v>1139.9000000000001</v>
      </c>
      <c r="EJ63" s="260">
        <v>1406</v>
      </c>
      <c r="EK63" s="260">
        <v>1390.7</v>
      </c>
      <c r="EL63" s="260">
        <v>1355.6</v>
      </c>
      <c r="EM63" s="260">
        <v>1359.1</v>
      </c>
      <c r="EN63" s="260">
        <v>1352.8</v>
      </c>
      <c r="EO63" s="260">
        <v>1159.0999999999999</v>
      </c>
      <c r="EP63" s="260">
        <v>1437.4</v>
      </c>
      <c r="EQ63" s="260">
        <v>1329.7</v>
      </c>
      <c r="ER63" s="260">
        <v>1389.7</v>
      </c>
      <c r="ES63" s="260">
        <v>1377.5</v>
      </c>
      <c r="ET63" s="260">
        <v>1374.5</v>
      </c>
      <c r="EU63" s="260">
        <v>1293.2</v>
      </c>
      <c r="EV63" s="260">
        <v>1339.2</v>
      </c>
      <c r="EW63" s="260">
        <v>1340.7</v>
      </c>
      <c r="EX63" s="260">
        <v>1297.4000000000001</v>
      </c>
      <c r="EY63" s="260">
        <v>1405.1</v>
      </c>
      <c r="EZ63" s="260">
        <v>1257.0999999999999</v>
      </c>
      <c r="FA63" s="260">
        <v>1322.1</v>
      </c>
      <c r="FB63" s="260">
        <v>1264.2</v>
      </c>
      <c r="FC63" s="260">
        <v>1178.9000000000001</v>
      </c>
      <c r="FD63" s="260">
        <v>1367.3</v>
      </c>
      <c r="FE63" s="260">
        <v>1380</v>
      </c>
      <c r="FF63" s="260">
        <v>1394.4</v>
      </c>
      <c r="FG63" s="260">
        <v>1273.5</v>
      </c>
      <c r="FH63" s="260">
        <v>1443</v>
      </c>
      <c r="FI63" s="260">
        <v>1272.9000000000001</v>
      </c>
      <c r="FJ63" s="260">
        <v>1245.9000000000001</v>
      </c>
      <c r="FK63" s="260">
        <v>1237.0999999999999</v>
      </c>
      <c r="FL63" s="260">
        <v>1239.3</v>
      </c>
      <c r="FM63" s="260">
        <v>1169.5</v>
      </c>
      <c r="FN63" s="260">
        <v>1264.5</v>
      </c>
      <c r="FO63" s="260">
        <v>1255.0999999999999</v>
      </c>
      <c r="FP63" s="260">
        <v>1414.3</v>
      </c>
      <c r="FQ63" s="260">
        <v>1222.4000000000001</v>
      </c>
      <c r="FR63" s="260">
        <v>1398.7</v>
      </c>
      <c r="FS63" s="260">
        <v>1355.7</v>
      </c>
      <c r="FT63" s="260">
        <v>1400.2</v>
      </c>
      <c r="FU63" s="260">
        <v>1260.0999999999999</v>
      </c>
      <c r="FV63" s="260">
        <v>1245.5</v>
      </c>
      <c r="FW63" s="260">
        <v>1422.2</v>
      </c>
      <c r="FX63" s="260">
        <v>1277.9000000000001</v>
      </c>
      <c r="FY63" s="260">
        <v>1270.7</v>
      </c>
      <c r="FZ63" s="260">
        <v>1290</v>
      </c>
      <c r="GA63" s="260">
        <v>1265.7</v>
      </c>
      <c r="GB63" s="260">
        <v>1406.8</v>
      </c>
      <c r="GC63" s="260">
        <v>1311.2</v>
      </c>
      <c r="GD63" s="260">
        <v>1370.2</v>
      </c>
      <c r="GE63" s="260">
        <v>1247.3</v>
      </c>
      <c r="GF63" s="260">
        <v>1245.5999999999999</v>
      </c>
      <c r="GG63" s="260">
        <v>1234.4000000000001</v>
      </c>
      <c r="GH63" s="260">
        <v>1395.3</v>
      </c>
      <c r="GI63" s="260">
        <v>1277.5999999999999</v>
      </c>
      <c r="GJ63" s="260">
        <v>1332.5</v>
      </c>
      <c r="GK63" s="260">
        <v>1359.1</v>
      </c>
      <c r="GL63" s="260">
        <v>1392.7</v>
      </c>
      <c r="GM63" s="260">
        <v>1380.3</v>
      </c>
      <c r="GN63" s="260">
        <v>1365.8</v>
      </c>
      <c r="GO63" s="260">
        <v>1352.6</v>
      </c>
      <c r="GP63" s="260">
        <v>1308.5</v>
      </c>
      <c r="GQ63" s="260">
        <v>1267.8</v>
      </c>
      <c r="GR63" s="260">
        <v>1244.5</v>
      </c>
      <c r="GS63" s="260">
        <v>1332</v>
      </c>
      <c r="GT63" s="260">
        <v>1216.0999999999999</v>
      </c>
      <c r="GU63" s="260">
        <v>1205.0999999999999</v>
      </c>
      <c r="GV63" s="260">
        <v>1237.4000000000001</v>
      </c>
      <c r="GW63" s="260">
        <v>1240.5</v>
      </c>
      <c r="GX63" s="260">
        <v>1242.0999999999999</v>
      </c>
      <c r="GY63" s="260">
        <v>1250.7</v>
      </c>
      <c r="GZ63" s="260">
        <v>1049.4000000000001</v>
      </c>
      <c r="HA63" s="260">
        <v>1277.7</v>
      </c>
      <c r="HB63" s="260"/>
      <c r="HC63" s="260"/>
      <c r="HD63" s="260">
        <v>1121</v>
      </c>
      <c r="HE63" s="260">
        <v>870.3</v>
      </c>
      <c r="HF63" s="260">
        <v>1238.7</v>
      </c>
      <c r="HG63" s="260"/>
      <c r="HH63" s="260">
        <v>1353</v>
      </c>
      <c r="HI63" s="260">
        <v>1218.0999999999999</v>
      </c>
      <c r="HJ63" s="260">
        <v>1232.5</v>
      </c>
      <c r="HK63" s="260">
        <v>1223.5</v>
      </c>
      <c r="HL63" s="260">
        <v>1230</v>
      </c>
      <c r="HM63" s="260">
        <v>1232.2</v>
      </c>
      <c r="HN63" s="260">
        <v>1261</v>
      </c>
      <c r="HO63" s="260">
        <v>1247.0999999999999</v>
      </c>
      <c r="HP63" s="260">
        <v>1264.2</v>
      </c>
      <c r="HQ63" s="260">
        <v>1274.7</v>
      </c>
      <c r="HR63" s="260">
        <v>1254.8</v>
      </c>
      <c r="HS63" s="260">
        <v>1262.5999999999999</v>
      </c>
      <c r="HT63" s="260">
        <v>1404.3</v>
      </c>
      <c r="HU63" s="260">
        <v>1429</v>
      </c>
      <c r="HV63" s="260">
        <v>1146</v>
      </c>
      <c r="HW63" s="260">
        <v>1116.8</v>
      </c>
      <c r="HX63" s="260">
        <v>960.4</v>
      </c>
      <c r="HY63" s="260">
        <v>811.1</v>
      </c>
      <c r="HZ63" s="260">
        <v>955.1</v>
      </c>
      <c r="IA63" s="260">
        <v>1101.0999999999999</v>
      </c>
      <c r="IB63" s="260">
        <v>1293.0999999999999</v>
      </c>
      <c r="IC63" s="260">
        <v>1380.9</v>
      </c>
      <c r="ID63" s="260">
        <v>1324.4</v>
      </c>
      <c r="IE63" s="260">
        <v>1321.1</v>
      </c>
      <c r="IF63" s="260">
        <v>1313.5</v>
      </c>
      <c r="IG63" s="260">
        <v>1366</v>
      </c>
      <c r="IH63" s="260">
        <v>1376.1</v>
      </c>
      <c r="II63" s="260">
        <v>1364.1</v>
      </c>
      <c r="IJ63" s="260">
        <v>1190.0999999999999</v>
      </c>
      <c r="IK63" s="260">
        <v>1268.0999999999999</v>
      </c>
      <c r="IL63" s="260">
        <v>1212.0999999999999</v>
      </c>
      <c r="IM63" s="260">
        <v>1223.0999999999999</v>
      </c>
      <c r="IN63" s="260">
        <v>1141.0999999999999</v>
      </c>
      <c r="IO63" s="260"/>
      <c r="IP63" s="260">
        <v>1717.8</v>
      </c>
      <c r="IQ63" s="260">
        <v>1301.4000000000001</v>
      </c>
      <c r="IR63" s="260">
        <v>501.4</v>
      </c>
      <c r="IS63" s="260">
        <v>1212</v>
      </c>
      <c r="IT63" s="260">
        <v>1178.3</v>
      </c>
      <c r="IU63" s="260"/>
      <c r="IV63" s="260"/>
      <c r="IW63" s="260">
        <v>1199.0999999999999</v>
      </c>
      <c r="IX63" s="260">
        <v>1313.1</v>
      </c>
      <c r="IY63" s="260">
        <v>1275.0999999999999</v>
      </c>
      <c r="IZ63" s="260">
        <v>1194.0999999999999</v>
      </c>
      <c r="JA63" s="260">
        <v>1091.7</v>
      </c>
      <c r="JB63" s="289">
        <v>34.17</v>
      </c>
      <c r="JC63" s="289">
        <v>39.270000000000003</v>
      </c>
      <c r="JD63" s="289">
        <v>1.95</v>
      </c>
      <c r="JE63" s="289">
        <v>5.7</v>
      </c>
      <c r="JF63" s="289"/>
      <c r="JG63" s="289">
        <v>6.45</v>
      </c>
      <c r="JH63" s="259">
        <v>5.98</v>
      </c>
      <c r="JI63" s="290"/>
      <c r="JJ63" s="290"/>
      <c r="JK63" s="260">
        <v>85588649.621000007</v>
      </c>
      <c r="JL63" s="260">
        <v>282458.90999999997</v>
      </c>
      <c r="JM63" s="260">
        <v>58594183.414999999</v>
      </c>
      <c r="JN63" s="260">
        <v>62116.29</v>
      </c>
      <c r="JO63" s="260">
        <v>86365956.859999999</v>
      </c>
      <c r="JP63" s="260">
        <v>187568.185</v>
      </c>
      <c r="JQ63" s="260">
        <v>62655291.273999996</v>
      </c>
      <c r="JR63" s="260">
        <v>56322.383999999998</v>
      </c>
      <c r="JS63" s="289">
        <v>324310907.99000001</v>
      </c>
      <c r="JT63" s="289">
        <v>85561.665999999997</v>
      </c>
      <c r="JU63" s="283">
        <f t="shared" ref="JU63" si="258">IF((JK63-JK62)&lt;0,"",(JK63-JK62))</f>
        <v>81728.609000012279</v>
      </c>
      <c r="JV63" s="283">
        <f t="shared" ref="JV63" si="259">IF((JL63-JL62)&lt;0,"",(JL63-JL62))</f>
        <v>60.117999999958556</v>
      </c>
      <c r="JW63" s="283">
        <f t="shared" ref="JW63" si="260">IF((JM63-JM62)&lt;0,"",(JM63-JM62))</f>
        <v>78872.427000001073</v>
      </c>
      <c r="JX63" s="283">
        <f t="shared" ref="JX63" si="261">IF((JN63-JN62)&lt;0,"",(JN63-JN62))</f>
        <v>56.749000000003434</v>
      </c>
      <c r="JY63" s="284">
        <f t="shared" ref="JY63" si="262">IF((JO63-JO62)&lt;0,"",(JO63-JO62))</f>
        <v>83772.900999993086</v>
      </c>
      <c r="JZ63" s="284">
        <f t="shared" ref="JZ63" si="263">IF((JP63-JP62)&lt;0,"",(JP63-JP62))</f>
        <v>59.570999999996275</v>
      </c>
      <c r="KA63" s="284">
        <f t="shared" ref="KA63" si="264">IF((JQ63-JQ62)&lt;0,"",(JQ63-JQ62))</f>
        <v>64081.570999994874</v>
      </c>
      <c r="KB63" s="284">
        <f t="shared" ref="KB63" si="265">IF((JR63-JR62)&lt;0,"",(JR63-JR62))</f>
        <v>69.756999999997788</v>
      </c>
      <c r="KC63" s="283">
        <f t="shared" ref="KC63" si="266">IF((JS63-JS62)&lt;0,"",(JS63-JS62))</f>
        <v>308223.80900001526</v>
      </c>
      <c r="KD63" s="283">
        <f t="shared" ref="KD63" si="267">IF((JT63-JT62)&lt;0,"",(JT63-JT62))</f>
        <v>158.84900000000198</v>
      </c>
      <c r="KE63" s="291">
        <f t="shared" si="206"/>
        <v>160484.16900001338</v>
      </c>
      <c r="KF63" s="291">
        <f t="shared" si="207"/>
        <v>308064.96000001527</v>
      </c>
      <c r="KG63" s="292">
        <f>(RD[[#This Row],[Sunset Time (POA&lt;20 W/m2)]]-RD[[#This Row],[Sunrise Time (POA&gt;20 W/m2)]])*24</f>
        <v>13.349999999999998</v>
      </c>
      <c r="KH63" s="293">
        <f>RD[[#This Row],[GHI ]]</f>
        <v>6.45</v>
      </c>
      <c r="KI63" s="293">
        <f>RD[[#This Row],[POA]]</f>
        <v>5.98</v>
      </c>
      <c r="KJ63" s="293">
        <f>RD[[#This Row],[AT (°C) 14 Hours]]</f>
        <v>34.17</v>
      </c>
      <c r="KK63" s="293">
        <f>RD[[#This Row],[MT (°C) Gen. Hours]]</f>
        <v>39.270000000000003</v>
      </c>
      <c r="KL63" s="293">
        <f>RD[[#This Row],[WS_Avg (m/s) (24 Hours)]]</f>
        <v>1.95</v>
      </c>
      <c r="KM63" s="293">
        <f>RD[[#This Row],[WS_Max (m/s)]]</f>
        <v>5.7</v>
      </c>
      <c r="KN63" s="294">
        <f>SUM(RD[[#This Row],[BLK1_INV1]:[BLK8_INV28]])</f>
        <v>311840.19999999984</v>
      </c>
      <c r="KO63" s="95"/>
      <c r="KP63" s="55"/>
      <c r="KQ63" s="90" t="str">
        <f>IFERROR(RD[[#This Row],[WPR_Eac]]/RD[[#This Row],[WPR_Edc]],"")</f>
        <v/>
      </c>
    </row>
    <row r="64" spans="2:303" ht="15" customHeight="1" x14ac:dyDescent="0.25">
      <c r="B64" s="52">
        <v>45805</v>
      </c>
      <c r="C64" s="9">
        <f>YEAR(RD[[#This Row],[Date]])+IF(MONTH(RD[[#This Row],[Date]])&gt;=4,1,0)</f>
        <v>2026</v>
      </c>
      <c r="D64" s="6">
        <f t="shared" si="204"/>
        <v>2025</v>
      </c>
      <c r="E64" s="7"/>
      <c r="F64" s="7"/>
      <c r="G64" s="8" t="str">
        <f>TEXT(RD[[#This Row],[Date]],"mmm-yy")</f>
        <v>May-25</v>
      </c>
      <c r="H64" s="6">
        <f t="shared" si="205"/>
        <v>31</v>
      </c>
      <c r="I64" s="9">
        <f>'Basic Data '!$S$2</f>
        <v>66750</v>
      </c>
      <c r="J64" s="10">
        <v>0.21249999999999999</v>
      </c>
      <c r="K64" s="10">
        <v>0.7715277777777777</v>
      </c>
      <c r="L64" s="260">
        <v>1052.8</v>
      </c>
      <c r="M64" s="260">
        <v>1019.8</v>
      </c>
      <c r="N64" s="260">
        <v>983.2</v>
      </c>
      <c r="O64" s="260">
        <v>980.7</v>
      </c>
      <c r="P64" s="260">
        <v>1016.2</v>
      </c>
      <c r="Q64" s="260">
        <v>978.1</v>
      </c>
      <c r="R64" s="260">
        <v>981.6</v>
      </c>
      <c r="S64" s="260">
        <v>981.9</v>
      </c>
      <c r="T64" s="260">
        <v>1014</v>
      </c>
      <c r="U64" s="260">
        <v>1017.8</v>
      </c>
      <c r="V64" s="260">
        <v>1000.4</v>
      </c>
      <c r="W64" s="260">
        <v>993.2</v>
      </c>
      <c r="X64" s="260">
        <v>978.5</v>
      </c>
      <c r="Y64" s="260">
        <v>921.5</v>
      </c>
      <c r="Z64" s="260">
        <v>974.5</v>
      </c>
      <c r="AA64" s="260">
        <v>971.2</v>
      </c>
      <c r="AB64" s="260">
        <v>932</v>
      </c>
      <c r="AC64" s="260">
        <v>968.1</v>
      </c>
      <c r="AD64" s="260">
        <v>1046.9000000000001</v>
      </c>
      <c r="AE64" s="260">
        <v>1049.2</v>
      </c>
      <c r="AF64" s="260">
        <v>980.2</v>
      </c>
      <c r="AG64" s="260">
        <v>989.5</v>
      </c>
      <c r="AH64" s="260">
        <v>1073.5</v>
      </c>
      <c r="AI64" s="260">
        <v>1104.4000000000001</v>
      </c>
      <c r="AJ64" s="260">
        <v>1066.9000000000001</v>
      </c>
      <c r="AK64" s="260">
        <v>1060.0999999999999</v>
      </c>
      <c r="AL64" s="260">
        <v>1052.3</v>
      </c>
      <c r="AM64" s="260">
        <v>1090</v>
      </c>
      <c r="AN64" s="260">
        <v>1103.5</v>
      </c>
      <c r="AO64" s="260">
        <v>1087.5999999999999</v>
      </c>
      <c r="AP64" s="260">
        <v>1006.1</v>
      </c>
      <c r="AQ64" s="260">
        <v>1097.5</v>
      </c>
      <c r="AR64" s="260">
        <v>851.4</v>
      </c>
      <c r="AS64" s="260">
        <v>1055.5999999999999</v>
      </c>
      <c r="AT64" s="260">
        <v>954.8</v>
      </c>
      <c r="AU64" s="260">
        <v>1081.5999999999999</v>
      </c>
      <c r="AV64" s="260">
        <v>984.7</v>
      </c>
      <c r="AW64" s="260">
        <v>960.5</v>
      </c>
      <c r="AX64" s="260">
        <v>955.8</v>
      </c>
      <c r="AY64" s="260">
        <v>989.5</v>
      </c>
      <c r="AZ64" s="260">
        <v>971.7</v>
      </c>
      <c r="BA64" s="260">
        <v>963.5</v>
      </c>
      <c r="BB64" s="260">
        <v>977.8</v>
      </c>
      <c r="BC64" s="260">
        <v>960.2</v>
      </c>
      <c r="BD64" s="260">
        <v>977.1</v>
      </c>
      <c r="BE64" s="260">
        <v>985.4</v>
      </c>
      <c r="BF64" s="260">
        <v>1060.4000000000001</v>
      </c>
      <c r="BG64" s="260">
        <v>979.2</v>
      </c>
      <c r="BH64" s="260">
        <v>1009.9</v>
      </c>
      <c r="BI64" s="260">
        <v>991.7</v>
      </c>
      <c r="BJ64" s="260">
        <v>938.5</v>
      </c>
      <c r="BK64" s="260">
        <v>981.3</v>
      </c>
      <c r="BL64" s="260">
        <v>1122.7</v>
      </c>
      <c r="BM64" s="260">
        <v>1103.8</v>
      </c>
      <c r="BN64" s="260">
        <v>1050.5</v>
      </c>
      <c r="BO64" s="260">
        <v>1107.5999999999999</v>
      </c>
      <c r="BP64" s="260">
        <v>1109.3</v>
      </c>
      <c r="BQ64" s="260">
        <v>986.7</v>
      </c>
      <c r="BR64" s="260">
        <v>1093.8</v>
      </c>
      <c r="BS64" s="260">
        <v>1061.7</v>
      </c>
      <c r="BT64" s="260">
        <v>989.5</v>
      </c>
      <c r="BU64" s="260">
        <v>1113.8</v>
      </c>
      <c r="BV64" s="260">
        <v>977.2</v>
      </c>
      <c r="BW64" s="260">
        <v>951.1</v>
      </c>
      <c r="BX64" s="260">
        <v>1054.4000000000001</v>
      </c>
      <c r="BY64" s="260">
        <v>1046.8</v>
      </c>
      <c r="BZ64" s="260">
        <v>1061.5</v>
      </c>
      <c r="CA64" s="260">
        <v>1036.8</v>
      </c>
      <c r="CB64" s="260">
        <v>935.1</v>
      </c>
      <c r="CC64" s="260">
        <v>962.1</v>
      </c>
      <c r="CD64" s="260">
        <v>970.2</v>
      </c>
      <c r="CE64" s="260">
        <v>967.6</v>
      </c>
      <c r="CF64" s="260">
        <v>987</v>
      </c>
      <c r="CG64" s="260">
        <v>969</v>
      </c>
      <c r="CH64" s="260">
        <v>1104.8</v>
      </c>
      <c r="CI64" s="260">
        <v>1085.7</v>
      </c>
      <c r="CJ64" s="260">
        <v>1105.0999999999999</v>
      </c>
      <c r="CK64" s="260">
        <v>971.2</v>
      </c>
      <c r="CL64" s="260">
        <v>955.9</v>
      </c>
      <c r="CM64" s="260">
        <v>1046.0999999999999</v>
      </c>
      <c r="CN64" s="260">
        <v>972.8</v>
      </c>
      <c r="CO64" s="260">
        <v>977.2</v>
      </c>
      <c r="CP64" s="260">
        <v>965.3</v>
      </c>
      <c r="CQ64" s="260">
        <v>979.6</v>
      </c>
      <c r="CR64" s="260">
        <v>962.9</v>
      </c>
      <c r="CS64" s="260">
        <v>967.3</v>
      </c>
      <c r="CT64" s="260">
        <v>978.9</v>
      </c>
      <c r="CU64" s="260">
        <v>969</v>
      </c>
      <c r="CV64" s="260">
        <v>962.6</v>
      </c>
      <c r="CW64" s="260">
        <v>953.3</v>
      </c>
      <c r="CX64" s="260">
        <v>1001.8</v>
      </c>
      <c r="CY64" s="260">
        <v>1049.9000000000001</v>
      </c>
      <c r="CZ64" s="260">
        <v>990.9</v>
      </c>
      <c r="DA64" s="260">
        <v>982.8</v>
      </c>
      <c r="DB64" s="260">
        <v>1089.7</v>
      </c>
      <c r="DC64" s="260">
        <v>958.1</v>
      </c>
      <c r="DD64" s="260">
        <v>961.9</v>
      </c>
      <c r="DE64" s="260">
        <v>978.7</v>
      </c>
      <c r="DF64" s="260">
        <v>974.7</v>
      </c>
      <c r="DG64" s="260">
        <v>971.2</v>
      </c>
      <c r="DH64" s="260">
        <v>998.2</v>
      </c>
      <c r="DI64" s="260">
        <v>974.8</v>
      </c>
      <c r="DJ64" s="260">
        <v>995.7</v>
      </c>
      <c r="DK64" s="260">
        <v>978.7</v>
      </c>
      <c r="DL64" s="260">
        <v>1116.4000000000001</v>
      </c>
      <c r="DM64" s="260">
        <v>986.4</v>
      </c>
      <c r="DN64" s="260">
        <v>1163.4000000000001</v>
      </c>
      <c r="DO64" s="260">
        <v>1085.5999999999999</v>
      </c>
      <c r="DP64" s="260">
        <v>982.6</v>
      </c>
      <c r="DQ64" s="260">
        <v>1083.7</v>
      </c>
      <c r="DR64" s="260">
        <v>1055.8</v>
      </c>
      <c r="DS64" s="260">
        <v>1044.8</v>
      </c>
      <c r="DT64" s="260">
        <v>1096.7</v>
      </c>
      <c r="DU64" s="260">
        <v>1094.9000000000001</v>
      </c>
      <c r="DV64" s="260">
        <v>975.8</v>
      </c>
      <c r="DW64" s="260">
        <v>928.8</v>
      </c>
      <c r="DX64" s="260">
        <v>1082.5</v>
      </c>
      <c r="DY64" s="260">
        <v>1091.8</v>
      </c>
      <c r="DZ64" s="260">
        <v>1087.4000000000001</v>
      </c>
      <c r="EA64" s="260">
        <v>975.4</v>
      </c>
      <c r="EB64" s="260">
        <v>992.6</v>
      </c>
      <c r="EC64" s="260">
        <v>1044.5</v>
      </c>
      <c r="ED64" s="260">
        <v>1013.6</v>
      </c>
      <c r="EE64" s="260">
        <v>977.7</v>
      </c>
      <c r="EF64" s="260">
        <v>984.7</v>
      </c>
      <c r="EG64" s="260">
        <v>1111.5999999999999</v>
      </c>
      <c r="EH64" s="260">
        <v>551.70000000000005</v>
      </c>
      <c r="EI64" s="260">
        <v>586.4</v>
      </c>
      <c r="EJ64" s="260">
        <v>703.7</v>
      </c>
      <c r="EK64" s="260">
        <v>692.8</v>
      </c>
      <c r="EL64" s="260">
        <v>615.20000000000005</v>
      </c>
      <c r="EM64" s="260">
        <v>666.6</v>
      </c>
      <c r="EN64" s="260">
        <v>655.8</v>
      </c>
      <c r="EO64" s="260">
        <v>559.79999999999995</v>
      </c>
      <c r="EP64" s="260">
        <v>684.9</v>
      </c>
      <c r="EQ64" s="260">
        <v>639.79999999999995</v>
      </c>
      <c r="ER64" s="260">
        <v>662</v>
      </c>
      <c r="ES64" s="260">
        <v>656.2</v>
      </c>
      <c r="ET64" s="260">
        <v>646.20000000000005</v>
      </c>
      <c r="EU64" s="260">
        <v>614.20000000000005</v>
      </c>
      <c r="EV64" s="260">
        <v>647.20000000000005</v>
      </c>
      <c r="EW64" s="260">
        <v>643.79999999999995</v>
      </c>
      <c r="EX64" s="260">
        <v>622.29999999999995</v>
      </c>
      <c r="EY64" s="260">
        <v>674</v>
      </c>
      <c r="EZ64" s="260">
        <v>603.29999999999995</v>
      </c>
      <c r="FA64" s="260">
        <v>639.79999999999995</v>
      </c>
      <c r="FB64" s="260">
        <v>617.5</v>
      </c>
      <c r="FC64" s="260">
        <v>580.70000000000005</v>
      </c>
      <c r="FD64" s="260">
        <v>678</v>
      </c>
      <c r="FE64" s="260">
        <v>682.9</v>
      </c>
      <c r="FF64" s="260">
        <v>687.2</v>
      </c>
      <c r="FG64" s="260">
        <v>630.5</v>
      </c>
      <c r="FH64" s="260">
        <v>715.8</v>
      </c>
      <c r="FI64" s="260">
        <v>631.79999999999995</v>
      </c>
      <c r="FJ64" s="260">
        <v>622</v>
      </c>
      <c r="FK64" s="260">
        <v>618.29999999999995</v>
      </c>
      <c r="FL64" s="260">
        <v>624.5</v>
      </c>
      <c r="FM64" s="260">
        <v>620.4</v>
      </c>
      <c r="FN64" s="260">
        <v>451.5</v>
      </c>
      <c r="FO64" s="260">
        <v>436.9</v>
      </c>
      <c r="FP64" s="260">
        <v>503</v>
      </c>
      <c r="FQ64" s="260">
        <v>436.9</v>
      </c>
      <c r="FR64" s="260">
        <v>508.9</v>
      </c>
      <c r="FS64" s="260">
        <v>482.7</v>
      </c>
      <c r="FT64" s="260">
        <v>516.20000000000005</v>
      </c>
      <c r="FU64" s="260">
        <v>444.5</v>
      </c>
      <c r="FV64" s="260">
        <v>445.7</v>
      </c>
      <c r="FW64" s="260">
        <v>506.2</v>
      </c>
      <c r="FX64" s="260">
        <v>457.3</v>
      </c>
      <c r="FY64" s="260">
        <v>452.7</v>
      </c>
      <c r="FZ64" s="260">
        <v>462.9</v>
      </c>
      <c r="GA64" s="260">
        <v>455.9</v>
      </c>
      <c r="GB64" s="260">
        <v>501.6</v>
      </c>
      <c r="GC64" s="260">
        <v>471.9</v>
      </c>
      <c r="GD64" s="260">
        <v>472</v>
      </c>
      <c r="GE64" s="260">
        <v>447.8</v>
      </c>
      <c r="GF64" s="260">
        <v>450</v>
      </c>
      <c r="GG64" s="260">
        <v>443.5</v>
      </c>
      <c r="GH64" s="260">
        <v>502.8</v>
      </c>
      <c r="GI64" s="260">
        <v>457.3</v>
      </c>
      <c r="GJ64" s="260">
        <v>478.5</v>
      </c>
      <c r="GK64" s="260">
        <v>487.4</v>
      </c>
      <c r="GL64" s="260">
        <v>506.7</v>
      </c>
      <c r="GM64" s="260">
        <v>492.9</v>
      </c>
      <c r="GN64" s="260">
        <v>486</v>
      </c>
      <c r="GO64" s="260">
        <v>483.6</v>
      </c>
      <c r="GP64" s="260">
        <v>468.6</v>
      </c>
      <c r="GQ64" s="260">
        <v>454.7</v>
      </c>
      <c r="GR64" s="260">
        <v>437.6</v>
      </c>
      <c r="GS64" s="260">
        <v>477.2</v>
      </c>
      <c r="GT64" s="260">
        <v>935.2</v>
      </c>
      <c r="GU64" s="260">
        <v>915.3</v>
      </c>
      <c r="GV64" s="260">
        <v>881.2</v>
      </c>
      <c r="GW64" s="260">
        <v>956</v>
      </c>
      <c r="GX64" s="260">
        <v>952.9</v>
      </c>
      <c r="GY64" s="260">
        <v>956.1</v>
      </c>
      <c r="GZ64" s="260">
        <v>802.2</v>
      </c>
      <c r="HA64" s="260">
        <v>974.6</v>
      </c>
      <c r="HB64" s="260"/>
      <c r="HC64" s="260"/>
      <c r="HD64" s="260">
        <v>852</v>
      </c>
      <c r="HE64" s="260">
        <v>643.4</v>
      </c>
      <c r="HF64" s="260">
        <v>946</v>
      </c>
      <c r="HG64" s="260"/>
      <c r="HH64" s="260">
        <v>1030.7</v>
      </c>
      <c r="HI64" s="260">
        <v>904.1</v>
      </c>
      <c r="HJ64" s="260">
        <v>959</v>
      </c>
      <c r="HK64" s="260">
        <v>934.8</v>
      </c>
      <c r="HL64" s="260">
        <v>953.8</v>
      </c>
      <c r="HM64" s="260">
        <v>959.8</v>
      </c>
      <c r="HN64" s="260">
        <v>973.1</v>
      </c>
      <c r="HO64" s="260">
        <v>968.2</v>
      </c>
      <c r="HP64" s="260">
        <v>973.4</v>
      </c>
      <c r="HQ64" s="260">
        <v>991.6</v>
      </c>
      <c r="HR64" s="260">
        <v>968.6</v>
      </c>
      <c r="HS64" s="260">
        <v>980</v>
      </c>
      <c r="HT64" s="260">
        <v>1092.7</v>
      </c>
      <c r="HU64" s="260">
        <v>1116.0999999999999</v>
      </c>
      <c r="HV64" s="260">
        <v>897</v>
      </c>
      <c r="HW64" s="260">
        <v>868.4</v>
      </c>
      <c r="HX64" s="260">
        <v>750.7</v>
      </c>
      <c r="HY64" s="260">
        <v>631.79999999999995</v>
      </c>
      <c r="HZ64" s="260">
        <v>692.5</v>
      </c>
      <c r="IA64" s="260">
        <v>813.5</v>
      </c>
      <c r="IB64" s="260">
        <v>985.8</v>
      </c>
      <c r="IC64" s="260">
        <v>1047.0999999999999</v>
      </c>
      <c r="ID64" s="260">
        <v>993.9</v>
      </c>
      <c r="IE64" s="260">
        <v>976.5</v>
      </c>
      <c r="IF64" s="260">
        <v>985.5</v>
      </c>
      <c r="IG64" s="260">
        <v>1041.5</v>
      </c>
      <c r="IH64" s="260">
        <v>1044.4000000000001</v>
      </c>
      <c r="II64" s="260">
        <v>1026.3</v>
      </c>
      <c r="IJ64" s="260">
        <v>836.2</v>
      </c>
      <c r="IK64" s="260">
        <v>927.7</v>
      </c>
      <c r="IL64" s="260">
        <v>835.8</v>
      </c>
      <c r="IM64" s="260">
        <v>885.5</v>
      </c>
      <c r="IN64" s="260">
        <v>783.4</v>
      </c>
      <c r="IO64" s="260"/>
      <c r="IP64" s="260">
        <v>1180.5</v>
      </c>
      <c r="IQ64" s="260">
        <v>942.8</v>
      </c>
      <c r="IR64" s="260">
        <v>391.3</v>
      </c>
      <c r="IS64" s="260">
        <v>873</v>
      </c>
      <c r="IT64" s="260">
        <v>845.7</v>
      </c>
      <c r="IU64" s="260"/>
      <c r="IV64" s="260"/>
      <c r="IW64" s="260">
        <v>962.9</v>
      </c>
      <c r="IX64" s="260">
        <v>978</v>
      </c>
      <c r="IY64" s="260">
        <v>875.9</v>
      </c>
      <c r="IZ64" s="260">
        <v>841.5</v>
      </c>
      <c r="JA64" s="260">
        <v>741.5</v>
      </c>
      <c r="JB64" s="289">
        <v>36.79</v>
      </c>
      <c r="JC64" s="289">
        <v>48.09</v>
      </c>
      <c r="JD64" s="289">
        <v>1.97</v>
      </c>
      <c r="JE64" s="289">
        <v>4.9000000000000004</v>
      </c>
      <c r="JF64" s="289"/>
      <c r="JG64" s="289">
        <v>6.79</v>
      </c>
      <c r="JH64" s="259">
        <v>6.28</v>
      </c>
      <c r="JI64" s="290"/>
      <c r="JJ64" s="290"/>
      <c r="JK64" s="260">
        <v>85653541.873999998</v>
      </c>
      <c r="JL64" s="264">
        <v>282521.02799999999</v>
      </c>
      <c r="JM64" s="260">
        <v>58656363.174000002</v>
      </c>
      <c r="JN64" s="264">
        <v>62174.038999999997</v>
      </c>
      <c r="JO64" s="260">
        <v>86401496.785999998</v>
      </c>
      <c r="JP64" s="264">
        <v>187607.75599999999</v>
      </c>
      <c r="JQ64" s="260">
        <v>62704410.555</v>
      </c>
      <c r="JR64" s="264">
        <v>56393.141000000003</v>
      </c>
      <c r="JS64" s="289">
        <v>324522533.773</v>
      </c>
      <c r="JT64" s="296">
        <v>85721.514999999999</v>
      </c>
      <c r="JU64" s="283">
        <f t="shared" ref="JU64" si="268">IF((JK64-JK63)&lt;0,"",(JK64-JK63))</f>
        <v>64892.252999991179</v>
      </c>
      <c r="JV64" s="283">
        <f t="shared" ref="JV64" si="269">IF((JL64-JL63)&lt;0,"",(JL64-JL63))</f>
        <v>62.118000000016764</v>
      </c>
      <c r="JW64" s="283">
        <f t="shared" ref="JW64" si="270">IF((JM64-JM63)&lt;0,"",(JM64-JM63))</f>
        <v>62179.759000003338</v>
      </c>
      <c r="JX64" s="283">
        <f t="shared" ref="JX64" si="271">IF((JN64-JN63)&lt;0,"",(JN64-JN63))</f>
        <v>57.748999999996158</v>
      </c>
      <c r="JY64" s="284">
        <f t="shared" ref="JY64" si="272">IF((JO64-JO63)&lt;0,"",(JO64-JO63))</f>
        <v>35539.925999999046</v>
      </c>
      <c r="JZ64" s="284">
        <f t="shared" ref="JZ64" si="273">IF((JP64-JP63)&lt;0,"",(JP64-JP63))</f>
        <v>39.570999999996275</v>
      </c>
      <c r="KA64" s="284">
        <f t="shared" ref="KA64" si="274">IF((JQ64-JQ63)&lt;0,"",(JQ64-JQ63))</f>
        <v>49119.281000003219</v>
      </c>
      <c r="KB64" s="284">
        <f t="shared" ref="KB64" si="275">IF((JR64-JR63)&lt;0,"",(JR64-JR63))</f>
        <v>70.757000000005064</v>
      </c>
      <c r="KC64" s="283">
        <f t="shared" ref="KC64" si="276">IF((JS64-JS63)&lt;0,"",(JS64-JS63))</f>
        <v>211625.78299999237</v>
      </c>
      <c r="KD64" s="283">
        <f t="shared" ref="KD64" si="277">IF((JT64-JT63)&lt;0,"",(JT64-JT63))</f>
        <v>159.84900000000198</v>
      </c>
      <c r="KE64" s="291">
        <f t="shared" si="206"/>
        <v>126952.1449999945</v>
      </c>
      <c r="KF64" s="291">
        <f t="shared" si="207"/>
        <v>211465.93399999238</v>
      </c>
      <c r="KG64" s="292">
        <f>(RD[[#This Row],[Sunset Time (POA&lt;20 W/m2)]]-RD[[#This Row],[Sunrise Time (POA&gt;20 W/m2)]])*24</f>
        <v>13.416666666666664</v>
      </c>
      <c r="KH64" s="293">
        <f>RD[[#This Row],[GHI ]]</f>
        <v>6.79</v>
      </c>
      <c r="KI64" s="293">
        <f>RD[[#This Row],[POA]]</f>
        <v>6.28</v>
      </c>
      <c r="KJ64" s="293">
        <f>RD[[#This Row],[AT (°C) 14 Hours]]</f>
        <v>36.79</v>
      </c>
      <c r="KK64" s="293">
        <f>RD[[#This Row],[MT (°C) Gen. Hours]]</f>
        <v>48.09</v>
      </c>
      <c r="KL64" s="293">
        <f>RD[[#This Row],[WS_Avg (m/s) (24 Hours)]]</f>
        <v>1.97</v>
      </c>
      <c r="KM64" s="293">
        <f>RD[[#This Row],[WS_Max (m/s)]]</f>
        <v>4.9000000000000004</v>
      </c>
      <c r="KN64" s="294">
        <f>SUM(RD[[#This Row],[BLK1_INV1]:[BLK8_INV28]])</f>
        <v>212537.59999999995</v>
      </c>
      <c r="KO64" s="95"/>
      <c r="KP64" s="55"/>
      <c r="KQ64" s="90" t="str">
        <f>IFERROR(RD[[#This Row],[WPR_Eac]]/RD[[#This Row],[WPR_Edc]],"")</f>
        <v/>
      </c>
    </row>
    <row r="65" spans="2:303" ht="15" customHeight="1" thickBot="1" x14ac:dyDescent="0.3">
      <c r="B65" s="52">
        <v>45806</v>
      </c>
      <c r="C65" s="9">
        <f>YEAR(RD[[#This Row],[Date]])+IF(MONTH(RD[[#This Row],[Date]])&gt;=4,1,0)</f>
        <v>2026</v>
      </c>
      <c r="D65" s="6">
        <f t="shared" si="204"/>
        <v>2025</v>
      </c>
      <c r="E65" s="7"/>
      <c r="F65" s="7"/>
      <c r="G65" s="8" t="str">
        <f>TEXT(RD[[#This Row],[Date]],"mmm-yy")</f>
        <v>May-25</v>
      </c>
      <c r="H65" s="6">
        <f t="shared" si="205"/>
        <v>31</v>
      </c>
      <c r="I65" s="9">
        <f>'Basic Data '!$S$2</f>
        <v>66750</v>
      </c>
      <c r="J65" s="10">
        <v>0.21458333333333335</v>
      </c>
      <c r="K65" s="10">
        <v>0.7631944444444444</v>
      </c>
      <c r="L65" s="260">
        <v>1087.9000000000001</v>
      </c>
      <c r="M65" s="260">
        <v>1075.2</v>
      </c>
      <c r="N65" s="260">
        <v>1015.7</v>
      </c>
      <c r="O65" s="260">
        <v>1014.6</v>
      </c>
      <c r="P65" s="260">
        <v>1048.5999999999999</v>
      </c>
      <c r="Q65" s="260">
        <v>1009.8</v>
      </c>
      <c r="R65" s="260">
        <v>1010.7</v>
      </c>
      <c r="S65" s="260">
        <v>1012.3</v>
      </c>
      <c r="T65" s="260">
        <v>1045.3</v>
      </c>
      <c r="U65" s="260">
        <v>1051.3</v>
      </c>
      <c r="V65" s="260">
        <v>1029.8</v>
      </c>
      <c r="W65" s="260">
        <v>1022.9</v>
      </c>
      <c r="X65" s="260">
        <v>1007.6</v>
      </c>
      <c r="Y65" s="260">
        <v>944.7</v>
      </c>
      <c r="Z65" s="260">
        <v>1003.8</v>
      </c>
      <c r="AA65" s="260">
        <v>1000.8</v>
      </c>
      <c r="AB65" s="260">
        <v>1001.3</v>
      </c>
      <c r="AC65" s="260">
        <v>1000.2</v>
      </c>
      <c r="AD65" s="260">
        <v>1077.8</v>
      </c>
      <c r="AE65" s="260">
        <v>1082.0999999999999</v>
      </c>
      <c r="AF65" s="260">
        <v>1010.7</v>
      </c>
      <c r="AG65" s="260">
        <v>1007.8</v>
      </c>
      <c r="AH65" s="260">
        <v>1104.5999999999999</v>
      </c>
      <c r="AI65" s="260">
        <v>1134.4000000000001</v>
      </c>
      <c r="AJ65" s="260">
        <v>1100.4000000000001</v>
      </c>
      <c r="AK65" s="260">
        <v>1089.8</v>
      </c>
      <c r="AL65" s="260">
        <v>1081</v>
      </c>
      <c r="AM65" s="260">
        <v>1124.3</v>
      </c>
      <c r="AN65" s="260">
        <v>1138.0999999999999</v>
      </c>
      <c r="AO65" s="260">
        <v>1135.2</v>
      </c>
      <c r="AP65" s="260">
        <v>1129.0999999999999</v>
      </c>
      <c r="AQ65" s="260">
        <v>1131.8</v>
      </c>
      <c r="AR65" s="260">
        <v>940</v>
      </c>
      <c r="AS65" s="260">
        <v>1245.8</v>
      </c>
      <c r="AT65" s="260">
        <v>992.9</v>
      </c>
      <c r="AU65" s="260">
        <v>1126.5999999999999</v>
      </c>
      <c r="AV65" s="260">
        <v>1017.7</v>
      </c>
      <c r="AW65" s="260">
        <v>998.8</v>
      </c>
      <c r="AX65" s="260">
        <v>1002.5</v>
      </c>
      <c r="AY65" s="260">
        <v>1031.3</v>
      </c>
      <c r="AZ65" s="260">
        <v>1012.4</v>
      </c>
      <c r="BA65" s="260">
        <v>1007.9</v>
      </c>
      <c r="BB65" s="260">
        <v>1021.4</v>
      </c>
      <c r="BC65" s="260">
        <v>1004.5</v>
      </c>
      <c r="BD65" s="260">
        <v>1010.5</v>
      </c>
      <c r="BE65" s="260">
        <v>1018</v>
      </c>
      <c r="BF65" s="260">
        <v>1095.4000000000001</v>
      </c>
      <c r="BG65" s="260">
        <v>1003.5</v>
      </c>
      <c r="BH65" s="260">
        <v>1045.0999999999999</v>
      </c>
      <c r="BI65" s="260">
        <v>1027.5999999999999</v>
      </c>
      <c r="BJ65" s="260">
        <v>968.6</v>
      </c>
      <c r="BK65" s="260">
        <v>1012.4</v>
      </c>
      <c r="BL65" s="260">
        <v>1158.7</v>
      </c>
      <c r="BM65" s="260">
        <v>1139.9000000000001</v>
      </c>
      <c r="BN65" s="260">
        <v>1081.8</v>
      </c>
      <c r="BO65" s="260">
        <v>1126</v>
      </c>
      <c r="BP65" s="260">
        <v>1143.2</v>
      </c>
      <c r="BQ65" s="260">
        <v>1017.4</v>
      </c>
      <c r="BR65" s="260">
        <v>1128.8</v>
      </c>
      <c r="BS65" s="260">
        <v>1094.4000000000001</v>
      </c>
      <c r="BT65" s="260">
        <v>1026.3</v>
      </c>
      <c r="BU65" s="260">
        <v>1152.5</v>
      </c>
      <c r="BV65" s="260">
        <v>1010.6</v>
      </c>
      <c r="BW65" s="260">
        <v>974.9</v>
      </c>
      <c r="BX65" s="260">
        <v>1097.0999999999999</v>
      </c>
      <c r="BY65" s="260">
        <v>1090.0999999999999</v>
      </c>
      <c r="BZ65" s="260">
        <v>1105.0999999999999</v>
      </c>
      <c r="CA65" s="260">
        <v>1080.8</v>
      </c>
      <c r="CB65" s="260">
        <v>1004.7</v>
      </c>
      <c r="CC65" s="260">
        <v>1003.3</v>
      </c>
      <c r="CD65" s="260">
        <v>1010</v>
      </c>
      <c r="CE65" s="260">
        <v>1007.8</v>
      </c>
      <c r="CF65" s="260">
        <v>1027.5</v>
      </c>
      <c r="CG65" s="260">
        <v>1010</v>
      </c>
      <c r="CH65" s="260">
        <v>1166.5</v>
      </c>
      <c r="CI65" s="260">
        <v>1143.3</v>
      </c>
      <c r="CJ65" s="260">
        <v>1163.0999999999999</v>
      </c>
      <c r="CK65" s="260">
        <v>1023.7</v>
      </c>
      <c r="CL65" s="260">
        <v>999.6</v>
      </c>
      <c r="CM65" s="260">
        <v>1090.9000000000001</v>
      </c>
      <c r="CN65" s="260">
        <v>1022.8</v>
      </c>
      <c r="CO65" s="260">
        <v>1022.7</v>
      </c>
      <c r="CP65" s="260">
        <v>1007.8</v>
      </c>
      <c r="CQ65" s="260">
        <v>1019.9</v>
      </c>
      <c r="CR65" s="260">
        <v>1005.4</v>
      </c>
      <c r="CS65" s="260">
        <v>1010.7</v>
      </c>
      <c r="CT65" s="260">
        <v>1021.4</v>
      </c>
      <c r="CU65" s="260">
        <v>1012.3</v>
      </c>
      <c r="CV65" s="260">
        <v>1006.4</v>
      </c>
      <c r="CW65" s="260">
        <v>997.4</v>
      </c>
      <c r="CX65" s="260">
        <v>1047.7</v>
      </c>
      <c r="CY65" s="260">
        <v>1088.5</v>
      </c>
      <c r="CZ65" s="260">
        <v>1031.4000000000001</v>
      </c>
      <c r="DA65" s="260">
        <v>1022.2</v>
      </c>
      <c r="DB65" s="260">
        <v>1137.5999999999999</v>
      </c>
      <c r="DC65" s="260">
        <v>998.2</v>
      </c>
      <c r="DD65" s="260">
        <v>1006.5</v>
      </c>
      <c r="DE65" s="260">
        <v>1019.1</v>
      </c>
      <c r="DF65" s="260">
        <v>1018.2</v>
      </c>
      <c r="DG65" s="260">
        <v>1012.5</v>
      </c>
      <c r="DH65" s="260">
        <v>1037.2</v>
      </c>
      <c r="DI65" s="260">
        <v>1016.2</v>
      </c>
      <c r="DJ65" s="260">
        <v>1034</v>
      </c>
      <c r="DK65" s="260">
        <v>1017.7</v>
      </c>
      <c r="DL65" s="260">
        <v>1164.3</v>
      </c>
      <c r="DM65" s="260">
        <v>1018.4</v>
      </c>
      <c r="DN65" s="260">
        <v>1199.2</v>
      </c>
      <c r="DO65" s="260">
        <v>1131.3</v>
      </c>
      <c r="DP65" s="260">
        <v>1020.5</v>
      </c>
      <c r="DQ65" s="260">
        <v>1126.5</v>
      </c>
      <c r="DR65" s="260">
        <v>1094.5999999999999</v>
      </c>
      <c r="DS65" s="260">
        <v>1091.0999999999999</v>
      </c>
      <c r="DT65" s="260">
        <v>1147</v>
      </c>
      <c r="DU65" s="260">
        <v>1140.3</v>
      </c>
      <c r="DV65" s="260">
        <v>1015.4</v>
      </c>
      <c r="DW65" s="260">
        <v>962.5</v>
      </c>
      <c r="DX65" s="260">
        <v>1128.3</v>
      </c>
      <c r="DY65" s="260">
        <v>1134.7</v>
      </c>
      <c r="DZ65" s="260">
        <v>1130.2</v>
      </c>
      <c r="EA65" s="260">
        <v>1015.4</v>
      </c>
      <c r="EB65" s="260">
        <v>1029</v>
      </c>
      <c r="EC65" s="260">
        <v>1090.5</v>
      </c>
      <c r="ED65" s="260">
        <v>1055.0999999999999</v>
      </c>
      <c r="EE65" s="260">
        <v>1014.7</v>
      </c>
      <c r="EF65" s="260">
        <v>1021.2</v>
      </c>
      <c r="EG65" s="260">
        <v>1153.7</v>
      </c>
      <c r="EH65" s="260">
        <v>925.1</v>
      </c>
      <c r="EI65" s="260">
        <v>945.2</v>
      </c>
      <c r="EJ65" s="260">
        <v>1059.4000000000001</v>
      </c>
      <c r="EK65" s="260">
        <v>1044.4000000000001</v>
      </c>
      <c r="EL65" s="260">
        <v>927.8</v>
      </c>
      <c r="EM65" s="260">
        <v>1009.3</v>
      </c>
      <c r="EN65" s="260">
        <v>999.1</v>
      </c>
      <c r="EO65" s="260">
        <v>854.7</v>
      </c>
      <c r="EP65" s="260">
        <v>1048.3</v>
      </c>
      <c r="EQ65" s="260">
        <v>977.3</v>
      </c>
      <c r="ER65" s="260">
        <v>1014.2</v>
      </c>
      <c r="ES65" s="260">
        <v>1002.3</v>
      </c>
      <c r="ET65" s="260">
        <v>983.5</v>
      </c>
      <c r="EU65" s="260">
        <v>931.7</v>
      </c>
      <c r="EV65" s="260">
        <v>984.8</v>
      </c>
      <c r="EW65" s="260">
        <v>980.7</v>
      </c>
      <c r="EX65" s="260">
        <v>940.5</v>
      </c>
      <c r="EY65" s="260">
        <v>1017.8</v>
      </c>
      <c r="EZ65" s="260">
        <v>901</v>
      </c>
      <c r="FA65" s="260">
        <v>959.1</v>
      </c>
      <c r="FB65" s="260">
        <v>926.4</v>
      </c>
      <c r="FC65" s="260">
        <v>862.6</v>
      </c>
      <c r="FD65" s="260">
        <v>1004.8</v>
      </c>
      <c r="FE65" s="260">
        <v>1011.4</v>
      </c>
      <c r="FF65" s="260">
        <v>1016.5</v>
      </c>
      <c r="FG65" s="260">
        <v>935.7</v>
      </c>
      <c r="FH65" s="260">
        <v>1069.4000000000001</v>
      </c>
      <c r="FI65" s="260">
        <v>942</v>
      </c>
      <c r="FJ65" s="260">
        <v>931.7</v>
      </c>
      <c r="FK65" s="260">
        <v>922.9</v>
      </c>
      <c r="FL65" s="260">
        <v>935.5</v>
      </c>
      <c r="FM65" s="260">
        <v>931.4</v>
      </c>
      <c r="FN65" s="22">
        <v>110.4</v>
      </c>
      <c r="FO65" s="22">
        <v>108.1</v>
      </c>
      <c r="FP65" s="22">
        <v>123.3</v>
      </c>
      <c r="FQ65" s="22">
        <v>106.7</v>
      </c>
      <c r="FR65" s="22">
        <v>123.7</v>
      </c>
      <c r="FS65" s="22">
        <v>121.8</v>
      </c>
      <c r="FT65" s="22">
        <v>123.5</v>
      </c>
      <c r="FU65" s="22">
        <v>115.7</v>
      </c>
      <c r="FV65" s="22">
        <v>107.8</v>
      </c>
      <c r="FW65" s="22">
        <v>121.9</v>
      </c>
      <c r="FX65" s="22">
        <v>105.8</v>
      </c>
      <c r="FY65" s="22">
        <v>113.9</v>
      </c>
      <c r="FZ65" s="22">
        <v>111.2</v>
      </c>
      <c r="GA65" s="22">
        <v>114.9</v>
      </c>
      <c r="GB65" s="22">
        <v>122.6</v>
      </c>
      <c r="GC65" s="271">
        <v>115.8</v>
      </c>
      <c r="GD65" s="22">
        <v>120.9</v>
      </c>
      <c r="GE65" s="22">
        <v>108.2</v>
      </c>
      <c r="GF65" s="22">
        <v>105.8</v>
      </c>
      <c r="GG65" s="22">
        <v>107.4</v>
      </c>
      <c r="GH65" s="22">
        <v>124.9</v>
      </c>
      <c r="GI65" s="22">
        <v>106.4</v>
      </c>
      <c r="GJ65" s="22">
        <v>117.8</v>
      </c>
      <c r="GK65" s="22">
        <v>123.8</v>
      </c>
      <c r="GL65" s="22">
        <v>110.4</v>
      </c>
      <c r="GM65" s="22">
        <v>119.5</v>
      </c>
      <c r="GN65" s="22">
        <v>116.7</v>
      </c>
      <c r="GO65" s="22">
        <v>118.1</v>
      </c>
      <c r="GP65" s="22">
        <v>113.6</v>
      </c>
      <c r="GQ65" s="22">
        <v>112.1</v>
      </c>
      <c r="GR65" s="22">
        <v>113</v>
      </c>
      <c r="GS65" s="271">
        <v>116.9</v>
      </c>
      <c r="GT65" s="260">
        <v>994</v>
      </c>
      <c r="GU65" s="260">
        <v>967</v>
      </c>
      <c r="GV65" s="260">
        <v>921.8</v>
      </c>
      <c r="GW65" s="260">
        <v>1012.2</v>
      </c>
      <c r="GX65" s="260">
        <v>1004.6</v>
      </c>
      <c r="GY65" s="260">
        <v>1011.8</v>
      </c>
      <c r="GZ65" s="260">
        <v>847.6</v>
      </c>
      <c r="HA65" s="260">
        <v>1030.5999999999999</v>
      </c>
      <c r="HB65" s="260"/>
      <c r="HC65" s="260"/>
      <c r="HD65" s="260">
        <v>916.6</v>
      </c>
      <c r="HE65" s="260">
        <v>686.4</v>
      </c>
      <c r="HF65" s="260">
        <v>1001</v>
      </c>
      <c r="HG65" s="260"/>
      <c r="HH65" s="260">
        <v>976</v>
      </c>
      <c r="HI65" s="260">
        <v>1009.8</v>
      </c>
      <c r="HJ65" s="260">
        <v>1009.8</v>
      </c>
      <c r="HK65" s="260">
        <v>980.6</v>
      </c>
      <c r="HL65" s="260">
        <v>1007.3</v>
      </c>
      <c r="HM65" s="260">
        <v>1009.3</v>
      </c>
      <c r="HN65" s="260">
        <v>1027.7</v>
      </c>
      <c r="HO65" s="260">
        <v>1021.5</v>
      </c>
      <c r="HP65" s="260">
        <v>1025.4000000000001</v>
      </c>
      <c r="HQ65" s="260">
        <v>1042.3</v>
      </c>
      <c r="HR65" s="260">
        <v>1017.6</v>
      </c>
      <c r="HS65" s="260">
        <v>1029.3</v>
      </c>
      <c r="HT65" s="260">
        <v>1148.3</v>
      </c>
      <c r="HU65" s="260">
        <v>1171.9000000000001</v>
      </c>
      <c r="HV65" s="260">
        <v>936.8</v>
      </c>
      <c r="HW65" s="260">
        <v>912.2</v>
      </c>
      <c r="HX65" s="260">
        <v>786.1</v>
      </c>
      <c r="HY65" s="260">
        <v>663.4</v>
      </c>
      <c r="HZ65" s="260">
        <v>670.5</v>
      </c>
      <c r="IA65" s="260">
        <v>791.7</v>
      </c>
      <c r="IB65" s="260">
        <v>953.2</v>
      </c>
      <c r="IC65" s="260">
        <v>1022.7</v>
      </c>
      <c r="ID65" s="260">
        <v>961.3</v>
      </c>
      <c r="IE65" s="260">
        <v>943.1</v>
      </c>
      <c r="IF65" s="260">
        <v>964.5</v>
      </c>
      <c r="IG65" s="260">
        <v>991.5</v>
      </c>
      <c r="IH65" s="260">
        <v>1019.2</v>
      </c>
      <c r="II65" s="260">
        <v>955.6</v>
      </c>
      <c r="IJ65" s="260">
        <v>855.4</v>
      </c>
      <c r="IK65" s="260">
        <v>907</v>
      </c>
      <c r="IL65" s="260">
        <v>807.7</v>
      </c>
      <c r="IM65" s="260">
        <v>865.3</v>
      </c>
      <c r="IN65" s="260">
        <v>768.4</v>
      </c>
      <c r="IO65" s="260"/>
      <c r="IP65" s="260">
        <v>1300.2</v>
      </c>
      <c r="IQ65" s="260">
        <v>1014.2</v>
      </c>
      <c r="IR65" s="260">
        <v>385.1</v>
      </c>
      <c r="IS65" s="260">
        <v>938.4</v>
      </c>
      <c r="IT65" s="260">
        <v>910.4</v>
      </c>
      <c r="IU65" s="260"/>
      <c r="IV65" s="260"/>
      <c r="IW65" s="260">
        <v>1033</v>
      </c>
      <c r="IX65" s="260">
        <v>1052.4000000000001</v>
      </c>
      <c r="IY65" s="260">
        <v>885</v>
      </c>
      <c r="IZ65" s="260">
        <v>910.9</v>
      </c>
      <c r="JA65" s="260">
        <v>788</v>
      </c>
      <c r="JB65" s="289">
        <v>35.729999999999997</v>
      </c>
      <c r="JC65" s="289">
        <v>41.95</v>
      </c>
      <c r="JD65" s="289">
        <v>2.0699999999999998</v>
      </c>
      <c r="JE65" s="289">
        <v>9.69</v>
      </c>
      <c r="JF65" s="289"/>
      <c r="JG65" s="289">
        <v>5.38</v>
      </c>
      <c r="JH65" s="259">
        <v>4.87</v>
      </c>
      <c r="JI65" s="290"/>
      <c r="JJ65" s="290"/>
      <c r="JK65" s="260">
        <v>85720663.673999995</v>
      </c>
      <c r="JL65" s="260">
        <v>282584.14600000001</v>
      </c>
      <c r="JM65" s="260">
        <v>58721000.480999999</v>
      </c>
      <c r="JN65" s="260">
        <v>62233.788</v>
      </c>
      <c r="JO65" s="260">
        <v>86435802.361000001</v>
      </c>
      <c r="JP65" s="260">
        <v>187649.32699999999</v>
      </c>
      <c r="JQ65" s="260">
        <v>62755226.616999999</v>
      </c>
      <c r="JR65" s="260">
        <v>56462.898000000001</v>
      </c>
      <c r="JS65" s="289">
        <v>324739366.51899999</v>
      </c>
      <c r="JT65" s="289">
        <v>85883.364000000001</v>
      </c>
      <c r="JU65" s="283">
        <f t="shared" ref="JU65" si="278">IF((JK65-JK64)&lt;0,"",(JK65-JK64))</f>
        <v>67121.79999999702</v>
      </c>
      <c r="JV65" s="283">
        <f t="shared" ref="JV65" si="279">IF((JL65-JL64)&lt;0,"",(JL65-JL64))</f>
        <v>63.118000000016764</v>
      </c>
      <c r="JW65" s="283">
        <f t="shared" ref="JW65" si="280">IF((JM65-JM64)&lt;0,"",(JM65-JM64))</f>
        <v>64637.306999996305</v>
      </c>
      <c r="JX65" s="283">
        <f t="shared" ref="JX65" si="281">IF((JN65-JN64)&lt;0,"",(JN65-JN64))</f>
        <v>59.749000000003434</v>
      </c>
      <c r="JY65" s="284">
        <f t="shared" ref="JY65" si="282">IF((JO65-JO64)&lt;0,"",(JO65-JO64))</f>
        <v>34305.57500000298</v>
      </c>
      <c r="JZ65" s="284">
        <f t="shared" ref="JZ65" si="283">IF((JP65-JP64)&lt;0,"",(JP65-JP64))</f>
        <v>41.570999999996275</v>
      </c>
      <c r="KA65" s="284">
        <f t="shared" ref="KA65" si="284">IF((JQ65-JQ64)&lt;0,"",(JQ65-JQ64))</f>
        <v>50816.061999998987</v>
      </c>
      <c r="KB65" s="284">
        <f t="shared" ref="KB65" si="285">IF((JR65-JR64)&lt;0,"",(JR65-JR64))</f>
        <v>69.756999999997788</v>
      </c>
      <c r="KC65" s="283">
        <f t="shared" ref="KC65" si="286">IF((JS65-JS64)&lt;0,"",(JS65-JS64))</f>
        <v>216832.74599999189</v>
      </c>
      <c r="KD65" s="283">
        <f t="shared" ref="KD65" si="287">IF((JT65-JT64)&lt;0,"",(JT65-JT64))</f>
        <v>161.84900000000198</v>
      </c>
      <c r="KE65" s="291">
        <f t="shared" si="206"/>
        <v>131636.2399999933</v>
      </c>
      <c r="KF65" s="291">
        <f t="shared" si="207"/>
        <v>216670.89699999191</v>
      </c>
      <c r="KG65" s="292">
        <f>(RD[[#This Row],[Sunset Time (POA&lt;20 W/m2)]]-RD[[#This Row],[Sunrise Time (POA&gt;20 W/m2)]])*24</f>
        <v>13.166666666666664</v>
      </c>
      <c r="KH65" s="293">
        <f>RD[[#This Row],[GHI ]]</f>
        <v>5.38</v>
      </c>
      <c r="KI65" s="293">
        <f>RD[[#This Row],[POA]]</f>
        <v>4.87</v>
      </c>
      <c r="KJ65" s="293">
        <f>RD[[#This Row],[AT (°C) 14 Hours]]</f>
        <v>35.729999999999997</v>
      </c>
      <c r="KK65" s="293">
        <f>RD[[#This Row],[MT (°C) Gen. Hours]]</f>
        <v>41.95</v>
      </c>
      <c r="KL65" s="293">
        <f>RD[[#This Row],[WS_Avg (m/s) (24 Hours)]]</f>
        <v>2.0699999999999998</v>
      </c>
      <c r="KM65" s="293">
        <f>RD[[#This Row],[WS_Max (m/s)]]</f>
        <v>9.69</v>
      </c>
      <c r="KN65" s="294">
        <f>SUM(RD[[#This Row],[BLK1_INV1]:[BLK8_INV28]])</f>
        <v>218430.89999999991</v>
      </c>
      <c r="KO65" s="95"/>
      <c r="KP65" s="55"/>
      <c r="KQ65" s="90" t="str">
        <f>IFERROR(RD[[#This Row],[WPR_Eac]]/RD[[#This Row],[WPR_Edc]],"")</f>
        <v/>
      </c>
    </row>
    <row r="66" spans="2:303" ht="15" customHeight="1" x14ac:dyDescent="0.25">
      <c r="B66" s="52">
        <v>45807</v>
      </c>
      <c r="C66" s="9">
        <f>YEAR(RD[[#This Row],[Date]])+IF(MONTH(RD[[#This Row],[Date]])&gt;=4,1,0)</f>
        <v>2026</v>
      </c>
      <c r="D66" s="6">
        <f t="shared" si="204"/>
        <v>2025</v>
      </c>
      <c r="E66" s="7"/>
      <c r="F66" s="7"/>
      <c r="G66" s="8" t="str">
        <f>TEXT(RD[[#This Row],[Date]],"mmm-yy")</f>
        <v>May-25</v>
      </c>
      <c r="H66" s="6">
        <f t="shared" si="205"/>
        <v>31</v>
      </c>
      <c r="I66" s="9">
        <f>'Basic Data '!$S$2</f>
        <v>66750</v>
      </c>
      <c r="J66" s="10">
        <v>0.21666666666666667</v>
      </c>
      <c r="K66" s="10">
        <v>0.75902777777777775</v>
      </c>
      <c r="L66" s="260">
        <v>1194.2</v>
      </c>
      <c r="M66" s="260">
        <v>1189.9000000000001</v>
      </c>
      <c r="N66" s="260">
        <v>1157.9000000000001</v>
      </c>
      <c r="O66" s="260">
        <v>1113.5</v>
      </c>
      <c r="P66" s="260">
        <v>1171.5999999999999</v>
      </c>
      <c r="Q66" s="260">
        <v>1111</v>
      </c>
      <c r="R66" s="260">
        <v>1108.3</v>
      </c>
      <c r="S66" s="260">
        <v>1111.7</v>
      </c>
      <c r="T66" s="260">
        <v>1149</v>
      </c>
      <c r="U66" s="260">
        <v>1159.5999999999999</v>
      </c>
      <c r="V66" s="260">
        <v>1130.2</v>
      </c>
      <c r="W66" s="260">
        <v>1124.7</v>
      </c>
      <c r="X66" s="260">
        <v>1109.3</v>
      </c>
      <c r="Y66" s="260">
        <v>1041.8</v>
      </c>
      <c r="Z66" s="260">
        <v>1106.8</v>
      </c>
      <c r="AA66" s="260">
        <v>1101.8</v>
      </c>
      <c r="AB66" s="260">
        <v>1085.4000000000001</v>
      </c>
      <c r="AC66" s="260">
        <v>1100.2</v>
      </c>
      <c r="AD66" s="260">
        <v>1168.3</v>
      </c>
      <c r="AE66" s="260">
        <v>1190.8</v>
      </c>
      <c r="AF66" s="260">
        <v>1111.3</v>
      </c>
      <c r="AG66" s="260">
        <v>1110.7</v>
      </c>
      <c r="AH66" s="260">
        <v>1213.8</v>
      </c>
      <c r="AI66" s="260">
        <v>1246</v>
      </c>
      <c r="AJ66" s="260">
        <v>1208.8</v>
      </c>
      <c r="AK66" s="260">
        <v>1199.0999999999999</v>
      </c>
      <c r="AL66" s="260">
        <v>1199.0999999999999</v>
      </c>
      <c r="AM66" s="260">
        <v>1230.5</v>
      </c>
      <c r="AN66" s="260">
        <v>1231.9000000000001</v>
      </c>
      <c r="AO66" s="260">
        <v>1253</v>
      </c>
      <c r="AP66" s="260">
        <v>1259.5</v>
      </c>
      <c r="AQ66" s="260">
        <v>1238.0999999999999</v>
      </c>
      <c r="AR66" s="260">
        <v>1030.5</v>
      </c>
      <c r="AS66" s="260">
        <v>1360.7</v>
      </c>
      <c r="AT66" s="260">
        <v>1085.3</v>
      </c>
      <c r="AU66" s="260">
        <v>1231.9000000000001</v>
      </c>
      <c r="AV66" s="260">
        <v>1123.4000000000001</v>
      </c>
      <c r="AW66" s="260">
        <v>1095.4000000000001</v>
      </c>
      <c r="AX66" s="260">
        <v>1112.0999999999999</v>
      </c>
      <c r="AY66" s="260">
        <v>1129.8</v>
      </c>
      <c r="AZ66" s="260">
        <v>1108.5</v>
      </c>
      <c r="BA66" s="260">
        <v>1096.9000000000001</v>
      </c>
      <c r="BB66" s="260">
        <v>1114.9000000000001</v>
      </c>
      <c r="BC66" s="260">
        <v>1094.4000000000001</v>
      </c>
      <c r="BD66" s="260">
        <v>1113</v>
      </c>
      <c r="BE66" s="260">
        <v>1111.4000000000001</v>
      </c>
      <c r="BF66" s="260">
        <v>1209.7</v>
      </c>
      <c r="BG66" s="260">
        <v>1140.5999999999999</v>
      </c>
      <c r="BH66" s="260">
        <v>1140.5999999999999</v>
      </c>
      <c r="BI66" s="260">
        <v>1121.2</v>
      </c>
      <c r="BJ66" s="260">
        <v>1089.7</v>
      </c>
      <c r="BK66" s="260">
        <v>1104.7</v>
      </c>
      <c r="BL66" s="260">
        <v>1269.7</v>
      </c>
      <c r="BM66" s="260">
        <v>1249.8</v>
      </c>
      <c r="BN66" s="260">
        <v>1188.7</v>
      </c>
      <c r="BO66" s="260">
        <v>1255.2</v>
      </c>
      <c r="BP66" s="260">
        <v>1252.4000000000001</v>
      </c>
      <c r="BQ66" s="260">
        <v>1118.3</v>
      </c>
      <c r="BR66" s="260">
        <v>1240.5999999999999</v>
      </c>
      <c r="BS66" s="260">
        <v>1208.5999999999999</v>
      </c>
      <c r="BT66" s="260">
        <v>1126.0999999999999</v>
      </c>
      <c r="BU66" s="260">
        <v>1268.8</v>
      </c>
      <c r="BV66" s="260">
        <v>1104.5</v>
      </c>
      <c r="BW66" s="260">
        <v>1075.2</v>
      </c>
      <c r="BX66" s="260">
        <v>1196.8</v>
      </c>
      <c r="BY66" s="260">
        <v>1189.7</v>
      </c>
      <c r="BZ66" s="260">
        <v>1205.4000000000001</v>
      </c>
      <c r="CA66" s="260">
        <v>1176.5999999999999</v>
      </c>
      <c r="CB66" s="260">
        <v>1096.5</v>
      </c>
      <c r="CC66" s="260">
        <v>1094.0999999999999</v>
      </c>
      <c r="CD66" s="260">
        <v>1101.5999999999999</v>
      </c>
      <c r="CE66" s="260">
        <v>1098.0999999999999</v>
      </c>
      <c r="CF66" s="260">
        <v>1120</v>
      </c>
      <c r="CG66" s="260">
        <v>1101.0999999999999</v>
      </c>
      <c r="CH66" s="260">
        <v>1267.2</v>
      </c>
      <c r="CI66" s="260">
        <v>1241.2</v>
      </c>
      <c r="CJ66" s="260">
        <v>1265.7</v>
      </c>
      <c r="CK66" s="260">
        <v>1114.2</v>
      </c>
      <c r="CL66" s="260">
        <v>1092.5999999999999</v>
      </c>
      <c r="CM66" s="260">
        <v>1182.5999999999999</v>
      </c>
      <c r="CN66" s="260">
        <v>1113.4000000000001</v>
      </c>
      <c r="CO66" s="260">
        <v>1114.5</v>
      </c>
      <c r="CP66" s="260">
        <v>1096.0999999999999</v>
      </c>
      <c r="CQ66" s="260">
        <v>1111.4000000000001</v>
      </c>
      <c r="CR66" s="260">
        <v>1110.2</v>
      </c>
      <c r="CS66" s="260">
        <v>1104.8</v>
      </c>
      <c r="CT66" s="260">
        <v>1113.2</v>
      </c>
      <c r="CU66" s="260">
        <v>1102.5</v>
      </c>
      <c r="CV66" s="260">
        <v>1096.5999999999999</v>
      </c>
      <c r="CW66" s="260">
        <v>1085.7</v>
      </c>
      <c r="CX66" s="260">
        <v>1142.7</v>
      </c>
      <c r="CY66" s="260">
        <v>1185.5</v>
      </c>
      <c r="CZ66" s="260">
        <v>1124.0999999999999</v>
      </c>
      <c r="DA66" s="260">
        <v>1115.5</v>
      </c>
      <c r="DB66" s="260">
        <v>1241.0999999999999</v>
      </c>
      <c r="DC66" s="260">
        <v>1087</v>
      </c>
      <c r="DD66" s="260">
        <v>1092.0999999999999</v>
      </c>
      <c r="DE66" s="260">
        <v>1112.3</v>
      </c>
      <c r="DF66" s="260">
        <v>1103.7</v>
      </c>
      <c r="DG66" s="260">
        <v>1104.4000000000001</v>
      </c>
      <c r="DH66" s="260">
        <v>1136.2</v>
      </c>
      <c r="DI66" s="260">
        <v>1107.4000000000001</v>
      </c>
      <c r="DJ66" s="260">
        <v>1131</v>
      </c>
      <c r="DK66" s="260">
        <v>1110.5</v>
      </c>
      <c r="DL66" s="260">
        <v>1271.3</v>
      </c>
      <c r="DM66" s="260">
        <v>1118</v>
      </c>
      <c r="DN66" s="260">
        <v>1314.2</v>
      </c>
      <c r="DO66" s="260">
        <v>1232</v>
      </c>
      <c r="DP66" s="260">
        <v>1117.5</v>
      </c>
      <c r="DQ66" s="260">
        <v>1229.7</v>
      </c>
      <c r="DR66" s="260">
        <v>1202.8</v>
      </c>
      <c r="DS66" s="260">
        <v>1188.5</v>
      </c>
      <c r="DT66" s="260">
        <v>1250.8</v>
      </c>
      <c r="DU66" s="260">
        <v>1243.9000000000001</v>
      </c>
      <c r="DV66" s="260">
        <v>1107.0999999999999</v>
      </c>
      <c r="DW66" s="260">
        <v>1081.5999999999999</v>
      </c>
      <c r="DX66" s="260">
        <v>1227.8</v>
      </c>
      <c r="DY66" s="260">
        <v>1246.4000000000001</v>
      </c>
      <c r="DZ66" s="260">
        <v>1239.2</v>
      </c>
      <c r="EA66" s="260">
        <v>1116</v>
      </c>
      <c r="EB66" s="260">
        <v>1128.5999999999999</v>
      </c>
      <c r="EC66" s="260">
        <v>1243.5</v>
      </c>
      <c r="ED66" s="260">
        <v>1289.5</v>
      </c>
      <c r="EE66" s="260">
        <v>1113.2</v>
      </c>
      <c r="EF66" s="260">
        <v>1121.2</v>
      </c>
      <c r="EG66" s="260">
        <v>1266.7</v>
      </c>
      <c r="EH66" s="260">
        <v>1081.0999999999999</v>
      </c>
      <c r="EI66" s="260">
        <v>1078.4000000000001</v>
      </c>
      <c r="EJ66" s="260">
        <v>1258.8</v>
      </c>
      <c r="EK66" s="260">
        <v>1243.5999999999999</v>
      </c>
      <c r="EL66" s="260">
        <v>1175.8</v>
      </c>
      <c r="EM66" s="260">
        <v>1203.8</v>
      </c>
      <c r="EN66" s="260">
        <v>1192.5</v>
      </c>
      <c r="EO66" s="260">
        <v>1022.5</v>
      </c>
      <c r="EP66" s="260">
        <v>1254.9000000000001</v>
      </c>
      <c r="EQ66" s="260">
        <v>1164.0999999999999</v>
      </c>
      <c r="ER66" s="260">
        <v>1210.3</v>
      </c>
      <c r="ES66" s="260">
        <v>1173.3</v>
      </c>
      <c r="ET66" s="260">
        <v>1177.5</v>
      </c>
      <c r="EU66" s="260">
        <v>1116.5999999999999</v>
      </c>
      <c r="EV66" s="260">
        <v>1176.7</v>
      </c>
      <c r="EW66" s="260">
        <v>1172.2</v>
      </c>
      <c r="EX66" s="260">
        <v>1116.9000000000001</v>
      </c>
      <c r="EY66" s="260">
        <v>1213.5999999999999</v>
      </c>
      <c r="EZ66" s="260">
        <v>1079.9000000000001</v>
      </c>
      <c r="FA66" s="260">
        <v>1167.9000000000001</v>
      </c>
      <c r="FB66" s="260">
        <v>1105.5999999999999</v>
      </c>
      <c r="FC66" s="260">
        <v>1030.3</v>
      </c>
      <c r="FD66" s="260">
        <v>1195.4000000000001</v>
      </c>
      <c r="FE66" s="260">
        <v>1208.8</v>
      </c>
      <c r="FF66" s="260">
        <v>1216.7</v>
      </c>
      <c r="FG66" s="260">
        <v>1118.5</v>
      </c>
      <c r="FH66" s="260">
        <v>1283.5</v>
      </c>
      <c r="FI66" s="260">
        <v>1127.5999999999999</v>
      </c>
      <c r="FJ66" s="260">
        <v>1110.7</v>
      </c>
      <c r="FK66" s="260">
        <v>1097.2</v>
      </c>
      <c r="FL66" s="260">
        <v>1101.5</v>
      </c>
      <c r="FM66" s="260">
        <v>1087.9000000000001</v>
      </c>
      <c r="FN66" s="260">
        <v>1071.2</v>
      </c>
      <c r="FO66" s="260">
        <v>1079.5999999999999</v>
      </c>
      <c r="FP66" s="260">
        <v>1211.0999999999999</v>
      </c>
      <c r="FQ66" s="260">
        <v>1064.5</v>
      </c>
      <c r="FR66" s="260">
        <v>1215.8</v>
      </c>
      <c r="FS66" s="260">
        <v>1201.2</v>
      </c>
      <c r="FT66" s="260">
        <v>1195.8</v>
      </c>
      <c r="FU66" s="260">
        <v>1121.5</v>
      </c>
      <c r="FV66" s="260">
        <v>1071.7</v>
      </c>
      <c r="FW66" s="260">
        <v>1203.4000000000001</v>
      </c>
      <c r="FX66" s="260">
        <v>1064.5</v>
      </c>
      <c r="FY66" s="260">
        <v>1111.5</v>
      </c>
      <c r="FZ66" s="260">
        <v>1108.2</v>
      </c>
      <c r="GA66" s="260">
        <v>1121.5</v>
      </c>
      <c r="GB66" s="260">
        <v>1207.9000000000001</v>
      </c>
      <c r="GC66" s="260">
        <v>1169.0999999999999</v>
      </c>
      <c r="GD66" s="260">
        <v>1216.5</v>
      </c>
      <c r="GE66" s="260">
        <v>1063.8</v>
      </c>
      <c r="GF66" s="260">
        <v>1069.0999999999999</v>
      </c>
      <c r="GG66" s="260">
        <v>1075.5</v>
      </c>
      <c r="GH66" s="260">
        <v>1213.5</v>
      </c>
      <c r="GI66" s="260">
        <v>1078.8</v>
      </c>
      <c r="GJ66" s="260">
        <v>1179.5</v>
      </c>
      <c r="GK66" s="260">
        <v>1201.2</v>
      </c>
      <c r="GL66" s="260">
        <v>1197.5</v>
      </c>
      <c r="GM66" s="260">
        <v>1121.7</v>
      </c>
      <c r="GN66" s="260">
        <v>1154.5</v>
      </c>
      <c r="GO66" s="260">
        <v>1220.5</v>
      </c>
      <c r="GP66" s="260">
        <v>1111.8</v>
      </c>
      <c r="GQ66" s="260">
        <v>1119.7</v>
      </c>
      <c r="GR66" s="260">
        <v>1108.5</v>
      </c>
      <c r="GS66" s="260">
        <v>1159.4000000000001</v>
      </c>
      <c r="GT66" s="260">
        <v>1095.8</v>
      </c>
      <c r="GU66" s="260">
        <v>1079</v>
      </c>
      <c r="GV66" s="260">
        <v>1080.5</v>
      </c>
      <c r="GW66" s="260">
        <v>1111.9000000000001</v>
      </c>
      <c r="GX66" s="260">
        <v>1105.5</v>
      </c>
      <c r="GY66" s="260">
        <v>1114</v>
      </c>
      <c r="GZ66" s="260">
        <v>931.4</v>
      </c>
      <c r="HA66" s="260">
        <v>1134</v>
      </c>
      <c r="HB66" s="260"/>
      <c r="HC66" s="260"/>
      <c r="HD66" s="260">
        <v>1008.2</v>
      </c>
      <c r="HE66" s="260">
        <v>792.1</v>
      </c>
      <c r="HF66" s="260">
        <v>1104.8</v>
      </c>
      <c r="HG66" s="260"/>
      <c r="HH66" s="260">
        <v>1203.0999999999999</v>
      </c>
      <c r="HI66" s="260">
        <v>1069.2</v>
      </c>
      <c r="HJ66" s="260">
        <v>1112.5</v>
      </c>
      <c r="HK66" s="260">
        <v>1081.0999999999999</v>
      </c>
      <c r="HL66" s="260">
        <v>1107</v>
      </c>
      <c r="HM66" s="260">
        <v>1108.5999999999999</v>
      </c>
      <c r="HN66" s="260">
        <v>1127</v>
      </c>
      <c r="HO66" s="260">
        <v>1121.4000000000001</v>
      </c>
      <c r="HP66" s="260">
        <v>1124.0999999999999</v>
      </c>
      <c r="HQ66" s="260">
        <v>1143.5999999999999</v>
      </c>
      <c r="HR66" s="260">
        <v>1117</v>
      </c>
      <c r="HS66" s="260">
        <v>1128.8</v>
      </c>
      <c r="HT66" s="260">
        <v>1256.4000000000001</v>
      </c>
      <c r="HU66" s="260">
        <v>1279.8</v>
      </c>
      <c r="HV66" s="260">
        <v>1025</v>
      </c>
      <c r="HW66" s="260">
        <v>996.6</v>
      </c>
      <c r="HX66" s="260">
        <v>860</v>
      </c>
      <c r="HY66" s="260">
        <v>724.1</v>
      </c>
      <c r="HZ66" s="260">
        <v>845.3</v>
      </c>
      <c r="IA66" s="260">
        <v>981.7</v>
      </c>
      <c r="IB66" s="260">
        <v>1149</v>
      </c>
      <c r="IC66" s="260">
        <v>1243.0999999999999</v>
      </c>
      <c r="ID66" s="260">
        <v>1173.0999999999999</v>
      </c>
      <c r="IE66" s="260">
        <v>1247</v>
      </c>
      <c r="IF66" s="260">
        <v>1151.4000000000001</v>
      </c>
      <c r="IG66" s="260">
        <v>1174.9000000000001</v>
      </c>
      <c r="IH66" s="260">
        <v>1234.5</v>
      </c>
      <c r="II66" s="260">
        <v>1251.5</v>
      </c>
      <c r="IJ66" s="260">
        <v>1091.4000000000001</v>
      </c>
      <c r="IK66" s="260">
        <v>1134.5999999999999</v>
      </c>
      <c r="IL66" s="260">
        <v>1082.7</v>
      </c>
      <c r="IM66" s="260">
        <v>1087.8</v>
      </c>
      <c r="IN66" s="260">
        <v>1027.8</v>
      </c>
      <c r="IO66" s="260"/>
      <c r="IP66" s="260">
        <v>1475.5</v>
      </c>
      <c r="IQ66" s="260">
        <v>1190.5999999999999</v>
      </c>
      <c r="IR66" s="260">
        <v>437.5</v>
      </c>
      <c r="IS66" s="260">
        <v>1078.3</v>
      </c>
      <c r="IT66" s="260">
        <v>1050.8</v>
      </c>
      <c r="IU66" s="260"/>
      <c r="IV66" s="260"/>
      <c r="IW66" s="260">
        <v>1081</v>
      </c>
      <c r="IX66" s="260">
        <v>1121.7</v>
      </c>
      <c r="IY66" s="260">
        <v>1101.3</v>
      </c>
      <c r="IZ66" s="260">
        <v>1043.5999999999999</v>
      </c>
      <c r="JA66" s="260">
        <v>997</v>
      </c>
      <c r="JB66" s="289">
        <v>36.450000000000003</v>
      </c>
      <c r="JC66" s="289">
        <v>45.55</v>
      </c>
      <c r="JD66" s="289">
        <v>2.33</v>
      </c>
      <c r="JE66" s="289">
        <v>7.9</v>
      </c>
      <c r="JF66" s="289"/>
      <c r="JG66" s="289">
        <v>5.85</v>
      </c>
      <c r="JH66" s="259">
        <v>5.34</v>
      </c>
      <c r="JI66" s="290"/>
      <c r="JJ66" s="290"/>
      <c r="JK66" s="260">
        <v>85794428.611000001</v>
      </c>
      <c r="JL66" s="264">
        <v>282650.26400000002</v>
      </c>
      <c r="JM66" s="260">
        <v>58791589.398999996</v>
      </c>
      <c r="JN66" s="264">
        <v>62295.536999999997</v>
      </c>
      <c r="JO66" s="260">
        <v>86508783.114999995</v>
      </c>
      <c r="JP66" s="264">
        <v>187691.89799999999</v>
      </c>
      <c r="JQ66" s="260">
        <v>62812737.713</v>
      </c>
      <c r="JR66" s="264">
        <v>56533.654999999999</v>
      </c>
      <c r="JS66" s="289">
        <v>325014163.67699999</v>
      </c>
      <c r="JT66" s="296">
        <v>86045.213000000003</v>
      </c>
      <c r="JU66" s="283">
        <f t="shared" ref="JU66:JU70" si="288">IF((JK66-JK65)&lt;0,"",(JK66-JK65))</f>
        <v>73764.937000006437</v>
      </c>
      <c r="JV66" s="283">
        <f t="shared" ref="JV66:JV70" si="289">IF((JL66-JL65)&lt;0,"",(JL66-JL65))</f>
        <v>66.118000000016764</v>
      </c>
      <c r="JW66" s="283">
        <f t="shared" ref="JW66:JW70" si="290">IF((JM66-JM65)&lt;0,"",(JM66-JM65))</f>
        <v>70588.917999997735</v>
      </c>
      <c r="JX66" s="283">
        <f t="shared" ref="JX66:JX70" si="291">IF((JN66-JN65)&lt;0,"",(JN66-JN65))</f>
        <v>61.748999999996158</v>
      </c>
      <c r="JY66" s="284">
        <f t="shared" ref="JY66:JY70" si="292">IF((JO66-JO65)&lt;0,"",(JO66-JO65))</f>
        <v>72980.753999993205</v>
      </c>
      <c r="JZ66" s="284">
        <f t="shared" ref="JZ66:JZ70" si="293">IF((JP66-JP65)&lt;0,"",(JP66-JP65))</f>
        <v>42.570999999996275</v>
      </c>
      <c r="KA66" s="284">
        <f t="shared" ref="KA66" si="294">IF((JQ66-JQ65)&lt;0,"",(JQ66-JQ65))</f>
        <v>57511.096000000834</v>
      </c>
      <c r="KB66" s="284">
        <f t="shared" ref="KB66:KB70" si="295">IF((JR66-JR65)&lt;0,"",(JR66-JR65))</f>
        <v>70.756999999997788</v>
      </c>
      <c r="KC66" s="283">
        <f t="shared" ref="KC66" si="296">IF((JS66-JS65)&lt;0,"",(JS66-JS65))</f>
        <v>274797.15799999237</v>
      </c>
      <c r="KD66" s="283">
        <f t="shared" ref="KD66:KD70" si="297">IF((JT66-JT65)&lt;0,"",(JT66-JT65))</f>
        <v>161.84900000000198</v>
      </c>
      <c r="KE66" s="291">
        <f t="shared" si="206"/>
        <v>144225.98800000414</v>
      </c>
      <c r="KF66" s="291">
        <f t="shared" si="207"/>
        <v>274635.30899999238</v>
      </c>
      <c r="KG66" s="292">
        <f>(RD[[#This Row],[Sunset Time (POA&lt;20 W/m2)]]-RD[[#This Row],[Sunrise Time (POA&gt;20 W/m2)]])*24</f>
        <v>13.016666666666666</v>
      </c>
      <c r="KH66" s="293">
        <f>RD[[#This Row],[GHI ]]</f>
        <v>5.85</v>
      </c>
      <c r="KI66" s="293">
        <f>RD[[#This Row],[POA]]</f>
        <v>5.34</v>
      </c>
      <c r="KJ66" s="293">
        <f>RD[[#This Row],[AT (°C) 14 Hours]]</f>
        <v>36.450000000000003</v>
      </c>
      <c r="KK66" s="293">
        <f>RD[[#This Row],[MT (°C) Gen. Hours]]</f>
        <v>45.55</v>
      </c>
      <c r="KL66" s="293">
        <f>RD[[#This Row],[WS_Avg (m/s) (24 Hours)]]</f>
        <v>2.33</v>
      </c>
      <c r="KM66" s="293">
        <f>RD[[#This Row],[WS_Max (m/s)]]</f>
        <v>7.9</v>
      </c>
      <c r="KN66" s="294">
        <f>SUM(RD[[#This Row],[BLK1_INV1]:[BLK8_INV28]])</f>
        <v>277904.89999999997</v>
      </c>
      <c r="KO66" s="95"/>
      <c r="KP66" s="55"/>
      <c r="KQ66" s="90" t="str">
        <f>IFERROR(RD[[#This Row],[WPR_Eac]]/RD[[#This Row],[WPR_Edc]],"")</f>
        <v/>
      </c>
    </row>
    <row r="67" spans="2:303" ht="15" customHeight="1" x14ac:dyDescent="0.25">
      <c r="B67" s="52">
        <v>45808</v>
      </c>
      <c r="C67" s="9">
        <f>YEAR(RD[[#This Row],[Date]])+IF(MONTH(RD[[#This Row],[Date]])&gt;=4,1,0)</f>
        <v>2026</v>
      </c>
      <c r="D67" s="6">
        <f t="shared" si="204"/>
        <v>2025</v>
      </c>
      <c r="E67" s="7"/>
      <c r="F67" s="7"/>
      <c r="G67" s="8" t="str">
        <f>TEXT(RD[[#This Row],[Date]],"mmm-yy")</f>
        <v>May-25</v>
      </c>
      <c r="H67" s="6">
        <f t="shared" si="205"/>
        <v>31</v>
      </c>
      <c r="I67" s="9">
        <f>'Basic Data '!$S$2</f>
        <v>66750</v>
      </c>
      <c r="J67" s="10">
        <v>0.21736111111111112</v>
      </c>
      <c r="K67" s="10">
        <v>0.76666666666666661</v>
      </c>
      <c r="L67" s="260">
        <v>1073.4000000000001</v>
      </c>
      <c r="M67" s="260">
        <v>1003</v>
      </c>
      <c r="N67" s="260">
        <v>1002</v>
      </c>
      <c r="O67" s="260">
        <v>1000.6</v>
      </c>
      <c r="P67" s="260">
        <v>1001</v>
      </c>
      <c r="Q67" s="260">
        <v>995.6</v>
      </c>
      <c r="R67" s="260">
        <v>997.5</v>
      </c>
      <c r="S67" s="260">
        <v>998.1</v>
      </c>
      <c r="T67" s="260">
        <v>1031.4000000000001</v>
      </c>
      <c r="U67" s="260">
        <v>1039.5999999999999</v>
      </c>
      <c r="V67" s="260">
        <v>1014.1</v>
      </c>
      <c r="W67" s="260">
        <v>1009.4</v>
      </c>
      <c r="X67" s="260">
        <v>995.1</v>
      </c>
      <c r="Y67" s="260">
        <v>937</v>
      </c>
      <c r="Z67" s="260">
        <v>994.4</v>
      </c>
      <c r="AA67" s="260">
        <v>991.1</v>
      </c>
      <c r="AB67" s="260">
        <v>997</v>
      </c>
      <c r="AC67" s="260">
        <v>989.2</v>
      </c>
      <c r="AD67" s="260">
        <v>1068</v>
      </c>
      <c r="AE67" s="260">
        <v>1071.4000000000001</v>
      </c>
      <c r="AF67" s="260">
        <v>1008</v>
      </c>
      <c r="AG67" s="260">
        <v>1023.09</v>
      </c>
      <c r="AH67" s="260">
        <v>1098.8</v>
      </c>
      <c r="AI67" s="260">
        <v>1141</v>
      </c>
      <c r="AJ67" s="260">
        <v>1099</v>
      </c>
      <c r="AK67" s="260">
        <v>1081.4000000000001</v>
      </c>
      <c r="AL67" s="260">
        <v>1071</v>
      </c>
      <c r="AM67" s="260">
        <v>1109.5</v>
      </c>
      <c r="AN67" s="260">
        <v>1129.5</v>
      </c>
      <c r="AO67" s="260">
        <v>1107.8</v>
      </c>
      <c r="AP67" s="260">
        <v>1121.8</v>
      </c>
      <c r="AQ67" s="260">
        <v>1117.4000000000001</v>
      </c>
      <c r="AR67" s="260">
        <v>944.8</v>
      </c>
      <c r="AS67" s="260">
        <v>1234.4000000000001</v>
      </c>
      <c r="AT67" s="260">
        <v>988.6</v>
      </c>
      <c r="AU67" s="260">
        <v>1107.8</v>
      </c>
      <c r="AV67" s="260">
        <v>1006.4</v>
      </c>
      <c r="AW67" s="260">
        <v>980.7</v>
      </c>
      <c r="AX67" s="260">
        <v>995.9</v>
      </c>
      <c r="AY67" s="260">
        <v>1014.1</v>
      </c>
      <c r="AZ67" s="260">
        <v>990.1</v>
      </c>
      <c r="BA67" s="260">
        <v>985.8</v>
      </c>
      <c r="BB67" s="260">
        <v>989.8</v>
      </c>
      <c r="BC67" s="260">
        <v>975.5</v>
      </c>
      <c r="BD67" s="260">
        <v>1010.2</v>
      </c>
      <c r="BE67" s="260">
        <v>989.2</v>
      </c>
      <c r="BF67" s="260">
        <v>1096.5999999999999</v>
      </c>
      <c r="BG67" s="260">
        <v>993.7</v>
      </c>
      <c r="BH67" s="260">
        <v>1039.9000000000001</v>
      </c>
      <c r="BI67" s="260">
        <v>1032.5999999999999</v>
      </c>
      <c r="BJ67" s="260">
        <v>908.9</v>
      </c>
      <c r="BK67" s="260">
        <v>1010.6</v>
      </c>
      <c r="BL67" s="260">
        <v>1161.2</v>
      </c>
      <c r="BM67" s="260">
        <v>1144.4000000000001</v>
      </c>
      <c r="BN67" s="260">
        <v>1070.0999999999999</v>
      </c>
      <c r="BO67" s="260">
        <v>1128.3</v>
      </c>
      <c r="BP67" s="260">
        <v>1127.2</v>
      </c>
      <c r="BQ67" s="260">
        <v>1003.1</v>
      </c>
      <c r="BR67" s="260">
        <v>1113</v>
      </c>
      <c r="BS67" s="260">
        <v>1009.4</v>
      </c>
      <c r="BT67" s="260">
        <v>1008.3</v>
      </c>
      <c r="BU67" s="260">
        <v>1135.5</v>
      </c>
      <c r="BV67" s="260">
        <v>1005.4</v>
      </c>
      <c r="BW67" s="260">
        <v>961.7</v>
      </c>
      <c r="BX67" s="260">
        <v>1084.0999999999999</v>
      </c>
      <c r="BY67" s="260">
        <v>1076.4000000000001</v>
      </c>
      <c r="BZ67" s="260">
        <v>1092.9000000000001</v>
      </c>
      <c r="CA67" s="260">
        <v>1063.0999999999999</v>
      </c>
      <c r="CB67" s="260">
        <v>991.9</v>
      </c>
      <c r="CC67" s="260">
        <v>992.7</v>
      </c>
      <c r="CD67" s="260">
        <v>998.8</v>
      </c>
      <c r="CE67" s="260">
        <v>994.3</v>
      </c>
      <c r="CF67" s="260">
        <v>1017.1</v>
      </c>
      <c r="CG67" s="260">
        <v>995.9</v>
      </c>
      <c r="CH67" s="260">
        <v>1157.9000000000001</v>
      </c>
      <c r="CI67" s="260">
        <v>1134</v>
      </c>
      <c r="CJ67" s="260">
        <v>1156.0999999999999</v>
      </c>
      <c r="CK67" s="260">
        <v>1015</v>
      </c>
      <c r="CL67" s="260">
        <v>994.1</v>
      </c>
      <c r="CM67" s="260">
        <v>1062.9000000000001</v>
      </c>
      <c r="CN67" s="260">
        <v>1010.3</v>
      </c>
      <c r="CO67" s="260">
        <v>1012.9</v>
      </c>
      <c r="CP67" s="260">
        <v>992.1</v>
      </c>
      <c r="CQ67" s="260">
        <v>1008.1</v>
      </c>
      <c r="CR67" s="260">
        <v>1009.6</v>
      </c>
      <c r="CS67" s="260">
        <v>1014.7</v>
      </c>
      <c r="CT67" s="260">
        <v>1010.2</v>
      </c>
      <c r="CU67" s="260">
        <v>998.9</v>
      </c>
      <c r="CV67" s="260">
        <v>992.2</v>
      </c>
      <c r="CW67" s="260">
        <v>981.9</v>
      </c>
      <c r="CX67" s="260">
        <v>1033.4000000000001</v>
      </c>
      <c r="CY67" s="260">
        <v>1065.2</v>
      </c>
      <c r="CZ67" s="260">
        <v>1018.3</v>
      </c>
      <c r="DA67" s="260">
        <v>1012</v>
      </c>
      <c r="DB67" s="260">
        <v>1123.7</v>
      </c>
      <c r="DC67" s="260">
        <v>985.8</v>
      </c>
      <c r="DD67" s="260">
        <v>992</v>
      </c>
      <c r="DE67" s="260">
        <v>1009.9</v>
      </c>
      <c r="DF67" s="260">
        <v>1001.8</v>
      </c>
      <c r="DG67" s="260">
        <v>1003.3</v>
      </c>
      <c r="DH67" s="260">
        <v>1032.2</v>
      </c>
      <c r="DI67" s="260">
        <v>1005</v>
      </c>
      <c r="DJ67" s="260">
        <v>1028.2</v>
      </c>
      <c r="DK67" s="260">
        <v>1007.6</v>
      </c>
      <c r="DL67" s="260">
        <v>1158.2</v>
      </c>
      <c r="DM67" s="260">
        <v>1012.1</v>
      </c>
      <c r="DN67" s="260">
        <v>1119.5</v>
      </c>
      <c r="DO67" s="260">
        <v>1118.0999999999999</v>
      </c>
      <c r="DP67" s="260">
        <v>1013.2</v>
      </c>
      <c r="DQ67" s="260">
        <v>1103.3</v>
      </c>
      <c r="DR67" s="260">
        <v>1087.0999999999999</v>
      </c>
      <c r="DS67" s="260">
        <v>1072.7</v>
      </c>
      <c r="DT67" s="260">
        <v>1114.9000000000001</v>
      </c>
      <c r="DU67" s="260">
        <v>1125.3</v>
      </c>
      <c r="DV67" s="260">
        <v>1004.2</v>
      </c>
      <c r="DW67" s="260">
        <v>997.5</v>
      </c>
      <c r="DX67" s="260">
        <v>1112.8</v>
      </c>
      <c r="DY67" s="260">
        <v>1123.3</v>
      </c>
      <c r="DZ67" s="260">
        <v>1120.5999999999999</v>
      </c>
      <c r="EA67" s="260">
        <v>1006</v>
      </c>
      <c r="EB67" s="260">
        <v>1020.2</v>
      </c>
      <c r="EC67" s="260">
        <v>1113.2</v>
      </c>
      <c r="ED67" s="260">
        <v>1124.0999999999999</v>
      </c>
      <c r="EE67" s="260">
        <v>1006.2</v>
      </c>
      <c r="EF67" s="260">
        <v>1014.4</v>
      </c>
      <c r="EG67" s="260">
        <v>1144.9000000000001</v>
      </c>
      <c r="EH67" s="260">
        <v>998.9</v>
      </c>
      <c r="EI67" s="260">
        <v>987.1</v>
      </c>
      <c r="EJ67" s="260">
        <v>1139.9000000000001</v>
      </c>
      <c r="EK67" s="260">
        <v>1120.5999999999999</v>
      </c>
      <c r="EL67" s="260">
        <v>1076</v>
      </c>
      <c r="EM67" s="260">
        <v>1084.2</v>
      </c>
      <c r="EN67" s="260">
        <v>1074.2</v>
      </c>
      <c r="EO67" s="260">
        <v>921.2</v>
      </c>
      <c r="EP67" s="260">
        <v>1059.4000000000001</v>
      </c>
      <c r="EQ67" s="260">
        <v>1050.5999999999999</v>
      </c>
      <c r="ER67" s="260">
        <v>1090.4000000000001</v>
      </c>
      <c r="ES67" s="260">
        <v>1100.5</v>
      </c>
      <c r="ET67" s="260">
        <v>1060.5</v>
      </c>
      <c r="EU67" s="260">
        <v>1007.2</v>
      </c>
      <c r="EV67" s="260">
        <v>1059.5999999999999</v>
      </c>
      <c r="EW67" s="260">
        <v>1060.7</v>
      </c>
      <c r="EX67" s="260">
        <v>1007.3</v>
      </c>
      <c r="EY67" s="260">
        <v>1095.8</v>
      </c>
      <c r="EZ67" s="260">
        <v>973.4</v>
      </c>
      <c r="FA67" s="260">
        <v>1035.3</v>
      </c>
      <c r="FB67" s="260">
        <v>1000.5</v>
      </c>
      <c r="FC67" s="260">
        <v>932.8</v>
      </c>
      <c r="FD67" s="260">
        <v>1081.3</v>
      </c>
      <c r="FE67" s="260">
        <v>1093.5999999999999</v>
      </c>
      <c r="FF67" s="260">
        <v>1102.5</v>
      </c>
      <c r="FG67" s="260">
        <v>1013</v>
      </c>
      <c r="FH67" s="260">
        <v>1164.3</v>
      </c>
      <c r="FI67" s="260">
        <v>1022.3</v>
      </c>
      <c r="FJ67" s="260">
        <v>1006.1</v>
      </c>
      <c r="FK67" s="260">
        <v>994</v>
      </c>
      <c r="FL67" s="260">
        <v>1005.5</v>
      </c>
      <c r="FM67" s="260">
        <v>998</v>
      </c>
      <c r="FN67" s="260">
        <v>989.5</v>
      </c>
      <c r="FO67" s="260">
        <v>980.9</v>
      </c>
      <c r="FP67" s="260">
        <v>1121.2</v>
      </c>
      <c r="FQ67" s="260">
        <v>972.6</v>
      </c>
      <c r="FR67" s="260">
        <v>1119.5</v>
      </c>
      <c r="FS67" s="260">
        <v>1125.5</v>
      </c>
      <c r="FT67" s="260">
        <v>1120.0999999999999</v>
      </c>
      <c r="FU67" s="260">
        <v>1035.5</v>
      </c>
      <c r="FV67" s="260">
        <v>981.5</v>
      </c>
      <c r="FW67" s="260">
        <v>1118.4000000000001</v>
      </c>
      <c r="FX67" s="260">
        <v>991.5</v>
      </c>
      <c r="FY67" s="260">
        <v>1031.5</v>
      </c>
      <c r="FZ67" s="260">
        <v>1036.9000000000001</v>
      </c>
      <c r="GA67" s="260">
        <v>1034.8</v>
      </c>
      <c r="GB67" s="260">
        <v>1124.5</v>
      </c>
      <c r="GC67" s="260">
        <v>1031.8</v>
      </c>
      <c r="GD67" s="260">
        <v>1021.5</v>
      </c>
      <c r="GE67" s="260">
        <v>992.6</v>
      </c>
      <c r="GF67" s="260">
        <v>989.5</v>
      </c>
      <c r="GG67" s="260">
        <v>981.5</v>
      </c>
      <c r="GH67" s="260">
        <v>1129.5999999999999</v>
      </c>
      <c r="GI67" s="260">
        <v>987.5</v>
      </c>
      <c r="GJ67" s="260">
        <v>1084.2</v>
      </c>
      <c r="GK67" s="260">
        <v>1116.2</v>
      </c>
      <c r="GL67" s="260">
        <v>1123.0999999999999</v>
      </c>
      <c r="GM67" s="260">
        <v>1029.5</v>
      </c>
      <c r="GN67" s="260">
        <v>1081.5999999999999</v>
      </c>
      <c r="GO67" s="260">
        <v>1013.8</v>
      </c>
      <c r="GP67" s="260">
        <v>1029.5</v>
      </c>
      <c r="GQ67" s="260">
        <v>988.8</v>
      </c>
      <c r="GR67" s="260">
        <v>1026.4000000000001</v>
      </c>
      <c r="GS67" s="260">
        <v>1079.5</v>
      </c>
      <c r="GT67" s="260">
        <v>984.9</v>
      </c>
      <c r="GU67" s="260">
        <v>981.2</v>
      </c>
      <c r="GV67" s="260">
        <v>991.5</v>
      </c>
      <c r="GW67" s="260">
        <v>1002.4</v>
      </c>
      <c r="GX67" s="260">
        <v>998.6</v>
      </c>
      <c r="GY67" s="260">
        <v>1001.8</v>
      </c>
      <c r="GZ67" s="260">
        <v>840.9</v>
      </c>
      <c r="HA67" s="260">
        <v>1021.7</v>
      </c>
      <c r="HB67" s="260"/>
      <c r="HC67" s="260"/>
      <c r="HD67" s="260">
        <v>906.5</v>
      </c>
      <c r="HE67" s="260">
        <v>710.5</v>
      </c>
      <c r="HF67" s="260">
        <v>991.9</v>
      </c>
      <c r="HG67" s="260"/>
      <c r="HH67" s="260">
        <v>1084.2</v>
      </c>
      <c r="HI67" s="260">
        <v>980.7</v>
      </c>
      <c r="HJ67" s="260">
        <v>1011.3</v>
      </c>
      <c r="HK67" s="260">
        <v>980.2</v>
      </c>
      <c r="HL67" s="260">
        <v>1002.9</v>
      </c>
      <c r="HM67" s="260">
        <v>1007.3</v>
      </c>
      <c r="HN67" s="260">
        <v>1023.3</v>
      </c>
      <c r="HO67" s="260">
        <v>1018.9</v>
      </c>
      <c r="HP67" s="260">
        <v>1022.7</v>
      </c>
      <c r="HQ67" s="260">
        <v>1033.5999999999999</v>
      </c>
      <c r="HR67" s="260">
        <v>1014</v>
      </c>
      <c r="HS67" s="260">
        <v>1024</v>
      </c>
      <c r="HT67" s="260">
        <v>1143</v>
      </c>
      <c r="HU67" s="260">
        <v>1163.8</v>
      </c>
      <c r="HV67" s="260">
        <v>924</v>
      </c>
      <c r="HW67" s="260">
        <v>899</v>
      </c>
      <c r="HX67" s="260">
        <v>774.3</v>
      </c>
      <c r="HY67" s="260">
        <v>656.1</v>
      </c>
      <c r="HZ67" s="260">
        <v>769.2</v>
      </c>
      <c r="IA67" s="260">
        <v>879.3</v>
      </c>
      <c r="IB67" s="260">
        <v>1034.5</v>
      </c>
      <c r="IC67" s="260">
        <v>1109.7</v>
      </c>
      <c r="ID67" s="260">
        <v>1066.5999999999999</v>
      </c>
      <c r="IE67" s="260">
        <v>1122</v>
      </c>
      <c r="IF67" s="260">
        <v>1031.5</v>
      </c>
      <c r="IG67" s="260">
        <v>1061.4000000000001</v>
      </c>
      <c r="IH67" s="260">
        <v>1104.2</v>
      </c>
      <c r="II67" s="260">
        <v>1112.5999999999999</v>
      </c>
      <c r="IJ67" s="260">
        <v>950</v>
      </c>
      <c r="IK67" s="260">
        <v>1020.9</v>
      </c>
      <c r="IL67" s="260">
        <v>941.5</v>
      </c>
      <c r="IM67" s="260">
        <v>991</v>
      </c>
      <c r="IN67" s="260">
        <v>926</v>
      </c>
      <c r="IO67" s="260"/>
      <c r="IP67" s="260">
        <v>1330</v>
      </c>
      <c r="IQ67" s="260">
        <v>1067.7</v>
      </c>
      <c r="IR67" s="260">
        <v>414.1</v>
      </c>
      <c r="IS67" s="260">
        <v>995.4</v>
      </c>
      <c r="IT67" s="260">
        <v>938.8</v>
      </c>
      <c r="IU67" s="260"/>
      <c r="IV67" s="260"/>
      <c r="IW67" s="260">
        <v>1024.5999999999999</v>
      </c>
      <c r="IX67" s="260">
        <v>1040.2</v>
      </c>
      <c r="IY67" s="260">
        <v>1053.7</v>
      </c>
      <c r="IZ67" s="260">
        <v>946.8</v>
      </c>
      <c r="JA67" s="260">
        <v>901</v>
      </c>
      <c r="JB67" s="289">
        <v>33.5</v>
      </c>
      <c r="JC67" s="289">
        <v>42</v>
      </c>
      <c r="JD67" s="289">
        <v>3.1</v>
      </c>
      <c r="JE67" s="289">
        <v>8.3000000000000007</v>
      </c>
      <c r="JF67" s="289"/>
      <c r="JG67" s="289">
        <v>5.3</v>
      </c>
      <c r="JH67" s="259">
        <v>4.8499999999999996</v>
      </c>
      <c r="JI67" s="290"/>
      <c r="JJ67" s="290"/>
      <c r="JK67" s="260">
        <v>85860885.701000005</v>
      </c>
      <c r="JL67" s="264">
        <v>282715.29300000001</v>
      </c>
      <c r="JM67" s="260">
        <v>58855621.314999998</v>
      </c>
      <c r="JN67" s="260">
        <v>62358.83</v>
      </c>
      <c r="JO67" s="260">
        <v>86575069.974000007</v>
      </c>
      <c r="JP67" s="260">
        <v>187741</v>
      </c>
      <c r="JQ67" s="260">
        <v>62864610.119999997</v>
      </c>
      <c r="JR67" s="260">
        <v>56612.760999999999</v>
      </c>
      <c r="JS67" s="289">
        <v>325261923.023</v>
      </c>
      <c r="JT67" s="289">
        <v>86205.024999999994</v>
      </c>
      <c r="JU67" s="283">
        <f t="shared" si="288"/>
        <v>66457.090000003576</v>
      </c>
      <c r="JV67" s="283">
        <f>IF((JL67-JL66)&lt;0,"",(JL67-JL66))</f>
        <v>65.028999999980442</v>
      </c>
      <c r="JW67" s="283">
        <f t="shared" si="290"/>
        <v>64031.916000001132</v>
      </c>
      <c r="JX67" s="283">
        <f t="shared" si="291"/>
        <v>63.293000000005122</v>
      </c>
      <c r="JY67" s="284">
        <f t="shared" si="292"/>
        <v>66286.859000012279</v>
      </c>
      <c r="JZ67" s="284">
        <f t="shared" si="293"/>
        <v>49.102000000013504</v>
      </c>
      <c r="KA67" s="284">
        <f t="shared" ref="KA67:KA73" si="298">IF((JQ67-JQ66)&lt;0,"",(JQ67-JQ66))</f>
        <v>51872.406999997795</v>
      </c>
      <c r="KB67" s="284">
        <f t="shared" si="295"/>
        <v>79.105999999999767</v>
      </c>
      <c r="KC67" s="283">
        <f t="shared" ref="KC67:KC72" si="299">IF((JS67-JS66)&lt;0,"",(JS67-JS66))</f>
        <v>247759.34600001574</v>
      </c>
      <c r="KD67" s="283">
        <f t="shared" si="297"/>
        <v>159.8119999999908</v>
      </c>
      <c r="KE67" s="291">
        <f t="shared" si="206"/>
        <v>130360.68400000472</v>
      </c>
      <c r="KF67" s="291">
        <f t="shared" si="207"/>
        <v>247599.53400001576</v>
      </c>
      <c r="KG67" s="292">
        <f>(RD[[#This Row],[Sunset Time (POA&lt;20 W/m2)]]-RD[[#This Row],[Sunrise Time (POA&gt;20 W/m2)]])*24</f>
        <v>13.183333333333332</v>
      </c>
      <c r="KH67" s="293">
        <f>RD[[#This Row],[GHI ]]</f>
        <v>5.3</v>
      </c>
      <c r="KI67" s="293">
        <f>RD[[#This Row],[POA]]</f>
        <v>4.8499999999999996</v>
      </c>
      <c r="KJ67" s="293">
        <f>RD[[#This Row],[AT (°C) 14 Hours]]</f>
        <v>33.5</v>
      </c>
      <c r="KK67" s="293">
        <f>RD[[#This Row],[MT (°C) Gen. Hours]]</f>
        <v>42</v>
      </c>
      <c r="KL67" s="293">
        <f>RD[[#This Row],[WS_Avg (m/s) (24 Hours)]]</f>
        <v>3.1</v>
      </c>
      <c r="KM67" s="293">
        <f>RD[[#This Row],[WS_Max (m/s)]]</f>
        <v>8.3000000000000007</v>
      </c>
      <c r="KN67" s="294">
        <f>SUM(RD[[#This Row],[BLK1_INV1]:[BLK8_INV28]])</f>
        <v>251303.79</v>
      </c>
      <c r="KO67" s="95"/>
      <c r="KP67" s="55"/>
      <c r="KQ67" s="90" t="str">
        <f>IFERROR(RD[[#This Row],[WPR_Eac]]/RD[[#This Row],[WPR_Edc]],"")</f>
        <v/>
      </c>
    </row>
    <row r="68" spans="2:303" ht="15" customHeight="1" x14ac:dyDescent="0.25">
      <c r="B68" s="52">
        <v>45809</v>
      </c>
      <c r="C68" s="9">
        <f>YEAR(RD[[#This Row],[Date]])+IF(MONTH(RD[[#This Row],[Date]])&gt;=4,1,0)</f>
        <v>2026</v>
      </c>
      <c r="D68" s="6">
        <f t="shared" ref="D68:D73" si="300">YEAR(B68)</f>
        <v>2025</v>
      </c>
      <c r="E68" s="7"/>
      <c r="F68" s="7"/>
      <c r="G68" s="8" t="str">
        <f>TEXT(RD[[#This Row],[Date]],"mmm-yy")</f>
        <v>Jun-25</v>
      </c>
      <c r="H68" s="6">
        <f t="shared" ref="H68:H73" si="301">DAY(EOMONTH(B68,0))</f>
        <v>30</v>
      </c>
      <c r="I68" s="9">
        <f>'Basic Data '!$S$2</f>
        <v>66750</v>
      </c>
      <c r="J68" s="10">
        <v>0.21805555555555556</v>
      </c>
      <c r="K68" s="10">
        <v>0.7729166666666667</v>
      </c>
      <c r="L68" s="260">
        <v>985.3</v>
      </c>
      <c r="M68" s="260">
        <v>995.1</v>
      </c>
      <c r="N68" s="260">
        <v>908.1</v>
      </c>
      <c r="O68" s="260">
        <v>920.9</v>
      </c>
      <c r="P68" s="260">
        <v>994.5</v>
      </c>
      <c r="Q68" s="260">
        <v>918.2</v>
      </c>
      <c r="R68" s="260">
        <v>921.1</v>
      </c>
      <c r="S68" s="260">
        <v>912.5</v>
      </c>
      <c r="T68" s="260">
        <v>954.2</v>
      </c>
      <c r="U68" s="260">
        <v>959.4</v>
      </c>
      <c r="V68" s="260">
        <v>938.8</v>
      </c>
      <c r="W68" s="260">
        <v>934.2</v>
      </c>
      <c r="X68" s="260">
        <v>917.9</v>
      </c>
      <c r="Y68" s="260">
        <v>862.9</v>
      </c>
      <c r="Z68" s="260">
        <v>917.1</v>
      </c>
      <c r="AA68" s="260">
        <v>921.5</v>
      </c>
      <c r="AB68" s="260">
        <v>873.6</v>
      </c>
      <c r="AC68" s="260">
        <v>910</v>
      </c>
      <c r="AD68" s="260">
        <v>987.9</v>
      </c>
      <c r="AE68" s="260">
        <v>990.7</v>
      </c>
      <c r="AF68" s="260">
        <v>920.6</v>
      </c>
      <c r="AG68" s="260">
        <v>920.2</v>
      </c>
      <c r="AH68" s="260">
        <v>1007.6</v>
      </c>
      <c r="AI68" s="260">
        <v>1036</v>
      </c>
      <c r="AJ68" s="260">
        <v>1006.9</v>
      </c>
      <c r="AK68" s="260">
        <v>997.3</v>
      </c>
      <c r="AL68" s="260">
        <v>988.7</v>
      </c>
      <c r="AM68" s="260">
        <v>1021.7</v>
      </c>
      <c r="AN68" s="260">
        <v>1040.5999999999999</v>
      </c>
      <c r="AO68" s="260">
        <v>1023.5</v>
      </c>
      <c r="AP68" s="260">
        <v>1031.7</v>
      </c>
      <c r="AQ68" s="260">
        <v>1030.8</v>
      </c>
      <c r="AR68" s="260">
        <v>865.2</v>
      </c>
      <c r="AS68" s="260">
        <v>1139.4000000000001</v>
      </c>
      <c r="AT68" s="260">
        <v>902.2</v>
      </c>
      <c r="AU68" s="260">
        <v>1031.9000000000001</v>
      </c>
      <c r="AV68" s="260">
        <v>925.6</v>
      </c>
      <c r="AW68" s="260">
        <v>901</v>
      </c>
      <c r="AX68" s="260">
        <v>918.2</v>
      </c>
      <c r="AY68" s="260">
        <v>931.6</v>
      </c>
      <c r="AZ68" s="260">
        <v>913.1</v>
      </c>
      <c r="BA68" s="260">
        <v>907.3</v>
      </c>
      <c r="BB68" s="260">
        <v>920.6</v>
      </c>
      <c r="BC68" s="260">
        <v>832.1</v>
      </c>
      <c r="BD68" s="260">
        <v>918</v>
      </c>
      <c r="BE68" s="260">
        <v>921.7</v>
      </c>
      <c r="BF68" s="260">
        <v>995.5</v>
      </c>
      <c r="BG68" s="260">
        <v>911.5</v>
      </c>
      <c r="BH68" s="260">
        <v>946.7</v>
      </c>
      <c r="BI68" s="260">
        <v>930.7</v>
      </c>
      <c r="BJ68" s="260">
        <v>916.6</v>
      </c>
      <c r="BK68" s="260">
        <v>918.9</v>
      </c>
      <c r="BL68" s="260">
        <v>1050</v>
      </c>
      <c r="BM68" s="260">
        <v>1034.8</v>
      </c>
      <c r="BN68" s="260">
        <v>988.2</v>
      </c>
      <c r="BO68" s="260">
        <v>1040.0999999999999</v>
      </c>
      <c r="BP68" s="260">
        <v>1042.5</v>
      </c>
      <c r="BQ68" s="260">
        <v>927.5</v>
      </c>
      <c r="BR68" s="260">
        <v>1028.5</v>
      </c>
      <c r="BS68" s="260">
        <v>1041.4000000000001</v>
      </c>
      <c r="BT68" s="260">
        <v>925.1</v>
      </c>
      <c r="BU68" s="260">
        <v>1046.4000000000001</v>
      </c>
      <c r="BV68" s="260">
        <v>918.8</v>
      </c>
      <c r="BW68" s="260">
        <v>892.2</v>
      </c>
      <c r="BX68" s="260">
        <v>987.9</v>
      </c>
      <c r="BY68" s="260">
        <v>980.6</v>
      </c>
      <c r="BZ68" s="260">
        <v>996.5</v>
      </c>
      <c r="CA68" s="260">
        <v>971.1</v>
      </c>
      <c r="CB68" s="260">
        <v>905.9</v>
      </c>
      <c r="CC68" s="260">
        <v>901.1</v>
      </c>
      <c r="CD68" s="260">
        <v>909.8</v>
      </c>
      <c r="CE68" s="260">
        <v>905.8</v>
      </c>
      <c r="CF68" s="260">
        <v>927.6</v>
      </c>
      <c r="CG68" s="260">
        <v>911.9</v>
      </c>
      <c r="CH68" s="260">
        <v>1051</v>
      </c>
      <c r="CI68" s="260">
        <v>1030.4000000000001</v>
      </c>
      <c r="CJ68" s="260">
        <v>1045.5</v>
      </c>
      <c r="CK68" s="260">
        <v>916.1</v>
      </c>
      <c r="CL68" s="260">
        <v>906</v>
      </c>
      <c r="CM68" s="260">
        <v>985.3</v>
      </c>
      <c r="CN68" s="260">
        <v>920</v>
      </c>
      <c r="CO68" s="260">
        <v>922.1</v>
      </c>
      <c r="CP68" s="260">
        <v>909.2</v>
      </c>
      <c r="CQ68" s="260">
        <v>921.2</v>
      </c>
      <c r="CR68" s="260">
        <v>911.5</v>
      </c>
      <c r="CS68" s="260">
        <v>913.5</v>
      </c>
      <c r="CT68" s="260">
        <v>920</v>
      </c>
      <c r="CU68" s="260">
        <v>912.1</v>
      </c>
      <c r="CV68" s="260">
        <v>905.3</v>
      </c>
      <c r="CW68" s="260">
        <v>916.9</v>
      </c>
      <c r="CX68" s="260">
        <v>942.7</v>
      </c>
      <c r="CY68" s="260">
        <v>990.8</v>
      </c>
      <c r="CZ68" s="260">
        <v>929.8</v>
      </c>
      <c r="DA68" s="260">
        <v>922.3</v>
      </c>
      <c r="DB68" s="260">
        <v>1023</v>
      </c>
      <c r="DC68" s="260">
        <v>900.1</v>
      </c>
      <c r="DD68" s="260">
        <v>903.5</v>
      </c>
      <c r="DE68" s="260">
        <v>915.8</v>
      </c>
      <c r="DF68" s="260">
        <v>909.4</v>
      </c>
      <c r="DG68" s="260">
        <v>908.5</v>
      </c>
      <c r="DH68" s="260">
        <v>933.4</v>
      </c>
      <c r="DI68" s="260">
        <v>908.6</v>
      </c>
      <c r="DJ68" s="260">
        <v>927.8</v>
      </c>
      <c r="DK68" s="260">
        <v>910.6</v>
      </c>
      <c r="DL68" s="260">
        <v>1047.7</v>
      </c>
      <c r="DM68" s="260">
        <v>912.8</v>
      </c>
      <c r="DN68" s="260">
        <v>1090.0999999999999</v>
      </c>
      <c r="DO68" s="260">
        <v>1017.1</v>
      </c>
      <c r="DP68" s="260">
        <v>917.7</v>
      </c>
      <c r="DQ68" s="260">
        <v>1014.6</v>
      </c>
      <c r="DR68" s="260">
        <v>981.8</v>
      </c>
      <c r="DS68" s="260">
        <v>983.2</v>
      </c>
      <c r="DT68" s="260">
        <v>1029</v>
      </c>
      <c r="DU68" s="260">
        <v>1024.5999999999999</v>
      </c>
      <c r="DV68" s="260">
        <v>911.3</v>
      </c>
      <c r="DW68" s="260">
        <v>915.5</v>
      </c>
      <c r="DX68" s="260">
        <v>1015</v>
      </c>
      <c r="DY68" s="260">
        <v>1017.6</v>
      </c>
      <c r="DZ68" s="260">
        <v>1014.6</v>
      </c>
      <c r="EA68" s="260">
        <v>912.3</v>
      </c>
      <c r="EB68" s="260">
        <v>927</v>
      </c>
      <c r="EC68" s="260">
        <v>1019.1</v>
      </c>
      <c r="ED68" s="260">
        <v>1025.5</v>
      </c>
      <c r="EE68" s="260">
        <v>910.9</v>
      </c>
      <c r="EF68" s="260">
        <v>916.4</v>
      </c>
      <c r="EG68" s="260">
        <v>1021.5</v>
      </c>
      <c r="EH68" s="260">
        <v>901.4</v>
      </c>
      <c r="EI68" s="260">
        <v>909.9</v>
      </c>
      <c r="EJ68" s="260">
        <v>1029.3</v>
      </c>
      <c r="EK68" s="260">
        <v>1018.7</v>
      </c>
      <c r="EL68" s="260">
        <v>907.2</v>
      </c>
      <c r="EM68" s="260">
        <v>989.5</v>
      </c>
      <c r="EN68" s="260">
        <v>985.7</v>
      </c>
      <c r="EO68" s="260">
        <v>843.6</v>
      </c>
      <c r="EP68" s="260">
        <v>1036</v>
      </c>
      <c r="EQ68" s="260">
        <v>1041.4000000000001</v>
      </c>
      <c r="ER68" s="260">
        <v>1031.8</v>
      </c>
      <c r="ES68" s="260">
        <v>1038.5</v>
      </c>
      <c r="ET68" s="260">
        <v>973</v>
      </c>
      <c r="EU68" s="260">
        <v>926.5</v>
      </c>
      <c r="EV68" s="260">
        <v>1042</v>
      </c>
      <c r="EW68" s="260">
        <v>1036.5999999999999</v>
      </c>
      <c r="EX68" s="260">
        <v>921.2</v>
      </c>
      <c r="EY68" s="260">
        <v>1003.7</v>
      </c>
      <c r="EZ68" s="260">
        <v>887.9</v>
      </c>
      <c r="FA68" s="260">
        <v>948.2</v>
      </c>
      <c r="FB68" s="260">
        <v>914</v>
      </c>
      <c r="FC68" s="260">
        <v>850.2</v>
      </c>
      <c r="FD68" s="260">
        <v>981.8</v>
      </c>
      <c r="FE68" s="260">
        <v>994.7</v>
      </c>
      <c r="FF68" s="260">
        <v>998.7</v>
      </c>
      <c r="FG68" s="260">
        <v>912.3</v>
      </c>
      <c r="FH68" s="260">
        <v>1040.7</v>
      </c>
      <c r="FI68" s="260">
        <v>915.7</v>
      </c>
      <c r="FJ68" s="260">
        <v>921.6</v>
      </c>
      <c r="FK68" s="260">
        <v>911.6</v>
      </c>
      <c r="FL68" s="260">
        <v>909.6</v>
      </c>
      <c r="FM68" s="260">
        <v>917.5</v>
      </c>
      <c r="FN68" s="260">
        <v>887.5</v>
      </c>
      <c r="FO68" s="260">
        <v>891.2</v>
      </c>
      <c r="FP68" s="260">
        <v>1027.5</v>
      </c>
      <c r="FQ68" s="260">
        <v>892.3</v>
      </c>
      <c r="FR68" s="260">
        <v>1031.3</v>
      </c>
      <c r="FS68" s="260">
        <v>1029.5</v>
      </c>
      <c r="FT68" s="260">
        <v>1025.5999999999999</v>
      </c>
      <c r="FU68" s="260">
        <v>919.5</v>
      </c>
      <c r="FV68" s="260">
        <v>889.5</v>
      </c>
      <c r="FW68" s="260">
        <v>1021.5</v>
      </c>
      <c r="FX68" s="260">
        <v>885.5</v>
      </c>
      <c r="FY68" s="260">
        <v>920.1</v>
      </c>
      <c r="FZ68" s="260">
        <v>911.5</v>
      </c>
      <c r="GA68" s="260">
        <v>915.7</v>
      </c>
      <c r="GB68" s="260">
        <v>1030.5999999999999</v>
      </c>
      <c r="GC68" s="260">
        <v>915.4</v>
      </c>
      <c r="GD68" s="260">
        <v>1021.5</v>
      </c>
      <c r="GE68" s="260">
        <v>891.1</v>
      </c>
      <c r="GF68" s="260">
        <v>886.4</v>
      </c>
      <c r="GG68" s="260">
        <v>890.7</v>
      </c>
      <c r="GH68" s="260">
        <v>1024.4000000000001</v>
      </c>
      <c r="GI68" s="260">
        <v>888.1</v>
      </c>
      <c r="GJ68" s="260">
        <v>957.6</v>
      </c>
      <c r="GK68" s="260">
        <v>1019.5</v>
      </c>
      <c r="GL68" s="260">
        <v>1028.3</v>
      </c>
      <c r="GM68" s="260">
        <v>916.4</v>
      </c>
      <c r="GN68" s="260">
        <v>966.3</v>
      </c>
      <c r="GO68" s="260">
        <v>1024.4000000000001</v>
      </c>
      <c r="GP68" s="260">
        <v>920.4</v>
      </c>
      <c r="GQ68" s="260">
        <v>923.5</v>
      </c>
      <c r="GR68" s="260">
        <v>921.4</v>
      </c>
      <c r="GS68" s="260">
        <v>964.5</v>
      </c>
      <c r="GT68" s="260">
        <v>901.5</v>
      </c>
      <c r="GU68" s="260">
        <v>911.2</v>
      </c>
      <c r="GV68" s="260">
        <v>907.5</v>
      </c>
      <c r="GW68" s="260">
        <v>916.6</v>
      </c>
      <c r="GX68" s="260">
        <v>907.8</v>
      </c>
      <c r="GY68" s="260">
        <v>676.5</v>
      </c>
      <c r="GZ68" s="260">
        <v>769.2</v>
      </c>
      <c r="HA68" s="260">
        <v>929</v>
      </c>
      <c r="HB68" s="260"/>
      <c r="HC68" s="260"/>
      <c r="HD68" s="260">
        <v>820.9</v>
      </c>
      <c r="HE68" s="260">
        <v>621.70000000000005</v>
      </c>
      <c r="HF68" s="260">
        <v>907.7</v>
      </c>
      <c r="HG68" s="260"/>
      <c r="HH68" s="260">
        <v>993.4</v>
      </c>
      <c r="HI68" s="260">
        <v>878</v>
      </c>
      <c r="HJ68" s="260">
        <v>918</v>
      </c>
      <c r="HK68" s="260">
        <v>892.5</v>
      </c>
      <c r="HL68" s="260">
        <v>913.6</v>
      </c>
      <c r="HM68" s="260">
        <v>914.6</v>
      </c>
      <c r="HN68" s="260">
        <v>925.3</v>
      </c>
      <c r="HO68" s="260">
        <v>920.9</v>
      </c>
      <c r="HP68" s="260">
        <v>925.2</v>
      </c>
      <c r="HQ68" s="260">
        <v>936.2</v>
      </c>
      <c r="HR68" s="260">
        <v>920.7</v>
      </c>
      <c r="HS68" s="260">
        <v>930.2</v>
      </c>
      <c r="HT68" s="260">
        <v>1037.4000000000001</v>
      </c>
      <c r="HU68" s="260">
        <v>1056.8</v>
      </c>
      <c r="HV68" s="260">
        <v>849.7</v>
      </c>
      <c r="HW68" s="260">
        <v>827.8</v>
      </c>
      <c r="HX68" s="260">
        <v>710.6</v>
      </c>
      <c r="HY68" s="260">
        <v>601.20000000000005</v>
      </c>
      <c r="HZ68" s="260">
        <v>717.4</v>
      </c>
      <c r="IA68" s="260">
        <v>808.4</v>
      </c>
      <c r="IB68" s="260">
        <v>943.4</v>
      </c>
      <c r="IC68" s="260">
        <v>1017.8</v>
      </c>
      <c r="ID68" s="260">
        <v>983.7</v>
      </c>
      <c r="IE68" s="260">
        <v>962.4</v>
      </c>
      <c r="IF68" s="260">
        <v>935.5</v>
      </c>
      <c r="IG68" s="260">
        <v>989.7</v>
      </c>
      <c r="IH68" s="260">
        <v>1010.7</v>
      </c>
      <c r="II68" s="260">
        <v>1116.3</v>
      </c>
      <c r="IJ68" s="260">
        <v>860.9</v>
      </c>
      <c r="IK68" s="260">
        <v>929.5</v>
      </c>
      <c r="IL68" s="260">
        <v>869.2</v>
      </c>
      <c r="IM68" s="260">
        <v>926.7</v>
      </c>
      <c r="IN68" s="260">
        <v>868.5</v>
      </c>
      <c r="IO68" s="260"/>
      <c r="IP68" s="260">
        <v>1238.4000000000001</v>
      </c>
      <c r="IQ68" s="260">
        <v>965.1</v>
      </c>
      <c r="IR68" s="260">
        <v>424.5</v>
      </c>
      <c r="IS68" s="260">
        <v>897.9</v>
      </c>
      <c r="IT68" s="260">
        <v>873.4</v>
      </c>
      <c r="IU68" s="260"/>
      <c r="IV68" s="260"/>
      <c r="IW68" s="260">
        <v>906.6</v>
      </c>
      <c r="IX68" s="260">
        <v>950.9</v>
      </c>
      <c r="IY68" s="260">
        <v>911.7</v>
      </c>
      <c r="IZ68" s="260">
        <v>856.9</v>
      </c>
      <c r="JA68" s="260">
        <v>815.3</v>
      </c>
      <c r="JB68" s="289">
        <v>31.9</v>
      </c>
      <c r="JC68" s="289">
        <v>40.799999999999997</v>
      </c>
      <c r="JD68" s="289">
        <v>3.4</v>
      </c>
      <c r="JE68" s="289">
        <v>6.2</v>
      </c>
      <c r="JF68" s="289"/>
      <c r="JG68" s="289">
        <v>4.91</v>
      </c>
      <c r="JH68" s="259">
        <v>4.4000000000000004</v>
      </c>
      <c r="JI68" s="290"/>
      <c r="JJ68" s="290"/>
      <c r="JK68" s="260">
        <v>85922250.649000004</v>
      </c>
      <c r="JL68" s="264">
        <v>282756.32199999999</v>
      </c>
      <c r="JM68" s="260">
        <v>58914133.539999999</v>
      </c>
      <c r="JN68" s="264">
        <v>62411.123</v>
      </c>
      <c r="JO68" s="260">
        <v>86636539.253999993</v>
      </c>
      <c r="JP68" s="264">
        <v>187780.10200000001</v>
      </c>
      <c r="JQ68" s="260">
        <v>62911708.899999999</v>
      </c>
      <c r="JR68" s="264">
        <v>56689.866999999998</v>
      </c>
      <c r="JS68" s="289">
        <v>325491068.83399999</v>
      </c>
      <c r="JT68" s="296">
        <v>86361.837</v>
      </c>
      <c r="JU68" s="283">
        <f t="shared" si="288"/>
        <v>61364.947999998927</v>
      </c>
      <c r="JV68" s="283">
        <f t="shared" si="289"/>
        <v>41.028999999980442</v>
      </c>
      <c r="JW68" s="283">
        <f t="shared" si="290"/>
        <v>58512.22500000149</v>
      </c>
      <c r="JX68" s="283">
        <f t="shared" si="291"/>
        <v>52.292999999997846</v>
      </c>
      <c r="JY68" s="284">
        <f t="shared" si="292"/>
        <v>61469.279999986291</v>
      </c>
      <c r="JZ68" s="284">
        <f t="shared" si="293"/>
        <v>39.102000000013504</v>
      </c>
      <c r="KA68" s="284">
        <f t="shared" si="298"/>
        <v>47098.780000001192</v>
      </c>
      <c r="KB68" s="284">
        <f t="shared" si="295"/>
        <v>77.105999999999767</v>
      </c>
      <c r="KC68" s="283">
        <f t="shared" si="299"/>
        <v>229145.81099998951</v>
      </c>
      <c r="KD68" s="283">
        <f t="shared" si="297"/>
        <v>156.81200000000536</v>
      </c>
      <c r="KE68" s="291">
        <f t="shared" si="206"/>
        <v>119783.85100000043</v>
      </c>
      <c r="KF68" s="291">
        <f t="shared" ref="KF68:KF73" si="302">IFERROR(KC68-KD68,"")</f>
        <v>228988.9989999895</v>
      </c>
      <c r="KG68" s="292">
        <f>(RD[[#This Row],[Sunset Time (POA&lt;20 W/m2)]]-RD[[#This Row],[Sunrise Time (POA&gt;20 W/m2)]])*24</f>
        <v>13.316666666666666</v>
      </c>
      <c r="KH68" s="293">
        <f>RD[[#This Row],[GHI ]]</f>
        <v>4.91</v>
      </c>
      <c r="KI68" s="293">
        <f>RD[[#This Row],[POA]]</f>
        <v>4.4000000000000004</v>
      </c>
      <c r="KJ68" s="293">
        <f>RD[[#This Row],[AT (°C) 14 Hours]]</f>
        <v>31.9</v>
      </c>
      <c r="KK68" s="293">
        <f>RD[[#This Row],[MT (°C) Gen. Hours]]</f>
        <v>40.799999999999997</v>
      </c>
      <c r="KL68" s="293">
        <f>RD[[#This Row],[WS_Avg (m/s) (24 Hours)]]</f>
        <v>3.4</v>
      </c>
      <c r="KM68" s="293">
        <f>RD[[#This Row],[WS_Max (m/s)]]</f>
        <v>6.2</v>
      </c>
      <c r="KN68" s="294">
        <f>SUM(RD[[#This Row],[BLK1_INV1]:[BLK8_INV27]])</f>
        <v>229035.10000000018</v>
      </c>
      <c r="KO68" s="95"/>
      <c r="KP68" s="55"/>
      <c r="KQ68" s="90" t="str">
        <f>IFERROR(RD[[#This Row],[WPR_Eac]]/RD[[#This Row],[WPR_Edc]],"")</f>
        <v/>
      </c>
    </row>
    <row r="69" spans="2:303" ht="15" customHeight="1" x14ac:dyDescent="0.25">
      <c r="B69" s="52">
        <v>45810</v>
      </c>
      <c r="C69" s="9">
        <f>YEAR(RD[[#This Row],[Date]])+IF(MONTH(RD[[#This Row],[Date]])&gt;=4,1,0)</f>
        <v>2026</v>
      </c>
      <c r="D69" s="6">
        <f t="shared" si="300"/>
        <v>2025</v>
      </c>
      <c r="E69" s="7"/>
      <c r="F69" s="7"/>
      <c r="G69" s="8" t="str">
        <f>TEXT(RD[[#This Row],[Date]],"mmm-yy")</f>
        <v>Jun-25</v>
      </c>
      <c r="H69" s="6">
        <f t="shared" si="301"/>
        <v>30</v>
      </c>
      <c r="I69" s="9">
        <f>'Basic Data '!$S$2</f>
        <v>66750</v>
      </c>
      <c r="J69" s="10">
        <v>0.21875</v>
      </c>
      <c r="K69" s="10">
        <v>0.74722222222222223</v>
      </c>
      <c r="L69" s="260">
        <v>1020.1</v>
      </c>
      <c r="M69" s="260">
        <v>1026</v>
      </c>
      <c r="N69" s="260">
        <v>984.9</v>
      </c>
      <c r="O69" s="260">
        <v>1026</v>
      </c>
      <c r="P69" s="260">
        <v>1098.5</v>
      </c>
      <c r="Q69" s="260">
        <v>1016.8</v>
      </c>
      <c r="R69" s="260">
        <v>1014.6</v>
      </c>
      <c r="S69" s="260">
        <v>932.7</v>
      </c>
      <c r="T69" s="260">
        <v>1051.5</v>
      </c>
      <c r="U69" s="260">
        <v>1057.3</v>
      </c>
      <c r="V69" s="260">
        <v>1034.0999999999999</v>
      </c>
      <c r="W69" s="260">
        <v>1030</v>
      </c>
      <c r="X69" s="260">
        <v>1013.7</v>
      </c>
      <c r="Y69" s="260">
        <v>952.5</v>
      </c>
      <c r="Z69" s="260">
        <v>1012.5</v>
      </c>
      <c r="AA69" s="260">
        <v>1006.2</v>
      </c>
      <c r="AB69" s="260">
        <v>963.1</v>
      </c>
      <c r="AC69" s="260">
        <v>1004.7</v>
      </c>
      <c r="AD69" s="260">
        <v>1091.5999999999999</v>
      </c>
      <c r="AE69" s="260">
        <v>1092.3</v>
      </c>
      <c r="AF69" s="260">
        <v>1016.1</v>
      </c>
      <c r="AG69" s="260">
        <v>1016.4</v>
      </c>
      <c r="AH69" s="260">
        <v>1110.5999999999999</v>
      </c>
      <c r="AI69" s="260">
        <v>1144.5999999999999</v>
      </c>
      <c r="AJ69" s="260">
        <v>1111.2</v>
      </c>
      <c r="AK69" s="260">
        <v>1100.8</v>
      </c>
      <c r="AL69" s="260">
        <v>1093.5999999999999</v>
      </c>
      <c r="AM69" s="260">
        <v>1130.8</v>
      </c>
      <c r="AN69" s="260">
        <v>1153.3</v>
      </c>
      <c r="AO69" s="260">
        <v>1130</v>
      </c>
      <c r="AP69" s="260">
        <v>1155.5</v>
      </c>
      <c r="AQ69" s="260">
        <v>1145.5</v>
      </c>
      <c r="AR69" s="260">
        <v>1005.2</v>
      </c>
      <c r="AS69" s="260">
        <v>1154.5</v>
      </c>
      <c r="AT69" s="260">
        <v>1050.2</v>
      </c>
      <c r="AU69" s="260">
        <v>1182.9000000000001</v>
      </c>
      <c r="AV69" s="260">
        <v>1054</v>
      </c>
      <c r="AW69" s="260">
        <v>1024.5</v>
      </c>
      <c r="AX69" s="260">
        <v>1043</v>
      </c>
      <c r="AY69" s="260">
        <v>1056.2</v>
      </c>
      <c r="AZ69" s="260">
        <v>1038.0999999999999</v>
      </c>
      <c r="BA69" s="260">
        <v>1030.5</v>
      </c>
      <c r="BB69" s="260">
        <v>1047.4000000000001</v>
      </c>
      <c r="BC69" s="260">
        <v>1041.2</v>
      </c>
      <c r="BD69" s="260">
        <v>1042.3</v>
      </c>
      <c r="BE69" s="260">
        <v>1049</v>
      </c>
      <c r="BF69" s="260">
        <v>1130.8</v>
      </c>
      <c r="BG69" s="260">
        <v>1035.8</v>
      </c>
      <c r="BH69" s="260">
        <v>1078.3</v>
      </c>
      <c r="BI69" s="260">
        <v>1058.5999999999999</v>
      </c>
      <c r="BJ69" s="260">
        <v>1041.5</v>
      </c>
      <c r="BK69" s="260">
        <v>1044.4000000000001</v>
      </c>
      <c r="BL69" s="260">
        <v>1194.9000000000001</v>
      </c>
      <c r="BM69" s="260">
        <v>1177.3</v>
      </c>
      <c r="BN69" s="260">
        <v>1123.5999999999999</v>
      </c>
      <c r="BO69" s="260">
        <v>1199</v>
      </c>
      <c r="BP69" s="260">
        <v>1185</v>
      </c>
      <c r="BQ69" s="260">
        <v>1054.3</v>
      </c>
      <c r="BR69" s="260">
        <v>1169.4000000000001</v>
      </c>
      <c r="BS69" s="260">
        <v>1185.9000000000001</v>
      </c>
      <c r="BT69" s="260">
        <v>1050.7</v>
      </c>
      <c r="BU69" s="260">
        <v>1193.2</v>
      </c>
      <c r="BV69" s="260">
        <v>1037.0999999999999</v>
      </c>
      <c r="BW69" s="260">
        <v>1021.1</v>
      </c>
      <c r="BX69" s="260">
        <v>1166.8</v>
      </c>
      <c r="BY69" s="260">
        <v>1161.2</v>
      </c>
      <c r="BZ69" s="260">
        <v>1170</v>
      </c>
      <c r="CA69" s="260">
        <v>1141.5999999999999</v>
      </c>
      <c r="CB69" s="260">
        <v>1069.2</v>
      </c>
      <c r="CC69" s="260">
        <v>1067.5999999999999</v>
      </c>
      <c r="CD69" s="260">
        <v>1071.8</v>
      </c>
      <c r="CE69" s="260">
        <v>1066.7</v>
      </c>
      <c r="CF69" s="260">
        <v>1084</v>
      </c>
      <c r="CG69" s="260">
        <v>1066.3</v>
      </c>
      <c r="CH69" s="260">
        <v>1207.5</v>
      </c>
      <c r="CI69" s="260">
        <v>1187</v>
      </c>
      <c r="CJ69" s="260">
        <v>1210.7</v>
      </c>
      <c r="CK69" s="260">
        <v>1066.2</v>
      </c>
      <c r="CL69" s="260">
        <v>1056.8</v>
      </c>
      <c r="CM69" s="260">
        <v>1141.7</v>
      </c>
      <c r="CN69" s="260">
        <v>1025.9000000000001</v>
      </c>
      <c r="CO69" s="260">
        <v>1076.3</v>
      </c>
      <c r="CP69" s="260">
        <v>1061.3</v>
      </c>
      <c r="CQ69" s="260">
        <v>1077.5999999999999</v>
      </c>
      <c r="CR69" s="260">
        <v>1060.3</v>
      </c>
      <c r="CS69" s="260">
        <v>1062.5999999999999</v>
      </c>
      <c r="CT69" s="260">
        <v>1071.2</v>
      </c>
      <c r="CU69" s="260">
        <v>1060.5999999999999</v>
      </c>
      <c r="CV69" s="260">
        <v>1062.8</v>
      </c>
      <c r="CW69" s="260">
        <v>1052</v>
      </c>
      <c r="CX69" s="260">
        <v>1108</v>
      </c>
      <c r="CY69" s="260">
        <v>1168.0899999999999</v>
      </c>
      <c r="CZ69" s="260">
        <v>1083.0999999999999</v>
      </c>
      <c r="DA69" s="260">
        <v>1075.4000000000001</v>
      </c>
      <c r="DB69" s="260">
        <v>1203</v>
      </c>
      <c r="DC69" s="260">
        <v>1055.7</v>
      </c>
      <c r="DD69" s="260">
        <v>1054.3</v>
      </c>
      <c r="DE69" s="260">
        <v>1078.3</v>
      </c>
      <c r="DF69" s="260">
        <v>1062.2</v>
      </c>
      <c r="DG69" s="260">
        <v>1070</v>
      </c>
      <c r="DH69" s="260">
        <v>1097.8</v>
      </c>
      <c r="DI69" s="260">
        <v>1065.4000000000001</v>
      </c>
      <c r="DJ69" s="260">
        <v>1087.0999999999999</v>
      </c>
      <c r="DK69" s="260">
        <v>1064</v>
      </c>
      <c r="DL69" s="260">
        <v>1215.5999999999999</v>
      </c>
      <c r="DM69" s="260">
        <v>1077.7</v>
      </c>
      <c r="DN69" s="260">
        <v>1265</v>
      </c>
      <c r="DO69" s="260">
        <v>1188</v>
      </c>
      <c r="DP69" s="260">
        <v>1080.5</v>
      </c>
      <c r="DQ69" s="260">
        <v>1183.4000000000001</v>
      </c>
      <c r="DR69" s="260">
        <v>1160.7</v>
      </c>
      <c r="DS69" s="260">
        <v>1140.5</v>
      </c>
      <c r="DT69" s="260">
        <v>1196.0999999999999</v>
      </c>
      <c r="DU69" s="260">
        <v>1196.7</v>
      </c>
      <c r="DV69" s="260">
        <v>1073.3</v>
      </c>
      <c r="DW69" s="260">
        <v>1027.4000000000001</v>
      </c>
      <c r="DX69" s="260">
        <v>1181.2</v>
      </c>
      <c r="DY69" s="260">
        <v>1199.9000000000001</v>
      </c>
      <c r="DZ69" s="260">
        <v>1198.7</v>
      </c>
      <c r="EA69" s="260">
        <v>1077.5999999999999</v>
      </c>
      <c r="EB69" s="260">
        <v>1089.3</v>
      </c>
      <c r="EC69" s="260">
        <v>1148.2</v>
      </c>
      <c r="ED69" s="260">
        <v>1144.3</v>
      </c>
      <c r="EE69" s="260">
        <v>1073.0999999999999</v>
      </c>
      <c r="EF69" s="260">
        <v>1083.3</v>
      </c>
      <c r="EG69" s="260">
        <v>1217.5</v>
      </c>
      <c r="EH69" s="260">
        <v>903.2</v>
      </c>
      <c r="EI69" s="260">
        <v>917.7</v>
      </c>
      <c r="EJ69" s="260">
        <v>1145.5</v>
      </c>
      <c r="EK69" s="260">
        <v>1132</v>
      </c>
      <c r="EL69" s="260">
        <v>1008.7</v>
      </c>
      <c r="EM69" s="260">
        <v>1097.7</v>
      </c>
      <c r="EN69" s="260">
        <v>1094.5</v>
      </c>
      <c r="EO69" s="260">
        <v>938.1</v>
      </c>
      <c r="EP69" s="260">
        <v>1155</v>
      </c>
      <c r="EQ69" s="260">
        <v>1075.2</v>
      </c>
      <c r="ER69" s="260">
        <v>1114.9000000000001</v>
      </c>
      <c r="ES69" s="260">
        <v>1021.3</v>
      </c>
      <c r="ET69" s="260">
        <v>1093</v>
      </c>
      <c r="EU69" s="260">
        <v>1034.9000000000001</v>
      </c>
      <c r="EV69" s="260">
        <v>1081.5999999999999</v>
      </c>
      <c r="EW69" s="260">
        <v>1078.5</v>
      </c>
      <c r="EX69" s="260">
        <v>1028.0999999999999</v>
      </c>
      <c r="EY69" s="260">
        <v>1119.9000000000001</v>
      </c>
      <c r="EZ69" s="260">
        <v>996.1</v>
      </c>
      <c r="FA69" s="260">
        <v>1061.3</v>
      </c>
      <c r="FB69" s="260">
        <v>1019.5</v>
      </c>
      <c r="FC69" s="260">
        <v>946.8</v>
      </c>
      <c r="FD69" s="260">
        <v>1092.3</v>
      </c>
      <c r="FE69" s="260">
        <v>1106.8</v>
      </c>
      <c r="FF69" s="260">
        <v>1114.3</v>
      </c>
      <c r="FG69" s="260">
        <v>1019.2</v>
      </c>
      <c r="FH69" s="260">
        <v>1167.0999999999999</v>
      </c>
      <c r="FI69" s="260">
        <v>1024.5999999999999</v>
      </c>
      <c r="FJ69" s="260">
        <v>1006</v>
      </c>
      <c r="FK69" s="260">
        <v>1005</v>
      </c>
      <c r="FL69" s="260">
        <v>1010.5</v>
      </c>
      <c r="FM69" s="260">
        <v>1006.4</v>
      </c>
      <c r="FN69" s="260">
        <v>960.3</v>
      </c>
      <c r="FO69" s="260">
        <v>944.4</v>
      </c>
      <c r="FP69" s="260">
        <v>1090.2</v>
      </c>
      <c r="FQ69" s="260">
        <v>951.1</v>
      </c>
      <c r="FR69" s="260">
        <v>1100.0999999999999</v>
      </c>
      <c r="FS69" s="260">
        <v>1109.0999999999999</v>
      </c>
      <c r="FT69" s="260">
        <v>1101.5999999999999</v>
      </c>
      <c r="FU69" s="260">
        <v>965.6</v>
      </c>
      <c r="FV69" s="260">
        <v>954.6</v>
      </c>
      <c r="FW69" s="260">
        <v>1111.8</v>
      </c>
      <c r="FX69" s="260">
        <v>960.6</v>
      </c>
      <c r="FY69" s="260">
        <v>969.3</v>
      </c>
      <c r="FZ69" s="260">
        <v>965.6</v>
      </c>
      <c r="GA69" s="260">
        <v>967.1</v>
      </c>
      <c r="GB69" s="260">
        <v>1090.0999999999999</v>
      </c>
      <c r="GC69" s="260">
        <v>992.1</v>
      </c>
      <c r="GD69" s="260">
        <v>1109.0999999999999</v>
      </c>
      <c r="GE69" s="260">
        <v>948.8</v>
      </c>
      <c r="GF69" s="260">
        <v>957.2</v>
      </c>
      <c r="GG69" s="260">
        <v>953.3</v>
      </c>
      <c r="GH69" s="260">
        <v>1101.4000000000001</v>
      </c>
      <c r="GI69" s="260">
        <v>955.1</v>
      </c>
      <c r="GJ69" s="260">
        <v>1070.7</v>
      </c>
      <c r="GK69" s="260">
        <v>1101.0999999999999</v>
      </c>
      <c r="GL69" s="260">
        <v>1111.9000000000001</v>
      </c>
      <c r="GM69" s="260">
        <v>971.2</v>
      </c>
      <c r="GN69" s="260">
        <v>1067.0999999999999</v>
      </c>
      <c r="GO69" s="260">
        <v>1107.8</v>
      </c>
      <c r="GP69" s="260">
        <v>1000.1</v>
      </c>
      <c r="GQ69" s="260">
        <v>1001.1</v>
      </c>
      <c r="GR69" s="260">
        <v>1011.2</v>
      </c>
      <c r="GS69" s="260">
        <v>1069.0999999999999</v>
      </c>
      <c r="GT69" s="260">
        <v>1054.4000000000001</v>
      </c>
      <c r="GU69" s="260">
        <v>1050.3</v>
      </c>
      <c r="GV69" s="260">
        <v>1055.2</v>
      </c>
      <c r="GW69" s="260">
        <v>1068.9000000000001</v>
      </c>
      <c r="GX69" s="260">
        <v>1064.0999999999999</v>
      </c>
      <c r="GY69" s="260">
        <v>1059.9000000000001</v>
      </c>
      <c r="GZ69" s="260">
        <v>900</v>
      </c>
      <c r="HA69" s="260">
        <v>1083.8</v>
      </c>
      <c r="HB69" s="260"/>
      <c r="HC69" s="260"/>
      <c r="HD69" s="260">
        <v>960.1</v>
      </c>
      <c r="HE69" s="260">
        <v>723.8</v>
      </c>
      <c r="HF69" s="260">
        <v>1060</v>
      </c>
      <c r="HG69" s="260"/>
      <c r="HH69" s="260">
        <v>1144.2</v>
      </c>
      <c r="HI69" s="260">
        <v>1019.3</v>
      </c>
      <c r="HJ69" s="260">
        <v>1075.3</v>
      </c>
      <c r="HK69" s="260">
        <v>1071.0999999999999</v>
      </c>
      <c r="HL69" s="260">
        <v>1068.9000000000001</v>
      </c>
      <c r="HM69" s="260">
        <v>1070.8</v>
      </c>
      <c r="HN69" s="260">
        <v>1083.0999999999999</v>
      </c>
      <c r="HO69" s="260">
        <v>1079.7</v>
      </c>
      <c r="HP69" s="260">
        <v>1083.8</v>
      </c>
      <c r="HQ69" s="260">
        <v>1095.4000000000001</v>
      </c>
      <c r="HR69" s="260">
        <v>1076.4000000000001</v>
      </c>
      <c r="HS69" s="260">
        <v>1086.7</v>
      </c>
      <c r="HT69" s="260">
        <v>1250.5</v>
      </c>
      <c r="HU69" s="260">
        <v>1221.7</v>
      </c>
      <c r="HV69" s="260">
        <v>980</v>
      </c>
      <c r="HW69" s="260">
        <v>955.8</v>
      </c>
      <c r="HX69" s="260">
        <v>823.3</v>
      </c>
      <c r="HY69" s="260">
        <v>694.4</v>
      </c>
      <c r="HZ69" s="260">
        <v>841.2</v>
      </c>
      <c r="IA69" s="260">
        <v>961.5</v>
      </c>
      <c r="IB69" s="260">
        <v>1119.3</v>
      </c>
      <c r="IC69" s="260">
        <v>1191.7</v>
      </c>
      <c r="ID69" s="260">
        <v>1122</v>
      </c>
      <c r="IE69" s="260">
        <v>1121.0999999999999</v>
      </c>
      <c r="IF69" s="260">
        <v>1105.5</v>
      </c>
      <c r="IG69" s="260">
        <v>1134.5</v>
      </c>
      <c r="IH69" s="260">
        <v>1171.7</v>
      </c>
      <c r="II69" s="260">
        <v>1182.8</v>
      </c>
      <c r="IJ69" s="260">
        <v>1008.4</v>
      </c>
      <c r="IK69" s="260">
        <v>1100.7</v>
      </c>
      <c r="IL69" s="260">
        <v>996</v>
      </c>
      <c r="IM69" s="260">
        <v>1052.3</v>
      </c>
      <c r="IN69" s="260">
        <v>985.5</v>
      </c>
      <c r="IO69" s="260"/>
      <c r="IP69" s="260">
        <v>1400.5</v>
      </c>
      <c r="IQ69" s="260">
        <v>1097.4000000000001</v>
      </c>
      <c r="IR69" s="260">
        <v>484.3</v>
      </c>
      <c r="IS69" s="260">
        <v>1021.1</v>
      </c>
      <c r="IT69" s="260">
        <v>991.1</v>
      </c>
      <c r="IU69" s="260"/>
      <c r="IV69" s="260"/>
      <c r="IW69" s="260">
        <v>1079.8</v>
      </c>
      <c r="IX69" s="260">
        <v>1091.7</v>
      </c>
      <c r="IY69" s="260">
        <v>1090.0999999999999</v>
      </c>
      <c r="IZ69" s="260">
        <v>1018.9</v>
      </c>
      <c r="JA69" s="260">
        <v>912.1</v>
      </c>
      <c r="JB69" s="289">
        <v>32.200000000000003</v>
      </c>
      <c r="JC69" s="289">
        <v>41.3</v>
      </c>
      <c r="JD69" s="289">
        <v>3.2</v>
      </c>
      <c r="JE69" s="289">
        <v>4.8</v>
      </c>
      <c r="JF69" s="289"/>
      <c r="JG69" s="289">
        <v>5.82</v>
      </c>
      <c r="JH69" s="259">
        <v>5.25</v>
      </c>
      <c r="JI69" s="290"/>
      <c r="JJ69" s="290"/>
      <c r="JK69" s="260">
        <v>85990477.919</v>
      </c>
      <c r="JL69" s="264">
        <v>282794.35100000002</v>
      </c>
      <c r="JM69" s="260">
        <v>58982150.982000001</v>
      </c>
      <c r="JN69" s="260">
        <v>62461.415999999997</v>
      </c>
      <c r="JO69" s="260">
        <v>86703331.579999998</v>
      </c>
      <c r="JP69" s="260">
        <v>187817.204</v>
      </c>
      <c r="JQ69" s="260">
        <v>62966455.413000003</v>
      </c>
      <c r="JR69" s="260">
        <v>56765.972999999998</v>
      </c>
      <c r="JS69" s="289">
        <v>325748697.17799997</v>
      </c>
      <c r="JT69" s="289">
        <v>86518.649000000005</v>
      </c>
      <c r="JU69" s="283">
        <f t="shared" si="288"/>
        <v>68227.269999995828</v>
      </c>
      <c r="JV69" s="283">
        <f t="shared" si="289"/>
        <v>38.02900000003865</v>
      </c>
      <c r="JW69" s="283">
        <f t="shared" si="290"/>
        <v>68017.442000001669</v>
      </c>
      <c r="JX69" s="283">
        <f t="shared" si="291"/>
        <v>50.292999999997846</v>
      </c>
      <c r="JY69" s="284">
        <f t="shared" si="292"/>
        <v>66792.326000005007</v>
      </c>
      <c r="JZ69" s="284">
        <f t="shared" si="293"/>
        <v>37.1019999999844</v>
      </c>
      <c r="KA69" s="284">
        <f t="shared" si="298"/>
        <v>54746.513000003994</v>
      </c>
      <c r="KB69" s="284">
        <f t="shared" si="295"/>
        <v>76.105999999999767</v>
      </c>
      <c r="KC69" s="283">
        <f t="shared" si="299"/>
        <v>257628.34399998188</v>
      </c>
      <c r="KD69" s="283">
        <f t="shared" si="297"/>
        <v>156.81200000000536</v>
      </c>
      <c r="KE69" s="291">
        <f t="shared" si="206"/>
        <v>136156.38999999745</v>
      </c>
      <c r="KF69" s="291">
        <f t="shared" si="302"/>
        <v>257471.53199998187</v>
      </c>
      <c r="KG69" s="292">
        <f>(RD[[#This Row],[Sunset Time (POA&lt;20 W/m2)]]-RD[[#This Row],[Sunrise Time (POA&gt;20 W/m2)]])*24</f>
        <v>12.683333333333334</v>
      </c>
      <c r="KH69" s="293">
        <f>RD[[#This Row],[GHI ]]</f>
        <v>5.82</v>
      </c>
      <c r="KI69" s="293">
        <f>RD[[#This Row],[POA]]</f>
        <v>5.25</v>
      </c>
      <c r="KJ69" s="293">
        <f>RD[[#This Row],[AT (°C) 14 Hours]]</f>
        <v>32.200000000000003</v>
      </c>
      <c r="KK69" s="293">
        <f>RD[[#This Row],[MT (°C) Gen. Hours]]</f>
        <v>41.3</v>
      </c>
      <c r="KL69" s="293">
        <f>RD[[#This Row],[WS_Avg (m/s) (24 Hours)]]</f>
        <v>3.2</v>
      </c>
      <c r="KM69" s="293">
        <f>RD[[#This Row],[WS_Max (m/s)]]</f>
        <v>4.8</v>
      </c>
      <c r="KN69" s="294">
        <f>SUM(RD[[#This Row],[BLK1_INV1]:[BLK8_INV27]])</f>
        <v>259288.99000000005</v>
      </c>
      <c r="KO69" s="95"/>
      <c r="KP69" s="55"/>
      <c r="KQ69" s="90" t="str">
        <f>IFERROR(RD[[#This Row],[WPR_Eac]]/RD[[#This Row],[WPR_Edc]],"")</f>
        <v/>
      </c>
    </row>
    <row r="70" spans="2:303" ht="15" customHeight="1" x14ac:dyDescent="0.25">
      <c r="B70" s="52">
        <v>45811</v>
      </c>
      <c r="C70" s="9">
        <f>YEAR(RD[[#This Row],[Date]])+IF(MONTH(RD[[#This Row],[Date]])&gt;=4,1,0)</f>
        <v>2026</v>
      </c>
      <c r="D70" s="6">
        <f t="shared" si="300"/>
        <v>2025</v>
      </c>
      <c r="E70" s="7"/>
      <c r="F70" s="7"/>
      <c r="G70" s="8" t="str">
        <f>TEXT(RD[[#This Row],[Date]],"mmm-yy")</f>
        <v>Jun-25</v>
      </c>
      <c r="H70" s="6">
        <f t="shared" si="301"/>
        <v>30</v>
      </c>
      <c r="I70" s="9">
        <f>'Basic Data '!$S$2</f>
        <v>66750</v>
      </c>
      <c r="J70" s="10">
        <v>0.22152777777777777</v>
      </c>
      <c r="K70" s="10">
        <v>0.7729166666666667</v>
      </c>
      <c r="L70" s="260">
        <v>891.8</v>
      </c>
      <c r="M70" s="260">
        <v>902.2</v>
      </c>
      <c r="N70" s="260">
        <v>825.3</v>
      </c>
      <c r="O70" s="260">
        <v>977.8</v>
      </c>
      <c r="P70" s="260">
        <v>1052.5999999999999</v>
      </c>
      <c r="Q70" s="260">
        <v>976.4</v>
      </c>
      <c r="R70" s="260">
        <v>976.5</v>
      </c>
      <c r="S70" s="260">
        <v>924.2</v>
      </c>
      <c r="T70" s="260">
        <v>1010.1</v>
      </c>
      <c r="U70" s="260">
        <v>1016.3</v>
      </c>
      <c r="V70" s="260">
        <v>992.7</v>
      </c>
      <c r="W70" s="260">
        <v>988.2</v>
      </c>
      <c r="X70" s="260">
        <v>971.4</v>
      </c>
      <c r="Y70" s="260">
        <v>912.8</v>
      </c>
      <c r="Z70" s="260">
        <v>971.3</v>
      </c>
      <c r="AA70" s="260">
        <v>966.6</v>
      </c>
      <c r="AB70" s="260">
        <v>922.9</v>
      </c>
      <c r="AC70" s="260">
        <v>961.3</v>
      </c>
      <c r="AD70" s="260">
        <v>1039.7</v>
      </c>
      <c r="AE70" s="260">
        <v>1043.5</v>
      </c>
      <c r="AF70" s="260">
        <v>972.5</v>
      </c>
      <c r="AG70" s="260">
        <v>973.6</v>
      </c>
      <c r="AH70" s="260">
        <v>1066.8</v>
      </c>
      <c r="AI70" s="260">
        <v>1095.0999999999999</v>
      </c>
      <c r="AJ70" s="260">
        <v>1060.0999999999999</v>
      </c>
      <c r="AK70" s="260">
        <v>1051.7</v>
      </c>
      <c r="AL70" s="260">
        <v>1044.5</v>
      </c>
      <c r="AM70" s="260">
        <v>1082.5999999999999</v>
      </c>
      <c r="AN70" s="260">
        <v>1094.4000000000001</v>
      </c>
      <c r="AO70" s="260">
        <v>1081.4000000000001</v>
      </c>
      <c r="AP70" s="260">
        <v>1101.5</v>
      </c>
      <c r="AQ70" s="260">
        <v>1105.5</v>
      </c>
      <c r="AR70" s="260">
        <v>726.3</v>
      </c>
      <c r="AS70" s="260">
        <v>831.2</v>
      </c>
      <c r="AT70" s="260">
        <v>853.5</v>
      </c>
      <c r="AU70" s="260">
        <v>959</v>
      </c>
      <c r="AV70" s="260">
        <v>857.9</v>
      </c>
      <c r="AW70" s="260">
        <v>837.3</v>
      </c>
      <c r="AX70" s="260">
        <v>853.8</v>
      </c>
      <c r="AY70" s="260">
        <v>866.4</v>
      </c>
      <c r="AZ70" s="260">
        <v>846.6</v>
      </c>
      <c r="BA70" s="260">
        <v>840</v>
      </c>
      <c r="BB70" s="260">
        <v>857.6</v>
      </c>
      <c r="BC70" s="260">
        <v>860.5</v>
      </c>
      <c r="BD70" s="260">
        <v>855.5</v>
      </c>
      <c r="BE70" s="260">
        <v>860.8</v>
      </c>
      <c r="BF70" s="260">
        <v>928.3</v>
      </c>
      <c r="BG70" s="260">
        <v>834.5</v>
      </c>
      <c r="BH70" s="260">
        <v>885.5</v>
      </c>
      <c r="BI70" s="260">
        <v>870.1</v>
      </c>
      <c r="BJ70" s="260">
        <v>857.7</v>
      </c>
      <c r="BK70" s="260">
        <v>867.8</v>
      </c>
      <c r="BL70" s="260">
        <v>980.4</v>
      </c>
      <c r="BM70" s="260">
        <v>966.6</v>
      </c>
      <c r="BN70" s="260">
        <v>922.2</v>
      </c>
      <c r="BO70" s="260">
        <v>975.7</v>
      </c>
      <c r="BP70" s="260">
        <v>972.3</v>
      </c>
      <c r="BQ70" s="260">
        <v>866</v>
      </c>
      <c r="BR70" s="260">
        <v>956.7</v>
      </c>
      <c r="BS70" s="260">
        <v>967.3</v>
      </c>
      <c r="BT70" s="260">
        <v>859.7</v>
      </c>
      <c r="BU70" s="260">
        <v>971.7</v>
      </c>
      <c r="BV70" s="260">
        <v>852.2</v>
      </c>
      <c r="BW70" s="260">
        <v>835</v>
      </c>
      <c r="BX70" s="260">
        <v>1061.7</v>
      </c>
      <c r="BY70" s="260">
        <v>1056.5999999999999</v>
      </c>
      <c r="BZ70" s="260">
        <v>1064.3</v>
      </c>
      <c r="CA70" s="260">
        <v>1040.5</v>
      </c>
      <c r="CB70" s="260">
        <v>980.5</v>
      </c>
      <c r="CC70" s="260">
        <v>980.3</v>
      </c>
      <c r="CD70" s="260">
        <v>991.2</v>
      </c>
      <c r="CE70" s="260">
        <v>986.2</v>
      </c>
      <c r="CF70" s="260">
        <v>1007.6</v>
      </c>
      <c r="CG70" s="260">
        <v>978.7</v>
      </c>
      <c r="CH70" s="260">
        <v>1105.3</v>
      </c>
      <c r="CI70" s="260">
        <v>1084.2</v>
      </c>
      <c r="CJ70" s="260">
        <v>1115.9000000000001</v>
      </c>
      <c r="CK70" s="260">
        <v>986.6</v>
      </c>
      <c r="CL70" s="260">
        <v>980</v>
      </c>
      <c r="CM70" s="260">
        <v>1042.7</v>
      </c>
      <c r="CN70" s="260">
        <v>955.1</v>
      </c>
      <c r="CO70" s="260">
        <v>999.2</v>
      </c>
      <c r="CP70" s="260">
        <v>987.7</v>
      </c>
      <c r="CQ70" s="260">
        <v>1002.3</v>
      </c>
      <c r="CR70" s="260">
        <v>990.2</v>
      </c>
      <c r="CS70" s="260">
        <v>993.4</v>
      </c>
      <c r="CT70" s="260">
        <v>999.2</v>
      </c>
      <c r="CU70" s="260">
        <v>991.7</v>
      </c>
      <c r="CV70" s="260">
        <v>984.96</v>
      </c>
      <c r="CW70" s="260">
        <v>975.3</v>
      </c>
      <c r="CX70" s="260">
        <v>1012</v>
      </c>
      <c r="CY70" s="260">
        <v>1045.5</v>
      </c>
      <c r="CZ70" s="260">
        <v>1004.8</v>
      </c>
      <c r="DA70" s="260">
        <v>1001.3</v>
      </c>
      <c r="DB70" s="260">
        <v>1099.2</v>
      </c>
      <c r="DC70" s="260">
        <v>995.5</v>
      </c>
      <c r="DD70" s="260">
        <v>980.2</v>
      </c>
      <c r="DE70" s="260">
        <v>996.8</v>
      </c>
      <c r="DF70" s="260">
        <v>982.6</v>
      </c>
      <c r="DG70" s="260">
        <v>989.5</v>
      </c>
      <c r="DH70" s="260">
        <v>1013.3</v>
      </c>
      <c r="DI70" s="260">
        <v>987.1</v>
      </c>
      <c r="DJ70" s="260">
        <v>1003.1</v>
      </c>
      <c r="DK70" s="260">
        <v>983.8</v>
      </c>
      <c r="DL70" s="260">
        <v>1110.4000000000001</v>
      </c>
      <c r="DM70" s="260">
        <v>994.9</v>
      </c>
      <c r="DN70" s="260">
        <v>1148.5999999999999</v>
      </c>
      <c r="DO70" s="260">
        <v>1087.8</v>
      </c>
      <c r="DP70" s="260">
        <v>996</v>
      </c>
      <c r="DQ70" s="260">
        <v>1074.9000000000001</v>
      </c>
      <c r="DR70" s="260">
        <v>1065.3</v>
      </c>
      <c r="DS70" s="260">
        <v>982.9</v>
      </c>
      <c r="DT70" s="260">
        <v>1088.9000000000001</v>
      </c>
      <c r="DU70" s="260">
        <v>1098.9000000000001</v>
      </c>
      <c r="DV70" s="260">
        <v>993.4</v>
      </c>
      <c r="DW70" s="260">
        <v>934.5</v>
      </c>
      <c r="DX70" s="260">
        <v>1077.8</v>
      </c>
      <c r="DY70" s="260">
        <v>1094.0999999999999</v>
      </c>
      <c r="DZ70" s="260">
        <v>1093.9000000000001</v>
      </c>
      <c r="EA70" s="260">
        <v>993.4</v>
      </c>
      <c r="EB70" s="260">
        <v>1000.1</v>
      </c>
      <c r="EC70" s="260">
        <v>1045.5999999999999</v>
      </c>
      <c r="ED70" s="260">
        <v>1030.3</v>
      </c>
      <c r="EE70" s="260">
        <v>990.8</v>
      </c>
      <c r="EF70" s="260">
        <v>1001.1</v>
      </c>
      <c r="EG70" s="260">
        <v>1112</v>
      </c>
      <c r="EH70" s="260">
        <v>812.2</v>
      </c>
      <c r="EI70" s="260">
        <v>817.2</v>
      </c>
      <c r="EJ70" s="260">
        <v>918.6</v>
      </c>
      <c r="EK70" s="260">
        <v>905.9</v>
      </c>
      <c r="EL70" s="260">
        <v>839.4</v>
      </c>
      <c r="EM70" s="260">
        <v>875.6</v>
      </c>
      <c r="EN70" s="260">
        <v>870.9</v>
      </c>
      <c r="EO70" s="260">
        <v>749</v>
      </c>
      <c r="EP70" s="260">
        <v>917.6</v>
      </c>
      <c r="EQ70" s="260">
        <v>857.1</v>
      </c>
      <c r="ER70" s="260">
        <v>887.7</v>
      </c>
      <c r="ES70" s="260">
        <v>810.5</v>
      </c>
      <c r="ET70" s="260">
        <v>863.1</v>
      </c>
      <c r="EU70" s="260">
        <v>820</v>
      </c>
      <c r="EV70" s="260">
        <v>862</v>
      </c>
      <c r="EW70" s="260">
        <v>762.7</v>
      </c>
      <c r="EX70" s="260">
        <v>816.9</v>
      </c>
      <c r="EY70" s="260">
        <v>889.6</v>
      </c>
      <c r="EZ70" s="260">
        <v>784.4</v>
      </c>
      <c r="FA70" s="260">
        <v>872.9</v>
      </c>
      <c r="FB70" s="260">
        <v>810.1</v>
      </c>
      <c r="FC70" s="260">
        <v>673</v>
      </c>
      <c r="FD70" s="260">
        <v>871.6</v>
      </c>
      <c r="FE70" s="260">
        <v>881.4</v>
      </c>
      <c r="FF70" s="260">
        <v>887.9</v>
      </c>
      <c r="FG70" s="260">
        <v>814.6</v>
      </c>
      <c r="FH70" s="260">
        <v>930.1</v>
      </c>
      <c r="FI70" s="260">
        <v>818.4</v>
      </c>
      <c r="FJ70" s="260">
        <v>836</v>
      </c>
      <c r="FK70" s="260">
        <v>814.6</v>
      </c>
      <c r="FL70" s="260">
        <v>820.5</v>
      </c>
      <c r="FM70" s="260">
        <v>821.4</v>
      </c>
      <c r="FN70" s="260">
        <v>935.5</v>
      </c>
      <c r="FO70" s="260">
        <v>929.5</v>
      </c>
      <c r="FP70" s="260">
        <v>1035.5</v>
      </c>
      <c r="FQ70" s="260">
        <v>933.4</v>
      </c>
      <c r="FR70" s="260">
        <v>1031.5</v>
      </c>
      <c r="FS70" s="260">
        <v>1039.4000000000001</v>
      </c>
      <c r="FT70" s="260">
        <v>1021.5</v>
      </c>
      <c r="FU70" s="260">
        <v>975.8</v>
      </c>
      <c r="FV70" s="260">
        <v>940.5</v>
      </c>
      <c r="FW70" s="260">
        <v>1045.5</v>
      </c>
      <c r="FX70" s="260">
        <v>920.2</v>
      </c>
      <c r="FY70" s="260">
        <v>970.5</v>
      </c>
      <c r="FZ70" s="260">
        <v>974.5</v>
      </c>
      <c r="GA70" s="260">
        <v>971.4</v>
      </c>
      <c r="GB70" s="260">
        <v>1034.4000000000001</v>
      </c>
      <c r="GC70" s="260">
        <v>969.1</v>
      </c>
      <c r="GD70" s="260">
        <v>1044.5</v>
      </c>
      <c r="GE70" s="260">
        <v>931.9</v>
      </c>
      <c r="GF70" s="260">
        <v>939.4</v>
      </c>
      <c r="GG70" s="260">
        <v>945.1</v>
      </c>
      <c r="GH70" s="260">
        <v>1047.5</v>
      </c>
      <c r="GI70" s="260">
        <v>933.5</v>
      </c>
      <c r="GJ70" s="260">
        <v>999.5</v>
      </c>
      <c r="GK70" s="260">
        <v>1041.5</v>
      </c>
      <c r="GL70" s="260">
        <v>1037.0999999999999</v>
      </c>
      <c r="GM70" s="260">
        <v>1020.4</v>
      </c>
      <c r="GN70" s="260">
        <v>987.1</v>
      </c>
      <c r="GO70" s="260">
        <v>1045</v>
      </c>
      <c r="GP70" s="260">
        <v>965.5</v>
      </c>
      <c r="GQ70" s="260">
        <v>983.7</v>
      </c>
      <c r="GR70" s="260">
        <v>971.5</v>
      </c>
      <c r="GS70" s="260">
        <v>999</v>
      </c>
      <c r="GT70" s="260">
        <v>953.3</v>
      </c>
      <c r="GU70" s="260">
        <v>940.2</v>
      </c>
      <c r="GV70" s="260">
        <v>820</v>
      </c>
      <c r="GW70" s="260">
        <v>965.4</v>
      </c>
      <c r="GX70" s="260">
        <v>962.9</v>
      </c>
      <c r="GY70" s="260">
        <v>841.5</v>
      </c>
      <c r="GZ70" s="260">
        <v>816</v>
      </c>
      <c r="HA70" s="260">
        <v>979.2</v>
      </c>
      <c r="HB70" s="260"/>
      <c r="HC70" s="260"/>
      <c r="HD70" s="260">
        <v>856.3</v>
      </c>
      <c r="HE70" s="260">
        <v>662.3</v>
      </c>
      <c r="HF70" s="260">
        <v>960.4</v>
      </c>
      <c r="HG70" s="260"/>
      <c r="HH70" s="260">
        <v>1038.7</v>
      </c>
      <c r="HI70" s="260">
        <v>932.7</v>
      </c>
      <c r="HJ70" s="260">
        <v>989.5</v>
      </c>
      <c r="HK70" s="260">
        <v>928.4</v>
      </c>
      <c r="HL70" s="260">
        <v>985.9</v>
      </c>
      <c r="HM70" s="260">
        <v>987.4</v>
      </c>
      <c r="HN70" s="260">
        <v>999</v>
      </c>
      <c r="HO70" s="260">
        <v>996.7</v>
      </c>
      <c r="HP70" s="260">
        <v>999.8</v>
      </c>
      <c r="HQ70" s="260">
        <v>998.7</v>
      </c>
      <c r="HR70" s="260">
        <v>994.9</v>
      </c>
      <c r="HS70" s="260">
        <v>1000</v>
      </c>
      <c r="HT70" s="260">
        <v>1103.8</v>
      </c>
      <c r="HU70" s="260">
        <v>1122.4000000000001</v>
      </c>
      <c r="HV70" s="260">
        <v>882.4</v>
      </c>
      <c r="HW70" s="260">
        <v>866.4</v>
      </c>
      <c r="HX70" s="260">
        <v>744.8</v>
      </c>
      <c r="HY70" s="260">
        <v>625.1</v>
      </c>
      <c r="HZ70" s="260">
        <v>724.2</v>
      </c>
      <c r="IA70" s="260">
        <v>849.5</v>
      </c>
      <c r="IB70" s="260">
        <v>1014.7</v>
      </c>
      <c r="IC70" s="260">
        <v>1082.8</v>
      </c>
      <c r="ID70" s="260">
        <v>1027.0999999999999</v>
      </c>
      <c r="IE70" s="260">
        <v>1005.2</v>
      </c>
      <c r="IF70" s="260">
        <v>1021.5</v>
      </c>
      <c r="IG70" s="260">
        <v>1045.5</v>
      </c>
      <c r="IH70" s="260">
        <v>1076.0999999999999</v>
      </c>
      <c r="II70" s="260">
        <v>1021.1</v>
      </c>
      <c r="IJ70" s="260">
        <v>869.4</v>
      </c>
      <c r="IK70" s="260">
        <v>977.9</v>
      </c>
      <c r="IL70" s="260">
        <v>867.1</v>
      </c>
      <c r="IM70" s="260">
        <v>931.6</v>
      </c>
      <c r="IN70" s="260">
        <v>838.4</v>
      </c>
      <c r="IO70" s="260"/>
      <c r="IP70" s="260">
        <v>1270.2</v>
      </c>
      <c r="IQ70" s="260">
        <v>976.5</v>
      </c>
      <c r="IR70" s="260">
        <v>401.1</v>
      </c>
      <c r="IS70" s="260">
        <v>918.1</v>
      </c>
      <c r="IT70" s="260">
        <v>883</v>
      </c>
      <c r="IU70" s="260"/>
      <c r="IV70" s="260"/>
      <c r="IW70" s="260">
        <v>1002.9</v>
      </c>
      <c r="IX70" s="260">
        <v>994.3</v>
      </c>
      <c r="IY70" s="260">
        <v>980.6</v>
      </c>
      <c r="IZ70" s="260">
        <v>881.8</v>
      </c>
      <c r="JA70" s="260">
        <v>831.2</v>
      </c>
      <c r="JB70" s="289">
        <v>32.1</v>
      </c>
      <c r="JC70" s="289">
        <v>40.799999999999997</v>
      </c>
      <c r="JD70" s="289">
        <v>2.8</v>
      </c>
      <c r="JE70" s="289">
        <v>7.1</v>
      </c>
      <c r="JF70" s="289"/>
      <c r="JG70" s="289">
        <v>5.12</v>
      </c>
      <c r="JH70" s="259">
        <v>4.62</v>
      </c>
      <c r="JI70" s="290"/>
      <c r="JJ70" s="290"/>
      <c r="JK70" s="260">
        <v>86050319.559</v>
      </c>
      <c r="JL70" s="260">
        <v>282835.65899999999</v>
      </c>
      <c r="JM70" s="260">
        <v>59044847.468000002</v>
      </c>
      <c r="JN70" s="264">
        <v>62500.709000000003</v>
      </c>
      <c r="JO70" s="260">
        <v>86761490.088</v>
      </c>
      <c r="JP70" s="260">
        <v>187849.23499999999</v>
      </c>
      <c r="JQ70" s="260">
        <v>63016997.598999999</v>
      </c>
      <c r="JR70" s="260">
        <v>56840.709000000003</v>
      </c>
      <c r="JS70" s="289">
        <v>325979691.53500003</v>
      </c>
      <c r="JT70" s="296">
        <v>86675.460999999996</v>
      </c>
      <c r="JU70" s="283">
        <f t="shared" si="288"/>
        <v>59841.640000000596</v>
      </c>
      <c r="JV70" s="283">
        <f t="shared" si="289"/>
        <v>41.307999999960884</v>
      </c>
      <c r="JW70" s="283">
        <f t="shared" si="290"/>
        <v>62696.486000001431</v>
      </c>
      <c r="JX70" s="283">
        <f t="shared" si="291"/>
        <v>39.293000000005122</v>
      </c>
      <c r="JY70" s="284">
        <f t="shared" si="292"/>
        <v>58158.508000001311</v>
      </c>
      <c r="JZ70" s="284">
        <f t="shared" si="293"/>
        <v>32.030999999988126</v>
      </c>
      <c r="KA70" s="284">
        <f t="shared" si="298"/>
        <v>50542.18599999696</v>
      </c>
      <c r="KB70" s="284">
        <f t="shared" si="295"/>
        <v>74.736000000004424</v>
      </c>
      <c r="KC70" s="283">
        <f t="shared" si="299"/>
        <v>230994.35700005293</v>
      </c>
      <c r="KD70" s="283">
        <f t="shared" si="297"/>
        <v>156.8119999999908</v>
      </c>
      <c r="KE70" s="291">
        <f t="shared" si="206"/>
        <v>122457.52500000206</v>
      </c>
      <c r="KF70" s="291">
        <f t="shared" si="302"/>
        <v>230837.54500005295</v>
      </c>
      <c r="KG70" s="292">
        <f>(RD[[#This Row],[Sunset Time (POA&lt;20 W/m2)]]-RD[[#This Row],[Sunrise Time (POA&gt;20 W/m2)]])*24</f>
        <v>13.233333333333334</v>
      </c>
      <c r="KH70" s="293">
        <f>RD[[#This Row],[GHI ]]</f>
        <v>5.12</v>
      </c>
      <c r="KI70" s="293">
        <f>RD[[#This Row],[POA]]</f>
        <v>4.62</v>
      </c>
      <c r="KJ70" s="293">
        <f>RD[[#This Row],[AT (°C) 14 Hours]]</f>
        <v>32.1</v>
      </c>
      <c r="KK70" s="293">
        <f>RD[[#This Row],[MT (°C) Gen. Hours]]</f>
        <v>40.799999999999997</v>
      </c>
      <c r="KL70" s="293">
        <f>RD[[#This Row],[WS_Avg (m/s) (24 Hours)]]</f>
        <v>2.8</v>
      </c>
      <c r="KM70" s="293">
        <f>RD[[#This Row],[WS_Max (m/s)]]</f>
        <v>7.1</v>
      </c>
      <c r="KN70" s="294">
        <f>SUM(RD[[#This Row],[BLK1_INV1]:[BLK8_INV27]])</f>
        <v>231929.06</v>
      </c>
      <c r="KO70" s="95"/>
      <c r="KP70" s="55"/>
      <c r="KQ70" s="90" t="str">
        <f>IFERROR(RD[[#This Row],[WPR_Eac]]/RD[[#This Row],[WPR_Edc]],"")</f>
        <v/>
      </c>
    </row>
    <row r="71" spans="2:303" ht="15" customHeight="1" x14ac:dyDescent="0.25">
      <c r="B71" s="52">
        <v>45812</v>
      </c>
      <c r="C71" s="9">
        <f>YEAR(RD[[#This Row],[Date]])+IF(MONTH(RD[[#This Row],[Date]])&gt;=4,1,0)</f>
        <v>2026</v>
      </c>
      <c r="D71" s="6">
        <f t="shared" si="300"/>
        <v>2025</v>
      </c>
      <c r="E71" s="7"/>
      <c r="F71" s="7"/>
      <c r="G71" s="8" t="str">
        <f>TEXT(RD[[#This Row],[Date]],"mmm-yy")</f>
        <v>Jun-25</v>
      </c>
      <c r="H71" s="6">
        <f t="shared" si="301"/>
        <v>30</v>
      </c>
      <c r="I71" s="9">
        <f>'Basic Data '!$S$2</f>
        <v>66750</v>
      </c>
      <c r="J71" s="10">
        <v>0.21527777777777779</v>
      </c>
      <c r="K71" s="10">
        <v>0.7729166666666667</v>
      </c>
      <c r="L71" s="260">
        <v>1193.4000000000001</v>
      </c>
      <c r="M71" s="260">
        <v>1204.8</v>
      </c>
      <c r="N71" s="260">
        <v>1072</v>
      </c>
      <c r="O71" s="260">
        <v>1113.2</v>
      </c>
      <c r="P71" s="260">
        <v>1198.9000000000001</v>
      </c>
      <c r="Q71" s="260">
        <v>1113.2</v>
      </c>
      <c r="R71" s="260">
        <v>1115.2</v>
      </c>
      <c r="S71" s="260">
        <v>1066.5</v>
      </c>
      <c r="T71" s="260">
        <v>1157.3</v>
      </c>
      <c r="U71" s="260">
        <v>1160.4000000000001</v>
      </c>
      <c r="V71" s="260">
        <v>1138.8</v>
      </c>
      <c r="W71" s="260">
        <v>1135.5</v>
      </c>
      <c r="X71" s="260">
        <v>1116</v>
      </c>
      <c r="Y71" s="260">
        <v>1053.5999999999999</v>
      </c>
      <c r="Z71" s="260">
        <v>1116</v>
      </c>
      <c r="AA71" s="260">
        <v>1112.8</v>
      </c>
      <c r="AB71" s="260">
        <v>1067.3</v>
      </c>
      <c r="AC71" s="260">
        <v>1095.5</v>
      </c>
      <c r="AD71" s="260">
        <v>1198.3</v>
      </c>
      <c r="AE71" s="260">
        <v>1197.9000000000001</v>
      </c>
      <c r="AF71" s="260">
        <v>1113.5999999999999</v>
      </c>
      <c r="AG71" s="260">
        <v>1074.4000000000001</v>
      </c>
      <c r="AH71" s="260">
        <v>1226.5999999999999</v>
      </c>
      <c r="AI71" s="260">
        <v>1260.3</v>
      </c>
      <c r="AJ71" s="260">
        <v>1210.5999999999999</v>
      </c>
      <c r="AK71" s="260">
        <v>1203.9000000000001</v>
      </c>
      <c r="AL71" s="260">
        <v>1194.5999999999999</v>
      </c>
      <c r="AM71" s="260">
        <v>1234.3</v>
      </c>
      <c r="AN71" s="260">
        <v>1256.5999999999999</v>
      </c>
      <c r="AO71" s="260">
        <v>1229.4000000000001</v>
      </c>
      <c r="AP71" s="260">
        <v>1245.5</v>
      </c>
      <c r="AQ71" s="260">
        <v>1239.5</v>
      </c>
      <c r="AR71" s="260">
        <v>1031.4000000000001</v>
      </c>
      <c r="AS71" s="260">
        <v>1290.7</v>
      </c>
      <c r="AT71" s="260">
        <v>1061.2</v>
      </c>
      <c r="AU71" s="260">
        <v>1208.4000000000001</v>
      </c>
      <c r="AV71" s="260">
        <v>1084.5</v>
      </c>
      <c r="AW71" s="260">
        <v>1066.0999999999999</v>
      </c>
      <c r="AX71" s="260">
        <v>1076</v>
      </c>
      <c r="AY71" s="260">
        <v>1096.3</v>
      </c>
      <c r="AZ71" s="260">
        <v>1064.4000000000001</v>
      </c>
      <c r="BA71" s="260">
        <v>1063.0999999999999</v>
      </c>
      <c r="BB71" s="260">
        <v>1079.5</v>
      </c>
      <c r="BC71" s="260">
        <v>1071.0999999999999</v>
      </c>
      <c r="BD71" s="260">
        <v>1077.5</v>
      </c>
      <c r="BE71" s="260">
        <v>1085.5999999999999</v>
      </c>
      <c r="BF71" s="260">
        <v>1172.5</v>
      </c>
      <c r="BG71" s="260">
        <v>1071.0999999999999</v>
      </c>
      <c r="BH71" s="260">
        <v>1114</v>
      </c>
      <c r="BI71" s="260">
        <v>1115.0999999999999</v>
      </c>
      <c r="BJ71" s="260">
        <v>1082.2</v>
      </c>
      <c r="BK71" s="260">
        <v>1069.9000000000001</v>
      </c>
      <c r="BL71" s="260">
        <v>1240.8</v>
      </c>
      <c r="BM71" s="260">
        <v>1220.7</v>
      </c>
      <c r="BN71" s="260">
        <v>1166.7</v>
      </c>
      <c r="BO71" s="260">
        <v>1230.2</v>
      </c>
      <c r="BP71" s="260">
        <v>1233.4000000000001</v>
      </c>
      <c r="BQ71" s="260">
        <v>1100</v>
      </c>
      <c r="BR71" s="260">
        <v>1219.7</v>
      </c>
      <c r="BS71" s="260">
        <v>1236.5</v>
      </c>
      <c r="BT71" s="260">
        <v>1087.7</v>
      </c>
      <c r="BU71" s="260">
        <v>1231.4000000000001</v>
      </c>
      <c r="BV71" s="260">
        <v>1069.0999999999999</v>
      </c>
      <c r="BW71" s="260">
        <v>993.2</v>
      </c>
      <c r="BX71" s="260">
        <v>1191.5</v>
      </c>
      <c r="BY71" s="260">
        <v>1183.0999999999999</v>
      </c>
      <c r="BZ71" s="260">
        <v>1198.7</v>
      </c>
      <c r="CA71" s="260">
        <v>1168.5</v>
      </c>
      <c r="CB71" s="260">
        <v>1094.0999999999999</v>
      </c>
      <c r="CC71" s="260">
        <v>1086.0999999999999</v>
      </c>
      <c r="CD71" s="260">
        <v>1096</v>
      </c>
      <c r="CE71" s="260">
        <v>1092.4000000000001</v>
      </c>
      <c r="CF71" s="260">
        <v>1114.9000000000001</v>
      </c>
      <c r="CG71" s="260">
        <v>1098.5</v>
      </c>
      <c r="CH71" s="260">
        <v>1252.0999999999999</v>
      </c>
      <c r="CI71" s="260">
        <v>1230.4000000000001</v>
      </c>
      <c r="CJ71" s="260">
        <v>1250.9000000000001</v>
      </c>
      <c r="CK71" s="260">
        <v>1099.5</v>
      </c>
      <c r="CL71" s="260">
        <v>1087.2</v>
      </c>
      <c r="CM71" s="260">
        <v>1197.9000000000001</v>
      </c>
      <c r="CN71" s="260">
        <v>1071.0999999999999</v>
      </c>
      <c r="CO71" s="260">
        <v>1107.7</v>
      </c>
      <c r="CP71" s="260">
        <v>1096.4000000000001</v>
      </c>
      <c r="CQ71" s="260">
        <v>1110.5999999999999</v>
      </c>
      <c r="CR71" s="260">
        <v>1096</v>
      </c>
      <c r="CS71" s="260">
        <v>1098.2</v>
      </c>
      <c r="CT71" s="260">
        <v>1107.0999999999999</v>
      </c>
      <c r="CU71" s="260">
        <v>1098.3</v>
      </c>
      <c r="CV71" s="260">
        <v>1087.0999999999999</v>
      </c>
      <c r="CW71" s="260">
        <v>1075.5</v>
      </c>
      <c r="CX71" s="260">
        <v>1136.7</v>
      </c>
      <c r="CY71" s="260">
        <v>1214.5</v>
      </c>
      <c r="CZ71" s="260">
        <v>1121.4000000000001</v>
      </c>
      <c r="DA71" s="260">
        <v>1109.2</v>
      </c>
      <c r="DB71" s="260">
        <v>1231.9000000000001</v>
      </c>
      <c r="DC71" s="260">
        <v>1078.5</v>
      </c>
      <c r="DD71" s="260">
        <v>1078.4000000000001</v>
      </c>
      <c r="DE71" s="260">
        <v>1108.4000000000001</v>
      </c>
      <c r="DF71" s="260">
        <v>1087.9000000000001</v>
      </c>
      <c r="DG71" s="260">
        <v>1096.2</v>
      </c>
      <c r="DH71" s="260">
        <v>1126.5</v>
      </c>
      <c r="DI71" s="260">
        <v>1091.4000000000001</v>
      </c>
      <c r="DJ71" s="260">
        <v>1110.3</v>
      </c>
      <c r="DK71" s="260">
        <v>1079.5</v>
      </c>
      <c r="DL71" s="260">
        <v>1247.2</v>
      </c>
      <c r="DM71" s="260">
        <v>1107.8</v>
      </c>
      <c r="DN71" s="260">
        <v>1311.7</v>
      </c>
      <c r="DO71" s="260">
        <v>1224.0999999999999</v>
      </c>
      <c r="DP71" s="260">
        <v>1110.0999999999999</v>
      </c>
      <c r="DQ71" s="260">
        <v>1230.8</v>
      </c>
      <c r="DR71" s="260">
        <v>1197.5</v>
      </c>
      <c r="DS71" s="260">
        <v>1178.4000000000001</v>
      </c>
      <c r="DT71" s="260">
        <v>1244.0999999999999</v>
      </c>
      <c r="DU71" s="260">
        <v>1238.0999999999999</v>
      </c>
      <c r="DV71" s="260">
        <v>1100.7</v>
      </c>
      <c r="DW71" s="260">
        <v>1100.5</v>
      </c>
      <c r="DX71" s="260">
        <v>1221</v>
      </c>
      <c r="DY71" s="260">
        <v>1246.9000000000001</v>
      </c>
      <c r="DZ71" s="260">
        <v>1238</v>
      </c>
      <c r="EA71" s="260">
        <v>1106.3</v>
      </c>
      <c r="EB71" s="260">
        <v>1120.9000000000001</v>
      </c>
      <c r="EC71" s="260">
        <v>1244.2</v>
      </c>
      <c r="ED71" s="260">
        <v>1241.5</v>
      </c>
      <c r="EE71" s="260">
        <v>1104.9000000000001</v>
      </c>
      <c r="EF71" s="260">
        <v>1112.5</v>
      </c>
      <c r="EG71" s="260">
        <v>1261.5999999999999</v>
      </c>
      <c r="EH71" s="260">
        <v>1082.2</v>
      </c>
      <c r="EI71" s="260">
        <v>1088.8</v>
      </c>
      <c r="EJ71" s="260">
        <v>1233.7</v>
      </c>
      <c r="EK71" s="260">
        <v>1215.0999999999999</v>
      </c>
      <c r="EL71" s="260">
        <v>1133.0999999999999</v>
      </c>
      <c r="EM71" s="260">
        <v>1177.0999999999999</v>
      </c>
      <c r="EN71" s="260">
        <v>1171.5999999999999</v>
      </c>
      <c r="EO71" s="260">
        <v>1003.8</v>
      </c>
      <c r="EP71" s="260">
        <v>1235.5</v>
      </c>
      <c r="EQ71" s="260">
        <v>1147</v>
      </c>
      <c r="ER71" s="260">
        <v>1188.4000000000001</v>
      </c>
      <c r="ES71" s="260">
        <v>1109.0999999999999</v>
      </c>
      <c r="ET71" s="260">
        <v>1162.2</v>
      </c>
      <c r="EU71" s="260">
        <v>1099.4000000000001</v>
      </c>
      <c r="EV71" s="260">
        <v>1157.3</v>
      </c>
      <c r="EW71" s="260">
        <v>1153.7</v>
      </c>
      <c r="EX71" s="260">
        <v>1090.9000000000001</v>
      </c>
      <c r="EY71" s="260">
        <v>1193.0999999999999</v>
      </c>
      <c r="EZ71" s="260">
        <v>1063.8</v>
      </c>
      <c r="FA71" s="260">
        <v>1211.5</v>
      </c>
      <c r="FB71" s="260">
        <v>1084.0999999999999</v>
      </c>
      <c r="FC71" s="260">
        <v>1008.7</v>
      </c>
      <c r="FD71" s="260">
        <v>1172.9000000000001</v>
      </c>
      <c r="FE71" s="260">
        <v>1184.5999999999999</v>
      </c>
      <c r="FF71" s="260">
        <v>1195.5</v>
      </c>
      <c r="FG71" s="260">
        <v>1094.9000000000001</v>
      </c>
      <c r="FH71" s="260">
        <v>1254.8</v>
      </c>
      <c r="FI71" s="260">
        <v>1099.7</v>
      </c>
      <c r="FJ71" s="260">
        <v>1079.5</v>
      </c>
      <c r="FK71" s="260">
        <v>1069.7</v>
      </c>
      <c r="FL71" s="260">
        <v>1078.5</v>
      </c>
      <c r="FM71" s="260">
        <v>1037.5</v>
      </c>
      <c r="FN71" s="260">
        <v>1064.5</v>
      </c>
      <c r="FO71" s="260">
        <v>1069.5</v>
      </c>
      <c r="FP71" s="260">
        <v>1201.2</v>
      </c>
      <c r="FQ71" s="260">
        <v>1071.5</v>
      </c>
      <c r="FR71" s="260">
        <v>1188.0999999999999</v>
      </c>
      <c r="FS71" s="260">
        <v>1181.5</v>
      </c>
      <c r="FT71" s="260">
        <v>1193.0999999999999</v>
      </c>
      <c r="FU71" s="260">
        <v>1109.2</v>
      </c>
      <c r="FV71" s="260">
        <v>1074.5</v>
      </c>
      <c r="FW71" s="260">
        <v>1189.3</v>
      </c>
      <c r="FX71" s="260">
        <v>1077.5</v>
      </c>
      <c r="FY71" s="260">
        <v>1111.8</v>
      </c>
      <c r="FZ71" s="260">
        <v>1107.5</v>
      </c>
      <c r="GA71" s="260">
        <v>1109.4000000000001</v>
      </c>
      <c r="GB71" s="260">
        <v>1181.5999999999999</v>
      </c>
      <c r="GC71" s="260">
        <v>1109.5</v>
      </c>
      <c r="GD71" s="260">
        <v>1185.2</v>
      </c>
      <c r="GE71" s="260">
        <v>1079.5</v>
      </c>
      <c r="GF71" s="260">
        <v>1074.5999999999999</v>
      </c>
      <c r="GG71" s="260">
        <v>1081.5999999999999</v>
      </c>
      <c r="GH71" s="260">
        <v>1189.9000000000001</v>
      </c>
      <c r="GI71" s="260">
        <v>1069.5</v>
      </c>
      <c r="GJ71" s="260">
        <v>1149.5</v>
      </c>
      <c r="GK71" s="260">
        <v>1188.2</v>
      </c>
      <c r="GL71" s="260">
        <v>1196.2</v>
      </c>
      <c r="GM71" s="260">
        <v>1104.5</v>
      </c>
      <c r="GN71" s="260">
        <v>1145.8</v>
      </c>
      <c r="GO71" s="260">
        <v>1191.2</v>
      </c>
      <c r="GP71" s="260">
        <v>1104.5999999999999</v>
      </c>
      <c r="GQ71" s="260">
        <v>1109.4000000000001</v>
      </c>
      <c r="GR71" s="260">
        <v>1111.9000000000001</v>
      </c>
      <c r="GS71" s="260">
        <v>1141.4000000000001</v>
      </c>
      <c r="GT71" s="260">
        <v>1075.5</v>
      </c>
      <c r="GU71" s="260">
        <v>1083.2</v>
      </c>
      <c r="GV71" s="260">
        <v>1078.0999999999999</v>
      </c>
      <c r="GW71" s="260">
        <v>1090.3</v>
      </c>
      <c r="GX71" s="260">
        <v>1088.5</v>
      </c>
      <c r="GY71" s="260">
        <v>1094.4000000000001</v>
      </c>
      <c r="GZ71" s="260">
        <v>920.9</v>
      </c>
      <c r="HA71" s="260">
        <v>1115</v>
      </c>
      <c r="HB71" s="260"/>
      <c r="HC71" s="260"/>
      <c r="HD71" s="260">
        <v>981.8</v>
      </c>
      <c r="HE71" s="260">
        <v>781.1</v>
      </c>
      <c r="HF71" s="260">
        <v>1094.5</v>
      </c>
      <c r="HG71" s="260"/>
      <c r="HH71" s="260">
        <v>1180.4000000000001</v>
      </c>
      <c r="HI71" s="260">
        <v>1071.2</v>
      </c>
      <c r="HJ71" s="260">
        <v>1101.9000000000001</v>
      </c>
      <c r="HK71" s="260">
        <v>977.2</v>
      </c>
      <c r="HL71" s="260">
        <v>1089</v>
      </c>
      <c r="HM71" s="260">
        <v>1097.7</v>
      </c>
      <c r="HN71" s="260">
        <v>1105.4000000000001</v>
      </c>
      <c r="HO71" s="260">
        <v>1104.2</v>
      </c>
      <c r="HP71" s="260">
        <v>1107</v>
      </c>
      <c r="HQ71" s="260">
        <v>1125.2</v>
      </c>
      <c r="HR71" s="260">
        <v>1104.8</v>
      </c>
      <c r="HS71" s="260">
        <v>1109.8</v>
      </c>
      <c r="HT71" s="260">
        <v>1240.7</v>
      </c>
      <c r="HU71" s="260">
        <v>1263.4000000000001</v>
      </c>
      <c r="HV71" s="260">
        <v>1020.7</v>
      </c>
      <c r="HW71" s="260">
        <v>989.4</v>
      </c>
      <c r="HX71" s="260">
        <v>850.9</v>
      </c>
      <c r="HY71" s="260">
        <v>717.9</v>
      </c>
      <c r="HZ71" s="260">
        <v>852.1</v>
      </c>
      <c r="IA71" s="260">
        <v>981.2</v>
      </c>
      <c r="IB71" s="260">
        <v>1132.9000000000001</v>
      </c>
      <c r="IC71" s="260">
        <v>1216.5999999999999</v>
      </c>
      <c r="ID71" s="260">
        <v>1165.5999999999999</v>
      </c>
      <c r="IE71" s="260">
        <v>1169.2</v>
      </c>
      <c r="IF71" s="260">
        <v>1142.5</v>
      </c>
      <c r="IG71" s="260">
        <v>1174.5</v>
      </c>
      <c r="IH71" s="260">
        <v>1208.0999999999999</v>
      </c>
      <c r="II71" s="260">
        <v>1201</v>
      </c>
      <c r="IJ71" s="260">
        <v>1055.5999999999999</v>
      </c>
      <c r="IK71" s="260">
        <v>1123.2</v>
      </c>
      <c r="IL71" s="260">
        <v>1032.0999999999999</v>
      </c>
      <c r="IM71" s="260">
        <v>1071.2</v>
      </c>
      <c r="IN71" s="260">
        <v>1001.2</v>
      </c>
      <c r="IO71" s="260"/>
      <c r="IP71" s="260">
        <v>1455.5</v>
      </c>
      <c r="IQ71" s="260">
        <v>1168</v>
      </c>
      <c r="IR71" s="260">
        <v>447.2</v>
      </c>
      <c r="IS71" s="260">
        <v>1079.2</v>
      </c>
      <c r="IT71" s="260">
        <v>1032.0999999999999</v>
      </c>
      <c r="IU71" s="260"/>
      <c r="IV71" s="260"/>
      <c r="IW71" s="260">
        <v>1123.2</v>
      </c>
      <c r="IX71" s="260">
        <v>1140.0999999999999</v>
      </c>
      <c r="IY71" s="260">
        <v>1140.0999999999999</v>
      </c>
      <c r="IZ71" s="260">
        <v>1044.3</v>
      </c>
      <c r="JA71" s="260">
        <v>984.2</v>
      </c>
      <c r="JB71" s="289">
        <v>36.4</v>
      </c>
      <c r="JC71" s="289">
        <v>48</v>
      </c>
      <c r="JD71" s="289">
        <v>3.1</v>
      </c>
      <c r="JE71" s="289">
        <v>6.3</v>
      </c>
      <c r="JF71" s="289"/>
      <c r="JG71" s="289">
        <v>5.74</v>
      </c>
      <c r="JH71" s="259">
        <v>5.18</v>
      </c>
      <c r="JI71" s="290"/>
      <c r="JJ71" s="290"/>
      <c r="JK71" s="260">
        <v>86122985.268000007</v>
      </c>
      <c r="JL71" s="264">
        <v>282856.967</v>
      </c>
      <c r="JM71" s="260">
        <v>59115455.755000003</v>
      </c>
      <c r="JN71" s="260">
        <v>62524.002</v>
      </c>
      <c r="JO71" s="260">
        <v>86834246.849000007</v>
      </c>
      <c r="JP71" s="260">
        <v>187871.266</v>
      </c>
      <c r="JQ71" s="260">
        <v>63073854.343999997</v>
      </c>
      <c r="JR71" s="260">
        <v>56919.445</v>
      </c>
      <c r="JS71" s="289">
        <v>326252327.59500003</v>
      </c>
      <c r="JT71" s="289">
        <v>86832.273000000001</v>
      </c>
      <c r="JU71" s="283">
        <f t="shared" ref="JU71:JU73" si="303">IF((JK71-JK70)&lt;0,"",(JK71-JK70))</f>
        <v>72665.709000006318</v>
      </c>
      <c r="JV71" s="283">
        <f t="shared" ref="JV71:JV73" si="304">IF((JL71-JL70)&lt;0,"",(JL71-JL70))</f>
        <v>21.308000000019092</v>
      </c>
      <c r="JW71" s="283">
        <f t="shared" ref="JW71:JW73" si="305">IF((JM71-JM70)&lt;0,"",(JM71-JM70))</f>
        <v>70608.287000000477</v>
      </c>
      <c r="JX71" s="283">
        <f t="shared" ref="JX71:JX73" si="306">IF((JN71-JN70)&lt;0,"",(JN71-JN70))</f>
        <v>23.292999999997846</v>
      </c>
      <c r="JY71" s="284">
        <f t="shared" ref="JY71:JY73" si="307">IF((JO71-JO70)&lt;0,"",(JO71-JO70))</f>
        <v>72756.761000007391</v>
      </c>
      <c r="JZ71" s="284">
        <f t="shared" ref="JZ71:JZ73" si="308">IF((JP71-JP70)&lt;0,"",(JP71-JP70))</f>
        <v>22.031000000017229</v>
      </c>
      <c r="KA71" s="284">
        <f t="shared" si="298"/>
        <v>56856.744999997318</v>
      </c>
      <c r="KB71" s="284">
        <f t="shared" ref="KB71:KB73" si="309">IF((JR71-JR70)&lt;0,"",(JR71-JR70))</f>
        <v>78.735999999997148</v>
      </c>
      <c r="KC71" s="283">
        <f t="shared" si="299"/>
        <v>272636.06000000238</v>
      </c>
      <c r="KD71" s="283">
        <f t="shared" ref="KD71:KD72" si="310">IF((JT71-JT70)&lt;0,"",(JT71-JT70))</f>
        <v>156.81200000000536</v>
      </c>
      <c r="KE71" s="291">
        <f t="shared" si="206"/>
        <v>143229.39500000677</v>
      </c>
      <c r="KF71" s="291">
        <f t="shared" si="302"/>
        <v>272479.24800000235</v>
      </c>
      <c r="KG71" s="292">
        <f>(RD[[#This Row],[Sunset Time (POA&lt;20 W/m2)]]-RD[[#This Row],[Sunrise Time (POA&gt;20 W/m2)]])*24</f>
        <v>13.383333333333333</v>
      </c>
      <c r="KH71" s="293">
        <f>RD[[#This Row],[GHI ]]</f>
        <v>5.74</v>
      </c>
      <c r="KI71" s="293">
        <f>RD[[#This Row],[POA]]</f>
        <v>5.18</v>
      </c>
      <c r="KJ71" s="293">
        <f>RD[[#This Row],[AT (°C) 14 Hours]]</f>
        <v>36.4</v>
      </c>
      <c r="KK71" s="293">
        <f>RD[[#This Row],[MT (°C) Gen. Hours]]</f>
        <v>48</v>
      </c>
      <c r="KL71" s="293">
        <f>RD[[#This Row],[WS_Avg (m/s) (24 Hours)]]</f>
        <v>3.1</v>
      </c>
      <c r="KM71" s="293">
        <f>RD[[#This Row],[WS_Max (m/s)]]</f>
        <v>6.3</v>
      </c>
      <c r="KN71" s="294">
        <f>SUM(RD[[#This Row],[BLK1_INV1]:[BLK8_INV27]])</f>
        <v>273632.50000000006</v>
      </c>
      <c r="KO71" s="95"/>
      <c r="KP71" s="55"/>
      <c r="KQ71" s="90" t="str">
        <f>IFERROR(RD[[#This Row],[WPR_Eac]]/RD[[#This Row],[WPR_Edc]],"")</f>
        <v/>
      </c>
    </row>
    <row r="72" spans="2:303" ht="15" customHeight="1" x14ac:dyDescent="0.25">
      <c r="B72" s="52">
        <v>45813</v>
      </c>
      <c r="C72" s="9">
        <f>YEAR(RD[[#This Row],[Date]])+IF(MONTH(RD[[#This Row],[Date]])&gt;=4,1,0)</f>
        <v>2026</v>
      </c>
      <c r="D72" s="6">
        <f t="shared" si="300"/>
        <v>2025</v>
      </c>
      <c r="E72" s="7"/>
      <c r="F72" s="7"/>
      <c r="G72" s="8" t="str">
        <f>TEXT(RD[[#This Row],[Date]],"mmm-yy")</f>
        <v>Jun-25</v>
      </c>
      <c r="H72" s="6">
        <f t="shared" si="301"/>
        <v>30</v>
      </c>
      <c r="I72" s="9">
        <f>'Basic Data '!$S$2</f>
        <v>66750</v>
      </c>
      <c r="J72" s="10">
        <v>0.21249999999999999</v>
      </c>
      <c r="K72" s="10">
        <v>0.77500000000000002</v>
      </c>
      <c r="L72" s="260">
        <v>1276</v>
      </c>
      <c r="M72" s="260">
        <v>1349</v>
      </c>
      <c r="N72" s="260">
        <v>1245</v>
      </c>
      <c r="O72" s="260">
        <v>1245</v>
      </c>
      <c r="P72" s="260">
        <v>1343</v>
      </c>
      <c r="Q72" s="260">
        <v>1247</v>
      </c>
      <c r="R72" s="260">
        <v>1253</v>
      </c>
      <c r="S72" s="260">
        <v>1228</v>
      </c>
      <c r="T72" s="260">
        <v>1294</v>
      </c>
      <c r="U72" s="260">
        <v>1299</v>
      </c>
      <c r="V72" s="260">
        <v>1278</v>
      </c>
      <c r="W72" s="260">
        <v>1272</v>
      </c>
      <c r="X72" s="260">
        <v>1250</v>
      </c>
      <c r="Y72" s="260">
        <v>1176</v>
      </c>
      <c r="Z72" s="260">
        <v>1252</v>
      </c>
      <c r="AA72" s="260">
        <v>1244</v>
      </c>
      <c r="AB72" s="260">
        <v>1191</v>
      </c>
      <c r="AC72" s="260">
        <v>1236</v>
      </c>
      <c r="AD72" s="260">
        <v>1352</v>
      </c>
      <c r="AE72" s="260">
        <v>1351</v>
      </c>
      <c r="AF72" s="260">
        <v>1254</v>
      </c>
      <c r="AG72" s="260">
        <v>1205</v>
      </c>
      <c r="AH72" s="260">
        <v>1320</v>
      </c>
      <c r="AI72" s="260">
        <v>1416</v>
      </c>
      <c r="AJ72" s="260">
        <v>1367</v>
      </c>
      <c r="AK72" s="260">
        <v>1355</v>
      </c>
      <c r="AL72" s="260">
        <v>1346</v>
      </c>
      <c r="AM72" s="260">
        <v>1391</v>
      </c>
      <c r="AN72" s="260">
        <v>1413</v>
      </c>
      <c r="AO72" s="260">
        <v>1382</v>
      </c>
      <c r="AP72" s="260">
        <v>1254</v>
      </c>
      <c r="AQ72" s="260">
        <v>1289</v>
      </c>
      <c r="AR72" s="260">
        <v>1213</v>
      </c>
      <c r="AS72" s="260">
        <v>1449</v>
      </c>
      <c r="AT72" s="260">
        <v>1212</v>
      </c>
      <c r="AU72" s="260">
        <v>1422</v>
      </c>
      <c r="AV72" s="260">
        <v>1247</v>
      </c>
      <c r="AW72" s="260">
        <v>1240</v>
      </c>
      <c r="AX72" s="260">
        <v>1257</v>
      </c>
      <c r="AY72" s="260">
        <v>1278</v>
      </c>
      <c r="AZ72" s="260">
        <v>1254</v>
      </c>
      <c r="BA72" s="260">
        <v>1244</v>
      </c>
      <c r="BB72" s="260">
        <v>1261</v>
      </c>
      <c r="BC72" s="260">
        <v>1138</v>
      </c>
      <c r="BD72" s="260">
        <v>1259</v>
      </c>
      <c r="BE72" s="260">
        <v>1271</v>
      </c>
      <c r="BF72" s="260">
        <v>1368</v>
      </c>
      <c r="BG72" s="260">
        <v>1197</v>
      </c>
      <c r="BH72" s="260">
        <v>1303</v>
      </c>
      <c r="BI72" s="260">
        <v>1281</v>
      </c>
      <c r="BJ72" s="260">
        <v>1261</v>
      </c>
      <c r="BK72" s="260">
        <v>1213</v>
      </c>
      <c r="BL72" s="260">
        <v>1446</v>
      </c>
      <c r="BM72" s="260">
        <v>1427</v>
      </c>
      <c r="BN72" s="260">
        <v>1358</v>
      </c>
      <c r="BO72" s="260">
        <v>1432</v>
      </c>
      <c r="BP72" s="260">
        <v>1438</v>
      </c>
      <c r="BQ72" s="260">
        <v>1280</v>
      </c>
      <c r="BR72" s="260">
        <v>1420</v>
      </c>
      <c r="BS72" s="260">
        <v>1440</v>
      </c>
      <c r="BT72" s="260">
        <v>1213</v>
      </c>
      <c r="BU72" s="260">
        <v>1367</v>
      </c>
      <c r="BV72" s="260">
        <v>1254</v>
      </c>
      <c r="BW72" s="260">
        <v>958</v>
      </c>
      <c r="BX72" s="260">
        <v>1421</v>
      </c>
      <c r="BY72" s="260">
        <v>1395</v>
      </c>
      <c r="BZ72" s="260">
        <v>1433</v>
      </c>
      <c r="CA72" s="260">
        <v>1311</v>
      </c>
      <c r="CB72" s="260">
        <v>1311</v>
      </c>
      <c r="CC72" s="260">
        <v>1298</v>
      </c>
      <c r="CD72" s="260">
        <v>1318</v>
      </c>
      <c r="CE72" s="260">
        <v>1316</v>
      </c>
      <c r="CF72" s="260">
        <v>1338</v>
      </c>
      <c r="CG72" s="260">
        <v>1309</v>
      </c>
      <c r="CH72" s="260">
        <v>1500</v>
      </c>
      <c r="CI72" s="260">
        <v>1465</v>
      </c>
      <c r="CJ72" s="260">
        <v>1493</v>
      </c>
      <c r="CK72" s="260">
        <v>1278</v>
      </c>
      <c r="CL72" s="260">
        <v>1253</v>
      </c>
      <c r="CM72" s="260">
        <v>1397</v>
      </c>
      <c r="CN72" s="260">
        <v>1319</v>
      </c>
      <c r="CO72" s="260">
        <v>1314</v>
      </c>
      <c r="CP72" s="260">
        <v>1304</v>
      </c>
      <c r="CQ72" s="260">
        <v>1380</v>
      </c>
      <c r="CR72" s="260">
        <v>1313</v>
      </c>
      <c r="CS72" s="260">
        <v>1301</v>
      </c>
      <c r="CT72" s="260">
        <v>1328</v>
      </c>
      <c r="CU72" s="260">
        <v>1319</v>
      </c>
      <c r="CV72" s="260">
        <v>1315</v>
      </c>
      <c r="CW72" s="260">
        <v>1308</v>
      </c>
      <c r="CX72" s="260">
        <v>1359</v>
      </c>
      <c r="CY72" s="260">
        <v>1347</v>
      </c>
      <c r="CZ72" s="260">
        <v>1348</v>
      </c>
      <c r="DA72" s="260">
        <v>1341</v>
      </c>
      <c r="DB72" s="260">
        <v>1325</v>
      </c>
      <c r="DC72" s="260">
        <v>1157</v>
      </c>
      <c r="DD72" s="260">
        <v>1286</v>
      </c>
      <c r="DE72" s="260">
        <v>1317</v>
      </c>
      <c r="DF72" s="260">
        <v>1298</v>
      </c>
      <c r="DG72" s="260">
        <v>1305</v>
      </c>
      <c r="DH72" s="260">
        <v>1340</v>
      </c>
      <c r="DI72" s="260">
        <v>1303</v>
      </c>
      <c r="DJ72" s="260">
        <v>1325</v>
      </c>
      <c r="DK72" s="260">
        <v>1293</v>
      </c>
      <c r="DL72" s="260">
        <v>1474</v>
      </c>
      <c r="DM72" s="260">
        <v>1321</v>
      </c>
      <c r="DN72" s="260">
        <v>1538</v>
      </c>
      <c r="DO72" s="260">
        <v>1445</v>
      </c>
      <c r="DP72" s="260">
        <v>1318</v>
      </c>
      <c r="DQ72" s="260">
        <v>1441</v>
      </c>
      <c r="DR72" s="260">
        <v>1422</v>
      </c>
      <c r="DS72" s="260">
        <v>1298</v>
      </c>
      <c r="DT72" s="260">
        <v>1457</v>
      </c>
      <c r="DU72" s="260">
        <v>1465</v>
      </c>
      <c r="DV72" s="260">
        <v>1310</v>
      </c>
      <c r="DW72" s="260">
        <v>1190</v>
      </c>
      <c r="DX72" s="260">
        <v>1438</v>
      </c>
      <c r="DY72" s="260">
        <v>1478</v>
      </c>
      <c r="DZ72" s="260">
        <v>1469</v>
      </c>
      <c r="EA72" s="260">
        <v>1316</v>
      </c>
      <c r="EB72" s="260">
        <v>1328</v>
      </c>
      <c r="EC72" s="260">
        <v>1400</v>
      </c>
      <c r="ED72" s="260">
        <v>1376</v>
      </c>
      <c r="EE72" s="260">
        <v>1312</v>
      </c>
      <c r="EF72" s="260">
        <v>1324</v>
      </c>
      <c r="EG72" s="260">
        <v>1253</v>
      </c>
      <c r="EH72" s="260">
        <v>1105</v>
      </c>
      <c r="EI72" s="260">
        <v>1124</v>
      </c>
      <c r="EJ72" s="260">
        <v>1401</v>
      </c>
      <c r="EK72" s="260">
        <v>1383</v>
      </c>
      <c r="EL72" s="260">
        <v>1285</v>
      </c>
      <c r="EM72" s="260">
        <v>1340</v>
      </c>
      <c r="EN72" s="260">
        <v>1334</v>
      </c>
      <c r="EO72" s="260">
        <v>1142</v>
      </c>
      <c r="EP72" s="260">
        <v>1402</v>
      </c>
      <c r="EQ72" s="260">
        <v>1289</v>
      </c>
      <c r="ER72" s="260">
        <v>1337</v>
      </c>
      <c r="ES72" s="260">
        <v>1221</v>
      </c>
      <c r="ET72" s="260">
        <v>1307</v>
      </c>
      <c r="EU72" s="260">
        <v>1248</v>
      </c>
      <c r="EV72" s="260">
        <v>1319</v>
      </c>
      <c r="EW72" s="260">
        <v>1301</v>
      </c>
      <c r="EX72" s="260">
        <v>1241</v>
      </c>
      <c r="EY72" s="260">
        <v>1357</v>
      </c>
      <c r="EZ72" s="260">
        <v>1207</v>
      </c>
      <c r="FA72" s="260">
        <v>1332</v>
      </c>
      <c r="FB72" s="260">
        <v>1238</v>
      </c>
      <c r="FC72" s="260">
        <v>1153</v>
      </c>
      <c r="FD72" s="260">
        <v>1337</v>
      </c>
      <c r="FE72" s="260">
        <v>1352</v>
      </c>
      <c r="FF72" s="260">
        <v>1362</v>
      </c>
      <c r="FG72" s="260">
        <v>1249</v>
      </c>
      <c r="FH72" s="260">
        <v>1430</v>
      </c>
      <c r="FI72" s="260">
        <v>1255</v>
      </c>
      <c r="FJ72" s="260">
        <v>1232</v>
      </c>
      <c r="FK72" s="260">
        <v>1221</v>
      </c>
      <c r="FL72" s="260">
        <v>1254</v>
      </c>
      <c r="FM72" s="260">
        <v>1223</v>
      </c>
      <c r="FN72" s="260">
        <v>1310</v>
      </c>
      <c r="FO72" s="260">
        <v>1270</v>
      </c>
      <c r="FP72" s="260">
        <v>1458</v>
      </c>
      <c r="FQ72" s="260">
        <v>1264</v>
      </c>
      <c r="FR72" s="260">
        <v>1437</v>
      </c>
      <c r="FS72" s="260">
        <v>1411</v>
      </c>
      <c r="FT72" s="260">
        <v>1449</v>
      </c>
      <c r="FU72" s="260">
        <v>1350</v>
      </c>
      <c r="FV72" s="260">
        <v>1243</v>
      </c>
      <c r="FW72" s="260">
        <v>1428</v>
      </c>
      <c r="FX72" s="260">
        <v>1303</v>
      </c>
      <c r="FY72" s="260">
        <v>1302</v>
      </c>
      <c r="FZ72" s="260">
        <v>1325</v>
      </c>
      <c r="GA72" s="260">
        <v>1358</v>
      </c>
      <c r="GB72" s="260">
        <v>1418</v>
      </c>
      <c r="GC72" s="260">
        <v>1328</v>
      </c>
      <c r="GD72" s="260">
        <v>1416</v>
      </c>
      <c r="GE72" s="260">
        <v>1292</v>
      </c>
      <c r="GF72" s="260">
        <v>1306</v>
      </c>
      <c r="GG72" s="260">
        <v>1273</v>
      </c>
      <c r="GH72" s="260">
        <v>1439</v>
      </c>
      <c r="GI72" s="260">
        <v>1325</v>
      </c>
      <c r="GJ72" s="260">
        <v>1398</v>
      </c>
      <c r="GK72" s="260">
        <v>1412</v>
      </c>
      <c r="GL72" s="260">
        <v>1475</v>
      </c>
      <c r="GM72" s="260">
        <v>1365</v>
      </c>
      <c r="GN72" s="260">
        <v>1415</v>
      </c>
      <c r="GO72" s="260">
        <v>1425</v>
      </c>
      <c r="GP72" s="260">
        <v>1365</v>
      </c>
      <c r="GQ72" s="260">
        <v>1365</v>
      </c>
      <c r="GR72" s="260">
        <v>1319</v>
      </c>
      <c r="GS72" s="260">
        <v>1412</v>
      </c>
      <c r="GT72" s="260">
        <v>1266</v>
      </c>
      <c r="GU72" s="260">
        <v>1277</v>
      </c>
      <c r="GV72" s="260">
        <v>1248</v>
      </c>
      <c r="GW72" s="260">
        <v>1280</v>
      </c>
      <c r="GX72" s="260">
        <v>1270</v>
      </c>
      <c r="GY72" s="260">
        <v>1283</v>
      </c>
      <c r="GZ72" s="260">
        <v>1066</v>
      </c>
      <c r="HA72" s="260">
        <v>1300</v>
      </c>
      <c r="HB72" s="260"/>
      <c r="HC72" s="260"/>
      <c r="HD72" s="260">
        <v>1131</v>
      </c>
      <c r="HE72" s="260">
        <v>898</v>
      </c>
      <c r="HF72" s="260">
        <v>1264</v>
      </c>
      <c r="HG72" s="260"/>
      <c r="HH72" s="260">
        <v>1353</v>
      </c>
      <c r="HI72" s="260">
        <v>1298</v>
      </c>
      <c r="HJ72" s="260">
        <v>1320</v>
      </c>
      <c r="HK72" s="260">
        <v>1283</v>
      </c>
      <c r="HL72" s="260">
        <v>1310</v>
      </c>
      <c r="HM72" s="260">
        <v>1307</v>
      </c>
      <c r="HN72" s="260">
        <v>1326</v>
      </c>
      <c r="HO72" s="260">
        <v>1325</v>
      </c>
      <c r="HP72" s="260">
        <v>1326</v>
      </c>
      <c r="HQ72" s="260">
        <v>1334</v>
      </c>
      <c r="HR72" s="260">
        <v>1318</v>
      </c>
      <c r="HS72" s="260">
        <v>1319</v>
      </c>
      <c r="HT72" s="260">
        <v>1468</v>
      </c>
      <c r="HU72" s="260">
        <v>1495</v>
      </c>
      <c r="HV72" s="260">
        <v>1190</v>
      </c>
      <c r="HW72" s="260">
        <v>1161</v>
      </c>
      <c r="HX72" s="260">
        <v>903</v>
      </c>
      <c r="HY72" s="260">
        <v>825</v>
      </c>
      <c r="HZ72" s="260">
        <v>965</v>
      </c>
      <c r="IA72" s="260">
        <v>1132</v>
      </c>
      <c r="IB72" s="260">
        <v>1360</v>
      </c>
      <c r="IC72" s="260">
        <v>1457</v>
      </c>
      <c r="ID72" s="260">
        <v>1404</v>
      </c>
      <c r="IE72" s="260">
        <v>1362</v>
      </c>
      <c r="IF72" s="260">
        <v>1294</v>
      </c>
      <c r="IG72" s="260">
        <v>1377</v>
      </c>
      <c r="IH72" s="260">
        <v>1447</v>
      </c>
      <c r="II72" s="260">
        <v>1392</v>
      </c>
      <c r="IJ72" s="260">
        <v>1230</v>
      </c>
      <c r="IK72" s="260">
        <v>1297</v>
      </c>
      <c r="IL72" s="260">
        <v>1198</v>
      </c>
      <c r="IM72" s="260">
        <v>1298</v>
      </c>
      <c r="IN72" s="260">
        <v>1210</v>
      </c>
      <c r="IO72" s="260"/>
      <c r="IP72" s="260">
        <v>1698</v>
      </c>
      <c r="IQ72" s="260">
        <v>1357</v>
      </c>
      <c r="IR72" s="260">
        <v>488</v>
      </c>
      <c r="IS72" s="260">
        <v>1298</v>
      </c>
      <c r="IT72" s="260">
        <v>1359</v>
      </c>
      <c r="IU72" s="260"/>
      <c r="IV72" s="260"/>
      <c r="IW72" s="260">
        <v>1341</v>
      </c>
      <c r="IX72" s="260">
        <v>1184</v>
      </c>
      <c r="IY72" s="260">
        <v>1310</v>
      </c>
      <c r="IZ72" s="260">
        <v>1198</v>
      </c>
      <c r="JA72" s="260">
        <v>1122</v>
      </c>
      <c r="JB72" s="289">
        <v>36.799999999999997</v>
      </c>
      <c r="JC72" s="289">
        <v>52.03</v>
      </c>
      <c r="JD72" s="289">
        <v>3.2</v>
      </c>
      <c r="JE72" s="289">
        <v>8.3000000000000007</v>
      </c>
      <c r="JF72" s="289"/>
      <c r="JG72" s="289">
        <v>6.7</v>
      </c>
      <c r="JH72" s="259">
        <v>6.3</v>
      </c>
      <c r="JI72" s="290"/>
      <c r="JJ72" s="290"/>
      <c r="JK72" s="260">
        <v>86205731.343999997</v>
      </c>
      <c r="JL72" s="264">
        <v>282896.23100000003</v>
      </c>
      <c r="JM72" s="260">
        <v>59198310.589000002</v>
      </c>
      <c r="JN72" s="260">
        <v>62568.023000000001</v>
      </c>
      <c r="JO72" s="260">
        <v>86917129.674999997</v>
      </c>
      <c r="JP72" s="260">
        <v>187898.13200000001</v>
      </c>
      <c r="JQ72" s="260">
        <v>63141168.652000003</v>
      </c>
      <c r="JR72" s="260">
        <v>56991.445</v>
      </c>
      <c r="JS72" s="289">
        <v>326567840.292</v>
      </c>
      <c r="JT72" s="289">
        <v>86987.148000000001</v>
      </c>
      <c r="JU72" s="283">
        <f t="shared" si="303"/>
        <v>82746.075999990106</v>
      </c>
      <c r="JV72" s="283">
        <f t="shared" si="304"/>
        <v>39.26400000002468</v>
      </c>
      <c r="JW72" s="283">
        <f t="shared" si="305"/>
        <v>82854.833999998868</v>
      </c>
      <c r="JX72" s="283">
        <f t="shared" si="306"/>
        <v>44.02100000000064</v>
      </c>
      <c r="JY72" s="284">
        <f t="shared" si="307"/>
        <v>82882.825999990106</v>
      </c>
      <c r="JZ72" s="284">
        <f t="shared" si="308"/>
        <v>26.86600000000908</v>
      </c>
      <c r="KA72" s="284">
        <f t="shared" si="298"/>
        <v>67314.308000005782</v>
      </c>
      <c r="KB72" s="284">
        <f t="shared" si="309"/>
        <v>72</v>
      </c>
      <c r="KC72" s="283">
        <f t="shared" si="299"/>
        <v>315512.6969999671</v>
      </c>
      <c r="KD72" s="283">
        <f t="shared" si="310"/>
        <v>154.875</v>
      </c>
      <c r="KE72" s="291">
        <f>(JU72+JW72)-(JV72+JX72)</f>
        <v>165517.62499998894</v>
      </c>
      <c r="KF72" s="291">
        <f t="shared" si="302"/>
        <v>315357.8219999671</v>
      </c>
      <c r="KG72" s="292">
        <f>(RD[[#This Row],[Sunset Time (POA&lt;20 W/m2)]]-RD[[#This Row],[Sunrise Time (POA&gt;20 W/m2)]])*24</f>
        <v>13.5</v>
      </c>
      <c r="KH72" s="293">
        <f>RD[[#This Row],[GHI ]]</f>
        <v>6.7</v>
      </c>
      <c r="KI72" s="293">
        <f>RD[[#This Row],[POA]]</f>
        <v>6.3</v>
      </c>
      <c r="KJ72" s="293">
        <f>RD[[#This Row],[AT (°C) 14 Hours]]</f>
        <v>36.799999999999997</v>
      </c>
      <c r="KK72" s="293">
        <f>RD[[#This Row],[MT (°C) Gen. Hours]]</f>
        <v>52.03</v>
      </c>
      <c r="KL72" s="293">
        <f>RD[[#This Row],[WS_Avg (m/s) (24 Hours)]]</f>
        <v>3.2</v>
      </c>
      <c r="KM72" s="293">
        <f>RD[[#This Row],[WS_Max (m/s)]]</f>
        <v>8.3000000000000007</v>
      </c>
      <c r="KN72" s="294">
        <f>SUM(RD[[#This Row],[BLK1_INV1]:[BLK8_INV27]])</f>
        <v>317965</v>
      </c>
      <c r="KO72" s="95"/>
      <c r="KP72" s="55"/>
      <c r="KQ72" s="90" t="str">
        <f>IFERROR(RD[[#This Row],[WPR_Eac]]/RD[[#This Row],[WPR_Edc]],"")</f>
        <v/>
      </c>
    </row>
    <row r="73" spans="2:303" ht="15" customHeight="1" x14ac:dyDescent="0.25">
      <c r="B73" s="52">
        <v>45814</v>
      </c>
      <c r="C73" s="9">
        <f>YEAR(RD[[#This Row],[Date]])+IF(MONTH(RD[[#This Row],[Date]])&gt;=4,1,0)</f>
        <v>2026</v>
      </c>
      <c r="D73" s="6">
        <f t="shared" si="300"/>
        <v>2025</v>
      </c>
      <c r="E73" s="7"/>
      <c r="F73" s="7"/>
      <c r="G73" s="8" t="str">
        <f>TEXT(RD[[#This Row],[Date]],"mmm-yy")</f>
        <v>Jun-25</v>
      </c>
      <c r="H73" s="6">
        <f t="shared" si="301"/>
        <v>30</v>
      </c>
      <c r="I73" s="9">
        <f>'Basic Data '!$S$2</f>
        <v>66750</v>
      </c>
      <c r="J73" s="10">
        <v>0.21458333333333335</v>
      </c>
      <c r="K73" s="10">
        <v>0.77500000000000002</v>
      </c>
      <c r="L73" s="260">
        <v>1375</v>
      </c>
      <c r="M73" s="260">
        <v>1406</v>
      </c>
      <c r="N73" s="260">
        <v>1249</v>
      </c>
      <c r="O73" s="260">
        <v>1299</v>
      </c>
      <c r="P73" s="260">
        <v>1395</v>
      </c>
      <c r="Q73" s="260">
        <v>1296</v>
      </c>
      <c r="R73" s="260">
        <v>1296</v>
      </c>
      <c r="S73" s="260">
        <v>1191</v>
      </c>
      <c r="T73" s="260">
        <v>1344</v>
      </c>
      <c r="U73" s="260">
        <v>1351</v>
      </c>
      <c r="V73" s="260">
        <v>1318</v>
      </c>
      <c r="W73" s="260">
        <v>1312</v>
      </c>
      <c r="X73" s="260">
        <v>1292</v>
      </c>
      <c r="Y73" s="260">
        <v>1216</v>
      </c>
      <c r="Z73" s="260">
        <v>1292</v>
      </c>
      <c r="AA73" s="260">
        <v>1287</v>
      </c>
      <c r="AB73" s="260">
        <v>1228</v>
      </c>
      <c r="AC73" s="260">
        <v>1277</v>
      </c>
      <c r="AD73" s="260">
        <v>1388</v>
      </c>
      <c r="AE73" s="260">
        <v>1388</v>
      </c>
      <c r="AF73" s="260">
        <v>1291</v>
      </c>
      <c r="AG73" s="260">
        <v>1242</v>
      </c>
      <c r="AH73" s="260">
        <v>1365</v>
      </c>
      <c r="AI73" s="260">
        <v>1458</v>
      </c>
      <c r="AJ73" s="260">
        <v>1404</v>
      </c>
      <c r="AK73" s="260">
        <v>1391</v>
      </c>
      <c r="AL73" s="260">
        <v>1383</v>
      </c>
      <c r="AM73" s="260">
        <v>1433</v>
      </c>
      <c r="AN73" s="260">
        <v>1452</v>
      </c>
      <c r="AO73" s="260">
        <v>1428</v>
      </c>
      <c r="AP73" s="260">
        <v>1270</v>
      </c>
      <c r="AQ73" s="260">
        <v>1332</v>
      </c>
      <c r="AR73" s="260">
        <v>1232</v>
      </c>
      <c r="AS73" s="260">
        <v>1578</v>
      </c>
      <c r="AT73" s="260">
        <v>1231</v>
      </c>
      <c r="AU73" s="260">
        <v>1446</v>
      </c>
      <c r="AV73" s="260">
        <v>1294</v>
      </c>
      <c r="AW73" s="260">
        <v>1263</v>
      </c>
      <c r="AX73" s="260">
        <v>1282</v>
      </c>
      <c r="AY73" s="260">
        <v>1301</v>
      </c>
      <c r="AZ73" s="260">
        <v>1278</v>
      </c>
      <c r="BA73" s="260">
        <v>1269</v>
      </c>
      <c r="BB73" s="260">
        <v>1286</v>
      </c>
      <c r="BC73" s="260">
        <v>1154</v>
      </c>
      <c r="BD73" s="260">
        <v>1281</v>
      </c>
      <c r="BE73" s="260">
        <v>1293</v>
      </c>
      <c r="BF73" s="260">
        <v>1390</v>
      </c>
      <c r="BG73" s="260">
        <v>1220</v>
      </c>
      <c r="BH73" s="260">
        <v>1279</v>
      </c>
      <c r="BI73" s="260">
        <v>1262</v>
      </c>
      <c r="BJ73" s="260">
        <v>1290</v>
      </c>
      <c r="BK73" s="260">
        <v>1236</v>
      </c>
      <c r="BL73" s="260">
        <v>1472</v>
      </c>
      <c r="BM73" s="260">
        <v>1450</v>
      </c>
      <c r="BN73" s="260">
        <v>1384</v>
      </c>
      <c r="BO73" s="260">
        <v>1465</v>
      </c>
      <c r="BP73" s="260">
        <v>1463</v>
      </c>
      <c r="BQ73" s="260">
        <v>1300</v>
      </c>
      <c r="BR73" s="260">
        <v>1441</v>
      </c>
      <c r="BS73" s="260">
        <v>1457</v>
      </c>
      <c r="BT73" s="260">
        <v>1297</v>
      </c>
      <c r="BU73" s="260">
        <v>1461</v>
      </c>
      <c r="BV73" s="260">
        <v>1268</v>
      </c>
      <c r="BW73" s="260">
        <v>968</v>
      </c>
      <c r="BX73" s="260">
        <v>1398</v>
      </c>
      <c r="BY73" s="260">
        <v>1387</v>
      </c>
      <c r="BZ73" s="260">
        <v>1389</v>
      </c>
      <c r="CA73" s="260">
        <v>1278</v>
      </c>
      <c r="CB73" s="260">
        <v>1287</v>
      </c>
      <c r="CC73" s="260">
        <v>1250</v>
      </c>
      <c r="CD73" s="260">
        <v>1265</v>
      </c>
      <c r="CE73" s="260">
        <v>1289</v>
      </c>
      <c r="CF73" s="260">
        <v>1290</v>
      </c>
      <c r="CG73" s="260">
        <v>1290</v>
      </c>
      <c r="CH73" s="260">
        <v>1423</v>
      </c>
      <c r="CI73" s="260">
        <v>1387</v>
      </c>
      <c r="CJ73" s="260">
        <v>1403</v>
      </c>
      <c r="CK73" s="260">
        <v>1250</v>
      </c>
      <c r="CL73" s="260">
        <v>1207</v>
      </c>
      <c r="CM73" s="260">
        <v>1308</v>
      </c>
      <c r="CN73" s="260">
        <v>1209</v>
      </c>
      <c r="CO73" s="260">
        <v>1278</v>
      </c>
      <c r="CP73" s="260">
        <v>1289</v>
      </c>
      <c r="CQ73" s="260">
        <v>1209</v>
      </c>
      <c r="CR73" s="260">
        <v>1267</v>
      </c>
      <c r="CS73" s="260">
        <v>1290</v>
      </c>
      <c r="CT73" s="260">
        <v>1265</v>
      </c>
      <c r="CU73" s="260">
        <v>1293</v>
      </c>
      <c r="CV73" s="260">
        <v>1245</v>
      </c>
      <c r="CW73" s="260">
        <v>1246</v>
      </c>
      <c r="CX73" s="260">
        <v>1301</v>
      </c>
      <c r="CY73" s="260">
        <v>1296</v>
      </c>
      <c r="CZ73" s="260">
        <v>1291</v>
      </c>
      <c r="DA73" s="260">
        <v>1295</v>
      </c>
      <c r="DB73" s="260">
        <v>1308</v>
      </c>
      <c r="DC73" s="260">
        <v>1152</v>
      </c>
      <c r="DD73" s="260">
        <v>1250</v>
      </c>
      <c r="DE73" s="260">
        <v>1295</v>
      </c>
      <c r="DF73" s="260">
        <v>1280</v>
      </c>
      <c r="DG73" s="260">
        <v>1285</v>
      </c>
      <c r="DH73" s="260">
        <v>1320</v>
      </c>
      <c r="DI73" s="260">
        <v>1283</v>
      </c>
      <c r="DJ73" s="260">
        <v>1309</v>
      </c>
      <c r="DK73" s="260">
        <v>1281</v>
      </c>
      <c r="DL73" s="260">
        <v>1471</v>
      </c>
      <c r="DM73" s="260">
        <v>1301</v>
      </c>
      <c r="DN73" s="260">
        <v>1538</v>
      </c>
      <c r="DO73" s="260">
        <v>1438</v>
      </c>
      <c r="DP73" s="260">
        <v>1300</v>
      </c>
      <c r="DQ73" s="260">
        <v>1421</v>
      </c>
      <c r="DR73" s="260">
        <v>1407</v>
      </c>
      <c r="DS73" s="260">
        <v>1376</v>
      </c>
      <c r="DT73" s="260">
        <v>1440</v>
      </c>
      <c r="DU73" s="260">
        <v>1450</v>
      </c>
      <c r="DV73" s="260">
        <v>1285</v>
      </c>
      <c r="DW73" s="260">
        <v>1164</v>
      </c>
      <c r="DX73" s="260">
        <v>1433</v>
      </c>
      <c r="DY73" s="260">
        <v>1462</v>
      </c>
      <c r="DZ73" s="260">
        <v>1456</v>
      </c>
      <c r="EA73" s="260">
        <v>1299</v>
      </c>
      <c r="EB73" s="260">
        <v>1312</v>
      </c>
      <c r="EC73" s="260">
        <v>1400</v>
      </c>
      <c r="ED73" s="260">
        <v>1359</v>
      </c>
      <c r="EE73" s="260">
        <v>1295</v>
      </c>
      <c r="EF73" s="260">
        <v>1305</v>
      </c>
      <c r="EG73" s="260">
        <v>1298</v>
      </c>
      <c r="EH73" s="260">
        <v>1149</v>
      </c>
      <c r="EI73" s="260">
        <v>1168</v>
      </c>
      <c r="EJ73" s="260">
        <v>1456</v>
      </c>
      <c r="EK73" s="260">
        <v>1437</v>
      </c>
      <c r="EL73" s="260">
        <v>1336</v>
      </c>
      <c r="EM73" s="260">
        <v>1395</v>
      </c>
      <c r="EN73" s="260">
        <v>1389</v>
      </c>
      <c r="EO73" s="260">
        <v>1189</v>
      </c>
      <c r="EP73" s="260">
        <v>1465</v>
      </c>
      <c r="EQ73" s="260">
        <v>1355</v>
      </c>
      <c r="ER73" s="260">
        <v>1406</v>
      </c>
      <c r="ES73" s="260">
        <v>1287</v>
      </c>
      <c r="ET73" s="260">
        <v>1376</v>
      </c>
      <c r="EU73" s="260">
        <v>1311</v>
      </c>
      <c r="EV73" s="260">
        <v>1374</v>
      </c>
      <c r="EW73" s="260">
        <v>1354</v>
      </c>
      <c r="EX73" s="260">
        <v>1304</v>
      </c>
      <c r="EY73" s="260">
        <v>1419</v>
      </c>
      <c r="EZ73" s="260">
        <v>1269</v>
      </c>
      <c r="FA73" s="260">
        <v>1438</v>
      </c>
      <c r="FB73" s="260">
        <v>1291</v>
      </c>
      <c r="FC73" s="260">
        <v>1198</v>
      </c>
      <c r="FD73" s="260">
        <v>1392</v>
      </c>
      <c r="FE73" s="260">
        <v>1407</v>
      </c>
      <c r="FF73" s="260">
        <v>1416</v>
      </c>
      <c r="FG73" s="260">
        <v>1299</v>
      </c>
      <c r="FH73" s="260">
        <v>1489</v>
      </c>
      <c r="FI73" s="260">
        <v>1305</v>
      </c>
      <c r="FJ73" s="260">
        <v>1282</v>
      </c>
      <c r="FK73" s="260">
        <v>1269</v>
      </c>
      <c r="FL73" s="260">
        <v>1300</v>
      </c>
      <c r="FM73" s="260">
        <v>1275</v>
      </c>
      <c r="FN73" s="260">
        <v>1298</v>
      </c>
      <c r="FO73" s="260">
        <v>1239</v>
      </c>
      <c r="FP73" s="260">
        <v>1443</v>
      </c>
      <c r="FQ73" s="260">
        <v>1257</v>
      </c>
      <c r="FR73" s="260">
        <v>1429</v>
      </c>
      <c r="FS73" s="260">
        <v>1401</v>
      </c>
      <c r="FT73" s="260">
        <v>1412</v>
      </c>
      <c r="FU73" s="260">
        <v>1348</v>
      </c>
      <c r="FV73" s="260">
        <v>1221</v>
      </c>
      <c r="FW73" s="260">
        <v>1413</v>
      </c>
      <c r="FX73" s="260">
        <v>1278</v>
      </c>
      <c r="FY73" s="260">
        <v>1290</v>
      </c>
      <c r="FZ73" s="260">
        <v>1302</v>
      </c>
      <c r="GA73" s="260">
        <v>1340</v>
      </c>
      <c r="GB73" s="260">
        <v>1398</v>
      </c>
      <c r="GC73" s="260">
        <v>1302</v>
      </c>
      <c r="GD73" s="260">
        <v>1421</v>
      </c>
      <c r="GE73" s="260">
        <v>1278</v>
      </c>
      <c r="GF73" s="260">
        <v>1301</v>
      </c>
      <c r="GG73" s="260">
        <v>1257</v>
      </c>
      <c r="GH73" s="260">
        <v>1401</v>
      </c>
      <c r="GI73" s="260">
        <v>1313</v>
      </c>
      <c r="GJ73" s="260">
        <v>1378</v>
      </c>
      <c r="GK73" s="260">
        <v>1401</v>
      </c>
      <c r="GL73" s="260">
        <v>1460</v>
      </c>
      <c r="GM73" s="260">
        <v>1368</v>
      </c>
      <c r="GN73" s="260">
        <v>1402</v>
      </c>
      <c r="GO73" s="260">
        <v>1411</v>
      </c>
      <c r="GP73" s="260">
        <v>1378</v>
      </c>
      <c r="GQ73" s="260">
        <v>1360</v>
      </c>
      <c r="GR73" s="260">
        <v>1311</v>
      </c>
      <c r="GS73" s="260">
        <v>1419</v>
      </c>
      <c r="GT73" s="260">
        <v>1285</v>
      </c>
      <c r="GU73" s="260">
        <v>1256</v>
      </c>
      <c r="GV73" s="260">
        <v>1241</v>
      </c>
      <c r="GW73" s="260">
        <v>1267</v>
      </c>
      <c r="GX73" s="260">
        <v>1269</v>
      </c>
      <c r="GY73" s="260">
        <v>1278</v>
      </c>
      <c r="GZ73" s="260">
        <v>1082</v>
      </c>
      <c r="HA73" s="260">
        <v>1298</v>
      </c>
      <c r="HB73" s="260"/>
      <c r="HC73" s="260"/>
      <c r="HD73" s="260">
        <v>1151</v>
      </c>
      <c r="HE73" s="260">
        <v>912</v>
      </c>
      <c r="HF73" s="260">
        <v>1284</v>
      </c>
      <c r="HG73" s="260"/>
      <c r="HH73" s="260">
        <v>1395</v>
      </c>
      <c r="HI73" s="260">
        <v>1303</v>
      </c>
      <c r="HJ73" s="260">
        <v>1301</v>
      </c>
      <c r="HK73" s="260">
        <v>1272</v>
      </c>
      <c r="HL73" s="260">
        <v>1289</v>
      </c>
      <c r="HM73" s="260">
        <v>1295</v>
      </c>
      <c r="HN73" s="260">
        <v>1303</v>
      </c>
      <c r="HO73" s="260">
        <v>1300</v>
      </c>
      <c r="HP73" s="260">
        <v>1303</v>
      </c>
      <c r="HQ73" s="260">
        <v>1321</v>
      </c>
      <c r="HR73" s="260">
        <v>1301</v>
      </c>
      <c r="HS73" s="260">
        <v>1303</v>
      </c>
      <c r="HT73" s="260">
        <v>1456</v>
      </c>
      <c r="HU73" s="260">
        <v>1485</v>
      </c>
      <c r="HV73" s="260">
        <v>1192</v>
      </c>
      <c r="HW73" s="260">
        <v>1164</v>
      </c>
      <c r="HX73" s="260">
        <v>978</v>
      </c>
      <c r="HY73" s="260">
        <v>780</v>
      </c>
      <c r="HZ73" s="260">
        <v>978</v>
      </c>
      <c r="IA73" s="260">
        <v>1152</v>
      </c>
      <c r="IB73" s="260">
        <v>1339</v>
      </c>
      <c r="IC73" s="260">
        <v>1444</v>
      </c>
      <c r="ID73" s="260">
        <v>1379</v>
      </c>
      <c r="IE73" s="260">
        <v>1389</v>
      </c>
      <c r="IF73" s="260">
        <v>1310</v>
      </c>
      <c r="IG73" s="260">
        <v>1391</v>
      </c>
      <c r="IH73" s="260">
        <v>1434</v>
      </c>
      <c r="II73" s="260">
        <v>1398</v>
      </c>
      <c r="IJ73" s="260">
        <v>1247</v>
      </c>
      <c r="IK73" s="260">
        <v>1310</v>
      </c>
      <c r="IL73" s="260">
        <v>1228</v>
      </c>
      <c r="IM73" s="260">
        <v>1289</v>
      </c>
      <c r="IN73" s="260">
        <v>1191</v>
      </c>
      <c r="IO73" s="260"/>
      <c r="IP73" s="260">
        <v>1678</v>
      </c>
      <c r="IQ73" s="260">
        <v>1398</v>
      </c>
      <c r="IR73" s="260">
        <v>481</v>
      </c>
      <c r="IS73" s="260">
        <v>1287</v>
      </c>
      <c r="IT73" s="260">
        <v>1212</v>
      </c>
      <c r="IU73" s="260"/>
      <c r="IV73" s="260"/>
      <c r="IW73" s="260">
        <v>1173</v>
      </c>
      <c r="IX73" s="260">
        <v>1210</v>
      </c>
      <c r="IY73" s="260">
        <v>1270</v>
      </c>
      <c r="IZ73" s="260">
        <v>1178</v>
      </c>
      <c r="JA73" s="260">
        <v>1108</v>
      </c>
      <c r="JB73" s="289">
        <v>30.8</v>
      </c>
      <c r="JC73" s="289">
        <v>50.3</v>
      </c>
      <c r="JD73" s="289">
        <v>31.1</v>
      </c>
      <c r="JE73" s="289">
        <v>8.5</v>
      </c>
      <c r="JF73" s="289"/>
      <c r="JG73" s="289">
        <v>6.6</v>
      </c>
      <c r="JH73" s="259">
        <v>6.32</v>
      </c>
      <c r="JI73" s="290"/>
      <c r="JJ73" s="290"/>
      <c r="JK73" s="260">
        <v>86290534.395999998</v>
      </c>
      <c r="JL73" s="260">
        <v>282928.05900000001</v>
      </c>
      <c r="JM73" s="260">
        <v>59280165.923</v>
      </c>
      <c r="JN73" s="260">
        <v>62601.116000000002</v>
      </c>
      <c r="JO73" s="260">
        <v>87002384.052000001</v>
      </c>
      <c r="JP73" s="260">
        <v>187939.878</v>
      </c>
      <c r="JQ73" s="260">
        <v>63207771.983000003</v>
      </c>
      <c r="JR73" s="260">
        <v>57066.455999999998</v>
      </c>
      <c r="JS73" s="289">
        <v>326886109.74800003</v>
      </c>
      <c r="JT73" s="289">
        <v>87143.418999999994</v>
      </c>
      <c r="JU73" s="283">
        <f t="shared" si="303"/>
        <v>84803.052000001073</v>
      </c>
      <c r="JV73" s="283">
        <f t="shared" si="304"/>
        <v>31.827999999979511</v>
      </c>
      <c r="JW73" s="283">
        <f t="shared" si="305"/>
        <v>81855.333999998868</v>
      </c>
      <c r="JX73" s="283">
        <f t="shared" si="306"/>
        <v>33.093000000000757</v>
      </c>
      <c r="JY73" s="284">
        <f t="shared" si="307"/>
        <v>85254.377000004053</v>
      </c>
      <c r="JZ73" s="284">
        <f t="shared" si="308"/>
        <v>41.745999999984633</v>
      </c>
      <c r="KA73" s="284">
        <f t="shared" si="298"/>
        <v>66603.331000000238</v>
      </c>
      <c r="KB73" s="284">
        <f t="shared" si="309"/>
        <v>75.010999999998603</v>
      </c>
      <c r="KC73" s="283">
        <f t="shared" ref="KC73:KD75" si="311">IF((JS73-JS72)&lt;0,"",(JS73-JS72))</f>
        <v>318269.45600003004</v>
      </c>
      <c r="KD73" s="283">
        <f t="shared" si="311"/>
        <v>156.27099999999336</v>
      </c>
      <c r="KE73" s="291">
        <f>(JU73+JW73)-(JV73+JX73)</f>
        <v>166593.46499999997</v>
      </c>
      <c r="KF73" s="291">
        <f t="shared" si="302"/>
        <v>318113.18500003003</v>
      </c>
      <c r="KG73" s="292">
        <f>(RD[[#This Row],[Sunset Time (POA&lt;20 W/m2)]]-RD[[#This Row],[Sunrise Time (POA&gt;20 W/m2)]])*24</f>
        <v>13.45</v>
      </c>
      <c r="KH73" s="293">
        <f>RD[[#This Row],[GHI ]]</f>
        <v>6.6</v>
      </c>
      <c r="KI73" s="293">
        <f>RD[[#This Row],[POA]]</f>
        <v>6.32</v>
      </c>
      <c r="KJ73" s="293">
        <f>RD[[#This Row],[AT (°C) 14 Hours]]</f>
        <v>30.8</v>
      </c>
      <c r="KK73" s="293">
        <f>RD[[#This Row],[MT (°C) Gen. Hours]]</f>
        <v>50.3</v>
      </c>
      <c r="KL73" s="293">
        <f>RD[[#This Row],[WS_Avg (m/s) (24 Hours)]]</f>
        <v>31.1</v>
      </c>
      <c r="KM73" s="293">
        <f>RD[[#This Row],[WS_Max (m/s)]]</f>
        <v>8.5</v>
      </c>
      <c r="KN73" s="294">
        <f>SUM(RD[[#This Row],[BLK1_INV1]:[BLK8_INV27]])</f>
        <v>319248</v>
      </c>
      <c r="KO73" s="95"/>
      <c r="KP73" s="55"/>
      <c r="KQ73" s="90" t="str">
        <f>IFERROR(RD[[#This Row],[WPR_Eac]]/RD[[#This Row],[WPR_Edc]],"")</f>
        <v/>
      </c>
    </row>
    <row r="74" spans="2:303" ht="15" customHeight="1" x14ac:dyDescent="0.25">
      <c r="B74" s="52">
        <v>45815</v>
      </c>
      <c r="C74" s="215">
        <f>YEAR(RD[[#This Row],[Date]])+IF(MONTH(RD[[#This Row],[Date]])&gt;=4,1,0)</f>
        <v>2026</v>
      </c>
      <c r="D74" s="129">
        <f>YEAR(B74)</f>
        <v>2025</v>
      </c>
      <c r="E74" s="216"/>
      <c r="F74" s="216"/>
      <c r="G74" s="217" t="str">
        <f>TEXT(RD[[#This Row],[Date]],"mmm-yy")</f>
        <v>Jun-25</v>
      </c>
      <c r="H74" s="129">
        <f>DAY(EOMONTH(B74,0))</f>
        <v>30</v>
      </c>
      <c r="I74" s="215">
        <f>'Basic Data '!$S$2</f>
        <v>66750</v>
      </c>
      <c r="J74" s="10">
        <v>0.21319444444444444</v>
      </c>
      <c r="K74" s="10">
        <v>0.77500000000000002</v>
      </c>
      <c r="L74" s="215">
        <v>1464</v>
      </c>
      <c r="M74" s="215">
        <v>1500</v>
      </c>
      <c r="N74" s="215">
        <v>1332</v>
      </c>
      <c r="O74" s="215">
        <v>1388</v>
      </c>
      <c r="P74" s="215">
        <v>1487</v>
      </c>
      <c r="Q74" s="215">
        <v>1381</v>
      </c>
      <c r="R74" s="215">
        <v>1381</v>
      </c>
      <c r="S74" s="215">
        <v>1275</v>
      </c>
      <c r="T74" s="215">
        <v>1428</v>
      </c>
      <c r="U74" s="215">
        <v>1435</v>
      </c>
      <c r="V74" s="215">
        <v>1405</v>
      </c>
      <c r="W74" s="215">
        <v>1396</v>
      </c>
      <c r="X74" s="215">
        <v>1377</v>
      </c>
      <c r="Y74" s="215">
        <v>1296</v>
      </c>
      <c r="Z74" s="215">
        <v>1374</v>
      </c>
      <c r="AA74" s="215">
        <v>1370</v>
      </c>
      <c r="AB74" s="215">
        <v>1308</v>
      </c>
      <c r="AC74" s="215">
        <v>1361</v>
      </c>
      <c r="AD74" s="215">
        <v>1475</v>
      </c>
      <c r="AE74" s="215">
        <v>1480</v>
      </c>
      <c r="AF74" s="215">
        <v>1379</v>
      </c>
      <c r="AG74" s="215">
        <v>1323</v>
      </c>
      <c r="AH74" s="215">
        <v>1459</v>
      </c>
      <c r="AI74" s="215">
        <v>1556</v>
      </c>
      <c r="AJ74" s="215">
        <v>1501</v>
      </c>
      <c r="AK74" s="215">
        <v>1484</v>
      </c>
      <c r="AL74" s="215">
        <v>1477</v>
      </c>
      <c r="AM74" s="215">
        <v>1532</v>
      </c>
      <c r="AN74" s="215">
        <v>1546</v>
      </c>
      <c r="AO74" s="215">
        <v>1526</v>
      </c>
      <c r="AP74" s="215">
        <v>1310</v>
      </c>
      <c r="AQ74" s="215">
        <v>1424</v>
      </c>
      <c r="AR74" s="215">
        <v>1363</v>
      </c>
      <c r="AS74" s="215">
        <v>1678</v>
      </c>
      <c r="AT74" s="215">
        <v>1307</v>
      </c>
      <c r="AU74" s="215">
        <v>1533</v>
      </c>
      <c r="AV74" s="215">
        <v>1372</v>
      </c>
      <c r="AW74" s="215">
        <v>1343</v>
      </c>
      <c r="AX74" s="215">
        <v>1363</v>
      </c>
      <c r="AY74" s="215">
        <v>1388</v>
      </c>
      <c r="AZ74" s="215">
        <v>1363</v>
      </c>
      <c r="BA74" s="215">
        <v>1348</v>
      </c>
      <c r="BB74" s="215">
        <v>1371</v>
      </c>
      <c r="BC74" s="215">
        <v>1243</v>
      </c>
      <c r="BD74" s="215">
        <v>1374</v>
      </c>
      <c r="BE74" s="215">
        <v>1382</v>
      </c>
      <c r="BF74" s="215">
        <v>1489</v>
      </c>
      <c r="BG74" s="215">
        <v>1306</v>
      </c>
      <c r="BH74" s="215">
        <v>1359</v>
      </c>
      <c r="BI74" s="215">
        <v>1343</v>
      </c>
      <c r="BJ74" s="215">
        <v>1373</v>
      </c>
      <c r="BK74" s="215">
        <v>1316</v>
      </c>
      <c r="BL74" s="215">
        <v>1571</v>
      </c>
      <c r="BM74" s="215">
        <v>1548</v>
      </c>
      <c r="BN74" s="215">
        <v>1470</v>
      </c>
      <c r="BO74" s="215">
        <v>1562</v>
      </c>
      <c r="BP74" s="215">
        <v>1557</v>
      </c>
      <c r="BQ74" s="215">
        <v>1383</v>
      </c>
      <c r="BR74" s="215">
        <v>1532</v>
      </c>
      <c r="BS74" s="215">
        <v>1549</v>
      </c>
      <c r="BT74" s="215">
        <v>1380</v>
      </c>
      <c r="BU74" s="215">
        <v>1552</v>
      </c>
      <c r="BV74" s="215">
        <v>1363</v>
      </c>
      <c r="BW74" s="215">
        <v>1100</v>
      </c>
      <c r="BX74" s="215">
        <v>1455</v>
      </c>
      <c r="BY74" s="215">
        <v>1435</v>
      </c>
      <c r="BZ74" s="215">
        <v>1442</v>
      </c>
      <c r="CA74" s="215">
        <v>1369</v>
      </c>
      <c r="CB74" s="215">
        <v>1327</v>
      </c>
      <c r="CC74" s="215">
        <v>1324</v>
      </c>
      <c r="CD74" s="215">
        <v>1331</v>
      </c>
      <c r="CE74" s="215">
        <v>1325</v>
      </c>
      <c r="CF74" s="215">
        <v>1338</v>
      </c>
      <c r="CG74" s="215">
        <v>1328</v>
      </c>
      <c r="CH74" s="215">
        <v>1500</v>
      </c>
      <c r="CI74" s="215">
        <v>1475</v>
      </c>
      <c r="CJ74" s="215">
        <v>1490</v>
      </c>
      <c r="CK74" s="215">
        <v>1328</v>
      </c>
      <c r="CL74" s="215">
        <v>1289</v>
      </c>
      <c r="CM74" s="215">
        <v>1397</v>
      </c>
      <c r="CN74" s="215">
        <v>1319</v>
      </c>
      <c r="CO74" s="215">
        <v>1378</v>
      </c>
      <c r="CP74" s="215">
        <v>1352</v>
      </c>
      <c r="CQ74" s="215">
        <v>1308</v>
      </c>
      <c r="CR74" s="215">
        <v>1345</v>
      </c>
      <c r="CS74" s="215">
        <v>1342</v>
      </c>
      <c r="CT74" s="215">
        <v>1328</v>
      </c>
      <c r="CU74" s="215">
        <v>1344</v>
      </c>
      <c r="CV74" s="215">
        <v>1332</v>
      </c>
      <c r="CW74" s="215">
        <v>1329</v>
      </c>
      <c r="CX74" s="215">
        <v>1385</v>
      </c>
      <c r="CY74" s="215">
        <v>1463</v>
      </c>
      <c r="CZ74" s="215">
        <v>1348</v>
      </c>
      <c r="DA74" s="215">
        <v>1341</v>
      </c>
      <c r="DB74" s="215">
        <v>1410</v>
      </c>
      <c r="DC74" s="215">
        <v>1240</v>
      </c>
      <c r="DD74" s="215">
        <v>1353</v>
      </c>
      <c r="DE74" s="215">
        <v>1381</v>
      </c>
      <c r="DF74" s="215">
        <v>1365</v>
      </c>
      <c r="DG74" s="215">
        <v>1371</v>
      </c>
      <c r="DH74" s="215">
        <v>1407</v>
      </c>
      <c r="DI74" s="215">
        <v>1369</v>
      </c>
      <c r="DJ74" s="215">
        <v>1392</v>
      </c>
      <c r="DK74" s="215">
        <v>1360</v>
      </c>
      <c r="DL74" s="215">
        <v>1561</v>
      </c>
      <c r="DM74" s="215">
        <v>1382</v>
      </c>
      <c r="DN74" s="215">
        <v>1609</v>
      </c>
      <c r="DO74" s="215">
        <v>1531</v>
      </c>
      <c r="DP74" s="215">
        <v>1388</v>
      </c>
      <c r="DQ74" s="215">
        <v>1502</v>
      </c>
      <c r="DR74" s="215">
        <v>1502</v>
      </c>
      <c r="DS74" s="215">
        <v>1445</v>
      </c>
      <c r="DT74" s="215">
        <v>1506</v>
      </c>
      <c r="DU74" s="215">
        <v>1544</v>
      </c>
      <c r="DV74" s="215">
        <v>1378</v>
      </c>
      <c r="DW74" s="215">
        <v>1250</v>
      </c>
      <c r="DX74" s="215">
        <v>1524</v>
      </c>
      <c r="DY74" s="215">
        <v>1549</v>
      </c>
      <c r="DZ74" s="215">
        <v>1539</v>
      </c>
      <c r="EA74" s="215">
        <v>1384</v>
      </c>
      <c r="EB74" s="215">
        <v>1402</v>
      </c>
      <c r="EC74" s="215">
        <v>1502</v>
      </c>
      <c r="ED74" s="215">
        <v>1458</v>
      </c>
      <c r="EE74" s="215">
        <v>1381</v>
      </c>
      <c r="EF74" s="215">
        <v>1390</v>
      </c>
      <c r="EG74" s="215">
        <v>1385</v>
      </c>
      <c r="EH74" s="215">
        <v>1221</v>
      </c>
      <c r="EI74" s="215">
        <v>1240</v>
      </c>
      <c r="EJ74" s="215">
        <v>1549</v>
      </c>
      <c r="EK74" s="215">
        <v>1527</v>
      </c>
      <c r="EL74" s="215">
        <v>1417</v>
      </c>
      <c r="EM74" s="215">
        <v>1479</v>
      </c>
      <c r="EN74" s="215">
        <v>1477</v>
      </c>
      <c r="EO74" s="215">
        <v>1267</v>
      </c>
      <c r="EP74" s="215">
        <v>1548</v>
      </c>
      <c r="EQ74" s="215">
        <v>1444</v>
      </c>
      <c r="ER74" s="215">
        <v>1497</v>
      </c>
      <c r="ES74" s="215">
        <v>1369</v>
      </c>
      <c r="ET74" s="215">
        <v>1449</v>
      </c>
      <c r="EU74" s="215">
        <v>1374</v>
      </c>
      <c r="EV74" s="215">
        <v>1458</v>
      </c>
      <c r="EW74" s="215">
        <v>1423</v>
      </c>
      <c r="EX74" s="215">
        <v>1385</v>
      </c>
      <c r="EY74" s="215">
        <v>1501</v>
      </c>
      <c r="EZ74" s="215">
        <v>1341</v>
      </c>
      <c r="FA74" s="215">
        <v>1467</v>
      </c>
      <c r="FB74" s="215">
        <v>1360</v>
      </c>
      <c r="FC74" s="215">
        <v>1266</v>
      </c>
      <c r="FD74" s="215">
        <v>1476</v>
      </c>
      <c r="FE74" s="215">
        <v>1489</v>
      </c>
      <c r="FF74" s="215">
        <v>1501</v>
      </c>
      <c r="FG74" s="215">
        <v>1376</v>
      </c>
      <c r="FH74" s="215">
        <v>1572</v>
      </c>
      <c r="FI74" s="215">
        <v>1383</v>
      </c>
      <c r="FJ74" s="215">
        <v>1363</v>
      </c>
      <c r="FK74" s="215">
        <v>1350</v>
      </c>
      <c r="FL74" s="215">
        <v>1390</v>
      </c>
      <c r="FM74" s="215">
        <v>1357</v>
      </c>
      <c r="FN74" s="215">
        <v>1378</v>
      </c>
      <c r="FO74" s="215">
        <v>1322</v>
      </c>
      <c r="FP74" s="215">
        <v>1578</v>
      </c>
      <c r="FQ74" s="215">
        <v>1363</v>
      </c>
      <c r="FR74" s="215">
        <v>1588</v>
      </c>
      <c r="FS74" s="215">
        <v>1563</v>
      </c>
      <c r="FT74" s="215">
        <v>1510</v>
      </c>
      <c r="FU74" s="215">
        <v>1498</v>
      </c>
      <c r="FV74" s="215">
        <v>1363</v>
      </c>
      <c r="FW74" s="215">
        <v>1563</v>
      </c>
      <c r="FX74" s="215">
        <v>1478</v>
      </c>
      <c r="FY74" s="215">
        <v>1410</v>
      </c>
      <c r="FZ74" s="215">
        <v>1408</v>
      </c>
      <c r="GA74" s="215">
        <v>1478</v>
      </c>
      <c r="GB74" s="215">
        <v>1510</v>
      </c>
      <c r="GC74" s="215">
        <v>1398</v>
      </c>
      <c r="GD74" s="215">
        <v>1508</v>
      </c>
      <c r="GE74" s="215">
        <v>1398</v>
      </c>
      <c r="GF74" s="215">
        <v>1408</v>
      </c>
      <c r="GG74" s="215">
        <v>1363</v>
      </c>
      <c r="GH74" s="215">
        <v>1563</v>
      </c>
      <c r="GI74" s="215">
        <v>1410</v>
      </c>
      <c r="GJ74" s="215">
        <v>1478</v>
      </c>
      <c r="GK74" s="215">
        <v>1498</v>
      </c>
      <c r="GL74" s="215">
        <v>1563</v>
      </c>
      <c r="GM74" s="215">
        <v>1463</v>
      </c>
      <c r="GN74" s="215">
        <v>1502</v>
      </c>
      <c r="GO74" s="215">
        <v>1503</v>
      </c>
      <c r="GP74" s="215">
        <v>1498</v>
      </c>
      <c r="GQ74" s="215">
        <v>1478</v>
      </c>
      <c r="GR74" s="215">
        <v>1498</v>
      </c>
      <c r="GS74" s="215">
        <v>1510</v>
      </c>
      <c r="GT74" s="215">
        <v>1360</v>
      </c>
      <c r="GU74" s="215">
        <v>1350</v>
      </c>
      <c r="GV74" s="215">
        <v>1334</v>
      </c>
      <c r="GW74" s="215">
        <v>1368</v>
      </c>
      <c r="GX74" s="215">
        <v>1365</v>
      </c>
      <c r="GY74" s="215">
        <v>1371</v>
      </c>
      <c r="GZ74" s="215">
        <v>1159</v>
      </c>
      <c r="HA74" s="215">
        <v>1399</v>
      </c>
      <c r="HB74" s="215"/>
      <c r="HC74" s="215"/>
      <c r="HD74" s="215">
        <v>1229</v>
      </c>
      <c r="HE74" s="215">
        <v>998</v>
      </c>
      <c r="HF74" s="215">
        <v>1365</v>
      </c>
      <c r="HG74" s="215"/>
      <c r="HH74" s="215">
        <v>1487</v>
      </c>
      <c r="HI74" s="215">
        <v>1385</v>
      </c>
      <c r="HJ74" s="215">
        <v>1381</v>
      </c>
      <c r="HK74" s="215">
        <v>1342</v>
      </c>
      <c r="HL74" s="215">
        <v>1374</v>
      </c>
      <c r="HM74" s="215">
        <v>1387</v>
      </c>
      <c r="HN74" s="215">
        <v>1390</v>
      </c>
      <c r="HO74" s="215">
        <v>1388</v>
      </c>
      <c r="HP74" s="215">
        <v>1391</v>
      </c>
      <c r="HQ74" s="215">
        <v>1406</v>
      </c>
      <c r="HR74" s="215">
        <v>1393</v>
      </c>
      <c r="HS74" s="215">
        <v>1400</v>
      </c>
      <c r="HT74" s="215">
        <v>1560</v>
      </c>
      <c r="HU74" s="215">
        <v>1591</v>
      </c>
      <c r="HV74" s="215">
        <v>1272</v>
      </c>
      <c r="HW74" s="215">
        <v>1245</v>
      </c>
      <c r="HX74" s="215">
        <v>998</v>
      </c>
      <c r="HY74" s="215">
        <v>1010</v>
      </c>
      <c r="HZ74" s="215">
        <v>1068</v>
      </c>
      <c r="IA74" s="215">
        <v>1342</v>
      </c>
      <c r="IB74" s="215">
        <v>1420</v>
      </c>
      <c r="IC74" s="215">
        <v>1506</v>
      </c>
      <c r="ID74" s="215">
        <v>1445</v>
      </c>
      <c r="IE74" s="215">
        <v>1455</v>
      </c>
      <c r="IF74" s="215">
        <v>1391</v>
      </c>
      <c r="IG74" s="215">
        <v>1480</v>
      </c>
      <c r="IH74" s="215">
        <v>1520</v>
      </c>
      <c r="II74" s="215">
        <v>1503</v>
      </c>
      <c r="IJ74" s="215">
        <v>1300</v>
      </c>
      <c r="IK74" s="215">
        <v>1394</v>
      </c>
      <c r="IL74" s="215">
        <v>1319</v>
      </c>
      <c r="IM74" s="215">
        <v>1392</v>
      </c>
      <c r="IN74" s="215">
        <v>1298</v>
      </c>
      <c r="IO74" s="215"/>
      <c r="IP74" s="215">
        <v>1785</v>
      </c>
      <c r="IQ74" s="215">
        <v>1487</v>
      </c>
      <c r="IR74" s="215">
        <v>520</v>
      </c>
      <c r="IS74" s="215">
        <v>1332</v>
      </c>
      <c r="IT74" s="215">
        <v>1297</v>
      </c>
      <c r="IU74" s="215"/>
      <c r="IV74" s="215"/>
      <c r="IW74" s="215">
        <v>1198</v>
      </c>
      <c r="IX74" s="215">
        <v>1305</v>
      </c>
      <c r="IY74" s="215">
        <v>1364</v>
      </c>
      <c r="IZ74" s="215">
        <v>1261</v>
      </c>
      <c r="JA74" s="215">
        <v>1219</v>
      </c>
      <c r="JB74" s="223">
        <v>31.9</v>
      </c>
      <c r="JC74" s="223">
        <v>52.8</v>
      </c>
      <c r="JD74" s="223">
        <v>3.9</v>
      </c>
      <c r="JE74" s="223">
        <v>6.4</v>
      </c>
      <c r="JF74" s="223"/>
      <c r="JG74" s="275">
        <v>6.98</v>
      </c>
      <c r="JH74" s="224">
        <v>6.78</v>
      </c>
      <c r="JI74" s="225"/>
      <c r="JJ74" s="225"/>
      <c r="JK74" s="215">
        <v>86380975.694999993</v>
      </c>
      <c r="JL74" s="215">
        <v>282973</v>
      </c>
      <c r="JM74" s="215">
        <v>59366988.104000002</v>
      </c>
      <c r="JN74" s="215">
        <v>62645</v>
      </c>
      <c r="JO74" s="215">
        <v>87093065.921000004</v>
      </c>
      <c r="JP74" s="215">
        <v>187994.14799999999</v>
      </c>
      <c r="JQ74" s="215">
        <v>63278498.707999997</v>
      </c>
      <c r="JR74" s="215">
        <v>57141</v>
      </c>
      <c r="JS74" s="223">
        <v>327224555.014</v>
      </c>
      <c r="JT74" s="223">
        <v>87299.1</v>
      </c>
      <c r="JU74" s="283">
        <f t="shared" ref="JU74" si="312">IF((JK74-JK73)&lt;0,"",(JK74-JK73))</f>
        <v>90441.298999994993</v>
      </c>
      <c r="JV74" s="283">
        <f t="shared" ref="JV74" si="313">IF((JL74-JL73)&lt;0,"",(JL74-JL73))</f>
        <v>44.940999999991618</v>
      </c>
      <c r="JW74" s="283">
        <f t="shared" ref="JW74" si="314">IF((JM74-JM73)&lt;0,"",(JM74-JM73))</f>
        <v>86822.181000001729</v>
      </c>
      <c r="JX74" s="283">
        <f t="shared" ref="JX74" si="315">IF((JN74-JN73)&lt;0,"",(JN74-JN73))</f>
        <v>43.883999999998196</v>
      </c>
      <c r="JY74" s="284">
        <f t="shared" ref="JY74" si="316">IF((JO74-JO73)&lt;0,"",(JO74-JO73))</f>
        <v>90681.869000002742</v>
      </c>
      <c r="JZ74" s="284">
        <f t="shared" ref="JZ74" si="317">IF((JP74-JP73)&lt;0,"",(JP74-JP73))</f>
        <v>54.269999999989523</v>
      </c>
      <c r="KA74" s="284">
        <f t="shared" ref="KA74" si="318">IF((JQ74-JQ73)&lt;0,"",(JQ74-JQ73))</f>
        <v>70726.72499999404</v>
      </c>
      <c r="KB74" s="284">
        <f t="shared" ref="KB74" si="319">IF((JR74-JR73)&lt;0,"",(JR74-JR73))</f>
        <v>74.544000000001688</v>
      </c>
      <c r="KC74" s="283">
        <f t="shared" si="311"/>
        <v>338445.26599997282</v>
      </c>
      <c r="KD74" s="283">
        <f t="shared" si="311"/>
        <v>155.68100000001141</v>
      </c>
      <c r="KE74" s="291">
        <f>(JU74+JW74)-(JV74+JX74)</f>
        <v>177174.65499999674</v>
      </c>
      <c r="KF74" s="291">
        <f t="shared" ref="KF74" si="320">IFERROR(KC74-KD74,"")</f>
        <v>338289.58499997284</v>
      </c>
      <c r="KG74" s="292">
        <f>(RD[[#This Row],[Sunset Time (POA&lt;20 W/m2)]]-RD[[#This Row],[Sunrise Time (POA&gt;20 W/m2)]])*24</f>
        <v>13.483333333333334</v>
      </c>
      <c r="KH74" s="293">
        <f>RD[[#This Row],[GHI ]]</f>
        <v>6.98</v>
      </c>
      <c r="KI74" s="293">
        <f>RD[[#This Row],[POA]]</f>
        <v>6.78</v>
      </c>
      <c r="KJ74" s="293">
        <f>RD[[#This Row],[AT (°C) 14 Hours]]</f>
        <v>31.9</v>
      </c>
      <c r="KK74" s="293">
        <f>RD[[#This Row],[MT (°C) Gen. Hours]]</f>
        <v>52.8</v>
      </c>
      <c r="KL74" s="293">
        <f>RD[[#This Row],[WS_Avg (m/s) (24 Hours)]]</f>
        <v>3.9</v>
      </c>
      <c r="KM74" s="293">
        <f>RD[[#This Row],[WS_Max (m/s)]]</f>
        <v>6.4</v>
      </c>
      <c r="KN74" s="294">
        <f>SUM(RD[[#This Row],[BLK1_INV1]:[BLK8_INV27]])</f>
        <v>340883</v>
      </c>
      <c r="KO74" s="95"/>
      <c r="KP74" s="55"/>
      <c r="KQ74" s="132" t="str">
        <f>IFERROR(RD[[#This Row],[WPR_Eac]]/RD[[#This Row],[WPR_Edc]],"")</f>
        <v/>
      </c>
    </row>
    <row r="75" spans="2:303" ht="15" customHeight="1" x14ac:dyDescent="0.25">
      <c r="B75" s="52">
        <v>45816</v>
      </c>
      <c r="C75" s="9">
        <f>YEAR(RD[[#This Row],[Date]])+IF(MONTH(RD[[#This Row],[Date]])&gt;=4,1,0)</f>
        <v>2026</v>
      </c>
      <c r="D75" s="6">
        <f>YEAR(B75)</f>
        <v>2025</v>
      </c>
      <c r="E75" s="7"/>
      <c r="F75" s="7"/>
      <c r="G75" s="276" t="str">
        <f>TEXT(RD[[#This Row],[Date]],"mmm-yy")</f>
        <v>Jun-25</v>
      </c>
      <c r="H75" s="6">
        <f>DAY(EOMONTH(B75,0))</f>
        <v>30</v>
      </c>
      <c r="I75" s="9">
        <f>'Basic Data '!$S$2</f>
        <v>66750</v>
      </c>
      <c r="J75" s="10">
        <v>0.21388888888888888</v>
      </c>
      <c r="K75" s="10">
        <v>0.77500000000000002</v>
      </c>
      <c r="L75" s="9">
        <v>1418.2</v>
      </c>
      <c r="M75" s="9">
        <v>1451</v>
      </c>
      <c r="N75" s="9">
        <v>1308.4000000000001</v>
      </c>
      <c r="O75" s="9">
        <v>1342.1</v>
      </c>
      <c r="P75" s="9">
        <v>1441.1</v>
      </c>
      <c r="Q75" s="9">
        <v>1338.1</v>
      </c>
      <c r="R75" s="9">
        <v>1338.8</v>
      </c>
      <c r="S75" s="9">
        <v>1342</v>
      </c>
      <c r="T75" s="9">
        <v>1384.4</v>
      </c>
      <c r="U75" s="9">
        <v>1392</v>
      </c>
      <c r="V75" s="9">
        <v>1308.9000000000001</v>
      </c>
      <c r="W75" s="9">
        <v>1357</v>
      </c>
      <c r="X75" s="9">
        <v>1335.3</v>
      </c>
      <c r="Y75" s="9">
        <v>1257.0999999999999</v>
      </c>
      <c r="Z75" s="9">
        <v>1336.3</v>
      </c>
      <c r="AA75" s="9">
        <v>1330</v>
      </c>
      <c r="AB75" s="9">
        <v>1298.4000000000001</v>
      </c>
      <c r="AC75" s="9">
        <v>1323.7</v>
      </c>
      <c r="AD75" s="9">
        <v>1439.1</v>
      </c>
      <c r="AE75" s="9">
        <v>1439.6</v>
      </c>
      <c r="AF75" s="9">
        <v>1341</v>
      </c>
      <c r="AG75" s="9">
        <v>1311.1</v>
      </c>
      <c r="AH75" s="9">
        <v>1412.6</v>
      </c>
      <c r="AI75" s="9">
        <v>1508.9</v>
      </c>
      <c r="AJ75" s="9">
        <v>1460</v>
      </c>
      <c r="AK75" s="9">
        <v>1442.4</v>
      </c>
      <c r="AL75" s="9">
        <v>1435.8</v>
      </c>
      <c r="AM75" s="9">
        <v>1486.6</v>
      </c>
      <c r="AN75" s="9">
        <v>1505.9</v>
      </c>
      <c r="AO75" s="9">
        <v>1481.3</v>
      </c>
      <c r="AP75" s="9">
        <v>1405.2</v>
      </c>
      <c r="AQ75" s="9">
        <v>1441.5</v>
      </c>
      <c r="AR75" s="9">
        <v>1271.2</v>
      </c>
      <c r="AS75" s="9">
        <v>1634.2</v>
      </c>
      <c r="AT75" s="9">
        <v>1301.3</v>
      </c>
      <c r="AU75" s="9">
        <v>1493.2</v>
      </c>
      <c r="AV75" s="9">
        <v>1337.8</v>
      </c>
      <c r="AW75" s="9">
        <v>1305.9000000000001</v>
      </c>
      <c r="AX75" s="9">
        <v>1333.9</v>
      </c>
      <c r="AY75" s="9">
        <v>1349.1</v>
      </c>
      <c r="AZ75" s="9">
        <v>1323.8</v>
      </c>
      <c r="BA75" s="9">
        <v>1312.2</v>
      </c>
      <c r="BB75" s="9">
        <v>1337.6</v>
      </c>
      <c r="BC75" s="9">
        <v>1325.8</v>
      </c>
      <c r="BD75" s="9">
        <v>1345.6</v>
      </c>
      <c r="BE75" s="9">
        <v>1348.7</v>
      </c>
      <c r="BF75" s="9">
        <v>1456</v>
      </c>
      <c r="BG75" s="9">
        <v>1329.6</v>
      </c>
      <c r="BH75" s="9">
        <v>1379.8</v>
      </c>
      <c r="BI75" s="9">
        <v>1356.8</v>
      </c>
      <c r="BJ75" s="9">
        <v>1344</v>
      </c>
      <c r="BK75" s="9">
        <v>1344.6</v>
      </c>
      <c r="BL75" s="9">
        <v>1539.3</v>
      </c>
      <c r="BM75" s="9">
        <v>1516.9</v>
      </c>
      <c r="BN75" s="9">
        <v>1429.2</v>
      </c>
      <c r="BO75" s="9">
        <v>1513.5</v>
      </c>
      <c r="BP75" s="9">
        <v>1511.3</v>
      </c>
      <c r="BQ75" s="9">
        <v>1345</v>
      </c>
      <c r="BR75" s="9">
        <v>1491.96</v>
      </c>
      <c r="BS75" s="9">
        <v>1509.9</v>
      </c>
      <c r="BT75" s="9">
        <v>1342.5</v>
      </c>
      <c r="BU75" s="9">
        <v>1513.8</v>
      </c>
      <c r="BV75" s="9">
        <v>1283.5999999999999</v>
      </c>
      <c r="BW75" s="9">
        <v>1293.7</v>
      </c>
      <c r="BX75" s="9">
        <v>1442.2</v>
      </c>
      <c r="BY75" s="9">
        <v>1433.2</v>
      </c>
      <c r="BZ75" s="9">
        <v>1453.7</v>
      </c>
      <c r="CA75" s="9">
        <v>1412.2</v>
      </c>
      <c r="CB75" s="9">
        <v>1322.3</v>
      </c>
      <c r="CC75" s="9">
        <v>1331.2</v>
      </c>
      <c r="CD75" s="9">
        <v>1338.9</v>
      </c>
      <c r="CE75" s="9">
        <v>1333</v>
      </c>
      <c r="CF75" s="9">
        <v>1363.5</v>
      </c>
      <c r="CG75" s="9">
        <v>1319.8</v>
      </c>
      <c r="CH75" s="9">
        <v>1522.5</v>
      </c>
      <c r="CI75" s="9">
        <v>1490.1</v>
      </c>
      <c r="CJ75" s="9">
        <v>1517</v>
      </c>
      <c r="CK75" s="9">
        <v>1337.1</v>
      </c>
      <c r="CL75" s="9">
        <v>1321.1</v>
      </c>
      <c r="CM75" s="9">
        <v>1424.8</v>
      </c>
      <c r="CN75" s="9">
        <v>1341.1</v>
      </c>
      <c r="CO75" s="9">
        <v>1346.6</v>
      </c>
      <c r="CP75" s="9">
        <v>1329.6</v>
      </c>
      <c r="CQ75" s="9">
        <v>1348.2</v>
      </c>
      <c r="CR75" s="9">
        <v>1343.2</v>
      </c>
      <c r="CS75" s="9">
        <v>1346.2</v>
      </c>
      <c r="CT75" s="9">
        <v>1349.8</v>
      </c>
      <c r="CU75" s="9">
        <v>1257</v>
      </c>
      <c r="CV75" s="9">
        <v>1327.3</v>
      </c>
      <c r="CW75" s="9">
        <v>1311.6</v>
      </c>
      <c r="CX75" s="9">
        <v>1374.5</v>
      </c>
      <c r="CY75" s="9">
        <v>1412.4</v>
      </c>
      <c r="CZ75" s="9">
        <v>1367.6</v>
      </c>
      <c r="DA75" s="9">
        <v>1368.6</v>
      </c>
      <c r="DB75" s="9">
        <v>1493.5</v>
      </c>
      <c r="DC75" s="9">
        <v>1261.2</v>
      </c>
      <c r="DD75" s="9">
        <v>1314.2</v>
      </c>
      <c r="DE75" s="9">
        <v>1341.4</v>
      </c>
      <c r="DF75" s="9">
        <v>1324.6</v>
      </c>
      <c r="DG75" s="9">
        <v>1330.4</v>
      </c>
      <c r="DH75" s="9">
        <v>1364.8</v>
      </c>
      <c r="DI75" s="9">
        <v>1328.4</v>
      </c>
      <c r="DJ75" s="9">
        <v>1352.7</v>
      </c>
      <c r="DK75" s="9">
        <v>1321.5</v>
      </c>
      <c r="DL75" s="9">
        <v>1519.2</v>
      </c>
      <c r="DM75" s="9">
        <v>1342.7</v>
      </c>
      <c r="DN75" s="9">
        <v>1577.8</v>
      </c>
      <c r="DO75" s="9">
        <v>1480.4</v>
      </c>
      <c r="DP75" s="9">
        <v>1346.1</v>
      </c>
      <c r="DQ75" s="9">
        <v>1465.4</v>
      </c>
      <c r="DR75" s="9">
        <v>1450.2</v>
      </c>
      <c r="DS75" s="9">
        <v>1403.8</v>
      </c>
      <c r="DT75" s="9">
        <v>1472.4</v>
      </c>
      <c r="DU75" s="9">
        <v>1499.6</v>
      </c>
      <c r="DV75" s="9">
        <v>1338.1</v>
      </c>
      <c r="DW75" s="9">
        <v>1269.9000000000001</v>
      </c>
      <c r="DX75" s="9">
        <v>1484.9</v>
      </c>
      <c r="DY75" s="9">
        <v>1506.4</v>
      </c>
      <c r="DZ75" s="9">
        <v>1497.7</v>
      </c>
      <c r="EA75" s="9">
        <v>1343.9</v>
      </c>
      <c r="EB75" s="9">
        <v>1358.4</v>
      </c>
      <c r="EC75" s="9">
        <v>1491.5</v>
      </c>
      <c r="ED75" s="9">
        <v>1498.5</v>
      </c>
      <c r="EE75" s="9">
        <v>1338.7</v>
      </c>
      <c r="EF75" s="9">
        <v>1347.4</v>
      </c>
      <c r="EG75" s="9">
        <v>1501.5</v>
      </c>
      <c r="EH75" s="9">
        <v>1194.7</v>
      </c>
      <c r="EI75" s="9">
        <v>1215.4000000000001</v>
      </c>
      <c r="EJ75" s="9">
        <v>1511.7</v>
      </c>
      <c r="EK75" s="9">
        <v>1489.6</v>
      </c>
      <c r="EL75" s="9">
        <v>1401</v>
      </c>
      <c r="EM75" s="9">
        <v>1441.2</v>
      </c>
      <c r="EN75" s="9">
        <v>1436.8</v>
      </c>
      <c r="EO75" s="9">
        <v>1232.9000000000001</v>
      </c>
      <c r="EP75" s="9">
        <v>1516</v>
      </c>
      <c r="EQ75" s="9">
        <v>1411.4</v>
      </c>
      <c r="ER75" s="9">
        <v>1458.2</v>
      </c>
      <c r="ES75" s="9">
        <v>1343.1</v>
      </c>
      <c r="ET75" s="9">
        <v>1416.6</v>
      </c>
      <c r="EU75" s="9">
        <v>1344.2</v>
      </c>
      <c r="EV75" s="9">
        <v>1421.1</v>
      </c>
      <c r="EW75" s="9">
        <v>1401</v>
      </c>
      <c r="EX75" s="9">
        <v>1351.1</v>
      </c>
      <c r="EY75" s="9">
        <v>1463.4</v>
      </c>
      <c r="EZ75" s="9">
        <v>1311.5</v>
      </c>
      <c r="FA75" s="9">
        <v>1431.3</v>
      </c>
      <c r="FB75" s="9">
        <v>1327.7</v>
      </c>
      <c r="FC75" s="9">
        <v>1234.4000000000001</v>
      </c>
      <c r="FD75" s="9">
        <v>1435.8</v>
      </c>
      <c r="FE75" s="9">
        <v>1448.3</v>
      </c>
      <c r="FF75" s="9">
        <v>1462.5</v>
      </c>
      <c r="FG75" s="9">
        <v>1341.8</v>
      </c>
      <c r="FH75" s="9">
        <v>1531.5</v>
      </c>
      <c r="FI75" s="9">
        <v>1345.4</v>
      </c>
      <c r="FJ75" s="9">
        <v>1325.2</v>
      </c>
      <c r="FK75" s="9">
        <v>1312.9</v>
      </c>
      <c r="FL75" s="9">
        <v>1324.5</v>
      </c>
      <c r="FM75" s="9">
        <v>1335.4</v>
      </c>
      <c r="FN75" s="9">
        <v>1311.1</v>
      </c>
      <c r="FO75" s="9">
        <v>1315.4</v>
      </c>
      <c r="FP75" s="9">
        <v>1484.4</v>
      </c>
      <c r="FQ75" s="9">
        <v>1312.5</v>
      </c>
      <c r="FR75" s="9">
        <v>1487.1</v>
      </c>
      <c r="FS75" s="9">
        <v>1467.5</v>
      </c>
      <c r="FT75" s="9">
        <v>1481.5</v>
      </c>
      <c r="FU75" s="9">
        <v>1501.1</v>
      </c>
      <c r="FV75" s="9">
        <v>1311.5</v>
      </c>
      <c r="FW75" s="9">
        <v>1477</v>
      </c>
      <c r="FX75" s="9">
        <v>1321.5</v>
      </c>
      <c r="FY75" s="9">
        <v>1345.5</v>
      </c>
      <c r="FZ75" s="9">
        <v>1349.4</v>
      </c>
      <c r="GA75" s="9">
        <v>1389.4</v>
      </c>
      <c r="GB75" s="9">
        <v>1443.4</v>
      </c>
      <c r="GC75" s="9">
        <v>1341.5</v>
      </c>
      <c r="GD75" s="9">
        <v>1488.4</v>
      </c>
      <c r="GE75" s="9">
        <v>1321.5</v>
      </c>
      <c r="GF75" s="9">
        <v>1319.4</v>
      </c>
      <c r="GG75" s="9">
        <v>1315.9</v>
      </c>
      <c r="GH75" s="9">
        <v>1481.4</v>
      </c>
      <c r="GI75" s="9">
        <v>1324.5</v>
      </c>
      <c r="GJ75" s="9">
        <v>1424.8</v>
      </c>
      <c r="GK75" s="9">
        <v>1488.4</v>
      </c>
      <c r="GL75" s="9">
        <v>1496.4</v>
      </c>
      <c r="GM75" s="9">
        <v>1405.5</v>
      </c>
      <c r="GN75" s="9">
        <v>1441.1</v>
      </c>
      <c r="GO75" s="9">
        <v>1496.4</v>
      </c>
      <c r="GP75" s="9">
        <v>1349.5</v>
      </c>
      <c r="GQ75" s="9">
        <v>1339.2</v>
      </c>
      <c r="GR75" s="9">
        <v>1342.5</v>
      </c>
      <c r="GS75" s="9">
        <v>1398.4</v>
      </c>
      <c r="GT75" s="9">
        <v>1322.1</v>
      </c>
      <c r="GU75" s="9">
        <v>1318.9</v>
      </c>
      <c r="GV75" s="9">
        <v>1216.23</v>
      </c>
      <c r="GW75" s="9">
        <v>1311.4</v>
      </c>
      <c r="GX75" s="9">
        <v>1323.7</v>
      </c>
      <c r="GY75" s="9">
        <v>1225.4000000000001</v>
      </c>
      <c r="GZ75" s="9">
        <v>1129.5</v>
      </c>
      <c r="HA75" s="9">
        <v>1356.4</v>
      </c>
      <c r="HB75" s="9"/>
      <c r="HC75" s="9"/>
      <c r="HD75" s="9">
        <v>1193.3</v>
      </c>
      <c r="HE75" s="9">
        <v>929.4</v>
      </c>
      <c r="HF75" s="9">
        <v>1328.5</v>
      </c>
      <c r="HG75" s="9"/>
      <c r="HH75" s="9">
        <v>1467.5</v>
      </c>
      <c r="HI75" s="9">
        <v>1296.5</v>
      </c>
      <c r="HJ75" s="9">
        <v>1341.2</v>
      </c>
      <c r="HK75" s="9">
        <v>1314.4</v>
      </c>
      <c r="HL75" s="9">
        <v>1334.6</v>
      </c>
      <c r="HM75" s="9">
        <v>1338.4</v>
      </c>
      <c r="HN75" s="9">
        <v>1349.1</v>
      </c>
      <c r="HO75" s="9">
        <v>1346.6</v>
      </c>
      <c r="HP75" s="9">
        <v>1348.6</v>
      </c>
      <c r="HQ75" s="9">
        <v>1365.3</v>
      </c>
      <c r="HR75" s="9">
        <v>1359</v>
      </c>
      <c r="HS75" s="9">
        <v>1363.6</v>
      </c>
      <c r="HT75" s="9">
        <v>1516.2</v>
      </c>
      <c r="HU75" s="9">
        <v>1551</v>
      </c>
      <c r="HV75" s="9">
        <v>1230.0999999999999</v>
      </c>
      <c r="HW75" s="9">
        <v>1173.4000000000001</v>
      </c>
      <c r="HX75" s="9">
        <v>1006</v>
      </c>
      <c r="HY75" s="9">
        <v>866.2</v>
      </c>
      <c r="HZ75" s="9">
        <v>1009.1</v>
      </c>
      <c r="IA75" s="9">
        <v>1171.4000000000001</v>
      </c>
      <c r="IB75" s="9">
        <v>1382.1</v>
      </c>
      <c r="IC75" s="9">
        <v>1485.1</v>
      </c>
      <c r="ID75" s="9">
        <v>1413.1</v>
      </c>
      <c r="IE75" s="9">
        <v>1411.1</v>
      </c>
      <c r="IF75" s="9">
        <v>1401.1</v>
      </c>
      <c r="IG75" s="9">
        <v>1434.5</v>
      </c>
      <c r="IH75" s="9">
        <v>1478.1</v>
      </c>
      <c r="II75" s="9">
        <v>1511.1</v>
      </c>
      <c r="IJ75" s="9">
        <v>1298.4000000000001</v>
      </c>
      <c r="IK75" s="9">
        <v>1411.1</v>
      </c>
      <c r="IL75" s="9">
        <v>1321.4</v>
      </c>
      <c r="IM75" s="9">
        <v>1375.4</v>
      </c>
      <c r="IN75" s="9">
        <v>1255.4000000000001</v>
      </c>
      <c r="IO75" s="9"/>
      <c r="IP75" s="9">
        <v>1799.4</v>
      </c>
      <c r="IQ75" s="9">
        <v>1401</v>
      </c>
      <c r="IR75" s="9">
        <v>495.1</v>
      </c>
      <c r="IS75" s="9">
        <v>1296.4000000000001</v>
      </c>
      <c r="IT75" s="9">
        <v>1265.4000000000001</v>
      </c>
      <c r="IU75" s="9"/>
      <c r="IV75" s="9"/>
      <c r="IW75" s="9">
        <v>1208.4000000000001</v>
      </c>
      <c r="IX75" s="9">
        <v>1294.4000000000001</v>
      </c>
      <c r="IY75" s="9">
        <v>1323.7</v>
      </c>
      <c r="IZ75" s="9">
        <v>1241.0999999999999</v>
      </c>
      <c r="JA75" s="9">
        <v>1215.5</v>
      </c>
      <c r="JB75" s="11">
        <v>38.799999999999997</v>
      </c>
      <c r="JC75" s="11">
        <v>45.5</v>
      </c>
      <c r="JD75" s="11">
        <v>1.23</v>
      </c>
      <c r="JE75" s="11">
        <v>6.3</v>
      </c>
      <c r="JF75" s="11"/>
      <c r="JG75" s="11">
        <v>6.9</v>
      </c>
      <c r="JH75" s="13">
        <v>6.38</v>
      </c>
      <c r="JI75" s="12"/>
      <c r="JJ75" s="277"/>
      <c r="JK75" s="9">
        <v>86469599.091999993</v>
      </c>
      <c r="JL75" s="260">
        <v>283017.94099999999</v>
      </c>
      <c r="JM75" s="9">
        <v>59451373.582999997</v>
      </c>
      <c r="JN75" s="260">
        <v>62688.883999999998</v>
      </c>
      <c r="JO75" s="9">
        <v>87181638.969999999</v>
      </c>
      <c r="JP75" s="260">
        <v>188048.41800000001</v>
      </c>
      <c r="JQ75" s="9">
        <v>63347683.733999997</v>
      </c>
      <c r="JR75" s="260">
        <v>57215.544000000002</v>
      </c>
      <c r="JS75" s="11">
        <v>327555142.66600001</v>
      </c>
      <c r="JT75" s="289">
        <v>87454.781000000003</v>
      </c>
      <c r="JU75" s="283">
        <f t="shared" ref="JU75" si="321">IF((JK75-JK74)&lt;0,"",(JK75-JK74))</f>
        <v>88623.396999999881</v>
      </c>
      <c r="JV75" s="283">
        <f t="shared" ref="JV75" si="322">IF((JL75-JL74)&lt;0,"",(JL75-JL74))</f>
        <v>44.940999999991618</v>
      </c>
      <c r="JW75" s="283">
        <f t="shared" ref="JW75" si="323">IF((JM75-JM74)&lt;0,"",(JM75-JM74))</f>
        <v>84385.478999994695</v>
      </c>
      <c r="JX75" s="283">
        <f t="shared" ref="JX75" si="324">IF((JN75-JN74)&lt;0,"",(JN75-JN74))</f>
        <v>43.883999999998196</v>
      </c>
      <c r="JY75" s="284">
        <f t="shared" ref="JY75" si="325">IF((JO75-JO74)&lt;0,"",(JO75-JO74))</f>
        <v>88573.048999994993</v>
      </c>
      <c r="JZ75" s="284">
        <f t="shared" ref="JZ75" si="326">IF((JP75-JP74)&lt;0,"",(JP75-JP74))</f>
        <v>54.270000000018626</v>
      </c>
      <c r="KA75" s="284">
        <f t="shared" ref="KA75" si="327">IF((JQ75-JQ74)&lt;0,"",(JQ75-JQ74))</f>
        <v>69185.026000000536</v>
      </c>
      <c r="KB75" s="284">
        <f t="shared" ref="KB75" si="328">IF((JR75-JR74)&lt;0,"",(JR75-JR74))</f>
        <v>74.544000000001688</v>
      </c>
      <c r="KC75" s="283">
        <f t="shared" si="311"/>
        <v>330587.65200001001</v>
      </c>
      <c r="KD75" s="283">
        <f t="shared" si="311"/>
        <v>155.68099999999686</v>
      </c>
      <c r="KE75" s="291">
        <f>(JU75+JW75)-(JV75+JX75)</f>
        <v>172920.05099999459</v>
      </c>
      <c r="KF75" s="291">
        <f>IFERROR(KC75-KD75,"")</f>
        <v>330431.97100001003</v>
      </c>
      <c r="KG75" s="292">
        <f>(RD[[#This Row],[Sunset Time (POA&lt;20 W/m2)]]-RD[[#This Row],[Sunrise Time (POA&gt;20 W/m2)]])*24</f>
        <v>13.466666666666667</v>
      </c>
      <c r="KH75" s="293">
        <f>RD[[#This Row],[GHI ]]</f>
        <v>6.9</v>
      </c>
      <c r="KI75" s="293">
        <f>RD[[#This Row],[POA]]</f>
        <v>6.38</v>
      </c>
      <c r="KJ75" s="293">
        <f>RD[[#This Row],[AT (°C) 14 Hours]]</f>
        <v>38.799999999999997</v>
      </c>
      <c r="KK75" s="293">
        <f>RD[[#This Row],[MT (°C) Gen. Hours]]</f>
        <v>45.5</v>
      </c>
      <c r="KL75" s="293">
        <f>RD[[#This Row],[WS_Avg (m/s) (24 Hours)]]</f>
        <v>1.23</v>
      </c>
      <c r="KM75" s="293">
        <f>RD[[#This Row],[WS_Max (m/s)]]</f>
        <v>6.3</v>
      </c>
      <c r="KN75" s="294">
        <f>SUM(RD[[#This Row],[BLK1_INV1]:[BLK8_INV27]])</f>
        <v>332985.59000000003</v>
      </c>
      <c r="KO75" s="95"/>
      <c r="KP75" s="55"/>
      <c r="KQ75" s="90" t="str">
        <f>IFERROR(RD[[#This Row],[WPR_Eac]]/RD[[#This Row],[WPR_Edc]],"")</f>
        <v/>
      </c>
    </row>
    <row r="76" spans="2:303" ht="15" customHeight="1" x14ac:dyDescent="0.25">
      <c r="B76" s="52">
        <v>45817</v>
      </c>
      <c r="C76" s="9">
        <f>YEAR(RD[[#This Row],[Date]])+IF(MONTH(RD[[#This Row],[Date]])&gt;=4,1,0)</f>
        <v>2026</v>
      </c>
      <c r="D76" s="6">
        <f t="shared" ref="D76:D85" si="329">YEAR(B76)</f>
        <v>2025</v>
      </c>
      <c r="E76" s="7"/>
      <c r="F76" s="7"/>
      <c r="G76" s="276" t="str">
        <f>TEXT(RD[[#This Row],[Date]],"mmm-yy")</f>
        <v>Jun-25</v>
      </c>
      <c r="H76" s="6">
        <f t="shared" ref="H76:H85" si="330">DAY(EOMONTH(B76,0))</f>
        <v>30</v>
      </c>
      <c r="I76" s="9">
        <f>'Basic Data '!$S$2</f>
        <v>66750</v>
      </c>
      <c r="J76" s="10">
        <v>0.21388888888888888</v>
      </c>
      <c r="K76" s="10">
        <v>0.77500000000000002</v>
      </c>
      <c r="L76" s="9">
        <v>1460.9</v>
      </c>
      <c r="M76" s="9">
        <v>1473.2</v>
      </c>
      <c r="N76" s="9">
        <v>1324.6</v>
      </c>
      <c r="O76" s="9">
        <v>1379.1</v>
      </c>
      <c r="P76" s="9">
        <v>1477.2</v>
      </c>
      <c r="Q76" s="9">
        <v>1376.3</v>
      </c>
      <c r="R76" s="9">
        <v>1356.5</v>
      </c>
      <c r="S76" s="9">
        <v>1364.9</v>
      </c>
      <c r="T76" s="9">
        <v>1410.8</v>
      </c>
      <c r="U76" s="9">
        <v>1421.6</v>
      </c>
      <c r="V76" s="9">
        <v>1383.3</v>
      </c>
      <c r="W76" s="9">
        <v>1376.6</v>
      </c>
      <c r="X76" s="9">
        <v>1356</v>
      </c>
      <c r="Y76" s="9">
        <v>1231</v>
      </c>
      <c r="Z76" s="9">
        <v>1354.3</v>
      </c>
      <c r="AA76" s="9">
        <v>1349.2</v>
      </c>
      <c r="AB76" s="9">
        <v>1346.2</v>
      </c>
      <c r="AC76" s="9">
        <v>1344.2</v>
      </c>
      <c r="AD76" s="9">
        <v>1460.8</v>
      </c>
      <c r="AE76" s="9">
        <v>1463.5</v>
      </c>
      <c r="AF76" s="9">
        <v>1360.3</v>
      </c>
      <c r="AG76" s="9">
        <v>1363</v>
      </c>
      <c r="AH76" s="9">
        <v>1462.4</v>
      </c>
      <c r="AI76" s="9">
        <v>1531.8</v>
      </c>
      <c r="AJ76" s="9">
        <v>1484</v>
      </c>
      <c r="AK76" s="9">
        <v>1464.9</v>
      </c>
      <c r="AL76" s="9">
        <v>1458.4</v>
      </c>
      <c r="AM76" s="9">
        <v>1511</v>
      </c>
      <c r="AN76" s="9">
        <v>1531.5</v>
      </c>
      <c r="AO76" s="9">
        <v>1504.2</v>
      </c>
      <c r="AP76" s="9">
        <v>1511.1</v>
      </c>
      <c r="AQ76" s="9">
        <v>1501.5</v>
      </c>
      <c r="AR76" s="9">
        <v>1283.5999999999999</v>
      </c>
      <c r="AS76" s="9">
        <v>1650.7</v>
      </c>
      <c r="AT76" s="9">
        <v>1285.4000000000001</v>
      </c>
      <c r="AU76" s="9">
        <v>1511.6</v>
      </c>
      <c r="AV76" s="9">
        <v>1354.6</v>
      </c>
      <c r="AW76" s="9">
        <v>1322.4</v>
      </c>
      <c r="AX76" s="9">
        <v>1342.2</v>
      </c>
      <c r="AY76" s="9">
        <v>1363.8</v>
      </c>
      <c r="AZ76" s="9">
        <v>1355.6</v>
      </c>
      <c r="BA76" s="9">
        <v>1325.7</v>
      </c>
      <c r="BB76" s="9">
        <v>1351.1</v>
      </c>
      <c r="BC76" s="9">
        <v>1339</v>
      </c>
      <c r="BD76" s="9">
        <v>1359.8</v>
      </c>
      <c r="BE76" s="9">
        <v>1362.2</v>
      </c>
      <c r="BF76" s="9">
        <v>1472.9</v>
      </c>
      <c r="BG76" s="9">
        <v>1344.5</v>
      </c>
      <c r="BH76" s="9">
        <v>1409.8</v>
      </c>
      <c r="BI76" s="9">
        <v>1388.3</v>
      </c>
      <c r="BJ76" s="9">
        <v>1367.5</v>
      </c>
      <c r="BK76" s="9">
        <v>1365.4</v>
      </c>
      <c r="BL76" s="9">
        <v>1531.2</v>
      </c>
      <c r="BM76" s="9">
        <v>1538</v>
      </c>
      <c r="BN76" s="9">
        <v>1458.8</v>
      </c>
      <c r="BO76" s="9">
        <v>1521.1</v>
      </c>
      <c r="BP76" s="9">
        <v>1532.8</v>
      </c>
      <c r="BQ76" s="9">
        <v>1363.6</v>
      </c>
      <c r="BR76" s="9">
        <v>1516.6</v>
      </c>
      <c r="BS76" s="9">
        <v>1530.8</v>
      </c>
      <c r="BT76" s="9">
        <v>1361.9</v>
      </c>
      <c r="BU76" s="9">
        <v>1534.9</v>
      </c>
      <c r="BV76" s="9">
        <v>1367.4</v>
      </c>
      <c r="BW76" s="9">
        <v>1307.9000000000001</v>
      </c>
      <c r="BX76" s="9">
        <v>1478.2</v>
      </c>
      <c r="BY76" s="9">
        <v>1469</v>
      </c>
      <c r="BZ76" s="9">
        <v>1489.3</v>
      </c>
      <c r="CA76" s="9">
        <v>1438</v>
      </c>
      <c r="CB76" s="9">
        <v>1337.4</v>
      </c>
      <c r="CC76" s="9">
        <v>1352.2</v>
      </c>
      <c r="CD76" s="9">
        <v>1360.1</v>
      </c>
      <c r="CE76" s="9">
        <v>1354.5</v>
      </c>
      <c r="CF76" s="9">
        <v>1361</v>
      </c>
      <c r="CG76" s="9">
        <v>1331.6</v>
      </c>
      <c r="CH76" s="9">
        <v>1542.8</v>
      </c>
      <c r="CI76" s="9">
        <v>1512</v>
      </c>
      <c r="CJ76" s="9">
        <v>1539.1</v>
      </c>
      <c r="CK76" s="9">
        <v>1352.4</v>
      </c>
      <c r="CL76" s="9">
        <v>1339.1</v>
      </c>
      <c r="CM76" s="9">
        <v>1442.1</v>
      </c>
      <c r="CN76" s="9">
        <v>1357.7</v>
      </c>
      <c r="CO76" s="9">
        <v>1363.8</v>
      </c>
      <c r="CP76" s="9">
        <v>1346.5</v>
      </c>
      <c r="CQ76" s="9">
        <v>1363.7</v>
      </c>
      <c r="CR76" s="9">
        <v>1361.2</v>
      </c>
      <c r="CS76" s="9">
        <v>1365.6</v>
      </c>
      <c r="CT76" s="9">
        <v>1367.2</v>
      </c>
      <c r="CU76" s="9">
        <v>1302</v>
      </c>
      <c r="CV76" s="9">
        <v>1345.6</v>
      </c>
      <c r="CW76" s="9">
        <v>1331.6</v>
      </c>
      <c r="CX76" s="9">
        <v>1398.9</v>
      </c>
      <c r="CY76" s="9">
        <v>1431.1</v>
      </c>
      <c r="CZ76" s="9">
        <v>1359</v>
      </c>
      <c r="DA76" s="9">
        <v>1374.4</v>
      </c>
      <c r="DB76" s="9">
        <v>1528.4</v>
      </c>
      <c r="DC76" s="9">
        <v>1277.5</v>
      </c>
      <c r="DD76" s="9">
        <v>1331.4</v>
      </c>
      <c r="DE76" s="9">
        <v>1360.6</v>
      </c>
      <c r="DF76" s="9">
        <v>1341.2</v>
      </c>
      <c r="DG76" s="9">
        <v>1350.4</v>
      </c>
      <c r="DH76" s="9">
        <v>1356</v>
      </c>
      <c r="DI76" s="9">
        <v>1347.7</v>
      </c>
      <c r="DJ76" s="9">
        <v>1355</v>
      </c>
      <c r="DK76" s="9">
        <v>1340.9</v>
      </c>
      <c r="DL76" s="9">
        <v>1547.1</v>
      </c>
      <c r="DM76" s="9">
        <v>1365.9</v>
      </c>
      <c r="DN76" s="9">
        <v>1501</v>
      </c>
      <c r="DO76" s="9">
        <v>1511.9</v>
      </c>
      <c r="DP76" s="9">
        <v>1366.8</v>
      </c>
      <c r="DQ76" s="9">
        <v>1483.3</v>
      </c>
      <c r="DR76" s="9">
        <v>1476.2</v>
      </c>
      <c r="DS76" s="9">
        <v>1431.1</v>
      </c>
      <c r="DT76" s="9">
        <v>1482.6</v>
      </c>
      <c r="DU76" s="9">
        <v>1519.3</v>
      </c>
      <c r="DV76" s="9">
        <v>1356.4</v>
      </c>
      <c r="DW76" s="9">
        <v>1276.5</v>
      </c>
      <c r="DX76" s="9">
        <v>1500.3</v>
      </c>
      <c r="DY76" s="9">
        <v>1531.4</v>
      </c>
      <c r="DZ76" s="9">
        <v>1524.5</v>
      </c>
      <c r="EA76" s="9">
        <v>1367.9</v>
      </c>
      <c r="EB76" s="9">
        <v>1382.1</v>
      </c>
      <c r="EC76" s="9">
        <v>1489.3</v>
      </c>
      <c r="ED76" s="9">
        <v>1494.9</v>
      </c>
      <c r="EE76" s="9">
        <v>1361.1</v>
      </c>
      <c r="EF76" s="9">
        <v>1370.5</v>
      </c>
      <c r="EG76" s="9">
        <v>1550.3</v>
      </c>
      <c r="EH76" s="9">
        <v>1317.6</v>
      </c>
      <c r="EI76" s="9">
        <v>1337</v>
      </c>
      <c r="EJ76" s="9">
        <v>1529.5</v>
      </c>
      <c r="EK76" s="9">
        <v>1510.7</v>
      </c>
      <c r="EL76" s="9">
        <v>1402.7</v>
      </c>
      <c r="EM76" s="9">
        <v>1461.3</v>
      </c>
      <c r="EN76" s="9">
        <v>1456.9</v>
      </c>
      <c r="EO76" s="9">
        <v>1223</v>
      </c>
      <c r="EP76" s="9">
        <v>1454</v>
      </c>
      <c r="EQ76" s="9">
        <v>1425.7</v>
      </c>
      <c r="ER76" s="9">
        <v>1483.6</v>
      </c>
      <c r="ES76" s="9">
        <v>1386.3</v>
      </c>
      <c r="ET76" s="9">
        <v>1421</v>
      </c>
      <c r="EU76" s="9">
        <v>1351</v>
      </c>
      <c r="EV76" s="9">
        <v>1442.4</v>
      </c>
      <c r="EW76" s="9">
        <v>1422.6</v>
      </c>
      <c r="EX76" s="9">
        <v>1373.4</v>
      </c>
      <c r="EY76" s="9">
        <v>1504.2</v>
      </c>
      <c r="EZ76" s="9">
        <v>1352.5</v>
      </c>
      <c r="FA76" s="9">
        <v>1472.3</v>
      </c>
      <c r="FB76" s="9">
        <v>1363.7</v>
      </c>
      <c r="FC76" s="9">
        <v>1257.2</v>
      </c>
      <c r="FD76" s="9">
        <v>1460.9</v>
      </c>
      <c r="FE76" s="9">
        <v>1471.4</v>
      </c>
      <c r="FF76" s="9">
        <v>1487.5</v>
      </c>
      <c r="FG76" s="9">
        <v>1362.8</v>
      </c>
      <c r="FH76" s="9">
        <v>1527</v>
      </c>
      <c r="FI76" s="9">
        <v>1367.3</v>
      </c>
      <c r="FJ76" s="9">
        <v>1345.6</v>
      </c>
      <c r="FK76" s="9">
        <v>1331.1</v>
      </c>
      <c r="FL76" s="9">
        <v>1344.7</v>
      </c>
      <c r="FM76" s="9">
        <v>1337.9</v>
      </c>
      <c r="FN76" s="9">
        <v>1333.5</v>
      </c>
      <c r="FO76" s="9">
        <v>1332.2</v>
      </c>
      <c r="FP76" s="9">
        <v>1525.5</v>
      </c>
      <c r="FQ76" s="9">
        <v>1331.5</v>
      </c>
      <c r="FR76" s="9">
        <v>1531.5</v>
      </c>
      <c r="FS76" s="9">
        <v>1511.1</v>
      </c>
      <c r="FT76" s="9">
        <v>1516.1</v>
      </c>
      <c r="FU76" s="9">
        <v>1384.2</v>
      </c>
      <c r="FV76" s="9">
        <v>1328.1</v>
      </c>
      <c r="FW76" s="9">
        <v>1539.1</v>
      </c>
      <c r="FX76" s="9">
        <v>1334.5</v>
      </c>
      <c r="FY76" s="9">
        <v>1379.4</v>
      </c>
      <c r="FZ76" s="9">
        <v>1391.5</v>
      </c>
      <c r="GA76" s="9">
        <v>1386.7</v>
      </c>
      <c r="GB76" s="9">
        <v>1521.8</v>
      </c>
      <c r="GC76" s="9">
        <v>1393.4</v>
      </c>
      <c r="GD76" s="9">
        <v>1501</v>
      </c>
      <c r="GE76" s="9">
        <v>1340.5</v>
      </c>
      <c r="GF76" s="9">
        <v>1323.4</v>
      </c>
      <c r="GG76" s="9">
        <v>1333.6</v>
      </c>
      <c r="GH76" s="9">
        <v>1502</v>
      </c>
      <c r="GI76" s="9">
        <v>1328.4</v>
      </c>
      <c r="GJ76" s="9">
        <v>1429.4</v>
      </c>
      <c r="GK76" s="9">
        <v>1497</v>
      </c>
      <c r="GL76" s="9">
        <v>1525.8</v>
      </c>
      <c r="GM76" s="9">
        <v>1389.4</v>
      </c>
      <c r="GN76" s="9">
        <v>1437.8</v>
      </c>
      <c r="GO76" s="9">
        <v>1499</v>
      </c>
      <c r="GP76" s="9">
        <v>1389.4</v>
      </c>
      <c r="GQ76" s="9">
        <v>1396.1</v>
      </c>
      <c r="GR76" s="9">
        <v>1384.7</v>
      </c>
      <c r="GS76" s="9">
        <v>1434.8</v>
      </c>
      <c r="GT76" s="9">
        <v>1346.8</v>
      </c>
      <c r="GU76" s="9">
        <v>1342</v>
      </c>
      <c r="GV76" s="9">
        <v>1313.1</v>
      </c>
      <c r="GW76" s="9">
        <v>1337</v>
      </c>
      <c r="GX76" s="9">
        <v>1346.7</v>
      </c>
      <c r="GY76" s="9">
        <v>1356.7</v>
      </c>
      <c r="GZ76" s="9">
        <v>1147.0999999999999</v>
      </c>
      <c r="HA76" s="9">
        <v>1377.9</v>
      </c>
      <c r="HB76" s="9"/>
      <c r="HC76" s="9"/>
      <c r="HD76" s="9">
        <v>1218.0999999999999</v>
      </c>
      <c r="HE76" s="9">
        <v>941.5</v>
      </c>
      <c r="HF76" s="9">
        <v>1340.1</v>
      </c>
      <c r="HG76" s="9"/>
      <c r="HH76" s="9">
        <v>1487.1</v>
      </c>
      <c r="HI76" s="9">
        <v>1325.3</v>
      </c>
      <c r="HJ76" s="9">
        <v>1366.7</v>
      </c>
      <c r="HK76" s="9">
        <v>1322.6</v>
      </c>
      <c r="HL76" s="9">
        <v>1357.3</v>
      </c>
      <c r="HM76" s="9">
        <v>1358.4</v>
      </c>
      <c r="HN76" s="9">
        <v>1370.7</v>
      </c>
      <c r="HO76" s="9">
        <v>1368.2</v>
      </c>
      <c r="HP76" s="9">
        <v>1368.5</v>
      </c>
      <c r="HQ76" s="9">
        <v>1379.4</v>
      </c>
      <c r="HR76" s="9">
        <v>1379.3</v>
      </c>
      <c r="HS76" s="9">
        <v>1387</v>
      </c>
      <c r="HT76" s="9">
        <v>1543.7</v>
      </c>
      <c r="HU76" s="9">
        <v>1569.4</v>
      </c>
      <c r="HV76" s="9">
        <v>1201.0999999999999</v>
      </c>
      <c r="HW76" s="9">
        <v>1198</v>
      </c>
      <c r="HX76" s="9">
        <v>1022.5</v>
      </c>
      <c r="HY76" s="9">
        <v>843.3</v>
      </c>
      <c r="HZ76" s="9">
        <v>1036.5</v>
      </c>
      <c r="IA76" s="9">
        <v>1201.0999999999999</v>
      </c>
      <c r="IB76" s="9">
        <v>1405.7</v>
      </c>
      <c r="IC76" s="9">
        <v>1508.5</v>
      </c>
      <c r="ID76" s="9">
        <v>1437.7</v>
      </c>
      <c r="IE76" s="9">
        <v>1437.4</v>
      </c>
      <c r="IF76" s="9">
        <v>1425.5</v>
      </c>
      <c r="IG76" s="9">
        <v>1455.5</v>
      </c>
      <c r="IH76" s="9">
        <v>1502.8</v>
      </c>
      <c r="II76" s="9">
        <v>1501</v>
      </c>
      <c r="IJ76" s="9">
        <v>1312.4</v>
      </c>
      <c r="IK76" s="9">
        <v>1392.2</v>
      </c>
      <c r="IL76" s="9">
        <v>1278.3</v>
      </c>
      <c r="IM76" s="9">
        <v>1345.4</v>
      </c>
      <c r="IN76" s="9">
        <v>1255</v>
      </c>
      <c r="IO76" s="9"/>
      <c r="IP76" s="9">
        <v>1785.5</v>
      </c>
      <c r="IQ76" s="9">
        <v>1434.2</v>
      </c>
      <c r="IR76" s="9">
        <v>501</v>
      </c>
      <c r="IS76" s="9">
        <v>1323</v>
      </c>
      <c r="IT76" s="9">
        <v>1284.5999999999999</v>
      </c>
      <c r="IU76" s="9"/>
      <c r="IV76" s="9"/>
      <c r="IW76" s="9">
        <v>1250</v>
      </c>
      <c r="IX76" s="9">
        <v>1332.2</v>
      </c>
      <c r="IY76" s="9">
        <v>1355</v>
      </c>
      <c r="IZ76" s="9">
        <v>1265.2</v>
      </c>
      <c r="JA76" s="9">
        <v>1189</v>
      </c>
      <c r="JB76" s="11">
        <v>40.380000000000003</v>
      </c>
      <c r="JC76" s="11">
        <v>45.99</v>
      </c>
      <c r="JD76" s="11">
        <v>2.41</v>
      </c>
      <c r="JE76" s="11">
        <v>7.7</v>
      </c>
      <c r="JF76" s="11"/>
      <c r="JG76" s="11">
        <v>7.2</v>
      </c>
      <c r="JH76" s="13">
        <v>6.66</v>
      </c>
      <c r="JI76" s="12"/>
      <c r="JJ76" s="277"/>
      <c r="JK76" s="9">
        <v>86559923.408999994</v>
      </c>
      <c r="JL76" s="215">
        <v>283057.88199999998</v>
      </c>
      <c r="JM76" s="9">
        <v>59536817.373999998</v>
      </c>
      <c r="JN76" s="215">
        <v>62724.767999999996</v>
      </c>
      <c r="JO76" s="9">
        <v>87271938.548999995</v>
      </c>
      <c r="JP76" s="215">
        <v>188098.68799999999</v>
      </c>
      <c r="JQ76" s="9">
        <v>63418184.82</v>
      </c>
      <c r="JR76" s="215">
        <v>57284.088000000003</v>
      </c>
      <c r="JS76" s="11">
        <v>327891536.65200001</v>
      </c>
      <c r="JT76" s="223">
        <v>87601.462</v>
      </c>
      <c r="JU76" s="283">
        <f t="shared" ref="JU76" si="331">IF((JK76-JK75)&lt;0,"",(JK76-JK75))</f>
        <v>90324.317000001669</v>
      </c>
      <c r="JV76" s="283">
        <f t="shared" ref="JV76" si="332">IF((JL76-JL75)&lt;0,"",(JL76-JL75))</f>
        <v>39.940999999991618</v>
      </c>
      <c r="JW76" s="283">
        <f t="shared" ref="JW76" si="333">IF((JM76-JM75)&lt;0,"",(JM76-JM75))</f>
        <v>85443.791000001132</v>
      </c>
      <c r="JX76" s="283">
        <f t="shared" ref="JX76" si="334">IF((JN76-JN75)&lt;0,"",(JN76-JN75))</f>
        <v>35.883999999998196</v>
      </c>
      <c r="JY76" s="284">
        <f t="shared" ref="JY76" si="335">IF((JO76-JO75)&lt;0,"",(JO76-JO75))</f>
        <v>90299.578999996185</v>
      </c>
      <c r="JZ76" s="284">
        <f t="shared" ref="JZ76" si="336">IF((JP76-JP75)&lt;0,"",(JP76-JP75))</f>
        <v>50.269999999989523</v>
      </c>
      <c r="KA76" s="284">
        <f t="shared" ref="KA76" si="337">IF((JQ76-JQ75)&lt;0,"",(JQ76-JQ75))</f>
        <v>70501.086000002921</v>
      </c>
      <c r="KB76" s="284">
        <f t="shared" ref="KB76" si="338">IF((JR76-JR75)&lt;0,"",(JR76-JR75))</f>
        <v>68.544000000001688</v>
      </c>
      <c r="KC76" s="283">
        <f t="shared" ref="KC76" si="339">IF((JS76-JS75)&lt;0,"",(JS76-JS75))</f>
        <v>336393.98600000143</v>
      </c>
      <c r="KD76" s="283">
        <f t="shared" ref="KD76" si="340">IF((JT76-JT75)&lt;0,"",(JT76-JT75))</f>
        <v>146.68099999999686</v>
      </c>
      <c r="KE76" s="291">
        <f t="shared" ref="KE76:KE85" si="341">(JU76+JW76)-(JV76+JX76)</f>
        <v>175692.28300000282</v>
      </c>
      <c r="KF76" s="291">
        <f t="shared" ref="KF76:KF85" si="342">IFERROR(KC76-KD76,"")</f>
        <v>336247.30500000145</v>
      </c>
      <c r="KG76" s="292">
        <f>(RD[[#This Row],[Sunset Time (POA&lt;20 W/m2)]]-RD[[#This Row],[Sunrise Time (POA&gt;20 W/m2)]])*24</f>
        <v>13.466666666666667</v>
      </c>
      <c r="KH76" s="293">
        <f>RD[[#This Row],[GHI ]]</f>
        <v>7.2</v>
      </c>
      <c r="KI76" s="293">
        <f>RD[[#This Row],[POA]]</f>
        <v>6.66</v>
      </c>
      <c r="KJ76" s="293">
        <f>RD[[#This Row],[AT (°C) 14 Hours]]</f>
        <v>40.380000000000003</v>
      </c>
      <c r="KK76" s="293">
        <f>RD[[#This Row],[MT (°C) Gen. Hours]]</f>
        <v>45.99</v>
      </c>
      <c r="KL76" s="293">
        <f>RD[[#This Row],[WS_Avg (m/s) (24 Hours)]]</f>
        <v>2.41</v>
      </c>
      <c r="KM76" s="293">
        <f>RD[[#This Row],[WS_Max (m/s)]]</f>
        <v>7.7</v>
      </c>
      <c r="KN76" s="294">
        <f>SUM(RD[[#This Row],[BLK1_INV1]:[BLK8_INV27]])</f>
        <v>338140.39999999997</v>
      </c>
      <c r="KO76" s="95"/>
      <c r="KP76" s="55"/>
      <c r="KQ76" s="90" t="str">
        <f>IFERROR(RD[[#This Row],[WPR_Eac]]/RD[[#This Row],[WPR_Edc]],"")</f>
        <v/>
      </c>
    </row>
    <row r="77" spans="2:303" ht="15" customHeight="1" x14ac:dyDescent="0.25">
      <c r="B77" s="52">
        <v>45818</v>
      </c>
      <c r="C77" s="9">
        <f>YEAR(RD[[#This Row],[Date]])+IF(MONTH(RD[[#This Row],[Date]])&gt;=4,1,0)</f>
        <v>2026</v>
      </c>
      <c r="D77" s="6">
        <f t="shared" si="329"/>
        <v>2025</v>
      </c>
      <c r="E77" s="7"/>
      <c r="F77" s="7"/>
      <c r="G77" s="276" t="str">
        <f>TEXT(RD[[#This Row],[Date]],"mmm-yy")</f>
        <v>Jun-25</v>
      </c>
      <c r="H77" s="6">
        <f t="shared" si="330"/>
        <v>30</v>
      </c>
      <c r="I77" s="9">
        <f>'Basic Data '!$S$2</f>
        <v>66750</v>
      </c>
      <c r="J77" s="10">
        <v>0.21458333333333335</v>
      </c>
      <c r="K77" s="10">
        <v>0.77638888888888891</v>
      </c>
      <c r="L77" s="9">
        <v>1556.6</v>
      </c>
      <c r="M77" s="9">
        <v>1591.8</v>
      </c>
      <c r="N77" s="9">
        <v>1474.2</v>
      </c>
      <c r="O77" s="9">
        <v>1469.9</v>
      </c>
      <c r="P77" s="9">
        <v>1582.7</v>
      </c>
      <c r="Q77" s="9">
        <v>1472.9</v>
      </c>
      <c r="R77" s="9">
        <v>1465.7</v>
      </c>
      <c r="S77" s="9">
        <v>1471.4</v>
      </c>
      <c r="T77" s="9">
        <v>1519.2</v>
      </c>
      <c r="U77" s="9">
        <v>1528.1</v>
      </c>
      <c r="V77" s="9">
        <v>1423.1</v>
      </c>
      <c r="W77" s="9">
        <v>1444.1</v>
      </c>
      <c r="X77" s="9">
        <v>1466.4</v>
      </c>
      <c r="Y77" s="9">
        <v>1332.1</v>
      </c>
      <c r="Z77" s="9">
        <v>1464.9</v>
      </c>
      <c r="AA77" s="9">
        <v>1458.6</v>
      </c>
      <c r="AB77" s="9">
        <v>1455.1</v>
      </c>
      <c r="AC77" s="9">
        <v>1448.9</v>
      </c>
      <c r="AD77" s="9">
        <v>1554.9</v>
      </c>
      <c r="AE77" s="9">
        <v>1560.1</v>
      </c>
      <c r="AF77" s="9">
        <v>1462.6</v>
      </c>
      <c r="AG77" s="9">
        <v>1467.5</v>
      </c>
      <c r="AH77" s="9">
        <v>1574.1</v>
      </c>
      <c r="AI77" s="9">
        <v>1587.9</v>
      </c>
      <c r="AJ77" s="9">
        <v>1578.2</v>
      </c>
      <c r="AK77" s="9">
        <v>1558.9</v>
      </c>
      <c r="AL77" s="9">
        <v>1551.1</v>
      </c>
      <c r="AM77" s="9">
        <v>1607.3</v>
      </c>
      <c r="AN77" s="9">
        <v>1626.1</v>
      </c>
      <c r="AO77" s="9">
        <v>1600.1</v>
      </c>
      <c r="AP77" s="9">
        <v>1601.1</v>
      </c>
      <c r="AQ77" s="9">
        <v>1596.4</v>
      </c>
      <c r="AR77" s="9">
        <v>1366.4</v>
      </c>
      <c r="AS77" s="9">
        <v>1763.6</v>
      </c>
      <c r="AT77" s="9">
        <v>1427</v>
      </c>
      <c r="AU77" s="9">
        <v>1625.6</v>
      </c>
      <c r="AV77" s="9">
        <v>1446.7</v>
      </c>
      <c r="AW77" s="9">
        <v>1409.6</v>
      </c>
      <c r="AX77" s="9">
        <v>1435.5</v>
      </c>
      <c r="AY77" s="9">
        <v>1455.3</v>
      </c>
      <c r="AZ77" s="9">
        <v>1425.7</v>
      </c>
      <c r="BA77" s="9">
        <v>1464.5</v>
      </c>
      <c r="BB77" s="9">
        <v>1459.5</v>
      </c>
      <c r="BC77" s="9">
        <v>1425</v>
      </c>
      <c r="BD77" s="9">
        <v>1454.1</v>
      </c>
      <c r="BE77" s="9">
        <v>1456.6</v>
      </c>
      <c r="BF77" s="9">
        <v>1572.7</v>
      </c>
      <c r="BG77" s="9">
        <v>1430.5</v>
      </c>
      <c r="BH77" s="9">
        <v>1498.4</v>
      </c>
      <c r="BI77" s="9">
        <v>1476.6</v>
      </c>
      <c r="BJ77" s="9">
        <v>1454.9</v>
      </c>
      <c r="BK77" s="9">
        <v>1451.9</v>
      </c>
      <c r="BL77" s="9">
        <v>1663.6</v>
      </c>
      <c r="BM77" s="9">
        <v>1636.7</v>
      </c>
      <c r="BN77" s="9">
        <v>1566</v>
      </c>
      <c r="BO77" s="9">
        <v>1634.4</v>
      </c>
      <c r="BP77" s="9">
        <v>1585</v>
      </c>
      <c r="BQ77" s="9">
        <v>1431.1</v>
      </c>
      <c r="BR77" s="9">
        <v>1633.3</v>
      </c>
      <c r="BS77" s="9">
        <v>1628.1</v>
      </c>
      <c r="BT77" s="9">
        <v>1449.9</v>
      </c>
      <c r="BU77" s="9">
        <v>1633.1</v>
      </c>
      <c r="BV77" s="9">
        <v>1453.4</v>
      </c>
      <c r="BW77" s="9">
        <v>1301.0999999999999</v>
      </c>
      <c r="BX77" s="9">
        <v>1576.2</v>
      </c>
      <c r="BY77" s="9">
        <v>1565.2</v>
      </c>
      <c r="BZ77" s="9">
        <v>1563.2</v>
      </c>
      <c r="CA77" s="9">
        <v>1525.3</v>
      </c>
      <c r="CB77" s="9">
        <v>1418.5</v>
      </c>
      <c r="CC77" s="9">
        <v>1442</v>
      </c>
      <c r="CD77" s="9">
        <v>1449.8</v>
      </c>
      <c r="CE77" s="9">
        <v>1443.6</v>
      </c>
      <c r="CF77" s="9">
        <v>1455.2</v>
      </c>
      <c r="CG77" s="9">
        <v>1456.1</v>
      </c>
      <c r="CH77" s="9">
        <v>1630.2</v>
      </c>
      <c r="CI77" s="9">
        <v>1602</v>
      </c>
      <c r="CJ77" s="9">
        <v>1633.2</v>
      </c>
      <c r="CK77" s="9">
        <v>1428.2</v>
      </c>
      <c r="CL77" s="9">
        <v>1424.7</v>
      </c>
      <c r="CM77" s="9">
        <v>1555</v>
      </c>
      <c r="CN77" s="9">
        <v>1445.6</v>
      </c>
      <c r="CO77" s="9">
        <v>1451.2</v>
      </c>
      <c r="CP77" s="9">
        <v>1433.8</v>
      </c>
      <c r="CQ77" s="9">
        <v>1452</v>
      </c>
      <c r="CR77" s="9">
        <v>1448.8</v>
      </c>
      <c r="CS77" s="9">
        <v>1453.5</v>
      </c>
      <c r="CT77" s="9">
        <v>1456.9</v>
      </c>
      <c r="CU77" s="9">
        <v>1446</v>
      </c>
      <c r="CV77" s="9">
        <v>1435.1</v>
      </c>
      <c r="CW77" s="9">
        <v>1420.7</v>
      </c>
      <c r="CX77" s="9">
        <v>1477.9</v>
      </c>
      <c r="CY77" s="9">
        <v>1554.1</v>
      </c>
      <c r="CZ77" s="9">
        <v>1443</v>
      </c>
      <c r="DA77" s="9">
        <v>1432.2</v>
      </c>
      <c r="DB77" s="9">
        <v>1631.3</v>
      </c>
      <c r="DC77" s="9">
        <v>1419.5</v>
      </c>
      <c r="DD77" s="9">
        <v>1415.4</v>
      </c>
      <c r="DE77" s="9">
        <v>1450.5</v>
      </c>
      <c r="DF77" s="9">
        <v>1423.3</v>
      </c>
      <c r="DG77" s="9">
        <v>1441.1</v>
      </c>
      <c r="DH77" s="9">
        <v>1401.1</v>
      </c>
      <c r="DI77" s="9">
        <v>1438.2</v>
      </c>
      <c r="DJ77" s="9">
        <v>1464.1</v>
      </c>
      <c r="DK77" s="9">
        <v>1433.4</v>
      </c>
      <c r="DL77" s="9">
        <v>1596.1</v>
      </c>
      <c r="DM77" s="9">
        <v>1458.7</v>
      </c>
      <c r="DN77" s="9">
        <v>1621.2</v>
      </c>
      <c r="DO77" s="9">
        <v>1615.2</v>
      </c>
      <c r="DP77" s="9">
        <v>1465</v>
      </c>
      <c r="DQ77" s="9">
        <v>1591.1</v>
      </c>
      <c r="DR77" s="9">
        <v>1580.7</v>
      </c>
      <c r="DS77" s="9">
        <v>1531.1</v>
      </c>
      <c r="DT77" s="9">
        <v>1599.1</v>
      </c>
      <c r="DU77" s="9">
        <v>1623.6</v>
      </c>
      <c r="DV77" s="9">
        <v>1454.5</v>
      </c>
      <c r="DW77" s="9">
        <v>1481.6</v>
      </c>
      <c r="DX77" s="9">
        <v>1586.3</v>
      </c>
      <c r="DY77" s="9">
        <v>1633.4</v>
      </c>
      <c r="DZ77" s="9">
        <v>1617.8</v>
      </c>
      <c r="EA77" s="9">
        <v>1452.5</v>
      </c>
      <c r="EB77" s="9">
        <v>1459.2</v>
      </c>
      <c r="EC77" s="9">
        <v>1587.1</v>
      </c>
      <c r="ED77" s="9">
        <v>1591.1</v>
      </c>
      <c r="EE77" s="9">
        <v>1468.4</v>
      </c>
      <c r="EF77" s="9">
        <v>1467.9</v>
      </c>
      <c r="EG77" s="9">
        <v>1650.8</v>
      </c>
      <c r="EH77" s="9">
        <v>1417.7</v>
      </c>
      <c r="EI77" s="9">
        <v>1446.8</v>
      </c>
      <c r="EJ77" s="9">
        <v>1653.5</v>
      </c>
      <c r="EK77" s="9">
        <v>1634.2</v>
      </c>
      <c r="EL77" s="9">
        <v>1577</v>
      </c>
      <c r="EM77" s="9">
        <v>1584.5</v>
      </c>
      <c r="EN77" s="9">
        <v>1551.1</v>
      </c>
      <c r="EO77" s="9">
        <v>1311.1</v>
      </c>
      <c r="EP77" s="9">
        <v>1558.1</v>
      </c>
      <c r="EQ77" s="9">
        <v>1544.9</v>
      </c>
      <c r="ER77" s="9">
        <v>1557.1</v>
      </c>
      <c r="ES77" s="9">
        <v>1541.2</v>
      </c>
      <c r="ET77" s="9">
        <v>1511.1</v>
      </c>
      <c r="EU77" s="9">
        <v>1440.1</v>
      </c>
      <c r="EV77" s="9">
        <v>1563.3</v>
      </c>
      <c r="EW77" s="9">
        <v>1531.1</v>
      </c>
      <c r="EX77" s="9">
        <v>1439</v>
      </c>
      <c r="EY77" s="9">
        <v>1555.1</v>
      </c>
      <c r="EZ77" s="9">
        <v>1453.1</v>
      </c>
      <c r="FA77" s="9">
        <v>1575.5</v>
      </c>
      <c r="FB77" s="9">
        <v>1438</v>
      </c>
      <c r="FC77" s="9">
        <v>1338.9</v>
      </c>
      <c r="FD77" s="9">
        <v>1558.1</v>
      </c>
      <c r="FE77" s="9">
        <v>1569.6</v>
      </c>
      <c r="FF77" s="9">
        <v>1583.9</v>
      </c>
      <c r="FG77" s="9">
        <v>1453.2</v>
      </c>
      <c r="FH77" s="9">
        <v>1616.2</v>
      </c>
      <c r="FI77" s="9">
        <v>1434.6</v>
      </c>
      <c r="FJ77" s="9">
        <v>1454.2</v>
      </c>
      <c r="FK77" s="9">
        <v>1424.8</v>
      </c>
      <c r="FL77" s="9">
        <v>1425.5</v>
      </c>
      <c r="FM77" s="9">
        <v>1430.5</v>
      </c>
      <c r="FN77" s="9">
        <v>1401.1</v>
      </c>
      <c r="FO77" s="9">
        <v>1398.2</v>
      </c>
      <c r="FP77" s="9">
        <v>1621.1</v>
      </c>
      <c r="FQ77" s="9">
        <v>1411.1</v>
      </c>
      <c r="FR77" s="9">
        <v>1619.1</v>
      </c>
      <c r="FS77" s="9">
        <v>1601</v>
      </c>
      <c r="FT77" s="9">
        <v>1597.4</v>
      </c>
      <c r="FU77" s="9">
        <v>1462.1</v>
      </c>
      <c r="FV77" s="9">
        <v>1415.1</v>
      </c>
      <c r="FW77" s="9">
        <v>1596.1</v>
      </c>
      <c r="FX77" s="9">
        <v>1407.6</v>
      </c>
      <c r="FY77" s="9">
        <v>1459.8</v>
      </c>
      <c r="FZ77" s="9">
        <v>1462.4</v>
      </c>
      <c r="GA77" s="9">
        <v>1455.8</v>
      </c>
      <c r="GB77" s="9">
        <v>1611.2</v>
      </c>
      <c r="GC77" s="9">
        <v>1447</v>
      </c>
      <c r="GD77" s="9">
        <v>1591.2</v>
      </c>
      <c r="GE77" s="9">
        <v>1409.1</v>
      </c>
      <c r="GF77" s="9">
        <v>1415.5</v>
      </c>
      <c r="GG77" s="9">
        <v>1405.1</v>
      </c>
      <c r="GH77" s="9">
        <v>1596.5</v>
      </c>
      <c r="GI77" s="9">
        <v>1412.6</v>
      </c>
      <c r="GJ77" s="9">
        <v>1534.2</v>
      </c>
      <c r="GK77" s="9">
        <v>1604</v>
      </c>
      <c r="GL77" s="9">
        <v>1594.4</v>
      </c>
      <c r="GM77" s="9">
        <v>1459.1</v>
      </c>
      <c r="GN77" s="9">
        <v>1527.1</v>
      </c>
      <c r="GO77" s="9">
        <v>1651.1</v>
      </c>
      <c r="GP77" s="9">
        <v>1455.1</v>
      </c>
      <c r="GQ77" s="9">
        <v>1449.5</v>
      </c>
      <c r="GR77" s="9">
        <v>1457.4</v>
      </c>
      <c r="GS77" s="9">
        <v>1529.8</v>
      </c>
      <c r="GT77" s="9">
        <v>1436.1</v>
      </c>
      <c r="GU77" s="9">
        <v>1427.2</v>
      </c>
      <c r="GV77" s="9">
        <v>1393.2</v>
      </c>
      <c r="GW77" s="9">
        <v>1399</v>
      </c>
      <c r="GX77" s="9">
        <v>1437.2</v>
      </c>
      <c r="GY77" s="9">
        <v>1447.7</v>
      </c>
      <c r="GZ77" s="9">
        <v>1176.3</v>
      </c>
      <c r="HA77" s="9">
        <v>1411.1</v>
      </c>
      <c r="HB77" s="9"/>
      <c r="HC77" s="9"/>
      <c r="HD77" s="9">
        <v>1302.5999999999999</v>
      </c>
      <c r="HE77" s="9">
        <v>1011.1</v>
      </c>
      <c r="HF77" s="9">
        <v>1434.1</v>
      </c>
      <c r="HG77" s="9"/>
      <c r="HH77" s="9">
        <v>1581.6</v>
      </c>
      <c r="HI77" s="9">
        <v>1411.1</v>
      </c>
      <c r="HJ77" s="9">
        <v>1454.4</v>
      </c>
      <c r="HK77" s="9">
        <v>1434.1</v>
      </c>
      <c r="HL77" s="9">
        <v>1448.3</v>
      </c>
      <c r="HM77" s="9">
        <v>1451.9</v>
      </c>
      <c r="HN77" s="9">
        <v>1461.7</v>
      </c>
      <c r="HO77" s="9">
        <v>1429.1</v>
      </c>
      <c r="HP77" s="9">
        <v>1459.2</v>
      </c>
      <c r="HQ77" s="9">
        <v>1450.7</v>
      </c>
      <c r="HR77" s="9">
        <v>1409.2</v>
      </c>
      <c r="HS77" s="9">
        <v>1444.5</v>
      </c>
      <c r="HT77" s="9">
        <v>1634.4</v>
      </c>
      <c r="HU77" s="9">
        <v>1623.2</v>
      </c>
      <c r="HV77" s="9">
        <v>1254.0999999999999</v>
      </c>
      <c r="HW77" s="9">
        <v>1254.0999999999999</v>
      </c>
      <c r="HX77" s="9">
        <v>1087.5</v>
      </c>
      <c r="HY77" s="9">
        <v>861.1</v>
      </c>
      <c r="HZ77" s="9">
        <v>1101.0999999999999</v>
      </c>
      <c r="IA77" s="9">
        <v>1272.2</v>
      </c>
      <c r="IB77" s="9">
        <v>1526.2</v>
      </c>
      <c r="IC77" s="9">
        <v>1627</v>
      </c>
      <c r="ID77" s="9">
        <v>1557.7</v>
      </c>
      <c r="IE77" s="9">
        <v>1530.1</v>
      </c>
      <c r="IF77" s="9">
        <v>1496.1</v>
      </c>
      <c r="IG77" s="9">
        <v>1564.5</v>
      </c>
      <c r="IH77" s="9">
        <v>1623.5</v>
      </c>
      <c r="II77" s="9">
        <v>1601.1</v>
      </c>
      <c r="IJ77" s="9">
        <v>1371.8</v>
      </c>
      <c r="IK77" s="9">
        <v>1465.1</v>
      </c>
      <c r="IL77" s="9">
        <v>1378.1</v>
      </c>
      <c r="IM77" s="9">
        <v>1434.1</v>
      </c>
      <c r="IN77" s="9">
        <v>1331.1</v>
      </c>
      <c r="IO77" s="9"/>
      <c r="IP77" s="9">
        <v>1879.2</v>
      </c>
      <c r="IQ77" s="9">
        <v>1515.1</v>
      </c>
      <c r="IR77" s="9">
        <v>541.1</v>
      </c>
      <c r="IS77" s="9">
        <v>1434.1</v>
      </c>
      <c r="IT77" s="9">
        <v>1367.8</v>
      </c>
      <c r="IU77" s="9"/>
      <c r="IV77" s="9"/>
      <c r="IW77" s="9">
        <v>1312.7</v>
      </c>
      <c r="IX77" s="9">
        <v>1403</v>
      </c>
      <c r="IY77" s="9">
        <v>1153.4000000000001</v>
      </c>
      <c r="IZ77" s="9">
        <v>1376.5</v>
      </c>
      <c r="JA77" s="9">
        <v>1277.7</v>
      </c>
      <c r="JB77" s="11">
        <v>41.33</v>
      </c>
      <c r="JC77" s="11">
        <v>46.5</v>
      </c>
      <c r="JD77" s="11">
        <v>3.21</v>
      </c>
      <c r="JE77" s="11">
        <v>8.6999999999999993</v>
      </c>
      <c r="JF77" s="11"/>
      <c r="JG77" s="11">
        <v>7.54</v>
      </c>
      <c r="JH77" s="13">
        <v>7.03</v>
      </c>
      <c r="JI77" s="12"/>
      <c r="JJ77" s="277"/>
      <c r="JK77" s="9">
        <v>86656408.960999995</v>
      </c>
      <c r="JL77" s="260">
        <v>283097.82299999997</v>
      </c>
      <c r="JM77" s="9">
        <v>59628020.794</v>
      </c>
      <c r="JN77" s="260">
        <v>62760.652000000002</v>
      </c>
      <c r="JO77" s="9">
        <v>87368567.069000006</v>
      </c>
      <c r="JP77" s="260">
        <v>188148.95800000001</v>
      </c>
      <c r="JQ77" s="9">
        <v>63492214.783</v>
      </c>
      <c r="JR77" s="260">
        <v>57352.631999999998</v>
      </c>
      <c r="JS77" s="11">
        <v>328249588.85900003</v>
      </c>
      <c r="JT77" s="289">
        <v>87748.142999999996</v>
      </c>
      <c r="JU77" s="283">
        <f t="shared" ref="JU77" si="343">IF((JK77-JK76)&lt;0,"",(JK77-JK76))</f>
        <v>96485.552000001073</v>
      </c>
      <c r="JV77" s="283">
        <f t="shared" ref="JV77:JV79" si="344">IF((JL77-JL76)&lt;0,"",(JL77-JL76))</f>
        <v>39.940999999991618</v>
      </c>
      <c r="JW77" s="283">
        <f t="shared" ref="JW77" si="345">IF((JM77-JM76)&lt;0,"",(JM77-JM76))</f>
        <v>91203.420000001788</v>
      </c>
      <c r="JX77" s="283">
        <f t="shared" ref="JX77" si="346">IF((JN77-JN76)&lt;0,"",(JN77-JN76))</f>
        <v>35.884000000005472</v>
      </c>
      <c r="JY77" s="284">
        <f t="shared" ref="JY77" si="347">IF((JO77-JO76)&lt;0,"",(JO77-JO76))</f>
        <v>96628.520000010729</v>
      </c>
      <c r="JZ77" s="284">
        <f t="shared" ref="JZ77" si="348">IF((JP77-JP76)&lt;0,"",(JP77-JP76))</f>
        <v>50.270000000018626</v>
      </c>
      <c r="KA77" s="284">
        <f t="shared" ref="KA77" si="349">IF((JQ77-JQ76)&lt;0,"",(JQ77-JQ76))</f>
        <v>74029.962999999523</v>
      </c>
      <c r="KB77" s="284">
        <f t="shared" ref="KB77" si="350">IF((JR77-JR76)&lt;0,"",(JR77-JR76))</f>
        <v>68.543999999994412</v>
      </c>
      <c r="KC77" s="283">
        <f t="shared" ref="KC77" si="351">IF((JS77-JS76)&lt;0,"",(JS77-JS76))</f>
        <v>358052.20700001717</v>
      </c>
      <c r="KD77" s="283">
        <f t="shared" ref="KD77" si="352">IF((JT77-JT76)&lt;0,"",(JT77-JT76))</f>
        <v>146.68099999999686</v>
      </c>
      <c r="KE77" s="291">
        <f t="shared" si="341"/>
        <v>187613.14700000285</v>
      </c>
      <c r="KF77" s="291">
        <f t="shared" si="342"/>
        <v>357905.52600001718</v>
      </c>
      <c r="KG77" s="292">
        <f>(RD[[#This Row],[Sunset Time (POA&lt;20 W/m2)]]-RD[[#This Row],[Sunrise Time (POA&gt;20 W/m2)]])*24</f>
        <v>13.483333333333334</v>
      </c>
      <c r="KH77" s="293">
        <f>RD[[#This Row],[GHI ]]</f>
        <v>7.54</v>
      </c>
      <c r="KI77" s="293">
        <f>RD[[#This Row],[POA]]</f>
        <v>7.03</v>
      </c>
      <c r="KJ77" s="293">
        <f>RD[[#This Row],[AT (°C) 14 Hours]]</f>
        <v>41.33</v>
      </c>
      <c r="KK77" s="293">
        <f>RD[[#This Row],[MT (°C) Gen. Hours]]</f>
        <v>46.5</v>
      </c>
      <c r="KL77" s="293">
        <f>RD[[#This Row],[WS_Avg (m/s) (24 Hours)]]</f>
        <v>3.21</v>
      </c>
      <c r="KM77" s="293">
        <f>RD[[#This Row],[WS_Max (m/s)]]</f>
        <v>8.6999999999999993</v>
      </c>
      <c r="KN77" s="294">
        <f>SUM(RD[[#This Row],[BLK1_INV1]:[BLK8_INV27]])</f>
        <v>359956.49999999977</v>
      </c>
      <c r="KO77" s="95"/>
      <c r="KP77" s="55"/>
      <c r="KQ77" s="90" t="str">
        <f>IFERROR(RD[[#This Row],[WPR_Eac]]/RD[[#This Row],[WPR_Edc]],"")</f>
        <v/>
      </c>
    </row>
    <row r="78" spans="2:303" ht="15" customHeight="1" x14ac:dyDescent="0.25">
      <c r="B78" s="52">
        <v>45819</v>
      </c>
      <c r="C78" s="9">
        <f>YEAR(RD[[#This Row],[Date]])+IF(MONTH(RD[[#This Row],[Date]])&gt;=4,1,0)</f>
        <v>2026</v>
      </c>
      <c r="D78" s="6">
        <f t="shared" si="329"/>
        <v>2025</v>
      </c>
      <c r="E78" s="7"/>
      <c r="F78" s="7"/>
      <c r="G78" s="276" t="str">
        <f>TEXT(RD[[#This Row],[Date]],"mmm-yy")</f>
        <v>Jun-25</v>
      </c>
      <c r="H78" s="6">
        <f t="shared" si="330"/>
        <v>30</v>
      </c>
      <c r="I78" s="9">
        <f>'Basic Data '!$S$2</f>
        <v>66750</v>
      </c>
      <c r="J78" s="10">
        <v>0.21527777777777779</v>
      </c>
      <c r="K78" s="10">
        <v>0.77569444444444446</v>
      </c>
      <c r="L78" s="9">
        <v>1454.2</v>
      </c>
      <c r="M78" s="9">
        <v>1488.4</v>
      </c>
      <c r="N78" s="9">
        <v>1322.3</v>
      </c>
      <c r="O78" s="9">
        <v>1374</v>
      </c>
      <c r="P78" s="9">
        <v>1478.6</v>
      </c>
      <c r="Q78" s="9">
        <v>1359.1</v>
      </c>
      <c r="R78" s="9">
        <v>1370.5</v>
      </c>
      <c r="S78" s="9">
        <v>1361.1</v>
      </c>
      <c r="T78" s="9">
        <v>1420.2</v>
      </c>
      <c r="U78" s="9">
        <v>1428.9</v>
      </c>
      <c r="V78" s="9">
        <v>1371.1</v>
      </c>
      <c r="W78" s="9">
        <v>1351.1</v>
      </c>
      <c r="X78" s="9">
        <v>1372</v>
      </c>
      <c r="Y78" s="9">
        <v>1288.0999999999999</v>
      </c>
      <c r="Z78" s="9">
        <v>1373</v>
      </c>
      <c r="AA78" s="9">
        <v>1367.7</v>
      </c>
      <c r="AB78" s="9">
        <v>1366.2</v>
      </c>
      <c r="AC78" s="9">
        <v>1363.5</v>
      </c>
      <c r="AD78" s="9">
        <v>1484.4</v>
      </c>
      <c r="AE78" s="9">
        <v>1487.3</v>
      </c>
      <c r="AF78" s="9">
        <v>1379.6</v>
      </c>
      <c r="AG78" s="9">
        <v>1380.6</v>
      </c>
      <c r="AH78" s="9">
        <v>1450.1</v>
      </c>
      <c r="AI78" s="9">
        <v>1531.1</v>
      </c>
      <c r="AJ78" s="9">
        <v>1467.1</v>
      </c>
      <c r="AK78" s="9">
        <v>1485</v>
      </c>
      <c r="AL78" s="9">
        <v>1478.7</v>
      </c>
      <c r="AM78" s="9">
        <v>1531.7</v>
      </c>
      <c r="AN78" s="9">
        <v>1542.5</v>
      </c>
      <c r="AO78" s="9">
        <v>1536.2</v>
      </c>
      <c r="AP78" s="9">
        <v>1545.6</v>
      </c>
      <c r="AQ78" s="9">
        <v>1524.2</v>
      </c>
      <c r="AR78" s="9">
        <v>1279.7</v>
      </c>
      <c r="AS78" s="9">
        <v>1678.6</v>
      </c>
      <c r="AT78" s="9">
        <v>1334.9</v>
      </c>
      <c r="AU78" s="9">
        <v>1516.1</v>
      </c>
      <c r="AV78" s="9">
        <v>1350.7</v>
      </c>
      <c r="AW78" s="9">
        <v>1326.1</v>
      </c>
      <c r="AX78" s="9">
        <v>1340.7</v>
      </c>
      <c r="AY78" s="9">
        <v>1357.8</v>
      </c>
      <c r="AZ78" s="9">
        <v>1332.6</v>
      </c>
      <c r="BA78" s="9">
        <v>1317.9</v>
      </c>
      <c r="BB78" s="9">
        <v>1342</v>
      </c>
      <c r="BC78" s="9">
        <v>1330.1</v>
      </c>
      <c r="BD78" s="9">
        <v>1353.6</v>
      </c>
      <c r="BE78" s="9">
        <v>1358.6</v>
      </c>
      <c r="BF78" s="9">
        <v>1467.7</v>
      </c>
      <c r="BG78" s="9">
        <v>1337.8</v>
      </c>
      <c r="BH78" s="9">
        <v>1402.3</v>
      </c>
      <c r="BI78" s="9">
        <v>1380.2</v>
      </c>
      <c r="BJ78" s="9">
        <v>1359.7</v>
      </c>
      <c r="BK78" s="9">
        <v>1357.6</v>
      </c>
      <c r="BL78" s="9">
        <v>1555.6</v>
      </c>
      <c r="BM78" s="9">
        <v>1528.1</v>
      </c>
      <c r="BN78" s="9">
        <v>1459.5</v>
      </c>
      <c r="BO78" s="9">
        <v>1519.1</v>
      </c>
      <c r="BP78" s="9">
        <v>1548</v>
      </c>
      <c r="BQ78" s="9">
        <v>1361.1</v>
      </c>
      <c r="BR78" s="9">
        <v>1535</v>
      </c>
      <c r="BS78" s="9">
        <v>1521.1</v>
      </c>
      <c r="BT78" s="9">
        <v>1354.9</v>
      </c>
      <c r="BU78" s="9">
        <v>1527.8</v>
      </c>
      <c r="BV78" s="9">
        <v>1358</v>
      </c>
      <c r="BW78" s="9">
        <v>1223.0999999999999</v>
      </c>
      <c r="BX78" s="9">
        <v>1476.9</v>
      </c>
      <c r="BY78" s="9">
        <v>1468.8</v>
      </c>
      <c r="BZ78" s="9">
        <v>1487.9</v>
      </c>
      <c r="CA78" s="9">
        <v>1445.8</v>
      </c>
      <c r="CB78" s="9">
        <v>1342.4</v>
      </c>
      <c r="CC78" s="9">
        <v>1345.5</v>
      </c>
      <c r="CD78" s="9">
        <v>1354.2</v>
      </c>
      <c r="CE78" s="9">
        <v>1348.7</v>
      </c>
      <c r="CF78" s="9">
        <v>1377</v>
      </c>
      <c r="CG78" s="9">
        <v>1330.1</v>
      </c>
      <c r="CH78" s="9">
        <v>1521.1</v>
      </c>
      <c r="CI78" s="9">
        <v>1520.6</v>
      </c>
      <c r="CJ78" s="9">
        <v>1523.1</v>
      </c>
      <c r="CK78" s="9">
        <v>1352.7</v>
      </c>
      <c r="CL78" s="9">
        <v>1332</v>
      </c>
      <c r="CM78" s="9">
        <v>1434.1</v>
      </c>
      <c r="CN78" s="9">
        <v>1353.3</v>
      </c>
      <c r="CO78" s="9">
        <v>1358.4</v>
      </c>
      <c r="CP78" s="9">
        <v>1340.1</v>
      </c>
      <c r="CQ78" s="9">
        <v>1355.7</v>
      </c>
      <c r="CR78" s="9">
        <v>1352.6</v>
      </c>
      <c r="CS78" s="9">
        <v>1357.4</v>
      </c>
      <c r="CT78" s="9">
        <v>1361.7</v>
      </c>
      <c r="CU78" s="9">
        <v>1338</v>
      </c>
      <c r="CV78" s="9">
        <v>1339.4</v>
      </c>
      <c r="CW78" s="9">
        <v>1327.7</v>
      </c>
      <c r="CX78" s="9">
        <v>1401.4</v>
      </c>
      <c r="CY78" s="9">
        <v>1431.2</v>
      </c>
      <c r="CZ78" s="9">
        <v>1361.2</v>
      </c>
      <c r="DA78" s="9">
        <v>1368.8</v>
      </c>
      <c r="DB78" s="9">
        <v>1533.47</v>
      </c>
      <c r="DC78" s="9">
        <v>1330.6</v>
      </c>
      <c r="DD78" s="9">
        <v>1319.7</v>
      </c>
      <c r="DE78" s="9">
        <v>1359.3</v>
      </c>
      <c r="DF78" s="9">
        <v>1340.4</v>
      </c>
      <c r="DG78" s="9">
        <v>1368.7</v>
      </c>
      <c r="DH78" s="9">
        <v>1361.9</v>
      </c>
      <c r="DI78" s="9">
        <v>1351.9</v>
      </c>
      <c r="DJ78" s="9">
        <v>1372</v>
      </c>
      <c r="DK78" s="9">
        <v>1326.8</v>
      </c>
      <c r="DL78" s="9">
        <v>1485.4</v>
      </c>
      <c r="DM78" s="9">
        <v>1375.3</v>
      </c>
      <c r="DN78" s="9">
        <v>1496.1</v>
      </c>
      <c r="DO78" s="9">
        <v>1511.1</v>
      </c>
      <c r="DP78" s="9">
        <v>1351.2</v>
      </c>
      <c r="DQ78" s="9">
        <v>1497.2</v>
      </c>
      <c r="DR78" s="9">
        <v>1451.1</v>
      </c>
      <c r="DS78" s="9">
        <v>1442.2</v>
      </c>
      <c r="DT78" s="9">
        <v>1486.1</v>
      </c>
      <c r="DU78" s="9">
        <v>1543.5</v>
      </c>
      <c r="DV78" s="9">
        <v>1345.2</v>
      </c>
      <c r="DW78" s="9">
        <v>1386.5</v>
      </c>
      <c r="DX78" s="9">
        <v>1517.2</v>
      </c>
      <c r="DY78" s="9">
        <v>1551.6</v>
      </c>
      <c r="DZ78" s="9">
        <v>1501</v>
      </c>
      <c r="EA78" s="9">
        <v>1355.2</v>
      </c>
      <c r="EB78" s="9">
        <v>1356.2</v>
      </c>
      <c r="EC78" s="9">
        <v>1501</v>
      </c>
      <c r="ED78" s="9">
        <v>1496.3</v>
      </c>
      <c r="EE78" s="9">
        <v>1361.2</v>
      </c>
      <c r="EF78" s="9">
        <v>1356.7</v>
      </c>
      <c r="EG78" s="9">
        <v>1541.1</v>
      </c>
      <c r="EH78" s="9">
        <v>1321</v>
      </c>
      <c r="EI78" s="9">
        <v>1352.7</v>
      </c>
      <c r="EJ78" s="9">
        <v>1547.6</v>
      </c>
      <c r="EK78" s="9">
        <v>1527</v>
      </c>
      <c r="EL78" s="9">
        <v>1473</v>
      </c>
      <c r="EM78" s="9">
        <v>1477.6</v>
      </c>
      <c r="EN78" s="9">
        <v>1475.5</v>
      </c>
      <c r="EO78" s="9">
        <v>1265.7</v>
      </c>
      <c r="EP78" s="9">
        <v>1456</v>
      </c>
      <c r="EQ78" s="9">
        <v>1443.9</v>
      </c>
      <c r="ER78" s="9">
        <v>1466.7</v>
      </c>
      <c r="ES78" s="9">
        <v>1458.9</v>
      </c>
      <c r="ET78" s="9">
        <v>1444.4</v>
      </c>
      <c r="EU78" s="9">
        <v>1378.8</v>
      </c>
      <c r="EV78" s="9">
        <v>1460.2</v>
      </c>
      <c r="EW78" s="9">
        <v>1438.5</v>
      </c>
      <c r="EX78" s="9">
        <v>1357.5</v>
      </c>
      <c r="EY78" s="9">
        <v>1459.1</v>
      </c>
      <c r="EZ78" s="9">
        <v>1348.7</v>
      </c>
      <c r="FA78" s="9">
        <v>1469.6</v>
      </c>
      <c r="FB78" s="9">
        <v>1360.7</v>
      </c>
      <c r="FC78" s="9">
        <v>1237.2</v>
      </c>
      <c r="FD78" s="9">
        <v>1479.7</v>
      </c>
      <c r="FE78" s="9">
        <v>1453.3</v>
      </c>
      <c r="FF78" s="9">
        <v>1475.2</v>
      </c>
      <c r="FG78" s="9">
        <v>1351.2</v>
      </c>
      <c r="FH78" s="9">
        <v>1547.2</v>
      </c>
      <c r="FI78" s="9">
        <v>1353.1</v>
      </c>
      <c r="FJ78" s="9">
        <v>1349.6</v>
      </c>
      <c r="FK78" s="9">
        <v>1351.2</v>
      </c>
      <c r="FL78" s="9">
        <v>1355.5</v>
      </c>
      <c r="FM78" s="9">
        <v>1339.6</v>
      </c>
      <c r="FN78" s="9">
        <v>1310.2</v>
      </c>
      <c r="FO78" s="9">
        <v>1320.5</v>
      </c>
      <c r="FP78" s="9">
        <v>1482.2</v>
      </c>
      <c r="FQ78" s="9">
        <v>1311.5</v>
      </c>
      <c r="FR78" s="9">
        <v>1465.5</v>
      </c>
      <c r="FS78" s="9">
        <v>1481.1</v>
      </c>
      <c r="FT78" s="9">
        <v>1467.6</v>
      </c>
      <c r="FU78" s="9">
        <v>1367.2</v>
      </c>
      <c r="FV78" s="9">
        <v>1321.5</v>
      </c>
      <c r="FW78" s="9">
        <v>1471.5</v>
      </c>
      <c r="FX78" s="9">
        <v>1312.5</v>
      </c>
      <c r="FY78" s="9">
        <v>1387.1</v>
      </c>
      <c r="FZ78" s="9">
        <v>1369.2</v>
      </c>
      <c r="GA78" s="9">
        <v>1371.2</v>
      </c>
      <c r="GB78" s="9">
        <v>1469.5</v>
      </c>
      <c r="GC78" s="9">
        <v>1366.9</v>
      </c>
      <c r="GD78" s="9">
        <v>1471.5</v>
      </c>
      <c r="GE78" s="9">
        <v>1311.5</v>
      </c>
      <c r="GF78" s="9">
        <v>1315.5</v>
      </c>
      <c r="GG78" s="9">
        <v>1309.5</v>
      </c>
      <c r="GH78" s="9">
        <v>1471.2</v>
      </c>
      <c r="GI78" s="9">
        <v>1311.5</v>
      </c>
      <c r="GJ78" s="9">
        <v>1461.2</v>
      </c>
      <c r="GK78" s="9">
        <v>1485.2</v>
      </c>
      <c r="GL78" s="9">
        <v>1486.8</v>
      </c>
      <c r="GM78" s="9">
        <v>1369.1</v>
      </c>
      <c r="GN78" s="9">
        <v>1471.5</v>
      </c>
      <c r="GO78" s="9">
        <v>1481.5</v>
      </c>
      <c r="GP78" s="9">
        <v>1371.2</v>
      </c>
      <c r="GQ78" s="9">
        <v>1401.2</v>
      </c>
      <c r="GR78" s="9">
        <v>1378.2</v>
      </c>
      <c r="GS78" s="9">
        <v>1471.9</v>
      </c>
      <c r="GT78" s="9">
        <v>1340.6</v>
      </c>
      <c r="GU78" s="9">
        <v>1331.5</v>
      </c>
      <c r="GV78" s="9">
        <v>1313.2</v>
      </c>
      <c r="GW78" s="9">
        <v>1332.8</v>
      </c>
      <c r="GX78" s="9">
        <v>1342.2</v>
      </c>
      <c r="GY78" s="9">
        <v>1351</v>
      </c>
      <c r="GZ78" s="9">
        <v>1101.0999999999999</v>
      </c>
      <c r="HA78" s="9">
        <v>1323.2</v>
      </c>
      <c r="HB78" s="9"/>
      <c r="HC78" s="9"/>
      <c r="HD78" s="9">
        <v>1215.9000000000001</v>
      </c>
      <c r="HE78" s="9">
        <v>950.1</v>
      </c>
      <c r="HF78" s="9">
        <v>1341.8</v>
      </c>
      <c r="HG78" s="9"/>
      <c r="HH78" s="9">
        <v>1483.2</v>
      </c>
      <c r="HI78" s="9">
        <v>1341.2</v>
      </c>
      <c r="HJ78" s="9">
        <v>1359.9</v>
      </c>
      <c r="HK78" s="9">
        <v>1335.6</v>
      </c>
      <c r="HL78" s="9">
        <v>1352.5</v>
      </c>
      <c r="HM78" s="9">
        <v>1356</v>
      </c>
      <c r="HN78" s="9">
        <v>1365.7</v>
      </c>
      <c r="HO78" s="9">
        <v>1362.9</v>
      </c>
      <c r="HP78" s="9">
        <v>1363.2</v>
      </c>
      <c r="HQ78" s="9">
        <v>1378.8</v>
      </c>
      <c r="HR78" s="9">
        <v>1336.6</v>
      </c>
      <c r="HS78" s="9">
        <v>1387</v>
      </c>
      <c r="HT78" s="9">
        <v>1538.5</v>
      </c>
      <c r="HU78" s="9">
        <v>1541.2</v>
      </c>
      <c r="HV78" s="9">
        <v>1181.0999999999999</v>
      </c>
      <c r="HW78" s="9">
        <v>1131.0999999999999</v>
      </c>
      <c r="HX78" s="9">
        <v>971.2</v>
      </c>
      <c r="HY78" s="9">
        <v>823.2</v>
      </c>
      <c r="HZ78" s="9">
        <v>1050.2</v>
      </c>
      <c r="IA78" s="9">
        <v>1212.0999999999999</v>
      </c>
      <c r="IB78" s="9">
        <v>1425.6</v>
      </c>
      <c r="IC78" s="9">
        <v>1533</v>
      </c>
      <c r="ID78" s="9">
        <v>1455.5</v>
      </c>
      <c r="IE78" s="9">
        <v>1429.1</v>
      </c>
      <c r="IF78" s="9">
        <v>1435.5</v>
      </c>
      <c r="IG78" s="9">
        <v>1461.5</v>
      </c>
      <c r="IH78" s="9">
        <v>1488.2</v>
      </c>
      <c r="II78" s="9">
        <v>1487.6</v>
      </c>
      <c r="IJ78" s="9">
        <v>1275.2</v>
      </c>
      <c r="IK78" s="9">
        <v>1377.5</v>
      </c>
      <c r="IL78" s="9">
        <v>1287</v>
      </c>
      <c r="IM78" s="9">
        <v>1343.1</v>
      </c>
      <c r="IN78" s="9">
        <v>1241.2</v>
      </c>
      <c r="IO78" s="9"/>
      <c r="IP78" s="9">
        <v>1955.1</v>
      </c>
      <c r="IQ78" s="9">
        <v>1434.2</v>
      </c>
      <c r="IR78" s="9">
        <v>521.1</v>
      </c>
      <c r="IS78" s="9">
        <v>1323</v>
      </c>
      <c r="IT78" s="9">
        <v>1277.5999999999999</v>
      </c>
      <c r="IU78" s="9"/>
      <c r="IV78" s="9"/>
      <c r="IW78" s="9">
        <v>1276</v>
      </c>
      <c r="IX78" s="9">
        <v>1365.1</v>
      </c>
      <c r="IY78" s="9">
        <v>1401.2</v>
      </c>
      <c r="IZ78" s="9">
        <v>1272.2</v>
      </c>
      <c r="JA78" s="9">
        <v>1234.2</v>
      </c>
      <c r="JB78" s="11">
        <v>40.35</v>
      </c>
      <c r="JC78" s="11">
        <v>47.76</v>
      </c>
      <c r="JD78" s="11">
        <v>2.2200000000000002</v>
      </c>
      <c r="JE78" s="11">
        <v>5.5</v>
      </c>
      <c r="JF78" s="11"/>
      <c r="JG78" s="11">
        <v>7.17</v>
      </c>
      <c r="JH78" s="13">
        <v>6.59</v>
      </c>
      <c r="JI78" s="12"/>
      <c r="JJ78" s="277"/>
      <c r="JK78" s="9">
        <v>86747016.975999996</v>
      </c>
      <c r="JL78" s="215">
        <v>283137.76400000002</v>
      </c>
      <c r="JM78" s="9">
        <v>59713989.758000001</v>
      </c>
      <c r="JN78" s="215">
        <v>62796.536</v>
      </c>
      <c r="JO78" s="9">
        <v>87459071.419</v>
      </c>
      <c r="JP78" s="215">
        <v>188199.228</v>
      </c>
      <c r="JQ78" s="9">
        <v>63561866.987000003</v>
      </c>
      <c r="JR78" s="215">
        <v>57421.175999999999</v>
      </c>
      <c r="JS78" s="11">
        <v>328586168.023</v>
      </c>
      <c r="JT78" s="223">
        <v>87894.823999999993</v>
      </c>
      <c r="JU78" s="283">
        <f t="shared" ref="JU78" si="353">IF((JK78-JK77)&lt;0,"",(JK78-JK77))</f>
        <v>90608.015000000596</v>
      </c>
      <c r="JV78" s="283">
        <f t="shared" si="344"/>
        <v>39.941000000049826</v>
      </c>
      <c r="JW78" s="283">
        <f t="shared" ref="JW78" si="354">IF((JM78-JM77)&lt;0,"",(JM78-JM77))</f>
        <v>85968.96400000155</v>
      </c>
      <c r="JX78" s="283">
        <f t="shared" ref="JX78" si="355">IF((JN78-JN77)&lt;0,"",(JN78-JN77))</f>
        <v>35.883999999998196</v>
      </c>
      <c r="JY78" s="284">
        <f t="shared" ref="JY78" si="356">IF((JO78-JO77)&lt;0,"",(JO78-JO77))</f>
        <v>90504.34999999404</v>
      </c>
      <c r="JZ78" s="284">
        <f t="shared" ref="JZ78" si="357">IF((JP78-JP77)&lt;0,"",(JP78-JP77))</f>
        <v>50.269999999989523</v>
      </c>
      <c r="KA78" s="284">
        <f t="shared" ref="KA78" si="358">IF((JQ78-JQ77)&lt;0,"",(JQ78-JQ77))</f>
        <v>69652.204000003636</v>
      </c>
      <c r="KB78" s="284">
        <f t="shared" ref="KB78" si="359">IF((JR78-JR77)&lt;0,"",(JR78-JR77))</f>
        <v>68.544000000001688</v>
      </c>
      <c r="KC78" s="283">
        <f t="shared" ref="KC78" si="360">IF((JS78-JS77)&lt;0,"",(JS78-JS77))</f>
        <v>336579.16399997473</v>
      </c>
      <c r="KD78" s="283">
        <f t="shared" ref="KD78" si="361">IF((JT78-JT77)&lt;0,"",(JT78-JT77))</f>
        <v>146.68099999999686</v>
      </c>
      <c r="KE78" s="291">
        <f t="shared" si="341"/>
        <v>176501.15400000211</v>
      </c>
      <c r="KF78" s="291">
        <f t="shared" si="342"/>
        <v>336432.48299997475</v>
      </c>
      <c r="KG78" s="292">
        <f>(RD[[#This Row],[Sunset Time (POA&lt;20 W/m2)]]-RD[[#This Row],[Sunrise Time (POA&gt;20 W/m2)]])*24</f>
        <v>13.45</v>
      </c>
      <c r="KH78" s="293">
        <f>RD[[#This Row],[GHI ]]</f>
        <v>7.17</v>
      </c>
      <c r="KI78" s="293">
        <f>RD[[#This Row],[POA]]</f>
        <v>6.59</v>
      </c>
      <c r="KJ78" s="293">
        <f>RD[[#This Row],[AT (°C) 14 Hours]]</f>
        <v>40.35</v>
      </c>
      <c r="KK78" s="293">
        <f>RD[[#This Row],[MT (°C) Gen. Hours]]</f>
        <v>47.76</v>
      </c>
      <c r="KL78" s="293">
        <f>RD[[#This Row],[WS_Avg (m/s) (24 Hours)]]</f>
        <v>2.2200000000000002</v>
      </c>
      <c r="KM78" s="293">
        <f>RD[[#This Row],[WS_Max (m/s)]]</f>
        <v>5.5</v>
      </c>
      <c r="KN78" s="294">
        <f>SUM(RD[[#This Row],[BLK1_INV1]:[BLK8_INV27]])</f>
        <v>338030.77000000025</v>
      </c>
      <c r="KO78" s="95"/>
      <c r="KP78" s="55"/>
      <c r="KQ78" s="90" t="str">
        <f>IFERROR(RD[[#This Row],[WPR_Eac]]/RD[[#This Row],[WPR_Edc]],"")</f>
        <v/>
      </c>
    </row>
    <row r="79" spans="2:303" ht="15" customHeight="1" x14ac:dyDescent="0.25">
      <c r="B79" s="52">
        <v>45820</v>
      </c>
      <c r="C79" s="9">
        <f>YEAR(RD[[#This Row],[Date]])+IF(MONTH(RD[[#This Row],[Date]])&gt;=4,1,0)</f>
        <v>2026</v>
      </c>
      <c r="D79" s="6">
        <f t="shared" si="329"/>
        <v>2025</v>
      </c>
      <c r="E79" s="7"/>
      <c r="F79" s="7"/>
      <c r="G79" s="276" t="str">
        <f>TEXT(RD[[#This Row],[Date]],"mmm-yy")</f>
        <v>Jun-25</v>
      </c>
      <c r="H79" s="6">
        <f t="shared" si="330"/>
        <v>30</v>
      </c>
      <c r="I79" s="9">
        <f>'Basic Data '!$S$2</f>
        <v>66750</v>
      </c>
      <c r="J79" s="10">
        <v>0.21458333333333335</v>
      </c>
      <c r="K79" s="10">
        <v>0.77430555555555547</v>
      </c>
      <c r="L79" s="9">
        <v>1321.1</v>
      </c>
      <c r="M79" s="9">
        <v>1352.8</v>
      </c>
      <c r="N79" s="9">
        <v>1233.2</v>
      </c>
      <c r="O79" s="9">
        <v>1249.8</v>
      </c>
      <c r="P79" s="9">
        <v>1344.5</v>
      </c>
      <c r="Q79" s="9">
        <v>1252.0999999999999</v>
      </c>
      <c r="R79" s="9">
        <v>1250.0999999999999</v>
      </c>
      <c r="S79" s="9">
        <v>1251.0999999999999</v>
      </c>
      <c r="T79" s="9">
        <v>1291.9000000000001</v>
      </c>
      <c r="U79" s="9">
        <v>1298.8</v>
      </c>
      <c r="V79" s="9">
        <v>1232</v>
      </c>
      <c r="W79" s="9">
        <v>1231</v>
      </c>
      <c r="X79" s="9">
        <v>1246.7</v>
      </c>
      <c r="Y79" s="9">
        <v>1134</v>
      </c>
      <c r="Z79" s="9">
        <v>1246.5999999999999</v>
      </c>
      <c r="AA79" s="9">
        <v>1242.9000000000001</v>
      </c>
      <c r="AB79" s="9">
        <v>1240.3</v>
      </c>
      <c r="AC79" s="9">
        <v>1236.5999999999999</v>
      </c>
      <c r="AD79" s="9">
        <v>1352</v>
      </c>
      <c r="AE79" s="9">
        <v>1349.9</v>
      </c>
      <c r="AF79" s="9">
        <v>1251.3</v>
      </c>
      <c r="AG79" s="9">
        <v>1212</v>
      </c>
      <c r="AH79" s="9">
        <v>1351</v>
      </c>
      <c r="AI79" s="9">
        <v>1392</v>
      </c>
      <c r="AJ79" s="9">
        <v>1348</v>
      </c>
      <c r="AK79" s="9">
        <v>1352.9</v>
      </c>
      <c r="AL79" s="9">
        <v>1345.8</v>
      </c>
      <c r="AM79" s="9">
        <v>1400</v>
      </c>
      <c r="AN79" s="9">
        <v>1412</v>
      </c>
      <c r="AO79" s="9">
        <v>1392.7</v>
      </c>
      <c r="AP79" s="9">
        <v>1389.1</v>
      </c>
      <c r="AQ79" s="9">
        <v>1396.4</v>
      </c>
      <c r="AR79" s="9">
        <v>1195.5999999999999</v>
      </c>
      <c r="AS79" s="9">
        <v>1515.5</v>
      </c>
      <c r="AT79" s="9">
        <v>1251.2</v>
      </c>
      <c r="AU79" s="9">
        <v>1356.8</v>
      </c>
      <c r="AV79" s="9">
        <v>1258.5999999999999</v>
      </c>
      <c r="AW79" s="9">
        <v>1222.3</v>
      </c>
      <c r="AX79" s="9">
        <v>1220.0999999999999</v>
      </c>
      <c r="AY79" s="9">
        <v>1239.3</v>
      </c>
      <c r="AZ79" s="9">
        <v>1236.5</v>
      </c>
      <c r="BA79" s="9">
        <v>1214.3</v>
      </c>
      <c r="BB79" s="9">
        <v>1222.4000000000001</v>
      </c>
      <c r="BC79" s="9">
        <v>1211.5</v>
      </c>
      <c r="BD79" s="9">
        <v>1230.9000000000001</v>
      </c>
      <c r="BE79" s="9">
        <v>1235.4000000000001</v>
      </c>
      <c r="BF79" s="9">
        <v>1336</v>
      </c>
      <c r="BG79" s="9">
        <v>1220</v>
      </c>
      <c r="BH79" s="9">
        <v>1275.3</v>
      </c>
      <c r="BI79" s="9">
        <v>1257.3</v>
      </c>
      <c r="BJ79" s="9">
        <v>1236.2</v>
      </c>
      <c r="BK79" s="9">
        <v>1235.5999999999999</v>
      </c>
      <c r="BL79" s="9">
        <v>1418</v>
      </c>
      <c r="BM79" s="9">
        <v>1389.1</v>
      </c>
      <c r="BN79" s="9">
        <v>1334.3</v>
      </c>
      <c r="BO79" s="9">
        <v>1408.3</v>
      </c>
      <c r="BP79" s="9">
        <v>1411.8</v>
      </c>
      <c r="BQ79" s="9">
        <v>1256.2</v>
      </c>
      <c r="BR79" s="9">
        <v>1395.1</v>
      </c>
      <c r="BS79" s="9">
        <v>1391</v>
      </c>
      <c r="BT79" s="9">
        <v>1259.8699999999999</v>
      </c>
      <c r="BU79" s="9">
        <v>1376</v>
      </c>
      <c r="BV79" s="9">
        <v>1236.3</v>
      </c>
      <c r="BW79" s="9">
        <v>1106</v>
      </c>
      <c r="BX79" s="9">
        <v>1340</v>
      </c>
      <c r="BY79" s="9">
        <v>1329.9</v>
      </c>
      <c r="BZ79" s="9">
        <v>1349.6</v>
      </c>
      <c r="CA79" s="9">
        <v>1314.3</v>
      </c>
      <c r="CB79" s="9">
        <v>1223.3</v>
      </c>
      <c r="CC79" s="9">
        <v>1222</v>
      </c>
      <c r="CD79" s="9">
        <v>1230.8</v>
      </c>
      <c r="CE79" s="9">
        <v>1225.2</v>
      </c>
      <c r="CF79" s="9">
        <v>1251</v>
      </c>
      <c r="CG79" s="9">
        <v>1229.2</v>
      </c>
      <c r="CH79" s="9">
        <v>1388</v>
      </c>
      <c r="CI79" s="9">
        <v>1400.3</v>
      </c>
      <c r="CJ79" s="9">
        <v>1424</v>
      </c>
      <c r="CK79" s="9">
        <v>1255.5</v>
      </c>
      <c r="CL79" s="9">
        <v>1240.3</v>
      </c>
      <c r="CM79" s="9">
        <v>1324.4</v>
      </c>
      <c r="CN79" s="9">
        <v>1244</v>
      </c>
      <c r="CO79" s="9">
        <v>1235</v>
      </c>
      <c r="CP79" s="9">
        <v>1248.8</v>
      </c>
      <c r="CQ79" s="9">
        <v>1243</v>
      </c>
      <c r="CR79" s="9">
        <v>1226.3</v>
      </c>
      <c r="CS79" s="9">
        <v>1230.3</v>
      </c>
      <c r="CT79" s="9">
        <v>1259.5</v>
      </c>
      <c r="CU79" s="9">
        <v>1250</v>
      </c>
      <c r="CV79" s="9">
        <v>1220.4000000000001</v>
      </c>
      <c r="CW79" s="9">
        <v>1211.0999999999999</v>
      </c>
      <c r="CX79" s="9">
        <v>1276.4000000000001</v>
      </c>
      <c r="CY79" s="9">
        <v>1355.2</v>
      </c>
      <c r="CZ79" s="9">
        <v>1234</v>
      </c>
      <c r="DA79" s="9">
        <v>1229</v>
      </c>
      <c r="DB79" s="9">
        <v>1392.1</v>
      </c>
      <c r="DC79" s="9">
        <v>1247.5</v>
      </c>
      <c r="DD79" s="9">
        <v>1230.5</v>
      </c>
      <c r="DE79" s="9">
        <v>1233</v>
      </c>
      <c r="DF79" s="9">
        <v>1246.5999999999999</v>
      </c>
      <c r="DG79" s="9">
        <v>1245.5</v>
      </c>
      <c r="DH79" s="9">
        <v>1234</v>
      </c>
      <c r="DI79" s="9">
        <v>1246.3</v>
      </c>
      <c r="DJ79" s="9">
        <v>1244</v>
      </c>
      <c r="DK79" s="9">
        <v>1212.3</v>
      </c>
      <c r="DL79" s="9">
        <v>1370.5</v>
      </c>
      <c r="DM79" s="9">
        <v>1256.5999999999999</v>
      </c>
      <c r="DN79" s="9">
        <v>1387</v>
      </c>
      <c r="DO79" s="9">
        <v>1380.1</v>
      </c>
      <c r="DP79" s="9">
        <v>1255.4000000000001</v>
      </c>
      <c r="DQ79" s="9">
        <v>1381.1</v>
      </c>
      <c r="DR79" s="9">
        <v>1348.9</v>
      </c>
      <c r="DS79" s="9">
        <v>1323.2</v>
      </c>
      <c r="DT79" s="9">
        <v>1369.3</v>
      </c>
      <c r="DU79" s="9">
        <v>1398.2</v>
      </c>
      <c r="DV79" s="9">
        <v>1247.0999999999999</v>
      </c>
      <c r="DW79" s="9">
        <v>1251.7</v>
      </c>
      <c r="DX79" s="9">
        <v>1378.2</v>
      </c>
      <c r="DY79" s="9">
        <v>1400</v>
      </c>
      <c r="DZ79" s="9">
        <v>1395.8</v>
      </c>
      <c r="EA79" s="9">
        <v>1240.0999999999999</v>
      </c>
      <c r="EB79" s="9">
        <v>1262.8</v>
      </c>
      <c r="EC79" s="9">
        <v>1378.5</v>
      </c>
      <c r="ED79" s="9">
        <v>1381.3</v>
      </c>
      <c r="EE79" s="9">
        <v>1246.5999999999999</v>
      </c>
      <c r="EF79" s="9">
        <v>1257</v>
      </c>
      <c r="EG79" s="9">
        <v>1409</v>
      </c>
      <c r="EH79" s="9">
        <v>1223</v>
      </c>
      <c r="EI79" s="9">
        <v>1229.0999999999999</v>
      </c>
      <c r="EJ79" s="9">
        <v>1408.8</v>
      </c>
      <c r="EK79" s="9">
        <v>1387</v>
      </c>
      <c r="EL79" s="9">
        <v>1336.7</v>
      </c>
      <c r="EM79" s="9">
        <v>1341.9</v>
      </c>
      <c r="EN79" s="9">
        <v>1338.7</v>
      </c>
      <c r="EO79" s="9">
        <v>1149.4000000000001</v>
      </c>
      <c r="EP79" s="9">
        <v>1334</v>
      </c>
      <c r="EQ79" s="9">
        <v>1316.6</v>
      </c>
      <c r="ER79" s="9">
        <v>1332</v>
      </c>
      <c r="ES79" s="9">
        <v>1332</v>
      </c>
      <c r="ET79" s="9">
        <v>1301</v>
      </c>
      <c r="EU79" s="9">
        <v>1248.7</v>
      </c>
      <c r="EV79" s="9">
        <v>1319.9</v>
      </c>
      <c r="EW79" s="9">
        <v>1323</v>
      </c>
      <c r="EX79" s="9">
        <v>1243</v>
      </c>
      <c r="EY79" s="9">
        <v>1351</v>
      </c>
      <c r="EZ79" s="9">
        <v>1216.5</v>
      </c>
      <c r="FA79" s="9">
        <v>1333</v>
      </c>
      <c r="FB79" s="9">
        <v>1236.3</v>
      </c>
      <c r="FC79" s="9">
        <v>1157.8</v>
      </c>
      <c r="FD79" s="9">
        <v>1350.9</v>
      </c>
      <c r="FE79" s="9">
        <v>1367.9</v>
      </c>
      <c r="FF79" s="9">
        <v>1349</v>
      </c>
      <c r="FG79" s="9">
        <v>1254.7</v>
      </c>
      <c r="FH79" s="9">
        <v>1421.8</v>
      </c>
      <c r="FI79" s="9">
        <v>1253</v>
      </c>
      <c r="FJ79" s="9">
        <v>1236.5999999999999</v>
      </c>
      <c r="FK79" s="9">
        <v>1230.0999999999999</v>
      </c>
      <c r="FL79" s="9">
        <v>1235.5</v>
      </c>
      <c r="FM79" s="9">
        <v>1239.9000000000001</v>
      </c>
      <c r="FN79" s="9">
        <v>1230.5</v>
      </c>
      <c r="FO79" s="9">
        <v>1235.5</v>
      </c>
      <c r="FP79" s="9">
        <v>1356.5</v>
      </c>
      <c r="FQ79" s="9">
        <v>1231.5</v>
      </c>
      <c r="FR79" s="9">
        <v>1355.5</v>
      </c>
      <c r="FS79" s="9">
        <v>1364.5</v>
      </c>
      <c r="FT79" s="9">
        <v>1359.1</v>
      </c>
      <c r="FU79" s="9">
        <v>1275.5</v>
      </c>
      <c r="FV79" s="9">
        <v>1245.5</v>
      </c>
      <c r="FW79" s="9">
        <v>1374.5</v>
      </c>
      <c r="FX79" s="9">
        <v>1239.4000000000001</v>
      </c>
      <c r="FY79" s="9">
        <v>1279.4000000000001</v>
      </c>
      <c r="FZ79" s="9">
        <v>1271.5</v>
      </c>
      <c r="GA79" s="9">
        <v>1269.5</v>
      </c>
      <c r="GB79" s="9">
        <v>1366.5</v>
      </c>
      <c r="GC79" s="9">
        <v>1281.4000000000001</v>
      </c>
      <c r="GD79" s="9">
        <v>1375.5</v>
      </c>
      <c r="GE79" s="9">
        <v>1231.5</v>
      </c>
      <c r="GF79" s="9">
        <v>1249</v>
      </c>
      <c r="GG79" s="9">
        <v>1234.4000000000001</v>
      </c>
      <c r="GH79" s="9">
        <v>1369.4</v>
      </c>
      <c r="GI79" s="9">
        <v>1236.5</v>
      </c>
      <c r="GJ79" s="9">
        <v>1313.2</v>
      </c>
      <c r="GK79" s="9">
        <v>1361.5</v>
      </c>
      <c r="GL79" s="9">
        <v>1369.4</v>
      </c>
      <c r="GM79" s="9">
        <v>1279.4000000000001</v>
      </c>
      <c r="GN79" s="9">
        <v>1321.2</v>
      </c>
      <c r="GO79" s="9">
        <v>1371.5</v>
      </c>
      <c r="GP79" s="9">
        <v>1269.5999999999999</v>
      </c>
      <c r="GQ79" s="9">
        <v>1268.7</v>
      </c>
      <c r="GR79" s="9">
        <v>1288.5</v>
      </c>
      <c r="GS79" s="9">
        <v>1326</v>
      </c>
      <c r="GT79" s="9">
        <v>1239.9000000000001</v>
      </c>
      <c r="GU79" s="9">
        <v>1227</v>
      </c>
      <c r="GV79" s="9">
        <v>1212</v>
      </c>
      <c r="GW79" s="9">
        <v>1244.4000000000001</v>
      </c>
      <c r="GX79" s="9">
        <v>1238.5999999999999</v>
      </c>
      <c r="GY79" s="9">
        <v>1250</v>
      </c>
      <c r="GZ79" s="9">
        <v>1033</v>
      </c>
      <c r="HA79" s="9">
        <v>1223</v>
      </c>
      <c r="HB79" s="9"/>
      <c r="HC79" s="9"/>
      <c r="HD79" s="9">
        <v>1095.5</v>
      </c>
      <c r="HE79" s="9">
        <v>869.4</v>
      </c>
      <c r="HF79" s="9">
        <v>1232.2</v>
      </c>
      <c r="HG79" s="9"/>
      <c r="HH79" s="9">
        <v>1342.8</v>
      </c>
      <c r="HI79" s="9">
        <v>1211</v>
      </c>
      <c r="HJ79" s="9">
        <v>1249.2</v>
      </c>
      <c r="HK79" s="9">
        <v>1212</v>
      </c>
      <c r="HL79" s="9">
        <v>1246.5</v>
      </c>
      <c r="HM79" s="9">
        <v>1229.0999999999999</v>
      </c>
      <c r="HN79" s="9">
        <v>1227.8</v>
      </c>
      <c r="HO79" s="9">
        <v>1238.3</v>
      </c>
      <c r="HP79" s="9">
        <v>1255.4000000000001</v>
      </c>
      <c r="HQ79" s="9">
        <v>1252.7</v>
      </c>
      <c r="HR79" s="9">
        <v>1222.7</v>
      </c>
      <c r="HS79" s="9">
        <v>1252.3</v>
      </c>
      <c r="HT79" s="9">
        <v>1389.4</v>
      </c>
      <c r="HU79" s="9">
        <v>1417.1</v>
      </c>
      <c r="HV79" s="9">
        <v>1055</v>
      </c>
      <c r="HW79" s="9">
        <v>1095.7</v>
      </c>
      <c r="HX79" s="9">
        <v>901</v>
      </c>
      <c r="HY79" s="9">
        <v>755</v>
      </c>
      <c r="HZ79" s="9">
        <v>945</v>
      </c>
      <c r="IA79" s="9">
        <v>1089</v>
      </c>
      <c r="IB79" s="9">
        <v>1289.8</v>
      </c>
      <c r="IC79" s="9">
        <v>1387.8</v>
      </c>
      <c r="ID79" s="9">
        <v>1315.7</v>
      </c>
      <c r="IE79" s="9">
        <v>1323</v>
      </c>
      <c r="IF79" s="9">
        <v>1301.2</v>
      </c>
      <c r="IG79" s="9">
        <v>1321.2</v>
      </c>
      <c r="IH79" s="9">
        <v>1382</v>
      </c>
      <c r="II79" s="9">
        <v>1371</v>
      </c>
      <c r="IJ79" s="9">
        <v>1212</v>
      </c>
      <c r="IK79" s="9">
        <v>1261</v>
      </c>
      <c r="IL79" s="9">
        <v>1201</v>
      </c>
      <c r="IM79" s="9">
        <v>1212</v>
      </c>
      <c r="IN79" s="9">
        <v>1121</v>
      </c>
      <c r="IO79" s="9"/>
      <c r="IP79" s="9">
        <v>1755</v>
      </c>
      <c r="IQ79" s="9">
        <v>1342</v>
      </c>
      <c r="IR79" s="9">
        <v>476</v>
      </c>
      <c r="IS79" s="9">
        <v>1212</v>
      </c>
      <c r="IT79" s="9">
        <v>1232</v>
      </c>
      <c r="IU79" s="9"/>
      <c r="IV79" s="9"/>
      <c r="IW79" s="9">
        <v>1176</v>
      </c>
      <c r="IX79" s="9">
        <v>1256</v>
      </c>
      <c r="IY79" s="9">
        <v>1275.5</v>
      </c>
      <c r="IZ79" s="9">
        <v>1165</v>
      </c>
      <c r="JA79" s="9">
        <v>1100</v>
      </c>
      <c r="JB79" s="11">
        <v>39.97</v>
      </c>
      <c r="JC79" s="11">
        <v>49.84</v>
      </c>
      <c r="JD79" s="11">
        <v>2.2999999999999998</v>
      </c>
      <c r="JE79" s="11">
        <v>5.5</v>
      </c>
      <c r="JF79" s="11"/>
      <c r="JG79" s="11">
        <v>6.58</v>
      </c>
      <c r="JH79" s="13">
        <v>6.05</v>
      </c>
      <c r="JI79" s="12"/>
      <c r="JJ79" s="277"/>
      <c r="JK79" s="9">
        <v>86829808.384000003</v>
      </c>
      <c r="JL79" s="260">
        <v>283177.70500000002</v>
      </c>
      <c r="JM79" s="9">
        <v>59792684.300999999</v>
      </c>
      <c r="JN79" s="260">
        <v>62832.42</v>
      </c>
      <c r="JO79" s="9">
        <v>87541481.107999995</v>
      </c>
      <c r="JP79" s="260">
        <v>188249.49799999999</v>
      </c>
      <c r="JQ79" s="9">
        <v>63625249.369999997</v>
      </c>
      <c r="JR79" s="260">
        <v>57489.72</v>
      </c>
      <c r="JS79" s="11">
        <v>328893320.93099999</v>
      </c>
      <c r="JT79" s="289">
        <v>88041.505000000005</v>
      </c>
      <c r="JU79" s="283">
        <f t="shared" ref="JU79" si="362">IF((JK79-JK78)&lt;0,"",(JK79-JK78))</f>
        <v>82791.408000007272</v>
      </c>
      <c r="JV79" s="283">
        <f t="shared" si="344"/>
        <v>39.940999999991618</v>
      </c>
      <c r="JW79" s="283">
        <f t="shared" ref="JW79" si="363">IF((JM79-JM78)&lt;0,"",(JM79-JM78))</f>
        <v>78694.542999997735</v>
      </c>
      <c r="JX79" s="283">
        <f t="shared" ref="JX79" si="364">IF((JN79-JN78)&lt;0,"",(JN79-JN78))</f>
        <v>35.883999999998196</v>
      </c>
      <c r="JY79" s="284">
        <f t="shared" ref="JY79" si="365">IF((JO79-JO78)&lt;0,"",(JO79-JO78))</f>
        <v>82409.688999995589</v>
      </c>
      <c r="JZ79" s="284">
        <f t="shared" ref="JZ79" si="366">IF((JP79-JP78)&lt;0,"",(JP79-JP78))</f>
        <v>50.269999999989523</v>
      </c>
      <c r="KA79" s="284">
        <f t="shared" ref="KA79" si="367">IF((JQ79-JQ78)&lt;0,"",(JQ79-JQ78))</f>
        <v>63382.382999993861</v>
      </c>
      <c r="KB79" s="284">
        <f t="shared" ref="KB79" si="368">IF((JR79-JR78)&lt;0,"",(JR79-JR78))</f>
        <v>68.544000000001688</v>
      </c>
      <c r="KC79" s="283">
        <f t="shared" ref="KC79" si="369">IF((JS79-JS78)&lt;0,"",(JS79-JS78))</f>
        <v>307152.90799999237</v>
      </c>
      <c r="KD79" s="283">
        <f t="shared" ref="KD79" si="370">IF((JT79-JT78)&lt;0,"",(JT79-JT78))</f>
        <v>146.68100000001141</v>
      </c>
      <c r="KE79" s="291">
        <f t="shared" si="341"/>
        <v>161410.12600000502</v>
      </c>
      <c r="KF79" s="291">
        <f t="shared" si="342"/>
        <v>307006.22699999239</v>
      </c>
      <c r="KG79" s="292">
        <f>(RD[[#This Row],[Sunset Time (POA&lt;20 W/m2)]]-RD[[#This Row],[Sunrise Time (POA&gt;20 W/m2)]])*24</f>
        <v>13.43333333333333</v>
      </c>
      <c r="KH79" s="293">
        <f>RD[[#This Row],[GHI ]]</f>
        <v>6.58</v>
      </c>
      <c r="KI79" s="293">
        <f>RD[[#This Row],[POA]]</f>
        <v>6.05</v>
      </c>
      <c r="KJ79" s="293">
        <f>RD[[#This Row],[AT (°C) 14 Hours]]</f>
        <v>39.97</v>
      </c>
      <c r="KK79" s="293">
        <f>RD[[#This Row],[MT (°C) Gen. Hours]]</f>
        <v>49.84</v>
      </c>
      <c r="KL79" s="293">
        <f>RD[[#This Row],[WS_Avg (m/s) (24 Hours)]]</f>
        <v>2.2999999999999998</v>
      </c>
      <c r="KM79" s="293">
        <f>RD[[#This Row],[WS_Max (m/s)]]</f>
        <v>5.5</v>
      </c>
      <c r="KN79" s="294">
        <f>SUM(RD[[#This Row],[BLK1_INV1]:[BLK8_INV27]])</f>
        <v>309854.97000000003</v>
      </c>
      <c r="KO79" s="95"/>
      <c r="KP79" s="55"/>
      <c r="KQ79" s="90" t="str">
        <f>IFERROR(RD[[#This Row],[WPR_Eac]]/RD[[#This Row],[WPR_Edc]],"")</f>
        <v/>
      </c>
    </row>
    <row r="80" spans="2:303" ht="15" customHeight="1" x14ac:dyDescent="0.25">
      <c r="B80" s="52">
        <v>45821</v>
      </c>
      <c r="C80" s="9">
        <f>YEAR(RD[[#This Row],[Date]])+IF(MONTH(RD[[#This Row],[Date]])&gt;=4,1,0)</f>
        <v>2026</v>
      </c>
      <c r="D80" s="6">
        <f t="shared" si="329"/>
        <v>2025</v>
      </c>
      <c r="E80" s="7"/>
      <c r="F80" s="7"/>
      <c r="G80" s="276" t="str">
        <f>TEXT(RD[[#This Row],[Date]],"mmm-yy")</f>
        <v>Jun-25</v>
      </c>
      <c r="H80" s="6">
        <f t="shared" si="330"/>
        <v>30</v>
      </c>
      <c r="I80" s="9">
        <f>'Basic Data '!$S$2</f>
        <v>66750</v>
      </c>
      <c r="J80" s="10">
        <v>0.21597222222222223</v>
      </c>
      <c r="K80" s="10">
        <v>0.69027777777777777</v>
      </c>
      <c r="L80" s="9">
        <v>1178.3</v>
      </c>
      <c r="M80" s="9">
        <v>1208.4000000000001</v>
      </c>
      <c r="N80" s="9">
        <v>1099.7</v>
      </c>
      <c r="O80" s="9">
        <v>1113.8</v>
      </c>
      <c r="P80" s="9">
        <v>1200.4000000000001</v>
      </c>
      <c r="Q80" s="9">
        <v>1117.2</v>
      </c>
      <c r="R80" s="9">
        <v>1115.4000000000001</v>
      </c>
      <c r="S80" s="9">
        <v>1116.3</v>
      </c>
      <c r="T80" s="9">
        <v>1151.9000000000001</v>
      </c>
      <c r="U80" s="9">
        <v>1154.4000000000001</v>
      </c>
      <c r="V80" s="9">
        <v>1137.0999999999999</v>
      </c>
      <c r="W80" s="9">
        <v>1127.3</v>
      </c>
      <c r="X80" s="9">
        <v>1110.5999999999999</v>
      </c>
      <c r="Y80" s="9">
        <v>1046.0999999999999</v>
      </c>
      <c r="Z80" s="9">
        <v>1112.5999999999999</v>
      </c>
      <c r="AA80" s="9">
        <v>1109.9000000000001</v>
      </c>
      <c r="AB80" s="9">
        <v>1107.8</v>
      </c>
      <c r="AC80" s="9">
        <v>1105.5</v>
      </c>
      <c r="AD80" s="9">
        <v>1207.2</v>
      </c>
      <c r="AE80" s="9">
        <v>1206.5</v>
      </c>
      <c r="AF80" s="9">
        <v>1119.5999999999999</v>
      </c>
      <c r="AG80" s="9">
        <v>1122.3</v>
      </c>
      <c r="AH80" s="9">
        <v>1231.0999999999999</v>
      </c>
      <c r="AI80" s="9">
        <v>1271.5</v>
      </c>
      <c r="AJ80" s="9">
        <v>1227.5</v>
      </c>
      <c r="AK80" s="9">
        <v>1212.8</v>
      </c>
      <c r="AL80" s="9">
        <v>1209.0999999999999</v>
      </c>
      <c r="AM80" s="9">
        <v>1258.0999999999999</v>
      </c>
      <c r="AN80" s="9">
        <v>1269.2</v>
      </c>
      <c r="AO80" s="9">
        <v>1249.8</v>
      </c>
      <c r="AP80" s="9">
        <v>1255.5</v>
      </c>
      <c r="AQ80" s="9">
        <v>1261.0999999999999</v>
      </c>
      <c r="AR80" s="9">
        <v>1069.5</v>
      </c>
      <c r="AS80" s="9">
        <v>1369.2</v>
      </c>
      <c r="AT80" s="9">
        <v>1119.5</v>
      </c>
      <c r="AU80" s="9">
        <v>1221.0999999999999</v>
      </c>
      <c r="AV80" s="9">
        <v>1126.9000000000001</v>
      </c>
      <c r="AW80" s="9">
        <v>1099.5999999999999</v>
      </c>
      <c r="AX80" s="9">
        <v>1123</v>
      </c>
      <c r="AY80" s="9">
        <v>1139.8</v>
      </c>
      <c r="AZ80" s="9">
        <v>1116.4000000000001</v>
      </c>
      <c r="BA80" s="9">
        <v>1104.3</v>
      </c>
      <c r="BB80" s="9">
        <v>1128.5</v>
      </c>
      <c r="BC80" s="9">
        <v>1117.2</v>
      </c>
      <c r="BD80" s="9">
        <v>1130.9000000000001</v>
      </c>
      <c r="BE80" s="9">
        <v>1130.4000000000001</v>
      </c>
      <c r="BF80" s="9">
        <v>1222.3</v>
      </c>
      <c r="BG80" s="9">
        <v>1119.2</v>
      </c>
      <c r="BH80" s="9">
        <v>1145.5</v>
      </c>
      <c r="BI80" s="9">
        <v>1139.3</v>
      </c>
      <c r="BJ80" s="9">
        <v>1110.4000000000001</v>
      </c>
      <c r="BK80" s="9">
        <v>1115</v>
      </c>
      <c r="BL80" s="9">
        <v>1287.4000000000001</v>
      </c>
      <c r="BM80" s="9">
        <v>1266.4000000000001</v>
      </c>
      <c r="BN80" s="9">
        <v>1190.5</v>
      </c>
      <c r="BO80" s="9">
        <v>1260.5</v>
      </c>
      <c r="BP80" s="9">
        <v>1260.3</v>
      </c>
      <c r="BQ80" s="9">
        <v>1122.0999999999999</v>
      </c>
      <c r="BR80" s="9">
        <v>1245.9000000000001</v>
      </c>
      <c r="BS80" s="9">
        <v>1262.9000000000001</v>
      </c>
      <c r="BT80" s="9">
        <v>1133.2</v>
      </c>
      <c r="BU80" s="9">
        <v>1275.3</v>
      </c>
      <c r="BV80" s="9">
        <v>1106.3</v>
      </c>
      <c r="BW80" s="9">
        <v>1011</v>
      </c>
      <c r="BX80" s="9">
        <v>1233.2</v>
      </c>
      <c r="BY80" s="9">
        <v>1209.5</v>
      </c>
      <c r="BZ80" s="9">
        <v>1222.9000000000001</v>
      </c>
      <c r="CA80" s="9">
        <v>1185.9000000000001</v>
      </c>
      <c r="CB80" s="9">
        <v>1092.5999999999999</v>
      </c>
      <c r="CC80" s="9">
        <v>1124.4000000000001</v>
      </c>
      <c r="CD80" s="9">
        <v>1131.5999999999999</v>
      </c>
      <c r="CE80" s="9">
        <v>1126.0999999999999</v>
      </c>
      <c r="CF80" s="9">
        <v>1148.0999999999999</v>
      </c>
      <c r="CG80" s="9">
        <v>1091.0999999999999</v>
      </c>
      <c r="CH80" s="9">
        <v>1267.2</v>
      </c>
      <c r="CI80" s="9">
        <v>1249.2</v>
      </c>
      <c r="CJ80" s="9">
        <v>1262.5999999999999</v>
      </c>
      <c r="CK80" s="9">
        <v>1114</v>
      </c>
      <c r="CL80" s="9">
        <v>1114.0999999999999</v>
      </c>
      <c r="CM80" s="9">
        <v>1186.0999999999999</v>
      </c>
      <c r="CN80" s="9">
        <v>1126.7</v>
      </c>
      <c r="CO80" s="9">
        <v>1128.7</v>
      </c>
      <c r="CP80" s="9">
        <v>1119.2</v>
      </c>
      <c r="CQ80" s="9">
        <v>1135.0999999999999</v>
      </c>
      <c r="CR80" s="9">
        <v>1127.5</v>
      </c>
      <c r="CS80" s="9">
        <v>1125.2</v>
      </c>
      <c r="CT80" s="9">
        <v>1134</v>
      </c>
      <c r="CU80" s="9">
        <v>1124.0999999999999</v>
      </c>
      <c r="CV80" s="9">
        <v>1119.8</v>
      </c>
      <c r="CW80" s="9">
        <v>1112.5</v>
      </c>
      <c r="CX80" s="9">
        <v>1148.5</v>
      </c>
      <c r="CY80" s="9">
        <v>1180.5</v>
      </c>
      <c r="CZ80" s="9">
        <v>1144.4000000000001</v>
      </c>
      <c r="DA80" s="9">
        <v>1142.4000000000001</v>
      </c>
      <c r="DB80" s="9">
        <v>1278.8</v>
      </c>
      <c r="DC80" s="9">
        <v>1119.3</v>
      </c>
      <c r="DD80" s="9">
        <v>1109</v>
      </c>
      <c r="DE80" s="9">
        <v>1130.9000000000001</v>
      </c>
      <c r="DF80" s="9">
        <v>1120.7</v>
      </c>
      <c r="DG80" s="9">
        <v>1121.7</v>
      </c>
      <c r="DH80" s="9">
        <v>1121</v>
      </c>
      <c r="DI80" s="9">
        <v>1122</v>
      </c>
      <c r="DJ80" s="9">
        <v>1138.9000000000001</v>
      </c>
      <c r="DK80" s="9">
        <v>1100.3</v>
      </c>
      <c r="DL80" s="9">
        <v>1227.3</v>
      </c>
      <c r="DM80" s="9">
        <v>1129.9000000000001</v>
      </c>
      <c r="DN80" s="9">
        <v>1242</v>
      </c>
      <c r="DO80" s="9">
        <v>1220.3</v>
      </c>
      <c r="DP80" s="9">
        <v>1132.3</v>
      </c>
      <c r="DQ80" s="9">
        <v>1242.9000000000001</v>
      </c>
      <c r="DR80" s="9">
        <v>1212.5</v>
      </c>
      <c r="DS80" s="9">
        <v>1181.0999999999999</v>
      </c>
      <c r="DT80" s="9">
        <v>1223</v>
      </c>
      <c r="DU80" s="9">
        <v>1246.3</v>
      </c>
      <c r="DV80" s="9">
        <v>1123.4000000000001</v>
      </c>
      <c r="DW80" s="9">
        <v>1132.8</v>
      </c>
      <c r="DX80" s="9">
        <v>1231.4000000000001</v>
      </c>
      <c r="DY80" s="9">
        <v>1239.7</v>
      </c>
      <c r="DZ80" s="9">
        <v>1236.7</v>
      </c>
      <c r="EA80" s="9">
        <v>1121.8</v>
      </c>
      <c r="EB80" s="9">
        <v>1135.2</v>
      </c>
      <c r="EC80" s="9">
        <v>1226.5999999999999</v>
      </c>
      <c r="ED80" s="9">
        <v>1230</v>
      </c>
      <c r="EE80" s="9">
        <v>1126.5999999999999</v>
      </c>
      <c r="EF80" s="9">
        <v>1133.5</v>
      </c>
      <c r="EG80" s="9">
        <v>1223.9000000000001</v>
      </c>
      <c r="EH80" s="9">
        <v>1089.3</v>
      </c>
      <c r="EI80" s="9">
        <v>1096.5999999999999</v>
      </c>
      <c r="EJ80" s="9">
        <v>1262</v>
      </c>
      <c r="EK80" s="9">
        <v>1241</v>
      </c>
      <c r="EL80" s="9">
        <v>1192.9000000000001</v>
      </c>
      <c r="EM80" s="9">
        <v>1196.0999999999999</v>
      </c>
      <c r="EN80" s="9">
        <v>1194.2</v>
      </c>
      <c r="EO80" s="9">
        <v>1027.5999999999999</v>
      </c>
      <c r="EP80" s="9">
        <v>1188</v>
      </c>
      <c r="EQ80" s="9">
        <v>1179.5999999999999</v>
      </c>
      <c r="ER80" s="9">
        <v>1201</v>
      </c>
      <c r="ES80" s="9">
        <v>1205.8</v>
      </c>
      <c r="ET80" s="9">
        <v>1170.7</v>
      </c>
      <c r="EU80" s="9">
        <v>1109.0999999999999</v>
      </c>
      <c r="EV80" s="9">
        <v>1178.7</v>
      </c>
      <c r="EW80" s="9">
        <v>1178</v>
      </c>
      <c r="EX80" s="9">
        <v>1118.0999999999999</v>
      </c>
      <c r="EY80" s="9">
        <v>1210.9000000000001</v>
      </c>
      <c r="EZ80" s="9">
        <v>1106</v>
      </c>
      <c r="FA80" s="9">
        <v>1186.9000000000001</v>
      </c>
      <c r="FB80" s="9">
        <v>1103.0999999999999</v>
      </c>
      <c r="FC80" s="9">
        <v>1034.4000000000001</v>
      </c>
      <c r="FD80" s="9">
        <v>1210.0999999999999</v>
      </c>
      <c r="FE80" s="9">
        <v>1222.3</v>
      </c>
      <c r="FF80" s="9">
        <v>1221</v>
      </c>
      <c r="FG80" s="9">
        <v>1122</v>
      </c>
      <c r="FH80" s="9">
        <v>1272.5999999999999</v>
      </c>
      <c r="FI80" s="9">
        <v>1123.8</v>
      </c>
      <c r="FJ80" s="9">
        <v>1109.8</v>
      </c>
      <c r="FK80" s="9">
        <v>1101</v>
      </c>
      <c r="FL80" s="9">
        <v>1115.5</v>
      </c>
      <c r="FM80" s="9">
        <v>1120.5</v>
      </c>
      <c r="FN80" s="9">
        <v>1114</v>
      </c>
      <c r="FO80" s="9">
        <v>1111.0999999999999</v>
      </c>
      <c r="FP80" s="9">
        <v>1255.9000000000001</v>
      </c>
      <c r="FQ80" s="9">
        <v>1090.8</v>
      </c>
      <c r="FR80" s="9">
        <v>1239</v>
      </c>
      <c r="FS80" s="9">
        <v>1255.5</v>
      </c>
      <c r="FT80" s="9">
        <v>1244</v>
      </c>
      <c r="FU80" s="9">
        <v>1165.8</v>
      </c>
      <c r="FV80" s="9">
        <v>1108.2</v>
      </c>
      <c r="FW80" s="9">
        <v>1263.5</v>
      </c>
      <c r="FX80" s="9">
        <v>1118</v>
      </c>
      <c r="FY80" s="9">
        <v>1121.5</v>
      </c>
      <c r="FZ80" s="9">
        <v>1137.5999999999999</v>
      </c>
      <c r="GA80" s="9">
        <v>1121.0999999999999</v>
      </c>
      <c r="GB80" s="9">
        <v>1232.0999999999999</v>
      </c>
      <c r="GC80" s="9">
        <v>1148.4000000000001</v>
      </c>
      <c r="GD80" s="9">
        <v>1223</v>
      </c>
      <c r="GE80" s="9">
        <v>1117.0999999999999</v>
      </c>
      <c r="GF80" s="9">
        <v>1116</v>
      </c>
      <c r="GG80" s="9">
        <v>1103.4000000000001</v>
      </c>
      <c r="GH80" s="9">
        <v>1241</v>
      </c>
      <c r="GI80" s="9">
        <v>1111</v>
      </c>
      <c r="GJ80" s="9">
        <v>1180.5999999999999</v>
      </c>
      <c r="GK80" s="9">
        <v>1236.2</v>
      </c>
      <c r="GL80" s="9">
        <v>1243.4000000000001</v>
      </c>
      <c r="GM80" s="9">
        <v>1131</v>
      </c>
      <c r="GN80" s="9">
        <v>1201</v>
      </c>
      <c r="GO80" s="9">
        <v>1251</v>
      </c>
      <c r="GP80" s="9">
        <v>1154</v>
      </c>
      <c r="GQ80" s="9">
        <v>1159</v>
      </c>
      <c r="GR80" s="9">
        <v>1123</v>
      </c>
      <c r="GS80" s="9">
        <v>1174.7</v>
      </c>
      <c r="GT80" s="9">
        <v>1101</v>
      </c>
      <c r="GU80" s="9">
        <v>1105.0999999999999</v>
      </c>
      <c r="GV80" s="9">
        <v>1078</v>
      </c>
      <c r="GW80" s="9">
        <v>1115</v>
      </c>
      <c r="GX80" s="9">
        <v>1119</v>
      </c>
      <c r="GY80" s="9">
        <v>1111</v>
      </c>
      <c r="GZ80" s="9">
        <v>910</v>
      </c>
      <c r="HA80" s="9">
        <v>1090</v>
      </c>
      <c r="HB80" s="9"/>
      <c r="HC80" s="9"/>
      <c r="HD80" s="9">
        <v>996.4</v>
      </c>
      <c r="HE80" s="9">
        <v>782</v>
      </c>
      <c r="HF80" s="9">
        <v>1109.0999999999999</v>
      </c>
      <c r="HG80" s="9"/>
      <c r="HH80" s="9">
        <v>1214</v>
      </c>
      <c r="HI80" s="9">
        <v>1091.0999999999999</v>
      </c>
      <c r="HJ80" s="9">
        <v>1137.4000000000001</v>
      </c>
      <c r="HK80" s="9">
        <v>1091.0999999999999</v>
      </c>
      <c r="HL80" s="9">
        <v>1121</v>
      </c>
      <c r="HM80" s="9">
        <v>1119.2</v>
      </c>
      <c r="HN80" s="9">
        <v>1123</v>
      </c>
      <c r="HO80" s="9">
        <v>1123</v>
      </c>
      <c r="HP80" s="9">
        <v>1118.3</v>
      </c>
      <c r="HQ80" s="9">
        <v>1127.2</v>
      </c>
      <c r="HR80" s="9">
        <v>1125</v>
      </c>
      <c r="HS80" s="9">
        <v>1115</v>
      </c>
      <c r="HT80" s="9">
        <v>1265.4000000000001</v>
      </c>
      <c r="HU80" s="9">
        <v>1271</v>
      </c>
      <c r="HV80" s="9">
        <v>954</v>
      </c>
      <c r="HW80" s="9">
        <v>986</v>
      </c>
      <c r="HX80" s="9">
        <v>821</v>
      </c>
      <c r="HY80" s="9">
        <v>667</v>
      </c>
      <c r="HZ80" s="9">
        <v>861.1</v>
      </c>
      <c r="IA80" s="9">
        <v>981.1</v>
      </c>
      <c r="IB80" s="9">
        <v>1170.2</v>
      </c>
      <c r="IC80" s="9">
        <v>1251.5</v>
      </c>
      <c r="ID80" s="9">
        <v>1182.0999999999999</v>
      </c>
      <c r="IE80" s="9">
        <v>1212</v>
      </c>
      <c r="IF80" s="9">
        <v>1189.0999999999999</v>
      </c>
      <c r="IG80" s="9">
        <v>1255.5</v>
      </c>
      <c r="IH80" s="9">
        <v>1232.7</v>
      </c>
      <c r="II80" s="9">
        <v>1233.0999999999999</v>
      </c>
      <c r="IJ80" s="9">
        <v>1056</v>
      </c>
      <c r="IK80" s="9">
        <v>1156.0999999999999</v>
      </c>
      <c r="IL80" s="9">
        <v>1050</v>
      </c>
      <c r="IM80" s="9">
        <v>1099.0999999999999</v>
      </c>
      <c r="IN80" s="9">
        <v>1017.5</v>
      </c>
      <c r="IO80" s="9"/>
      <c r="IP80" s="9">
        <v>1459.5</v>
      </c>
      <c r="IQ80" s="9">
        <v>1176.2</v>
      </c>
      <c r="IR80" s="9">
        <v>421</v>
      </c>
      <c r="IS80" s="9">
        <v>1111.2</v>
      </c>
      <c r="IT80" s="9">
        <v>1056.2</v>
      </c>
      <c r="IU80" s="9"/>
      <c r="IV80" s="9"/>
      <c r="IW80" s="9">
        <v>1065</v>
      </c>
      <c r="IX80" s="9">
        <v>1123</v>
      </c>
      <c r="IY80" s="9">
        <v>1149.8</v>
      </c>
      <c r="IZ80" s="9">
        <v>1055.5</v>
      </c>
      <c r="JA80" s="9">
        <v>1001.5</v>
      </c>
      <c r="JB80" s="11">
        <v>39.42</v>
      </c>
      <c r="JC80" s="11">
        <v>48.96</v>
      </c>
      <c r="JD80" s="11">
        <v>3.4</v>
      </c>
      <c r="JE80" s="11">
        <v>12.9</v>
      </c>
      <c r="JF80" s="11"/>
      <c r="JG80" s="11">
        <v>5.96</v>
      </c>
      <c r="JH80" s="13">
        <v>5.45</v>
      </c>
      <c r="JI80" s="12"/>
      <c r="JJ80" s="277"/>
      <c r="JK80" s="9">
        <v>86904181.725999996</v>
      </c>
      <c r="JL80" s="215">
        <v>283217.64600000001</v>
      </c>
      <c r="JM80" s="9">
        <v>59863454.302000001</v>
      </c>
      <c r="JN80" s="215">
        <v>62868.303999999996</v>
      </c>
      <c r="JO80" s="9">
        <v>87615930.415999994</v>
      </c>
      <c r="JP80" s="215">
        <v>188299.76800000001</v>
      </c>
      <c r="JQ80" s="9">
        <v>63682724.362000003</v>
      </c>
      <c r="JR80" s="215">
        <v>57558.264000000003</v>
      </c>
      <c r="JS80" s="11">
        <v>329170266.64999998</v>
      </c>
      <c r="JT80" s="223">
        <v>88188.186000000002</v>
      </c>
      <c r="JU80" s="283">
        <f t="shared" ref="JU80" si="371">IF((JK80-JK79)&lt;0,"",(JK80-JK79))</f>
        <v>74373.341999992728</v>
      </c>
      <c r="JV80" s="283">
        <f t="shared" ref="JV80" si="372">IF((JL80-JL79)&lt;0,"",(JL80-JL79))</f>
        <v>39.940999999991618</v>
      </c>
      <c r="JW80" s="283">
        <f t="shared" ref="JW80" si="373">IF((JM80-JM79)&lt;0,"",(JM80-JM79))</f>
        <v>70770.001000002027</v>
      </c>
      <c r="JX80" s="283">
        <f t="shared" ref="JX80" si="374">IF((JN80-JN79)&lt;0,"",(JN80-JN79))</f>
        <v>35.883999999998196</v>
      </c>
      <c r="JY80" s="284">
        <f t="shared" ref="JY80" si="375">IF((JO80-JO79)&lt;0,"",(JO80-JO79))</f>
        <v>74449.307999998331</v>
      </c>
      <c r="JZ80" s="284">
        <f t="shared" ref="JZ80" si="376">IF((JP80-JP79)&lt;0,"",(JP80-JP79))</f>
        <v>50.270000000018626</v>
      </c>
      <c r="KA80" s="284">
        <f t="shared" ref="KA80" si="377">IF((JQ80-JQ79)&lt;0,"",(JQ80-JQ79))</f>
        <v>57474.992000006139</v>
      </c>
      <c r="KB80" s="284">
        <f t="shared" ref="KB80" si="378">IF((JR80-JR79)&lt;0,"",(JR80-JR79))</f>
        <v>68.544000000001688</v>
      </c>
      <c r="KC80" s="283">
        <f t="shared" ref="KC80" si="379">IF((JS80-JS79)&lt;0,"",(JS80-JS79))</f>
        <v>276945.71899998188</v>
      </c>
      <c r="KD80" s="283">
        <f t="shared" ref="KD80" si="380">IF((JT80-JT79)&lt;0,"",(JT80-JT79))</f>
        <v>146.68099999999686</v>
      </c>
      <c r="KE80" s="291">
        <f t="shared" si="341"/>
        <v>145067.51799999477</v>
      </c>
      <c r="KF80" s="291">
        <f t="shared" si="342"/>
        <v>276799.0379999819</v>
      </c>
      <c r="KG80" s="292">
        <f>(RD[[#This Row],[Sunset Time (POA&lt;20 W/m2)]]-RD[[#This Row],[Sunrise Time (POA&gt;20 W/m2)]])*24</f>
        <v>11.383333333333333</v>
      </c>
      <c r="KH80" s="293">
        <f>RD[[#This Row],[GHI ]]</f>
        <v>5.96</v>
      </c>
      <c r="KI80" s="293">
        <f>RD[[#This Row],[POA]]</f>
        <v>5.45</v>
      </c>
      <c r="KJ80" s="293">
        <f>RD[[#This Row],[AT (°C) 14 Hours]]</f>
        <v>39.42</v>
      </c>
      <c r="KK80" s="293">
        <f>RD[[#This Row],[MT (°C) Gen. Hours]]</f>
        <v>48.96</v>
      </c>
      <c r="KL80" s="293">
        <f>RD[[#This Row],[WS_Avg (m/s) (24 Hours)]]</f>
        <v>3.4</v>
      </c>
      <c r="KM80" s="293">
        <f>RD[[#This Row],[WS_Max (m/s)]]</f>
        <v>12.9</v>
      </c>
      <c r="KN80" s="294">
        <f>SUM(RD[[#This Row],[BLK1_INV1]:[BLK8_INV27]])</f>
        <v>279024.10000000003</v>
      </c>
      <c r="KO80" s="95"/>
      <c r="KP80" s="55"/>
      <c r="KQ80" s="90" t="str">
        <f>IFERROR(RD[[#This Row],[WPR_Eac]]/RD[[#This Row],[WPR_Edc]],"")</f>
        <v/>
      </c>
    </row>
    <row r="81" spans="2:303" ht="15" customHeight="1" x14ac:dyDescent="0.25">
      <c r="B81" s="52">
        <v>45822</v>
      </c>
      <c r="C81" s="9">
        <f>YEAR(RD[[#This Row],[Date]])+IF(MONTH(RD[[#This Row],[Date]])&gt;=4,1,0)</f>
        <v>2026</v>
      </c>
      <c r="D81" s="6">
        <f t="shared" si="329"/>
        <v>2025</v>
      </c>
      <c r="E81" s="7"/>
      <c r="F81" s="7"/>
      <c r="G81" s="276" t="str">
        <f>TEXT(RD[[#This Row],[Date]],"mmm-yy")</f>
        <v>Jun-25</v>
      </c>
      <c r="H81" s="6">
        <f t="shared" si="330"/>
        <v>30</v>
      </c>
      <c r="I81" s="9">
        <f>'Basic Data '!$S$2</f>
        <v>66750</v>
      </c>
      <c r="J81" s="10">
        <v>0.21388888888888891</v>
      </c>
      <c r="K81" s="10">
        <v>0.77986111111111101</v>
      </c>
      <c r="L81" s="9">
        <v>1326</v>
      </c>
      <c r="M81" s="9">
        <v>1354</v>
      </c>
      <c r="N81" s="9">
        <v>1203</v>
      </c>
      <c r="O81" s="9">
        <v>1253</v>
      </c>
      <c r="P81" s="9">
        <v>1338</v>
      </c>
      <c r="Q81" s="9">
        <v>1246</v>
      </c>
      <c r="R81" s="9">
        <v>1237</v>
      </c>
      <c r="S81" s="9">
        <v>1240</v>
      </c>
      <c r="T81" s="9">
        <v>1280</v>
      </c>
      <c r="U81" s="9">
        <v>1291</v>
      </c>
      <c r="V81" s="9">
        <v>1260</v>
      </c>
      <c r="W81" s="9">
        <v>1256</v>
      </c>
      <c r="X81" s="9">
        <v>1236</v>
      </c>
      <c r="Y81" s="9">
        <v>1161</v>
      </c>
      <c r="Z81" s="9">
        <v>1237</v>
      </c>
      <c r="AA81" s="9">
        <v>1233</v>
      </c>
      <c r="AB81" s="9">
        <v>1225</v>
      </c>
      <c r="AC81" s="9">
        <v>1224</v>
      </c>
      <c r="AD81" s="9">
        <v>1328</v>
      </c>
      <c r="AE81" s="9">
        <v>1331</v>
      </c>
      <c r="AF81" s="9">
        <v>1240</v>
      </c>
      <c r="AG81" s="9">
        <v>1244</v>
      </c>
      <c r="AH81" s="9">
        <v>1361</v>
      </c>
      <c r="AI81" s="9">
        <v>1399</v>
      </c>
      <c r="AJ81" s="9">
        <v>1349</v>
      </c>
      <c r="AK81" s="9">
        <v>1336</v>
      </c>
      <c r="AL81" s="9">
        <v>1328</v>
      </c>
      <c r="AM81" s="9">
        <v>1377</v>
      </c>
      <c r="AN81" s="9">
        <v>1399</v>
      </c>
      <c r="AO81" s="9">
        <v>1374</v>
      </c>
      <c r="AP81" s="9">
        <v>1381</v>
      </c>
      <c r="AQ81" s="9">
        <v>1385</v>
      </c>
      <c r="AR81" s="9">
        <v>1173</v>
      </c>
      <c r="AS81" s="9">
        <v>1513</v>
      </c>
      <c r="AT81" s="9">
        <v>1224</v>
      </c>
      <c r="AU81" s="9">
        <v>1342</v>
      </c>
      <c r="AV81" s="9">
        <v>1233</v>
      </c>
      <c r="AW81" s="9">
        <v>1202</v>
      </c>
      <c r="AX81" s="9">
        <v>1221</v>
      </c>
      <c r="AY81" s="9">
        <v>1238</v>
      </c>
      <c r="AZ81" s="9">
        <v>1217</v>
      </c>
      <c r="BA81" s="9">
        <v>1208</v>
      </c>
      <c r="BB81" s="9">
        <v>1224</v>
      </c>
      <c r="BC81" s="9">
        <v>1209</v>
      </c>
      <c r="BD81" s="9">
        <v>1224</v>
      </c>
      <c r="BE81" s="9">
        <v>1228</v>
      </c>
      <c r="BF81" s="9">
        <v>1323</v>
      </c>
      <c r="BG81" s="9">
        <v>1211</v>
      </c>
      <c r="BH81" s="9">
        <v>1280</v>
      </c>
      <c r="BI81" s="9">
        <v>1258</v>
      </c>
      <c r="BJ81" s="9">
        <v>1235</v>
      </c>
      <c r="BK81" s="9">
        <v>1232</v>
      </c>
      <c r="BL81" s="9">
        <v>1400</v>
      </c>
      <c r="BM81" s="9">
        <v>1377</v>
      </c>
      <c r="BN81" s="9">
        <v>1324</v>
      </c>
      <c r="BO81" s="9">
        <v>1411</v>
      </c>
      <c r="BP81" s="9">
        <v>1393</v>
      </c>
      <c r="BQ81" s="9">
        <v>1241</v>
      </c>
      <c r="BR81" s="9">
        <v>1377</v>
      </c>
      <c r="BS81" s="9">
        <v>1397</v>
      </c>
      <c r="BT81" s="9">
        <v>1235</v>
      </c>
      <c r="BU81" s="9">
        <v>1395</v>
      </c>
      <c r="BV81" s="9">
        <v>1220</v>
      </c>
      <c r="BW81" s="9">
        <v>1087</v>
      </c>
      <c r="BX81" s="9">
        <v>1327</v>
      </c>
      <c r="BY81" s="9">
        <v>1317</v>
      </c>
      <c r="BZ81" s="9">
        <v>1336</v>
      </c>
      <c r="CA81" s="9">
        <v>1300</v>
      </c>
      <c r="CB81" s="9">
        <v>1215</v>
      </c>
      <c r="CC81" s="9">
        <v>1209</v>
      </c>
      <c r="CD81" s="9">
        <v>1218</v>
      </c>
      <c r="CE81" s="9">
        <v>1211</v>
      </c>
      <c r="CF81" s="9">
        <v>1239</v>
      </c>
      <c r="CG81" s="9">
        <v>1219</v>
      </c>
      <c r="CH81" s="9">
        <v>1393</v>
      </c>
      <c r="CI81" s="9">
        <v>1368</v>
      </c>
      <c r="CJ81" s="9">
        <v>1390</v>
      </c>
      <c r="CK81" s="9">
        <v>1224</v>
      </c>
      <c r="CL81" s="9">
        <v>1211</v>
      </c>
      <c r="CM81" s="9">
        <v>1313</v>
      </c>
      <c r="CN81" s="9">
        <v>1228</v>
      </c>
      <c r="CO81" s="9">
        <v>1232</v>
      </c>
      <c r="CP81" s="9">
        <v>1216</v>
      </c>
      <c r="CQ81" s="9">
        <v>1234</v>
      </c>
      <c r="CR81" s="9">
        <v>1217</v>
      </c>
      <c r="CS81" s="9">
        <v>1220</v>
      </c>
      <c r="CT81" s="9">
        <v>1228</v>
      </c>
      <c r="CU81" s="9">
        <v>1216</v>
      </c>
      <c r="CV81" s="9">
        <v>1203</v>
      </c>
      <c r="CW81" s="9">
        <v>1194</v>
      </c>
      <c r="CX81" s="9">
        <v>1263</v>
      </c>
      <c r="CY81" s="9">
        <v>1331</v>
      </c>
      <c r="CZ81" s="9">
        <v>1242</v>
      </c>
      <c r="DA81" s="9">
        <v>1232</v>
      </c>
      <c r="DB81" s="9">
        <v>1370</v>
      </c>
      <c r="DC81" s="9">
        <v>1210</v>
      </c>
      <c r="DD81" s="9">
        <v>1204</v>
      </c>
      <c r="DE81" s="9">
        <v>1229</v>
      </c>
      <c r="DF81" s="9">
        <v>1215</v>
      </c>
      <c r="DG81" s="9">
        <v>1218</v>
      </c>
      <c r="DH81" s="9">
        <v>1252</v>
      </c>
      <c r="DI81" s="9">
        <v>1213</v>
      </c>
      <c r="DJ81" s="9">
        <v>1238</v>
      </c>
      <c r="DK81" s="9">
        <v>1208</v>
      </c>
      <c r="DL81" s="9">
        <v>1378</v>
      </c>
      <c r="DM81" s="9">
        <v>1231</v>
      </c>
      <c r="DN81" s="9">
        <v>1411</v>
      </c>
      <c r="DO81" s="9">
        <v>1366</v>
      </c>
      <c r="DP81" s="9">
        <v>1234</v>
      </c>
      <c r="DQ81" s="9">
        <v>1371</v>
      </c>
      <c r="DR81" s="9">
        <v>1331</v>
      </c>
      <c r="DS81" s="9">
        <v>1324</v>
      </c>
      <c r="DT81" s="9">
        <v>1385</v>
      </c>
      <c r="DU81" s="9">
        <v>1394</v>
      </c>
      <c r="DV81" s="9">
        <v>1226</v>
      </c>
      <c r="DW81" s="9">
        <v>1253</v>
      </c>
      <c r="DX81" s="9">
        <v>1378</v>
      </c>
      <c r="DY81" s="9">
        <v>1397</v>
      </c>
      <c r="DZ81" s="9">
        <v>1378</v>
      </c>
      <c r="EA81" s="9">
        <v>1246</v>
      </c>
      <c r="EB81" s="9">
        <v>1262</v>
      </c>
      <c r="EC81" s="9">
        <v>1352</v>
      </c>
      <c r="ED81" s="9">
        <v>1349</v>
      </c>
      <c r="EE81" s="9">
        <v>1232</v>
      </c>
      <c r="EF81" s="9">
        <v>1238</v>
      </c>
      <c r="EG81" s="9">
        <v>1351</v>
      </c>
      <c r="EH81" s="9">
        <v>1200</v>
      </c>
      <c r="EI81" s="9">
        <v>1214</v>
      </c>
      <c r="EJ81" s="9">
        <v>1386</v>
      </c>
      <c r="EK81" s="9">
        <v>1367</v>
      </c>
      <c r="EL81" s="9">
        <v>1316</v>
      </c>
      <c r="EM81" s="9">
        <v>1321</v>
      </c>
      <c r="EN81" s="9">
        <v>1318</v>
      </c>
      <c r="EO81" s="9">
        <v>1131</v>
      </c>
      <c r="EP81" s="9">
        <v>1321</v>
      </c>
      <c r="EQ81" s="9">
        <v>1298</v>
      </c>
      <c r="ER81" s="9">
        <v>1341</v>
      </c>
      <c r="ES81" s="9">
        <v>1335</v>
      </c>
      <c r="ET81" s="9">
        <v>1289</v>
      </c>
      <c r="EU81" s="9">
        <v>1239</v>
      </c>
      <c r="EV81" s="9">
        <v>1307</v>
      </c>
      <c r="EW81" s="9">
        <v>1311</v>
      </c>
      <c r="EX81" s="9">
        <v>1240</v>
      </c>
      <c r="EY81" s="9">
        <v>1347</v>
      </c>
      <c r="EZ81" s="9">
        <v>1203</v>
      </c>
      <c r="FA81" s="9">
        <v>1319</v>
      </c>
      <c r="FB81" s="9">
        <v>1219</v>
      </c>
      <c r="FC81" s="9">
        <v>1132</v>
      </c>
      <c r="FD81" s="9">
        <v>1321</v>
      </c>
      <c r="FE81" s="9">
        <v>1331</v>
      </c>
      <c r="FF81" s="9">
        <v>1340</v>
      </c>
      <c r="FG81" s="9">
        <v>1231</v>
      </c>
      <c r="FH81" s="9">
        <v>1409</v>
      </c>
      <c r="FI81" s="9">
        <v>1236</v>
      </c>
      <c r="FJ81" s="9">
        <v>1212</v>
      </c>
      <c r="FK81" s="9">
        <v>1203</v>
      </c>
      <c r="FL81" s="9">
        <v>1199</v>
      </c>
      <c r="FM81" s="9">
        <v>1211</v>
      </c>
      <c r="FN81" s="9">
        <v>1223</v>
      </c>
      <c r="FO81" s="9">
        <v>1199</v>
      </c>
      <c r="FP81" s="9">
        <v>1370</v>
      </c>
      <c r="FQ81" s="9">
        <v>1181</v>
      </c>
      <c r="FR81" s="9">
        <v>1365</v>
      </c>
      <c r="FS81" s="9">
        <v>1356</v>
      </c>
      <c r="FT81" s="9">
        <v>1385</v>
      </c>
      <c r="FU81" s="9">
        <v>1260</v>
      </c>
      <c r="FV81" s="9">
        <v>1215</v>
      </c>
      <c r="FW81" s="9">
        <v>1383</v>
      </c>
      <c r="FX81" s="9">
        <v>1223</v>
      </c>
      <c r="FY81" s="9">
        <v>1252</v>
      </c>
      <c r="FZ81" s="9">
        <v>1278</v>
      </c>
      <c r="GA81" s="9">
        <v>1251</v>
      </c>
      <c r="GB81" s="9">
        <v>1386</v>
      </c>
      <c r="GC81" s="9">
        <v>1289</v>
      </c>
      <c r="GD81" s="9">
        <v>1331</v>
      </c>
      <c r="GE81" s="9">
        <v>1208</v>
      </c>
      <c r="GF81" s="9">
        <v>1221</v>
      </c>
      <c r="GG81" s="9">
        <v>1198</v>
      </c>
      <c r="GH81" s="9">
        <v>1411</v>
      </c>
      <c r="GI81" s="9">
        <v>1236</v>
      </c>
      <c r="GJ81" s="9">
        <v>1316</v>
      </c>
      <c r="GK81" s="9">
        <v>1388</v>
      </c>
      <c r="GL81" s="9">
        <v>1348</v>
      </c>
      <c r="GM81" s="9">
        <v>1311</v>
      </c>
      <c r="GN81" s="9">
        <v>1324</v>
      </c>
      <c r="GO81" s="9">
        <v>1375</v>
      </c>
      <c r="GP81" s="9">
        <v>1275</v>
      </c>
      <c r="GQ81" s="9">
        <v>1276</v>
      </c>
      <c r="GR81" s="9">
        <v>1250</v>
      </c>
      <c r="GS81" s="9">
        <v>1323</v>
      </c>
      <c r="GT81" s="9">
        <v>1217</v>
      </c>
      <c r="GU81" s="9">
        <v>1217</v>
      </c>
      <c r="GV81" s="9">
        <v>1189</v>
      </c>
      <c r="GW81" s="9">
        <v>1227</v>
      </c>
      <c r="GX81" s="9">
        <v>1216</v>
      </c>
      <c r="GY81" s="9">
        <v>1101</v>
      </c>
      <c r="GZ81" s="9">
        <v>1028</v>
      </c>
      <c r="HA81" s="9">
        <v>1248</v>
      </c>
      <c r="HB81" s="9"/>
      <c r="HC81" s="9"/>
      <c r="HD81" s="9">
        <v>1095</v>
      </c>
      <c r="HE81" s="9">
        <v>881</v>
      </c>
      <c r="HF81" s="9">
        <v>1215</v>
      </c>
      <c r="HG81" s="9"/>
      <c r="HH81" s="9">
        <v>1333</v>
      </c>
      <c r="HI81" s="9">
        <v>1201</v>
      </c>
      <c r="HJ81" s="9">
        <v>1231</v>
      </c>
      <c r="HK81" s="9">
        <v>1206</v>
      </c>
      <c r="HL81" s="9">
        <v>1224</v>
      </c>
      <c r="HM81" s="9">
        <v>1227</v>
      </c>
      <c r="HN81" s="9">
        <v>1241</v>
      </c>
      <c r="HO81" s="9">
        <v>1233</v>
      </c>
      <c r="HP81" s="9">
        <v>1239</v>
      </c>
      <c r="HQ81" s="9">
        <v>1261</v>
      </c>
      <c r="HR81" s="9">
        <v>1234</v>
      </c>
      <c r="HS81" s="9">
        <v>1247</v>
      </c>
      <c r="HT81" s="9">
        <v>1383</v>
      </c>
      <c r="HU81" s="9">
        <v>1411</v>
      </c>
      <c r="HV81" s="9">
        <v>1067</v>
      </c>
      <c r="HW81" s="9">
        <v>1071</v>
      </c>
      <c r="HX81" s="9">
        <v>886.8</v>
      </c>
      <c r="HY81" s="9">
        <v>756.6</v>
      </c>
      <c r="HZ81" s="9">
        <v>941</v>
      </c>
      <c r="IA81" s="9">
        <v>1099</v>
      </c>
      <c r="IB81" s="9">
        <v>1294</v>
      </c>
      <c r="IC81" s="9">
        <v>1375</v>
      </c>
      <c r="ID81" s="9">
        <v>1319</v>
      </c>
      <c r="IE81" s="9">
        <v>1292</v>
      </c>
      <c r="IF81" s="9">
        <v>1261</v>
      </c>
      <c r="IG81" s="9">
        <v>1331</v>
      </c>
      <c r="IH81" s="9">
        <v>1373</v>
      </c>
      <c r="II81" s="9">
        <v>1351</v>
      </c>
      <c r="IJ81" s="9">
        <v>1169</v>
      </c>
      <c r="IK81" s="9">
        <v>1256</v>
      </c>
      <c r="IL81" s="9">
        <v>1199</v>
      </c>
      <c r="IM81" s="9">
        <v>1223</v>
      </c>
      <c r="IN81" s="9">
        <v>1123</v>
      </c>
      <c r="IO81" s="9"/>
      <c r="IP81" s="9">
        <v>1655</v>
      </c>
      <c r="IQ81" s="9">
        <v>1301</v>
      </c>
      <c r="IR81" s="9">
        <v>471</v>
      </c>
      <c r="IS81" s="9">
        <v>1199</v>
      </c>
      <c r="IT81" s="9">
        <v>1178</v>
      </c>
      <c r="IU81" s="9"/>
      <c r="IV81" s="9"/>
      <c r="IW81" s="9">
        <v>1151</v>
      </c>
      <c r="IX81" s="9">
        <v>1222</v>
      </c>
      <c r="IY81" s="9">
        <v>1255</v>
      </c>
      <c r="IZ81" s="9">
        <v>1155</v>
      </c>
      <c r="JA81" s="9">
        <v>1087</v>
      </c>
      <c r="JB81" s="11">
        <v>37.79</v>
      </c>
      <c r="JC81" s="11">
        <v>49.04</v>
      </c>
      <c r="JD81" s="11">
        <v>1.63</v>
      </c>
      <c r="JE81" s="11">
        <v>4.9000000000000004</v>
      </c>
      <c r="JF81" s="11"/>
      <c r="JG81" s="11">
        <v>6.54</v>
      </c>
      <c r="JH81" s="13">
        <v>6.01</v>
      </c>
      <c r="JI81" s="12"/>
      <c r="JJ81" s="277"/>
      <c r="JK81" s="9">
        <v>86986303.472000003</v>
      </c>
      <c r="JL81" s="260">
        <v>283257.587</v>
      </c>
      <c r="JM81" s="9">
        <v>59941488.965999998</v>
      </c>
      <c r="JN81" s="260">
        <v>62904.188000000002</v>
      </c>
      <c r="JO81" s="9">
        <v>87698030.148000002</v>
      </c>
      <c r="JP81" s="260">
        <v>188350.038</v>
      </c>
      <c r="JQ81" s="9">
        <v>63745789.344999999</v>
      </c>
      <c r="JR81" s="260">
        <v>57626.807999999997</v>
      </c>
      <c r="JS81" s="11">
        <v>329475498.73199999</v>
      </c>
      <c r="JT81" s="289">
        <v>88334.866999999998</v>
      </c>
      <c r="JU81" s="283">
        <f t="shared" ref="JU81" si="381">IF((JK81-JK80)&lt;0,"",(JK81-JK80))</f>
        <v>82121.746000006795</v>
      </c>
      <c r="JV81" s="283">
        <f t="shared" ref="JV81" si="382">IF((JL81-JL80)&lt;0,"",(JL81-JL80))</f>
        <v>39.940999999991618</v>
      </c>
      <c r="JW81" s="283">
        <f t="shared" ref="JW81" si="383">IF((JM81-JM80)&lt;0,"",(JM81-JM80))</f>
        <v>78034.663999997079</v>
      </c>
      <c r="JX81" s="283">
        <f t="shared" ref="JX81" si="384">IF((JN81-JN80)&lt;0,"",(JN81-JN80))</f>
        <v>35.884000000005472</v>
      </c>
      <c r="JY81" s="284">
        <f t="shared" ref="JY81" si="385">IF((JO81-JO80)&lt;0,"",(JO81-JO80))</f>
        <v>82099.732000008225</v>
      </c>
      <c r="JZ81" s="284">
        <f t="shared" ref="JZ81" si="386">IF((JP81-JP80)&lt;0,"",(JP81-JP80))</f>
        <v>50.269999999989523</v>
      </c>
      <c r="KA81" s="284">
        <f t="shared" ref="KA81" si="387">IF((JQ81-JQ80)&lt;0,"",(JQ81-JQ80))</f>
        <v>63064.982999995351</v>
      </c>
      <c r="KB81" s="284">
        <f t="shared" ref="KB81" si="388">IF((JR81-JR80)&lt;0,"",(JR81-JR80))</f>
        <v>68.543999999994412</v>
      </c>
      <c r="KC81" s="283">
        <f t="shared" ref="KC81" si="389">IF((JS81-JS80)&lt;0,"",(JS81-JS80))</f>
        <v>305232.08200001717</v>
      </c>
      <c r="KD81" s="283">
        <f t="shared" ref="KD81" si="390">IF((JT81-JT80)&lt;0,"",(JT81-JT80))</f>
        <v>146.68099999999686</v>
      </c>
      <c r="KE81" s="291">
        <f t="shared" si="341"/>
        <v>160080.58500000386</v>
      </c>
      <c r="KF81" s="291">
        <f t="shared" si="342"/>
        <v>305085.40100001718</v>
      </c>
      <c r="KG81" s="292">
        <f>(RD[[#This Row],[Sunset Time (POA&lt;20 W/m2)]]-RD[[#This Row],[Sunrise Time (POA&gt;20 W/m2)]])*24</f>
        <v>13.58333333333333</v>
      </c>
      <c r="KH81" s="293">
        <f>RD[[#This Row],[GHI ]]</f>
        <v>6.54</v>
      </c>
      <c r="KI81" s="293">
        <f>RD[[#This Row],[POA]]</f>
        <v>6.01</v>
      </c>
      <c r="KJ81" s="293">
        <f>RD[[#This Row],[AT (°C) 14 Hours]]</f>
        <v>37.79</v>
      </c>
      <c r="KK81" s="293">
        <f>RD[[#This Row],[MT (°C) Gen. Hours]]</f>
        <v>49.04</v>
      </c>
      <c r="KL81" s="293">
        <f>RD[[#This Row],[WS_Avg (m/s) (24 Hours)]]</f>
        <v>1.63</v>
      </c>
      <c r="KM81" s="293">
        <f>RD[[#This Row],[WS_Max (m/s)]]</f>
        <v>4.9000000000000004</v>
      </c>
      <c r="KN81" s="294">
        <f>SUM(RD[[#This Row],[BLK1_INV1]:[BLK8_INV27]])</f>
        <v>307007.39999999997</v>
      </c>
      <c r="KO81" s="95"/>
      <c r="KP81" s="55"/>
      <c r="KQ81" s="90" t="str">
        <f>IFERROR(RD[[#This Row],[WPR_Eac]]/RD[[#This Row],[WPR_Edc]],"")</f>
        <v/>
      </c>
    </row>
    <row r="82" spans="2:303" ht="15" customHeight="1" x14ac:dyDescent="0.25">
      <c r="B82" s="52">
        <v>45823</v>
      </c>
      <c r="C82" s="9">
        <f>YEAR(RD[[#This Row],[Date]])+IF(MONTH(RD[[#This Row],[Date]])&gt;=4,1,0)</f>
        <v>2026</v>
      </c>
      <c r="D82" s="6">
        <f t="shared" si="329"/>
        <v>2025</v>
      </c>
      <c r="E82" s="7"/>
      <c r="F82" s="7"/>
      <c r="G82" s="276" t="str">
        <f>TEXT(RD[[#This Row],[Date]],"mmm-yy")</f>
        <v>Jun-25</v>
      </c>
      <c r="H82" s="6">
        <f t="shared" si="330"/>
        <v>30</v>
      </c>
      <c r="I82" s="9">
        <f>'Basic Data '!$S$2</f>
        <v>66750</v>
      </c>
      <c r="J82" s="10">
        <v>0.21875</v>
      </c>
      <c r="K82" s="10">
        <v>0.77013888888888893</v>
      </c>
      <c r="L82" s="9">
        <v>970.9</v>
      </c>
      <c r="M82" s="9">
        <v>991.1</v>
      </c>
      <c r="N82" s="9">
        <v>901</v>
      </c>
      <c r="O82" s="9">
        <v>910.7</v>
      </c>
      <c r="P82" s="9">
        <v>988.2</v>
      </c>
      <c r="Q82" s="9">
        <v>916.3</v>
      </c>
      <c r="R82" s="9">
        <v>918.3</v>
      </c>
      <c r="S82" s="9">
        <v>920.4</v>
      </c>
      <c r="T82" s="9">
        <v>951.3</v>
      </c>
      <c r="U82" s="9">
        <v>953.9</v>
      </c>
      <c r="V82" s="9">
        <v>935.2</v>
      </c>
      <c r="W82" s="9">
        <v>930.1</v>
      </c>
      <c r="X82" s="9">
        <v>912.7</v>
      </c>
      <c r="Y82" s="9">
        <v>871</v>
      </c>
      <c r="Z82" s="9">
        <v>911.4</v>
      </c>
      <c r="AA82" s="9">
        <v>909</v>
      </c>
      <c r="AB82" s="9">
        <v>904.4</v>
      </c>
      <c r="AC82" s="9">
        <v>913</v>
      </c>
      <c r="AD82" s="9">
        <v>979</v>
      </c>
      <c r="AE82" s="9">
        <v>981</v>
      </c>
      <c r="AF82" s="9">
        <v>897.4</v>
      </c>
      <c r="AG82" s="9">
        <v>905.8</v>
      </c>
      <c r="AH82" s="9">
        <v>998.4</v>
      </c>
      <c r="AI82" s="9">
        <v>1015.8</v>
      </c>
      <c r="AJ82" s="9">
        <v>974.2</v>
      </c>
      <c r="AK82" s="9">
        <v>981</v>
      </c>
      <c r="AL82" s="9">
        <v>971</v>
      </c>
      <c r="AM82" s="9">
        <v>1021</v>
      </c>
      <c r="AN82" s="9">
        <v>1014.3</v>
      </c>
      <c r="AO82" s="9">
        <v>1022</v>
      </c>
      <c r="AP82" s="9">
        <v>1022</v>
      </c>
      <c r="AQ82" s="9">
        <v>1024</v>
      </c>
      <c r="AR82" s="9">
        <v>850.1</v>
      </c>
      <c r="AS82" s="9">
        <v>1101</v>
      </c>
      <c r="AT82" s="9">
        <v>901</v>
      </c>
      <c r="AU82" s="9">
        <v>1001</v>
      </c>
      <c r="AV82" s="9">
        <v>906</v>
      </c>
      <c r="AW82" s="9">
        <v>891</v>
      </c>
      <c r="AX82" s="9">
        <v>901</v>
      </c>
      <c r="AY82" s="9">
        <v>898.1</v>
      </c>
      <c r="AZ82" s="9">
        <v>893.2</v>
      </c>
      <c r="BA82" s="9">
        <v>899.5</v>
      </c>
      <c r="BB82" s="9">
        <v>901</v>
      </c>
      <c r="BC82" s="9">
        <v>901</v>
      </c>
      <c r="BD82" s="9">
        <v>906</v>
      </c>
      <c r="BE82" s="9">
        <v>888.9</v>
      </c>
      <c r="BF82" s="9">
        <v>991</v>
      </c>
      <c r="BG82" s="9">
        <v>901</v>
      </c>
      <c r="BH82" s="9">
        <v>941</v>
      </c>
      <c r="BI82" s="9">
        <v>939.2</v>
      </c>
      <c r="BJ82" s="9">
        <v>901</v>
      </c>
      <c r="BK82" s="9">
        <v>904.2</v>
      </c>
      <c r="BL82" s="9">
        <v>1011</v>
      </c>
      <c r="BM82" s="9">
        <v>1017</v>
      </c>
      <c r="BN82" s="9">
        <v>971</v>
      </c>
      <c r="BO82" s="9">
        <v>1011</v>
      </c>
      <c r="BP82" s="9">
        <v>1014.1</v>
      </c>
      <c r="BQ82" s="9">
        <v>904</v>
      </c>
      <c r="BR82" s="9">
        <v>1001.1</v>
      </c>
      <c r="BS82" s="9">
        <v>1012</v>
      </c>
      <c r="BT82" s="9">
        <v>905</v>
      </c>
      <c r="BU82" s="9">
        <v>1009.1</v>
      </c>
      <c r="BV82" s="9">
        <v>904.1</v>
      </c>
      <c r="BW82" s="9">
        <v>801</v>
      </c>
      <c r="BX82" s="9">
        <v>1001.6</v>
      </c>
      <c r="BY82" s="9">
        <v>993.8</v>
      </c>
      <c r="BZ82" s="9">
        <v>1007.2</v>
      </c>
      <c r="CA82" s="9">
        <v>982.1</v>
      </c>
      <c r="CB82" s="9">
        <v>918.3</v>
      </c>
      <c r="CC82" s="9">
        <v>912.4</v>
      </c>
      <c r="CD82" s="9">
        <v>921.3</v>
      </c>
      <c r="CE82" s="9">
        <v>915.3</v>
      </c>
      <c r="CF82" s="9">
        <v>938.9</v>
      </c>
      <c r="CG82" s="9">
        <v>919.3</v>
      </c>
      <c r="CH82" s="9">
        <v>1049.2</v>
      </c>
      <c r="CI82" s="9">
        <v>1030.4000000000001</v>
      </c>
      <c r="CJ82" s="9">
        <v>1047.4000000000001</v>
      </c>
      <c r="CK82" s="9">
        <v>923.1</v>
      </c>
      <c r="CL82" s="9">
        <v>912.6</v>
      </c>
      <c r="CM82" s="9">
        <v>1001.1</v>
      </c>
      <c r="CN82" s="9">
        <v>926.1</v>
      </c>
      <c r="CO82" s="9">
        <v>928.8</v>
      </c>
      <c r="CP82" s="9">
        <v>917.9</v>
      </c>
      <c r="CQ82" s="9">
        <v>931.8</v>
      </c>
      <c r="CR82" s="9">
        <v>917.3</v>
      </c>
      <c r="CS82" s="9">
        <v>921.5</v>
      </c>
      <c r="CT82" s="9">
        <v>928.5</v>
      </c>
      <c r="CU82" s="9">
        <v>919.1</v>
      </c>
      <c r="CV82" s="9">
        <v>910.6</v>
      </c>
      <c r="CW82" s="9">
        <v>902.7</v>
      </c>
      <c r="CX82" s="9">
        <v>953.6</v>
      </c>
      <c r="CY82" s="9">
        <v>1010</v>
      </c>
      <c r="CZ82" s="9">
        <v>939.3</v>
      </c>
      <c r="DA82" s="9">
        <v>932.1</v>
      </c>
      <c r="DB82" s="9">
        <v>1035.5999999999999</v>
      </c>
      <c r="DC82" s="9">
        <v>912.7</v>
      </c>
      <c r="DD82" s="9">
        <v>907.4</v>
      </c>
      <c r="DE82" s="9">
        <v>945.2</v>
      </c>
      <c r="DF82" s="9">
        <v>926.1</v>
      </c>
      <c r="DG82" s="9">
        <v>937.2</v>
      </c>
      <c r="DH82" s="9">
        <v>941</v>
      </c>
      <c r="DI82" s="9">
        <v>929.3</v>
      </c>
      <c r="DJ82" s="9">
        <v>941.1</v>
      </c>
      <c r="DK82" s="9">
        <v>911.1</v>
      </c>
      <c r="DL82" s="9">
        <v>1031.0999999999999</v>
      </c>
      <c r="DM82" s="9">
        <v>918.9</v>
      </c>
      <c r="DN82" s="9">
        <v>1021</v>
      </c>
      <c r="DO82" s="9">
        <v>1045.8</v>
      </c>
      <c r="DP82" s="9">
        <v>921</v>
      </c>
      <c r="DQ82" s="9">
        <v>1031.0999999999999</v>
      </c>
      <c r="DR82" s="9">
        <v>1009</v>
      </c>
      <c r="DS82" s="9">
        <v>1002.1</v>
      </c>
      <c r="DT82" s="9">
        <v>1060.8</v>
      </c>
      <c r="DU82" s="9">
        <v>1055.9000000000001</v>
      </c>
      <c r="DV82" s="9">
        <v>943.6</v>
      </c>
      <c r="DW82" s="9">
        <v>950.8</v>
      </c>
      <c r="DX82" s="9">
        <v>1039.8</v>
      </c>
      <c r="DY82" s="9">
        <v>1073.2</v>
      </c>
      <c r="DZ82" s="9">
        <v>1065.2</v>
      </c>
      <c r="EA82" s="9">
        <v>949.2</v>
      </c>
      <c r="EB82" s="9">
        <v>959.7</v>
      </c>
      <c r="EC82" s="9">
        <v>1025.0999999999999</v>
      </c>
      <c r="ED82" s="9">
        <v>1012</v>
      </c>
      <c r="EE82" s="9">
        <v>948.7</v>
      </c>
      <c r="EF82" s="9">
        <v>955.4</v>
      </c>
      <c r="EG82" s="9">
        <v>1191.0999999999999</v>
      </c>
      <c r="EH82" s="9">
        <v>891</v>
      </c>
      <c r="EI82" s="9">
        <v>893.4</v>
      </c>
      <c r="EJ82" s="9">
        <v>1013.4</v>
      </c>
      <c r="EK82" s="9">
        <v>1006.4</v>
      </c>
      <c r="EL82" s="9">
        <v>969.5</v>
      </c>
      <c r="EM82" s="9">
        <v>973.2</v>
      </c>
      <c r="EN82" s="9">
        <v>974.3</v>
      </c>
      <c r="EO82" s="9">
        <v>838.5</v>
      </c>
      <c r="EP82" s="9">
        <v>971</v>
      </c>
      <c r="EQ82" s="9">
        <v>961</v>
      </c>
      <c r="ER82" s="9">
        <v>994.4</v>
      </c>
      <c r="ES82" s="9">
        <v>986.6</v>
      </c>
      <c r="ET82" s="9">
        <v>955.1</v>
      </c>
      <c r="EU82" s="9">
        <v>901.3</v>
      </c>
      <c r="EV82" s="9">
        <v>965.9</v>
      </c>
      <c r="EW82" s="9">
        <v>971</v>
      </c>
      <c r="EX82" s="9">
        <v>891.6</v>
      </c>
      <c r="EY82" s="9">
        <v>980.4</v>
      </c>
      <c r="EZ82" s="9">
        <v>891</v>
      </c>
      <c r="FA82" s="9">
        <v>981</v>
      </c>
      <c r="FB82" s="9">
        <v>891</v>
      </c>
      <c r="FC82" s="9">
        <v>823.1</v>
      </c>
      <c r="FD82" s="9">
        <v>962.3</v>
      </c>
      <c r="FE82" s="9">
        <v>970.3</v>
      </c>
      <c r="FF82" s="9">
        <v>973.3</v>
      </c>
      <c r="FG82" s="9">
        <v>896.1</v>
      </c>
      <c r="FH82" s="9">
        <v>1027.5</v>
      </c>
      <c r="FI82" s="9">
        <v>895.9</v>
      </c>
      <c r="FJ82" s="9">
        <v>898</v>
      </c>
      <c r="FK82" s="9">
        <v>891</v>
      </c>
      <c r="FL82" s="9">
        <v>893</v>
      </c>
      <c r="FM82" s="9">
        <v>889</v>
      </c>
      <c r="FN82" s="9">
        <v>881.4</v>
      </c>
      <c r="FO82" s="9">
        <v>884</v>
      </c>
      <c r="FP82" s="9">
        <v>991.1</v>
      </c>
      <c r="FQ82" s="9">
        <v>901</v>
      </c>
      <c r="FR82" s="9">
        <v>1001</v>
      </c>
      <c r="FS82" s="9">
        <v>996</v>
      </c>
      <c r="FT82" s="9">
        <v>994.2</v>
      </c>
      <c r="FU82" s="9">
        <v>941</v>
      </c>
      <c r="FV82" s="9">
        <v>901</v>
      </c>
      <c r="FW82" s="9">
        <v>999.8</v>
      </c>
      <c r="FX82" s="9">
        <v>911.1</v>
      </c>
      <c r="FY82" s="9">
        <v>932</v>
      </c>
      <c r="FZ82" s="9">
        <v>925.8</v>
      </c>
      <c r="GA82" s="9">
        <v>921</v>
      </c>
      <c r="GB82" s="9">
        <v>1009.1</v>
      </c>
      <c r="GC82" s="9">
        <v>931</v>
      </c>
      <c r="GD82" s="9">
        <v>992</v>
      </c>
      <c r="GE82" s="9">
        <v>911</v>
      </c>
      <c r="GF82" s="9">
        <v>885.1</v>
      </c>
      <c r="GG82" s="9">
        <v>901</v>
      </c>
      <c r="GH82" s="9">
        <v>1027.3</v>
      </c>
      <c r="GI82" s="9">
        <v>898.2</v>
      </c>
      <c r="GJ82" s="9">
        <v>969.3</v>
      </c>
      <c r="GK82" s="9">
        <v>1015.5</v>
      </c>
      <c r="GL82" s="9">
        <v>1022</v>
      </c>
      <c r="GM82" s="9">
        <v>961.7</v>
      </c>
      <c r="GN82" s="9">
        <v>955.1</v>
      </c>
      <c r="GO82" s="9">
        <v>991.6</v>
      </c>
      <c r="GP82" s="9">
        <v>929.7</v>
      </c>
      <c r="GQ82" s="9">
        <v>924.7</v>
      </c>
      <c r="GR82" s="9">
        <v>949.7</v>
      </c>
      <c r="GS82" s="9">
        <v>964.9</v>
      </c>
      <c r="GT82" s="9">
        <v>922.5</v>
      </c>
      <c r="GU82" s="9">
        <v>930.3</v>
      </c>
      <c r="GV82" s="9">
        <v>982.5</v>
      </c>
      <c r="GW82" s="9">
        <v>927.6</v>
      </c>
      <c r="GX82" s="9">
        <v>921.5</v>
      </c>
      <c r="GY82" s="9">
        <v>929.9</v>
      </c>
      <c r="GZ82" s="9">
        <v>789.6</v>
      </c>
      <c r="HA82" s="9">
        <v>948.7</v>
      </c>
      <c r="HB82" s="9"/>
      <c r="HC82" s="9"/>
      <c r="HD82" s="9">
        <v>822</v>
      </c>
      <c r="HE82" s="9">
        <v>650.29999999999995</v>
      </c>
      <c r="HF82" s="9">
        <v>927.8</v>
      </c>
      <c r="HG82" s="9"/>
      <c r="HH82" s="9">
        <v>1024.4000000000001</v>
      </c>
      <c r="HI82" s="9">
        <v>900.8</v>
      </c>
      <c r="HJ82" s="9">
        <v>934.3</v>
      </c>
      <c r="HK82" s="9">
        <v>914.5</v>
      </c>
      <c r="HL82" s="9">
        <v>926.8</v>
      </c>
      <c r="HM82" s="9">
        <v>931.4</v>
      </c>
      <c r="HN82" s="9">
        <v>938.1</v>
      </c>
      <c r="HO82" s="9">
        <v>934.6</v>
      </c>
      <c r="HP82" s="9">
        <v>937.3</v>
      </c>
      <c r="HQ82" s="9">
        <v>955.5</v>
      </c>
      <c r="HR82" s="9">
        <v>932.3</v>
      </c>
      <c r="HS82" s="9">
        <v>942.5</v>
      </c>
      <c r="HT82" s="9">
        <v>1043.8</v>
      </c>
      <c r="HU82" s="9">
        <v>1064.8</v>
      </c>
      <c r="HV82" s="9">
        <v>801</v>
      </c>
      <c r="HW82" s="9">
        <v>798</v>
      </c>
      <c r="HX82" s="9">
        <v>656</v>
      </c>
      <c r="HY82" s="9">
        <v>555</v>
      </c>
      <c r="HZ82" s="9">
        <v>699.8</v>
      </c>
      <c r="IA82" s="9">
        <v>824.3</v>
      </c>
      <c r="IB82" s="9">
        <v>985.1</v>
      </c>
      <c r="IC82" s="9">
        <v>1065.0999999999999</v>
      </c>
      <c r="ID82" s="9">
        <v>1025.7</v>
      </c>
      <c r="IE82" s="9">
        <v>1010.7</v>
      </c>
      <c r="IF82" s="9">
        <v>985</v>
      </c>
      <c r="IG82" s="9">
        <v>1021</v>
      </c>
      <c r="IH82" s="9">
        <v>1056.0999999999999</v>
      </c>
      <c r="II82" s="9">
        <v>1011.9</v>
      </c>
      <c r="IJ82" s="9">
        <v>893</v>
      </c>
      <c r="IK82" s="9">
        <v>945.3</v>
      </c>
      <c r="IL82" s="9">
        <v>872</v>
      </c>
      <c r="IM82" s="9">
        <v>902.7</v>
      </c>
      <c r="IN82" s="9">
        <v>834.3</v>
      </c>
      <c r="IO82" s="9"/>
      <c r="IP82" s="9">
        <v>1242</v>
      </c>
      <c r="IQ82" s="9">
        <v>1001</v>
      </c>
      <c r="IR82" s="9">
        <v>349</v>
      </c>
      <c r="IS82" s="9">
        <v>901</v>
      </c>
      <c r="IT82" s="9">
        <v>901</v>
      </c>
      <c r="IU82" s="9"/>
      <c r="IV82" s="9"/>
      <c r="IW82" s="9">
        <v>851</v>
      </c>
      <c r="IX82" s="9">
        <v>901</v>
      </c>
      <c r="IY82" s="9">
        <v>934</v>
      </c>
      <c r="IZ82" s="9">
        <v>868</v>
      </c>
      <c r="JA82" s="9">
        <v>820</v>
      </c>
      <c r="JB82" s="11">
        <v>34.83</v>
      </c>
      <c r="JC82" s="11">
        <v>42.57</v>
      </c>
      <c r="JD82" s="11">
        <v>3.24</v>
      </c>
      <c r="JE82" s="11">
        <v>10.7</v>
      </c>
      <c r="JF82" s="11"/>
      <c r="JG82" s="11">
        <v>4.87</v>
      </c>
      <c r="JH82" s="13">
        <v>4.49</v>
      </c>
      <c r="JI82" s="12"/>
      <c r="JJ82" s="277"/>
      <c r="JK82" s="9">
        <v>87046079.299999997</v>
      </c>
      <c r="JL82" s="215">
        <v>283297.52799999999</v>
      </c>
      <c r="JM82" s="9">
        <v>60001329.281000003</v>
      </c>
      <c r="JN82" s="215">
        <v>62940.072</v>
      </c>
      <c r="JO82" s="9">
        <v>87758029.790000007</v>
      </c>
      <c r="JP82" s="215">
        <v>188400.30799999999</v>
      </c>
      <c r="JQ82" s="9">
        <v>63794673.512000002</v>
      </c>
      <c r="JR82" s="215">
        <v>57695.351999999999</v>
      </c>
      <c r="JS82" s="11">
        <v>329703925.02999997</v>
      </c>
      <c r="JT82" s="223">
        <v>88481.547999999995</v>
      </c>
      <c r="JU82" s="283">
        <f t="shared" ref="JU82" si="391">IF((JK82-JK81)&lt;0,"",(JK82-JK81))</f>
        <v>59775.827999994159</v>
      </c>
      <c r="JV82" s="283">
        <f t="shared" ref="JV82" si="392">IF((JL82-JL81)&lt;0,"",(JL82-JL81))</f>
        <v>39.940999999991618</v>
      </c>
      <c r="JW82" s="283">
        <f t="shared" ref="JW82" si="393">IF((JM82-JM81)&lt;0,"",(JM82-JM81))</f>
        <v>59840.315000005066</v>
      </c>
      <c r="JX82" s="283">
        <f t="shared" ref="JX82" si="394">IF((JN82-JN81)&lt;0,"",(JN82-JN81))</f>
        <v>35.883999999998196</v>
      </c>
      <c r="JY82" s="284">
        <f t="shared" ref="JY82" si="395">IF((JO82-JO81)&lt;0,"",(JO82-JO81))</f>
        <v>59999.642000004649</v>
      </c>
      <c r="JZ82" s="284">
        <f t="shared" ref="JZ82" si="396">IF((JP82-JP81)&lt;0,"",(JP82-JP81))</f>
        <v>50.269999999989523</v>
      </c>
      <c r="KA82" s="284">
        <f t="shared" ref="KA82" si="397">IF((JQ82-JQ81)&lt;0,"",(JQ82-JQ81))</f>
        <v>48884.167000003159</v>
      </c>
      <c r="KB82" s="284">
        <f t="shared" ref="KB82" si="398">IF((JR82-JR81)&lt;0,"",(JR82-JR81))</f>
        <v>68.544000000001688</v>
      </c>
      <c r="KC82" s="283">
        <f t="shared" ref="KC82" si="399">IF((JS82-JS81)&lt;0,"",(JS82-JS81))</f>
        <v>228426.29799997807</v>
      </c>
      <c r="KD82" s="283">
        <f t="shared" ref="KD82" si="400">IF((JT82-JT81)&lt;0,"",(JT82-JT81))</f>
        <v>146.68099999999686</v>
      </c>
      <c r="KE82" s="291">
        <f t="shared" si="341"/>
        <v>119540.31799999924</v>
      </c>
      <c r="KF82" s="291">
        <f t="shared" si="342"/>
        <v>228279.61699997808</v>
      </c>
      <c r="KG82" s="292">
        <f>(RD[[#This Row],[Sunset Time (POA&lt;20 W/m2)]]-RD[[#This Row],[Sunrise Time (POA&gt;20 W/m2)]])*24</f>
        <v>13.233333333333334</v>
      </c>
      <c r="KH82" s="293">
        <f>RD[[#This Row],[GHI ]]</f>
        <v>4.87</v>
      </c>
      <c r="KI82" s="293">
        <f>RD[[#This Row],[POA]]</f>
        <v>4.49</v>
      </c>
      <c r="KJ82" s="293">
        <f>RD[[#This Row],[AT (°C) 14 Hours]]</f>
        <v>34.83</v>
      </c>
      <c r="KK82" s="293">
        <f>RD[[#This Row],[MT (°C) Gen. Hours]]</f>
        <v>42.57</v>
      </c>
      <c r="KL82" s="293">
        <f>RD[[#This Row],[WS_Avg (m/s) (24 Hours)]]</f>
        <v>3.24</v>
      </c>
      <c r="KM82" s="293">
        <f>RD[[#This Row],[WS_Max (m/s)]]</f>
        <v>10.7</v>
      </c>
      <c r="KN82" s="294">
        <f>SUM(RD[[#This Row],[BLK1_INV1]:[BLK8_INV27]])</f>
        <v>229066.49999999994</v>
      </c>
      <c r="KO82" s="95"/>
      <c r="KP82" s="55"/>
      <c r="KQ82" s="90" t="str">
        <f>IFERROR(RD[[#This Row],[WPR_Eac]]/RD[[#This Row],[WPR_Edc]],"")</f>
        <v/>
      </c>
    </row>
    <row r="83" spans="2:303" ht="15" customHeight="1" x14ac:dyDescent="0.25">
      <c r="B83" s="52">
        <v>45824</v>
      </c>
      <c r="C83" s="9">
        <f>YEAR(RD[[#This Row],[Date]])+IF(MONTH(RD[[#This Row],[Date]])&gt;=4,1,0)</f>
        <v>2026</v>
      </c>
      <c r="D83" s="6">
        <f t="shared" si="329"/>
        <v>2025</v>
      </c>
      <c r="E83" s="7"/>
      <c r="F83" s="7"/>
      <c r="G83" s="276" t="str">
        <f>TEXT(RD[[#This Row],[Date]],"mmm-yy")</f>
        <v>Jun-25</v>
      </c>
      <c r="H83" s="6">
        <f t="shared" si="330"/>
        <v>30</v>
      </c>
      <c r="I83" s="9">
        <f>'Basic Data '!$S$2</f>
        <v>66750</v>
      </c>
      <c r="J83" s="10">
        <v>0.2590277777777778</v>
      </c>
      <c r="K83" s="10">
        <v>0.74513888888888891</v>
      </c>
      <c r="L83" s="9">
        <v>1297</v>
      </c>
      <c r="M83" s="9">
        <v>1322.9</v>
      </c>
      <c r="N83" s="9">
        <v>1213.2</v>
      </c>
      <c r="O83" s="9">
        <v>1214.0999999999999</v>
      </c>
      <c r="P83" s="9">
        <v>1317.5</v>
      </c>
      <c r="Q83" s="9">
        <v>1224.0999999999999</v>
      </c>
      <c r="R83" s="9">
        <v>1227.0999999999999</v>
      </c>
      <c r="S83" s="9">
        <v>1227.8</v>
      </c>
      <c r="T83" s="9">
        <v>1265.3</v>
      </c>
      <c r="U83" s="9">
        <v>1269.7</v>
      </c>
      <c r="V83" s="9">
        <v>1250.4000000000001</v>
      </c>
      <c r="W83" s="9">
        <v>1241.9000000000001</v>
      </c>
      <c r="X83" s="9">
        <v>1223.3</v>
      </c>
      <c r="Y83" s="9">
        <v>1153.3</v>
      </c>
      <c r="Z83" s="9">
        <v>1224.5999999999999</v>
      </c>
      <c r="AA83" s="9">
        <v>1222.8</v>
      </c>
      <c r="AB83" s="9">
        <v>1217.7</v>
      </c>
      <c r="AC83" s="9">
        <v>1211.2</v>
      </c>
      <c r="AD83" s="9">
        <v>1315.9</v>
      </c>
      <c r="AE83" s="9">
        <v>1316</v>
      </c>
      <c r="AF83" s="9">
        <v>1222.5999999999999</v>
      </c>
      <c r="AG83" s="9">
        <v>1227</v>
      </c>
      <c r="AH83" s="9">
        <v>1347.3</v>
      </c>
      <c r="AI83" s="9">
        <v>1377.2</v>
      </c>
      <c r="AJ83" s="9">
        <v>1331.4</v>
      </c>
      <c r="AK83" s="9">
        <v>1314.4</v>
      </c>
      <c r="AL83" s="9">
        <v>1308.5</v>
      </c>
      <c r="AM83" s="9">
        <v>1359.7</v>
      </c>
      <c r="AN83" s="9">
        <v>1373.1</v>
      </c>
      <c r="AO83" s="9">
        <v>1354.3</v>
      </c>
      <c r="AP83" s="9">
        <v>1355.5</v>
      </c>
      <c r="AQ83" s="9">
        <v>1349.5</v>
      </c>
      <c r="AR83" s="9">
        <v>1142</v>
      </c>
      <c r="AS83" s="9">
        <v>1484.1</v>
      </c>
      <c r="AT83" s="9">
        <v>1209.5</v>
      </c>
      <c r="AU83" s="9">
        <v>1335.3</v>
      </c>
      <c r="AV83" s="9">
        <v>1193.7</v>
      </c>
      <c r="AW83" s="9">
        <v>1184.3</v>
      </c>
      <c r="AX83" s="9">
        <v>1222.5</v>
      </c>
      <c r="AY83" s="9">
        <v>1215.9000000000001</v>
      </c>
      <c r="AZ83" s="9">
        <v>1225.4000000000001</v>
      </c>
      <c r="BA83" s="9">
        <v>1201</v>
      </c>
      <c r="BB83" s="9">
        <v>1206.9000000000001</v>
      </c>
      <c r="BC83" s="9">
        <v>1192.7</v>
      </c>
      <c r="BD83" s="9">
        <v>1206.7</v>
      </c>
      <c r="BE83" s="9">
        <v>1210.7</v>
      </c>
      <c r="BF83" s="9">
        <v>1302.4000000000001</v>
      </c>
      <c r="BG83" s="9">
        <v>1211.5</v>
      </c>
      <c r="BH83" s="9">
        <v>1243.4000000000001</v>
      </c>
      <c r="BI83" s="9">
        <v>1236</v>
      </c>
      <c r="BJ83" s="9">
        <v>1209.0999999999999</v>
      </c>
      <c r="BK83" s="9">
        <v>1204.2</v>
      </c>
      <c r="BL83" s="9">
        <v>1373.6</v>
      </c>
      <c r="BM83" s="9">
        <v>1353.7</v>
      </c>
      <c r="BN83" s="9">
        <v>1292.9000000000001</v>
      </c>
      <c r="BO83" s="9">
        <v>1365.4</v>
      </c>
      <c r="BP83" s="9">
        <v>1368.1</v>
      </c>
      <c r="BQ83" s="9">
        <v>1219.8</v>
      </c>
      <c r="BR83" s="9">
        <v>1351.7</v>
      </c>
      <c r="BS83" s="9">
        <v>1369.6</v>
      </c>
      <c r="BT83" s="9">
        <v>1215.7</v>
      </c>
      <c r="BU83" s="9">
        <v>1370.6</v>
      </c>
      <c r="BV83" s="9">
        <v>1206.8</v>
      </c>
      <c r="BW83" s="9">
        <v>1100</v>
      </c>
      <c r="BX83" s="9">
        <v>1326.2</v>
      </c>
      <c r="BY83" s="9">
        <v>1316.7</v>
      </c>
      <c r="BZ83" s="9">
        <v>1330.7</v>
      </c>
      <c r="CA83" s="9">
        <v>1298.2</v>
      </c>
      <c r="CB83" s="9">
        <v>1218.0999999999999</v>
      </c>
      <c r="CC83" s="9">
        <v>1213.3</v>
      </c>
      <c r="CD83" s="9">
        <v>1221</v>
      </c>
      <c r="CE83" s="9">
        <v>1214.8</v>
      </c>
      <c r="CF83" s="9">
        <v>1245</v>
      </c>
      <c r="CG83" s="9">
        <v>1222.3</v>
      </c>
      <c r="CH83" s="9">
        <v>1390.4</v>
      </c>
      <c r="CI83" s="9">
        <v>1365.5</v>
      </c>
      <c r="CJ83" s="9">
        <v>1392</v>
      </c>
      <c r="CK83" s="9">
        <v>1225</v>
      </c>
      <c r="CL83" s="9">
        <v>1211.0999999999999</v>
      </c>
      <c r="CM83" s="9">
        <v>1323.3</v>
      </c>
      <c r="CN83" s="9">
        <v>1230.4000000000001</v>
      </c>
      <c r="CO83" s="9">
        <v>1234.7</v>
      </c>
      <c r="CP83" s="9">
        <v>1218.8</v>
      </c>
      <c r="CQ83" s="9">
        <v>1235.8</v>
      </c>
      <c r="CR83" s="9">
        <v>1218.3</v>
      </c>
      <c r="CS83" s="9">
        <v>1220.5</v>
      </c>
      <c r="CT83" s="9">
        <v>1229.0999999999999</v>
      </c>
      <c r="CU83" s="9">
        <v>1218.0999999999999</v>
      </c>
      <c r="CV83" s="9">
        <v>1205</v>
      </c>
      <c r="CW83" s="9">
        <v>1197.9000000000001</v>
      </c>
      <c r="CX83" s="9">
        <v>1261.0999999999999</v>
      </c>
      <c r="CY83" s="9">
        <v>1325</v>
      </c>
      <c r="CZ83" s="9">
        <v>1242.9000000000001</v>
      </c>
      <c r="DA83" s="9">
        <v>1236.5</v>
      </c>
      <c r="DB83" s="9">
        <v>1368.4</v>
      </c>
      <c r="DC83" s="9">
        <v>1212.9000000000001</v>
      </c>
      <c r="DD83" s="9">
        <v>1207.2</v>
      </c>
      <c r="DE83" s="9">
        <v>1239.7</v>
      </c>
      <c r="DF83" s="9">
        <v>1222.0999999999999</v>
      </c>
      <c r="DG83" s="9">
        <v>1226.9000000000001</v>
      </c>
      <c r="DH83" s="9">
        <v>1255.4000000000001</v>
      </c>
      <c r="DI83" s="9">
        <v>1224.5</v>
      </c>
      <c r="DJ83" s="9">
        <v>1240.4000000000001</v>
      </c>
      <c r="DK83" s="9">
        <v>1213.4000000000001</v>
      </c>
      <c r="DL83" s="9">
        <v>1387.4</v>
      </c>
      <c r="DM83" s="9">
        <v>1238.2</v>
      </c>
      <c r="DN83" s="9">
        <v>1398.1</v>
      </c>
      <c r="DO83" s="9">
        <v>1365</v>
      </c>
      <c r="DP83" s="9">
        <v>1236.2</v>
      </c>
      <c r="DQ83" s="9">
        <v>1375.2</v>
      </c>
      <c r="DR83" s="9">
        <v>1330</v>
      </c>
      <c r="DS83" s="9">
        <v>1310.5999999999999</v>
      </c>
      <c r="DT83" s="9">
        <v>1385.2</v>
      </c>
      <c r="DU83" s="9">
        <v>1376.2</v>
      </c>
      <c r="DV83" s="9">
        <v>1233.3</v>
      </c>
      <c r="DW83" s="9">
        <v>1240.5</v>
      </c>
      <c r="DX83" s="9">
        <v>1356.8</v>
      </c>
      <c r="DY83" s="9">
        <v>1375.3</v>
      </c>
      <c r="DZ83" s="9">
        <v>1368.8</v>
      </c>
      <c r="EA83" s="9">
        <v>1232.5999999999999</v>
      </c>
      <c r="EB83" s="9">
        <v>1248.5</v>
      </c>
      <c r="EC83" s="9">
        <v>1344</v>
      </c>
      <c r="ED83" s="9">
        <v>1349.1</v>
      </c>
      <c r="EE83" s="9">
        <v>1231.7</v>
      </c>
      <c r="EF83" s="9">
        <v>1241.7</v>
      </c>
      <c r="EG83" s="9">
        <v>1394.9</v>
      </c>
      <c r="EH83" s="9">
        <v>1177.2</v>
      </c>
      <c r="EI83" s="9">
        <v>1170.2</v>
      </c>
      <c r="EJ83" s="9">
        <v>1311</v>
      </c>
      <c r="EK83" s="9">
        <v>1321.6</v>
      </c>
      <c r="EL83" s="9">
        <v>1271.7</v>
      </c>
      <c r="EM83" s="9">
        <v>1279.5999999999999</v>
      </c>
      <c r="EN83" s="9">
        <v>1277.7</v>
      </c>
      <c r="EO83" s="9">
        <v>1080</v>
      </c>
      <c r="EP83" s="9">
        <v>1250</v>
      </c>
      <c r="EQ83" s="9">
        <v>1261.4000000000001</v>
      </c>
      <c r="ER83" s="9">
        <v>1261</v>
      </c>
      <c r="ES83" s="9">
        <v>1259.9000000000001</v>
      </c>
      <c r="ET83" s="9">
        <v>1221</v>
      </c>
      <c r="EU83" s="9">
        <v>1156.3</v>
      </c>
      <c r="EV83" s="9">
        <v>1263.8</v>
      </c>
      <c r="EW83" s="9">
        <v>1257.5</v>
      </c>
      <c r="EX83" s="9">
        <v>1178</v>
      </c>
      <c r="EY83" s="9">
        <v>1276</v>
      </c>
      <c r="EZ83" s="9">
        <v>1162.0999999999999</v>
      </c>
      <c r="FA83" s="9">
        <v>1279</v>
      </c>
      <c r="FB83" s="9">
        <v>1180.5999999999999</v>
      </c>
      <c r="FC83" s="9">
        <v>1078</v>
      </c>
      <c r="FD83" s="9">
        <v>1271</v>
      </c>
      <c r="FE83" s="9">
        <v>1269</v>
      </c>
      <c r="FF83" s="9">
        <v>1268</v>
      </c>
      <c r="FG83" s="9">
        <v>1172</v>
      </c>
      <c r="FH83" s="9">
        <v>1318</v>
      </c>
      <c r="FI83" s="9">
        <v>1172</v>
      </c>
      <c r="FJ83" s="9">
        <v>1176.5</v>
      </c>
      <c r="FK83" s="9">
        <v>1168.7</v>
      </c>
      <c r="FL83" s="9">
        <v>1163.8</v>
      </c>
      <c r="FM83" s="9">
        <v>1172</v>
      </c>
      <c r="FN83" s="9">
        <v>1212.7</v>
      </c>
      <c r="FO83" s="9">
        <v>1190.0999999999999</v>
      </c>
      <c r="FP83" s="9">
        <v>1355.9</v>
      </c>
      <c r="FQ83" s="9">
        <v>1175.4000000000001</v>
      </c>
      <c r="FR83" s="9">
        <v>1345.5</v>
      </c>
      <c r="FS83" s="9">
        <v>1337.9</v>
      </c>
      <c r="FT83" s="9">
        <v>1363.5</v>
      </c>
      <c r="FU83" s="9">
        <v>1248.2</v>
      </c>
      <c r="FV83" s="9">
        <v>1198.2</v>
      </c>
      <c r="FW83" s="9">
        <v>1361.5</v>
      </c>
      <c r="FX83" s="9">
        <v>1229.4000000000001</v>
      </c>
      <c r="FY83" s="9">
        <v>1226.5999999999999</v>
      </c>
      <c r="FZ83" s="9">
        <v>1248.8</v>
      </c>
      <c r="GA83" s="9">
        <v>1224.5</v>
      </c>
      <c r="GB83" s="9">
        <v>1354.7</v>
      </c>
      <c r="GC83" s="9">
        <v>1261.5</v>
      </c>
      <c r="GD83" s="9">
        <v>1350.3</v>
      </c>
      <c r="GE83" s="9">
        <v>1201.3</v>
      </c>
      <c r="GF83" s="9">
        <v>1215.5999999999999</v>
      </c>
      <c r="GG83" s="9">
        <v>1191.2</v>
      </c>
      <c r="GH83" s="9">
        <v>1385.3</v>
      </c>
      <c r="GI83" s="9">
        <v>1228.4000000000001</v>
      </c>
      <c r="GJ83" s="9">
        <v>1296.4000000000001</v>
      </c>
      <c r="GK83" s="9">
        <v>1366.4</v>
      </c>
      <c r="GL83" s="9">
        <v>1328.1</v>
      </c>
      <c r="GM83" s="9">
        <v>1276</v>
      </c>
      <c r="GN83" s="9">
        <v>1309.3</v>
      </c>
      <c r="GO83" s="9">
        <v>1360.2</v>
      </c>
      <c r="GP83" s="9">
        <v>1270.8</v>
      </c>
      <c r="GQ83" s="9">
        <v>1270.8</v>
      </c>
      <c r="GR83" s="9">
        <v>1277.9000000000001</v>
      </c>
      <c r="GS83" s="9">
        <v>1301.2</v>
      </c>
      <c r="GT83" s="9">
        <v>1219.9000000000001</v>
      </c>
      <c r="GU83" s="9">
        <v>1209.0999999999999</v>
      </c>
      <c r="GV83" s="9">
        <v>1201</v>
      </c>
      <c r="GW83" s="9">
        <v>1221.7</v>
      </c>
      <c r="GX83" s="9">
        <v>1221.7</v>
      </c>
      <c r="GY83" s="9">
        <v>1225.5</v>
      </c>
      <c r="GZ83" s="9">
        <v>1034.5999999999999</v>
      </c>
      <c r="HA83" s="9">
        <v>1249.4000000000001</v>
      </c>
      <c r="HB83" s="9"/>
      <c r="HC83" s="9"/>
      <c r="HD83" s="9">
        <v>1117.4000000000001</v>
      </c>
      <c r="HE83" s="9">
        <v>845.6</v>
      </c>
      <c r="HF83" s="9">
        <v>1230.3</v>
      </c>
      <c r="HG83" s="9"/>
      <c r="HH83" s="9">
        <v>1336.1</v>
      </c>
      <c r="HI83" s="9">
        <v>1183.0999999999999</v>
      </c>
      <c r="HJ83" s="9">
        <v>1230.5999999999999</v>
      </c>
      <c r="HK83" s="9">
        <v>1196.3</v>
      </c>
      <c r="HL83" s="9">
        <v>1227.5999999999999</v>
      </c>
      <c r="HM83" s="9">
        <v>1227.5</v>
      </c>
      <c r="HN83" s="9">
        <v>1238</v>
      </c>
      <c r="HO83" s="9">
        <v>1236</v>
      </c>
      <c r="HP83" s="9">
        <v>1240.0999999999999</v>
      </c>
      <c r="HQ83" s="9">
        <v>1252.2</v>
      </c>
      <c r="HR83" s="9">
        <v>1234.0999999999999</v>
      </c>
      <c r="HS83" s="9">
        <v>1242</v>
      </c>
      <c r="HT83" s="9">
        <v>1381.9</v>
      </c>
      <c r="HU83" s="9">
        <v>1409.7</v>
      </c>
      <c r="HV83" s="9">
        <v>1089</v>
      </c>
      <c r="HW83" s="9">
        <v>1070</v>
      </c>
      <c r="HX83" s="9">
        <v>901</v>
      </c>
      <c r="HY83" s="9">
        <v>754</v>
      </c>
      <c r="HZ83" s="9">
        <v>932</v>
      </c>
      <c r="IA83" s="9">
        <v>1083.5</v>
      </c>
      <c r="IB83" s="9">
        <v>1283.4000000000001</v>
      </c>
      <c r="IC83" s="9">
        <v>1381.7</v>
      </c>
      <c r="ID83" s="9">
        <v>1318.4</v>
      </c>
      <c r="IE83" s="9">
        <v>1313.4</v>
      </c>
      <c r="IF83" s="9">
        <v>1295.5</v>
      </c>
      <c r="IG83" s="9">
        <v>1321.5</v>
      </c>
      <c r="IH83" s="9">
        <v>1374</v>
      </c>
      <c r="II83" s="9">
        <v>1342</v>
      </c>
      <c r="IJ83" s="9">
        <v>1143</v>
      </c>
      <c r="IK83" s="9">
        <v>1237</v>
      </c>
      <c r="IL83" s="9">
        <v>1151</v>
      </c>
      <c r="IM83" s="9">
        <v>1183.9000000000001</v>
      </c>
      <c r="IN83" s="9">
        <v>1123</v>
      </c>
      <c r="IO83" s="9"/>
      <c r="IP83" s="9">
        <v>1580.5</v>
      </c>
      <c r="IQ83" s="9">
        <v>1278.2</v>
      </c>
      <c r="IR83" s="9">
        <v>461</v>
      </c>
      <c r="IS83" s="9">
        <v>1192.0999999999999</v>
      </c>
      <c r="IT83" s="9">
        <v>1141</v>
      </c>
      <c r="IU83" s="9"/>
      <c r="IV83" s="9"/>
      <c r="IW83" s="9">
        <v>1142</v>
      </c>
      <c r="IX83" s="9">
        <v>1204</v>
      </c>
      <c r="IY83" s="9">
        <v>1234</v>
      </c>
      <c r="IZ83" s="9">
        <v>1156</v>
      </c>
      <c r="JA83" s="9">
        <v>1101</v>
      </c>
      <c r="JB83" s="11">
        <v>32.82</v>
      </c>
      <c r="JC83" s="11">
        <v>40.29</v>
      </c>
      <c r="JD83" s="11">
        <v>3.89</v>
      </c>
      <c r="JE83" s="11">
        <v>8.5</v>
      </c>
      <c r="JF83" s="11"/>
      <c r="JG83" s="11">
        <v>6.29</v>
      </c>
      <c r="JH83" s="13">
        <v>5.78</v>
      </c>
      <c r="JI83" s="12"/>
      <c r="JJ83" s="277"/>
      <c r="JK83" s="9">
        <v>87126863.647</v>
      </c>
      <c r="JL83" s="260">
        <v>283334.46899999998</v>
      </c>
      <c r="JM83" s="9">
        <v>60079561.358000003</v>
      </c>
      <c r="JN83" s="260">
        <v>62971.955999999998</v>
      </c>
      <c r="JO83" s="9">
        <v>87838349.006999999</v>
      </c>
      <c r="JP83" s="260">
        <v>188447.57800000001</v>
      </c>
      <c r="JQ83" s="9">
        <v>63858367.093999997</v>
      </c>
      <c r="JR83" s="260">
        <v>57759.896000000001</v>
      </c>
      <c r="JS83" s="11">
        <v>330006760.63499999</v>
      </c>
      <c r="JT83" s="289">
        <v>88625.229000000007</v>
      </c>
      <c r="JU83" s="283">
        <f t="shared" ref="JU83" si="401">IF((JK83-JK82)&lt;0,"",(JK83-JK82))</f>
        <v>80784.347000002861</v>
      </c>
      <c r="JV83" s="283">
        <f t="shared" ref="JV83" si="402">IF((JL83-JL82)&lt;0,"",(JL83-JL82))</f>
        <v>36.940999999991618</v>
      </c>
      <c r="JW83" s="283">
        <f t="shared" ref="JW83" si="403">IF((JM83-JM82)&lt;0,"",(JM83-JM82))</f>
        <v>78232.076999999583</v>
      </c>
      <c r="JX83" s="283">
        <f t="shared" ref="JX83" si="404">IF((JN83-JN82)&lt;0,"",(JN83-JN82))</f>
        <v>31.883999999998196</v>
      </c>
      <c r="JY83" s="284">
        <f t="shared" ref="JY83" si="405">IF((JO83-JO82)&lt;0,"",(JO83-JO82))</f>
        <v>80319.216999992728</v>
      </c>
      <c r="JZ83" s="284">
        <f t="shared" ref="JZ83" si="406">IF((JP83-JP82)&lt;0,"",(JP83-JP82))</f>
        <v>47.270000000018626</v>
      </c>
      <c r="KA83" s="284">
        <f t="shared" ref="KA83" si="407">IF((JQ83-JQ82)&lt;0,"",(JQ83-JQ82))</f>
        <v>63693.581999994814</v>
      </c>
      <c r="KB83" s="284">
        <f t="shared" ref="KB83" si="408">IF((JR83-JR82)&lt;0,"",(JR83-JR82))</f>
        <v>64.544000000001688</v>
      </c>
      <c r="KC83" s="283">
        <f t="shared" ref="KC83" si="409">IF((JS83-JS82)&lt;0,"",(JS83-JS82))</f>
        <v>302835.60500001907</v>
      </c>
      <c r="KD83" s="283">
        <f t="shared" ref="KD83:KD88" si="410">IF((JT83-JT82)&lt;0,"",(JT83-JT82))</f>
        <v>143.68100000001141</v>
      </c>
      <c r="KE83" s="291">
        <f t="shared" si="341"/>
        <v>158947.59900000246</v>
      </c>
      <c r="KF83" s="291">
        <f t="shared" si="342"/>
        <v>302691.92400001909</v>
      </c>
      <c r="KG83" s="292">
        <f>(RD[[#This Row],[Sunset Time (POA&lt;20 W/m2)]]-RD[[#This Row],[Sunrise Time (POA&gt;20 W/m2)]])*24</f>
        <v>11.666666666666666</v>
      </c>
      <c r="KH83" s="293">
        <f>RD[[#This Row],[GHI ]]</f>
        <v>6.29</v>
      </c>
      <c r="KI83" s="293">
        <f>RD[[#This Row],[POA]]</f>
        <v>5.78</v>
      </c>
      <c r="KJ83" s="293">
        <f>RD[[#This Row],[AT (°C) 14 Hours]]</f>
        <v>32.82</v>
      </c>
      <c r="KK83" s="293">
        <f>RD[[#This Row],[MT (°C) Gen. Hours]]</f>
        <v>40.29</v>
      </c>
      <c r="KL83" s="293">
        <f>RD[[#This Row],[WS_Avg (m/s) (24 Hours)]]</f>
        <v>3.89</v>
      </c>
      <c r="KM83" s="293">
        <f>RD[[#This Row],[WS_Max (m/s)]]</f>
        <v>8.5</v>
      </c>
      <c r="KN83" s="294">
        <f>SUM(RD[[#This Row],[BLK1_INV1]:[BLK8_INV27]])</f>
        <v>303505.10000000015</v>
      </c>
      <c r="KO83" s="95"/>
      <c r="KP83" s="55"/>
      <c r="KQ83" s="90" t="str">
        <f>IFERROR(RD[[#This Row],[WPR_Eac]]/RD[[#This Row],[WPR_Edc]],"")</f>
        <v/>
      </c>
    </row>
    <row r="84" spans="2:303" ht="15" customHeight="1" x14ac:dyDescent="0.25">
      <c r="B84" s="52">
        <v>45825</v>
      </c>
      <c r="C84" s="9">
        <f>YEAR(RD[[#This Row],[Date]])+IF(MONTH(RD[[#This Row],[Date]])&gt;=4,1,0)</f>
        <v>2026</v>
      </c>
      <c r="D84" s="6">
        <f t="shared" si="329"/>
        <v>2025</v>
      </c>
      <c r="E84" s="7"/>
      <c r="F84" s="7"/>
      <c r="G84" s="276" t="str">
        <f>TEXT(RD[[#This Row],[Date]],"mmm-yy")</f>
        <v>Jun-25</v>
      </c>
      <c r="H84" s="6">
        <f t="shared" si="330"/>
        <v>30</v>
      </c>
      <c r="I84" s="9">
        <f>'Basic Data '!$S$2</f>
        <v>66750</v>
      </c>
      <c r="J84" s="10">
        <v>0.21666666666666667</v>
      </c>
      <c r="K84" s="10">
        <v>0.67013888888888884</v>
      </c>
      <c r="L84" s="9">
        <v>911.4</v>
      </c>
      <c r="M84" s="9">
        <v>933.7</v>
      </c>
      <c r="N84" s="9">
        <v>865.2</v>
      </c>
      <c r="O84" s="9">
        <v>867.9</v>
      </c>
      <c r="P84" s="9">
        <v>924.3</v>
      </c>
      <c r="Q84" s="9">
        <v>859.1</v>
      </c>
      <c r="R84" s="9">
        <v>857.6</v>
      </c>
      <c r="S84" s="9">
        <v>860.3</v>
      </c>
      <c r="T84" s="9">
        <v>888.8</v>
      </c>
      <c r="U84" s="9">
        <v>894</v>
      </c>
      <c r="V84" s="9">
        <v>872.4</v>
      </c>
      <c r="W84" s="9">
        <v>867.2</v>
      </c>
      <c r="X84" s="9">
        <v>855.7</v>
      </c>
      <c r="Y84" s="9">
        <v>807</v>
      </c>
      <c r="Z84" s="9">
        <v>852.9</v>
      </c>
      <c r="AA84" s="9">
        <v>842.3</v>
      </c>
      <c r="AB84" s="9">
        <v>846.7</v>
      </c>
      <c r="AC84" s="9">
        <v>843.5</v>
      </c>
      <c r="AD84" s="9">
        <v>910</v>
      </c>
      <c r="AE84" s="9">
        <v>915</v>
      </c>
      <c r="AF84" s="9">
        <v>855</v>
      </c>
      <c r="AG84" s="9">
        <v>854.2</v>
      </c>
      <c r="AH84" s="9">
        <v>943.3</v>
      </c>
      <c r="AI84" s="9">
        <v>963.9</v>
      </c>
      <c r="AJ84" s="9">
        <v>929</v>
      </c>
      <c r="AK84" s="9">
        <v>915</v>
      </c>
      <c r="AL84" s="9">
        <v>910.5</v>
      </c>
      <c r="AM84" s="9">
        <v>949.3</v>
      </c>
      <c r="AN84" s="9">
        <v>952</v>
      </c>
      <c r="AO84" s="9">
        <v>942.5</v>
      </c>
      <c r="AP84" s="9">
        <v>951.5</v>
      </c>
      <c r="AQ84" s="9">
        <v>948.8</v>
      </c>
      <c r="AR84" s="9">
        <v>805.4</v>
      </c>
      <c r="AS84" s="9">
        <v>1044.4000000000001</v>
      </c>
      <c r="AT84" s="9">
        <v>840.8</v>
      </c>
      <c r="AU84" s="9">
        <v>946.5</v>
      </c>
      <c r="AV84" s="9">
        <v>844.2</v>
      </c>
      <c r="AW84" s="9">
        <v>826.9</v>
      </c>
      <c r="AX84" s="9">
        <v>843</v>
      </c>
      <c r="AY84" s="9">
        <v>857.4</v>
      </c>
      <c r="AZ84" s="9">
        <v>835.4</v>
      </c>
      <c r="BA84" s="9">
        <v>828.2</v>
      </c>
      <c r="BB84" s="9">
        <v>843.9</v>
      </c>
      <c r="BC84" s="9">
        <v>836.1</v>
      </c>
      <c r="BD84" s="9">
        <v>846.5</v>
      </c>
      <c r="BE84" s="9">
        <v>849.6</v>
      </c>
      <c r="BF84" s="9">
        <v>915.5</v>
      </c>
      <c r="BG84" s="9">
        <v>837.8</v>
      </c>
      <c r="BH84" s="9">
        <v>877.2</v>
      </c>
      <c r="BI84" s="9">
        <v>863.9</v>
      </c>
      <c r="BJ84" s="9">
        <v>850.7</v>
      </c>
      <c r="BK84" s="9">
        <v>847.8</v>
      </c>
      <c r="BL84" s="9">
        <v>970</v>
      </c>
      <c r="BM84" s="9">
        <v>953</v>
      </c>
      <c r="BN84" s="9">
        <v>915</v>
      </c>
      <c r="BO84" s="9">
        <v>971.3</v>
      </c>
      <c r="BP84" s="9">
        <v>965.3</v>
      </c>
      <c r="BQ84" s="9">
        <v>856.7</v>
      </c>
      <c r="BR84" s="9">
        <v>947.6</v>
      </c>
      <c r="BS84" s="9">
        <v>955.4</v>
      </c>
      <c r="BT84" s="9">
        <v>853</v>
      </c>
      <c r="BU84" s="9">
        <v>961</v>
      </c>
      <c r="BV84" s="9">
        <v>851.9</v>
      </c>
      <c r="BW84" s="9">
        <v>812.8</v>
      </c>
      <c r="BX84" s="9">
        <v>920.6</v>
      </c>
      <c r="BY84" s="9">
        <v>913.8</v>
      </c>
      <c r="BZ84" s="9">
        <v>924</v>
      </c>
      <c r="CA84" s="9">
        <v>899.7</v>
      </c>
      <c r="CB84" s="9">
        <v>841.6</v>
      </c>
      <c r="CC84" s="9">
        <v>839.6</v>
      </c>
      <c r="CD84" s="9">
        <v>844.9</v>
      </c>
      <c r="CE84" s="9">
        <v>839.3</v>
      </c>
      <c r="CF84" s="9">
        <v>861</v>
      </c>
      <c r="CG84" s="9">
        <v>833.7</v>
      </c>
      <c r="CH84" s="9">
        <v>959.1</v>
      </c>
      <c r="CI84" s="9">
        <v>939.5</v>
      </c>
      <c r="CJ84" s="9">
        <v>959.5</v>
      </c>
      <c r="CK84" s="9">
        <v>843.8</v>
      </c>
      <c r="CL84" s="9">
        <v>834</v>
      </c>
      <c r="CM84" s="9">
        <v>921</v>
      </c>
      <c r="CN84" s="9">
        <v>846.8</v>
      </c>
      <c r="CO84" s="9">
        <v>850.3</v>
      </c>
      <c r="CP84" s="9">
        <v>839.9</v>
      </c>
      <c r="CQ84" s="9">
        <v>850.6</v>
      </c>
      <c r="CR84" s="9">
        <v>837.9</v>
      </c>
      <c r="CS84" s="9">
        <v>842.7</v>
      </c>
      <c r="CT84" s="9">
        <v>848.7</v>
      </c>
      <c r="CU84" s="9">
        <v>842.4</v>
      </c>
      <c r="CV84" s="9">
        <v>832.2</v>
      </c>
      <c r="CW84" s="9">
        <v>828.8</v>
      </c>
      <c r="CX84" s="9">
        <v>869.9</v>
      </c>
      <c r="CY84" s="9">
        <v>913.5</v>
      </c>
      <c r="CZ84" s="9">
        <v>858.6</v>
      </c>
      <c r="DA84" s="9">
        <v>853.6</v>
      </c>
      <c r="DB84" s="9">
        <v>950.2</v>
      </c>
      <c r="DC84" s="9">
        <v>835.1</v>
      </c>
      <c r="DD84" s="9">
        <v>833.2</v>
      </c>
      <c r="DE84" s="9">
        <v>854.5</v>
      </c>
      <c r="DF84" s="9">
        <v>848.2</v>
      </c>
      <c r="DG84" s="9">
        <v>850.1</v>
      </c>
      <c r="DH84" s="9">
        <v>869.9</v>
      </c>
      <c r="DI84" s="9">
        <v>846.5</v>
      </c>
      <c r="DJ84" s="9">
        <v>857.3</v>
      </c>
      <c r="DK84" s="9">
        <v>834.5</v>
      </c>
      <c r="DL84" s="9">
        <v>964.1</v>
      </c>
      <c r="DM84" s="9">
        <v>850.3</v>
      </c>
      <c r="DN84" s="9">
        <v>980.4</v>
      </c>
      <c r="DO84" s="9">
        <v>949</v>
      </c>
      <c r="DP84" s="9">
        <v>857.6</v>
      </c>
      <c r="DQ84" s="9">
        <v>946.8</v>
      </c>
      <c r="DR84" s="9">
        <v>915.5</v>
      </c>
      <c r="DS84" s="9">
        <v>898.9</v>
      </c>
      <c r="DT84" s="9">
        <v>952</v>
      </c>
      <c r="DU84" s="9">
        <v>954.3</v>
      </c>
      <c r="DV84" s="9">
        <v>852</v>
      </c>
      <c r="DW84" s="9">
        <v>860.2</v>
      </c>
      <c r="DX84" s="9">
        <v>941.6</v>
      </c>
      <c r="DY84" s="9">
        <v>945.1</v>
      </c>
      <c r="DZ84" s="9">
        <v>943.4</v>
      </c>
      <c r="EA84" s="9">
        <v>847.2</v>
      </c>
      <c r="EB84" s="9">
        <v>865.1</v>
      </c>
      <c r="EC84" s="9">
        <v>934</v>
      </c>
      <c r="ED84" s="9">
        <v>944</v>
      </c>
      <c r="EE84" s="9">
        <v>851.9</v>
      </c>
      <c r="EF84" s="9">
        <v>856.4</v>
      </c>
      <c r="EG84" s="9">
        <v>948.5</v>
      </c>
      <c r="EH84" s="9">
        <v>841.6</v>
      </c>
      <c r="EI84" s="9">
        <v>836.2</v>
      </c>
      <c r="EJ84" s="9">
        <v>963.3</v>
      </c>
      <c r="EK84" s="9">
        <v>947.8</v>
      </c>
      <c r="EL84" s="9">
        <v>909.8</v>
      </c>
      <c r="EM84" s="9">
        <v>910.7</v>
      </c>
      <c r="EN84" s="9">
        <v>910.7</v>
      </c>
      <c r="EO84" s="9">
        <v>785.7</v>
      </c>
      <c r="EP84" s="9">
        <v>902</v>
      </c>
      <c r="EQ84" s="9">
        <v>900.6</v>
      </c>
      <c r="ER84" s="9">
        <v>930.6</v>
      </c>
      <c r="ES84" s="9">
        <v>916.5</v>
      </c>
      <c r="ET84" s="9">
        <v>900.1</v>
      </c>
      <c r="EU84" s="9">
        <v>834</v>
      </c>
      <c r="EV84" s="9">
        <v>899</v>
      </c>
      <c r="EW84" s="9">
        <v>894.1</v>
      </c>
      <c r="EX84" s="9">
        <v>856.5</v>
      </c>
      <c r="EY84" s="9">
        <v>931.4</v>
      </c>
      <c r="EZ84" s="9">
        <v>844</v>
      </c>
      <c r="FA84" s="9">
        <v>901</v>
      </c>
      <c r="FB84" s="9">
        <v>842.3</v>
      </c>
      <c r="FC84" s="9">
        <v>782.4</v>
      </c>
      <c r="FD84" s="9">
        <v>912.5</v>
      </c>
      <c r="FE84" s="9">
        <v>920.4</v>
      </c>
      <c r="FF84" s="9">
        <v>926.9</v>
      </c>
      <c r="FG84" s="9">
        <v>849.3</v>
      </c>
      <c r="FH84" s="9">
        <v>966.5</v>
      </c>
      <c r="FI84" s="9">
        <v>852.5</v>
      </c>
      <c r="FJ84" s="9">
        <v>840.4</v>
      </c>
      <c r="FK84" s="9">
        <v>833.8</v>
      </c>
      <c r="FL84" s="9">
        <v>835.8</v>
      </c>
      <c r="FM84" s="9">
        <v>838.5</v>
      </c>
      <c r="FN84" s="9">
        <v>833.4</v>
      </c>
      <c r="FO84" s="9">
        <v>819</v>
      </c>
      <c r="FP84" s="9">
        <v>931.7</v>
      </c>
      <c r="FQ84" s="9">
        <v>833</v>
      </c>
      <c r="FR84" s="9">
        <v>934.1</v>
      </c>
      <c r="FS84" s="9">
        <v>922.2</v>
      </c>
      <c r="FT84" s="9">
        <v>952.4</v>
      </c>
      <c r="FU84" s="9">
        <v>861.5</v>
      </c>
      <c r="FV84" s="9">
        <v>824.8</v>
      </c>
      <c r="FW84" s="9">
        <v>938.4</v>
      </c>
      <c r="FX84" s="9">
        <v>843.2</v>
      </c>
      <c r="FY84" s="9">
        <v>861</v>
      </c>
      <c r="FZ84" s="9">
        <v>856.9</v>
      </c>
      <c r="GA84" s="9">
        <v>859</v>
      </c>
      <c r="GB84" s="9">
        <v>933</v>
      </c>
      <c r="GC84" s="9">
        <v>865.6</v>
      </c>
      <c r="GD84" s="9">
        <v>945.4</v>
      </c>
      <c r="GE84" s="9">
        <v>831.4</v>
      </c>
      <c r="GF84" s="9">
        <v>837.1</v>
      </c>
      <c r="GG84" s="9">
        <v>821.8</v>
      </c>
      <c r="GH84" s="9">
        <v>953.3</v>
      </c>
      <c r="GI84" s="9">
        <v>845.1</v>
      </c>
      <c r="GJ84" s="9">
        <v>890.7</v>
      </c>
      <c r="GK84" s="9">
        <v>937.4</v>
      </c>
      <c r="GL84" s="9">
        <v>921.8</v>
      </c>
      <c r="GM84" s="9">
        <v>903.8</v>
      </c>
      <c r="GN84" s="9">
        <v>906.8</v>
      </c>
      <c r="GO84" s="9">
        <v>941.1</v>
      </c>
      <c r="GP84" s="9">
        <v>878.3</v>
      </c>
      <c r="GQ84" s="9">
        <v>879.3</v>
      </c>
      <c r="GR84" s="9">
        <v>876.6</v>
      </c>
      <c r="GS84" s="9">
        <v>889.6</v>
      </c>
      <c r="GT84" s="9">
        <v>839</v>
      </c>
      <c r="GU84" s="9">
        <v>831</v>
      </c>
      <c r="GV84" s="9">
        <v>840.6</v>
      </c>
      <c r="GW84" s="9">
        <v>844.4</v>
      </c>
      <c r="GX84" s="9">
        <v>842</v>
      </c>
      <c r="GY84" s="9">
        <v>847.2</v>
      </c>
      <c r="GZ84" s="9">
        <v>713.5</v>
      </c>
      <c r="HA84" s="9">
        <v>864.9</v>
      </c>
      <c r="HB84" s="9"/>
      <c r="HC84" s="9"/>
      <c r="HD84" s="9">
        <v>786.1</v>
      </c>
      <c r="HE84" s="9">
        <v>601</v>
      </c>
      <c r="HF84" s="9">
        <v>842.5</v>
      </c>
      <c r="HG84" s="9"/>
      <c r="HH84" s="9">
        <v>935.2</v>
      </c>
      <c r="HI84" s="9">
        <v>831.7</v>
      </c>
      <c r="HJ84" s="9">
        <v>845.5</v>
      </c>
      <c r="HK84" s="9">
        <v>839</v>
      </c>
      <c r="HL84" s="9">
        <v>846.6</v>
      </c>
      <c r="HM84" s="9">
        <v>847.9</v>
      </c>
      <c r="HN84" s="9">
        <v>859</v>
      </c>
      <c r="HO84" s="9">
        <v>853.7</v>
      </c>
      <c r="HP84" s="9">
        <v>860.3</v>
      </c>
      <c r="HQ84" s="9">
        <v>862.1</v>
      </c>
      <c r="HR84" s="9">
        <v>853.1</v>
      </c>
      <c r="HS84" s="9">
        <v>861.5</v>
      </c>
      <c r="HT84" s="9">
        <v>963.1</v>
      </c>
      <c r="HU84" s="9">
        <v>983.6</v>
      </c>
      <c r="HV84" s="9">
        <v>755</v>
      </c>
      <c r="HW84" s="9">
        <v>751</v>
      </c>
      <c r="HX84" s="9">
        <v>631</v>
      </c>
      <c r="HY84" s="9">
        <v>531</v>
      </c>
      <c r="HZ84" s="9">
        <v>651</v>
      </c>
      <c r="IA84" s="9">
        <v>747.5</v>
      </c>
      <c r="IB84" s="9">
        <v>891.6</v>
      </c>
      <c r="IC84" s="9">
        <v>956.8</v>
      </c>
      <c r="ID84" s="9">
        <v>894</v>
      </c>
      <c r="IE84" s="9">
        <v>898.8</v>
      </c>
      <c r="IF84" s="9">
        <v>901.1</v>
      </c>
      <c r="IG84" s="9">
        <v>925.5</v>
      </c>
      <c r="IH84" s="9">
        <v>953.1</v>
      </c>
      <c r="II84" s="9">
        <v>934</v>
      </c>
      <c r="IJ84" s="9">
        <v>801</v>
      </c>
      <c r="IK84" s="9">
        <v>863</v>
      </c>
      <c r="IL84" s="9">
        <v>803</v>
      </c>
      <c r="IM84" s="9">
        <v>831</v>
      </c>
      <c r="IN84" s="9">
        <v>768</v>
      </c>
      <c r="IO84" s="9"/>
      <c r="IP84" s="9">
        <v>1151</v>
      </c>
      <c r="IQ84" s="9">
        <v>901</v>
      </c>
      <c r="IR84" s="9">
        <v>335</v>
      </c>
      <c r="IS84" s="9">
        <v>831</v>
      </c>
      <c r="IT84" s="9">
        <v>801</v>
      </c>
      <c r="IU84" s="9"/>
      <c r="IV84" s="9"/>
      <c r="IW84" s="9">
        <v>799</v>
      </c>
      <c r="IX84" s="9">
        <v>855</v>
      </c>
      <c r="IY84" s="9">
        <v>868</v>
      </c>
      <c r="IZ84" s="9">
        <v>801</v>
      </c>
      <c r="JA84" s="9">
        <v>755</v>
      </c>
      <c r="JB84" s="11">
        <v>33.67</v>
      </c>
      <c r="JC84" s="11">
        <v>42.05</v>
      </c>
      <c r="JD84" s="11">
        <v>2.77</v>
      </c>
      <c r="JE84" s="11">
        <v>8.9</v>
      </c>
      <c r="JF84" s="11">
        <v>0.8</v>
      </c>
      <c r="JG84" s="11">
        <v>4.4400000000000004</v>
      </c>
      <c r="JH84" s="13">
        <v>3.98</v>
      </c>
      <c r="JI84" s="12"/>
      <c r="JJ84" s="277"/>
      <c r="JK84" s="9">
        <v>87183482.456</v>
      </c>
      <c r="JL84" s="215">
        <v>283371.40999999997</v>
      </c>
      <c r="JM84" s="9">
        <v>60133871.225000001</v>
      </c>
      <c r="JN84" s="215">
        <v>63003.839999999997</v>
      </c>
      <c r="JO84" s="9">
        <v>87894643.099000007</v>
      </c>
      <c r="JP84" s="215">
        <v>188494.848</v>
      </c>
      <c r="JQ84" s="9">
        <v>63902423.975000001</v>
      </c>
      <c r="JR84" s="215">
        <v>57824.44</v>
      </c>
      <c r="JS84" s="11">
        <v>330217933.48000002</v>
      </c>
      <c r="JT84" s="223">
        <v>88768.91</v>
      </c>
      <c r="JU84" s="283">
        <f t="shared" ref="JU84" si="411">IF((JK84-JK83)&lt;0,"",(JK84-JK83))</f>
        <v>56618.809000000358</v>
      </c>
      <c r="JV84" s="283">
        <f t="shared" ref="JV84" si="412">IF((JL84-JL83)&lt;0,"",(JL84-JL83))</f>
        <v>36.940999999991618</v>
      </c>
      <c r="JW84" s="283">
        <f t="shared" ref="JW84" si="413">IF((JM84-JM83)&lt;0,"",(JM84-JM83))</f>
        <v>54309.866999998689</v>
      </c>
      <c r="JX84" s="283">
        <f t="shared" ref="JX84" si="414">IF((JN84-JN83)&lt;0,"",(JN84-JN83))</f>
        <v>31.883999999998196</v>
      </c>
      <c r="JY84" s="284">
        <f t="shared" ref="JY84" si="415">IF((JO84-JO83)&lt;0,"",(JO84-JO83))</f>
        <v>56294.092000007629</v>
      </c>
      <c r="JZ84" s="284">
        <f t="shared" ref="JZ84" si="416">IF((JP84-JP83)&lt;0,"",(JP84-JP83))</f>
        <v>47.269999999989523</v>
      </c>
      <c r="KA84" s="284">
        <f t="shared" ref="KA84" si="417">IF((JQ84-JQ83)&lt;0,"",(JQ84-JQ83))</f>
        <v>44056.881000004709</v>
      </c>
      <c r="KB84" s="284">
        <f t="shared" ref="KB84" si="418">IF((JR84-JR83)&lt;0,"",(JR84-JR83))</f>
        <v>64.544000000001688</v>
      </c>
      <c r="KC84" s="283">
        <f t="shared" ref="KC84" si="419">IF((JS84-JS83)&lt;0,"",(JS84-JS83))</f>
        <v>211172.84500002861</v>
      </c>
      <c r="KD84" s="283">
        <f t="shared" si="410"/>
        <v>143.68099999999686</v>
      </c>
      <c r="KE84" s="291">
        <f t="shared" si="341"/>
        <v>110859.85099999906</v>
      </c>
      <c r="KF84" s="291">
        <f t="shared" si="342"/>
        <v>211029.16400002863</v>
      </c>
      <c r="KG84" s="292">
        <f>(RD[[#This Row],[Sunset Time (POA&lt;20 W/m2)]]-RD[[#This Row],[Sunrise Time (POA&gt;20 W/m2)]])*24</f>
        <v>10.883333333333333</v>
      </c>
      <c r="KH84" s="293">
        <f>RD[[#This Row],[GHI ]]</f>
        <v>4.4400000000000004</v>
      </c>
      <c r="KI84" s="293">
        <f>RD[[#This Row],[POA]]</f>
        <v>3.98</v>
      </c>
      <c r="KJ84" s="293">
        <f>RD[[#This Row],[AT (°C) 14 Hours]]</f>
        <v>33.67</v>
      </c>
      <c r="KK84" s="293">
        <f>RD[[#This Row],[MT (°C) Gen. Hours]]</f>
        <v>42.05</v>
      </c>
      <c r="KL84" s="293">
        <f>RD[[#This Row],[WS_Avg (m/s) (24 Hours)]]</f>
        <v>2.77</v>
      </c>
      <c r="KM84" s="293">
        <f>RD[[#This Row],[WS_Max (m/s)]]</f>
        <v>8.9</v>
      </c>
      <c r="KN84" s="294">
        <f>SUM(RD[[#This Row],[BLK1_INV1]:[BLK8_INV27]])</f>
        <v>212042.5</v>
      </c>
      <c r="KO84" s="95"/>
      <c r="KP84" s="55"/>
      <c r="KQ84" s="90" t="str">
        <f>IFERROR(RD[[#This Row],[WPR_Eac]]/RD[[#This Row],[WPR_Edc]],"")</f>
        <v/>
      </c>
    </row>
    <row r="85" spans="2:303" ht="15" customHeight="1" x14ac:dyDescent="0.25">
      <c r="B85" s="52">
        <v>45826</v>
      </c>
      <c r="C85" s="9">
        <f>YEAR(RD[[#This Row],[Date]])+IF(MONTH(RD[[#This Row],[Date]])&gt;=4,1,0)</f>
        <v>2026</v>
      </c>
      <c r="D85" s="6">
        <f t="shared" si="329"/>
        <v>2025</v>
      </c>
      <c r="E85" s="7"/>
      <c r="F85" s="7"/>
      <c r="G85" s="276" t="str">
        <f>TEXT(RD[[#This Row],[Date]],"mmm-yy")</f>
        <v>Jun-25</v>
      </c>
      <c r="H85" s="6">
        <f t="shared" si="330"/>
        <v>30</v>
      </c>
      <c r="I85" s="9">
        <f>'Basic Data '!$S$2</f>
        <v>66750</v>
      </c>
      <c r="J85" s="10">
        <v>0.21249999999999999</v>
      </c>
      <c r="K85" s="10">
        <v>0.77361111111111114</v>
      </c>
      <c r="L85" s="9">
        <v>1115</v>
      </c>
      <c r="M85" s="9">
        <v>1136.0999999999999</v>
      </c>
      <c r="N85" s="9">
        <v>1053.4000000000001</v>
      </c>
      <c r="O85" s="9">
        <v>1050.5</v>
      </c>
      <c r="P85" s="9">
        <v>1142.4000000000001</v>
      </c>
      <c r="Q85" s="9">
        <v>1052.8</v>
      </c>
      <c r="R85" s="9">
        <v>1065.8</v>
      </c>
      <c r="S85" s="9">
        <v>1065.5</v>
      </c>
      <c r="T85" s="9">
        <v>1095.4000000000001</v>
      </c>
      <c r="U85" s="9">
        <v>1102.4000000000001</v>
      </c>
      <c r="V85" s="9">
        <v>1085.5</v>
      </c>
      <c r="W85" s="9">
        <v>1079.8</v>
      </c>
      <c r="X85" s="9">
        <v>1057.3</v>
      </c>
      <c r="Y85" s="9">
        <v>995.3</v>
      </c>
      <c r="Z85" s="9">
        <v>1061.0999999999999</v>
      </c>
      <c r="AA85" s="9">
        <v>1013.1</v>
      </c>
      <c r="AB85" s="9">
        <v>1056.5</v>
      </c>
      <c r="AC85" s="9">
        <v>1057.5</v>
      </c>
      <c r="AD85" s="9">
        <v>1150.5999999999999</v>
      </c>
      <c r="AE85" s="9">
        <v>1152.4000000000001</v>
      </c>
      <c r="AF85" s="9">
        <v>1067</v>
      </c>
      <c r="AG85" s="9">
        <v>1066.2</v>
      </c>
      <c r="AH85" s="9">
        <v>1147.5</v>
      </c>
      <c r="AI85" s="9">
        <v>1201.8</v>
      </c>
      <c r="AJ85" s="9">
        <v>1165.2</v>
      </c>
      <c r="AK85" s="9">
        <v>1149.4000000000001</v>
      </c>
      <c r="AL85" s="9">
        <v>1140.5</v>
      </c>
      <c r="AM85" s="9">
        <v>1186.3</v>
      </c>
      <c r="AN85" s="9">
        <v>1200.5</v>
      </c>
      <c r="AO85" s="9">
        <v>1215.5</v>
      </c>
      <c r="AP85" s="9">
        <v>1221.5</v>
      </c>
      <c r="AQ85" s="9">
        <v>1205.4000000000001</v>
      </c>
      <c r="AR85" s="9">
        <v>944</v>
      </c>
      <c r="AS85" s="9">
        <v>1111.4000000000001</v>
      </c>
      <c r="AT85" s="9">
        <v>986.1</v>
      </c>
      <c r="AU85" s="9">
        <v>1115.9000000000001</v>
      </c>
      <c r="AV85" s="9">
        <v>986.1</v>
      </c>
      <c r="AW85" s="9">
        <v>988.3</v>
      </c>
      <c r="AX85" s="9">
        <v>1001.1</v>
      </c>
      <c r="AY85" s="9">
        <v>995.5</v>
      </c>
      <c r="AZ85" s="9">
        <v>980.5</v>
      </c>
      <c r="BA85" s="9">
        <v>993.1</v>
      </c>
      <c r="BB85" s="9">
        <v>981</v>
      </c>
      <c r="BC85" s="9">
        <v>994.4</v>
      </c>
      <c r="BD85" s="9">
        <v>1004.2</v>
      </c>
      <c r="BE85" s="9">
        <v>991</v>
      </c>
      <c r="BF85" s="9">
        <v>1081.0999999999999</v>
      </c>
      <c r="BG85" s="9">
        <v>996.5</v>
      </c>
      <c r="BH85" s="9">
        <v>1034.0999999999999</v>
      </c>
      <c r="BI85" s="9">
        <v>1037.5</v>
      </c>
      <c r="BJ85" s="9">
        <v>999.6</v>
      </c>
      <c r="BK85" s="9">
        <v>995.5</v>
      </c>
      <c r="BL85" s="9">
        <v>1124.2</v>
      </c>
      <c r="BM85" s="9">
        <v>1122.4000000000001</v>
      </c>
      <c r="BN85" s="9">
        <v>1081.2</v>
      </c>
      <c r="BO85" s="9">
        <v>1124.5</v>
      </c>
      <c r="BP85" s="9">
        <v>1139.8</v>
      </c>
      <c r="BQ85" s="9">
        <v>1003.2</v>
      </c>
      <c r="BR85" s="9">
        <v>1123.5</v>
      </c>
      <c r="BS85" s="9">
        <v>1129.0999999999999</v>
      </c>
      <c r="BT85" s="9">
        <v>1002.9</v>
      </c>
      <c r="BU85" s="9">
        <v>1110.7</v>
      </c>
      <c r="BV85" s="9">
        <v>1001.1</v>
      </c>
      <c r="BW85" s="9">
        <v>941</v>
      </c>
      <c r="BX85" s="9">
        <v>1131.9000000000001</v>
      </c>
      <c r="BY85" s="9">
        <v>1123.2</v>
      </c>
      <c r="BZ85" s="9">
        <v>1135</v>
      </c>
      <c r="CA85" s="9">
        <v>1105.4000000000001</v>
      </c>
      <c r="CB85" s="9">
        <v>1044.0999999999999</v>
      </c>
      <c r="CC85" s="9">
        <v>1044.0999999999999</v>
      </c>
      <c r="CD85" s="9">
        <v>1050.4000000000001</v>
      </c>
      <c r="CE85" s="9">
        <v>1044.9000000000001</v>
      </c>
      <c r="CF85" s="9">
        <v>1075.0999999999999</v>
      </c>
      <c r="CG85" s="9">
        <v>1032.2</v>
      </c>
      <c r="CH85" s="9">
        <v>1194</v>
      </c>
      <c r="CI85" s="9">
        <v>1177.3</v>
      </c>
      <c r="CJ85" s="9">
        <v>1197.4000000000001</v>
      </c>
      <c r="CK85" s="9">
        <v>1057.5999999999999</v>
      </c>
      <c r="CL85" s="9">
        <v>1055.5</v>
      </c>
      <c r="CM85" s="9">
        <v>1148.5</v>
      </c>
      <c r="CN85" s="9">
        <v>1021</v>
      </c>
      <c r="CO85" s="9">
        <v>1041</v>
      </c>
      <c r="CP85" s="9">
        <v>1053</v>
      </c>
      <c r="CQ85" s="9">
        <v>1070.5999999999999</v>
      </c>
      <c r="CR85" s="9">
        <v>1057.8</v>
      </c>
      <c r="CS85" s="9">
        <v>1057.5</v>
      </c>
      <c r="CT85" s="9">
        <v>1060.2</v>
      </c>
      <c r="CU85" s="9">
        <v>1051.3</v>
      </c>
      <c r="CV85" s="9">
        <v>1037.2</v>
      </c>
      <c r="CW85" s="9">
        <v>1029.4000000000001</v>
      </c>
      <c r="CX85" s="9">
        <v>1070</v>
      </c>
      <c r="CY85" s="9">
        <v>1125.7</v>
      </c>
      <c r="CZ85" s="9">
        <v>1070.2</v>
      </c>
      <c r="DA85" s="9">
        <v>1067.5999999999999</v>
      </c>
      <c r="DB85" s="9">
        <v>1161.9000000000001</v>
      </c>
      <c r="DC85" s="9">
        <v>1049.9000000000001</v>
      </c>
      <c r="DD85" s="9">
        <v>1044.0999999999999</v>
      </c>
      <c r="DE85" s="9">
        <v>1065.7</v>
      </c>
      <c r="DF85" s="9">
        <v>1051.9000000000001</v>
      </c>
      <c r="DG85" s="9">
        <v>1057.5999999999999</v>
      </c>
      <c r="DH85" s="9">
        <v>1083.0999999999999</v>
      </c>
      <c r="DI85" s="9">
        <v>1055.0999999999999</v>
      </c>
      <c r="DJ85" s="9">
        <v>1071.5</v>
      </c>
      <c r="DK85" s="9">
        <v>1046.5999999999999</v>
      </c>
      <c r="DL85" s="9">
        <v>1186.7</v>
      </c>
      <c r="DM85" s="9">
        <v>1056.2</v>
      </c>
      <c r="DN85" s="9">
        <v>1217.2</v>
      </c>
      <c r="DO85" s="9">
        <v>1169.3</v>
      </c>
      <c r="DP85" s="9">
        <v>1061.2</v>
      </c>
      <c r="DQ85" s="9">
        <v>1177.7</v>
      </c>
      <c r="DR85" s="9">
        <v>1135.0999999999999</v>
      </c>
      <c r="DS85" s="9">
        <v>1111</v>
      </c>
      <c r="DT85" s="9">
        <v>1164.5</v>
      </c>
      <c r="DU85" s="9">
        <v>1172.8</v>
      </c>
      <c r="DV85" s="9">
        <v>1061.4000000000001</v>
      </c>
      <c r="DW85" s="9">
        <v>1063.4000000000001</v>
      </c>
      <c r="DX85" s="9">
        <v>1151.4000000000001</v>
      </c>
      <c r="DY85" s="9">
        <v>1174.0999999999999</v>
      </c>
      <c r="DZ85" s="9">
        <v>1171.8499999999999</v>
      </c>
      <c r="EA85" s="9">
        <v>1053.7</v>
      </c>
      <c r="EB85" s="9">
        <v>1062.2</v>
      </c>
      <c r="EC85" s="9">
        <v>1146</v>
      </c>
      <c r="ED85" s="9">
        <v>1149.8</v>
      </c>
      <c r="EE85" s="9">
        <v>1052.3</v>
      </c>
      <c r="EF85" s="9">
        <v>1061.3</v>
      </c>
      <c r="EG85" s="9">
        <v>1187</v>
      </c>
      <c r="EH85" s="9">
        <v>1048</v>
      </c>
      <c r="EI85" s="9">
        <v>1051</v>
      </c>
      <c r="EJ85" s="9">
        <v>1198.7</v>
      </c>
      <c r="EK85" s="9">
        <v>1183.3</v>
      </c>
      <c r="EL85" s="9">
        <v>1142.2</v>
      </c>
      <c r="EM85" s="9">
        <v>1144.7</v>
      </c>
      <c r="EN85" s="9">
        <v>1151.5999999999999</v>
      </c>
      <c r="EO85" s="9">
        <v>962.6</v>
      </c>
      <c r="EP85" s="9">
        <v>1101.8</v>
      </c>
      <c r="EQ85" s="9">
        <v>1136.9000000000001</v>
      </c>
      <c r="ER85" s="9">
        <v>1169.2</v>
      </c>
      <c r="ES85" s="9">
        <v>1156.0999999999999</v>
      </c>
      <c r="ET85" s="9">
        <v>1129.4000000000001</v>
      </c>
      <c r="EU85" s="9">
        <v>1020.4</v>
      </c>
      <c r="EV85" s="9">
        <v>1135.3</v>
      </c>
      <c r="EW85" s="9">
        <v>1120.0999999999999</v>
      </c>
      <c r="EX85" s="9">
        <v>1064.7</v>
      </c>
      <c r="EY85" s="9">
        <v>1161.7</v>
      </c>
      <c r="EZ85" s="9">
        <v>1028.5999999999999</v>
      </c>
      <c r="FA85" s="9">
        <v>1133.7</v>
      </c>
      <c r="FB85" s="9">
        <v>1058.2</v>
      </c>
      <c r="FC85" s="9">
        <v>980.4</v>
      </c>
      <c r="FD85" s="9">
        <v>1139.7</v>
      </c>
      <c r="FE85" s="9">
        <v>1149.7</v>
      </c>
      <c r="FF85" s="9">
        <v>1146.2</v>
      </c>
      <c r="FG85" s="9">
        <v>1053.3</v>
      </c>
      <c r="FH85" s="9">
        <v>1193.7</v>
      </c>
      <c r="FI85" s="9">
        <v>1056.3</v>
      </c>
      <c r="FJ85" s="9">
        <v>1043.5</v>
      </c>
      <c r="FK85" s="9">
        <v>1039.7</v>
      </c>
      <c r="FL85" s="9">
        <v>1044.7</v>
      </c>
      <c r="FM85" s="9">
        <v>1043.4000000000001</v>
      </c>
      <c r="FN85" s="9">
        <v>1041</v>
      </c>
      <c r="FO85" s="9">
        <v>1051.5</v>
      </c>
      <c r="FP85" s="9">
        <v>1197.9000000000001</v>
      </c>
      <c r="FQ85" s="9">
        <v>1039.2</v>
      </c>
      <c r="FR85" s="9">
        <v>1188</v>
      </c>
      <c r="FS85" s="9">
        <v>1180.4000000000001</v>
      </c>
      <c r="FT85" s="9">
        <v>1150</v>
      </c>
      <c r="FU85" s="9">
        <v>1096</v>
      </c>
      <c r="FV85" s="9">
        <v>1051.4000000000001</v>
      </c>
      <c r="FW85" s="9">
        <v>1175.0999999999999</v>
      </c>
      <c r="FX85" s="9">
        <v>1040</v>
      </c>
      <c r="FY85" s="9">
        <v>1071.2</v>
      </c>
      <c r="FZ85" s="9">
        <v>1097.2</v>
      </c>
      <c r="GA85" s="9">
        <v>1069.4000000000001</v>
      </c>
      <c r="GB85" s="9">
        <v>1190.9000000000001</v>
      </c>
      <c r="GC85" s="9">
        <v>1101.5999999999999</v>
      </c>
      <c r="GD85" s="9">
        <v>1178</v>
      </c>
      <c r="GE85" s="9">
        <v>1071.0999999999999</v>
      </c>
      <c r="GF85" s="9">
        <v>1075</v>
      </c>
      <c r="GG85" s="9">
        <v>1058.9000000000001</v>
      </c>
      <c r="GH85" s="9">
        <v>1190.0999999999999</v>
      </c>
      <c r="GI85" s="9">
        <v>1048</v>
      </c>
      <c r="GJ85" s="9">
        <v>1145.7</v>
      </c>
      <c r="GK85" s="9">
        <v>1176</v>
      </c>
      <c r="GL85" s="9">
        <v>1176.2</v>
      </c>
      <c r="GM85" s="9">
        <v>1101</v>
      </c>
      <c r="GN85" s="9">
        <v>1123</v>
      </c>
      <c r="GO85" s="9">
        <v>1179</v>
      </c>
      <c r="GP85" s="9">
        <v>1121.4000000000001</v>
      </c>
      <c r="GQ85" s="9">
        <v>1126.3</v>
      </c>
      <c r="GR85" s="9">
        <v>1114</v>
      </c>
      <c r="GS85" s="9">
        <v>1142</v>
      </c>
      <c r="GT85" s="9">
        <v>1039.9000000000001</v>
      </c>
      <c r="GU85" s="9">
        <v>1022.4</v>
      </c>
      <c r="GV85" s="9">
        <v>1011</v>
      </c>
      <c r="GW85" s="9">
        <v>1038.2</v>
      </c>
      <c r="GX85" s="9">
        <v>1041.5999999999999</v>
      </c>
      <c r="GY85" s="9">
        <v>1023</v>
      </c>
      <c r="GZ85" s="9">
        <v>882</v>
      </c>
      <c r="HA85" s="9">
        <v>1062.7</v>
      </c>
      <c r="HB85" s="9"/>
      <c r="HC85" s="9"/>
      <c r="HD85" s="9">
        <v>930.1</v>
      </c>
      <c r="HE85" s="9">
        <v>744</v>
      </c>
      <c r="HF85" s="9">
        <v>1038.7</v>
      </c>
      <c r="HG85" s="9"/>
      <c r="HH85" s="9">
        <v>1123.5</v>
      </c>
      <c r="HI85" s="9">
        <v>1022</v>
      </c>
      <c r="HJ85" s="9">
        <v>1052</v>
      </c>
      <c r="HK85" s="9">
        <v>971.6</v>
      </c>
      <c r="HL85" s="9">
        <v>1048.9000000000001</v>
      </c>
      <c r="HM85" s="9">
        <v>1056.4000000000001</v>
      </c>
      <c r="HN85" s="9">
        <v>1059.0999999999999</v>
      </c>
      <c r="HO85" s="9">
        <v>1058.5999999999999</v>
      </c>
      <c r="HP85" s="9">
        <v>1059.4000000000001</v>
      </c>
      <c r="HQ85" s="9">
        <v>1022</v>
      </c>
      <c r="HR85" s="9">
        <v>1053.4000000000001</v>
      </c>
      <c r="HS85" s="9">
        <v>1062.4000000000001</v>
      </c>
      <c r="HT85" s="9">
        <v>1175.8</v>
      </c>
      <c r="HU85" s="9">
        <v>1194.2</v>
      </c>
      <c r="HV85" s="9">
        <v>901</v>
      </c>
      <c r="HW85" s="9">
        <v>901</v>
      </c>
      <c r="HX85" s="9">
        <v>771</v>
      </c>
      <c r="HY85" s="9">
        <v>644</v>
      </c>
      <c r="HZ85" s="9">
        <v>801</v>
      </c>
      <c r="IA85" s="9">
        <v>912.4</v>
      </c>
      <c r="IB85" s="9">
        <v>1094.8</v>
      </c>
      <c r="IC85" s="9">
        <v>1164.9000000000001</v>
      </c>
      <c r="ID85" s="9">
        <v>1114.7</v>
      </c>
      <c r="IE85" s="9">
        <v>1108.8</v>
      </c>
      <c r="IF85" s="9">
        <v>1099.5</v>
      </c>
      <c r="IG85" s="9">
        <v>1129.2</v>
      </c>
      <c r="IH85" s="9">
        <v>1159.2</v>
      </c>
      <c r="II85" s="9">
        <v>1156</v>
      </c>
      <c r="IJ85" s="9">
        <v>1011</v>
      </c>
      <c r="IK85" s="9">
        <v>1055</v>
      </c>
      <c r="IL85" s="9">
        <v>981</v>
      </c>
      <c r="IM85" s="9">
        <v>1044</v>
      </c>
      <c r="IN85" s="9">
        <v>945</v>
      </c>
      <c r="IO85" s="9"/>
      <c r="IP85" s="9">
        <v>1378</v>
      </c>
      <c r="IQ85" s="9">
        <v>1101</v>
      </c>
      <c r="IR85" s="9">
        <v>412</v>
      </c>
      <c r="IS85" s="9">
        <v>1051</v>
      </c>
      <c r="IT85" s="9">
        <v>981</v>
      </c>
      <c r="IU85" s="9"/>
      <c r="IV85" s="9"/>
      <c r="IW85" s="9">
        <v>965</v>
      </c>
      <c r="IX85" s="9">
        <v>1039</v>
      </c>
      <c r="IY85" s="9">
        <v>1071</v>
      </c>
      <c r="IZ85" s="9">
        <v>981</v>
      </c>
      <c r="JA85" s="9">
        <v>931</v>
      </c>
      <c r="JB85" s="11">
        <v>31.72</v>
      </c>
      <c r="JC85" s="11">
        <v>42.78</v>
      </c>
      <c r="JD85" s="11">
        <v>1.64</v>
      </c>
      <c r="JE85" s="11">
        <v>5.0999999999999996</v>
      </c>
      <c r="JF85" s="11"/>
      <c r="JG85" s="11">
        <v>5.32</v>
      </c>
      <c r="JH85" s="13">
        <v>4.96</v>
      </c>
      <c r="JI85" s="12"/>
      <c r="JJ85" s="277"/>
      <c r="JK85" s="9">
        <v>87251038.439999998</v>
      </c>
      <c r="JL85" s="260">
        <v>283395.35100000002</v>
      </c>
      <c r="JM85" s="9">
        <v>60201269.853</v>
      </c>
      <c r="JN85" s="260">
        <v>63035.724000000002</v>
      </c>
      <c r="JO85" s="9">
        <v>87965830.574000001</v>
      </c>
      <c r="JP85" s="260">
        <v>188542.11799999999</v>
      </c>
      <c r="JQ85" s="9">
        <v>63956006.601000004</v>
      </c>
      <c r="JR85" s="260">
        <v>57882.983999999997</v>
      </c>
      <c r="JS85" s="11">
        <v>330477604.22299999</v>
      </c>
      <c r="JT85" s="289">
        <v>88904.591</v>
      </c>
      <c r="JU85" s="283">
        <f t="shared" ref="JU85" si="420">IF((JK85-JK84)&lt;0,"",(JK85-JK84))</f>
        <v>67555.983999997377</v>
      </c>
      <c r="JV85" s="283">
        <f t="shared" ref="JV85" si="421">IF((JL85-JL84)&lt;0,"",(JL85-JL84))</f>
        <v>23.941000000049826</v>
      </c>
      <c r="JW85" s="283">
        <f t="shared" ref="JW85" si="422">IF((JM85-JM84)&lt;0,"",(JM85-JM84))</f>
        <v>67398.627999998629</v>
      </c>
      <c r="JX85" s="283">
        <f t="shared" ref="JX85" si="423">IF((JN85-JN84)&lt;0,"",(JN85-JN84))</f>
        <v>31.884000000005472</v>
      </c>
      <c r="JY85" s="284">
        <f t="shared" ref="JY85" si="424">IF((JO85-JO84)&lt;0,"",(JO85-JO84))</f>
        <v>71187.47499999404</v>
      </c>
      <c r="JZ85" s="284">
        <f t="shared" ref="JZ85" si="425">IF((JP85-JP84)&lt;0,"",(JP85-JP84))</f>
        <v>47.269999999989523</v>
      </c>
      <c r="KA85" s="284">
        <f t="shared" ref="KA85" si="426">IF((JQ85-JQ84)&lt;0,"",(JQ85-JQ84))</f>
        <v>53582.626000002027</v>
      </c>
      <c r="KB85" s="284">
        <f t="shared" ref="KB85" si="427">IF((JR85-JR84)&lt;0,"",(JR85-JR84))</f>
        <v>58.543999999994412</v>
      </c>
      <c r="KC85" s="283">
        <f t="shared" ref="KC85" si="428">IF((JS85-JS84)&lt;0,"",(JS85-JS84))</f>
        <v>259670.74299997091</v>
      </c>
      <c r="KD85" s="283">
        <f t="shared" si="410"/>
        <v>135.68099999999686</v>
      </c>
      <c r="KE85" s="291">
        <f t="shared" si="341"/>
        <v>134898.78699999594</v>
      </c>
      <c r="KF85" s="291">
        <f t="shared" si="342"/>
        <v>259535.06199997093</v>
      </c>
      <c r="KG85" s="292">
        <f>(RD[[#This Row],[Sunset Time (POA&lt;20 W/m2)]]-RD[[#This Row],[Sunrise Time (POA&gt;20 W/m2)]])*24</f>
        <v>13.466666666666667</v>
      </c>
      <c r="KH85" s="293">
        <f>RD[[#This Row],[GHI ]]</f>
        <v>5.32</v>
      </c>
      <c r="KI85" s="293">
        <f>RD[[#This Row],[POA]]</f>
        <v>4.96</v>
      </c>
      <c r="KJ85" s="293">
        <f>RD[[#This Row],[AT (°C) 14 Hours]]</f>
        <v>31.72</v>
      </c>
      <c r="KK85" s="293">
        <f>RD[[#This Row],[MT (°C) Gen. Hours]]</f>
        <v>42.78</v>
      </c>
      <c r="KL85" s="293">
        <f>RD[[#This Row],[WS_Avg (m/s) (24 Hours)]]</f>
        <v>1.64</v>
      </c>
      <c r="KM85" s="293">
        <f>RD[[#This Row],[WS_Max (m/s)]]</f>
        <v>5.0999999999999996</v>
      </c>
      <c r="KN85" s="294">
        <f>SUM(RD[[#This Row],[BLK1_INV1]:[BLK8_INV27]])</f>
        <v>261299.0500000001</v>
      </c>
      <c r="KO85" s="95"/>
      <c r="KP85" s="55"/>
      <c r="KQ85" s="90" t="str">
        <f>IFERROR(RD[[#This Row],[WPR_Eac]]/RD[[#This Row],[WPR_Edc]],"")</f>
        <v/>
      </c>
    </row>
    <row r="86" spans="2:303" ht="15" customHeight="1" x14ac:dyDescent="0.25">
      <c r="B86" s="52">
        <v>45827</v>
      </c>
      <c r="C86" s="9">
        <f>YEAR(RD[[#This Row],[Date]])+IF(MONTH(RD[[#This Row],[Date]])&gt;=4,1,0)</f>
        <v>2026</v>
      </c>
      <c r="D86" s="6">
        <f t="shared" ref="D86:D97" si="429">YEAR(B86)</f>
        <v>2025</v>
      </c>
      <c r="E86" s="7"/>
      <c r="F86" s="7"/>
      <c r="G86" s="367" t="str">
        <f>TEXT(RD[[#This Row],[Date]],"mmm-yy")</f>
        <v>Jun-25</v>
      </c>
      <c r="H86" s="6">
        <f t="shared" ref="H86:H97" si="430">DAY(EOMONTH(B86,0))</f>
        <v>30</v>
      </c>
      <c r="I86" s="9">
        <f>'Basic Data '!$S$2</f>
        <v>66750</v>
      </c>
      <c r="J86" s="10">
        <v>0.22500000000000001</v>
      </c>
      <c r="K86" s="10">
        <v>0.74305555555555547</v>
      </c>
      <c r="L86" s="9">
        <v>989</v>
      </c>
      <c r="M86" s="9">
        <v>984</v>
      </c>
      <c r="N86" s="9">
        <v>912.2</v>
      </c>
      <c r="O86" s="9">
        <v>911.6</v>
      </c>
      <c r="P86" s="9">
        <v>978.4</v>
      </c>
      <c r="Q86" s="9">
        <v>907.6</v>
      </c>
      <c r="R86" s="9">
        <v>911.3</v>
      </c>
      <c r="S86" s="9">
        <v>911.3</v>
      </c>
      <c r="T86" s="9">
        <v>940.2</v>
      </c>
      <c r="U86" s="9">
        <v>946.8</v>
      </c>
      <c r="V86" s="9">
        <v>919.3</v>
      </c>
      <c r="W86" s="9">
        <v>923.1</v>
      </c>
      <c r="X86" s="9">
        <v>908.3</v>
      </c>
      <c r="Y86" s="9">
        <v>854.3</v>
      </c>
      <c r="Z86" s="9">
        <v>910</v>
      </c>
      <c r="AA86" s="9">
        <v>885</v>
      </c>
      <c r="AB86" s="9">
        <v>906.2</v>
      </c>
      <c r="AC86" s="9">
        <v>902.5</v>
      </c>
      <c r="AD86" s="9">
        <v>978</v>
      </c>
      <c r="AE86" s="9">
        <v>980.7</v>
      </c>
      <c r="AF86" s="9">
        <v>912.9</v>
      </c>
      <c r="AG86" s="9">
        <v>912</v>
      </c>
      <c r="AH86" s="9">
        <v>963.2</v>
      </c>
      <c r="AI86" s="9">
        <v>1028</v>
      </c>
      <c r="AJ86" s="9">
        <v>994.4</v>
      </c>
      <c r="AK86" s="9">
        <v>981.5</v>
      </c>
      <c r="AL86" s="9">
        <v>975.3</v>
      </c>
      <c r="AM86" s="9">
        <v>1015.7</v>
      </c>
      <c r="AN86" s="9">
        <v>1024.5999999999999</v>
      </c>
      <c r="AO86" s="9">
        <v>1024.5</v>
      </c>
      <c r="AP86" s="9">
        <v>1019.1</v>
      </c>
      <c r="AQ86" s="9">
        <v>1028</v>
      </c>
      <c r="AR86" s="9">
        <v>878.6</v>
      </c>
      <c r="AS86" s="9">
        <v>1113.0999999999999</v>
      </c>
      <c r="AT86" s="9">
        <v>912.7</v>
      </c>
      <c r="AU86" s="9">
        <v>1033.5</v>
      </c>
      <c r="AV86" s="9">
        <v>910.7</v>
      </c>
      <c r="AW86" s="9">
        <v>885.6</v>
      </c>
      <c r="AX86" s="9">
        <v>895.5</v>
      </c>
      <c r="AY86" s="9">
        <v>914.5</v>
      </c>
      <c r="AZ86" s="9">
        <v>901.5</v>
      </c>
      <c r="BA86" s="9">
        <v>893.3</v>
      </c>
      <c r="BB86" s="9">
        <v>903.3</v>
      </c>
      <c r="BC86" s="9">
        <v>913.5</v>
      </c>
      <c r="BD86" s="9">
        <v>905</v>
      </c>
      <c r="BE86" s="9">
        <v>909.4</v>
      </c>
      <c r="BF86" s="9">
        <v>977.6</v>
      </c>
      <c r="BG86" s="9">
        <v>901.2</v>
      </c>
      <c r="BH86" s="9">
        <v>931.4</v>
      </c>
      <c r="BI86" s="9">
        <v>945</v>
      </c>
      <c r="BJ86" s="9">
        <v>903.8</v>
      </c>
      <c r="BK86" s="9">
        <v>901.1</v>
      </c>
      <c r="BL86" s="9">
        <v>1030.2</v>
      </c>
      <c r="BM86" s="9">
        <v>1017.7</v>
      </c>
      <c r="BN86" s="9">
        <v>968.8</v>
      </c>
      <c r="BO86" s="9">
        <v>1023.4</v>
      </c>
      <c r="BP86" s="9">
        <v>1027.4000000000001</v>
      </c>
      <c r="BQ86" s="9">
        <v>914.5</v>
      </c>
      <c r="BR86" s="9">
        <v>1016.9</v>
      </c>
      <c r="BS86" s="9">
        <v>1030.0999999999999</v>
      </c>
      <c r="BT86" s="9">
        <v>911.7</v>
      </c>
      <c r="BU86" s="9">
        <v>1034.9000000000001</v>
      </c>
      <c r="BV86" s="9">
        <v>900.2</v>
      </c>
      <c r="BW86" s="9">
        <v>872</v>
      </c>
      <c r="BX86" s="9">
        <v>978.7</v>
      </c>
      <c r="BY86" s="9">
        <v>972.8</v>
      </c>
      <c r="BZ86" s="9">
        <v>979.8</v>
      </c>
      <c r="CA86" s="9">
        <v>957.4</v>
      </c>
      <c r="CB86" s="9">
        <v>902.2</v>
      </c>
      <c r="CC86" s="9">
        <v>898.5</v>
      </c>
      <c r="CD86" s="9">
        <v>902.7</v>
      </c>
      <c r="CE86" s="9">
        <v>896.5</v>
      </c>
      <c r="CF86" s="9">
        <v>921.6</v>
      </c>
      <c r="CG86" s="9">
        <v>906.8</v>
      </c>
      <c r="CH86" s="9">
        <v>1044.4000000000001</v>
      </c>
      <c r="CI86" s="9">
        <v>1020</v>
      </c>
      <c r="CJ86" s="9">
        <v>1042.3</v>
      </c>
      <c r="CK86" s="9">
        <v>914.1</v>
      </c>
      <c r="CL86" s="9">
        <v>900.8</v>
      </c>
      <c r="CM86" s="9">
        <v>990.6</v>
      </c>
      <c r="CN86" s="9">
        <v>910.2</v>
      </c>
      <c r="CO86" s="9">
        <v>913.9</v>
      </c>
      <c r="CP86" s="9">
        <v>900.8</v>
      </c>
      <c r="CQ86" s="9">
        <v>913.3</v>
      </c>
      <c r="CR86" s="9">
        <v>897.1</v>
      </c>
      <c r="CS86" s="9">
        <v>902</v>
      </c>
      <c r="CT86" s="9">
        <v>906.4</v>
      </c>
      <c r="CU86" s="9">
        <v>899.8</v>
      </c>
      <c r="CV86" s="9">
        <v>887.9</v>
      </c>
      <c r="CW86" s="9">
        <v>902</v>
      </c>
      <c r="CX86" s="9">
        <v>927.8</v>
      </c>
      <c r="CY86" s="9">
        <v>968.8</v>
      </c>
      <c r="CZ86" s="9">
        <v>918.3</v>
      </c>
      <c r="DA86" s="9">
        <v>914.2</v>
      </c>
      <c r="DB86" s="9">
        <v>1006.2</v>
      </c>
      <c r="DC86" s="9">
        <v>899.4</v>
      </c>
      <c r="DD86" s="9">
        <v>900.1</v>
      </c>
      <c r="DE86" s="9">
        <v>916.8</v>
      </c>
      <c r="DF86" s="9">
        <v>912.1</v>
      </c>
      <c r="DG86" s="9">
        <v>909.9</v>
      </c>
      <c r="DH86" s="9">
        <v>928.9</v>
      </c>
      <c r="DI86" s="9">
        <v>908.8</v>
      </c>
      <c r="DJ86" s="9">
        <v>919.4</v>
      </c>
      <c r="DK86" s="9">
        <v>896.8</v>
      </c>
      <c r="DL86" s="9">
        <v>1028.2</v>
      </c>
      <c r="DM86" s="9">
        <v>908.7</v>
      </c>
      <c r="DN86" s="9">
        <v>1065.3</v>
      </c>
      <c r="DO86" s="9">
        <v>1011.2</v>
      </c>
      <c r="DP86" s="9">
        <v>911.9</v>
      </c>
      <c r="DQ86" s="9">
        <v>1011.3</v>
      </c>
      <c r="DR86" s="9">
        <v>972.7</v>
      </c>
      <c r="DS86" s="9">
        <v>961</v>
      </c>
      <c r="DT86" s="9">
        <v>1020.2</v>
      </c>
      <c r="DU86" s="9">
        <v>1018.7</v>
      </c>
      <c r="DV86" s="9">
        <v>911.1</v>
      </c>
      <c r="DW86" s="9">
        <v>914.9</v>
      </c>
      <c r="DX86" s="9">
        <v>1006.2</v>
      </c>
      <c r="DY86" s="9">
        <v>1001.2</v>
      </c>
      <c r="DZ86" s="9">
        <v>1005</v>
      </c>
      <c r="EA86" s="9">
        <v>897.7</v>
      </c>
      <c r="EB86" s="9">
        <v>915.4</v>
      </c>
      <c r="EC86" s="9">
        <v>1001</v>
      </c>
      <c r="ED86" s="9">
        <v>1011</v>
      </c>
      <c r="EE86" s="9">
        <v>903.1</v>
      </c>
      <c r="EF86" s="9">
        <v>911.1</v>
      </c>
      <c r="EG86" s="9">
        <v>1022.2</v>
      </c>
      <c r="EH86" s="9">
        <v>900.9</v>
      </c>
      <c r="EI86" s="9">
        <v>905.2</v>
      </c>
      <c r="EJ86" s="9">
        <v>1039.3</v>
      </c>
      <c r="EK86" s="9">
        <v>1027.7</v>
      </c>
      <c r="EL86" s="9">
        <v>989</v>
      </c>
      <c r="EM86" s="9">
        <v>989.9</v>
      </c>
      <c r="EN86" s="9">
        <v>989.7</v>
      </c>
      <c r="EO86" s="9">
        <v>853.9</v>
      </c>
      <c r="EP86" s="9">
        <v>1009.8</v>
      </c>
      <c r="EQ86" s="9">
        <v>979.9</v>
      </c>
      <c r="ER86" s="9">
        <v>1017.8</v>
      </c>
      <c r="ES86" s="9">
        <v>1002.8</v>
      </c>
      <c r="ET86" s="9">
        <v>988.6</v>
      </c>
      <c r="EU86" s="9">
        <v>891.5</v>
      </c>
      <c r="EV86" s="9">
        <v>978.8</v>
      </c>
      <c r="EW86" s="9">
        <v>976.8</v>
      </c>
      <c r="EX86" s="9">
        <v>934.9</v>
      </c>
      <c r="EY86" s="9">
        <v>1018.7</v>
      </c>
      <c r="EZ86" s="9">
        <v>898.5</v>
      </c>
      <c r="FA86" s="9">
        <v>971</v>
      </c>
      <c r="FB86" s="9">
        <v>921.1</v>
      </c>
      <c r="FC86" s="9">
        <v>855.4</v>
      </c>
      <c r="FD86" s="9">
        <v>991.9</v>
      </c>
      <c r="FE86" s="9">
        <v>1000.7</v>
      </c>
      <c r="FF86" s="9">
        <v>1003.9</v>
      </c>
      <c r="FG86" s="9">
        <v>915.9</v>
      </c>
      <c r="FH86" s="9">
        <v>1039.0999999999999</v>
      </c>
      <c r="FI86" s="9">
        <v>917.6</v>
      </c>
      <c r="FJ86" s="9">
        <v>906.3</v>
      </c>
      <c r="FK86" s="9">
        <v>902.4</v>
      </c>
      <c r="FL86" s="9">
        <v>912.2</v>
      </c>
      <c r="FM86" s="9">
        <v>905.4</v>
      </c>
      <c r="FN86" s="9">
        <v>913.4</v>
      </c>
      <c r="FO86" s="9">
        <v>896.6</v>
      </c>
      <c r="FP86" s="9">
        <v>1022.6</v>
      </c>
      <c r="FQ86" s="9">
        <v>885.2</v>
      </c>
      <c r="FR86" s="9">
        <v>1020.7</v>
      </c>
      <c r="FS86" s="9">
        <v>1016.1</v>
      </c>
      <c r="FT86" s="9">
        <v>1030.3</v>
      </c>
      <c r="FU86" s="9">
        <v>936.7</v>
      </c>
      <c r="FV86" s="9">
        <v>898.6</v>
      </c>
      <c r="FW86" s="9">
        <v>1020.3</v>
      </c>
      <c r="FX86" s="9">
        <v>921.5</v>
      </c>
      <c r="FY86" s="9">
        <v>912.9</v>
      </c>
      <c r="FZ86" s="9">
        <v>934.2</v>
      </c>
      <c r="GA86" s="9">
        <v>912.4</v>
      </c>
      <c r="GB86" s="9">
        <v>1016.1</v>
      </c>
      <c r="GC86" s="9">
        <v>939.9</v>
      </c>
      <c r="GD86" s="9">
        <v>1044.5</v>
      </c>
      <c r="GE86" s="9">
        <v>913.5</v>
      </c>
      <c r="GF86" s="9">
        <v>919.7</v>
      </c>
      <c r="GG86" s="9">
        <v>902.6</v>
      </c>
      <c r="GH86" s="9">
        <v>1045</v>
      </c>
      <c r="GI86" s="9">
        <v>927.8</v>
      </c>
      <c r="GJ86" s="9">
        <v>978.4</v>
      </c>
      <c r="GK86" s="9">
        <v>1026.7</v>
      </c>
      <c r="GL86" s="9">
        <v>1014.4</v>
      </c>
      <c r="GM86" s="9">
        <v>950</v>
      </c>
      <c r="GN86" s="9">
        <v>994</v>
      </c>
      <c r="GO86" s="9">
        <v>1035.0999999999999</v>
      </c>
      <c r="GP86" s="9">
        <v>962.8</v>
      </c>
      <c r="GQ86" s="9">
        <v>965.5</v>
      </c>
      <c r="GR86" s="9">
        <v>950.3</v>
      </c>
      <c r="GS86" s="9">
        <v>971.9</v>
      </c>
      <c r="GT86" s="9">
        <v>882.4</v>
      </c>
      <c r="GU86" s="9">
        <v>889.1</v>
      </c>
      <c r="GV86" s="9">
        <v>891.1</v>
      </c>
      <c r="GW86" s="9">
        <v>885.2</v>
      </c>
      <c r="GX86" s="9">
        <v>887.7</v>
      </c>
      <c r="GY86" s="9">
        <v>886.1</v>
      </c>
      <c r="GZ86" s="9">
        <v>754.5</v>
      </c>
      <c r="HA86" s="9">
        <v>908.3</v>
      </c>
      <c r="HB86" s="9"/>
      <c r="HC86" s="9"/>
      <c r="HD86" s="9">
        <v>827</v>
      </c>
      <c r="HE86" s="9">
        <v>643.20000000000005</v>
      </c>
      <c r="HF86" s="9">
        <v>901</v>
      </c>
      <c r="HG86" s="9"/>
      <c r="HH86" s="9">
        <v>982.3</v>
      </c>
      <c r="HI86" s="9">
        <v>889.2</v>
      </c>
      <c r="HJ86" s="9">
        <v>893.6</v>
      </c>
      <c r="HK86" s="9">
        <v>819.8</v>
      </c>
      <c r="HL86" s="9">
        <v>892.4</v>
      </c>
      <c r="HM86" s="9">
        <v>894.6</v>
      </c>
      <c r="HN86" s="9">
        <v>905.2</v>
      </c>
      <c r="HO86" s="9">
        <v>901.2</v>
      </c>
      <c r="HP86" s="9">
        <v>907.3</v>
      </c>
      <c r="HQ86" s="9">
        <v>915.9</v>
      </c>
      <c r="HR86" s="9">
        <v>904</v>
      </c>
      <c r="HS86" s="9">
        <v>912</v>
      </c>
      <c r="HT86" s="9">
        <v>1018.1</v>
      </c>
      <c r="HU86" s="9">
        <v>1039.0999999999999</v>
      </c>
      <c r="HV86" s="9">
        <v>802.2</v>
      </c>
      <c r="HW86" s="9">
        <v>808.4</v>
      </c>
      <c r="HX86" s="9">
        <v>690.7</v>
      </c>
      <c r="HY86" s="9">
        <v>562.5</v>
      </c>
      <c r="HZ86" s="9">
        <v>699.2</v>
      </c>
      <c r="IA86" s="9">
        <v>802.2</v>
      </c>
      <c r="IB86" s="9">
        <v>933.9</v>
      </c>
      <c r="IC86" s="9">
        <v>1003.4</v>
      </c>
      <c r="ID86" s="9">
        <v>961.6</v>
      </c>
      <c r="IE86" s="9">
        <v>978.1</v>
      </c>
      <c r="IF86" s="9">
        <v>941.2</v>
      </c>
      <c r="IG86" s="9">
        <v>978.7</v>
      </c>
      <c r="IH86" s="9">
        <v>1025.2</v>
      </c>
      <c r="II86" s="9">
        <v>1012</v>
      </c>
      <c r="IJ86" s="9">
        <v>890</v>
      </c>
      <c r="IK86" s="9">
        <v>925.5</v>
      </c>
      <c r="IL86" s="9">
        <v>890.1</v>
      </c>
      <c r="IM86" s="9">
        <v>888.7</v>
      </c>
      <c r="IN86" s="9">
        <v>853.5</v>
      </c>
      <c r="IO86" s="9"/>
      <c r="IP86" s="9">
        <v>1212.5</v>
      </c>
      <c r="IQ86" s="9">
        <v>961.5</v>
      </c>
      <c r="IR86" s="9">
        <v>350.4</v>
      </c>
      <c r="IS86" s="9">
        <v>901.1</v>
      </c>
      <c r="IT86" s="9">
        <v>882</v>
      </c>
      <c r="IU86" s="9"/>
      <c r="IV86" s="9"/>
      <c r="IW86" s="9">
        <v>844.5</v>
      </c>
      <c r="IX86" s="9">
        <v>902.6</v>
      </c>
      <c r="IY86" s="9">
        <v>932.5</v>
      </c>
      <c r="IZ86" s="9">
        <v>881.2</v>
      </c>
      <c r="JA86" s="9">
        <v>814.5</v>
      </c>
      <c r="JB86" s="11">
        <v>30.22</v>
      </c>
      <c r="JC86" s="11">
        <v>39.340000000000003</v>
      </c>
      <c r="JD86" s="11">
        <v>3.06</v>
      </c>
      <c r="JE86" s="11">
        <v>9.5</v>
      </c>
      <c r="JF86" s="11">
        <v>0.03</v>
      </c>
      <c r="JG86" s="11">
        <v>4.53</v>
      </c>
      <c r="JH86" s="13">
        <v>4.17</v>
      </c>
      <c r="JI86" s="12"/>
      <c r="JJ86" s="277"/>
      <c r="JK86" s="9">
        <v>87311402.498999998</v>
      </c>
      <c r="JL86" s="215">
        <v>283419.29200000002</v>
      </c>
      <c r="JM86" s="9">
        <v>60259321.380000003</v>
      </c>
      <c r="JN86" s="215">
        <v>63067.608</v>
      </c>
      <c r="JO86" s="9">
        <v>88027176.226999998</v>
      </c>
      <c r="JP86" s="215">
        <v>188589.38800000001</v>
      </c>
      <c r="JQ86" s="9">
        <v>64002405.579000004</v>
      </c>
      <c r="JR86" s="215">
        <v>57941.527999999998</v>
      </c>
      <c r="JS86" s="11">
        <v>330703683.50999999</v>
      </c>
      <c r="JT86" s="223">
        <v>89040.271999999997</v>
      </c>
      <c r="JU86" s="283">
        <f t="shared" ref="JU86" si="431">IF((JK86-JK85)&lt;0,"",(JK86-JK85))</f>
        <v>60364.059000000358</v>
      </c>
      <c r="JV86" s="283">
        <f t="shared" ref="JV86" si="432">IF((JL86-JL85)&lt;0,"",(JL86-JL85))</f>
        <v>23.940999999991618</v>
      </c>
      <c r="JW86" s="283">
        <f t="shared" ref="JW86" si="433">IF((JM86-JM85)&lt;0,"",(JM86-JM85))</f>
        <v>58051.527000002563</v>
      </c>
      <c r="JX86" s="283">
        <f t="shared" ref="JX86" si="434">IF((JN86-JN85)&lt;0,"",(JN86-JN85))</f>
        <v>31.883999999998196</v>
      </c>
      <c r="JY86" s="284">
        <f t="shared" ref="JY86" si="435">IF((JO86-JO85)&lt;0,"",(JO86-JO85))</f>
        <v>61345.652999997139</v>
      </c>
      <c r="JZ86" s="284">
        <f t="shared" ref="JZ86" si="436">IF((JP86-JP85)&lt;0,"",(JP86-JP85))</f>
        <v>47.270000000018626</v>
      </c>
      <c r="KA86" s="284">
        <f t="shared" ref="KA86" si="437">IF((JQ86-JQ85)&lt;0,"",(JQ86-JQ85))</f>
        <v>46398.978000000119</v>
      </c>
      <c r="KB86" s="284">
        <f t="shared" ref="KB86" si="438">IF((JR86-JR85)&lt;0,"",(JR86-JR85))</f>
        <v>58.544000000001688</v>
      </c>
      <c r="KC86" s="283">
        <f t="shared" ref="KC86" si="439">IF((JS86-JS85)&lt;0,"",(JS86-JS85))</f>
        <v>226079.28700000048</v>
      </c>
      <c r="KD86" s="283">
        <f t="shared" si="410"/>
        <v>135.68099999999686</v>
      </c>
      <c r="KE86" s="291">
        <f t="shared" ref="KE86:KE96" si="440">(JU86+JW86)-(JV86+JX86)</f>
        <v>118359.76100000294</v>
      </c>
      <c r="KF86" s="291">
        <f t="shared" ref="KF86:KF96" si="441">IFERROR(KC86-KD86,"")</f>
        <v>225943.60600000049</v>
      </c>
      <c r="KG86" s="292">
        <f>(RD[[#This Row],[Sunset Time (POA&lt;20 W/m2)]]-RD[[#This Row],[Sunrise Time (POA&gt;20 W/m2)]])*24</f>
        <v>12.433333333333332</v>
      </c>
      <c r="KH86" s="293">
        <f>RD[[#This Row],[GHI ]]</f>
        <v>4.53</v>
      </c>
      <c r="KI86" s="293">
        <f>RD[[#This Row],[POA]]</f>
        <v>4.17</v>
      </c>
      <c r="KJ86" s="293">
        <f>RD[[#This Row],[AT (°C) 14 Hours]]</f>
        <v>30.22</v>
      </c>
      <c r="KK86" s="293">
        <f>RD[[#This Row],[MT (°C) Gen. Hours]]</f>
        <v>39.340000000000003</v>
      </c>
      <c r="KL86" s="293">
        <f>RD[[#This Row],[WS_Avg (m/s) (24 Hours)]]</f>
        <v>3.06</v>
      </c>
      <c r="KM86" s="293">
        <f>RD[[#This Row],[WS_Max (m/s)]]</f>
        <v>9.5</v>
      </c>
      <c r="KN86" s="294">
        <f>SUM(RD[[#This Row],[BLK1_INV1]:[BLK8_INV27]])</f>
        <v>227578.3000000001</v>
      </c>
      <c r="KO86" s="95"/>
      <c r="KP86" s="55"/>
      <c r="KQ86" s="90" t="str">
        <f>IFERROR(RD[[#This Row],[WPR_Eac]]/RD[[#This Row],[WPR_Edc]],"")</f>
        <v/>
      </c>
    </row>
    <row r="87" spans="2:303" ht="15" customHeight="1" x14ac:dyDescent="0.25">
      <c r="B87" s="52">
        <v>45828</v>
      </c>
      <c r="C87" s="9">
        <f>YEAR(RD[[#This Row],[Date]])+IF(MONTH(RD[[#This Row],[Date]])&gt;=4,1,0)</f>
        <v>2026</v>
      </c>
      <c r="D87" s="6">
        <f t="shared" si="429"/>
        <v>2025</v>
      </c>
      <c r="E87" s="7"/>
      <c r="F87" s="7"/>
      <c r="G87" s="367" t="str">
        <f>TEXT(RD[[#This Row],[Date]],"mmm-yy")</f>
        <v>Jun-25</v>
      </c>
      <c r="H87" s="6">
        <f t="shared" si="430"/>
        <v>30</v>
      </c>
      <c r="I87" s="9">
        <f>'Basic Data '!$S$2</f>
        <v>66750</v>
      </c>
      <c r="J87" s="10">
        <v>0.22708333333333333</v>
      </c>
      <c r="K87" s="10">
        <v>0.77916666666666667</v>
      </c>
      <c r="L87" s="9">
        <v>570</v>
      </c>
      <c r="M87" s="9">
        <v>581</v>
      </c>
      <c r="N87" s="9">
        <v>539.1</v>
      </c>
      <c r="O87" s="9">
        <v>536.5</v>
      </c>
      <c r="P87" s="9">
        <v>562.29999999999995</v>
      </c>
      <c r="Q87" s="9">
        <v>536.6</v>
      </c>
      <c r="R87" s="9">
        <v>536.79999999999995</v>
      </c>
      <c r="S87" s="9">
        <v>537.29999999999995</v>
      </c>
      <c r="T87" s="9">
        <v>341</v>
      </c>
      <c r="U87" s="9">
        <v>558.70000000000005</v>
      </c>
      <c r="V87" s="9">
        <v>547.4</v>
      </c>
      <c r="W87" s="9">
        <v>543.9</v>
      </c>
      <c r="X87" s="9">
        <v>534.4</v>
      </c>
      <c r="Y87" s="9">
        <v>502</v>
      </c>
      <c r="Z87" s="9">
        <v>535.29999999999995</v>
      </c>
      <c r="AA87" s="9">
        <v>511.63</v>
      </c>
      <c r="AB87" s="9">
        <v>532.4</v>
      </c>
      <c r="AC87" s="9">
        <v>529.9</v>
      </c>
      <c r="AD87" s="9">
        <v>582.70000000000005</v>
      </c>
      <c r="AE87" s="9">
        <v>580.70000000000005</v>
      </c>
      <c r="AF87" s="9">
        <v>536.20000000000005</v>
      </c>
      <c r="AG87" s="9">
        <v>537.9</v>
      </c>
      <c r="AH87" s="9">
        <v>566.9</v>
      </c>
      <c r="AI87" s="9">
        <v>608.4</v>
      </c>
      <c r="AJ87" s="9">
        <v>586.6</v>
      </c>
      <c r="AK87" s="9">
        <v>581.9</v>
      </c>
      <c r="AL87" s="9">
        <v>578.5</v>
      </c>
      <c r="AM87" s="9">
        <v>602.1</v>
      </c>
      <c r="AN87" s="9">
        <v>613.1</v>
      </c>
      <c r="AO87" s="9">
        <v>580.70000000000005</v>
      </c>
      <c r="AP87" s="9">
        <v>588.5</v>
      </c>
      <c r="AQ87" s="9">
        <v>434</v>
      </c>
      <c r="AR87" s="9">
        <v>518.79999999999995</v>
      </c>
      <c r="AS87" s="9">
        <v>432</v>
      </c>
      <c r="AT87" s="9">
        <v>538.4</v>
      </c>
      <c r="AU87" s="9">
        <v>610.29999999999995</v>
      </c>
      <c r="AV87" s="9">
        <v>540.6</v>
      </c>
      <c r="AW87" s="9">
        <v>525.29999999999995</v>
      </c>
      <c r="AX87" s="9">
        <v>533.29999999999995</v>
      </c>
      <c r="AY87" s="9">
        <v>541</v>
      </c>
      <c r="AZ87" s="9">
        <v>533</v>
      </c>
      <c r="BA87" s="9">
        <v>522.6</v>
      </c>
      <c r="BB87" s="9">
        <v>536.6</v>
      </c>
      <c r="BC87" s="9">
        <v>531.29999999999995</v>
      </c>
      <c r="BD87" s="9">
        <v>536.1</v>
      </c>
      <c r="BE87" s="9">
        <v>536.79999999999995</v>
      </c>
      <c r="BF87" s="9">
        <v>444</v>
      </c>
      <c r="BG87" s="9">
        <v>528.79999999999995</v>
      </c>
      <c r="BH87" s="9">
        <v>552.6</v>
      </c>
      <c r="BI87" s="9">
        <v>391</v>
      </c>
      <c r="BJ87" s="9">
        <v>534.5</v>
      </c>
      <c r="BK87" s="9">
        <v>535.1</v>
      </c>
      <c r="BL87" s="9">
        <v>611.20000000000005</v>
      </c>
      <c r="BM87" s="9">
        <v>602.70000000000005</v>
      </c>
      <c r="BN87" s="9">
        <v>573.79999999999995</v>
      </c>
      <c r="BO87" s="9">
        <v>608.1</v>
      </c>
      <c r="BP87" s="9">
        <v>607.1</v>
      </c>
      <c r="BQ87" s="9">
        <v>539.29999999999995</v>
      </c>
      <c r="BR87" s="9">
        <v>600.4</v>
      </c>
      <c r="BS87" s="9">
        <v>612.4</v>
      </c>
      <c r="BT87" s="9">
        <v>538.6</v>
      </c>
      <c r="BU87" s="9">
        <v>615.20000000000005</v>
      </c>
      <c r="BV87" s="9">
        <v>533.70000000000005</v>
      </c>
      <c r="BW87" s="9">
        <v>521.20000000000005</v>
      </c>
      <c r="BX87" s="9">
        <v>574.6</v>
      </c>
      <c r="BY87" s="9">
        <v>571.20000000000005</v>
      </c>
      <c r="BZ87" s="9">
        <v>589</v>
      </c>
      <c r="CA87" s="9">
        <v>586</v>
      </c>
      <c r="CB87" s="9">
        <v>526.20000000000005</v>
      </c>
      <c r="CC87" s="9">
        <v>525.20000000000005</v>
      </c>
      <c r="CD87" s="9">
        <v>528.5</v>
      </c>
      <c r="CE87" s="9">
        <v>523.70000000000005</v>
      </c>
      <c r="CF87" s="9">
        <v>541.1</v>
      </c>
      <c r="CG87" s="9">
        <v>532.1</v>
      </c>
      <c r="CH87" s="9">
        <v>608.9</v>
      </c>
      <c r="CI87" s="9">
        <v>599.70000000000005</v>
      </c>
      <c r="CJ87" s="9">
        <v>607.9</v>
      </c>
      <c r="CK87" s="9">
        <v>533.29999999999995</v>
      </c>
      <c r="CL87" s="9">
        <v>527.29999999999995</v>
      </c>
      <c r="CM87" s="9">
        <v>584.6</v>
      </c>
      <c r="CN87" s="9">
        <v>534.1</v>
      </c>
      <c r="CO87" s="9">
        <v>474.1</v>
      </c>
      <c r="CP87" s="9">
        <v>528</v>
      </c>
      <c r="CQ87" s="9">
        <v>534.4</v>
      </c>
      <c r="CR87" s="9">
        <v>524.6</v>
      </c>
      <c r="CS87" s="9">
        <v>527.9</v>
      </c>
      <c r="CT87" s="9">
        <v>522.29999999999995</v>
      </c>
      <c r="CU87" s="9">
        <v>527.4</v>
      </c>
      <c r="CV87" s="9">
        <v>518.29999999999995</v>
      </c>
      <c r="CW87" s="9">
        <v>508.7</v>
      </c>
      <c r="CX87" s="9">
        <v>543.6</v>
      </c>
      <c r="CY87" s="9">
        <v>569.1</v>
      </c>
      <c r="CZ87" s="9">
        <v>530.4</v>
      </c>
      <c r="DA87" s="9">
        <v>531.29999999999995</v>
      </c>
      <c r="DB87" s="9">
        <v>607</v>
      </c>
      <c r="DC87" s="9">
        <v>0</v>
      </c>
      <c r="DD87" s="9">
        <v>0</v>
      </c>
      <c r="DE87" s="9">
        <v>536</v>
      </c>
      <c r="DF87" s="9">
        <v>532.79999999999995</v>
      </c>
      <c r="DG87" s="9">
        <v>522.5</v>
      </c>
      <c r="DH87" s="9">
        <v>546.79999999999995</v>
      </c>
      <c r="DI87" s="9">
        <v>520.1</v>
      </c>
      <c r="DJ87" s="9">
        <v>539.1</v>
      </c>
      <c r="DK87" s="9">
        <v>525</v>
      </c>
      <c r="DL87" s="9">
        <v>610.20000000000005</v>
      </c>
      <c r="DM87" s="9">
        <v>0</v>
      </c>
      <c r="DN87" s="9">
        <v>0</v>
      </c>
      <c r="DO87" s="9">
        <v>601</v>
      </c>
      <c r="DP87" s="9">
        <v>536.29999999999995</v>
      </c>
      <c r="DQ87" s="9">
        <v>602.9</v>
      </c>
      <c r="DR87" s="9">
        <v>581.4</v>
      </c>
      <c r="DS87" s="9">
        <v>589</v>
      </c>
      <c r="DT87" s="9">
        <v>601.4</v>
      </c>
      <c r="DU87" s="9">
        <v>596.79999999999995</v>
      </c>
      <c r="DV87" s="9">
        <v>530</v>
      </c>
      <c r="DW87" s="9">
        <v>537.29999999999995</v>
      </c>
      <c r="DX87" s="9">
        <v>570</v>
      </c>
      <c r="DY87" s="9">
        <v>599</v>
      </c>
      <c r="DZ87" s="9">
        <v>601.70000000000005</v>
      </c>
      <c r="EA87" s="9">
        <v>530.79999999999995</v>
      </c>
      <c r="EB87" s="9">
        <v>541.20000000000005</v>
      </c>
      <c r="EC87" s="9">
        <v>532</v>
      </c>
      <c r="ED87" s="9">
        <v>519</v>
      </c>
      <c r="EE87" s="9">
        <v>535.20000000000005</v>
      </c>
      <c r="EF87" s="9">
        <v>540.29999999999995</v>
      </c>
      <c r="EG87" s="9">
        <v>599.29999999999995</v>
      </c>
      <c r="EH87" s="9">
        <v>544</v>
      </c>
      <c r="EI87" s="9">
        <v>529.1</v>
      </c>
      <c r="EJ87" s="9">
        <v>568.4</v>
      </c>
      <c r="EK87" s="9">
        <v>444</v>
      </c>
      <c r="EL87" s="9">
        <v>579.6</v>
      </c>
      <c r="EM87" s="9">
        <v>578.4</v>
      </c>
      <c r="EN87" s="9">
        <v>578.79999999999995</v>
      </c>
      <c r="EO87" s="9">
        <v>501.2</v>
      </c>
      <c r="EP87" s="9">
        <v>592.9</v>
      </c>
      <c r="EQ87" s="9">
        <v>575.9</v>
      </c>
      <c r="ER87" s="9">
        <v>595.5</v>
      </c>
      <c r="ES87" s="9">
        <v>584.1</v>
      </c>
      <c r="ET87" s="9">
        <v>577.5</v>
      </c>
      <c r="EU87" s="9">
        <v>549</v>
      </c>
      <c r="EV87" s="9">
        <v>589</v>
      </c>
      <c r="EW87" s="9">
        <v>577.5</v>
      </c>
      <c r="EX87" s="9">
        <v>538.1</v>
      </c>
      <c r="EY87" s="9">
        <v>588.29999999999995</v>
      </c>
      <c r="EZ87" s="9">
        <v>520.70000000000005</v>
      </c>
      <c r="FA87" s="9">
        <v>560.29999999999995</v>
      </c>
      <c r="FB87" s="9">
        <v>539.1</v>
      </c>
      <c r="FC87" s="9">
        <v>499.9</v>
      </c>
      <c r="FD87" s="9">
        <v>581.5</v>
      </c>
      <c r="FE87" s="9">
        <v>582.4</v>
      </c>
      <c r="FF87" s="9">
        <v>582.29999999999995</v>
      </c>
      <c r="FG87" s="9">
        <v>464.1</v>
      </c>
      <c r="FH87" s="9">
        <v>613.29999999999995</v>
      </c>
      <c r="FI87" s="9">
        <v>541.79999999999995</v>
      </c>
      <c r="FJ87" s="9">
        <v>531.20000000000005</v>
      </c>
      <c r="FK87" s="9">
        <v>527.29999999999995</v>
      </c>
      <c r="FL87" s="9">
        <v>539.5</v>
      </c>
      <c r="FM87" s="9">
        <v>533.5</v>
      </c>
      <c r="FN87" s="9">
        <v>538.9</v>
      </c>
      <c r="FO87" s="9">
        <v>530.79999999999995</v>
      </c>
      <c r="FP87" s="9">
        <v>606.70000000000005</v>
      </c>
      <c r="FQ87" s="9">
        <v>522.9</v>
      </c>
      <c r="FR87" s="9">
        <v>470.6</v>
      </c>
      <c r="FS87" s="9">
        <v>524</v>
      </c>
      <c r="FT87" s="9">
        <v>609.5</v>
      </c>
      <c r="FU87" s="9">
        <v>556.9</v>
      </c>
      <c r="FV87" s="9">
        <v>452.9</v>
      </c>
      <c r="FW87" s="9">
        <v>451</v>
      </c>
      <c r="FX87" s="9">
        <v>356</v>
      </c>
      <c r="FY87" s="9">
        <v>529.4</v>
      </c>
      <c r="FZ87" s="9">
        <v>553.6</v>
      </c>
      <c r="GA87" s="9">
        <v>527.20000000000005</v>
      </c>
      <c r="GB87" s="9">
        <v>434.6</v>
      </c>
      <c r="GC87" s="9">
        <v>385</v>
      </c>
      <c r="GD87" s="9">
        <v>598.1</v>
      </c>
      <c r="GE87" s="9">
        <v>524.1</v>
      </c>
      <c r="GF87" s="9">
        <v>538.6</v>
      </c>
      <c r="GG87" s="9">
        <v>529.1</v>
      </c>
      <c r="GH87" s="9">
        <v>615.4</v>
      </c>
      <c r="GI87" s="9">
        <v>545.9</v>
      </c>
      <c r="GJ87" s="9">
        <v>424</v>
      </c>
      <c r="GK87" s="9">
        <v>444.7</v>
      </c>
      <c r="GL87" s="9">
        <v>596.29999999999995</v>
      </c>
      <c r="GM87" s="9">
        <v>585.5</v>
      </c>
      <c r="GN87" s="9">
        <v>585.1</v>
      </c>
      <c r="GO87" s="9">
        <v>608.20000000000005</v>
      </c>
      <c r="GP87" s="9">
        <v>558.29999999999995</v>
      </c>
      <c r="GQ87" s="9">
        <v>555.5</v>
      </c>
      <c r="GR87" s="9">
        <v>448.5</v>
      </c>
      <c r="GS87" s="9">
        <v>330.9</v>
      </c>
      <c r="GT87" s="9">
        <v>522.4</v>
      </c>
      <c r="GU87" s="9">
        <v>515.4</v>
      </c>
      <c r="GV87" s="9">
        <v>523</v>
      </c>
      <c r="GW87" s="9">
        <v>513</v>
      </c>
      <c r="GX87" s="9">
        <v>522.20000000000005</v>
      </c>
      <c r="GY87" s="9">
        <v>391</v>
      </c>
      <c r="GZ87" s="9">
        <v>442.4</v>
      </c>
      <c r="HA87" s="9">
        <v>538.4</v>
      </c>
      <c r="HB87" s="9"/>
      <c r="HC87" s="9"/>
      <c r="HD87" s="9">
        <v>469</v>
      </c>
      <c r="HE87" s="9">
        <v>371</v>
      </c>
      <c r="HF87" s="9">
        <v>534</v>
      </c>
      <c r="HG87" s="9"/>
      <c r="HH87" s="9">
        <v>579</v>
      </c>
      <c r="HI87" s="9">
        <v>510</v>
      </c>
      <c r="HJ87" s="9">
        <v>521</v>
      </c>
      <c r="HK87" s="9">
        <v>519.1</v>
      </c>
      <c r="HL87" s="9">
        <v>527.29999999999995</v>
      </c>
      <c r="HM87" s="9">
        <v>533.4</v>
      </c>
      <c r="HN87" s="9">
        <v>535.20000000000005</v>
      </c>
      <c r="HO87" s="9">
        <v>512</v>
      </c>
      <c r="HP87" s="9">
        <v>534.79999999999995</v>
      </c>
      <c r="HQ87" s="9">
        <v>542</v>
      </c>
      <c r="HR87" s="9">
        <v>529.6</v>
      </c>
      <c r="HS87" s="9">
        <v>401</v>
      </c>
      <c r="HT87" s="9">
        <v>599</v>
      </c>
      <c r="HU87" s="9">
        <v>612.6</v>
      </c>
      <c r="HV87" s="9">
        <v>493.1</v>
      </c>
      <c r="HW87" s="9">
        <v>478</v>
      </c>
      <c r="HX87" s="9">
        <v>407.5</v>
      </c>
      <c r="HY87" s="9">
        <v>345.3</v>
      </c>
      <c r="HZ87" s="9">
        <v>397.6</v>
      </c>
      <c r="IA87" s="9">
        <v>470</v>
      </c>
      <c r="IB87" s="9">
        <v>537.29999999999995</v>
      </c>
      <c r="IC87" s="9">
        <v>597.29999999999995</v>
      </c>
      <c r="ID87" s="9">
        <v>569.9</v>
      </c>
      <c r="IE87" s="9">
        <v>565.4</v>
      </c>
      <c r="IF87" s="9">
        <v>544.5</v>
      </c>
      <c r="IG87" s="9">
        <v>577.5</v>
      </c>
      <c r="IH87" s="9">
        <v>594.20000000000005</v>
      </c>
      <c r="II87" s="9">
        <v>587.5</v>
      </c>
      <c r="IJ87" s="9">
        <v>523</v>
      </c>
      <c r="IK87" s="9">
        <v>534.9</v>
      </c>
      <c r="IL87" s="9">
        <v>524</v>
      </c>
      <c r="IM87" s="9">
        <v>534</v>
      </c>
      <c r="IN87" s="9">
        <v>473.4</v>
      </c>
      <c r="IO87" s="9"/>
      <c r="IP87" s="9">
        <v>711</v>
      </c>
      <c r="IQ87" s="9">
        <v>565</v>
      </c>
      <c r="IR87" s="9">
        <v>201</v>
      </c>
      <c r="IS87" s="9">
        <v>507.2</v>
      </c>
      <c r="IT87" s="9">
        <v>489.6</v>
      </c>
      <c r="IU87" s="9"/>
      <c r="IV87" s="9"/>
      <c r="IW87" s="9">
        <v>488</v>
      </c>
      <c r="IX87" s="9">
        <v>503</v>
      </c>
      <c r="IY87" s="9">
        <v>534</v>
      </c>
      <c r="IZ87" s="9">
        <v>491.8</v>
      </c>
      <c r="JA87" s="9">
        <v>475</v>
      </c>
      <c r="JB87" s="11">
        <v>28.91</v>
      </c>
      <c r="JC87" s="11">
        <v>32.29</v>
      </c>
      <c r="JD87" s="11">
        <v>0.94599999999999995</v>
      </c>
      <c r="JE87" s="11">
        <v>5.7</v>
      </c>
      <c r="JF87" s="11">
        <v>0.4</v>
      </c>
      <c r="JG87" s="11">
        <v>2.5299999999999998</v>
      </c>
      <c r="JH87" s="13">
        <v>2.4</v>
      </c>
      <c r="JI87" s="12"/>
      <c r="JJ87" s="277"/>
      <c r="JK87" s="9">
        <v>87345961.540999994</v>
      </c>
      <c r="JL87" s="260">
        <v>283443.23300000001</v>
      </c>
      <c r="JM87" s="9">
        <v>60291502.495999999</v>
      </c>
      <c r="JN87" s="260">
        <v>63099.491999999998</v>
      </c>
      <c r="JO87" s="9">
        <v>88060847.752000004</v>
      </c>
      <c r="JP87" s="260">
        <v>188636.658</v>
      </c>
      <c r="JQ87" s="9">
        <v>64029792.600000001</v>
      </c>
      <c r="JR87" s="260">
        <v>58000.072</v>
      </c>
      <c r="JS87" s="11">
        <v>330831376.79699999</v>
      </c>
      <c r="JT87" s="289">
        <v>89175.952999999994</v>
      </c>
      <c r="JU87" s="283">
        <f t="shared" ref="JU87" si="442">IF((JK87-JK86)&lt;0,"",(JK87-JK86))</f>
        <v>34559.041999995708</v>
      </c>
      <c r="JV87" s="283">
        <f t="shared" ref="JV87" si="443">IF((JL87-JL86)&lt;0,"",(JL87-JL86))</f>
        <v>23.940999999991618</v>
      </c>
      <c r="JW87" s="283">
        <f t="shared" ref="JW87" si="444">IF((JM87-JM86)&lt;0,"",(JM87-JM86))</f>
        <v>32181.115999996662</v>
      </c>
      <c r="JX87" s="283">
        <f t="shared" ref="JX87" si="445">IF((JN87-JN86)&lt;0,"",(JN87-JN86))</f>
        <v>31.883999999998196</v>
      </c>
      <c r="JY87" s="284">
        <f t="shared" ref="JY87" si="446">IF((JO87-JO86)&lt;0,"",(JO87-JO86))</f>
        <v>33671.52500000596</v>
      </c>
      <c r="JZ87" s="284">
        <f t="shared" ref="JZ87" si="447">IF((JP87-JP86)&lt;0,"",(JP87-JP86))</f>
        <v>47.269999999989523</v>
      </c>
      <c r="KA87" s="284">
        <f t="shared" ref="KA87" si="448">IF((JQ87-JQ86)&lt;0,"",(JQ87-JQ86))</f>
        <v>27387.020999997854</v>
      </c>
      <c r="KB87" s="284">
        <f t="shared" ref="KB87" si="449">IF((JR87-JR86)&lt;0,"",(JR87-JR86))</f>
        <v>58.544000000001688</v>
      </c>
      <c r="KC87" s="283">
        <f t="shared" ref="KC87" si="450">IF((JS87-JS86)&lt;0,"",(JS87-JS86))</f>
        <v>127693.28700000048</v>
      </c>
      <c r="KD87" s="283">
        <f t="shared" si="410"/>
        <v>135.68099999999686</v>
      </c>
      <c r="KE87" s="291">
        <f t="shared" si="440"/>
        <v>66684.332999992388</v>
      </c>
      <c r="KF87" s="291">
        <f t="shared" si="441"/>
        <v>127557.60600000048</v>
      </c>
      <c r="KG87" s="292">
        <f>(RD[[#This Row],[Sunset Time (POA&lt;20 W/m2)]]-RD[[#This Row],[Sunrise Time (POA&gt;20 W/m2)]])*24</f>
        <v>13.25</v>
      </c>
      <c r="KH87" s="293">
        <f>RD[[#This Row],[GHI ]]</f>
        <v>2.5299999999999998</v>
      </c>
      <c r="KI87" s="293">
        <f>RD[[#This Row],[POA]]</f>
        <v>2.4</v>
      </c>
      <c r="KJ87" s="293">
        <f>RD[[#This Row],[AT (°C) 14 Hours]]</f>
        <v>28.91</v>
      </c>
      <c r="KK87" s="293">
        <f>RD[[#This Row],[MT (°C) Gen. Hours]]</f>
        <v>32.29</v>
      </c>
      <c r="KL87" s="293">
        <f>RD[[#This Row],[WS_Avg (m/s) (24 Hours)]]</f>
        <v>0.94599999999999995</v>
      </c>
      <c r="KM87" s="293">
        <f>RD[[#This Row],[WS_Max (m/s)]]</f>
        <v>5.7</v>
      </c>
      <c r="KN87" s="294">
        <f>SUM(RD[[#This Row],[BLK1_INV1]:[BLK8_INV27]])</f>
        <v>128207.02999999998</v>
      </c>
      <c r="KO87" s="95"/>
      <c r="KP87" s="55"/>
      <c r="KQ87" s="90" t="str">
        <f>IFERROR(RD[[#This Row],[WPR_Eac]]/RD[[#This Row],[WPR_Edc]],"")</f>
        <v/>
      </c>
    </row>
    <row r="88" spans="2:303" ht="15" customHeight="1" x14ac:dyDescent="0.25">
      <c r="B88" s="52">
        <v>45829</v>
      </c>
      <c r="C88" s="9">
        <f>YEAR(RD[[#This Row],[Date]])+IF(MONTH(RD[[#This Row],[Date]])&gt;=4,1,0)</f>
        <v>2026</v>
      </c>
      <c r="D88" s="6">
        <f t="shared" si="429"/>
        <v>2025</v>
      </c>
      <c r="E88" s="7"/>
      <c r="F88" s="7"/>
      <c r="G88" s="367" t="str">
        <f>TEXT(RD[[#This Row],[Date]],"mmm-yy")</f>
        <v>Jun-25</v>
      </c>
      <c r="H88" s="6">
        <f t="shared" si="430"/>
        <v>30</v>
      </c>
      <c r="I88" s="9">
        <f>'Basic Data '!$S$2</f>
        <v>66750</v>
      </c>
      <c r="J88" s="10">
        <v>0.21527777777777779</v>
      </c>
      <c r="K88" s="10">
        <v>0.77777777777777779</v>
      </c>
      <c r="L88" s="9">
        <v>1162.5</v>
      </c>
      <c r="M88" s="9">
        <v>1155</v>
      </c>
      <c r="N88" s="9">
        <v>1069</v>
      </c>
      <c r="O88" s="9">
        <v>1064.5999999999999</v>
      </c>
      <c r="P88" s="9">
        <v>1179.5</v>
      </c>
      <c r="Q88" s="9">
        <v>1069</v>
      </c>
      <c r="R88" s="9">
        <v>1059</v>
      </c>
      <c r="S88" s="9">
        <v>1072.2</v>
      </c>
      <c r="T88" s="9">
        <v>1084</v>
      </c>
      <c r="U88" s="9">
        <v>1130.5</v>
      </c>
      <c r="V88" s="9">
        <v>1061</v>
      </c>
      <c r="W88" s="9">
        <v>1081</v>
      </c>
      <c r="X88" s="9">
        <v>1082.4000000000001</v>
      </c>
      <c r="Y88" s="9">
        <v>985</v>
      </c>
      <c r="Z88" s="9">
        <v>1082.3</v>
      </c>
      <c r="AA88" s="9">
        <v>1035.5999999999999</v>
      </c>
      <c r="AB88" s="9">
        <v>1074.7</v>
      </c>
      <c r="AC88" s="9">
        <v>1071.4000000000001</v>
      </c>
      <c r="AD88" s="9">
        <v>1167.2</v>
      </c>
      <c r="AE88" s="9">
        <v>1167.3</v>
      </c>
      <c r="AF88" s="9">
        <v>1067.2</v>
      </c>
      <c r="AG88" s="9">
        <v>1061</v>
      </c>
      <c r="AH88" s="9">
        <v>1144.4000000000001</v>
      </c>
      <c r="AI88" s="9">
        <v>1220.4000000000001</v>
      </c>
      <c r="AJ88" s="9">
        <v>1151</v>
      </c>
      <c r="AK88" s="9">
        <v>1167.9000000000001</v>
      </c>
      <c r="AL88" s="9">
        <v>1159.8</v>
      </c>
      <c r="AM88" s="9">
        <v>1202.0999999999999</v>
      </c>
      <c r="AN88" s="9">
        <v>1218.7</v>
      </c>
      <c r="AO88" s="9">
        <v>1166</v>
      </c>
      <c r="AP88" s="9">
        <v>1161</v>
      </c>
      <c r="AQ88" s="9">
        <v>1101</v>
      </c>
      <c r="AR88" s="9">
        <v>1024.0999999999999</v>
      </c>
      <c r="AS88" s="9">
        <v>1296.7</v>
      </c>
      <c r="AT88" s="9">
        <v>1065.5</v>
      </c>
      <c r="AU88" s="9">
        <v>1202</v>
      </c>
      <c r="AV88" s="9">
        <v>1059.5999999999999</v>
      </c>
      <c r="AW88" s="9">
        <v>1047.4000000000001</v>
      </c>
      <c r="AX88" s="9">
        <v>1072.4000000000001</v>
      </c>
      <c r="AY88" s="9">
        <v>1086.4000000000001</v>
      </c>
      <c r="AZ88" s="9">
        <v>1059.8</v>
      </c>
      <c r="BA88" s="9">
        <v>1048.3</v>
      </c>
      <c r="BB88" s="9">
        <v>1073.8</v>
      </c>
      <c r="BC88" s="9">
        <v>1059.8</v>
      </c>
      <c r="BD88" s="9">
        <v>1078.9000000000001</v>
      </c>
      <c r="BE88" s="9">
        <v>1045</v>
      </c>
      <c r="BF88" s="9">
        <v>1119.2</v>
      </c>
      <c r="BG88" s="9">
        <v>1065.2</v>
      </c>
      <c r="BH88" s="9">
        <v>1120.3</v>
      </c>
      <c r="BI88" s="9">
        <v>1124.3</v>
      </c>
      <c r="BJ88" s="9">
        <v>1051</v>
      </c>
      <c r="BK88" s="9">
        <v>1087.2</v>
      </c>
      <c r="BL88" s="9">
        <v>1240.7</v>
      </c>
      <c r="BM88" s="9">
        <v>1220.9000000000001</v>
      </c>
      <c r="BN88" s="9">
        <v>1144.9000000000001</v>
      </c>
      <c r="BO88" s="9">
        <v>1180</v>
      </c>
      <c r="BP88" s="9">
        <v>1218.8</v>
      </c>
      <c r="BQ88" s="9">
        <v>1080.4000000000001</v>
      </c>
      <c r="BR88" s="9">
        <v>1193.4000000000001</v>
      </c>
      <c r="BS88" s="9">
        <v>1206.5999999999999</v>
      </c>
      <c r="BT88" s="9">
        <v>1074.2</v>
      </c>
      <c r="BU88" s="9">
        <v>1211.5999999999999</v>
      </c>
      <c r="BV88" s="9">
        <v>1061</v>
      </c>
      <c r="BW88" s="9">
        <v>1002</v>
      </c>
      <c r="BX88" s="9">
        <v>1161</v>
      </c>
      <c r="BY88" s="9">
        <v>1162.8</v>
      </c>
      <c r="BZ88" s="9">
        <v>1156</v>
      </c>
      <c r="CA88" s="9">
        <v>1163.0999999999999</v>
      </c>
      <c r="CB88" s="9">
        <v>1058</v>
      </c>
      <c r="CC88" s="9">
        <v>1071</v>
      </c>
      <c r="CD88" s="9">
        <v>1068</v>
      </c>
      <c r="CE88" s="9">
        <v>1071.4000000000001</v>
      </c>
      <c r="CF88" s="9">
        <v>1084.5</v>
      </c>
      <c r="CG88" s="9">
        <v>1061</v>
      </c>
      <c r="CH88" s="9">
        <v>1219.8</v>
      </c>
      <c r="CI88" s="9">
        <v>1201</v>
      </c>
      <c r="CJ88" s="9">
        <v>1224.5999999999999</v>
      </c>
      <c r="CK88" s="9">
        <v>1081.8</v>
      </c>
      <c r="CL88" s="9">
        <v>1083.7</v>
      </c>
      <c r="CM88" s="9">
        <v>1056</v>
      </c>
      <c r="CN88" s="9">
        <v>1067</v>
      </c>
      <c r="CO88" s="9">
        <v>1060.8</v>
      </c>
      <c r="CP88" s="9">
        <v>1084.5999999999999</v>
      </c>
      <c r="CQ88" s="9">
        <v>1076</v>
      </c>
      <c r="CR88" s="9">
        <v>1079</v>
      </c>
      <c r="CS88" s="9">
        <v>1071</v>
      </c>
      <c r="CT88" s="9">
        <v>1074</v>
      </c>
      <c r="CU88" s="9">
        <v>1071</v>
      </c>
      <c r="CV88" s="9">
        <v>1063</v>
      </c>
      <c r="CW88" s="9">
        <v>1059.8</v>
      </c>
      <c r="CX88" s="9">
        <v>1101</v>
      </c>
      <c r="CY88" s="9">
        <v>1157.7</v>
      </c>
      <c r="CZ88" s="9">
        <v>1064</v>
      </c>
      <c r="DA88" s="9">
        <v>1075.9000000000001</v>
      </c>
      <c r="DB88" s="9">
        <v>1212.9000000000001</v>
      </c>
      <c r="DC88" s="9">
        <v>1035.2</v>
      </c>
      <c r="DD88" s="9">
        <v>1033</v>
      </c>
      <c r="DE88" s="9">
        <v>1044.4000000000001</v>
      </c>
      <c r="DF88" s="9">
        <v>1031</v>
      </c>
      <c r="DG88" s="9">
        <v>1029.7</v>
      </c>
      <c r="DH88" s="9">
        <v>1048.9000000000001</v>
      </c>
      <c r="DI88" s="9">
        <v>1036</v>
      </c>
      <c r="DJ88" s="9">
        <v>1033.5999999999999</v>
      </c>
      <c r="DK88" s="9">
        <v>1038</v>
      </c>
      <c r="DL88" s="9">
        <v>1171</v>
      </c>
      <c r="DM88" s="9">
        <v>928</v>
      </c>
      <c r="DN88" s="9">
        <v>1059</v>
      </c>
      <c r="DO88" s="9">
        <v>1154</v>
      </c>
      <c r="DP88" s="9">
        <v>1028.4000000000001</v>
      </c>
      <c r="DQ88" s="9">
        <v>1169.5999999999999</v>
      </c>
      <c r="DR88" s="9">
        <v>1134</v>
      </c>
      <c r="DS88" s="9">
        <v>1139</v>
      </c>
      <c r="DT88" s="9">
        <v>1163.5999999999999</v>
      </c>
      <c r="DU88" s="9">
        <v>1160.4000000000001</v>
      </c>
      <c r="DV88" s="9">
        <v>1042.2</v>
      </c>
      <c r="DW88" s="9">
        <v>1042.0999999999999</v>
      </c>
      <c r="DX88" s="9">
        <v>1156</v>
      </c>
      <c r="DY88" s="9">
        <v>1159</v>
      </c>
      <c r="DZ88" s="9">
        <v>1169</v>
      </c>
      <c r="EA88" s="9">
        <v>1037</v>
      </c>
      <c r="EB88" s="9">
        <v>1034.8</v>
      </c>
      <c r="EC88" s="9">
        <v>1081.2</v>
      </c>
      <c r="ED88" s="9">
        <v>1082</v>
      </c>
      <c r="EE88" s="9">
        <v>1037</v>
      </c>
      <c r="EF88" s="9">
        <v>1030.8</v>
      </c>
      <c r="EG88" s="9">
        <v>1181</v>
      </c>
      <c r="EH88" s="9">
        <v>1061</v>
      </c>
      <c r="EI88" s="9">
        <v>1055</v>
      </c>
      <c r="EJ88" s="9">
        <v>1167</v>
      </c>
      <c r="EK88" s="9">
        <v>1161.0999999999999</v>
      </c>
      <c r="EL88" s="9">
        <v>1148.4000000000001</v>
      </c>
      <c r="EM88" s="9">
        <v>1123</v>
      </c>
      <c r="EN88" s="9">
        <v>1146.8</v>
      </c>
      <c r="EO88" s="9">
        <v>990.8</v>
      </c>
      <c r="EP88" s="9">
        <v>1139</v>
      </c>
      <c r="EQ88" s="9">
        <v>1134.5999999999999</v>
      </c>
      <c r="ER88" s="9">
        <v>1154</v>
      </c>
      <c r="ES88" s="9">
        <v>1145.7</v>
      </c>
      <c r="ET88" s="9">
        <v>1124</v>
      </c>
      <c r="EU88" s="9">
        <v>1036</v>
      </c>
      <c r="EV88" s="9">
        <v>1139.3</v>
      </c>
      <c r="EW88" s="9">
        <v>1131.0999999999999</v>
      </c>
      <c r="EX88" s="9">
        <v>1077</v>
      </c>
      <c r="EY88" s="9">
        <v>1161.7</v>
      </c>
      <c r="EZ88" s="9">
        <v>1044.9000000000001</v>
      </c>
      <c r="FA88" s="9">
        <v>1121</v>
      </c>
      <c r="FB88" s="9">
        <v>1063.0999999999999</v>
      </c>
      <c r="FC88" s="9">
        <v>985.6</v>
      </c>
      <c r="FD88" s="9">
        <v>1129.5999999999999</v>
      </c>
      <c r="FE88" s="9">
        <v>1152.5999999999999</v>
      </c>
      <c r="FF88" s="9">
        <v>1155.9000000000001</v>
      </c>
      <c r="FG88" s="9">
        <v>1050.2</v>
      </c>
      <c r="FH88" s="9">
        <v>1185.3</v>
      </c>
      <c r="FI88" s="9">
        <v>1042.9000000000001</v>
      </c>
      <c r="FJ88" s="9">
        <v>1034</v>
      </c>
      <c r="FK88" s="9">
        <v>1034.0999999999999</v>
      </c>
      <c r="FL88" s="9">
        <v>1035.5</v>
      </c>
      <c r="FM88" s="9">
        <v>1047.4000000000001</v>
      </c>
      <c r="FN88" s="9">
        <v>1050</v>
      </c>
      <c r="FO88" s="9">
        <v>1064.2</v>
      </c>
      <c r="FP88" s="9">
        <v>1171</v>
      </c>
      <c r="FQ88" s="9">
        <v>1040</v>
      </c>
      <c r="FR88" s="9">
        <v>1166.5</v>
      </c>
      <c r="FS88" s="9">
        <v>1191.8</v>
      </c>
      <c r="FT88" s="9">
        <v>1189.0999999999999</v>
      </c>
      <c r="FU88" s="9">
        <v>1109</v>
      </c>
      <c r="FV88" s="9">
        <v>1054.9000000000001</v>
      </c>
      <c r="FW88" s="9">
        <v>1184.7</v>
      </c>
      <c r="FX88" s="9">
        <v>1051.0999999999999</v>
      </c>
      <c r="FY88" s="9">
        <v>1103.5999999999999</v>
      </c>
      <c r="FZ88" s="9">
        <v>1090</v>
      </c>
      <c r="GA88" s="9">
        <v>1104.3</v>
      </c>
      <c r="GB88" s="9">
        <v>1026</v>
      </c>
      <c r="GC88" s="9">
        <v>1068</v>
      </c>
      <c r="GD88" s="9">
        <v>1190</v>
      </c>
      <c r="GE88" s="9">
        <v>1051</v>
      </c>
      <c r="GF88" s="9">
        <v>1057</v>
      </c>
      <c r="GG88" s="9">
        <v>1061</v>
      </c>
      <c r="GH88" s="9">
        <v>1201</v>
      </c>
      <c r="GI88" s="9">
        <v>1055</v>
      </c>
      <c r="GJ88" s="9">
        <v>1109</v>
      </c>
      <c r="GK88" s="9">
        <v>1188.9000000000001</v>
      </c>
      <c r="GL88" s="9">
        <v>1197.9000000000001</v>
      </c>
      <c r="GM88" s="9">
        <v>1071</v>
      </c>
      <c r="GN88" s="9">
        <v>1128</v>
      </c>
      <c r="GO88" s="9">
        <v>1184</v>
      </c>
      <c r="GP88" s="9">
        <v>1081</v>
      </c>
      <c r="GQ88" s="9">
        <v>1103.2</v>
      </c>
      <c r="GR88" s="9">
        <v>1081</v>
      </c>
      <c r="GS88" s="9">
        <v>1110</v>
      </c>
      <c r="GT88" s="9">
        <v>1051</v>
      </c>
      <c r="GU88" s="9">
        <v>1053.4000000000001</v>
      </c>
      <c r="GV88" s="9">
        <v>1042</v>
      </c>
      <c r="GW88" s="9">
        <v>1063.5</v>
      </c>
      <c r="GX88" s="9">
        <v>1059</v>
      </c>
      <c r="GY88" s="9">
        <v>1051</v>
      </c>
      <c r="GZ88" s="9">
        <v>867</v>
      </c>
      <c r="HA88" s="9">
        <v>1044</v>
      </c>
      <c r="HB88" s="9"/>
      <c r="HC88" s="9"/>
      <c r="HD88" s="9">
        <v>951</v>
      </c>
      <c r="HE88" s="9">
        <v>736.3</v>
      </c>
      <c r="HF88" s="9">
        <v>1058.9000000000001</v>
      </c>
      <c r="HG88" s="9"/>
      <c r="HH88" s="9">
        <v>1188.4000000000001</v>
      </c>
      <c r="HI88" s="9">
        <v>1057.2</v>
      </c>
      <c r="HJ88" s="9">
        <v>1031</v>
      </c>
      <c r="HK88" s="9">
        <v>1044</v>
      </c>
      <c r="HL88" s="9">
        <v>1076.2</v>
      </c>
      <c r="HM88" s="9">
        <v>1067.3</v>
      </c>
      <c r="HN88" s="9">
        <v>1061</v>
      </c>
      <c r="HO88" s="9">
        <v>1054</v>
      </c>
      <c r="HP88" s="9">
        <v>1071</v>
      </c>
      <c r="HQ88" s="9">
        <v>1043</v>
      </c>
      <c r="HR88" s="9">
        <v>1041</v>
      </c>
      <c r="HS88" s="9">
        <v>1035</v>
      </c>
      <c r="HT88" s="9">
        <v>1213.5</v>
      </c>
      <c r="HU88" s="9">
        <v>1201</v>
      </c>
      <c r="HV88" s="9">
        <v>901</v>
      </c>
      <c r="HW88" s="9">
        <v>901</v>
      </c>
      <c r="HX88" s="9">
        <v>789</v>
      </c>
      <c r="HY88" s="9">
        <v>671</v>
      </c>
      <c r="HZ88" s="9">
        <v>808.7</v>
      </c>
      <c r="IA88" s="9">
        <v>956.4</v>
      </c>
      <c r="IB88" s="9">
        <v>1101</v>
      </c>
      <c r="IC88" s="9">
        <v>1211.2</v>
      </c>
      <c r="ID88" s="9">
        <v>1158.4000000000001</v>
      </c>
      <c r="IE88" s="9">
        <v>1154.9000000000001</v>
      </c>
      <c r="IF88" s="9">
        <v>1101</v>
      </c>
      <c r="IG88" s="9">
        <v>1169.5</v>
      </c>
      <c r="IH88" s="9">
        <v>1203.9000000000001</v>
      </c>
      <c r="II88" s="9">
        <v>1193.5999999999999</v>
      </c>
      <c r="IJ88" s="9">
        <v>1001</v>
      </c>
      <c r="IK88" s="9">
        <v>1081</v>
      </c>
      <c r="IL88" s="9">
        <v>1002</v>
      </c>
      <c r="IM88" s="9">
        <v>1033.4000000000001</v>
      </c>
      <c r="IN88" s="9">
        <v>968.5</v>
      </c>
      <c r="IO88" s="9"/>
      <c r="IP88" s="9">
        <v>1390</v>
      </c>
      <c r="IQ88" s="9">
        <v>1112</v>
      </c>
      <c r="IR88" s="9">
        <v>401</v>
      </c>
      <c r="IS88" s="9">
        <v>1035</v>
      </c>
      <c r="IT88" s="9">
        <v>1001</v>
      </c>
      <c r="IU88" s="9"/>
      <c r="IV88" s="9"/>
      <c r="IW88" s="9">
        <v>990</v>
      </c>
      <c r="IX88" s="9">
        <v>1010</v>
      </c>
      <c r="IY88" s="9">
        <v>1080</v>
      </c>
      <c r="IZ88" s="9">
        <v>992</v>
      </c>
      <c r="JA88" s="9">
        <v>933.5</v>
      </c>
      <c r="JB88" s="11">
        <v>31.15</v>
      </c>
      <c r="JC88" s="11">
        <v>42.22</v>
      </c>
      <c r="JD88" s="11">
        <v>1.35</v>
      </c>
      <c r="JE88" s="11">
        <v>6.1</v>
      </c>
      <c r="JF88" s="11"/>
      <c r="JG88" s="11">
        <v>5.62</v>
      </c>
      <c r="JH88" s="13">
        <v>5.19</v>
      </c>
      <c r="JI88" s="12"/>
      <c r="JJ88" s="277"/>
      <c r="JK88" s="9">
        <v>87417389.103</v>
      </c>
      <c r="JL88" s="215">
        <v>283465.174</v>
      </c>
      <c r="JM88" s="9">
        <v>60358361.347000003</v>
      </c>
      <c r="JN88" s="215">
        <v>63129.375999999997</v>
      </c>
      <c r="JO88" s="9">
        <v>88130710.583000004</v>
      </c>
      <c r="JP88" s="215">
        <v>188681.92800000001</v>
      </c>
      <c r="JQ88" s="9">
        <v>64085431.869999997</v>
      </c>
      <c r="JR88" s="215">
        <v>58056.616000000002</v>
      </c>
      <c r="JS88" s="11">
        <v>331095030.15499997</v>
      </c>
      <c r="JT88" s="223">
        <v>89309.634000000005</v>
      </c>
      <c r="JU88" s="283">
        <f t="shared" ref="JU88" si="451">IF((JK88-JK87)&lt;0,"",(JK88-JK87))</f>
        <v>71427.562000006437</v>
      </c>
      <c r="JV88" s="283">
        <f t="shared" ref="JV88" si="452">IF((JL88-JL87)&lt;0,"",(JL88-JL87))</f>
        <v>21.940999999991618</v>
      </c>
      <c r="JW88" s="283">
        <f t="shared" ref="JW88" si="453">IF((JM88-JM87)&lt;0,"",(JM88-JM87))</f>
        <v>66858.851000003517</v>
      </c>
      <c r="JX88" s="283">
        <f t="shared" ref="JX88" si="454">IF((JN88-JN87)&lt;0,"",(JN88-JN87))</f>
        <v>29.883999999998196</v>
      </c>
      <c r="JY88" s="284">
        <f t="shared" ref="JY88" si="455">IF((JO88-JO87)&lt;0,"",(JO88-JO87))</f>
        <v>69862.831000000238</v>
      </c>
      <c r="JZ88" s="284">
        <f t="shared" ref="JZ88" si="456">IF((JP88-JP87)&lt;0,"",(JP88-JP87))</f>
        <v>45.270000000018626</v>
      </c>
      <c r="KA88" s="284">
        <f t="shared" ref="KA88" si="457">IF((JQ88-JQ87)&lt;0,"",(JQ88-JQ87))</f>
        <v>55639.269999995828</v>
      </c>
      <c r="KB88" s="284">
        <f t="shared" ref="KB88" si="458">IF((JR88-JR87)&lt;0,"",(JR88-JR87))</f>
        <v>56.544000000001688</v>
      </c>
      <c r="KC88" s="283">
        <f t="shared" ref="KC88" si="459">IF((JS88-JS87)&lt;0,"",(JS88-JS87))</f>
        <v>263653.35799998045</v>
      </c>
      <c r="KD88" s="283">
        <f t="shared" si="410"/>
        <v>133.68100000001141</v>
      </c>
      <c r="KE88" s="291">
        <f t="shared" si="440"/>
        <v>138234.58800000997</v>
      </c>
      <c r="KF88" s="291">
        <f t="shared" si="441"/>
        <v>263519.67699998047</v>
      </c>
      <c r="KG88" s="292">
        <f>(RD[[#This Row],[Sunset Time (POA&lt;20 W/m2)]]-RD[[#This Row],[Sunrise Time (POA&gt;20 W/m2)]])*24</f>
        <v>13.5</v>
      </c>
      <c r="KH88" s="293">
        <f>RD[[#This Row],[GHI ]]</f>
        <v>5.62</v>
      </c>
      <c r="KI88" s="293">
        <f>RD[[#This Row],[POA]]</f>
        <v>5.19</v>
      </c>
      <c r="KJ88" s="293">
        <f>RD[[#This Row],[AT (°C) 14 Hours]]</f>
        <v>31.15</v>
      </c>
      <c r="KK88" s="293">
        <f>RD[[#This Row],[MT (°C) Gen. Hours]]</f>
        <v>42.22</v>
      </c>
      <c r="KL88" s="293">
        <f>RD[[#This Row],[WS_Avg (m/s) (24 Hours)]]</f>
        <v>1.35</v>
      </c>
      <c r="KM88" s="293">
        <f>RD[[#This Row],[WS_Max (m/s)]]</f>
        <v>6.1</v>
      </c>
      <c r="KN88" s="294">
        <f>SUM(RD[[#This Row],[BLK1_INV1]:[BLK8_INV27]])</f>
        <v>264314.40000000002</v>
      </c>
      <c r="KO88" s="95"/>
      <c r="KP88" s="55"/>
      <c r="KQ88" s="90" t="str">
        <f>IFERROR(RD[[#This Row],[WPR_Eac]]/RD[[#This Row],[WPR_Edc]],"")</f>
        <v/>
      </c>
    </row>
    <row r="89" spans="2:303" ht="15" customHeight="1" x14ac:dyDescent="0.25">
      <c r="B89" s="52">
        <v>45830</v>
      </c>
      <c r="C89" s="9">
        <f>YEAR(RD[[#This Row],[Date]])+IF(MONTH(RD[[#This Row],[Date]])&gt;=4,1,0)</f>
        <v>2026</v>
      </c>
      <c r="D89" s="6">
        <f t="shared" si="429"/>
        <v>2025</v>
      </c>
      <c r="E89" s="7"/>
      <c r="F89" s="7"/>
      <c r="G89" s="367" t="str">
        <f>TEXT(RD[[#This Row],[Date]],"mmm-yy")</f>
        <v>Jun-25</v>
      </c>
      <c r="H89" s="6">
        <f t="shared" si="430"/>
        <v>30</v>
      </c>
      <c r="I89" s="9">
        <f>'Basic Data '!$S$2</f>
        <v>66750</v>
      </c>
      <c r="J89" s="10">
        <v>0.2076388888888889</v>
      </c>
      <c r="K89" s="10">
        <v>0.7583333333333333</v>
      </c>
      <c r="L89" s="9">
        <v>1230.5</v>
      </c>
      <c r="M89" s="9">
        <v>1228.0999999999999</v>
      </c>
      <c r="N89" s="9">
        <v>1129.0999999999999</v>
      </c>
      <c r="O89" s="9">
        <v>1134.2</v>
      </c>
      <c r="P89" s="9">
        <v>1221</v>
      </c>
      <c r="Q89" s="9">
        <v>1141</v>
      </c>
      <c r="R89" s="9">
        <v>1138</v>
      </c>
      <c r="S89" s="9">
        <v>1145</v>
      </c>
      <c r="T89" s="9">
        <v>1190</v>
      </c>
      <c r="U89" s="9">
        <v>1190</v>
      </c>
      <c r="V89" s="9">
        <v>1127</v>
      </c>
      <c r="W89" s="9">
        <v>1147</v>
      </c>
      <c r="X89" s="9">
        <v>1115.3</v>
      </c>
      <c r="Y89" s="9">
        <v>1046</v>
      </c>
      <c r="Z89" s="9">
        <v>1143</v>
      </c>
      <c r="AA89" s="9">
        <v>1100</v>
      </c>
      <c r="AB89" s="9">
        <v>1134</v>
      </c>
      <c r="AC89" s="9">
        <v>1152.5</v>
      </c>
      <c r="AD89" s="9">
        <v>1246</v>
      </c>
      <c r="AE89" s="9">
        <v>1231</v>
      </c>
      <c r="AF89" s="9">
        <v>1133</v>
      </c>
      <c r="AG89" s="9">
        <v>1135</v>
      </c>
      <c r="AH89" s="9">
        <v>1226.9000000000001</v>
      </c>
      <c r="AI89" s="9">
        <v>1280</v>
      </c>
      <c r="AJ89" s="9">
        <v>1231</v>
      </c>
      <c r="AK89" s="9">
        <v>1239</v>
      </c>
      <c r="AL89" s="9">
        <v>1233.7</v>
      </c>
      <c r="AM89" s="9">
        <v>1285</v>
      </c>
      <c r="AN89" s="9">
        <v>1298</v>
      </c>
      <c r="AO89" s="9">
        <v>1239</v>
      </c>
      <c r="AP89" s="9">
        <v>1255.5</v>
      </c>
      <c r="AQ89" s="9">
        <v>1198</v>
      </c>
      <c r="AR89" s="9">
        <v>1090</v>
      </c>
      <c r="AS89" s="9">
        <v>1379.4</v>
      </c>
      <c r="AT89" s="9">
        <v>1150.8</v>
      </c>
      <c r="AU89" s="9">
        <v>1280</v>
      </c>
      <c r="AV89" s="9">
        <v>1154.2</v>
      </c>
      <c r="AW89" s="9">
        <v>1135.8</v>
      </c>
      <c r="AX89" s="9">
        <v>1151.0999999999999</v>
      </c>
      <c r="AY89" s="9">
        <v>1147</v>
      </c>
      <c r="AZ89" s="9">
        <v>1131</v>
      </c>
      <c r="BA89" s="9">
        <v>1135.5999999999999</v>
      </c>
      <c r="BB89" s="9">
        <v>1134</v>
      </c>
      <c r="BC89" s="9">
        <v>1121</v>
      </c>
      <c r="BD89" s="9">
        <v>1148</v>
      </c>
      <c r="BE89" s="9">
        <v>1129</v>
      </c>
      <c r="BF89" s="9">
        <v>1201</v>
      </c>
      <c r="BG89" s="9">
        <v>1141</v>
      </c>
      <c r="BH89" s="9">
        <v>1166.2</v>
      </c>
      <c r="BI89" s="9">
        <v>1103.4000000000001</v>
      </c>
      <c r="BJ89" s="9">
        <v>1152</v>
      </c>
      <c r="BK89" s="9">
        <v>1150.5</v>
      </c>
      <c r="BL89" s="9">
        <v>1301</v>
      </c>
      <c r="BM89" s="9">
        <v>1290</v>
      </c>
      <c r="BN89" s="9">
        <v>1235.5</v>
      </c>
      <c r="BO89" s="9">
        <v>1278</v>
      </c>
      <c r="BP89" s="9">
        <v>1271</v>
      </c>
      <c r="BQ89" s="9">
        <v>1132</v>
      </c>
      <c r="BR89" s="9">
        <v>1270</v>
      </c>
      <c r="BS89" s="9">
        <v>1290</v>
      </c>
      <c r="BT89" s="9">
        <v>1138</v>
      </c>
      <c r="BU89" s="9">
        <v>1290</v>
      </c>
      <c r="BV89" s="9">
        <v>1147.0999999999999</v>
      </c>
      <c r="BW89" s="9">
        <v>1050</v>
      </c>
      <c r="BX89" s="9">
        <v>1229</v>
      </c>
      <c r="BY89" s="9">
        <v>1231</v>
      </c>
      <c r="BZ89" s="9">
        <v>1246.0999999999999</v>
      </c>
      <c r="CA89" s="9">
        <v>1215.3</v>
      </c>
      <c r="CB89" s="9">
        <v>1132</v>
      </c>
      <c r="CC89" s="9">
        <v>1136.0999999999999</v>
      </c>
      <c r="CD89" s="9">
        <v>1139</v>
      </c>
      <c r="CE89" s="9">
        <v>1134</v>
      </c>
      <c r="CF89" s="9">
        <v>1121</v>
      </c>
      <c r="CG89" s="9">
        <v>1145.0999999999999</v>
      </c>
      <c r="CH89" s="9">
        <v>1270</v>
      </c>
      <c r="CI89" s="9">
        <v>1282</v>
      </c>
      <c r="CJ89" s="9">
        <v>1284.3</v>
      </c>
      <c r="CK89" s="9">
        <v>1145.4000000000001</v>
      </c>
      <c r="CL89" s="9">
        <v>1142.7</v>
      </c>
      <c r="CM89" s="9">
        <v>1251.7</v>
      </c>
      <c r="CN89" s="9">
        <v>1131</v>
      </c>
      <c r="CO89" s="9">
        <v>1129.0999999999999</v>
      </c>
      <c r="CP89" s="9">
        <v>1135.4000000000001</v>
      </c>
      <c r="CQ89" s="9">
        <v>1149.5999999999999</v>
      </c>
      <c r="CR89" s="9">
        <v>1151</v>
      </c>
      <c r="CS89" s="9">
        <v>1146.0999999999999</v>
      </c>
      <c r="CT89" s="9">
        <v>1143.8</v>
      </c>
      <c r="CU89" s="9">
        <v>1143.7</v>
      </c>
      <c r="CV89" s="9">
        <v>1123.9000000000001</v>
      </c>
      <c r="CW89" s="9">
        <v>1115.2</v>
      </c>
      <c r="CX89" s="9">
        <v>1169.7</v>
      </c>
      <c r="CY89" s="9">
        <v>1199</v>
      </c>
      <c r="CZ89" s="9">
        <v>1131</v>
      </c>
      <c r="DA89" s="9">
        <v>1127.3</v>
      </c>
      <c r="DB89" s="9">
        <v>1273.9000000000001</v>
      </c>
      <c r="DC89" s="9">
        <v>1139</v>
      </c>
      <c r="DD89" s="9">
        <v>1132.0999999999999</v>
      </c>
      <c r="DE89" s="9">
        <v>1127</v>
      </c>
      <c r="DF89" s="9">
        <v>1146.0999999999999</v>
      </c>
      <c r="DG89" s="9">
        <v>1143.2</v>
      </c>
      <c r="DH89" s="9">
        <v>1135</v>
      </c>
      <c r="DI89" s="9">
        <v>1143.4000000000001</v>
      </c>
      <c r="DJ89" s="9">
        <v>1134</v>
      </c>
      <c r="DK89" s="9">
        <v>1121.7</v>
      </c>
      <c r="DL89" s="9">
        <v>1282.2</v>
      </c>
      <c r="DM89" s="9">
        <v>1135.5</v>
      </c>
      <c r="DN89" s="9">
        <v>1222</v>
      </c>
      <c r="DO89" s="9">
        <v>1267.0999999999999</v>
      </c>
      <c r="DP89" s="9">
        <v>1146.5999999999999</v>
      </c>
      <c r="DQ89" s="9">
        <v>1269</v>
      </c>
      <c r="DR89" s="9">
        <v>1221.9000000000001</v>
      </c>
      <c r="DS89" s="9">
        <v>1150</v>
      </c>
      <c r="DT89" s="9">
        <v>1268.5999999999999</v>
      </c>
      <c r="DU89" s="9">
        <v>1277.2</v>
      </c>
      <c r="DV89" s="9">
        <v>1148.8</v>
      </c>
      <c r="DW89" s="9">
        <v>1141.3</v>
      </c>
      <c r="DX89" s="9">
        <v>1234</v>
      </c>
      <c r="DY89" s="9">
        <v>1248.3</v>
      </c>
      <c r="DZ89" s="9">
        <v>1257.4000000000001</v>
      </c>
      <c r="EA89" s="9">
        <v>1122.2</v>
      </c>
      <c r="EB89" s="9">
        <v>1145.5</v>
      </c>
      <c r="EC89" s="9">
        <v>1186.4000000000001</v>
      </c>
      <c r="ED89" s="9">
        <v>1161.4000000000001</v>
      </c>
      <c r="EE89" s="9">
        <v>1133.2</v>
      </c>
      <c r="EF89" s="9">
        <v>1143</v>
      </c>
      <c r="EG89" s="9">
        <v>1275.0999999999999</v>
      </c>
      <c r="EH89" s="9">
        <v>1142.8</v>
      </c>
      <c r="EI89" s="9">
        <v>1139.9000000000001</v>
      </c>
      <c r="EJ89" s="9">
        <v>1241</v>
      </c>
      <c r="EK89" s="9">
        <v>1265.2</v>
      </c>
      <c r="EL89" s="9">
        <v>1229.5</v>
      </c>
      <c r="EM89" s="9">
        <v>1201</v>
      </c>
      <c r="EN89" s="9">
        <v>1241.2</v>
      </c>
      <c r="EO89" s="9">
        <v>1051</v>
      </c>
      <c r="EP89" s="9">
        <v>1219</v>
      </c>
      <c r="EQ89" s="9">
        <v>1231</v>
      </c>
      <c r="ER89" s="9">
        <v>1231</v>
      </c>
      <c r="ES89" s="9">
        <v>1224</v>
      </c>
      <c r="ET89" s="9">
        <v>1180</v>
      </c>
      <c r="EU89" s="9">
        <v>1101</v>
      </c>
      <c r="EV89" s="9">
        <v>1233.5999999999999</v>
      </c>
      <c r="EW89" s="9">
        <v>1213.5999999999999</v>
      </c>
      <c r="EX89" s="9">
        <v>1132</v>
      </c>
      <c r="EY89" s="9">
        <v>1234</v>
      </c>
      <c r="EZ89" s="9">
        <v>1136</v>
      </c>
      <c r="FA89" s="9">
        <v>1148.7</v>
      </c>
      <c r="FB89" s="9">
        <v>1121</v>
      </c>
      <c r="FC89" s="9">
        <v>1041</v>
      </c>
      <c r="FD89" s="9">
        <v>1236.3</v>
      </c>
      <c r="FE89" s="9">
        <v>1232.2</v>
      </c>
      <c r="FF89" s="9">
        <v>1233</v>
      </c>
      <c r="FG89" s="9">
        <v>1147.3</v>
      </c>
      <c r="FH89" s="9">
        <v>1287.8</v>
      </c>
      <c r="FI89" s="9">
        <v>1134.0999999999999</v>
      </c>
      <c r="FJ89" s="9">
        <v>1134.9000000000001</v>
      </c>
      <c r="FK89" s="9">
        <v>1128.8</v>
      </c>
      <c r="FL89" s="9">
        <v>1135.0999999999999</v>
      </c>
      <c r="FM89" s="9">
        <v>1142.5</v>
      </c>
      <c r="FN89" s="9">
        <v>1129.7</v>
      </c>
      <c r="FO89" s="9">
        <v>1132.8</v>
      </c>
      <c r="FP89" s="9">
        <v>1261</v>
      </c>
      <c r="FQ89" s="9">
        <v>1112</v>
      </c>
      <c r="FR89" s="9">
        <v>1253.7</v>
      </c>
      <c r="FS89" s="9">
        <v>1262.5</v>
      </c>
      <c r="FT89" s="9">
        <v>1251</v>
      </c>
      <c r="FU89" s="9">
        <v>1186.3</v>
      </c>
      <c r="FV89" s="9">
        <v>1113.8</v>
      </c>
      <c r="FW89" s="9">
        <v>1253</v>
      </c>
      <c r="FX89" s="9">
        <v>1102</v>
      </c>
      <c r="FY89" s="9">
        <v>1152.8</v>
      </c>
      <c r="FZ89" s="9">
        <v>1151.5999999999999</v>
      </c>
      <c r="GA89" s="9">
        <v>1155.4000000000001</v>
      </c>
      <c r="GB89" s="9">
        <v>1266</v>
      </c>
      <c r="GC89" s="9">
        <v>1152.0999999999999</v>
      </c>
      <c r="GD89" s="9">
        <v>1268</v>
      </c>
      <c r="GE89" s="9">
        <v>1101</v>
      </c>
      <c r="GF89" s="9">
        <v>1119.7</v>
      </c>
      <c r="GG89" s="9">
        <v>1127.2</v>
      </c>
      <c r="GH89" s="9">
        <v>1280</v>
      </c>
      <c r="GI89" s="9">
        <v>1137.5999999999999</v>
      </c>
      <c r="GJ89" s="9">
        <v>1198.4000000000001</v>
      </c>
      <c r="GK89" s="9">
        <v>1249.2</v>
      </c>
      <c r="GL89" s="9">
        <v>1270.7</v>
      </c>
      <c r="GM89" s="9">
        <v>1180</v>
      </c>
      <c r="GN89" s="9">
        <v>1223.5</v>
      </c>
      <c r="GO89" s="9">
        <v>1271.5</v>
      </c>
      <c r="GP89" s="9">
        <v>1160</v>
      </c>
      <c r="GQ89" s="9">
        <v>1170</v>
      </c>
      <c r="GR89" s="9">
        <v>1176.0999999999999</v>
      </c>
      <c r="GS89" s="9">
        <v>1142</v>
      </c>
      <c r="GT89" s="9">
        <v>1090</v>
      </c>
      <c r="GU89" s="9">
        <v>1111</v>
      </c>
      <c r="GV89" s="9">
        <v>1123</v>
      </c>
      <c r="GW89" s="9">
        <v>1101</v>
      </c>
      <c r="GX89" s="9">
        <v>1096.2</v>
      </c>
      <c r="GY89" s="9">
        <v>1117.3</v>
      </c>
      <c r="GZ89" s="9">
        <v>935.4</v>
      </c>
      <c r="HA89" s="9">
        <v>1124.3</v>
      </c>
      <c r="HB89" s="9"/>
      <c r="HC89" s="9"/>
      <c r="HD89" s="9">
        <v>1021</v>
      </c>
      <c r="HE89" s="9">
        <v>801</v>
      </c>
      <c r="HF89" s="9">
        <v>1141</v>
      </c>
      <c r="HG89" s="9"/>
      <c r="HH89" s="9">
        <v>1212.3</v>
      </c>
      <c r="HI89" s="9">
        <v>1121</v>
      </c>
      <c r="HJ89" s="9">
        <v>1109.5999999999999</v>
      </c>
      <c r="HK89" s="9">
        <v>1121.7</v>
      </c>
      <c r="HL89" s="9">
        <v>1112</v>
      </c>
      <c r="HM89" s="9">
        <v>1106.0999999999999</v>
      </c>
      <c r="HN89" s="9">
        <v>1122.5999999999999</v>
      </c>
      <c r="HO89" s="9">
        <v>1121.4000000000001</v>
      </c>
      <c r="HP89" s="9">
        <v>1129.0999999999999</v>
      </c>
      <c r="HQ89" s="9">
        <v>1119.5</v>
      </c>
      <c r="HR89" s="9">
        <v>1128.5</v>
      </c>
      <c r="HS89" s="9">
        <v>1109.4000000000001</v>
      </c>
      <c r="HT89" s="9">
        <v>1269.7</v>
      </c>
      <c r="HU89" s="9">
        <v>1298.3</v>
      </c>
      <c r="HV89" s="9">
        <v>970</v>
      </c>
      <c r="HW89" s="9">
        <v>960</v>
      </c>
      <c r="HX89" s="9">
        <v>833</v>
      </c>
      <c r="HY89" s="9">
        <v>688</v>
      </c>
      <c r="HZ89" s="9">
        <v>871.5</v>
      </c>
      <c r="IA89" s="9">
        <v>1001.1</v>
      </c>
      <c r="IB89" s="9">
        <v>1149.8</v>
      </c>
      <c r="IC89" s="9">
        <v>1249.8</v>
      </c>
      <c r="ID89" s="9">
        <v>1198.4000000000001</v>
      </c>
      <c r="IE89" s="9">
        <v>1209.7</v>
      </c>
      <c r="IF89" s="9">
        <v>1155.5</v>
      </c>
      <c r="IG89" s="9">
        <v>1212</v>
      </c>
      <c r="IH89" s="9">
        <v>1243.4000000000001</v>
      </c>
      <c r="II89" s="9">
        <v>1249.55</v>
      </c>
      <c r="IJ89" s="9">
        <v>1101.0999999999999</v>
      </c>
      <c r="IK89" s="9">
        <v>1155.4000000000001</v>
      </c>
      <c r="IL89" s="9">
        <v>1103.3</v>
      </c>
      <c r="IM89" s="9">
        <v>1131</v>
      </c>
      <c r="IN89" s="9">
        <v>1058</v>
      </c>
      <c r="IO89" s="9"/>
      <c r="IP89" s="9">
        <v>1500.1</v>
      </c>
      <c r="IQ89" s="9">
        <v>1223</v>
      </c>
      <c r="IR89" s="9">
        <v>421</v>
      </c>
      <c r="IS89" s="9">
        <v>1109</v>
      </c>
      <c r="IT89" s="9">
        <v>1071</v>
      </c>
      <c r="IU89" s="9"/>
      <c r="IV89" s="9"/>
      <c r="IW89" s="9">
        <v>1040</v>
      </c>
      <c r="IX89" s="9">
        <v>1101</v>
      </c>
      <c r="IY89" s="9">
        <v>1143</v>
      </c>
      <c r="IZ89" s="9">
        <v>1071</v>
      </c>
      <c r="JA89" s="9">
        <v>1031</v>
      </c>
      <c r="JB89" s="11">
        <v>33.229999999999997</v>
      </c>
      <c r="JC89" s="11">
        <v>41.42</v>
      </c>
      <c r="JD89" s="11">
        <v>1.87</v>
      </c>
      <c r="JE89" s="11">
        <v>4.9000000000000004</v>
      </c>
      <c r="JF89" s="11"/>
      <c r="JG89" s="11">
        <v>5.81</v>
      </c>
      <c r="JH89" s="13">
        <v>5.3</v>
      </c>
      <c r="JI89" s="12"/>
      <c r="JJ89" s="277"/>
      <c r="JK89" s="9">
        <v>87494165.934</v>
      </c>
      <c r="JL89" s="260">
        <v>283487.11499999999</v>
      </c>
      <c r="JM89" s="9">
        <v>60430998.240999997</v>
      </c>
      <c r="JN89" s="260">
        <v>63159.26</v>
      </c>
      <c r="JO89" s="9">
        <v>88205890.186000004</v>
      </c>
      <c r="JP89" s="260">
        <v>188727.198</v>
      </c>
      <c r="JQ89" s="9">
        <v>64142279.413999997</v>
      </c>
      <c r="JR89" s="260">
        <v>58113.16</v>
      </c>
      <c r="JS89" s="11">
        <v>331376520.79500002</v>
      </c>
      <c r="JT89" s="289">
        <v>89443.315000000002</v>
      </c>
      <c r="JU89" s="283">
        <f t="shared" ref="JU89" si="460">IF((JK89-JK88)&lt;0,"",(JK89-JK88))</f>
        <v>76776.831000000238</v>
      </c>
      <c r="JV89" s="283">
        <f t="shared" ref="JV89" si="461">IF((JL89-JL88)&lt;0,"",(JL89-JL88))</f>
        <v>21.940999999991618</v>
      </c>
      <c r="JW89" s="283">
        <f t="shared" ref="JW89" si="462">IF((JM89-JM88)&lt;0,"",(JM89-JM88))</f>
        <v>72636.893999993801</v>
      </c>
      <c r="JX89" s="283">
        <f t="shared" ref="JX89" si="463">IF((JN89-JN88)&lt;0,"",(JN89-JN88))</f>
        <v>29.884000000005472</v>
      </c>
      <c r="JY89" s="284">
        <f t="shared" ref="JY89" si="464">IF((JO89-JO88)&lt;0,"",(JO89-JO88))</f>
        <v>75179.603000000119</v>
      </c>
      <c r="JZ89" s="284">
        <f t="shared" ref="JZ89" si="465">IF((JP89-JP88)&lt;0,"",(JP89-JP88))</f>
        <v>45.269999999989523</v>
      </c>
      <c r="KA89" s="284">
        <f t="shared" ref="KA89" si="466">IF((JQ89-JQ88)&lt;0,"",(JQ89-JQ88))</f>
        <v>56847.543999999762</v>
      </c>
      <c r="KB89" s="284">
        <f t="shared" ref="KB89" si="467">IF((JR89-JR88)&lt;0,"",(JR89-JR88))</f>
        <v>56.544000000001688</v>
      </c>
      <c r="KC89" s="283">
        <f t="shared" ref="KC89" si="468">IF((JS89-JS88)&lt;0,"",(JS89-JS88))</f>
        <v>281490.6400000453</v>
      </c>
      <c r="KD89" s="283">
        <f t="shared" ref="KD89:KD94" si="469">IF((JT89-JT88)&lt;0,"",(JT89-JT88))</f>
        <v>133.68099999999686</v>
      </c>
      <c r="KE89" s="291">
        <f t="shared" si="440"/>
        <v>149361.89999999403</v>
      </c>
      <c r="KF89" s="291">
        <f t="shared" si="441"/>
        <v>281356.95900004532</v>
      </c>
      <c r="KG89" s="292">
        <f>(RD[[#This Row],[Sunset Time (POA&lt;20 W/m2)]]-RD[[#This Row],[Sunrise Time (POA&gt;20 W/m2)]])*24</f>
        <v>13.216666666666665</v>
      </c>
      <c r="KH89" s="293">
        <f>RD[[#This Row],[GHI ]]</f>
        <v>5.81</v>
      </c>
      <c r="KI89" s="293">
        <f>RD[[#This Row],[POA]]</f>
        <v>5.3</v>
      </c>
      <c r="KJ89" s="293">
        <f>RD[[#This Row],[AT (°C) 14 Hours]]</f>
        <v>33.229999999999997</v>
      </c>
      <c r="KK89" s="293">
        <f>RD[[#This Row],[MT (°C) Gen. Hours]]</f>
        <v>41.42</v>
      </c>
      <c r="KL89" s="293">
        <f>RD[[#This Row],[WS_Avg (m/s) (24 Hours)]]</f>
        <v>1.87</v>
      </c>
      <c r="KM89" s="293">
        <f>RD[[#This Row],[WS_Max (m/s)]]</f>
        <v>4.9000000000000004</v>
      </c>
      <c r="KN89" s="294">
        <f>SUM(RD[[#This Row],[BLK1_INV1]:[BLK8_INV27]])</f>
        <v>282611.15000000002</v>
      </c>
      <c r="KO89" s="95"/>
      <c r="KP89" s="55"/>
      <c r="KQ89" s="90" t="str">
        <f>IFERROR(RD[[#This Row],[WPR_Eac]]/RD[[#This Row],[WPR_Edc]],"")</f>
        <v/>
      </c>
    </row>
    <row r="90" spans="2:303" ht="15" customHeight="1" x14ac:dyDescent="0.25">
      <c r="B90" s="52">
        <v>45831</v>
      </c>
      <c r="C90" s="9">
        <f>YEAR(RD[[#This Row],[Date]])+IF(MONTH(RD[[#This Row],[Date]])&gt;=4,1,0)</f>
        <v>2026</v>
      </c>
      <c r="D90" s="6">
        <f t="shared" si="429"/>
        <v>2025</v>
      </c>
      <c r="E90" s="7"/>
      <c r="F90" s="7"/>
      <c r="G90" s="367" t="str">
        <f>TEXT(RD[[#This Row],[Date]],"mmm-yy")</f>
        <v>Jun-25</v>
      </c>
      <c r="H90" s="6">
        <f t="shared" si="430"/>
        <v>30</v>
      </c>
      <c r="I90" s="9">
        <f>'Basic Data '!$S$2</f>
        <v>66750</v>
      </c>
      <c r="J90" s="10">
        <v>0.21666666666666667</v>
      </c>
      <c r="K90" s="10">
        <v>0.77083333333333337</v>
      </c>
      <c r="L90" s="9">
        <v>1067</v>
      </c>
      <c r="M90" s="9">
        <v>1053.4000000000001</v>
      </c>
      <c r="N90" s="9">
        <v>978</v>
      </c>
      <c r="O90" s="9">
        <v>973.1</v>
      </c>
      <c r="P90" s="9">
        <v>1049.2</v>
      </c>
      <c r="Q90" s="9">
        <v>973.9</v>
      </c>
      <c r="R90" s="9">
        <v>972.6</v>
      </c>
      <c r="S90" s="9">
        <v>973.1</v>
      </c>
      <c r="T90" s="9">
        <v>931.6</v>
      </c>
      <c r="U90" s="9">
        <v>1013.1</v>
      </c>
      <c r="V90" s="9">
        <v>981</v>
      </c>
      <c r="W90" s="9">
        <v>986.2</v>
      </c>
      <c r="X90" s="9">
        <v>981.1</v>
      </c>
      <c r="Y90" s="9">
        <v>891</v>
      </c>
      <c r="Z90" s="9">
        <v>968.2</v>
      </c>
      <c r="AA90" s="9">
        <v>967.8</v>
      </c>
      <c r="AB90" s="9">
        <v>965.5</v>
      </c>
      <c r="AC90" s="9">
        <v>998.2</v>
      </c>
      <c r="AD90" s="9">
        <v>1045.4000000000001</v>
      </c>
      <c r="AE90" s="9">
        <v>1043.8</v>
      </c>
      <c r="AF90" s="9">
        <v>969.2</v>
      </c>
      <c r="AG90" s="9">
        <v>972</v>
      </c>
      <c r="AH90" s="9">
        <v>1046.0999999999999</v>
      </c>
      <c r="AI90" s="9">
        <v>1099.5</v>
      </c>
      <c r="AJ90" s="9">
        <v>1057.5999999999999</v>
      </c>
      <c r="AK90" s="9">
        <v>1048.3</v>
      </c>
      <c r="AL90" s="9">
        <v>1059.0999999999999</v>
      </c>
      <c r="AM90" s="9">
        <v>1088.0999999999999</v>
      </c>
      <c r="AN90" s="9">
        <v>1097.8</v>
      </c>
      <c r="AO90" s="9">
        <v>1091.2</v>
      </c>
      <c r="AP90" s="9">
        <v>1109</v>
      </c>
      <c r="AQ90" s="9">
        <v>1010</v>
      </c>
      <c r="AR90" s="9">
        <v>935.2</v>
      </c>
      <c r="AS90" s="9">
        <v>1232</v>
      </c>
      <c r="AT90" s="9">
        <v>970.4</v>
      </c>
      <c r="AU90" s="9">
        <v>1071</v>
      </c>
      <c r="AV90" s="9">
        <v>976.7</v>
      </c>
      <c r="AW90" s="9">
        <v>991</v>
      </c>
      <c r="AX90" s="9">
        <v>981.2</v>
      </c>
      <c r="AY90" s="9">
        <v>977.9</v>
      </c>
      <c r="AZ90" s="9">
        <v>962.4</v>
      </c>
      <c r="BA90" s="9">
        <v>989.9</v>
      </c>
      <c r="BB90" s="9">
        <v>999.1</v>
      </c>
      <c r="BC90" s="9">
        <v>994.6</v>
      </c>
      <c r="BD90" s="9">
        <v>975.4</v>
      </c>
      <c r="BE90" s="9">
        <v>979.4</v>
      </c>
      <c r="BF90" s="9">
        <v>951</v>
      </c>
      <c r="BG90" s="9">
        <v>959.1</v>
      </c>
      <c r="BH90" s="9">
        <v>1010</v>
      </c>
      <c r="BI90" s="9">
        <v>911</v>
      </c>
      <c r="BJ90" s="9">
        <v>969.6</v>
      </c>
      <c r="BK90" s="9">
        <v>973</v>
      </c>
      <c r="BL90" s="9">
        <v>1090</v>
      </c>
      <c r="BM90" s="9">
        <v>1091.4000000000001</v>
      </c>
      <c r="BN90" s="9">
        <v>1034.0999999999999</v>
      </c>
      <c r="BO90" s="9">
        <v>1100</v>
      </c>
      <c r="BP90" s="9">
        <v>1099.5</v>
      </c>
      <c r="BQ90" s="9">
        <v>969.9</v>
      </c>
      <c r="BR90" s="9">
        <v>1087.4000000000001</v>
      </c>
      <c r="BS90" s="9">
        <v>1104.4000000000001</v>
      </c>
      <c r="BT90" s="9">
        <v>976.1</v>
      </c>
      <c r="BU90" s="9">
        <v>1080</v>
      </c>
      <c r="BV90" s="9">
        <v>973.4</v>
      </c>
      <c r="BW90" s="9">
        <v>890</v>
      </c>
      <c r="BX90" s="9">
        <v>1052.3</v>
      </c>
      <c r="BY90" s="9">
        <v>1057.4000000000001</v>
      </c>
      <c r="BZ90" s="9">
        <v>1044</v>
      </c>
      <c r="CA90" s="9">
        <v>1038.0999999999999</v>
      </c>
      <c r="CB90" s="9">
        <v>976</v>
      </c>
      <c r="CC90" s="9">
        <v>974.1</v>
      </c>
      <c r="CD90" s="9">
        <v>975.4</v>
      </c>
      <c r="CE90" s="9">
        <v>967.1</v>
      </c>
      <c r="CF90" s="9">
        <v>961</v>
      </c>
      <c r="CG90" s="9">
        <v>961</v>
      </c>
      <c r="CH90" s="9">
        <v>1080</v>
      </c>
      <c r="CI90" s="9">
        <v>1098.5</v>
      </c>
      <c r="CJ90" s="9">
        <v>1078</v>
      </c>
      <c r="CK90" s="9">
        <v>982.9</v>
      </c>
      <c r="CL90" s="9">
        <v>973</v>
      </c>
      <c r="CM90" s="9">
        <v>1071.9000000000001</v>
      </c>
      <c r="CN90" s="9">
        <v>980.6</v>
      </c>
      <c r="CO90" s="9">
        <v>965.9</v>
      </c>
      <c r="CP90" s="9">
        <v>974</v>
      </c>
      <c r="CQ90" s="9">
        <v>989</v>
      </c>
      <c r="CR90" s="9">
        <v>970.6</v>
      </c>
      <c r="CS90" s="9">
        <v>973.1</v>
      </c>
      <c r="CT90" s="9">
        <v>974.9</v>
      </c>
      <c r="CU90" s="9">
        <v>968.8</v>
      </c>
      <c r="CV90" s="9">
        <v>956.1</v>
      </c>
      <c r="CW90" s="9">
        <v>945.7</v>
      </c>
      <c r="CX90" s="9">
        <v>999.9</v>
      </c>
      <c r="CY90" s="9">
        <v>1017</v>
      </c>
      <c r="CZ90" s="9">
        <v>955</v>
      </c>
      <c r="DA90" s="9">
        <v>958</v>
      </c>
      <c r="DB90" s="9">
        <v>1071</v>
      </c>
      <c r="DC90" s="9">
        <v>958.1</v>
      </c>
      <c r="DD90" s="9">
        <v>745</v>
      </c>
      <c r="DE90" s="9">
        <v>985.2</v>
      </c>
      <c r="DF90" s="9">
        <v>956</v>
      </c>
      <c r="DG90" s="9">
        <v>960</v>
      </c>
      <c r="DH90" s="9">
        <v>970</v>
      </c>
      <c r="DI90" s="9">
        <v>958</v>
      </c>
      <c r="DJ90" s="9">
        <v>951</v>
      </c>
      <c r="DK90" s="9">
        <v>946.6</v>
      </c>
      <c r="DL90" s="9">
        <v>1080</v>
      </c>
      <c r="DM90" s="9">
        <v>951</v>
      </c>
      <c r="DN90" s="9">
        <v>1080</v>
      </c>
      <c r="DO90" s="9">
        <v>1079.4000000000001</v>
      </c>
      <c r="DP90" s="9">
        <v>951</v>
      </c>
      <c r="DQ90" s="9">
        <v>1059</v>
      </c>
      <c r="DR90" s="9">
        <v>1045.2</v>
      </c>
      <c r="DS90" s="9">
        <v>1052.8</v>
      </c>
      <c r="DT90" s="9">
        <v>1070</v>
      </c>
      <c r="DU90" s="9">
        <v>1061</v>
      </c>
      <c r="DV90" s="9">
        <v>951</v>
      </c>
      <c r="DW90" s="9">
        <v>964</v>
      </c>
      <c r="DX90" s="9">
        <v>967</v>
      </c>
      <c r="DY90" s="9">
        <v>1090</v>
      </c>
      <c r="DZ90" s="9">
        <v>1059</v>
      </c>
      <c r="EA90" s="9">
        <v>975.5</v>
      </c>
      <c r="EB90" s="9">
        <v>956</v>
      </c>
      <c r="EC90" s="9">
        <v>1039.5999999999999</v>
      </c>
      <c r="ED90" s="9">
        <v>1016.1</v>
      </c>
      <c r="EE90" s="9">
        <v>951</v>
      </c>
      <c r="EF90" s="9">
        <v>967</v>
      </c>
      <c r="EG90" s="9">
        <v>1089</v>
      </c>
      <c r="EH90" s="9">
        <v>940.1</v>
      </c>
      <c r="EI90" s="9">
        <v>964.1</v>
      </c>
      <c r="EJ90" s="9">
        <v>1080</v>
      </c>
      <c r="EK90" s="9">
        <v>1046</v>
      </c>
      <c r="EL90" s="9">
        <v>1029</v>
      </c>
      <c r="EM90" s="9">
        <v>1019.3</v>
      </c>
      <c r="EN90" s="9">
        <v>1044.5</v>
      </c>
      <c r="EO90" s="9">
        <v>860</v>
      </c>
      <c r="EP90" s="9">
        <v>1020</v>
      </c>
      <c r="EQ90" s="9">
        <v>1030.7</v>
      </c>
      <c r="ER90" s="9">
        <v>869.7</v>
      </c>
      <c r="ES90" s="9">
        <v>1029</v>
      </c>
      <c r="ET90" s="9">
        <v>990</v>
      </c>
      <c r="EU90" s="9">
        <v>934</v>
      </c>
      <c r="EV90" s="9">
        <v>1039.5999999999999</v>
      </c>
      <c r="EW90" s="9">
        <v>1020.4</v>
      </c>
      <c r="EX90" s="9">
        <v>962.4</v>
      </c>
      <c r="EY90" s="9">
        <v>1042</v>
      </c>
      <c r="EZ90" s="9">
        <v>946.6</v>
      </c>
      <c r="FA90" s="9">
        <v>1044</v>
      </c>
      <c r="FB90" s="9">
        <v>965</v>
      </c>
      <c r="FC90" s="9">
        <v>876</v>
      </c>
      <c r="FD90" s="9">
        <v>1063.4000000000001</v>
      </c>
      <c r="FE90" s="9">
        <v>1060.5999999999999</v>
      </c>
      <c r="FF90" s="9">
        <v>1048</v>
      </c>
      <c r="FG90" s="9">
        <v>971.2</v>
      </c>
      <c r="FH90" s="9">
        <v>1081</v>
      </c>
      <c r="FI90" s="9">
        <v>962.4</v>
      </c>
      <c r="FJ90" s="9">
        <v>974</v>
      </c>
      <c r="FK90" s="9">
        <v>962.2</v>
      </c>
      <c r="FL90" s="9">
        <v>965.1</v>
      </c>
      <c r="FM90" s="9">
        <v>953</v>
      </c>
      <c r="FN90" s="9">
        <v>959.3</v>
      </c>
      <c r="FO90" s="9">
        <v>949.1</v>
      </c>
      <c r="FP90" s="9">
        <v>1079.5</v>
      </c>
      <c r="FQ90" s="9">
        <v>920.9</v>
      </c>
      <c r="FR90" s="9">
        <v>989.4</v>
      </c>
      <c r="FS90" s="9">
        <v>988.2</v>
      </c>
      <c r="FT90" s="9">
        <v>1049</v>
      </c>
      <c r="FU90" s="9">
        <v>994</v>
      </c>
      <c r="FV90" s="9">
        <v>940</v>
      </c>
      <c r="FW90" s="9">
        <v>992.6</v>
      </c>
      <c r="FX90" s="9">
        <v>940</v>
      </c>
      <c r="FY90" s="9">
        <v>965.2</v>
      </c>
      <c r="FZ90" s="9">
        <v>991.6</v>
      </c>
      <c r="GA90" s="9">
        <v>968.6</v>
      </c>
      <c r="GB90" s="9">
        <v>1060</v>
      </c>
      <c r="GC90" s="9">
        <v>980</v>
      </c>
      <c r="GD90" s="9">
        <v>1076.2</v>
      </c>
      <c r="GE90" s="9">
        <v>954.1</v>
      </c>
      <c r="GF90" s="9">
        <v>941</v>
      </c>
      <c r="GG90" s="9">
        <v>944.3</v>
      </c>
      <c r="GH90" s="9">
        <v>1061.5999999999999</v>
      </c>
      <c r="GI90" s="9">
        <v>951</v>
      </c>
      <c r="GJ90" s="9">
        <v>1020</v>
      </c>
      <c r="GK90" s="9">
        <v>1041</v>
      </c>
      <c r="GL90" s="9">
        <v>1071</v>
      </c>
      <c r="GM90" s="9">
        <v>990</v>
      </c>
      <c r="GN90" s="9">
        <v>1024.5</v>
      </c>
      <c r="GO90" s="9">
        <v>1072.7</v>
      </c>
      <c r="GP90" s="9">
        <v>971</v>
      </c>
      <c r="GQ90" s="9">
        <v>990.9</v>
      </c>
      <c r="GR90" s="9">
        <v>920</v>
      </c>
      <c r="GS90" s="9">
        <v>1010</v>
      </c>
      <c r="GT90" s="9">
        <v>950.1</v>
      </c>
      <c r="GU90" s="9">
        <v>935.8</v>
      </c>
      <c r="GV90" s="9">
        <v>941</v>
      </c>
      <c r="GW90" s="9">
        <v>941.7</v>
      </c>
      <c r="GX90" s="9">
        <v>956.6</v>
      </c>
      <c r="GY90" s="9">
        <v>931</v>
      </c>
      <c r="GZ90" s="9">
        <v>780</v>
      </c>
      <c r="HA90" s="9">
        <v>931</v>
      </c>
      <c r="HB90" s="9"/>
      <c r="HC90" s="9"/>
      <c r="HD90" s="9">
        <v>860</v>
      </c>
      <c r="HE90" s="9">
        <v>615.9</v>
      </c>
      <c r="HF90" s="9">
        <v>953.6</v>
      </c>
      <c r="HG90" s="9"/>
      <c r="HH90" s="9">
        <v>1065.3</v>
      </c>
      <c r="HI90" s="9">
        <v>943.5</v>
      </c>
      <c r="HJ90" s="9">
        <v>901.3</v>
      </c>
      <c r="HK90" s="9">
        <v>941.3</v>
      </c>
      <c r="HL90" s="9">
        <v>959.6</v>
      </c>
      <c r="HM90" s="9">
        <v>967.8</v>
      </c>
      <c r="HN90" s="9">
        <v>977</v>
      </c>
      <c r="HO90" s="9">
        <v>976.1</v>
      </c>
      <c r="HP90" s="9">
        <v>941</v>
      </c>
      <c r="HQ90" s="9">
        <v>974.1</v>
      </c>
      <c r="HR90" s="9">
        <v>977.6</v>
      </c>
      <c r="HS90" s="9">
        <v>941</v>
      </c>
      <c r="HT90" s="9">
        <v>1080</v>
      </c>
      <c r="HU90" s="9">
        <v>1100</v>
      </c>
      <c r="HV90" s="9">
        <v>830</v>
      </c>
      <c r="HW90" s="9">
        <v>819</v>
      </c>
      <c r="HX90" s="9">
        <v>698</v>
      </c>
      <c r="HY90" s="9">
        <v>591</v>
      </c>
      <c r="HZ90" s="9">
        <v>741</v>
      </c>
      <c r="IA90" s="9">
        <v>867.2</v>
      </c>
      <c r="IB90" s="9">
        <v>1032.5</v>
      </c>
      <c r="IC90" s="9">
        <v>1101.0999999999999</v>
      </c>
      <c r="ID90" s="9">
        <v>1051.5</v>
      </c>
      <c r="IE90" s="9">
        <v>1064.8</v>
      </c>
      <c r="IF90" s="9">
        <v>1032.7</v>
      </c>
      <c r="IG90" s="9">
        <v>1072.5999999999999</v>
      </c>
      <c r="IH90" s="9">
        <v>1110.7</v>
      </c>
      <c r="II90" s="9">
        <v>1092.5999999999999</v>
      </c>
      <c r="IJ90" s="9">
        <v>941.6</v>
      </c>
      <c r="IK90" s="9">
        <v>981</v>
      </c>
      <c r="IL90" s="9">
        <v>929.9</v>
      </c>
      <c r="IM90" s="9">
        <v>941.6</v>
      </c>
      <c r="IN90" s="9">
        <v>876.6</v>
      </c>
      <c r="IO90" s="9"/>
      <c r="IP90" s="9">
        <v>1301</v>
      </c>
      <c r="IQ90" s="9">
        <v>1020</v>
      </c>
      <c r="IR90" s="9">
        <v>372</v>
      </c>
      <c r="IS90" s="9">
        <v>934</v>
      </c>
      <c r="IT90" s="9">
        <v>902</v>
      </c>
      <c r="IU90" s="9"/>
      <c r="IV90" s="9"/>
      <c r="IW90" s="9">
        <v>943</v>
      </c>
      <c r="IX90" s="9">
        <v>950</v>
      </c>
      <c r="IY90" s="9">
        <v>964</v>
      </c>
      <c r="IZ90" s="9">
        <v>898</v>
      </c>
      <c r="JA90" s="9">
        <v>861.2</v>
      </c>
      <c r="JB90" s="11">
        <v>30.76</v>
      </c>
      <c r="JC90" s="11">
        <v>41.42</v>
      </c>
      <c r="JD90" s="11">
        <v>1.21</v>
      </c>
      <c r="JE90" s="11">
        <v>6.5</v>
      </c>
      <c r="JF90" s="11"/>
      <c r="JG90" s="11">
        <v>4.95</v>
      </c>
      <c r="JH90" s="13">
        <v>4.58</v>
      </c>
      <c r="JI90" s="12"/>
      <c r="JJ90" s="277"/>
      <c r="JK90" s="9">
        <v>87558522.716000006</v>
      </c>
      <c r="JL90" s="215">
        <v>283500.05599999998</v>
      </c>
      <c r="JM90" s="9">
        <v>60492999.109999999</v>
      </c>
      <c r="JN90" s="215">
        <v>63189.144</v>
      </c>
      <c r="JO90" s="9">
        <v>88268514.616999999</v>
      </c>
      <c r="JP90" s="215">
        <v>188772.46799999999</v>
      </c>
      <c r="JQ90" s="9">
        <v>64192397.920999996</v>
      </c>
      <c r="JR90" s="215">
        <v>58169.703999999998</v>
      </c>
      <c r="JS90" s="11">
        <v>331615308.59200001</v>
      </c>
      <c r="JT90" s="223">
        <v>89576.995999999999</v>
      </c>
      <c r="JU90" s="283">
        <f t="shared" ref="JU90" si="470">IF((JK90-JK89)&lt;0,"",(JK90-JK89))</f>
        <v>64356.782000005245</v>
      </c>
      <c r="JV90" s="283">
        <f t="shared" ref="JV90" si="471">IF((JL90-JL89)&lt;0,"",(JL90-JL89))</f>
        <v>12.940999999991618</v>
      </c>
      <c r="JW90" s="283">
        <f t="shared" ref="JW90" si="472">IF((JM90-JM89)&lt;0,"",(JM90-JM89))</f>
        <v>62000.869000002742</v>
      </c>
      <c r="JX90" s="283">
        <f t="shared" ref="JX90" si="473">IF((JN90-JN89)&lt;0,"",(JN90-JN89))</f>
        <v>29.883999999998196</v>
      </c>
      <c r="JY90" s="284">
        <f t="shared" ref="JY90" si="474">IF((JO90-JO89)&lt;0,"",(JO90-JO89))</f>
        <v>62624.430999994278</v>
      </c>
      <c r="JZ90" s="284">
        <f t="shared" ref="JZ90" si="475">IF((JP90-JP89)&lt;0,"",(JP90-JP89))</f>
        <v>45.269999999989523</v>
      </c>
      <c r="KA90" s="284">
        <f t="shared" ref="KA90" si="476">IF((JQ90-JQ89)&lt;0,"",(JQ90-JQ89))</f>
        <v>50118.506999999285</v>
      </c>
      <c r="KB90" s="284">
        <f t="shared" ref="KB90" si="477">IF((JR90-JR89)&lt;0,"",(JR90-JR89))</f>
        <v>56.543999999994412</v>
      </c>
      <c r="KC90" s="283">
        <f t="shared" ref="KC90" si="478">IF((JS90-JS89)&lt;0,"",(JS90-JS89))</f>
        <v>238787.79699999094</v>
      </c>
      <c r="KD90" s="283">
        <f t="shared" si="469"/>
        <v>133.68099999999686</v>
      </c>
      <c r="KE90" s="291">
        <f t="shared" si="440"/>
        <v>126314.826000008</v>
      </c>
      <c r="KF90" s="291">
        <f t="shared" si="441"/>
        <v>238654.11599999096</v>
      </c>
      <c r="KG90" s="292">
        <f>(RD[[#This Row],[Sunset Time (POA&lt;20 W/m2)]]-RD[[#This Row],[Sunrise Time (POA&gt;20 W/m2)]])*24</f>
        <v>13.3</v>
      </c>
      <c r="KH90" s="293">
        <f>RD[[#This Row],[GHI ]]</f>
        <v>4.95</v>
      </c>
      <c r="KI90" s="293">
        <f>RD[[#This Row],[POA]]</f>
        <v>4.58</v>
      </c>
      <c r="KJ90" s="293">
        <f>RD[[#This Row],[AT (°C) 14 Hours]]</f>
        <v>30.76</v>
      </c>
      <c r="KK90" s="293">
        <f>RD[[#This Row],[MT (°C) Gen. Hours]]</f>
        <v>41.42</v>
      </c>
      <c r="KL90" s="293">
        <f>RD[[#This Row],[WS_Avg (m/s) (24 Hours)]]</f>
        <v>1.21</v>
      </c>
      <c r="KM90" s="293">
        <f>RD[[#This Row],[WS_Max (m/s)]]</f>
        <v>6.5</v>
      </c>
      <c r="KN90" s="294">
        <f>SUM(RD[[#This Row],[BLK1_INV1]:[BLK8_INV27]])</f>
        <v>239843.70000000013</v>
      </c>
      <c r="KO90" s="95"/>
      <c r="KP90" s="55"/>
      <c r="KQ90" s="90" t="str">
        <f>IFERROR(RD[[#This Row],[WPR_Eac]]/RD[[#This Row],[WPR_Edc]],"")</f>
        <v/>
      </c>
    </row>
    <row r="91" spans="2:303" ht="15" customHeight="1" x14ac:dyDescent="0.25">
      <c r="B91" s="52">
        <v>45832</v>
      </c>
      <c r="C91" s="9">
        <f>YEAR(RD[[#This Row],[Date]])+IF(MONTH(RD[[#This Row],[Date]])&gt;=4,1,0)</f>
        <v>2026</v>
      </c>
      <c r="D91" s="6">
        <f t="shared" si="429"/>
        <v>2025</v>
      </c>
      <c r="E91" s="7"/>
      <c r="F91" s="7"/>
      <c r="G91" s="367" t="str">
        <f>TEXT(RD[[#This Row],[Date]],"mmm-yy")</f>
        <v>Jun-25</v>
      </c>
      <c r="H91" s="6">
        <f t="shared" si="430"/>
        <v>30</v>
      </c>
      <c r="I91" s="9">
        <f>'Basic Data '!$S$2</f>
        <v>66750</v>
      </c>
      <c r="J91" s="10">
        <v>0.21597222222222223</v>
      </c>
      <c r="K91" s="10">
        <v>0.7715277777777777</v>
      </c>
      <c r="L91" s="9">
        <v>1415.2</v>
      </c>
      <c r="M91" s="9">
        <v>1450.2</v>
      </c>
      <c r="N91" s="9">
        <v>1345.8</v>
      </c>
      <c r="O91" s="9">
        <v>1327</v>
      </c>
      <c r="P91" s="9">
        <v>1436.1</v>
      </c>
      <c r="Q91" s="9">
        <v>1338.3</v>
      </c>
      <c r="R91" s="9">
        <v>1337.7</v>
      </c>
      <c r="S91" s="9">
        <v>1344.2</v>
      </c>
      <c r="T91" s="9">
        <v>1391</v>
      </c>
      <c r="U91" s="9">
        <v>1399.9</v>
      </c>
      <c r="V91" s="9">
        <v>1361</v>
      </c>
      <c r="W91" s="9">
        <v>1358</v>
      </c>
      <c r="X91" s="9">
        <v>1287</v>
      </c>
      <c r="Y91" s="9">
        <v>1265.8</v>
      </c>
      <c r="Z91" s="9">
        <v>1341.4</v>
      </c>
      <c r="AA91" s="9">
        <v>1340.6</v>
      </c>
      <c r="AB91" s="9">
        <v>1329.7</v>
      </c>
      <c r="AC91" s="9">
        <v>1326.7</v>
      </c>
      <c r="AD91" s="9">
        <v>1440.1</v>
      </c>
      <c r="AE91" s="9">
        <v>1439.8</v>
      </c>
      <c r="AF91" s="9">
        <v>1342.7</v>
      </c>
      <c r="AG91" s="9">
        <v>1348.9</v>
      </c>
      <c r="AH91" s="9">
        <v>1421.6</v>
      </c>
      <c r="AI91" s="9">
        <v>1516.6</v>
      </c>
      <c r="AJ91" s="9">
        <v>1463.2</v>
      </c>
      <c r="AK91" s="9">
        <v>1450.4</v>
      </c>
      <c r="AL91" s="9">
        <v>1409.1</v>
      </c>
      <c r="AM91" s="9">
        <v>1493.2</v>
      </c>
      <c r="AN91" s="9">
        <v>1509.5</v>
      </c>
      <c r="AO91" s="9">
        <v>1455</v>
      </c>
      <c r="AP91" s="9">
        <v>1455.5</v>
      </c>
      <c r="AQ91" s="9">
        <v>1451.1</v>
      </c>
      <c r="AR91" s="9">
        <v>1258</v>
      </c>
      <c r="AS91" s="9">
        <v>1698.7</v>
      </c>
      <c r="AT91" s="9">
        <v>1311.1</v>
      </c>
      <c r="AU91" s="9">
        <v>1478.2</v>
      </c>
      <c r="AV91" s="9">
        <v>1283.4000000000001</v>
      </c>
      <c r="AW91" s="9">
        <v>1292.2</v>
      </c>
      <c r="AX91" s="9">
        <v>1317</v>
      </c>
      <c r="AY91" s="9">
        <v>1329.6</v>
      </c>
      <c r="AZ91" s="9">
        <v>1307.0999999999999</v>
      </c>
      <c r="BA91" s="9">
        <v>1302.5</v>
      </c>
      <c r="BB91" s="9">
        <v>1326.1</v>
      </c>
      <c r="BC91" s="9">
        <v>1316.9</v>
      </c>
      <c r="BD91" s="9">
        <v>1335.1</v>
      </c>
      <c r="BE91" s="9">
        <v>1340.9</v>
      </c>
      <c r="BF91" s="9">
        <v>1408.9</v>
      </c>
      <c r="BG91" s="9">
        <v>1314.3</v>
      </c>
      <c r="BH91" s="9">
        <v>1373.3</v>
      </c>
      <c r="BI91" s="9">
        <v>1355</v>
      </c>
      <c r="BJ91" s="9">
        <v>1331.9</v>
      </c>
      <c r="BK91" s="9">
        <v>1330.5</v>
      </c>
      <c r="BL91" s="9">
        <v>1519.3</v>
      </c>
      <c r="BM91" s="9">
        <v>1499.2</v>
      </c>
      <c r="BN91" s="9">
        <v>1421.4</v>
      </c>
      <c r="BO91" s="9">
        <v>1504</v>
      </c>
      <c r="BP91" s="9">
        <v>1501.7</v>
      </c>
      <c r="BQ91" s="9">
        <v>1337.2</v>
      </c>
      <c r="BR91" s="9">
        <v>1483.1</v>
      </c>
      <c r="BS91" s="9">
        <v>1503.5</v>
      </c>
      <c r="BT91" s="9">
        <v>1333.2</v>
      </c>
      <c r="BU91" s="9">
        <v>1504.5</v>
      </c>
      <c r="BV91" s="9">
        <v>1329.7</v>
      </c>
      <c r="BW91" s="9">
        <v>1289.3</v>
      </c>
      <c r="BX91" s="9">
        <v>1453.1</v>
      </c>
      <c r="BY91" s="9">
        <v>1440.1</v>
      </c>
      <c r="BZ91" s="9">
        <v>1452.1</v>
      </c>
      <c r="CA91" s="9">
        <v>1406.3</v>
      </c>
      <c r="CB91" s="9">
        <v>1328.1</v>
      </c>
      <c r="CC91" s="9">
        <v>1325.7</v>
      </c>
      <c r="CD91" s="9">
        <v>1327</v>
      </c>
      <c r="CE91" s="9">
        <v>1317.3</v>
      </c>
      <c r="CF91" s="9">
        <v>1351.3</v>
      </c>
      <c r="CG91" s="9">
        <v>1322.1</v>
      </c>
      <c r="CH91" s="9">
        <v>1491.7</v>
      </c>
      <c r="CI91" s="9">
        <v>1460.2</v>
      </c>
      <c r="CJ91" s="9">
        <v>1499.9</v>
      </c>
      <c r="CK91" s="9">
        <v>1329</v>
      </c>
      <c r="CL91" s="9">
        <v>1318.5</v>
      </c>
      <c r="CM91" s="9">
        <v>1446.5</v>
      </c>
      <c r="CN91" s="9">
        <v>1342.5</v>
      </c>
      <c r="CO91" s="9">
        <v>1346.7</v>
      </c>
      <c r="CP91" s="9">
        <v>1327.7</v>
      </c>
      <c r="CQ91" s="9">
        <v>1340.7</v>
      </c>
      <c r="CR91" s="9">
        <v>1329.6</v>
      </c>
      <c r="CS91" s="9">
        <v>1334.8</v>
      </c>
      <c r="CT91" s="9">
        <v>1331.7</v>
      </c>
      <c r="CU91" s="9">
        <v>1329.9</v>
      </c>
      <c r="CV91" s="9">
        <v>1301.8</v>
      </c>
      <c r="CW91" s="9">
        <v>1293.8</v>
      </c>
      <c r="CX91" s="9">
        <v>1352.5</v>
      </c>
      <c r="CY91" s="9">
        <v>1401.2</v>
      </c>
      <c r="CZ91" s="9">
        <v>1348.2</v>
      </c>
      <c r="DA91" s="9">
        <v>1300.7</v>
      </c>
      <c r="DB91" s="9">
        <v>1483.4</v>
      </c>
      <c r="DC91" s="9">
        <v>1310.7</v>
      </c>
      <c r="DD91" s="9">
        <v>1288</v>
      </c>
      <c r="DE91" s="9">
        <v>1347.9</v>
      </c>
      <c r="DF91" s="9">
        <v>1315.6</v>
      </c>
      <c r="DG91" s="9">
        <v>1334.9</v>
      </c>
      <c r="DH91" s="9">
        <v>1362.4</v>
      </c>
      <c r="DI91" s="9">
        <v>1323.6</v>
      </c>
      <c r="DJ91" s="9">
        <v>1332.7</v>
      </c>
      <c r="DK91" s="9">
        <v>1310.0999999999999</v>
      </c>
      <c r="DL91" s="9">
        <v>1501.5</v>
      </c>
      <c r="DM91" s="9">
        <v>1297.5</v>
      </c>
      <c r="DN91" s="9">
        <v>1536.6</v>
      </c>
      <c r="DO91" s="9">
        <v>746.5</v>
      </c>
      <c r="DP91" s="9">
        <v>1345.2</v>
      </c>
      <c r="DQ91" s="9">
        <v>1495.1</v>
      </c>
      <c r="DR91" s="9">
        <v>1447.14</v>
      </c>
      <c r="DS91" s="9">
        <v>1435.1</v>
      </c>
      <c r="DT91" s="9">
        <v>1490.1</v>
      </c>
      <c r="DU91" s="9">
        <v>1501</v>
      </c>
      <c r="DV91" s="9">
        <v>1348.1</v>
      </c>
      <c r="DW91" s="9">
        <v>1343.4</v>
      </c>
      <c r="DX91" s="9">
        <v>1446.5</v>
      </c>
      <c r="DY91" s="9">
        <v>1486.2</v>
      </c>
      <c r="DZ91" s="9">
        <v>1488</v>
      </c>
      <c r="EA91" s="9">
        <v>1334.5</v>
      </c>
      <c r="EB91" s="9">
        <v>1352.7</v>
      </c>
      <c r="EC91" s="9">
        <v>1427.6</v>
      </c>
      <c r="ED91" s="9">
        <v>1395.65</v>
      </c>
      <c r="EE91" s="9">
        <v>1337.9</v>
      </c>
      <c r="EF91" s="9">
        <v>1309.2</v>
      </c>
      <c r="EG91" s="9">
        <v>1478.9</v>
      </c>
      <c r="EH91" s="9">
        <v>1311.4</v>
      </c>
      <c r="EI91" s="9">
        <v>1292.4000000000001</v>
      </c>
      <c r="EJ91" s="9">
        <v>1485.5</v>
      </c>
      <c r="EK91" s="9">
        <v>1472.2</v>
      </c>
      <c r="EL91" s="9">
        <v>1410.1</v>
      </c>
      <c r="EM91" s="9">
        <v>1390.7</v>
      </c>
      <c r="EN91" s="9">
        <v>1415.7</v>
      </c>
      <c r="EO91" s="9">
        <v>1201.0999999999999</v>
      </c>
      <c r="EP91" s="9">
        <v>1442.6</v>
      </c>
      <c r="EQ91" s="9">
        <v>1376.8</v>
      </c>
      <c r="ER91" s="9">
        <v>1423</v>
      </c>
      <c r="ES91" s="9">
        <v>1435.6</v>
      </c>
      <c r="ET91" s="9">
        <v>1382.7</v>
      </c>
      <c r="EU91" s="9">
        <v>1319</v>
      </c>
      <c r="EV91" s="9">
        <v>1410.2</v>
      </c>
      <c r="EW91" s="9">
        <v>1402.2</v>
      </c>
      <c r="EX91" s="9">
        <v>1315.2</v>
      </c>
      <c r="EY91" s="9">
        <v>1441.2</v>
      </c>
      <c r="EZ91" s="9">
        <v>1283.5</v>
      </c>
      <c r="FA91" s="9">
        <v>1416.5</v>
      </c>
      <c r="FB91" s="9">
        <v>1291.9000000000001</v>
      </c>
      <c r="FC91" s="9">
        <v>1209</v>
      </c>
      <c r="FD91" s="9">
        <v>1414</v>
      </c>
      <c r="FE91" s="9">
        <v>1409.8</v>
      </c>
      <c r="FF91" s="9">
        <v>1440.6</v>
      </c>
      <c r="FG91" s="9">
        <v>1313.5</v>
      </c>
      <c r="FH91" s="9">
        <v>1479</v>
      </c>
      <c r="FI91" s="9">
        <v>1312.4</v>
      </c>
      <c r="FJ91" s="9">
        <v>1289</v>
      </c>
      <c r="FK91" s="9">
        <v>1291.0999999999999</v>
      </c>
      <c r="FL91" s="9">
        <v>1282.5999999999999</v>
      </c>
      <c r="FM91" s="9">
        <v>1303.4000000000001</v>
      </c>
      <c r="FN91" s="9">
        <v>1327.1</v>
      </c>
      <c r="FO91" s="9">
        <v>1303.0999999999999</v>
      </c>
      <c r="FP91" s="9">
        <v>1478.9</v>
      </c>
      <c r="FQ91" s="9">
        <v>1282.0999999999999</v>
      </c>
      <c r="FR91" s="9">
        <v>1446</v>
      </c>
      <c r="FS91" s="9">
        <v>1447.2</v>
      </c>
      <c r="FT91" s="9">
        <v>1454</v>
      </c>
      <c r="FU91" s="9">
        <v>1365.4</v>
      </c>
      <c r="FV91" s="9">
        <v>1292.7</v>
      </c>
      <c r="FW91" s="9">
        <v>1457.3</v>
      </c>
      <c r="FX91" s="9">
        <v>1288</v>
      </c>
      <c r="FY91" s="9">
        <v>1326.7</v>
      </c>
      <c r="FZ91" s="9">
        <v>1367.3</v>
      </c>
      <c r="GA91" s="9">
        <v>1337.5</v>
      </c>
      <c r="GB91" s="9">
        <v>1444</v>
      </c>
      <c r="GC91" s="9">
        <v>1370.5</v>
      </c>
      <c r="GD91" s="9">
        <v>1480.3</v>
      </c>
      <c r="GE91" s="9">
        <v>1309</v>
      </c>
      <c r="GF91" s="9">
        <v>1311.6</v>
      </c>
      <c r="GG91" s="9">
        <v>1287.5999999999999</v>
      </c>
      <c r="GH91" s="9">
        <v>1455.7</v>
      </c>
      <c r="GI91" s="9">
        <v>1335.2</v>
      </c>
      <c r="GJ91" s="9">
        <v>1389.1</v>
      </c>
      <c r="GK91" s="9">
        <v>1453.1</v>
      </c>
      <c r="GL91" s="9">
        <v>1441</v>
      </c>
      <c r="GM91" s="9">
        <v>1420</v>
      </c>
      <c r="GN91" s="9">
        <v>1431</v>
      </c>
      <c r="GO91" s="9">
        <v>1474.8</v>
      </c>
      <c r="GP91" s="9">
        <v>1371.5</v>
      </c>
      <c r="GQ91" s="9">
        <v>1350</v>
      </c>
      <c r="GR91" s="9">
        <v>1333.8</v>
      </c>
      <c r="GS91" s="9">
        <v>1410</v>
      </c>
      <c r="GT91" s="9">
        <v>1318.3</v>
      </c>
      <c r="GU91" s="9">
        <v>1309.0999999999999</v>
      </c>
      <c r="GV91" s="9">
        <v>1278</v>
      </c>
      <c r="GW91" s="9">
        <v>1302.0999999999999</v>
      </c>
      <c r="GX91" s="9">
        <v>1311.9</v>
      </c>
      <c r="GY91" s="9">
        <v>1281.0999999999999</v>
      </c>
      <c r="GZ91" s="9">
        <v>1103.2</v>
      </c>
      <c r="HA91" s="9">
        <v>1290</v>
      </c>
      <c r="HB91" s="9"/>
      <c r="HC91" s="9"/>
      <c r="HD91" s="9">
        <v>1176</v>
      </c>
      <c r="HE91" s="9">
        <v>921</v>
      </c>
      <c r="HF91" s="9">
        <v>1312</v>
      </c>
      <c r="HG91" s="9"/>
      <c r="HH91" s="9">
        <v>1431.4</v>
      </c>
      <c r="HI91" s="9">
        <v>1297.0999999999999</v>
      </c>
      <c r="HJ91" s="9">
        <v>1303.8</v>
      </c>
      <c r="HK91" s="9">
        <v>1303.5999999999999</v>
      </c>
      <c r="HL91" s="9">
        <v>1325.6</v>
      </c>
      <c r="HM91" s="9">
        <v>1327.7</v>
      </c>
      <c r="HN91" s="9">
        <v>1335.9</v>
      </c>
      <c r="HO91" s="9">
        <v>1336.1</v>
      </c>
      <c r="HP91" s="9">
        <v>1333.8</v>
      </c>
      <c r="HQ91" s="9">
        <v>1289.0999999999999</v>
      </c>
      <c r="HR91" s="9">
        <v>1325.2</v>
      </c>
      <c r="HS91" s="9">
        <v>1335</v>
      </c>
      <c r="HT91" s="9">
        <v>1490.3</v>
      </c>
      <c r="HU91" s="9">
        <v>1497.6</v>
      </c>
      <c r="HV91" s="9">
        <v>1144</v>
      </c>
      <c r="HW91" s="9">
        <v>1101</v>
      </c>
      <c r="HX91" s="9">
        <v>944</v>
      </c>
      <c r="HY91" s="9">
        <v>801</v>
      </c>
      <c r="HZ91" s="9">
        <v>1024.2</v>
      </c>
      <c r="IA91" s="9">
        <v>1165.3</v>
      </c>
      <c r="IB91" s="9">
        <v>1384</v>
      </c>
      <c r="IC91" s="9">
        <v>1497.3</v>
      </c>
      <c r="ID91" s="9">
        <v>1428.5</v>
      </c>
      <c r="IE91" s="9">
        <v>1423.7</v>
      </c>
      <c r="IF91" s="9">
        <v>1395.5</v>
      </c>
      <c r="IG91" s="9">
        <v>1435.5</v>
      </c>
      <c r="IH91" s="9">
        <v>1489.8</v>
      </c>
      <c r="II91" s="9">
        <v>1476.3</v>
      </c>
      <c r="IJ91" s="9">
        <v>1245</v>
      </c>
      <c r="IK91" s="9">
        <v>1339.1</v>
      </c>
      <c r="IL91" s="9">
        <v>1242.5</v>
      </c>
      <c r="IM91" s="9">
        <v>1323.2</v>
      </c>
      <c r="IN91" s="9">
        <v>1229.0999999999999</v>
      </c>
      <c r="IO91" s="9"/>
      <c r="IP91" s="9">
        <v>1801</v>
      </c>
      <c r="IQ91" s="9">
        <v>1401.2</v>
      </c>
      <c r="IR91" s="9">
        <v>524.5</v>
      </c>
      <c r="IS91" s="9">
        <v>1301</v>
      </c>
      <c r="IT91" s="9">
        <v>1243.5</v>
      </c>
      <c r="IU91" s="9"/>
      <c r="IV91" s="9"/>
      <c r="IW91" s="9">
        <v>1301</v>
      </c>
      <c r="IX91" s="9">
        <v>1277.2</v>
      </c>
      <c r="IY91" s="9">
        <v>1301</v>
      </c>
      <c r="IZ91" s="9">
        <v>1243.3</v>
      </c>
      <c r="JA91" s="9">
        <v>1178.5</v>
      </c>
      <c r="JB91" s="11">
        <v>33.08</v>
      </c>
      <c r="JC91" s="11">
        <v>45.26</v>
      </c>
      <c r="JD91" s="11">
        <v>1.88</v>
      </c>
      <c r="JE91" s="11">
        <v>5.5</v>
      </c>
      <c r="JF91" s="11"/>
      <c r="JG91" s="11">
        <v>6.96</v>
      </c>
      <c r="JH91" s="13">
        <v>6.44</v>
      </c>
      <c r="JI91" s="12"/>
      <c r="JJ91" s="277"/>
      <c r="JK91" s="9">
        <v>87646933.478</v>
      </c>
      <c r="JL91" s="260">
        <v>283502.99699999997</v>
      </c>
      <c r="JM91" s="9">
        <v>60576457.037</v>
      </c>
      <c r="JN91" s="260">
        <v>63219.027999999998</v>
      </c>
      <c r="JO91" s="9">
        <v>88355329.827999994</v>
      </c>
      <c r="JP91" s="260">
        <v>188817.73800000001</v>
      </c>
      <c r="JQ91" s="9">
        <v>64260621.588</v>
      </c>
      <c r="JR91" s="260">
        <v>58226.248</v>
      </c>
      <c r="JS91" s="11">
        <v>331941994.03399998</v>
      </c>
      <c r="JT91" s="289">
        <v>89710.676999999996</v>
      </c>
      <c r="JU91" s="283">
        <f t="shared" ref="JU91" si="479">IF((JK91-JK90)&lt;0,"",(JK91-JK90))</f>
        <v>88410.761999994516</v>
      </c>
      <c r="JV91" s="283">
        <f t="shared" ref="JV91" si="480">IF((JL91-JL90)&lt;0,"",(JL91-JL90))</f>
        <v>2.9409999999916181</v>
      </c>
      <c r="JW91" s="283">
        <f t="shared" ref="JW91" si="481">IF((JM91-JM90)&lt;0,"",(JM91-JM90))</f>
        <v>83457.927000001073</v>
      </c>
      <c r="JX91" s="283">
        <f t="shared" ref="JX91" si="482">IF((JN91-JN90)&lt;0,"",(JN91-JN90))</f>
        <v>29.883999999998196</v>
      </c>
      <c r="JY91" s="284">
        <f t="shared" ref="JY91" si="483">IF((JO91-JO90)&lt;0,"",(JO91-JO90))</f>
        <v>86815.21099999547</v>
      </c>
      <c r="JZ91" s="284">
        <f t="shared" ref="JZ91" si="484">IF((JP91-JP90)&lt;0,"",(JP91-JP90))</f>
        <v>45.270000000018626</v>
      </c>
      <c r="KA91" s="284">
        <f t="shared" ref="KA91" si="485">IF((JQ91-JQ90)&lt;0,"",(JQ91-JQ90))</f>
        <v>68223.667000003159</v>
      </c>
      <c r="KB91" s="284">
        <f t="shared" ref="KB91" si="486">IF((JR91-JR90)&lt;0,"",(JR91-JR90))</f>
        <v>56.544000000001688</v>
      </c>
      <c r="KC91" s="283">
        <f t="shared" ref="KC91" si="487">IF((JS91-JS90)&lt;0,"",(JS91-JS90))</f>
        <v>326685.44199997187</v>
      </c>
      <c r="KD91" s="283">
        <f t="shared" si="469"/>
        <v>133.68099999999686</v>
      </c>
      <c r="KE91" s="291">
        <f t="shared" si="440"/>
        <v>171835.86399999561</v>
      </c>
      <c r="KF91" s="291">
        <f t="shared" si="441"/>
        <v>326551.76099997188</v>
      </c>
      <c r="KG91" s="292">
        <f>(RD[[#This Row],[Sunset Time (POA&lt;20 W/m2)]]-RD[[#This Row],[Sunrise Time (POA&gt;20 W/m2)]])*24</f>
        <v>13.333333333333332</v>
      </c>
      <c r="KH91" s="293">
        <f>RD[[#This Row],[GHI ]]</f>
        <v>6.96</v>
      </c>
      <c r="KI91" s="293">
        <f>RD[[#This Row],[POA]]</f>
        <v>6.44</v>
      </c>
      <c r="KJ91" s="293">
        <f>RD[[#This Row],[AT (°C) 14 Hours]]</f>
        <v>33.08</v>
      </c>
      <c r="KK91" s="293">
        <f>RD[[#This Row],[MT (°C) Gen. Hours]]</f>
        <v>45.26</v>
      </c>
      <c r="KL91" s="293">
        <f>RD[[#This Row],[WS_Avg (m/s) (24 Hours)]]</f>
        <v>1.88</v>
      </c>
      <c r="KM91" s="293">
        <f>RD[[#This Row],[WS_Max (m/s)]]</f>
        <v>5.5</v>
      </c>
      <c r="KN91" s="294">
        <f>SUM(RD[[#This Row],[BLK1_INV1]:[BLK8_INV27]])</f>
        <v>329656.49</v>
      </c>
      <c r="KO91" s="95"/>
      <c r="KP91" s="55"/>
      <c r="KQ91" s="90" t="str">
        <f>IFERROR(RD[[#This Row],[WPR_Eac]]/RD[[#This Row],[WPR_Edc]],"")</f>
        <v/>
      </c>
    </row>
    <row r="92" spans="2:303" ht="15" customHeight="1" x14ac:dyDescent="0.25">
      <c r="B92" s="52">
        <v>45833</v>
      </c>
      <c r="C92" s="9">
        <f>YEAR(RD[[#This Row],[Date]])+IF(MONTH(RD[[#This Row],[Date]])&gt;=4,1,0)</f>
        <v>2026</v>
      </c>
      <c r="D92" s="6">
        <f t="shared" si="429"/>
        <v>2025</v>
      </c>
      <c r="E92" s="7"/>
      <c r="F92" s="7"/>
      <c r="G92" s="367" t="str">
        <f>TEXT(RD[[#This Row],[Date]],"mmm-yy")</f>
        <v>Jun-25</v>
      </c>
      <c r="H92" s="6">
        <f t="shared" si="430"/>
        <v>30</v>
      </c>
      <c r="I92" s="9">
        <f>'Basic Data '!$S$2</f>
        <v>66750</v>
      </c>
      <c r="J92" s="10">
        <v>0.21597222222222223</v>
      </c>
      <c r="K92" s="10">
        <v>0.78472222222222221</v>
      </c>
      <c r="L92" s="9">
        <v>1398.7</v>
      </c>
      <c r="M92" s="9">
        <v>1401.2</v>
      </c>
      <c r="N92" s="9">
        <v>1326.1</v>
      </c>
      <c r="O92" s="9">
        <v>1324.9</v>
      </c>
      <c r="P92" s="9">
        <v>1421.9</v>
      </c>
      <c r="Q92" s="9">
        <v>1318.4</v>
      </c>
      <c r="R92" s="9">
        <v>1322.7</v>
      </c>
      <c r="S92" s="9">
        <v>1301.2</v>
      </c>
      <c r="T92" s="9">
        <v>1365.9</v>
      </c>
      <c r="U92" s="9">
        <v>1368.9</v>
      </c>
      <c r="V92" s="9">
        <v>1312.1</v>
      </c>
      <c r="W92" s="9">
        <v>1309.5999999999999</v>
      </c>
      <c r="X92" s="9">
        <v>1264.0999999999999</v>
      </c>
      <c r="Y92" s="9">
        <v>1190.2</v>
      </c>
      <c r="Z92" s="9">
        <v>1316.9</v>
      </c>
      <c r="AA92" s="9">
        <v>1315.5</v>
      </c>
      <c r="AB92" s="9">
        <v>1310</v>
      </c>
      <c r="AC92" s="9">
        <v>1304.2</v>
      </c>
      <c r="AD92" s="9">
        <v>1409.8</v>
      </c>
      <c r="AE92" s="9">
        <v>1416.2</v>
      </c>
      <c r="AF92" s="9">
        <v>1321.2</v>
      </c>
      <c r="AG92" s="9">
        <v>1321.7</v>
      </c>
      <c r="AH92" s="9">
        <v>1398.6</v>
      </c>
      <c r="AI92" s="9">
        <v>1488.3</v>
      </c>
      <c r="AJ92" s="9">
        <v>1436.1</v>
      </c>
      <c r="AK92" s="9">
        <v>1418.6</v>
      </c>
      <c r="AL92" s="9">
        <v>1371.1</v>
      </c>
      <c r="AM92" s="9">
        <v>1464.9</v>
      </c>
      <c r="AN92" s="9">
        <v>1472</v>
      </c>
      <c r="AO92" s="9">
        <v>1421.2</v>
      </c>
      <c r="AP92" s="9">
        <v>1425.5</v>
      </c>
      <c r="AQ92" s="9">
        <v>1417.5</v>
      </c>
      <c r="AR92" s="9">
        <v>1255.2</v>
      </c>
      <c r="AS92" s="9">
        <v>1623.1</v>
      </c>
      <c r="AT92" s="9">
        <v>1297.7</v>
      </c>
      <c r="AU92" s="9">
        <v>1463.2</v>
      </c>
      <c r="AV92" s="9">
        <v>1309.5</v>
      </c>
      <c r="AW92" s="9">
        <v>1281.4000000000001</v>
      </c>
      <c r="AX92" s="9">
        <v>1303</v>
      </c>
      <c r="AY92" s="9">
        <v>1324.7</v>
      </c>
      <c r="AZ92" s="9">
        <v>1293.7</v>
      </c>
      <c r="BA92" s="9">
        <v>1282</v>
      </c>
      <c r="BB92" s="9">
        <v>1306.5</v>
      </c>
      <c r="BC92" s="9">
        <v>1295.7</v>
      </c>
      <c r="BD92" s="9">
        <v>1316.6</v>
      </c>
      <c r="BE92" s="9">
        <v>1318</v>
      </c>
      <c r="BF92" s="9">
        <v>1411.5</v>
      </c>
      <c r="BG92" s="9">
        <v>1300.5</v>
      </c>
      <c r="BH92" s="9">
        <v>1356.2</v>
      </c>
      <c r="BI92" s="9">
        <v>1313.5</v>
      </c>
      <c r="BJ92" s="9">
        <v>1313.2</v>
      </c>
      <c r="BK92" s="9">
        <v>1311</v>
      </c>
      <c r="BL92" s="9">
        <v>1469.7</v>
      </c>
      <c r="BM92" s="9">
        <v>1477.9</v>
      </c>
      <c r="BN92" s="9">
        <v>1387.7</v>
      </c>
      <c r="BO92" s="9">
        <v>1467.2</v>
      </c>
      <c r="BP92" s="9">
        <v>1464.1</v>
      </c>
      <c r="BQ92" s="9">
        <v>1299.7</v>
      </c>
      <c r="BR92" s="9">
        <v>1469.5</v>
      </c>
      <c r="BS92" s="9">
        <v>1464.6</v>
      </c>
      <c r="BT92" s="9">
        <v>1320.3</v>
      </c>
      <c r="BU92" s="9">
        <v>1461.8</v>
      </c>
      <c r="BV92" s="9">
        <v>1313.7</v>
      </c>
      <c r="BW92" s="9">
        <v>1258.7</v>
      </c>
      <c r="BX92" s="9">
        <v>1429.3</v>
      </c>
      <c r="BY92" s="9">
        <v>1417.1</v>
      </c>
      <c r="BZ92" s="9">
        <v>1434.3</v>
      </c>
      <c r="CA92" s="9">
        <v>1391.9</v>
      </c>
      <c r="CB92" s="9">
        <v>1312.5</v>
      </c>
      <c r="CC92" s="9">
        <v>1307.3</v>
      </c>
      <c r="CD92" s="9">
        <v>1312.5</v>
      </c>
      <c r="CE92" s="9">
        <v>1299.7</v>
      </c>
      <c r="CF92" s="9">
        <v>1319.1</v>
      </c>
      <c r="CG92" s="9">
        <v>1312.7</v>
      </c>
      <c r="CH92" s="9">
        <v>1488</v>
      </c>
      <c r="CI92" s="9">
        <v>1457.3</v>
      </c>
      <c r="CJ92" s="9">
        <v>1490</v>
      </c>
      <c r="CK92" s="9">
        <v>1314.5</v>
      </c>
      <c r="CL92" s="9">
        <v>1300.7</v>
      </c>
      <c r="CM92" s="9">
        <v>1435</v>
      </c>
      <c r="CN92" s="9">
        <v>1321</v>
      </c>
      <c r="CO92" s="9">
        <v>1301</v>
      </c>
      <c r="CP92" s="9">
        <v>1305.8</v>
      </c>
      <c r="CQ92" s="9">
        <v>1322.1</v>
      </c>
      <c r="CR92" s="9">
        <v>1303.5999999999999</v>
      </c>
      <c r="CS92" s="9">
        <v>1310</v>
      </c>
      <c r="CT92" s="9">
        <v>1308.2</v>
      </c>
      <c r="CU92" s="9">
        <v>1305.5</v>
      </c>
      <c r="CV92" s="9">
        <v>1277.8</v>
      </c>
      <c r="CW92" s="9">
        <v>1267.4000000000001</v>
      </c>
      <c r="CX92" s="9">
        <v>1336.9</v>
      </c>
      <c r="CY92" s="9">
        <v>1376.5</v>
      </c>
      <c r="CZ92" s="9">
        <v>1330.1</v>
      </c>
      <c r="DA92" s="9">
        <v>1291.0999999999999</v>
      </c>
      <c r="DB92" s="9">
        <v>1467.3</v>
      </c>
      <c r="DC92" s="9">
        <v>1299.4000000000001</v>
      </c>
      <c r="DD92" s="9">
        <v>1303.3</v>
      </c>
      <c r="DE92" s="9">
        <v>1326.6</v>
      </c>
      <c r="DF92" s="9">
        <v>1310.4000000000001</v>
      </c>
      <c r="DG92" s="9">
        <v>1317.8</v>
      </c>
      <c r="DH92" s="9">
        <v>1321.1</v>
      </c>
      <c r="DI92" s="9">
        <v>1302.9000000000001</v>
      </c>
      <c r="DJ92" s="9">
        <v>1315.1</v>
      </c>
      <c r="DK92" s="9">
        <v>1301.2</v>
      </c>
      <c r="DL92" s="9">
        <v>1485.2</v>
      </c>
      <c r="DM92" s="9">
        <v>1290.0999999999999</v>
      </c>
      <c r="DN92" s="9">
        <v>1490.3</v>
      </c>
      <c r="DO92" s="9">
        <v>1414.2</v>
      </c>
      <c r="DP92" s="9">
        <v>1309.0999999999999</v>
      </c>
      <c r="DQ92" s="9">
        <v>1468.2</v>
      </c>
      <c r="DR92" s="9">
        <v>1421.4</v>
      </c>
      <c r="DS92" s="9">
        <v>1420.5</v>
      </c>
      <c r="DT92" s="9">
        <v>1456.1</v>
      </c>
      <c r="DU92" s="9">
        <v>1466.2</v>
      </c>
      <c r="DV92" s="9">
        <v>1324.2</v>
      </c>
      <c r="DW92" s="9">
        <v>1267.2</v>
      </c>
      <c r="DX92" s="9">
        <v>1418.6</v>
      </c>
      <c r="DY92" s="9">
        <v>1457.8</v>
      </c>
      <c r="DZ92" s="9">
        <v>1466.8</v>
      </c>
      <c r="EA92" s="9">
        <v>1316.6</v>
      </c>
      <c r="EB92" s="9">
        <v>1319.1</v>
      </c>
      <c r="EC92" s="9">
        <v>1405.6</v>
      </c>
      <c r="ED92" s="9">
        <v>1368.1</v>
      </c>
      <c r="EE92" s="9">
        <v>1316.6</v>
      </c>
      <c r="EF92" s="9">
        <v>1290.2</v>
      </c>
      <c r="EG92" s="9">
        <v>1467.1</v>
      </c>
      <c r="EH92" s="9">
        <v>1290.2</v>
      </c>
      <c r="EI92" s="9">
        <v>1293.3</v>
      </c>
      <c r="EJ92" s="9">
        <v>1413.8</v>
      </c>
      <c r="EK92" s="9">
        <v>1448.1</v>
      </c>
      <c r="EL92" s="9">
        <v>1402.1</v>
      </c>
      <c r="EM92" s="9">
        <v>1389.4</v>
      </c>
      <c r="EN92" s="9">
        <v>1395.1</v>
      </c>
      <c r="EO92" s="9">
        <v>1203.3</v>
      </c>
      <c r="EP92" s="9">
        <v>1401.1</v>
      </c>
      <c r="EQ92" s="9">
        <v>1374.2</v>
      </c>
      <c r="ER92" s="9">
        <v>1390.1</v>
      </c>
      <c r="ES92" s="9">
        <v>1413.2</v>
      </c>
      <c r="ET92" s="9">
        <v>1354.3</v>
      </c>
      <c r="EU92" s="9">
        <v>1272.2</v>
      </c>
      <c r="EV92" s="9">
        <v>1381.8</v>
      </c>
      <c r="EW92" s="9">
        <v>1371.8</v>
      </c>
      <c r="EX92" s="9">
        <v>1303.3</v>
      </c>
      <c r="EY92" s="9">
        <v>1401.1</v>
      </c>
      <c r="EZ92" s="9">
        <v>1264.5</v>
      </c>
      <c r="FA92" s="9">
        <v>1392.8</v>
      </c>
      <c r="FB92" s="9">
        <v>1280.8</v>
      </c>
      <c r="FC92" s="9">
        <v>1197.7</v>
      </c>
      <c r="FD92" s="9">
        <v>1402.8</v>
      </c>
      <c r="FE92" s="9">
        <v>1414.8</v>
      </c>
      <c r="FF92" s="9">
        <v>1401.1</v>
      </c>
      <c r="FG92" s="9">
        <v>1298.2</v>
      </c>
      <c r="FH92" s="9">
        <v>1486.5</v>
      </c>
      <c r="FI92" s="9">
        <v>1299.0999999999999</v>
      </c>
      <c r="FJ92" s="9">
        <v>1275.2</v>
      </c>
      <c r="FK92" s="9">
        <v>1272.8</v>
      </c>
      <c r="FL92" s="9">
        <v>1272.8</v>
      </c>
      <c r="FM92" s="9">
        <v>1298.9000000000001</v>
      </c>
      <c r="FN92" s="9">
        <v>1275.7</v>
      </c>
      <c r="FO92" s="9">
        <v>1251.5999999999999</v>
      </c>
      <c r="FP92" s="9">
        <v>1414.9</v>
      </c>
      <c r="FQ92" s="9">
        <v>1254.5999999999999</v>
      </c>
      <c r="FR92" s="9">
        <v>1408</v>
      </c>
      <c r="FS92" s="9">
        <v>1399</v>
      </c>
      <c r="FT92" s="9">
        <v>1442.2</v>
      </c>
      <c r="FU92" s="9">
        <v>1317.3</v>
      </c>
      <c r="FV92" s="9">
        <v>1251.2</v>
      </c>
      <c r="FW92" s="9">
        <v>1431.5</v>
      </c>
      <c r="FX92" s="9">
        <v>1264.5</v>
      </c>
      <c r="FY92" s="9">
        <v>1313.5</v>
      </c>
      <c r="FZ92" s="9">
        <v>1317.6</v>
      </c>
      <c r="GA92" s="9">
        <v>1313.01</v>
      </c>
      <c r="GB92" s="9">
        <v>1414.4</v>
      </c>
      <c r="GC92" s="9">
        <v>1331.4</v>
      </c>
      <c r="GD92" s="9">
        <v>1418.2</v>
      </c>
      <c r="GE92" s="9">
        <v>1261.8</v>
      </c>
      <c r="GF92" s="9">
        <v>1273.8</v>
      </c>
      <c r="GG92" s="9">
        <v>1269.5</v>
      </c>
      <c r="GH92" s="9">
        <v>1411.6</v>
      </c>
      <c r="GI92" s="9">
        <v>1284.7</v>
      </c>
      <c r="GJ92" s="9">
        <v>1359.2</v>
      </c>
      <c r="GK92" s="9">
        <v>1403.4</v>
      </c>
      <c r="GL92" s="9">
        <v>1442.5</v>
      </c>
      <c r="GM92" s="9">
        <v>1362.2</v>
      </c>
      <c r="GN92" s="9">
        <v>1376.7</v>
      </c>
      <c r="GO92" s="9">
        <v>1418.8</v>
      </c>
      <c r="GP92" s="9">
        <v>1333.7</v>
      </c>
      <c r="GQ92" s="9">
        <v>1330.4</v>
      </c>
      <c r="GR92" s="9">
        <v>1324</v>
      </c>
      <c r="GS92" s="9">
        <v>1355.6</v>
      </c>
      <c r="GT92" s="9">
        <v>1279.3</v>
      </c>
      <c r="GU92" s="9">
        <v>1251.7</v>
      </c>
      <c r="GV92" s="9">
        <v>1264.5</v>
      </c>
      <c r="GW92" s="9">
        <v>1264</v>
      </c>
      <c r="GX92" s="9">
        <v>1294.3</v>
      </c>
      <c r="GY92" s="9">
        <v>1267.9000000000001</v>
      </c>
      <c r="GZ92" s="9">
        <v>1071.2</v>
      </c>
      <c r="HA92" s="9">
        <v>1290</v>
      </c>
      <c r="HB92" s="9"/>
      <c r="HC92" s="9"/>
      <c r="HD92" s="9">
        <v>1174.4000000000001</v>
      </c>
      <c r="HE92" s="9">
        <v>902</v>
      </c>
      <c r="HF92" s="9">
        <v>1302.4000000000001</v>
      </c>
      <c r="HG92" s="9"/>
      <c r="HH92" s="9">
        <v>1417.7</v>
      </c>
      <c r="HI92" s="9">
        <v>1272.0999999999999</v>
      </c>
      <c r="HJ92" s="9">
        <v>1287.8</v>
      </c>
      <c r="HK92" s="9">
        <v>1271.0999999999999</v>
      </c>
      <c r="HL92" s="9">
        <v>1303.2</v>
      </c>
      <c r="HM92" s="9">
        <v>1309.0999999999999</v>
      </c>
      <c r="HN92" s="9">
        <v>1321</v>
      </c>
      <c r="HO92" s="9">
        <v>1322.8</v>
      </c>
      <c r="HP92" s="9">
        <v>1290.0999999999999</v>
      </c>
      <c r="HQ92" s="9">
        <v>1271.5</v>
      </c>
      <c r="HR92" s="9">
        <v>1317.5</v>
      </c>
      <c r="HS92" s="9">
        <v>1290</v>
      </c>
      <c r="HT92" s="9">
        <v>1482.4</v>
      </c>
      <c r="HU92" s="9">
        <v>1516.8</v>
      </c>
      <c r="HV92" s="9">
        <v>1154</v>
      </c>
      <c r="HW92" s="9">
        <v>1123</v>
      </c>
      <c r="HX92" s="9">
        <v>967</v>
      </c>
      <c r="HY92" s="9">
        <v>789</v>
      </c>
      <c r="HZ92" s="9">
        <v>1000</v>
      </c>
      <c r="IA92" s="9">
        <v>1142.2</v>
      </c>
      <c r="IB92" s="9">
        <v>1366.4</v>
      </c>
      <c r="IC92" s="9">
        <v>1463</v>
      </c>
      <c r="ID92" s="9">
        <v>1386</v>
      </c>
      <c r="IE92" s="9">
        <v>1386.5</v>
      </c>
      <c r="IF92" s="9">
        <v>1374.5</v>
      </c>
      <c r="IG92" s="9">
        <v>1394.5</v>
      </c>
      <c r="IH92" s="9">
        <v>1460.8</v>
      </c>
      <c r="II92" s="9">
        <v>1431.4</v>
      </c>
      <c r="IJ92" s="9">
        <v>1224</v>
      </c>
      <c r="IK92" s="9">
        <v>1321.2</v>
      </c>
      <c r="IL92" s="9">
        <v>1221</v>
      </c>
      <c r="IM92" s="9">
        <v>1268</v>
      </c>
      <c r="IN92" s="9">
        <v>1204.5</v>
      </c>
      <c r="IO92" s="9"/>
      <c r="IP92" s="9">
        <v>1789</v>
      </c>
      <c r="IQ92" s="9">
        <v>1367.7</v>
      </c>
      <c r="IR92" s="9">
        <v>503</v>
      </c>
      <c r="IS92" s="9">
        <v>1276.5999999999999</v>
      </c>
      <c r="IT92" s="9">
        <v>1230.5999999999999</v>
      </c>
      <c r="IU92" s="9"/>
      <c r="IV92" s="9"/>
      <c r="IW92" s="9">
        <v>1261.4000000000001</v>
      </c>
      <c r="IX92" s="9">
        <v>1255</v>
      </c>
      <c r="IY92" s="9">
        <v>1313</v>
      </c>
      <c r="IZ92" s="9">
        <v>1232.5</v>
      </c>
      <c r="JA92" s="9">
        <v>1190.5999999999999</v>
      </c>
      <c r="JB92" s="11">
        <v>33.46</v>
      </c>
      <c r="JC92" s="11">
        <v>42.64</v>
      </c>
      <c r="JD92" s="11">
        <v>3.12</v>
      </c>
      <c r="JE92" s="11">
        <v>7.5</v>
      </c>
      <c r="JF92" s="11"/>
      <c r="JG92" s="11">
        <v>6.57</v>
      </c>
      <c r="JH92" s="13">
        <v>6.18</v>
      </c>
      <c r="JI92" s="12"/>
      <c r="JJ92" s="277"/>
      <c r="JK92" s="9">
        <v>87734214.230000004</v>
      </c>
      <c r="JL92" s="215">
        <v>283515.93800000002</v>
      </c>
      <c r="JM92" s="9">
        <v>60659715.158</v>
      </c>
      <c r="JN92" s="215">
        <v>63240.911999999997</v>
      </c>
      <c r="JO92" s="9">
        <v>88440708.475999996</v>
      </c>
      <c r="JP92" s="215">
        <v>188855.008</v>
      </c>
      <c r="JQ92" s="9">
        <v>64327958.783</v>
      </c>
      <c r="JR92" s="215">
        <v>58275.792000000001</v>
      </c>
      <c r="JS92" s="11">
        <v>332265085.40399998</v>
      </c>
      <c r="JT92" s="223">
        <v>89831.357999999993</v>
      </c>
      <c r="JU92" s="283">
        <f t="shared" ref="JU92" si="488">IF((JK92-JK91)&lt;0,"",(JK92-JK91))</f>
        <v>87280.752000004053</v>
      </c>
      <c r="JV92" s="283">
        <f t="shared" ref="JV92" si="489">IF((JL92-JL91)&lt;0,"",(JL92-JL91))</f>
        <v>12.941000000049826</v>
      </c>
      <c r="JW92" s="283">
        <f t="shared" ref="JW92" si="490">IF((JM92-JM91)&lt;0,"",(JM92-JM91))</f>
        <v>83258.120999999344</v>
      </c>
      <c r="JX92" s="283">
        <f t="shared" ref="JX92" si="491">IF((JN92-JN91)&lt;0,"",(JN92-JN91))</f>
        <v>21.883999999998196</v>
      </c>
      <c r="JY92" s="284">
        <f t="shared" ref="JY92" si="492">IF((JO92-JO91)&lt;0,"",(JO92-JO91))</f>
        <v>85378.648000001907</v>
      </c>
      <c r="JZ92" s="284">
        <f t="shared" ref="JZ92" si="493">IF((JP92-JP91)&lt;0,"",(JP92-JP91))</f>
        <v>37.269999999989523</v>
      </c>
      <c r="KA92" s="284">
        <f t="shared" ref="KA92" si="494">IF((JQ92-JQ91)&lt;0,"",(JQ92-JQ91))</f>
        <v>67337.195000000298</v>
      </c>
      <c r="KB92" s="284">
        <f t="shared" ref="KB92" si="495">IF((JR92-JR91)&lt;0,"",(JR92-JR91))</f>
        <v>49.544000000001688</v>
      </c>
      <c r="KC92" s="283">
        <f t="shared" ref="KC92" si="496">IF((JS92-JS91)&lt;0,"",(JS92-JS91))</f>
        <v>323091.37000000477</v>
      </c>
      <c r="KD92" s="283">
        <f t="shared" si="469"/>
        <v>120.68099999999686</v>
      </c>
      <c r="KE92" s="291">
        <f t="shared" si="440"/>
        <v>170504.04800000336</v>
      </c>
      <c r="KF92" s="291">
        <f t="shared" si="441"/>
        <v>322970.68900000479</v>
      </c>
      <c r="KG92" s="292">
        <f>(RD[[#This Row],[Sunset Time (POA&lt;20 W/m2)]]-RD[[#This Row],[Sunrise Time (POA&gt;20 W/m2)]])*24</f>
        <v>13.649999999999999</v>
      </c>
      <c r="KH92" s="293">
        <f>RD[[#This Row],[GHI ]]</f>
        <v>6.57</v>
      </c>
      <c r="KI92" s="293">
        <f>RD[[#This Row],[POA]]</f>
        <v>6.18</v>
      </c>
      <c r="KJ92" s="293">
        <f>RD[[#This Row],[AT (°C) 14 Hours]]</f>
        <v>33.46</v>
      </c>
      <c r="KK92" s="293">
        <f>RD[[#This Row],[MT (°C) Gen. Hours]]</f>
        <v>42.64</v>
      </c>
      <c r="KL92" s="293">
        <f>RD[[#This Row],[WS_Avg (m/s) (24 Hours)]]</f>
        <v>3.12</v>
      </c>
      <c r="KM92" s="293">
        <f>RD[[#This Row],[WS_Max (m/s)]]</f>
        <v>7.5</v>
      </c>
      <c r="KN92" s="294">
        <f>SUM(RD[[#This Row],[BLK1_INV1]:[BLK8_INV27]])</f>
        <v>324493.01000000018</v>
      </c>
      <c r="KO92" s="95"/>
      <c r="KP92" s="55"/>
      <c r="KQ92" s="90" t="str">
        <f>IFERROR(RD[[#This Row],[WPR_Eac]]/RD[[#This Row],[WPR_Edc]],"")</f>
        <v/>
      </c>
    </row>
    <row r="93" spans="2:303" ht="15" customHeight="1" x14ac:dyDescent="0.25">
      <c r="B93" s="52">
        <v>45834</v>
      </c>
      <c r="C93" s="9">
        <f>YEAR(RD[[#This Row],[Date]])+IF(MONTH(RD[[#This Row],[Date]])&gt;=4,1,0)</f>
        <v>2026</v>
      </c>
      <c r="D93" s="6">
        <f t="shared" si="429"/>
        <v>2025</v>
      </c>
      <c r="E93" s="7"/>
      <c r="F93" s="7"/>
      <c r="G93" s="367" t="str">
        <f>TEXT(RD[[#This Row],[Date]],"mmm-yy")</f>
        <v>Jun-25</v>
      </c>
      <c r="H93" s="6">
        <f t="shared" si="430"/>
        <v>30</v>
      </c>
      <c r="I93" s="9">
        <f>'Basic Data '!$S$2</f>
        <v>66750</v>
      </c>
      <c r="J93" s="10">
        <v>0.21805555555555556</v>
      </c>
      <c r="K93" s="10">
        <v>0.77777777777777779</v>
      </c>
      <c r="L93" s="9">
        <v>1414</v>
      </c>
      <c r="M93" s="9">
        <v>1423.1</v>
      </c>
      <c r="N93" s="9">
        <v>1339.2</v>
      </c>
      <c r="O93" s="9">
        <v>1335.9</v>
      </c>
      <c r="P93" s="9">
        <v>1427.5</v>
      </c>
      <c r="Q93" s="9">
        <v>1328.1</v>
      </c>
      <c r="R93" s="9">
        <v>1320.3</v>
      </c>
      <c r="S93" s="9">
        <v>1325.6</v>
      </c>
      <c r="T93" s="9">
        <v>1369.2</v>
      </c>
      <c r="U93" s="9">
        <v>1373.8</v>
      </c>
      <c r="V93" s="9">
        <v>1336.6</v>
      </c>
      <c r="W93" s="9">
        <v>1327.7</v>
      </c>
      <c r="X93" s="9">
        <v>1289.7</v>
      </c>
      <c r="Y93" s="9">
        <v>1212</v>
      </c>
      <c r="Z93" s="9">
        <v>1308.2</v>
      </c>
      <c r="AA93" s="9">
        <v>1306.2</v>
      </c>
      <c r="AB93" s="9">
        <v>1297.9000000000001</v>
      </c>
      <c r="AC93" s="9">
        <v>1291.9000000000001</v>
      </c>
      <c r="AD93" s="9">
        <v>1397.6</v>
      </c>
      <c r="AE93" s="9">
        <v>1402</v>
      </c>
      <c r="AF93" s="9">
        <v>1310</v>
      </c>
      <c r="AG93" s="9">
        <v>1312.6</v>
      </c>
      <c r="AH93" s="9">
        <v>1387.4</v>
      </c>
      <c r="AI93" s="9">
        <v>1471.9</v>
      </c>
      <c r="AJ93" s="9">
        <v>1417.9</v>
      </c>
      <c r="AK93" s="9">
        <v>1401.3</v>
      </c>
      <c r="AL93" s="9">
        <v>1369.6</v>
      </c>
      <c r="AM93" s="9">
        <v>1444.2</v>
      </c>
      <c r="AN93" s="9">
        <v>1453.8</v>
      </c>
      <c r="AO93" s="9">
        <v>1444.2</v>
      </c>
      <c r="AP93" s="9">
        <v>1423.4</v>
      </c>
      <c r="AQ93" s="9">
        <v>1434.8</v>
      </c>
      <c r="AR93" s="9">
        <v>1247.4000000000001</v>
      </c>
      <c r="AS93" s="9">
        <v>1674.5</v>
      </c>
      <c r="AT93" s="9">
        <v>1290.8</v>
      </c>
      <c r="AU93" s="9">
        <v>1452.6</v>
      </c>
      <c r="AV93" s="9">
        <v>1300.0999999999999</v>
      </c>
      <c r="AW93" s="9">
        <v>1271.5999999999999</v>
      </c>
      <c r="AX93" s="9">
        <v>1291.5999999999999</v>
      </c>
      <c r="AY93" s="9">
        <v>1314.8</v>
      </c>
      <c r="AZ93" s="9">
        <v>1285.3</v>
      </c>
      <c r="BA93" s="9">
        <v>1273.3</v>
      </c>
      <c r="BB93" s="9">
        <v>1293.8</v>
      </c>
      <c r="BC93" s="9">
        <v>1283.0999999999999</v>
      </c>
      <c r="BD93" s="9">
        <v>1308.0999999999999</v>
      </c>
      <c r="BE93" s="9">
        <v>1315.1</v>
      </c>
      <c r="BF93" s="9">
        <v>1414.9</v>
      </c>
      <c r="BG93" s="9">
        <v>1292.5999999999999</v>
      </c>
      <c r="BH93" s="9">
        <v>1366.7</v>
      </c>
      <c r="BI93" s="9">
        <v>1321.3</v>
      </c>
      <c r="BJ93" s="9">
        <v>1320.4</v>
      </c>
      <c r="BK93" s="9">
        <v>1317.4</v>
      </c>
      <c r="BL93" s="9">
        <v>1471.8</v>
      </c>
      <c r="BM93" s="9">
        <v>1478.3</v>
      </c>
      <c r="BN93" s="9">
        <v>1378.7</v>
      </c>
      <c r="BO93" s="9">
        <v>1471.2</v>
      </c>
      <c r="BP93" s="9">
        <v>1459.4</v>
      </c>
      <c r="BQ93" s="9">
        <v>1316.7</v>
      </c>
      <c r="BR93" s="9">
        <v>1458.5</v>
      </c>
      <c r="BS93" s="9">
        <v>1474</v>
      </c>
      <c r="BT93" s="9">
        <v>1310.0999999999999</v>
      </c>
      <c r="BU93" s="9">
        <v>1479.9</v>
      </c>
      <c r="BV93" s="9">
        <v>1307.5</v>
      </c>
      <c r="BW93" s="9">
        <v>1268.2</v>
      </c>
      <c r="BX93" s="9">
        <v>1425.3</v>
      </c>
      <c r="BY93" s="9">
        <v>1411.3</v>
      </c>
      <c r="BZ93" s="9">
        <v>1429.7</v>
      </c>
      <c r="CA93" s="9">
        <v>1396</v>
      </c>
      <c r="CB93" s="9">
        <v>1310.8</v>
      </c>
      <c r="CC93" s="9">
        <v>1303.7</v>
      </c>
      <c r="CD93" s="9">
        <v>1313.6</v>
      </c>
      <c r="CE93" s="9">
        <v>1303.0999999999999</v>
      </c>
      <c r="CF93" s="9">
        <v>1302.3</v>
      </c>
      <c r="CG93" s="9">
        <v>1301.0999999999999</v>
      </c>
      <c r="CH93" s="9">
        <v>1456.7</v>
      </c>
      <c r="CI93" s="9">
        <v>1433.4</v>
      </c>
      <c r="CJ93" s="9">
        <v>1470.4</v>
      </c>
      <c r="CK93" s="9">
        <v>1301.0999999999999</v>
      </c>
      <c r="CL93" s="9">
        <v>1290.5999999999999</v>
      </c>
      <c r="CM93" s="9">
        <v>1413.5</v>
      </c>
      <c r="CN93" s="9">
        <v>1309.8</v>
      </c>
      <c r="CO93" s="9">
        <v>1315.4</v>
      </c>
      <c r="CP93" s="9">
        <v>1301.2</v>
      </c>
      <c r="CQ93" s="9">
        <v>1314.9</v>
      </c>
      <c r="CR93" s="9">
        <v>1297.4000000000001</v>
      </c>
      <c r="CS93" s="9">
        <v>1307.0999999999999</v>
      </c>
      <c r="CT93" s="9">
        <v>1309.2</v>
      </c>
      <c r="CU93" s="9">
        <v>1309.7</v>
      </c>
      <c r="CV93" s="9">
        <v>1280.4000000000001</v>
      </c>
      <c r="CW93" s="9">
        <v>1273</v>
      </c>
      <c r="CX93" s="9">
        <v>1342.5</v>
      </c>
      <c r="CY93" s="9">
        <v>1381.6</v>
      </c>
      <c r="CZ93" s="9">
        <v>1326.3</v>
      </c>
      <c r="DA93" s="9">
        <v>1313.5</v>
      </c>
      <c r="DB93" s="9">
        <v>1459.6</v>
      </c>
      <c r="DC93" s="9">
        <v>1290.4000000000001</v>
      </c>
      <c r="DD93" s="9">
        <v>1287.7</v>
      </c>
      <c r="DE93" s="9">
        <v>1320.7</v>
      </c>
      <c r="DF93" s="9">
        <v>1295.5</v>
      </c>
      <c r="DG93" s="9">
        <v>1307.9000000000001</v>
      </c>
      <c r="DH93" s="9">
        <v>1311.2</v>
      </c>
      <c r="DI93" s="9">
        <v>1289.7</v>
      </c>
      <c r="DJ93" s="9">
        <v>1302.8</v>
      </c>
      <c r="DK93" s="9">
        <v>1286.7</v>
      </c>
      <c r="DL93" s="9">
        <v>1454.3</v>
      </c>
      <c r="DM93" s="9">
        <v>1221.5</v>
      </c>
      <c r="DN93" s="9">
        <v>1493</v>
      </c>
      <c r="DO93" s="9">
        <v>1435.5</v>
      </c>
      <c r="DP93" s="9">
        <v>1313.9</v>
      </c>
      <c r="DQ93" s="9">
        <v>1455.2</v>
      </c>
      <c r="DR93" s="9">
        <v>1403.3</v>
      </c>
      <c r="DS93" s="9">
        <v>1416.3</v>
      </c>
      <c r="DT93" s="9">
        <v>1461.3</v>
      </c>
      <c r="DU93" s="9">
        <v>1467.5</v>
      </c>
      <c r="DV93" s="9">
        <v>1318.1</v>
      </c>
      <c r="DW93" s="9">
        <v>1271.0999999999999</v>
      </c>
      <c r="DX93" s="9">
        <v>1435.3</v>
      </c>
      <c r="DY93" s="9">
        <v>1431.2</v>
      </c>
      <c r="DZ93" s="9">
        <v>1444.4</v>
      </c>
      <c r="EA93" s="9">
        <v>1310.2</v>
      </c>
      <c r="EB93" s="9">
        <v>1326.4</v>
      </c>
      <c r="EC93" s="9">
        <v>1401</v>
      </c>
      <c r="ED93" s="9">
        <v>1353.4</v>
      </c>
      <c r="EE93" s="9">
        <v>1304.7</v>
      </c>
      <c r="EF93" s="9">
        <v>1309.0999999999999</v>
      </c>
      <c r="EG93" s="9">
        <v>1467.8</v>
      </c>
      <c r="EH93" s="9">
        <v>1289.5999999999999</v>
      </c>
      <c r="EI93" s="9">
        <v>1288.4000000000001</v>
      </c>
      <c r="EJ93" s="9">
        <v>1431.1</v>
      </c>
      <c r="EK93" s="9">
        <v>1448.3</v>
      </c>
      <c r="EL93" s="9">
        <v>1391.5</v>
      </c>
      <c r="EM93" s="9">
        <v>1391.7</v>
      </c>
      <c r="EN93" s="9">
        <v>1396.4</v>
      </c>
      <c r="EO93" s="9">
        <v>1202.4000000000001</v>
      </c>
      <c r="EP93" s="9">
        <v>1389.1</v>
      </c>
      <c r="EQ93" s="9">
        <v>1373.2</v>
      </c>
      <c r="ER93" s="9">
        <v>1398.2</v>
      </c>
      <c r="ES93" s="9">
        <v>1401.2</v>
      </c>
      <c r="ET93" s="9">
        <v>1351.2</v>
      </c>
      <c r="EU93" s="9">
        <v>1300.2</v>
      </c>
      <c r="EV93" s="9">
        <v>1387.4</v>
      </c>
      <c r="EW93" s="9">
        <v>1381.1</v>
      </c>
      <c r="EX93" s="9">
        <v>1308.4000000000001</v>
      </c>
      <c r="EY93" s="9">
        <v>1425.6</v>
      </c>
      <c r="EZ93" s="9">
        <v>1271.8</v>
      </c>
      <c r="FA93" s="9">
        <v>1396.6</v>
      </c>
      <c r="FB93" s="9">
        <v>1280.7</v>
      </c>
      <c r="FC93" s="9">
        <v>1194.7</v>
      </c>
      <c r="FD93" s="9">
        <v>1384.5</v>
      </c>
      <c r="FE93" s="9">
        <v>1403.8</v>
      </c>
      <c r="FF93" s="9">
        <v>1410.5</v>
      </c>
      <c r="FG93" s="9">
        <v>1285.0999999999999</v>
      </c>
      <c r="FH93" s="9">
        <v>1475.6</v>
      </c>
      <c r="FI93" s="9">
        <v>1289.9000000000001</v>
      </c>
      <c r="FJ93" s="9">
        <v>1268.5999999999999</v>
      </c>
      <c r="FK93" s="9">
        <v>1278.0999999999999</v>
      </c>
      <c r="FL93" s="9">
        <v>1266.9000000000001</v>
      </c>
      <c r="FM93" s="9">
        <v>1290.0999999999999</v>
      </c>
      <c r="FN93" s="9">
        <v>1289.5999999999999</v>
      </c>
      <c r="FO93" s="9">
        <v>1271.0999999999999</v>
      </c>
      <c r="FP93" s="9">
        <v>1431.1</v>
      </c>
      <c r="FQ93" s="9">
        <v>1265.7</v>
      </c>
      <c r="FR93" s="9">
        <v>1421.1</v>
      </c>
      <c r="FS93" s="9">
        <v>1434.2</v>
      </c>
      <c r="FT93" s="9">
        <v>1439.1</v>
      </c>
      <c r="FU93" s="9">
        <v>1321.1</v>
      </c>
      <c r="FV93" s="9">
        <v>1265.5</v>
      </c>
      <c r="FW93" s="9">
        <v>1451.1</v>
      </c>
      <c r="FX93" s="9">
        <v>1280</v>
      </c>
      <c r="FY93" s="9">
        <v>1355</v>
      </c>
      <c r="FZ93" s="9">
        <v>1343</v>
      </c>
      <c r="GA93" s="9">
        <v>1331.4</v>
      </c>
      <c r="GB93" s="9">
        <v>1421.6</v>
      </c>
      <c r="GC93" s="9">
        <v>1341.1</v>
      </c>
      <c r="GD93" s="9">
        <v>1421</v>
      </c>
      <c r="GE93" s="9">
        <v>1271.0999999999999</v>
      </c>
      <c r="GF93" s="9">
        <v>1271.8</v>
      </c>
      <c r="GG93" s="9">
        <v>1291</v>
      </c>
      <c r="GH93" s="9">
        <v>1431.1</v>
      </c>
      <c r="GI93" s="9">
        <v>1301</v>
      </c>
      <c r="GJ93" s="9">
        <v>1384.5</v>
      </c>
      <c r="GK93" s="9">
        <v>1421.5</v>
      </c>
      <c r="GL93" s="9">
        <v>1410.5</v>
      </c>
      <c r="GM93" s="9">
        <v>1371.1</v>
      </c>
      <c r="GN93" s="9">
        <v>1398.1</v>
      </c>
      <c r="GO93" s="9">
        <v>1434.7</v>
      </c>
      <c r="GP93" s="9">
        <v>1344</v>
      </c>
      <c r="GQ93" s="9">
        <v>1344.1</v>
      </c>
      <c r="GR93" s="9">
        <v>1339.4</v>
      </c>
      <c r="GS93" s="9">
        <v>1371.1</v>
      </c>
      <c r="GT93" s="9">
        <v>1291.8</v>
      </c>
      <c r="GU93" s="9">
        <v>1285.4000000000001</v>
      </c>
      <c r="GV93" s="9">
        <v>1286.0999999999999</v>
      </c>
      <c r="GW93" s="9">
        <v>1289.5</v>
      </c>
      <c r="GX93" s="9">
        <v>1290</v>
      </c>
      <c r="GY93" s="9">
        <v>1278</v>
      </c>
      <c r="GZ93" s="9">
        <v>1070</v>
      </c>
      <c r="HA93" s="9">
        <v>1301.0999999999999</v>
      </c>
      <c r="HB93" s="9"/>
      <c r="HC93" s="9"/>
      <c r="HD93" s="9">
        <v>1181</v>
      </c>
      <c r="HE93" s="9">
        <v>915.7</v>
      </c>
      <c r="HF93" s="9">
        <v>1302.7</v>
      </c>
      <c r="HG93" s="9"/>
      <c r="HH93" s="9">
        <v>1442.7</v>
      </c>
      <c r="HI93" s="9">
        <v>1285.9000000000001</v>
      </c>
      <c r="HJ93" s="9">
        <v>1291.4000000000001</v>
      </c>
      <c r="HK93" s="9">
        <v>1281.5999999999999</v>
      </c>
      <c r="HL93" s="9">
        <v>1301</v>
      </c>
      <c r="HM93" s="9">
        <v>1295.8</v>
      </c>
      <c r="HN93" s="9">
        <v>1331.1</v>
      </c>
      <c r="HO93" s="9">
        <v>1323.1</v>
      </c>
      <c r="HP93" s="9">
        <v>1301.0999999999999</v>
      </c>
      <c r="HQ93" s="9">
        <v>1290</v>
      </c>
      <c r="HR93" s="9">
        <v>1312</v>
      </c>
      <c r="HS93" s="9">
        <v>1324.9</v>
      </c>
      <c r="HT93" s="9">
        <v>1483.3</v>
      </c>
      <c r="HU93" s="9">
        <v>1516.9</v>
      </c>
      <c r="HV93" s="9">
        <v>1151</v>
      </c>
      <c r="HW93" s="9">
        <v>1133.5999999999999</v>
      </c>
      <c r="HX93" s="9">
        <v>974.5</v>
      </c>
      <c r="HY93" s="9">
        <v>799</v>
      </c>
      <c r="HZ93" s="9">
        <v>999.3</v>
      </c>
      <c r="IA93" s="9">
        <v>1176</v>
      </c>
      <c r="IB93" s="9">
        <v>1371.6</v>
      </c>
      <c r="IC93" s="9">
        <v>1476.7</v>
      </c>
      <c r="ID93" s="9">
        <v>1411</v>
      </c>
      <c r="IE93" s="9">
        <v>1409.5</v>
      </c>
      <c r="IF93" s="9">
        <v>1371.1</v>
      </c>
      <c r="IG93" s="9">
        <v>1421.7</v>
      </c>
      <c r="IH93" s="9">
        <v>1497.2</v>
      </c>
      <c r="II93" s="9">
        <v>1479.8</v>
      </c>
      <c r="IJ93" s="9">
        <v>1241.2</v>
      </c>
      <c r="IK93" s="9">
        <v>1347.7</v>
      </c>
      <c r="IL93" s="9">
        <v>1233.8</v>
      </c>
      <c r="IM93" s="9">
        <v>1289.8</v>
      </c>
      <c r="IN93" s="9">
        <v>1190.9000000000001</v>
      </c>
      <c r="IO93" s="9"/>
      <c r="IP93" s="9">
        <v>1801</v>
      </c>
      <c r="IQ93" s="9">
        <v>1376.6</v>
      </c>
      <c r="IR93" s="9">
        <v>513.20000000000005</v>
      </c>
      <c r="IS93" s="9">
        <v>1275.8</v>
      </c>
      <c r="IT93" s="9">
        <v>1232.5</v>
      </c>
      <c r="IU93" s="9"/>
      <c r="IV93" s="9"/>
      <c r="IW93" s="9">
        <v>1261</v>
      </c>
      <c r="IX93" s="9">
        <v>1278.5999999999999</v>
      </c>
      <c r="IY93" s="9">
        <v>1321.1</v>
      </c>
      <c r="IZ93" s="9">
        <v>1225.8</v>
      </c>
      <c r="JA93" s="9">
        <v>1206.0999999999999</v>
      </c>
      <c r="JB93" s="11">
        <v>34.28</v>
      </c>
      <c r="JC93" s="11">
        <v>42.05</v>
      </c>
      <c r="JD93" s="11">
        <v>4.04</v>
      </c>
      <c r="JE93" s="11">
        <v>8.1</v>
      </c>
      <c r="JF93" s="11"/>
      <c r="JG93" s="11">
        <v>6.68</v>
      </c>
      <c r="JH93" s="13">
        <v>6.3</v>
      </c>
      <c r="JI93" s="12"/>
      <c r="JJ93" s="277"/>
      <c r="JK93" s="9">
        <v>87821123.068000004</v>
      </c>
      <c r="JL93" s="260">
        <v>283528.87900000002</v>
      </c>
      <c r="JM93" s="9">
        <v>60742286.208999999</v>
      </c>
      <c r="JN93" s="260">
        <v>63259.796000000002</v>
      </c>
      <c r="JO93" s="9">
        <v>88526223.941</v>
      </c>
      <c r="JP93" s="260">
        <v>188889.27799999999</v>
      </c>
      <c r="JQ93" s="9">
        <v>64396685.259999998</v>
      </c>
      <c r="JR93" s="260">
        <v>58321.336000000003</v>
      </c>
      <c r="JS93" s="11">
        <v>332588605.236</v>
      </c>
      <c r="JT93" s="289">
        <v>89948.039000000004</v>
      </c>
      <c r="JU93" s="283">
        <f t="shared" ref="JU93" si="497">IF((JK93-JK92)&lt;0,"",(JK93-JK92))</f>
        <v>86908.837999999523</v>
      </c>
      <c r="JV93" s="283">
        <f t="shared" ref="JV93" si="498">IF((JL93-JL92)&lt;0,"",(JL93-JL92))</f>
        <v>12.940999999991618</v>
      </c>
      <c r="JW93" s="283">
        <f t="shared" ref="JW93" si="499">IF((JM93-JM92)&lt;0,"",(JM93-JM92))</f>
        <v>82571.050999999046</v>
      </c>
      <c r="JX93" s="283">
        <f t="shared" ref="JX93" si="500">IF((JN93-JN92)&lt;0,"",(JN93-JN92))</f>
        <v>18.884000000005472</v>
      </c>
      <c r="JY93" s="284">
        <f t="shared" ref="JY93" si="501">IF((JO93-JO92)&lt;0,"",(JO93-JO92))</f>
        <v>85515.465000003576</v>
      </c>
      <c r="JZ93" s="284">
        <f t="shared" ref="JZ93" si="502">IF((JP93-JP92)&lt;0,"",(JP93-JP92))</f>
        <v>34.269999999989523</v>
      </c>
      <c r="KA93" s="284">
        <f t="shared" ref="KA93" si="503">IF((JQ93-JQ92)&lt;0,"",(JQ93-JQ92))</f>
        <v>68726.476999998093</v>
      </c>
      <c r="KB93" s="284">
        <f t="shared" ref="KB93" si="504">IF((JR93-JR92)&lt;0,"",(JR93-JR92))</f>
        <v>45.544000000001688</v>
      </c>
      <c r="KC93" s="283">
        <f t="shared" ref="KC93" si="505">IF((JS93-JS92)&lt;0,"",(JS93-JS92))</f>
        <v>323519.83200001717</v>
      </c>
      <c r="KD93" s="283">
        <f t="shared" si="469"/>
        <v>116.68100000001141</v>
      </c>
      <c r="KE93" s="291">
        <f t="shared" si="440"/>
        <v>169448.06399999856</v>
      </c>
      <c r="KF93" s="291">
        <f t="shared" si="441"/>
        <v>323403.15100001718</v>
      </c>
      <c r="KG93" s="292">
        <f>(RD[[#This Row],[Sunset Time (POA&lt;20 W/m2)]]-RD[[#This Row],[Sunrise Time (POA&gt;20 W/m2)]])*24</f>
        <v>13.433333333333334</v>
      </c>
      <c r="KH93" s="293">
        <f>RD[[#This Row],[GHI ]]</f>
        <v>6.68</v>
      </c>
      <c r="KI93" s="293">
        <f>RD[[#This Row],[POA]]</f>
        <v>6.3</v>
      </c>
      <c r="KJ93" s="293">
        <f>RD[[#This Row],[AT (°C) 14 Hours]]</f>
        <v>34.28</v>
      </c>
      <c r="KK93" s="293">
        <f>RD[[#This Row],[MT (°C) Gen. Hours]]</f>
        <v>42.05</v>
      </c>
      <c r="KL93" s="293">
        <f>RD[[#This Row],[WS_Avg (m/s) (24 Hours)]]</f>
        <v>4.04</v>
      </c>
      <c r="KM93" s="293">
        <f>RD[[#This Row],[WS_Max (m/s)]]</f>
        <v>8.1</v>
      </c>
      <c r="KN93" s="294">
        <f>SUM(RD[[#This Row],[BLK1_INV1]:[BLK8_INV27]])</f>
        <v>325151.30000000005</v>
      </c>
      <c r="KO93" s="95"/>
      <c r="KP93" s="55"/>
      <c r="KQ93" s="90" t="str">
        <f>IFERROR(RD[[#This Row],[WPR_Eac]]/RD[[#This Row],[WPR_Edc]],"")</f>
        <v/>
      </c>
    </row>
    <row r="94" spans="2:303" ht="15" customHeight="1" x14ac:dyDescent="0.25">
      <c r="B94" s="52">
        <v>45835</v>
      </c>
      <c r="C94" s="9">
        <f>YEAR(RD[[#This Row],[Date]])+IF(MONTH(RD[[#This Row],[Date]])&gt;=4,1,0)</f>
        <v>2026</v>
      </c>
      <c r="D94" s="6">
        <f t="shared" si="429"/>
        <v>2025</v>
      </c>
      <c r="E94" s="7"/>
      <c r="F94" s="7"/>
      <c r="G94" s="367" t="str">
        <f>TEXT(RD[[#This Row],[Date]],"mmm-yy")</f>
        <v>Jun-25</v>
      </c>
      <c r="H94" s="6">
        <f t="shared" si="430"/>
        <v>30</v>
      </c>
      <c r="I94" s="9">
        <f>'Basic Data '!$S$2</f>
        <v>66750</v>
      </c>
      <c r="J94" s="10">
        <v>0.24166666666666667</v>
      </c>
      <c r="K94" s="10">
        <v>0.77847222222222223</v>
      </c>
      <c r="L94" s="9">
        <v>1288.4000000000001</v>
      </c>
      <c r="M94" s="9">
        <v>1291.0999999999999</v>
      </c>
      <c r="N94" s="9">
        <v>1190</v>
      </c>
      <c r="O94" s="9">
        <v>1201</v>
      </c>
      <c r="P94" s="9">
        <v>1300</v>
      </c>
      <c r="Q94" s="9">
        <v>1197.5</v>
      </c>
      <c r="R94" s="9">
        <v>1181.5999999999999</v>
      </c>
      <c r="S94" s="9">
        <v>1198.0999999999999</v>
      </c>
      <c r="T94" s="9">
        <v>1202.0999999999999</v>
      </c>
      <c r="U94" s="9">
        <v>1210</v>
      </c>
      <c r="V94" s="9">
        <v>1190.0999999999999</v>
      </c>
      <c r="W94" s="9">
        <v>1198.7</v>
      </c>
      <c r="X94" s="9">
        <v>1144.7</v>
      </c>
      <c r="Y94" s="9">
        <v>1060</v>
      </c>
      <c r="Z94" s="9">
        <v>1186.5999999999999</v>
      </c>
      <c r="AA94" s="9">
        <v>1191.0999999999999</v>
      </c>
      <c r="AB94" s="9">
        <v>1181</v>
      </c>
      <c r="AC94" s="9">
        <v>1179.5</v>
      </c>
      <c r="AD94" s="9">
        <v>1251.5999999999999</v>
      </c>
      <c r="AE94" s="9">
        <v>1254.0999999999999</v>
      </c>
      <c r="AF94" s="9">
        <v>1167.5999999999999</v>
      </c>
      <c r="AG94" s="9">
        <v>1171.8</v>
      </c>
      <c r="AH94" s="9">
        <v>1257.9000000000001</v>
      </c>
      <c r="AI94" s="9">
        <v>1301.0999999999999</v>
      </c>
      <c r="AJ94" s="9">
        <v>1267.8</v>
      </c>
      <c r="AK94" s="9">
        <v>1265.5999999999999</v>
      </c>
      <c r="AL94" s="9">
        <v>1221.5</v>
      </c>
      <c r="AM94" s="9">
        <v>1322.8</v>
      </c>
      <c r="AN94" s="9">
        <v>1317.6</v>
      </c>
      <c r="AO94" s="9">
        <v>1269.9000000000001</v>
      </c>
      <c r="AP94" s="9">
        <v>1265.5</v>
      </c>
      <c r="AQ94" s="9">
        <v>1277.0999999999999</v>
      </c>
      <c r="AR94" s="9">
        <v>1102.4000000000001</v>
      </c>
      <c r="AS94" s="9">
        <v>1456.6</v>
      </c>
      <c r="AT94" s="9">
        <v>1142.8</v>
      </c>
      <c r="AU94" s="9">
        <v>1275.5</v>
      </c>
      <c r="AV94" s="9">
        <v>1151.5999999999999</v>
      </c>
      <c r="AW94" s="9">
        <v>1130</v>
      </c>
      <c r="AX94" s="9">
        <v>1148.9000000000001</v>
      </c>
      <c r="AY94" s="9">
        <v>1172.7</v>
      </c>
      <c r="AZ94" s="9">
        <v>1140.5999999999999</v>
      </c>
      <c r="BA94" s="9">
        <v>1133.0999999999999</v>
      </c>
      <c r="BB94" s="9">
        <v>1150.5</v>
      </c>
      <c r="BC94" s="9">
        <v>1140.3</v>
      </c>
      <c r="BD94" s="9">
        <v>1166.3</v>
      </c>
      <c r="BE94" s="9">
        <v>1170.5999999999999</v>
      </c>
      <c r="BF94" s="9">
        <v>1212</v>
      </c>
      <c r="BG94" s="9">
        <v>1156.3</v>
      </c>
      <c r="BH94" s="9">
        <v>1220</v>
      </c>
      <c r="BI94" s="9">
        <v>1167.8</v>
      </c>
      <c r="BJ94" s="9">
        <v>1171.0999999999999</v>
      </c>
      <c r="BK94" s="9">
        <v>1173</v>
      </c>
      <c r="BL94" s="9">
        <v>1301.0999999999999</v>
      </c>
      <c r="BM94" s="9">
        <v>1313.7</v>
      </c>
      <c r="BN94" s="9">
        <v>1212</v>
      </c>
      <c r="BO94" s="9">
        <v>1301.2</v>
      </c>
      <c r="BP94" s="9">
        <v>1312.2</v>
      </c>
      <c r="BQ94" s="9">
        <v>1179</v>
      </c>
      <c r="BR94" s="9">
        <v>1298.8</v>
      </c>
      <c r="BS94" s="9">
        <v>1305.5999999999999</v>
      </c>
      <c r="BT94" s="9">
        <v>1167.4000000000001</v>
      </c>
      <c r="BU94" s="9">
        <v>1311.4</v>
      </c>
      <c r="BV94" s="9">
        <v>1159.5999999999999</v>
      </c>
      <c r="BW94" s="9">
        <v>1101.5</v>
      </c>
      <c r="BX94" s="9">
        <v>1259</v>
      </c>
      <c r="BY94" s="9">
        <v>1265.8</v>
      </c>
      <c r="BZ94" s="9">
        <v>1271.8</v>
      </c>
      <c r="CA94" s="9">
        <v>1251.4000000000001</v>
      </c>
      <c r="CB94" s="9">
        <v>1152.5</v>
      </c>
      <c r="CC94" s="9">
        <v>1154.5999999999999</v>
      </c>
      <c r="CD94" s="9">
        <v>1161.9000000000001</v>
      </c>
      <c r="CE94" s="9">
        <v>1171.7</v>
      </c>
      <c r="CF94" s="9">
        <v>1165.7</v>
      </c>
      <c r="CG94" s="9">
        <v>1163</v>
      </c>
      <c r="CH94" s="9">
        <v>1304.7</v>
      </c>
      <c r="CI94" s="9">
        <v>1287.0999999999999</v>
      </c>
      <c r="CJ94" s="9">
        <v>1299.8</v>
      </c>
      <c r="CK94" s="9">
        <v>1170.8</v>
      </c>
      <c r="CL94" s="9">
        <v>1167.9000000000001</v>
      </c>
      <c r="CM94" s="9">
        <v>1262.8</v>
      </c>
      <c r="CN94" s="9">
        <v>1163.5</v>
      </c>
      <c r="CO94" s="9">
        <v>1157.5999999999999</v>
      </c>
      <c r="CP94" s="9">
        <v>1169.8</v>
      </c>
      <c r="CQ94" s="9">
        <v>1173.2</v>
      </c>
      <c r="CR94" s="9">
        <v>1169.3</v>
      </c>
      <c r="CS94" s="9">
        <v>1158.8</v>
      </c>
      <c r="CT94" s="9">
        <v>1158.8</v>
      </c>
      <c r="CU94" s="9">
        <v>1154</v>
      </c>
      <c r="CV94" s="9">
        <v>1154.8</v>
      </c>
      <c r="CW94" s="9">
        <v>1142.9000000000001</v>
      </c>
      <c r="CX94" s="9">
        <v>1196.4000000000001</v>
      </c>
      <c r="CY94" s="9">
        <v>1226</v>
      </c>
      <c r="CZ94" s="9">
        <v>1167</v>
      </c>
      <c r="DA94" s="9">
        <v>1165.5999999999999</v>
      </c>
      <c r="DB94" s="9">
        <v>1316.6</v>
      </c>
      <c r="DC94" s="9">
        <v>1171</v>
      </c>
      <c r="DD94" s="9">
        <v>764.7</v>
      </c>
      <c r="DE94" s="9">
        <v>1172.5999999999999</v>
      </c>
      <c r="DF94" s="9">
        <v>1170.3</v>
      </c>
      <c r="DG94" s="9">
        <v>1167.8</v>
      </c>
      <c r="DH94" s="9">
        <v>1162.5</v>
      </c>
      <c r="DI94" s="9">
        <v>1173.0999999999999</v>
      </c>
      <c r="DJ94" s="9">
        <v>1181.2</v>
      </c>
      <c r="DK94" s="9">
        <v>1127.7</v>
      </c>
      <c r="DL94" s="9">
        <v>1305.2</v>
      </c>
      <c r="DM94" s="9">
        <v>1178.8</v>
      </c>
      <c r="DN94" s="9">
        <v>1314.8</v>
      </c>
      <c r="DO94" s="9">
        <v>1257.8</v>
      </c>
      <c r="DP94" s="9">
        <v>1171.8</v>
      </c>
      <c r="DQ94" s="9">
        <v>1316.5</v>
      </c>
      <c r="DR94" s="9">
        <v>1272.9000000000001</v>
      </c>
      <c r="DS94" s="9">
        <v>1258.8</v>
      </c>
      <c r="DT94" s="9">
        <v>1305.8</v>
      </c>
      <c r="DU94" s="9">
        <v>1320.8</v>
      </c>
      <c r="DV94" s="9">
        <v>1152.2</v>
      </c>
      <c r="DW94" s="9">
        <v>1123</v>
      </c>
      <c r="DX94" s="9">
        <v>1254.0999999999999</v>
      </c>
      <c r="DY94" s="9">
        <v>1275.5999999999999</v>
      </c>
      <c r="DZ94" s="9">
        <v>1282</v>
      </c>
      <c r="EA94" s="9">
        <v>1175.5999999999999</v>
      </c>
      <c r="EB94" s="9">
        <v>1187.8</v>
      </c>
      <c r="EC94" s="9">
        <v>1236.2</v>
      </c>
      <c r="ED94" s="9">
        <v>1227.5</v>
      </c>
      <c r="EE94" s="9">
        <v>1154.4000000000001</v>
      </c>
      <c r="EF94" s="9">
        <v>1163.9000000000001</v>
      </c>
      <c r="EG94" s="9">
        <v>1278</v>
      </c>
      <c r="EH94" s="9">
        <v>1154</v>
      </c>
      <c r="EI94" s="9">
        <v>1141</v>
      </c>
      <c r="EJ94" s="9">
        <v>1267.0999999999999</v>
      </c>
      <c r="EK94" s="9">
        <v>1269</v>
      </c>
      <c r="EL94" s="9">
        <v>1218.2</v>
      </c>
      <c r="EM94" s="9">
        <v>1230.9000000000001</v>
      </c>
      <c r="EN94" s="9">
        <v>1233.8</v>
      </c>
      <c r="EO94" s="9">
        <v>1061.5999999999999</v>
      </c>
      <c r="EP94" s="9">
        <v>1230.2</v>
      </c>
      <c r="EQ94" s="9">
        <v>1212</v>
      </c>
      <c r="ER94" s="9">
        <v>1225.7</v>
      </c>
      <c r="ES94" s="9">
        <v>1220</v>
      </c>
      <c r="ET94" s="9">
        <v>1179.7</v>
      </c>
      <c r="EU94" s="9">
        <v>1127.78</v>
      </c>
      <c r="EV94" s="9">
        <v>1232.5</v>
      </c>
      <c r="EW94" s="9">
        <v>1221.0999999999999</v>
      </c>
      <c r="EX94" s="9">
        <v>1128.5</v>
      </c>
      <c r="EY94" s="9">
        <v>1230.5999999999999</v>
      </c>
      <c r="EZ94" s="9">
        <v>1131.0999999999999</v>
      </c>
      <c r="FA94" s="9">
        <v>1231.0999999999999</v>
      </c>
      <c r="FB94" s="9">
        <v>1131.0999999999999</v>
      </c>
      <c r="FC94" s="9">
        <v>1034.5999999999999</v>
      </c>
      <c r="FD94" s="9">
        <v>1231.5</v>
      </c>
      <c r="FE94" s="9">
        <v>1220.5999999999999</v>
      </c>
      <c r="FF94" s="9">
        <v>1226.2</v>
      </c>
      <c r="FG94" s="9">
        <v>1123.0999999999999</v>
      </c>
      <c r="FH94" s="9">
        <v>1282.9000000000001</v>
      </c>
      <c r="FI94" s="9">
        <v>1124.8</v>
      </c>
      <c r="FJ94" s="9">
        <v>1131.0999999999999</v>
      </c>
      <c r="FK94" s="9">
        <v>1125.0999999999999</v>
      </c>
      <c r="FL94" s="9">
        <v>1145.5</v>
      </c>
      <c r="FM94" s="9">
        <v>1140.5</v>
      </c>
      <c r="FN94" s="9">
        <v>1140.9000000000001</v>
      </c>
      <c r="FO94" s="9">
        <v>1119.4000000000001</v>
      </c>
      <c r="FP94" s="9">
        <v>1263</v>
      </c>
      <c r="FQ94" s="9">
        <v>1131.4000000000001</v>
      </c>
      <c r="FR94" s="9">
        <v>1252.9000000000001</v>
      </c>
      <c r="FS94" s="9">
        <v>1254.8</v>
      </c>
      <c r="FT94" s="9">
        <v>1281.4000000000001</v>
      </c>
      <c r="FU94" s="9">
        <v>1176.0999999999999</v>
      </c>
      <c r="FV94" s="9">
        <v>1129.5999999999999</v>
      </c>
      <c r="FW94" s="9">
        <v>1247.4000000000001</v>
      </c>
      <c r="FX94" s="9">
        <v>1133.3</v>
      </c>
      <c r="FY94" s="9">
        <v>1172.4000000000001</v>
      </c>
      <c r="FZ94" s="9">
        <v>1174.0999999999999</v>
      </c>
      <c r="GA94" s="9">
        <v>1156.2</v>
      </c>
      <c r="GB94" s="9">
        <v>1263.2</v>
      </c>
      <c r="GC94" s="9">
        <v>1182.5999999999999</v>
      </c>
      <c r="GD94" s="9">
        <v>1254.0999999999999</v>
      </c>
      <c r="GE94" s="9">
        <v>1122.5</v>
      </c>
      <c r="GF94" s="9">
        <v>1133.4000000000001</v>
      </c>
      <c r="GG94" s="9">
        <v>1121.0999999999999</v>
      </c>
      <c r="GH94" s="9">
        <v>1251.5</v>
      </c>
      <c r="GI94" s="9">
        <v>1140.2</v>
      </c>
      <c r="GJ94" s="9">
        <v>1212</v>
      </c>
      <c r="GK94" s="9">
        <v>1254.0999999999999</v>
      </c>
      <c r="GL94" s="9">
        <v>1264.5</v>
      </c>
      <c r="GM94" s="9">
        <v>1215.8</v>
      </c>
      <c r="GN94" s="9">
        <v>1226.7</v>
      </c>
      <c r="GO94" s="9">
        <v>1267.4000000000001</v>
      </c>
      <c r="GP94" s="9">
        <v>1182.8</v>
      </c>
      <c r="GQ94" s="9">
        <v>1183.4000000000001</v>
      </c>
      <c r="GR94" s="9">
        <v>1197.9000000000001</v>
      </c>
      <c r="GS94" s="9">
        <v>1210</v>
      </c>
      <c r="GT94" s="9">
        <v>1132.0999999999999</v>
      </c>
      <c r="GU94" s="9">
        <v>1135.8</v>
      </c>
      <c r="GV94" s="9">
        <v>1121.0999999999999</v>
      </c>
      <c r="GW94" s="9">
        <v>1138.3</v>
      </c>
      <c r="GX94" s="9">
        <v>1131.0999999999999</v>
      </c>
      <c r="GY94" s="9">
        <v>1113.0999999999999</v>
      </c>
      <c r="GZ94" s="9">
        <v>956.1</v>
      </c>
      <c r="HA94" s="9">
        <v>1124.0999999999999</v>
      </c>
      <c r="HB94" s="9"/>
      <c r="HC94" s="9"/>
      <c r="HD94" s="9">
        <v>0.1</v>
      </c>
      <c r="HE94" s="9">
        <v>806.7</v>
      </c>
      <c r="HF94" s="9">
        <v>1148.9000000000001</v>
      </c>
      <c r="HG94" s="9"/>
      <c r="HH94" s="9">
        <v>1278.0999999999999</v>
      </c>
      <c r="HI94" s="9">
        <v>1158.9000000000001</v>
      </c>
      <c r="HJ94" s="9">
        <v>1171.0999999999999</v>
      </c>
      <c r="HK94" s="9">
        <v>1128.3</v>
      </c>
      <c r="HL94" s="9">
        <v>1171.0999999999999</v>
      </c>
      <c r="HM94" s="9">
        <v>1160.3</v>
      </c>
      <c r="HN94" s="9">
        <v>1167.7</v>
      </c>
      <c r="HO94" s="9">
        <v>1174.8</v>
      </c>
      <c r="HP94" s="9">
        <v>1154.8</v>
      </c>
      <c r="HQ94" s="9">
        <v>1131.8</v>
      </c>
      <c r="HR94" s="9">
        <v>1151.2</v>
      </c>
      <c r="HS94" s="9">
        <v>1156.4000000000001</v>
      </c>
      <c r="HT94" s="9">
        <v>1322.2</v>
      </c>
      <c r="HU94" s="9">
        <v>1350.6</v>
      </c>
      <c r="HV94" s="9">
        <v>1024.0999999999999</v>
      </c>
      <c r="HW94" s="9">
        <v>1020</v>
      </c>
      <c r="HX94" s="9">
        <v>871.2</v>
      </c>
      <c r="HY94" s="9">
        <v>701.2</v>
      </c>
      <c r="HZ94" s="9">
        <v>886.7</v>
      </c>
      <c r="IA94" s="9">
        <v>1041.3</v>
      </c>
      <c r="IB94" s="9">
        <v>1248.5</v>
      </c>
      <c r="IC94" s="9">
        <v>1326.3</v>
      </c>
      <c r="ID94" s="9">
        <v>1262</v>
      </c>
      <c r="IE94" s="9">
        <v>1267.9000000000001</v>
      </c>
      <c r="IF94" s="9">
        <v>1255.5</v>
      </c>
      <c r="IG94" s="9">
        <v>1285</v>
      </c>
      <c r="IH94" s="9">
        <v>1320.3</v>
      </c>
      <c r="II94" s="9">
        <v>1299</v>
      </c>
      <c r="IJ94" s="9">
        <v>1091.0999999999999</v>
      </c>
      <c r="IK94" s="9">
        <v>1187.2</v>
      </c>
      <c r="IL94" s="9">
        <v>1101</v>
      </c>
      <c r="IM94" s="9">
        <v>1141.5</v>
      </c>
      <c r="IN94" s="9">
        <v>1051.7</v>
      </c>
      <c r="IO94" s="9"/>
      <c r="IP94" s="9">
        <v>1621.5</v>
      </c>
      <c r="IQ94" s="9">
        <v>1221.0999999999999</v>
      </c>
      <c r="IR94" s="9">
        <v>435.8</v>
      </c>
      <c r="IS94" s="9">
        <v>1132.0999999999999</v>
      </c>
      <c r="IT94" s="9">
        <v>1091.5999999999999</v>
      </c>
      <c r="IU94" s="9"/>
      <c r="IV94" s="9"/>
      <c r="IW94" s="9">
        <v>1121.0999999999999</v>
      </c>
      <c r="IX94" s="9">
        <v>1142.5999999999999</v>
      </c>
      <c r="IY94" s="9">
        <v>1181.7</v>
      </c>
      <c r="IZ94" s="9">
        <v>1121</v>
      </c>
      <c r="JA94" s="9">
        <v>1055.0999999999999</v>
      </c>
      <c r="JB94" s="11">
        <v>31.5</v>
      </c>
      <c r="JC94" s="11">
        <v>41.46</v>
      </c>
      <c r="JD94" s="11">
        <v>2.0099999999999998</v>
      </c>
      <c r="JE94" s="11">
        <v>6.7</v>
      </c>
      <c r="JF94" s="11"/>
      <c r="JG94" s="11">
        <v>6.01</v>
      </c>
      <c r="JH94" s="13">
        <v>5.64</v>
      </c>
      <c r="JI94" s="12"/>
      <c r="JJ94" s="277"/>
      <c r="JK94" s="9">
        <v>87898891.252000004</v>
      </c>
      <c r="JL94" s="215">
        <v>283537.82</v>
      </c>
      <c r="JM94" s="9">
        <v>60816362.773000002</v>
      </c>
      <c r="JN94" s="215">
        <v>63272.68</v>
      </c>
      <c r="JO94" s="260">
        <v>88601459.192000002</v>
      </c>
      <c r="JP94" s="215">
        <v>188919.54800000001</v>
      </c>
      <c r="JQ94" s="260">
        <v>64456309.175999999</v>
      </c>
      <c r="JR94" s="215">
        <v>58361.88</v>
      </c>
      <c r="JS94" s="11">
        <v>332875063.13999999</v>
      </c>
      <c r="JT94" s="223">
        <v>90053.72</v>
      </c>
      <c r="JU94" s="283">
        <f t="shared" ref="JU94:JU95" si="506">IF((JK94-JK93)&lt;0,"",(JK94-JK93))</f>
        <v>77768.184000000358</v>
      </c>
      <c r="JV94" s="283">
        <f t="shared" ref="JV94:JV95" si="507">IF((JL94-JL93)&lt;0,"",(JL94-JL93))</f>
        <v>8.9409999999916181</v>
      </c>
      <c r="JW94" s="283">
        <f t="shared" ref="JW94" si="508">IF((JM94-JM93)&lt;0,"",(JM94-JM93))</f>
        <v>74076.56400000304</v>
      </c>
      <c r="JX94" s="283">
        <f t="shared" ref="JX94" si="509">IF((JN94-JN93)&lt;0,"",(JN94-JN93))</f>
        <v>12.883999999998196</v>
      </c>
      <c r="JY94" s="284">
        <f t="shared" ref="JY94" si="510">IF((JO94-JO93)&lt;0,"",(JO94-JO93))</f>
        <v>75235.251000002027</v>
      </c>
      <c r="JZ94" s="284">
        <f t="shared" ref="JZ94" si="511">IF((JP94-JP93)&lt;0,"",(JP94-JP93))</f>
        <v>30.270000000018626</v>
      </c>
      <c r="KA94" s="284">
        <f t="shared" ref="KA94" si="512">IF((JQ94-JQ93)&lt;0,"",(JQ94-JQ93))</f>
        <v>59623.916000001132</v>
      </c>
      <c r="KB94" s="284">
        <f t="shared" ref="KB94" si="513">IF((JR94-JR93)&lt;0,"",(JR94-JR93))</f>
        <v>40.543999999994412</v>
      </c>
      <c r="KC94" s="283">
        <f t="shared" ref="KC94" si="514">IF((JS94-JS93)&lt;0,"",(JS94-JS93))</f>
        <v>286457.90399998426</v>
      </c>
      <c r="KD94" s="283">
        <f t="shared" si="469"/>
        <v>105.68099999999686</v>
      </c>
      <c r="KE94" s="291">
        <f t="shared" si="440"/>
        <v>151822.92300000341</v>
      </c>
      <c r="KF94" s="291">
        <f t="shared" si="441"/>
        <v>286352.22299998428</v>
      </c>
      <c r="KG94" s="292">
        <f>(RD[[#This Row],[Sunset Time (POA&lt;20 W/m2)]]-RD[[#This Row],[Sunrise Time (POA&gt;20 W/m2)]])*24</f>
        <v>12.883333333333333</v>
      </c>
      <c r="KH94" s="293">
        <f>RD[[#This Row],[GHI ]]</f>
        <v>6.01</v>
      </c>
      <c r="KI94" s="293">
        <f>RD[[#This Row],[POA]]</f>
        <v>5.64</v>
      </c>
      <c r="KJ94" s="293">
        <f>RD[[#This Row],[AT (°C) 14 Hours]]</f>
        <v>31.5</v>
      </c>
      <c r="KK94" s="293">
        <f>RD[[#This Row],[MT (°C) Gen. Hours]]</f>
        <v>41.46</v>
      </c>
      <c r="KL94" s="293">
        <f>RD[[#This Row],[WS_Avg (m/s) (24 Hours)]]</f>
        <v>2.0099999999999998</v>
      </c>
      <c r="KM94" s="293">
        <f>RD[[#This Row],[WS_Max (m/s)]]</f>
        <v>6.7</v>
      </c>
      <c r="KN94" s="294">
        <f>SUM(RD[[#This Row],[BLK1_INV1]:[BLK8_INV27]])</f>
        <v>287351.88</v>
      </c>
      <c r="KO94" s="95"/>
      <c r="KP94" s="55"/>
      <c r="KQ94" s="90" t="str">
        <f>IFERROR(RD[[#This Row],[WPR_Eac]]/RD[[#This Row],[WPR_Edc]],"")</f>
        <v/>
      </c>
    </row>
    <row r="95" spans="2:303" ht="15" customHeight="1" x14ac:dyDescent="0.25">
      <c r="B95" s="52">
        <v>45836</v>
      </c>
      <c r="C95" s="9">
        <f>YEAR(RD[[#This Row],[Date]])+IF(MONTH(RD[[#This Row],[Date]])&gt;=4,1,0)</f>
        <v>2026</v>
      </c>
      <c r="D95" s="6">
        <f t="shared" si="429"/>
        <v>2025</v>
      </c>
      <c r="E95" s="7"/>
      <c r="F95" s="7"/>
      <c r="G95" s="367" t="str">
        <f>TEXT(RD[[#This Row],[Date]],"mmm-yy")</f>
        <v>Jun-25</v>
      </c>
      <c r="H95" s="6">
        <f t="shared" si="430"/>
        <v>30</v>
      </c>
      <c r="I95" s="9">
        <f>'Basic Data '!$S$2</f>
        <v>66750</v>
      </c>
      <c r="J95" s="10">
        <v>0.22638888888888889</v>
      </c>
      <c r="K95" s="10">
        <v>0.77013888888888893</v>
      </c>
      <c r="L95" s="9">
        <v>1049.2</v>
      </c>
      <c r="M95" s="9">
        <v>1069.3</v>
      </c>
      <c r="N95" s="9">
        <v>961.1</v>
      </c>
      <c r="O95" s="9">
        <v>963.7</v>
      </c>
      <c r="P95" s="9">
        <v>1068</v>
      </c>
      <c r="Q95" s="9">
        <v>984</v>
      </c>
      <c r="R95" s="9">
        <v>990.6</v>
      </c>
      <c r="S95" s="9">
        <v>990.6</v>
      </c>
      <c r="T95" s="9">
        <v>1019.1</v>
      </c>
      <c r="U95" s="9">
        <v>1024.2</v>
      </c>
      <c r="V95" s="9">
        <v>968.8</v>
      </c>
      <c r="W95" s="9">
        <v>997.9</v>
      </c>
      <c r="X95" s="9">
        <v>939.4</v>
      </c>
      <c r="Y95" s="9">
        <v>878.1</v>
      </c>
      <c r="Z95" s="9">
        <v>983.3</v>
      </c>
      <c r="AA95" s="9">
        <v>974.1</v>
      </c>
      <c r="AB95" s="9">
        <v>977.7</v>
      </c>
      <c r="AC95" s="9">
        <v>976.2</v>
      </c>
      <c r="AD95" s="9">
        <v>1052.4000000000001</v>
      </c>
      <c r="AE95" s="9">
        <v>1055.7</v>
      </c>
      <c r="AF95" s="9">
        <v>951.1</v>
      </c>
      <c r="AG95" s="9">
        <v>959.8</v>
      </c>
      <c r="AH95" s="9">
        <v>1026.3</v>
      </c>
      <c r="AI95" s="9">
        <v>1093.9000000000001</v>
      </c>
      <c r="AJ95" s="9">
        <v>1034.5999999999999</v>
      </c>
      <c r="AK95" s="9">
        <v>1048.5</v>
      </c>
      <c r="AL95" s="9">
        <v>1013.2</v>
      </c>
      <c r="AM95" s="9">
        <v>1069.0999999999999</v>
      </c>
      <c r="AN95" s="9">
        <v>1078.9000000000001</v>
      </c>
      <c r="AO95" s="9">
        <v>1063.2</v>
      </c>
      <c r="AP95" s="9">
        <v>1071.0999999999999</v>
      </c>
      <c r="AQ95" s="9">
        <v>1051.2</v>
      </c>
      <c r="AR95" s="9">
        <v>902.1</v>
      </c>
      <c r="AS95" s="9">
        <v>1201.2</v>
      </c>
      <c r="AT95" s="9">
        <v>971.2</v>
      </c>
      <c r="AU95" s="9">
        <v>1050</v>
      </c>
      <c r="AV95" s="9">
        <v>971.2</v>
      </c>
      <c r="AW95" s="9">
        <v>966</v>
      </c>
      <c r="AX95" s="9">
        <v>871</v>
      </c>
      <c r="AY95" s="9">
        <v>974.5</v>
      </c>
      <c r="AZ95" s="9">
        <v>976</v>
      </c>
      <c r="BA95" s="9">
        <v>972.6</v>
      </c>
      <c r="BB95" s="9">
        <v>971.2</v>
      </c>
      <c r="BC95" s="9">
        <v>965.6</v>
      </c>
      <c r="BD95" s="9">
        <v>961.2</v>
      </c>
      <c r="BE95" s="9">
        <v>956.8</v>
      </c>
      <c r="BF95" s="9">
        <v>1030</v>
      </c>
      <c r="BG95" s="9">
        <v>967.8</v>
      </c>
      <c r="BH95" s="9">
        <v>996.8</v>
      </c>
      <c r="BI95" s="9">
        <v>972.9</v>
      </c>
      <c r="BJ95" s="9">
        <v>971.2</v>
      </c>
      <c r="BK95" s="9">
        <v>974.8</v>
      </c>
      <c r="BL95" s="9">
        <v>1093.2</v>
      </c>
      <c r="BM95" s="9">
        <v>1098.7</v>
      </c>
      <c r="BN95" s="9">
        <v>1023</v>
      </c>
      <c r="BO95" s="9">
        <v>1100.0999999999999</v>
      </c>
      <c r="BP95" s="9">
        <v>1103.5999999999999</v>
      </c>
      <c r="BQ95" s="9">
        <v>872.2</v>
      </c>
      <c r="BR95" s="9">
        <v>1076.7</v>
      </c>
      <c r="BS95" s="9">
        <v>1091.2</v>
      </c>
      <c r="BT95" s="9">
        <v>991.7</v>
      </c>
      <c r="BU95" s="9">
        <v>1055</v>
      </c>
      <c r="BV95" s="9">
        <v>985.6</v>
      </c>
      <c r="BW95" s="9">
        <v>902</v>
      </c>
      <c r="BX95" s="9">
        <v>1060.5</v>
      </c>
      <c r="BY95" s="9">
        <v>1041.2</v>
      </c>
      <c r="BZ95" s="9">
        <v>1056.2</v>
      </c>
      <c r="CA95" s="9">
        <v>1042.5999999999999</v>
      </c>
      <c r="CB95" s="9">
        <v>973.6</v>
      </c>
      <c r="CC95" s="9">
        <v>963.7</v>
      </c>
      <c r="CD95" s="9">
        <v>967</v>
      </c>
      <c r="CE95" s="9">
        <v>981.1</v>
      </c>
      <c r="CF95" s="9">
        <v>969.4</v>
      </c>
      <c r="CG95" s="9">
        <v>955.7</v>
      </c>
      <c r="CH95" s="9">
        <v>1072.7</v>
      </c>
      <c r="CI95" s="9">
        <v>1081.0999999999999</v>
      </c>
      <c r="CJ95" s="9">
        <v>1090.7</v>
      </c>
      <c r="CK95" s="9">
        <v>969.8</v>
      </c>
      <c r="CL95" s="9">
        <v>973.3</v>
      </c>
      <c r="CM95" s="9">
        <v>1061</v>
      </c>
      <c r="CN95" s="9">
        <v>957.8</v>
      </c>
      <c r="CO95" s="9">
        <v>971.2</v>
      </c>
      <c r="CP95" s="9">
        <v>979.2</v>
      </c>
      <c r="CQ95" s="9">
        <v>966.9</v>
      </c>
      <c r="CR95" s="9">
        <v>980.2</v>
      </c>
      <c r="CS95" s="9">
        <v>966.2</v>
      </c>
      <c r="CT95" s="9">
        <v>956.2</v>
      </c>
      <c r="CU95" s="9">
        <v>978.3</v>
      </c>
      <c r="CV95" s="9">
        <v>970.4</v>
      </c>
      <c r="CW95" s="9">
        <v>957.2</v>
      </c>
      <c r="CX95" s="9">
        <v>997</v>
      </c>
      <c r="CY95" s="9">
        <v>1018.6</v>
      </c>
      <c r="CZ95" s="9">
        <v>961.2</v>
      </c>
      <c r="DA95" s="9">
        <v>854</v>
      </c>
      <c r="DB95" s="9">
        <v>1100.8</v>
      </c>
      <c r="DC95" s="9">
        <v>974.7</v>
      </c>
      <c r="DD95" s="9">
        <v>0</v>
      </c>
      <c r="DE95" s="9">
        <v>972.1</v>
      </c>
      <c r="DF95" s="9">
        <v>958</v>
      </c>
      <c r="DG95" s="9">
        <v>954.2</v>
      </c>
      <c r="DH95" s="9">
        <v>964.6</v>
      </c>
      <c r="DI95" s="9">
        <v>951.6</v>
      </c>
      <c r="DJ95" s="9">
        <v>959.4</v>
      </c>
      <c r="DK95" s="9">
        <v>950.3</v>
      </c>
      <c r="DL95" s="9">
        <v>1071</v>
      </c>
      <c r="DM95" s="9">
        <v>967</v>
      </c>
      <c r="DN95" s="9">
        <v>1083.7</v>
      </c>
      <c r="DO95" s="9">
        <v>1051.3</v>
      </c>
      <c r="DP95" s="9">
        <v>939.9</v>
      </c>
      <c r="DQ95" s="9">
        <v>1105</v>
      </c>
      <c r="DR95" s="9">
        <v>1032</v>
      </c>
      <c r="DS95" s="9">
        <v>1019.2</v>
      </c>
      <c r="DT95" s="9">
        <v>1057.9000000000001</v>
      </c>
      <c r="DU95" s="9">
        <v>1071.5</v>
      </c>
      <c r="DV95" s="9">
        <v>966.9</v>
      </c>
      <c r="DW95" s="9">
        <v>956.1</v>
      </c>
      <c r="DX95" s="9">
        <v>1061.2</v>
      </c>
      <c r="DY95" s="9">
        <v>1054</v>
      </c>
      <c r="DZ95" s="9">
        <v>1069.9000000000001</v>
      </c>
      <c r="EA95" s="9">
        <v>954.2</v>
      </c>
      <c r="EB95" s="9">
        <v>967.2</v>
      </c>
      <c r="EC95" s="9">
        <v>999</v>
      </c>
      <c r="ED95" s="9">
        <v>1005</v>
      </c>
      <c r="EE95" s="9">
        <v>956</v>
      </c>
      <c r="EF95" s="9">
        <v>941</v>
      </c>
      <c r="EG95" s="9">
        <v>1059</v>
      </c>
      <c r="EH95" s="9">
        <v>956</v>
      </c>
      <c r="EI95" s="9">
        <v>946</v>
      </c>
      <c r="EJ95" s="9">
        <v>1090</v>
      </c>
      <c r="EK95" s="9">
        <v>1080.4000000000001</v>
      </c>
      <c r="EL95" s="9">
        <v>957.1</v>
      </c>
      <c r="EM95" s="9">
        <v>1047.2</v>
      </c>
      <c r="EN95" s="9">
        <v>1062</v>
      </c>
      <c r="EO95" s="9">
        <v>905</v>
      </c>
      <c r="EP95" s="9">
        <v>1066.5</v>
      </c>
      <c r="EQ95" s="9">
        <v>1019.5</v>
      </c>
      <c r="ER95" s="9">
        <v>1065.3</v>
      </c>
      <c r="ES95" s="9">
        <v>1060.3</v>
      </c>
      <c r="ET95" s="9">
        <v>1026.7</v>
      </c>
      <c r="EU95" s="9">
        <v>876.1</v>
      </c>
      <c r="EV95" s="9">
        <v>1049.5</v>
      </c>
      <c r="EW95" s="9">
        <v>1026.7</v>
      </c>
      <c r="EX95" s="9">
        <v>980</v>
      </c>
      <c r="EY95" s="9">
        <v>1074.0999999999999</v>
      </c>
      <c r="EZ95" s="9">
        <v>952.1</v>
      </c>
      <c r="FA95" s="9">
        <v>1052.3</v>
      </c>
      <c r="FB95" s="9">
        <v>964</v>
      </c>
      <c r="FC95" s="9">
        <v>903.2</v>
      </c>
      <c r="FD95" s="9">
        <v>1045.5</v>
      </c>
      <c r="FE95" s="9">
        <v>1057.4000000000001</v>
      </c>
      <c r="FF95" s="9">
        <v>1056.8</v>
      </c>
      <c r="FG95" s="9">
        <v>957.8</v>
      </c>
      <c r="FH95" s="9">
        <v>1074.2</v>
      </c>
      <c r="FI95" s="9">
        <v>948.7</v>
      </c>
      <c r="FJ95" s="9">
        <v>945.7</v>
      </c>
      <c r="FK95" s="9">
        <v>950</v>
      </c>
      <c r="FL95" s="9">
        <v>967.6</v>
      </c>
      <c r="FM95" s="9">
        <v>987.5</v>
      </c>
      <c r="FN95" s="9">
        <v>967.9</v>
      </c>
      <c r="FO95" s="9">
        <v>940.5</v>
      </c>
      <c r="FP95" s="9">
        <v>1082.9000000000001</v>
      </c>
      <c r="FQ95" s="9">
        <v>928</v>
      </c>
      <c r="FR95" s="9">
        <v>1050.5</v>
      </c>
      <c r="FS95" s="9">
        <v>1044.5</v>
      </c>
      <c r="FT95" s="9">
        <v>1080.9000000000001</v>
      </c>
      <c r="FU95" s="9">
        <v>983.9</v>
      </c>
      <c r="FV95" s="9">
        <v>942.8</v>
      </c>
      <c r="FW95" s="9">
        <v>1045.0999999999999</v>
      </c>
      <c r="FX95" s="9">
        <v>934.3</v>
      </c>
      <c r="FY95" s="9">
        <v>960</v>
      </c>
      <c r="FZ95" s="9">
        <v>989.2</v>
      </c>
      <c r="GA95" s="9">
        <v>969.4</v>
      </c>
      <c r="GB95" s="9">
        <v>1052.5999999999999</v>
      </c>
      <c r="GC95" s="9">
        <v>893.2</v>
      </c>
      <c r="GD95" s="9">
        <v>1068.2</v>
      </c>
      <c r="GE95" s="9">
        <v>959.2</v>
      </c>
      <c r="GF95" s="9">
        <v>975</v>
      </c>
      <c r="GG95" s="9">
        <v>964.8</v>
      </c>
      <c r="GH95" s="9">
        <v>1071.4000000000001</v>
      </c>
      <c r="GI95" s="9">
        <v>956</v>
      </c>
      <c r="GJ95" s="9">
        <v>1012</v>
      </c>
      <c r="GK95" s="9">
        <v>1056.2</v>
      </c>
      <c r="GL95" s="9">
        <v>1050.2</v>
      </c>
      <c r="GM95" s="9">
        <v>1010</v>
      </c>
      <c r="GN95" s="9">
        <v>1021.1</v>
      </c>
      <c r="GO95" s="9">
        <v>1081.5999999999999</v>
      </c>
      <c r="GP95" s="9">
        <v>978</v>
      </c>
      <c r="GQ95" s="9">
        <v>990</v>
      </c>
      <c r="GR95" s="9">
        <v>962.9</v>
      </c>
      <c r="GS95" s="9">
        <v>932.5</v>
      </c>
      <c r="GT95" s="9">
        <v>945.4</v>
      </c>
      <c r="GU95" s="9">
        <v>967.1</v>
      </c>
      <c r="GV95" s="9">
        <v>959.2</v>
      </c>
      <c r="GW95" s="9">
        <v>971.5</v>
      </c>
      <c r="GX95" s="9">
        <v>955.9</v>
      </c>
      <c r="GY95" s="9">
        <v>945</v>
      </c>
      <c r="GZ95" s="9">
        <v>795.5</v>
      </c>
      <c r="HA95" s="9">
        <v>949.5</v>
      </c>
      <c r="HB95" s="9"/>
      <c r="HC95" s="9"/>
      <c r="HD95" s="9">
        <v>0</v>
      </c>
      <c r="HE95" s="9">
        <v>681.2</v>
      </c>
      <c r="HF95" s="9">
        <v>958.8</v>
      </c>
      <c r="HG95" s="9"/>
      <c r="HH95" s="9">
        <v>1034</v>
      </c>
      <c r="HI95" s="9">
        <v>971.1</v>
      </c>
      <c r="HJ95" s="9">
        <v>956</v>
      </c>
      <c r="HK95" s="9">
        <v>959.1</v>
      </c>
      <c r="HL95" s="9">
        <v>857.8</v>
      </c>
      <c r="HM95" s="9">
        <v>981.2</v>
      </c>
      <c r="HN95" s="9">
        <v>966.3</v>
      </c>
      <c r="HO95" s="9">
        <v>974.1</v>
      </c>
      <c r="HP95" s="9">
        <v>946.8</v>
      </c>
      <c r="HQ95" s="9">
        <v>956.8</v>
      </c>
      <c r="HR95" s="9">
        <v>948.3</v>
      </c>
      <c r="HS95" s="9">
        <v>949</v>
      </c>
      <c r="HT95" s="9">
        <v>1062.5</v>
      </c>
      <c r="HU95" s="9">
        <v>1143</v>
      </c>
      <c r="HV95" s="9">
        <v>851</v>
      </c>
      <c r="HW95" s="9">
        <v>841</v>
      </c>
      <c r="HX95" s="9">
        <v>721</v>
      </c>
      <c r="HY95" s="9">
        <v>590</v>
      </c>
      <c r="HZ95" s="9">
        <v>741.7</v>
      </c>
      <c r="IA95" s="9">
        <v>849.6</v>
      </c>
      <c r="IB95" s="9">
        <v>1006.4</v>
      </c>
      <c r="IC95" s="9">
        <v>1077.4000000000001</v>
      </c>
      <c r="ID95" s="9">
        <v>1014.5</v>
      </c>
      <c r="IE95" s="9">
        <v>1015.6</v>
      </c>
      <c r="IF95" s="9">
        <v>1021.5</v>
      </c>
      <c r="IG95" s="9">
        <v>1034.5</v>
      </c>
      <c r="IH95" s="9">
        <v>1068.2</v>
      </c>
      <c r="II95" s="9">
        <v>1078.0999999999999</v>
      </c>
      <c r="IJ95" s="9">
        <v>931.1</v>
      </c>
      <c r="IK95" s="9">
        <v>1012.2</v>
      </c>
      <c r="IL95" s="9">
        <v>909</v>
      </c>
      <c r="IM95" s="9">
        <v>948.6</v>
      </c>
      <c r="IN95" s="9">
        <v>878.9</v>
      </c>
      <c r="IO95" s="9"/>
      <c r="IP95" s="9">
        <v>1345</v>
      </c>
      <c r="IQ95" s="9">
        <v>1021</v>
      </c>
      <c r="IR95" s="9">
        <v>362.5</v>
      </c>
      <c r="IS95" s="9">
        <v>934</v>
      </c>
      <c r="IT95" s="9">
        <v>912</v>
      </c>
      <c r="IU95" s="9"/>
      <c r="IV95" s="9"/>
      <c r="IW95" s="9">
        <v>901</v>
      </c>
      <c r="IX95" s="9">
        <v>956</v>
      </c>
      <c r="IY95" s="9">
        <v>978</v>
      </c>
      <c r="IZ95" s="9">
        <v>907.7</v>
      </c>
      <c r="JA95" s="9">
        <v>871</v>
      </c>
      <c r="JB95" s="11">
        <v>30.91</v>
      </c>
      <c r="JC95" s="11">
        <v>41.13</v>
      </c>
      <c r="JD95" s="11">
        <v>1.51</v>
      </c>
      <c r="JE95" s="11">
        <v>9.6999999999999993</v>
      </c>
      <c r="JF95" s="11"/>
      <c r="JG95" s="11">
        <v>5.07</v>
      </c>
      <c r="JH95" s="13">
        <v>4.6500000000000004</v>
      </c>
      <c r="JI95" s="12"/>
      <c r="JJ95" s="277"/>
      <c r="JK95" s="9">
        <v>87963945.817000002</v>
      </c>
      <c r="JL95" s="260">
        <v>283546.761</v>
      </c>
      <c r="JM95" s="9">
        <v>60876406.428999998</v>
      </c>
      <c r="JN95" s="260">
        <v>63285.563999999998</v>
      </c>
      <c r="JO95" s="260">
        <v>88665002.113999993</v>
      </c>
      <c r="JP95" s="260">
        <v>188949.818</v>
      </c>
      <c r="JQ95" s="9">
        <v>64504361.702</v>
      </c>
      <c r="JR95" s="260">
        <v>58402.423999999999</v>
      </c>
      <c r="JS95" s="11">
        <v>333111507.54500002</v>
      </c>
      <c r="JT95" s="289">
        <v>90159.400999999998</v>
      </c>
      <c r="JU95" s="283">
        <f t="shared" si="506"/>
        <v>65054.564999997616</v>
      </c>
      <c r="JV95" s="283">
        <f t="shared" si="507"/>
        <v>8.9409999999916181</v>
      </c>
      <c r="JW95" s="283">
        <f t="shared" ref="JW95" si="515">IF((JM95-JM94)&lt;0,"",(JM95-JM94))</f>
        <v>60043.655999995768</v>
      </c>
      <c r="JX95" s="283">
        <f t="shared" ref="JX95" si="516">IF((JN95-JN94)&lt;0,"",(JN95-JN94))</f>
        <v>12.883999999998196</v>
      </c>
      <c r="JY95" s="284">
        <f t="shared" ref="JY95" si="517">IF((JO95-JO94)&lt;0,"",(JO95-JO94))</f>
        <v>63542.92199999094</v>
      </c>
      <c r="JZ95" s="284">
        <f t="shared" ref="JZ95" si="518">IF((JP95-JP94)&lt;0,"",(JP95-JP94))</f>
        <v>30.269999999989523</v>
      </c>
      <c r="KA95" s="284">
        <f t="shared" ref="KA95" si="519">IF((JQ95-JQ94)&lt;0,"",(JQ95-JQ94))</f>
        <v>48052.526000000536</v>
      </c>
      <c r="KB95" s="284">
        <f t="shared" ref="KB95" si="520">IF((JR95-JR94)&lt;0,"",(JR95-JR94))</f>
        <v>40.544000000001688</v>
      </c>
      <c r="KC95" s="283">
        <f t="shared" ref="KC95" si="521">IF((JS95-JS94)&lt;0,"",(JS95-JS94))</f>
        <v>236444.40500003099</v>
      </c>
      <c r="KD95" s="283">
        <f t="shared" ref="KD95" si="522">IF((JT95-JT94)&lt;0,"",(JT95-JT94))</f>
        <v>105.68099999999686</v>
      </c>
      <c r="KE95" s="291">
        <f t="shared" si="440"/>
        <v>125076.3959999934</v>
      </c>
      <c r="KF95" s="291">
        <f t="shared" si="441"/>
        <v>236338.72400003101</v>
      </c>
      <c r="KG95" s="292">
        <f>(RD[[#This Row],[Sunset Time (POA&lt;20 W/m2)]]-RD[[#This Row],[Sunrise Time (POA&gt;20 W/m2)]])*24</f>
        <v>13.05</v>
      </c>
      <c r="KH95" s="293">
        <f>RD[[#This Row],[GHI ]]</f>
        <v>5.07</v>
      </c>
      <c r="KI95" s="293">
        <f>RD[[#This Row],[POA]]</f>
        <v>4.6500000000000004</v>
      </c>
      <c r="KJ95" s="293">
        <f>RD[[#This Row],[AT (°C) 14 Hours]]</f>
        <v>30.91</v>
      </c>
      <c r="KK95" s="293">
        <f>RD[[#This Row],[MT (°C) Gen. Hours]]</f>
        <v>41.13</v>
      </c>
      <c r="KL95" s="293">
        <f>RD[[#This Row],[WS_Avg (m/s) (24 Hours)]]</f>
        <v>1.51</v>
      </c>
      <c r="KM95" s="293">
        <f>RD[[#This Row],[WS_Max (m/s)]]</f>
        <v>9.6999999999999993</v>
      </c>
      <c r="KN95" s="294">
        <f>SUM(RD[[#This Row],[BLK1_INV1]:[BLK8_INV27]])</f>
        <v>238197.70000000004</v>
      </c>
      <c r="KO95" s="95"/>
      <c r="KP95" s="55"/>
      <c r="KQ95" s="90" t="str">
        <f>IFERROR(RD[[#This Row],[WPR_Eac]]/RD[[#This Row],[WPR_Edc]],"")</f>
        <v/>
      </c>
    </row>
    <row r="96" spans="2:303" ht="15" customHeight="1" x14ac:dyDescent="0.25">
      <c r="B96" s="52">
        <v>45837</v>
      </c>
      <c r="C96" s="9">
        <f>YEAR(RD[[#This Row],[Date]])+IF(MONTH(RD[[#This Row],[Date]])&gt;=4,1,0)</f>
        <v>2026</v>
      </c>
      <c r="D96" s="6">
        <f t="shared" si="429"/>
        <v>2025</v>
      </c>
      <c r="E96" s="7"/>
      <c r="F96" s="7"/>
      <c r="G96" s="367" t="str">
        <f>TEXT(RD[[#This Row],[Date]],"mmm-yy")</f>
        <v>Jun-25</v>
      </c>
      <c r="H96" s="6">
        <f t="shared" si="430"/>
        <v>30</v>
      </c>
      <c r="I96" s="9">
        <f>'Basic Data '!$S$2</f>
        <v>66750</v>
      </c>
      <c r="J96" s="10">
        <v>0.22083333333333333</v>
      </c>
      <c r="K96" s="10">
        <v>0.77013888888888893</v>
      </c>
      <c r="L96" s="9">
        <v>913</v>
      </c>
      <c r="M96" s="9">
        <v>932</v>
      </c>
      <c r="N96" s="9">
        <v>862</v>
      </c>
      <c r="O96" s="9">
        <v>859</v>
      </c>
      <c r="P96" s="9">
        <v>928</v>
      </c>
      <c r="Q96" s="9">
        <v>857</v>
      </c>
      <c r="R96" s="9">
        <v>861</v>
      </c>
      <c r="S96" s="9">
        <v>864</v>
      </c>
      <c r="T96" s="9">
        <v>892</v>
      </c>
      <c r="U96" s="9">
        <v>896</v>
      </c>
      <c r="V96" s="9">
        <v>856</v>
      </c>
      <c r="W96" s="9">
        <v>839.8</v>
      </c>
      <c r="X96" s="9">
        <v>839</v>
      </c>
      <c r="Y96" s="9">
        <v>807</v>
      </c>
      <c r="Z96" s="9">
        <v>859</v>
      </c>
      <c r="AA96" s="9">
        <v>851.2</v>
      </c>
      <c r="AB96" s="9">
        <v>852</v>
      </c>
      <c r="AC96" s="9">
        <v>851</v>
      </c>
      <c r="AD96" s="9">
        <v>925</v>
      </c>
      <c r="AE96" s="9">
        <v>928</v>
      </c>
      <c r="AF96" s="9">
        <v>849</v>
      </c>
      <c r="AG96" s="9">
        <v>862</v>
      </c>
      <c r="AH96" s="9">
        <v>908</v>
      </c>
      <c r="AI96" s="9">
        <v>969</v>
      </c>
      <c r="AJ96" s="9">
        <v>901</v>
      </c>
      <c r="AK96" s="9">
        <v>929</v>
      </c>
      <c r="AL96" s="9">
        <v>902</v>
      </c>
      <c r="AM96" s="9">
        <v>958</v>
      </c>
      <c r="AN96" s="9">
        <v>966</v>
      </c>
      <c r="AO96" s="9">
        <v>944.2</v>
      </c>
      <c r="AP96" s="9">
        <v>952</v>
      </c>
      <c r="AQ96" s="9">
        <v>917.2</v>
      </c>
      <c r="AR96" s="9">
        <v>801</v>
      </c>
      <c r="AS96" s="9">
        <v>1072.2</v>
      </c>
      <c r="AT96" s="9">
        <v>849</v>
      </c>
      <c r="AU96" s="9">
        <v>958</v>
      </c>
      <c r="AV96" s="9">
        <v>856</v>
      </c>
      <c r="AW96" s="9">
        <v>829</v>
      </c>
      <c r="AX96" s="9">
        <v>844</v>
      </c>
      <c r="AY96" s="9">
        <v>860</v>
      </c>
      <c r="AZ96" s="9">
        <v>836</v>
      </c>
      <c r="BA96" s="9">
        <v>834.1</v>
      </c>
      <c r="BB96" s="9">
        <v>846</v>
      </c>
      <c r="BC96" s="9">
        <v>819.2</v>
      </c>
      <c r="BD96" s="9">
        <v>853</v>
      </c>
      <c r="BE96" s="9">
        <v>856</v>
      </c>
      <c r="BF96" s="9">
        <v>901</v>
      </c>
      <c r="BG96" s="9">
        <v>846</v>
      </c>
      <c r="BH96" s="9">
        <v>882</v>
      </c>
      <c r="BI96" s="9">
        <v>861.2</v>
      </c>
      <c r="BJ96" s="9">
        <v>850</v>
      </c>
      <c r="BK96" s="9">
        <v>854</v>
      </c>
      <c r="BL96" s="9">
        <v>973</v>
      </c>
      <c r="BM96" s="9">
        <v>961</v>
      </c>
      <c r="BN96" s="9">
        <v>914.7</v>
      </c>
      <c r="BO96" s="9">
        <v>954.5</v>
      </c>
      <c r="BP96" s="9">
        <v>961.2</v>
      </c>
      <c r="BQ96" s="9">
        <v>846.7</v>
      </c>
      <c r="BR96" s="9">
        <v>960</v>
      </c>
      <c r="BS96" s="9">
        <v>933.4</v>
      </c>
      <c r="BT96" s="9">
        <v>856</v>
      </c>
      <c r="BU96" s="9">
        <v>972</v>
      </c>
      <c r="BV96" s="9">
        <v>865</v>
      </c>
      <c r="BW96" s="9">
        <v>788</v>
      </c>
      <c r="BX96" s="9">
        <v>923</v>
      </c>
      <c r="BY96" s="9">
        <v>919</v>
      </c>
      <c r="BZ96" s="9">
        <v>928</v>
      </c>
      <c r="CA96" s="9">
        <v>894</v>
      </c>
      <c r="CB96" s="9">
        <v>845</v>
      </c>
      <c r="CC96" s="9">
        <v>848</v>
      </c>
      <c r="CD96" s="9">
        <v>852</v>
      </c>
      <c r="CE96" s="9">
        <v>838</v>
      </c>
      <c r="CF96" s="9">
        <v>839</v>
      </c>
      <c r="CG96" s="9">
        <v>847</v>
      </c>
      <c r="CH96" s="9">
        <v>965</v>
      </c>
      <c r="CI96" s="9">
        <v>953</v>
      </c>
      <c r="CJ96" s="9">
        <v>967</v>
      </c>
      <c r="CK96" s="9">
        <v>849</v>
      </c>
      <c r="CL96" s="9">
        <v>845</v>
      </c>
      <c r="CM96" s="9">
        <v>930</v>
      </c>
      <c r="CN96" s="9">
        <v>854</v>
      </c>
      <c r="CO96" s="9">
        <v>860</v>
      </c>
      <c r="CP96" s="9">
        <v>846</v>
      </c>
      <c r="CQ96" s="9">
        <v>852</v>
      </c>
      <c r="CR96" s="9">
        <v>838</v>
      </c>
      <c r="CS96" s="9">
        <v>848</v>
      </c>
      <c r="CT96" s="9">
        <v>840</v>
      </c>
      <c r="CU96" s="9">
        <v>843</v>
      </c>
      <c r="CV96" s="9">
        <v>839.8</v>
      </c>
      <c r="CW96" s="9">
        <v>834.2</v>
      </c>
      <c r="CX96" s="9">
        <v>879.2</v>
      </c>
      <c r="CY96" s="9">
        <v>901</v>
      </c>
      <c r="CZ96" s="9">
        <v>858</v>
      </c>
      <c r="DA96" s="9">
        <v>831.2</v>
      </c>
      <c r="DB96" s="9">
        <v>948</v>
      </c>
      <c r="DC96" s="9">
        <v>844</v>
      </c>
      <c r="DD96" s="9">
        <v>0</v>
      </c>
      <c r="DE96" s="9">
        <v>847</v>
      </c>
      <c r="DF96" s="9">
        <v>852</v>
      </c>
      <c r="DG96" s="9">
        <v>839</v>
      </c>
      <c r="DH96" s="9">
        <v>833</v>
      </c>
      <c r="DI96" s="9">
        <v>855</v>
      </c>
      <c r="DJ96" s="9">
        <v>836</v>
      </c>
      <c r="DK96" s="9">
        <v>852</v>
      </c>
      <c r="DL96" s="9">
        <v>965</v>
      </c>
      <c r="DM96" s="9">
        <v>841</v>
      </c>
      <c r="DN96" s="9">
        <v>983</v>
      </c>
      <c r="DO96" s="9">
        <v>952.6</v>
      </c>
      <c r="DP96" s="9">
        <v>843</v>
      </c>
      <c r="DQ96" s="9">
        <v>957</v>
      </c>
      <c r="DR96" s="9">
        <v>921</v>
      </c>
      <c r="DS96" s="9">
        <v>921</v>
      </c>
      <c r="DT96" s="9">
        <v>934.3</v>
      </c>
      <c r="DU96" s="9">
        <v>927.7</v>
      </c>
      <c r="DV96" s="9">
        <v>860</v>
      </c>
      <c r="DW96" s="9">
        <v>836.8</v>
      </c>
      <c r="DX96" s="9">
        <v>945.2</v>
      </c>
      <c r="DY96" s="9">
        <v>931</v>
      </c>
      <c r="DZ96" s="9">
        <v>951</v>
      </c>
      <c r="EA96" s="9">
        <v>853</v>
      </c>
      <c r="EB96" s="9">
        <v>834.7</v>
      </c>
      <c r="EC96" s="9">
        <v>899</v>
      </c>
      <c r="ED96" s="9">
        <v>883</v>
      </c>
      <c r="EE96" s="9">
        <v>854</v>
      </c>
      <c r="EF96" s="9">
        <v>828.8</v>
      </c>
      <c r="EG96" s="9">
        <v>958</v>
      </c>
      <c r="EH96" s="9">
        <v>832.3</v>
      </c>
      <c r="EI96" s="9">
        <v>839.7</v>
      </c>
      <c r="EJ96" s="9">
        <v>932.5</v>
      </c>
      <c r="EK96" s="9">
        <v>955.7</v>
      </c>
      <c r="EL96" s="9">
        <v>902.7</v>
      </c>
      <c r="EM96" s="9">
        <v>916.6</v>
      </c>
      <c r="EN96" s="9">
        <v>922.6</v>
      </c>
      <c r="EO96" s="9">
        <v>766</v>
      </c>
      <c r="EP96" s="9">
        <v>899</v>
      </c>
      <c r="EQ96" s="9">
        <v>900.3</v>
      </c>
      <c r="ER96" s="9">
        <v>892.8</v>
      </c>
      <c r="ES96" s="9">
        <v>903</v>
      </c>
      <c r="ET96" s="9">
        <v>871</v>
      </c>
      <c r="EU96" s="9">
        <v>861</v>
      </c>
      <c r="EV96" s="9">
        <v>919.1</v>
      </c>
      <c r="EW96" s="9">
        <v>905</v>
      </c>
      <c r="EX96" s="9">
        <v>846</v>
      </c>
      <c r="EY96" s="9">
        <v>942.1</v>
      </c>
      <c r="EZ96" s="9">
        <v>831.1</v>
      </c>
      <c r="FA96" s="9">
        <v>925.5</v>
      </c>
      <c r="FB96" s="9">
        <v>848.1</v>
      </c>
      <c r="FC96" s="9">
        <v>788</v>
      </c>
      <c r="FD96" s="9">
        <v>921</v>
      </c>
      <c r="FE96" s="9">
        <v>944.2</v>
      </c>
      <c r="FF96" s="9">
        <v>934.1</v>
      </c>
      <c r="FG96" s="9">
        <v>865</v>
      </c>
      <c r="FH96" s="9">
        <v>951.2</v>
      </c>
      <c r="FI96" s="9">
        <v>845</v>
      </c>
      <c r="FJ96" s="9">
        <v>852.3</v>
      </c>
      <c r="FK96" s="9">
        <v>840.8</v>
      </c>
      <c r="FL96" s="9">
        <v>856</v>
      </c>
      <c r="FM96" s="9">
        <v>871.2</v>
      </c>
      <c r="FN96" s="9">
        <v>848</v>
      </c>
      <c r="FO96" s="9">
        <v>828</v>
      </c>
      <c r="FP96" s="9">
        <v>944</v>
      </c>
      <c r="FQ96" s="9">
        <v>818</v>
      </c>
      <c r="FR96" s="9">
        <v>935</v>
      </c>
      <c r="FS96" s="9">
        <v>922</v>
      </c>
      <c r="FT96" s="9">
        <v>952</v>
      </c>
      <c r="FU96" s="9">
        <v>869</v>
      </c>
      <c r="FV96" s="9">
        <v>826</v>
      </c>
      <c r="FW96" s="9">
        <v>896</v>
      </c>
      <c r="FX96" s="9">
        <v>835.4</v>
      </c>
      <c r="FY96" s="9">
        <v>851.2</v>
      </c>
      <c r="FZ96" s="9">
        <v>864</v>
      </c>
      <c r="GA96" s="9">
        <v>865.9</v>
      </c>
      <c r="GB96" s="9">
        <v>939</v>
      </c>
      <c r="GC96" s="9">
        <v>820</v>
      </c>
      <c r="GD96" s="9">
        <v>929.7</v>
      </c>
      <c r="GE96" s="9">
        <v>834</v>
      </c>
      <c r="GF96" s="9">
        <v>846</v>
      </c>
      <c r="GG96" s="9">
        <v>824</v>
      </c>
      <c r="GH96" s="9">
        <v>926</v>
      </c>
      <c r="GI96" s="9">
        <v>845</v>
      </c>
      <c r="GJ96" s="9">
        <v>912.7</v>
      </c>
      <c r="GK96" s="9">
        <v>931</v>
      </c>
      <c r="GL96" s="9">
        <v>927</v>
      </c>
      <c r="GM96" s="9">
        <v>872</v>
      </c>
      <c r="GN96" s="9">
        <v>892.7</v>
      </c>
      <c r="GO96" s="9">
        <v>952</v>
      </c>
      <c r="GP96" s="9">
        <v>871.2</v>
      </c>
      <c r="GQ96" s="9">
        <v>865.7</v>
      </c>
      <c r="GR96" s="9">
        <v>864.2</v>
      </c>
      <c r="GS96" s="9">
        <v>902</v>
      </c>
      <c r="GT96" s="9">
        <v>821</v>
      </c>
      <c r="GU96" s="9">
        <v>834.2</v>
      </c>
      <c r="GV96" s="9">
        <v>842.7</v>
      </c>
      <c r="GW96" s="9">
        <v>835</v>
      </c>
      <c r="GX96" s="9">
        <v>834</v>
      </c>
      <c r="GY96" s="9">
        <v>829</v>
      </c>
      <c r="GZ96" s="9">
        <v>689</v>
      </c>
      <c r="HA96" s="9">
        <v>823</v>
      </c>
      <c r="HB96" s="9"/>
      <c r="HC96" s="9"/>
      <c r="HD96" s="9">
        <v>0</v>
      </c>
      <c r="HE96" s="9">
        <v>601</v>
      </c>
      <c r="HF96" s="9">
        <v>856</v>
      </c>
      <c r="HG96" s="9"/>
      <c r="HH96" s="9">
        <v>926.5</v>
      </c>
      <c r="HI96" s="9">
        <v>849</v>
      </c>
      <c r="HJ96" s="9">
        <v>845.7</v>
      </c>
      <c r="HK96" s="9">
        <v>839.7</v>
      </c>
      <c r="HL96" s="9">
        <v>840.9</v>
      </c>
      <c r="HM96" s="9">
        <v>843.7</v>
      </c>
      <c r="HN96" s="9">
        <v>836</v>
      </c>
      <c r="HO96" s="9">
        <v>848.7</v>
      </c>
      <c r="HP96" s="9">
        <v>839.7</v>
      </c>
      <c r="HQ96" s="9">
        <v>846.5</v>
      </c>
      <c r="HR96" s="9">
        <v>852</v>
      </c>
      <c r="HS96" s="9">
        <v>832.2</v>
      </c>
      <c r="HT96" s="9">
        <v>961.1</v>
      </c>
      <c r="HU96" s="9">
        <v>1001</v>
      </c>
      <c r="HV96" s="9">
        <v>752.2</v>
      </c>
      <c r="HW96" s="9">
        <v>739</v>
      </c>
      <c r="HX96" s="9">
        <v>629</v>
      </c>
      <c r="HY96" s="9">
        <v>534</v>
      </c>
      <c r="HZ96" s="9">
        <v>645</v>
      </c>
      <c r="IA96" s="9">
        <v>750</v>
      </c>
      <c r="IB96" s="9">
        <v>865</v>
      </c>
      <c r="IC96" s="9">
        <v>958</v>
      </c>
      <c r="ID96" s="9">
        <v>901</v>
      </c>
      <c r="IE96" s="9">
        <v>900</v>
      </c>
      <c r="IF96" s="9">
        <v>898</v>
      </c>
      <c r="IG96" s="9">
        <v>934</v>
      </c>
      <c r="IH96" s="9">
        <v>955</v>
      </c>
      <c r="II96" s="9">
        <v>937.4</v>
      </c>
      <c r="IJ96" s="9">
        <v>801</v>
      </c>
      <c r="IK96" s="9">
        <v>866</v>
      </c>
      <c r="IL96" s="9">
        <v>809</v>
      </c>
      <c r="IM96" s="9">
        <v>842.3</v>
      </c>
      <c r="IN96" s="9">
        <v>782.2</v>
      </c>
      <c r="IO96" s="9"/>
      <c r="IP96" s="9">
        <v>1171.2</v>
      </c>
      <c r="IQ96" s="9">
        <v>909.6</v>
      </c>
      <c r="IR96" s="9">
        <v>322</v>
      </c>
      <c r="IS96" s="9">
        <v>835</v>
      </c>
      <c r="IT96" s="9">
        <v>803</v>
      </c>
      <c r="IU96" s="9"/>
      <c r="IV96" s="9"/>
      <c r="IW96" s="9">
        <v>788</v>
      </c>
      <c r="IX96" s="9">
        <v>851</v>
      </c>
      <c r="IY96" s="9">
        <v>845</v>
      </c>
      <c r="IZ96" s="9">
        <v>809</v>
      </c>
      <c r="JA96" s="9">
        <v>759.7</v>
      </c>
      <c r="JB96" s="11">
        <v>30.09</v>
      </c>
      <c r="JC96" s="11">
        <v>37.22</v>
      </c>
      <c r="JD96" s="11">
        <v>2.4300000000000002</v>
      </c>
      <c r="JE96" s="11">
        <v>9.3000000000000007</v>
      </c>
      <c r="JF96" s="11"/>
      <c r="JG96" s="11">
        <v>4.1900000000000004</v>
      </c>
      <c r="JH96" s="13">
        <v>3.89</v>
      </c>
      <c r="JI96" s="12"/>
      <c r="JJ96" s="277"/>
      <c r="JK96" s="9">
        <v>88020668.840000004</v>
      </c>
      <c r="JL96" s="215">
        <v>283555.70199999999</v>
      </c>
      <c r="JM96" s="9">
        <v>60929965.520999998</v>
      </c>
      <c r="JN96" s="215">
        <v>63298.447999999997</v>
      </c>
      <c r="JO96" s="9">
        <v>88720828.316</v>
      </c>
      <c r="JP96" s="215">
        <v>188980.08799999999</v>
      </c>
      <c r="JQ96" s="9">
        <v>64547622.07</v>
      </c>
      <c r="JR96" s="215">
        <v>58442.968000000001</v>
      </c>
      <c r="JS96" s="11">
        <v>333320660.333</v>
      </c>
      <c r="JT96" s="223">
        <v>90265.081999999995</v>
      </c>
      <c r="JU96" s="283">
        <f t="shared" ref="JU96" si="523">IF((JK96-JK95)&lt;0,"",(JK96-JK95))</f>
        <v>56723.023000001907</v>
      </c>
      <c r="JV96" s="283">
        <f t="shared" ref="JV96" si="524">IF((JL96-JL95)&lt;0,"",(JL96-JL95))</f>
        <v>8.9409999999916181</v>
      </c>
      <c r="JW96" s="283">
        <f t="shared" ref="JW96" si="525">IF((JM96-JM95)&lt;0,"",(JM96-JM95))</f>
        <v>53559.092000000179</v>
      </c>
      <c r="JX96" s="283">
        <f t="shared" ref="JX96" si="526">IF((JN96-JN95)&lt;0,"",(JN96-JN95))</f>
        <v>12.883999999998196</v>
      </c>
      <c r="JY96" s="284">
        <f t="shared" ref="JY96" si="527">IF((JO96-JO95)&lt;0,"",(JO96-JO95))</f>
        <v>55826.202000007033</v>
      </c>
      <c r="JZ96" s="284">
        <f t="shared" ref="JZ96" si="528">IF((JP96-JP95)&lt;0,"",(JP96-JP95))</f>
        <v>30.269999999989523</v>
      </c>
      <c r="KA96" s="284">
        <f t="shared" ref="KA96" si="529">IF((JQ96-JQ95)&lt;0,"",(JQ96-JQ95))</f>
        <v>43260.368000000715</v>
      </c>
      <c r="KB96" s="284">
        <f t="shared" ref="KB96" si="530">IF((JR96-JR95)&lt;0,"",(JR96-JR95))</f>
        <v>40.544000000001688</v>
      </c>
      <c r="KC96" s="283">
        <f t="shared" ref="KC96" si="531">IF((JS96-JS95)&lt;0,"",(JS96-JS95))</f>
        <v>209152.7879999876</v>
      </c>
      <c r="KD96" s="283">
        <f t="shared" ref="KD96" si="532">IF((JT96-JT95)&lt;0,"",(JT96-JT95))</f>
        <v>105.68099999999686</v>
      </c>
      <c r="KE96" s="291">
        <f t="shared" si="440"/>
        <v>110260.2900000021</v>
      </c>
      <c r="KF96" s="291">
        <f t="shared" si="441"/>
        <v>209047.10699998762</v>
      </c>
      <c r="KG96" s="292">
        <f>(RD[[#This Row],[Sunset Time (POA&lt;20 W/m2)]]-RD[[#This Row],[Sunrise Time (POA&gt;20 W/m2)]])*24</f>
        <v>13.183333333333334</v>
      </c>
      <c r="KH96" s="293">
        <f>RD[[#This Row],[GHI ]]</f>
        <v>4.1900000000000004</v>
      </c>
      <c r="KI96" s="293">
        <f>RD[[#This Row],[POA]]</f>
        <v>3.89</v>
      </c>
      <c r="KJ96" s="293">
        <f>RD[[#This Row],[AT (°C) 14 Hours]]</f>
        <v>30.09</v>
      </c>
      <c r="KK96" s="293">
        <f>RD[[#This Row],[MT (°C) Gen. Hours]]</f>
        <v>37.22</v>
      </c>
      <c r="KL96" s="293">
        <f>RD[[#This Row],[WS_Avg (m/s) (24 Hours)]]</f>
        <v>2.4300000000000002</v>
      </c>
      <c r="KM96" s="293">
        <f>RD[[#This Row],[WS_Max (m/s)]]</f>
        <v>9.3000000000000007</v>
      </c>
      <c r="KN96" s="294">
        <f>SUM(RD[[#This Row],[BLK1_INV1]:[BLK8_INV27]])</f>
        <v>210024.20000000022</v>
      </c>
      <c r="KO96" s="95"/>
      <c r="KP96" s="55"/>
      <c r="KQ96" s="90" t="str">
        <f>IFERROR(RD[[#This Row],[WPR_Eac]]/RD[[#This Row],[WPR_Edc]],"")</f>
        <v/>
      </c>
    </row>
    <row r="97" spans="2:303" ht="15" customHeight="1" x14ac:dyDescent="0.25">
      <c r="B97" s="52">
        <v>45838</v>
      </c>
      <c r="C97" s="9">
        <f>YEAR(RD[[#This Row],[Date]])+IF(MONTH(RD[[#This Row],[Date]])&gt;=4,1,0)</f>
        <v>2026</v>
      </c>
      <c r="D97" s="6">
        <f t="shared" si="429"/>
        <v>2025</v>
      </c>
      <c r="E97" s="7"/>
      <c r="F97" s="7"/>
      <c r="G97" s="367" t="str">
        <f>TEXT(RD[[#This Row],[Date]],"mmm-yy")</f>
        <v>Jun-25</v>
      </c>
      <c r="H97" s="6">
        <f t="shared" si="430"/>
        <v>30</v>
      </c>
      <c r="I97" s="9">
        <f>'Basic Data '!$S$2</f>
        <v>66750</v>
      </c>
      <c r="J97" s="10">
        <v>0.22222222222222221</v>
      </c>
      <c r="K97" s="10">
        <v>0.76597222222222217</v>
      </c>
      <c r="L97" s="9">
        <v>739</v>
      </c>
      <c r="M97" s="9">
        <v>732</v>
      </c>
      <c r="N97" s="9">
        <v>677</v>
      </c>
      <c r="O97" s="9">
        <v>673</v>
      </c>
      <c r="P97" s="9">
        <v>728</v>
      </c>
      <c r="Q97" s="9">
        <v>674</v>
      </c>
      <c r="R97" s="9">
        <v>677</v>
      </c>
      <c r="S97" s="9">
        <v>679</v>
      </c>
      <c r="T97" s="9">
        <v>701</v>
      </c>
      <c r="U97" s="9">
        <v>704</v>
      </c>
      <c r="V97" s="9">
        <v>691</v>
      </c>
      <c r="W97" s="9">
        <v>686</v>
      </c>
      <c r="X97" s="9">
        <v>681</v>
      </c>
      <c r="Y97" s="9">
        <v>634</v>
      </c>
      <c r="Z97" s="9">
        <v>674</v>
      </c>
      <c r="AA97" s="9">
        <v>673</v>
      </c>
      <c r="AB97" s="9">
        <v>670</v>
      </c>
      <c r="AC97" s="9">
        <v>666</v>
      </c>
      <c r="AD97" s="9">
        <v>730</v>
      </c>
      <c r="AE97" s="9">
        <v>727</v>
      </c>
      <c r="AF97" s="9">
        <v>674</v>
      </c>
      <c r="AG97" s="9">
        <v>676</v>
      </c>
      <c r="AH97" s="9">
        <v>729</v>
      </c>
      <c r="AI97" s="9">
        <v>763</v>
      </c>
      <c r="AJ97" s="9">
        <v>733</v>
      </c>
      <c r="AK97" s="9">
        <v>726</v>
      </c>
      <c r="AL97" s="9">
        <v>735</v>
      </c>
      <c r="AM97" s="9">
        <v>755</v>
      </c>
      <c r="AN97" s="9">
        <v>758</v>
      </c>
      <c r="AO97" s="9">
        <v>761</v>
      </c>
      <c r="AP97" s="9">
        <v>759</v>
      </c>
      <c r="AQ97" s="9">
        <v>753</v>
      </c>
      <c r="AR97" s="9">
        <v>649</v>
      </c>
      <c r="AS97" s="9">
        <v>864</v>
      </c>
      <c r="AT97" s="9">
        <v>662</v>
      </c>
      <c r="AU97" s="9">
        <v>744</v>
      </c>
      <c r="AV97" s="9">
        <v>673</v>
      </c>
      <c r="AW97" s="9">
        <v>664</v>
      </c>
      <c r="AX97" s="9">
        <v>652</v>
      </c>
      <c r="AY97" s="9">
        <v>672</v>
      </c>
      <c r="AZ97" s="9">
        <v>673</v>
      </c>
      <c r="BA97" s="9">
        <v>656</v>
      </c>
      <c r="BB97" s="9">
        <v>687</v>
      </c>
      <c r="BC97" s="9">
        <v>676</v>
      </c>
      <c r="BD97" s="9">
        <v>684</v>
      </c>
      <c r="BE97" s="9">
        <v>673</v>
      </c>
      <c r="BF97" s="9">
        <v>682</v>
      </c>
      <c r="BG97" s="9">
        <v>675.8</v>
      </c>
      <c r="BH97" s="9">
        <v>661</v>
      </c>
      <c r="BI97" s="9">
        <v>659</v>
      </c>
      <c r="BJ97" s="9">
        <v>664</v>
      </c>
      <c r="BK97" s="9">
        <v>678</v>
      </c>
      <c r="BL97" s="9">
        <v>751</v>
      </c>
      <c r="BM97" s="9">
        <v>764</v>
      </c>
      <c r="BN97" s="9">
        <v>723</v>
      </c>
      <c r="BO97" s="9">
        <v>763</v>
      </c>
      <c r="BP97" s="9">
        <v>765</v>
      </c>
      <c r="BQ97" s="9">
        <v>680</v>
      </c>
      <c r="BR97" s="9">
        <v>756</v>
      </c>
      <c r="BS97" s="9">
        <v>766</v>
      </c>
      <c r="BT97" s="9">
        <v>670</v>
      </c>
      <c r="BU97" s="9">
        <v>768</v>
      </c>
      <c r="BV97" s="9">
        <v>673</v>
      </c>
      <c r="BW97" s="9">
        <v>624</v>
      </c>
      <c r="BX97" s="9">
        <v>727</v>
      </c>
      <c r="BY97" s="9">
        <v>724</v>
      </c>
      <c r="BZ97" s="9">
        <v>728</v>
      </c>
      <c r="CA97" s="9">
        <v>734</v>
      </c>
      <c r="CB97" s="9">
        <v>662</v>
      </c>
      <c r="CC97" s="9">
        <v>664</v>
      </c>
      <c r="CD97" s="9">
        <v>674</v>
      </c>
      <c r="CE97" s="9">
        <v>671</v>
      </c>
      <c r="CF97" s="9">
        <v>683</v>
      </c>
      <c r="CG97" s="9">
        <v>679</v>
      </c>
      <c r="CH97" s="9">
        <v>767.8</v>
      </c>
      <c r="CI97" s="9">
        <v>751</v>
      </c>
      <c r="CJ97" s="9">
        <v>762</v>
      </c>
      <c r="CK97" s="9">
        <v>669</v>
      </c>
      <c r="CL97" s="9">
        <v>674.7</v>
      </c>
      <c r="CM97" s="9">
        <v>731</v>
      </c>
      <c r="CN97" s="9">
        <v>668</v>
      </c>
      <c r="CO97" s="9">
        <v>673</v>
      </c>
      <c r="CP97" s="9">
        <v>663</v>
      </c>
      <c r="CQ97" s="9">
        <v>669</v>
      </c>
      <c r="CR97" s="9">
        <v>674</v>
      </c>
      <c r="CS97" s="9">
        <v>655</v>
      </c>
      <c r="CT97" s="9">
        <v>681</v>
      </c>
      <c r="CU97" s="9">
        <v>655</v>
      </c>
      <c r="CV97" s="9">
        <v>656</v>
      </c>
      <c r="CW97" s="9">
        <v>666</v>
      </c>
      <c r="CX97" s="9">
        <v>681.2</v>
      </c>
      <c r="CY97" s="9">
        <v>723</v>
      </c>
      <c r="CZ97" s="9">
        <v>667</v>
      </c>
      <c r="DA97" s="9">
        <v>634</v>
      </c>
      <c r="DB97" s="9">
        <v>756</v>
      </c>
      <c r="DC97" s="9">
        <v>662</v>
      </c>
      <c r="DD97" s="9">
        <v>47.5</v>
      </c>
      <c r="DE97" s="9">
        <v>676</v>
      </c>
      <c r="DF97" s="9">
        <v>683</v>
      </c>
      <c r="DG97" s="9">
        <v>672</v>
      </c>
      <c r="DH97" s="9">
        <v>657.8</v>
      </c>
      <c r="DI97" s="9">
        <v>684.7</v>
      </c>
      <c r="DJ97" s="9">
        <v>657.9</v>
      </c>
      <c r="DK97" s="9">
        <v>667</v>
      </c>
      <c r="DL97" s="9">
        <v>755</v>
      </c>
      <c r="DM97" s="9">
        <v>648</v>
      </c>
      <c r="DN97" s="9">
        <v>763.3</v>
      </c>
      <c r="DO97" s="9">
        <v>739</v>
      </c>
      <c r="DP97" s="9">
        <v>671</v>
      </c>
      <c r="DQ97" s="9">
        <v>756</v>
      </c>
      <c r="DR97" s="9">
        <v>727</v>
      </c>
      <c r="DS97" s="9">
        <v>743</v>
      </c>
      <c r="DT97" s="9">
        <v>756</v>
      </c>
      <c r="DU97" s="9">
        <v>758</v>
      </c>
      <c r="DV97" s="9">
        <v>672</v>
      </c>
      <c r="DW97" s="9">
        <v>673</v>
      </c>
      <c r="DX97" s="9">
        <v>752</v>
      </c>
      <c r="DY97" s="9">
        <v>732</v>
      </c>
      <c r="DZ97" s="9">
        <v>755</v>
      </c>
      <c r="EA97" s="9">
        <v>673</v>
      </c>
      <c r="EB97" s="9">
        <v>654.6</v>
      </c>
      <c r="EC97" s="9">
        <v>708</v>
      </c>
      <c r="ED97" s="9">
        <v>727</v>
      </c>
      <c r="EE97" s="9">
        <v>668</v>
      </c>
      <c r="EF97" s="9">
        <v>669</v>
      </c>
      <c r="EG97" s="9">
        <v>754</v>
      </c>
      <c r="EH97" s="9">
        <v>674</v>
      </c>
      <c r="EI97" s="9">
        <v>684</v>
      </c>
      <c r="EJ97" s="9">
        <v>721</v>
      </c>
      <c r="EK97" s="9">
        <v>771</v>
      </c>
      <c r="EL97" s="9">
        <v>739</v>
      </c>
      <c r="EM97" s="9">
        <v>745</v>
      </c>
      <c r="EN97" s="9">
        <v>739</v>
      </c>
      <c r="EO97" s="9">
        <v>612</v>
      </c>
      <c r="EP97" s="9">
        <v>722</v>
      </c>
      <c r="EQ97" s="9">
        <v>721</v>
      </c>
      <c r="ER97" s="9">
        <v>711</v>
      </c>
      <c r="ES97" s="9">
        <v>729</v>
      </c>
      <c r="ET97" s="9">
        <v>703</v>
      </c>
      <c r="EU97" s="9">
        <v>682</v>
      </c>
      <c r="EV97" s="9">
        <v>718.6</v>
      </c>
      <c r="EW97" s="9">
        <v>715</v>
      </c>
      <c r="EX97" s="9">
        <v>683</v>
      </c>
      <c r="EY97" s="9">
        <v>709</v>
      </c>
      <c r="EZ97" s="9">
        <v>682</v>
      </c>
      <c r="FA97" s="9">
        <v>711.2</v>
      </c>
      <c r="FB97" s="9">
        <v>665.1</v>
      </c>
      <c r="FC97" s="9">
        <v>619.29999999999995</v>
      </c>
      <c r="FD97" s="9">
        <v>739</v>
      </c>
      <c r="FE97" s="9">
        <v>734</v>
      </c>
      <c r="FF97" s="9">
        <v>738.9</v>
      </c>
      <c r="FG97" s="9">
        <v>678.2</v>
      </c>
      <c r="FH97" s="9">
        <v>761.2</v>
      </c>
      <c r="FI97" s="9">
        <v>679.3</v>
      </c>
      <c r="FJ97" s="9">
        <v>668.7</v>
      </c>
      <c r="FK97" s="9">
        <v>684</v>
      </c>
      <c r="FL97" s="9">
        <v>670</v>
      </c>
      <c r="FM97" s="9">
        <v>685</v>
      </c>
      <c r="FN97" s="9">
        <v>661</v>
      </c>
      <c r="FO97" s="9">
        <v>669.7</v>
      </c>
      <c r="FP97" s="9">
        <v>737</v>
      </c>
      <c r="FQ97" s="9">
        <v>649</v>
      </c>
      <c r="FR97" s="9">
        <v>754</v>
      </c>
      <c r="FS97" s="9">
        <v>727</v>
      </c>
      <c r="FT97" s="9">
        <v>731</v>
      </c>
      <c r="FU97" s="9">
        <v>676</v>
      </c>
      <c r="FV97" s="9">
        <v>674</v>
      </c>
      <c r="FW97" s="9">
        <v>701</v>
      </c>
      <c r="FX97" s="9">
        <v>651</v>
      </c>
      <c r="FY97" s="9">
        <v>681</v>
      </c>
      <c r="FZ97" s="9">
        <v>698</v>
      </c>
      <c r="GA97" s="9">
        <v>679</v>
      </c>
      <c r="GB97" s="9">
        <v>739</v>
      </c>
      <c r="GC97" s="9">
        <v>668</v>
      </c>
      <c r="GD97" s="9">
        <v>739</v>
      </c>
      <c r="GE97" s="9">
        <v>652.6</v>
      </c>
      <c r="GF97" s="9">
        <v>654</v>
      </c>
      <c r="GG97" s="9">
        <v>654.79999999999995</v>
      </c>
      <c r="GH97" s="9">
        <v>724</v>
      </c>
      <c r="GI97" s="9">
        <v>651</v>
      </c>
      <c r="GJ97" s="9">
        <v>724</v>
      </c>
      <c r="GK97" s="9">
        <v>731</v>
      </c>
      <c r="GL97" s="9">
        <v>724</v>
      </c>
      <c r="GM97" s="9">
        <v>672.9</v>
      </c>
      <c r="GN97" s="9">
        <v>711</v>
      </c>
      <c r="GO97" s="9">
        <v>736</v>
      </c>
      <c r="GP97" s="9">
        <v>692</v>
      </c>
      <c r="GQ97" s="9">
        <v>694</v>
      </c>
      <c r="GR97" s="9">
        <v>645</v>
      </c>
      <c r="GS97" s="9">
        <v>701</v>
      </c>
      <c r="GT97" s="9">
        <v>656.8</v>
      </c>
      <c r="GU97" s="9">
        <v>645</v>
      </c>
      <c r="GV97" s="9">
        <v>656</v>
      </c>
      <c r="GW97" s="9">
        <v>652</v>
      </c>
      <c r="GX97" s="9">
        <v>655</v>
      </c>
      <c r="GY97" s="9">
        <v>658.4</v>
      </c>
      <c r="GZ97" s="9">
        <v>544</v>
      </c>
      <c r="HA97" s="9">
        <v>660</v>
      </c>
      <c r="HB97" s="9"/>
      <c r="HC97" s="9"/>
      <c r="HD97" s="9">
        <v>0</v>
      </c>
      <c r="HE97" s="9">
        <v>463.6</v>
      </c>
      <c r="HF97" s="9">
        <v>656</v>
      </c>
      <c r="HG97" s="9"/>
      <c r="HH97" s="9">
        <v>728</v>
      </c>
      <c r="HI97" s="9">
        <v>682</v>
      </c>
      <c r="HJ97" s="9">
        <v>653.20000000000005</v>
      </c>
      <c r="HK97" s="9">
        <v>654</v>
      </c>
      <c r="HL97" s="9">
        <v>685</v>
      </c>
      <c r="HM97" s="9">
        <v>667</v>
      </c>
      <c r="HN97" s="9">
        <v>668</v>
      </c>
      <c r="HO97" s="9">
        <v>658.1</v>
      </c>
      <c r="HP97" s="9">
        <v>670</v>
      </c>
      <c r="HQ97" s="9">
        <v>656.5</v>
      </c>
      <c r="HR97" s="9">
        <v>665</v>
      </c>
      <c r="HS97" s="9">
        <v>661</v>
      </c>
      <c r="HT97" s="9">
        <v>759</v>
      </c>
      <c r="HU97" s="9">
        <v>774</v>
      </c>
      <c r="HV97" s="9">
        <v>587</v>
      </c>
      <c r="HW97" s="9">
        <v>573</v>
      </c>
      <c r="HX97" s="9">
        <v>494</v>
      </c>
      <c r="HY97" s="9">
        <v>414</v>
      </c>
      <c r="HZ97" s="9">
        <v>504</v>
      </c>
      <c r="IA97" s="9">
        <v>595</v>
      </c>
      <c r="IB97" s="9">
        <v>704</v>
      </c>
      <c r="IC97" s="9">
        <v>761</v>
      </c>
      <c r="ID97" s="9">
        <v>732</v>
      </c>
      <c r="IE97" s="9">
        <v>721</v>
      </c>
      <c r="IF97" s="9">
        <v>713</v>
      </c>
      <c r="IG97" s="9">
        <v>739</v>
      </c>
      <c r="IH97" s="9">
        <v>759</v>
      </c>
      <c r="II97" s="9">
        <v>755</v>
      </c>
      <c r="IJ97" s="9">
        <v>639</v>
      </c>
      <c r="IK97" s="9">
        <v>676</v>
      </c>
      <c r="IL97" s="9">
        <v>643</v>
      </c>
      <c r="IM97" s="9">
        <v>666</v>
      </c>
      <c r="IN97" s="9">
        <v>612</v>
      </c>
      <c r="IO97" s="9"/>
      <c r="IP97" s="9">
        <v>934</v>
      </c>
      <c r="IQ97" s="9">
        <v>709</v>
      </c>
      <c r="IR97" s="9">
        <v>252</v>
      </c>
      <c r="IS97" s="9">
        <v>661</v>
      </c>
      <c r="IT97" s="9">
        <v>634</v>
      </c>
      <c r="IU97" s="9"/>
      <c r="IV97" s="9"/>
      <c r="IW97" s="9">
        <v>639</v>
      </c>
      <c r="IX97" s="9">
        <v>678</v>
      </c>
      <c r="IY97" s="9">
        <v>684</v>
      </c>
      <c r="IZ97" s="9">
        <v>636</v>
      </c>
      <c r="JA97" s="9">
        <v>601</v>
      </c>
      <c r="JB97" s="11">
        <v>29.64</v>
      </c>
      <c r="JC97" s="11">
        <v>35.33</v>
      </c>
      <c r="JD97" s="11">
        <v>1.69</v>
      </c>
      <c r="JE97" s="11">
        <v>4.3</v>
      </c>
      <c r="JF97" s="11"/>
      <c r="JG97" s="11">
        <v>3.23</v>
      </c>
      <c r="JH97" s="13">
        <v>3.03</v>
      </c>
      <c r="JI97" s="12"/>
      <c r="JJ97" s="277"/>
      <c r="JK97" s="9">
        <v>88065461.299999997</v>
      </c>
      <c r="JL97" s="260">
        <v>283564.64299999998</v>
      </c>
      <c r="JM97" s="9">
        <v>60972342.552000001</v>
      </c>
      <c r="JN97" s="260">
        <v>63311.332000000002</v>
      </c>
      <c r="JO97" s="9">
        <v>88764796.415999994</v>
      </c>
      <c r="JP97" s="260">
        <v>189003.35800000001</v>
      </c>
      <c r="JQ97" s="9">
        <v>64582109.651000001</v>
      </c>
      <c r="JR97" s="260">
        <v>58471.512000000002</v>
      </c>
      <c r="JS97" s="11">
        <v>333486061.49299997</v>
      </c>
      <c r="JT97" s="289">
        <v>90360.763000000006</v>
      </c>
      <c r="JU97" s="283">
        <f t="shared" ref="JU97" si="533">IF((JK97-JK96)&lt;0,"",(JK97-JK96))</f>
        <v>44792.459999993443</v>
      </c>
      <c r="JV97" s="283">
        <f t="shared" ref="JV97" si="534">IF((JL97-JL96)&lt;0,"",(JL97-JL96))</f>
        <v>8.9409999999916181</v>
      </c>
      <c r="JW97" s="283">
        <f>IF((JM97-JM96)&lt;0,"",(JM97-JM96))</f>
        <v>42377.031000003219</v>
      </c>
      <c r="JX97" s="283">
        <f t="shared" ref="JX97" si="535">IF((JN97-JN96)&lt;0,"",(JN97-JN96))</f>
        <v>12.884000000005472</v>
      </c>
      <c r="JY97" s="284">
        <f t="shared" ref="JY97" si="536">IF((JO97-JO96)&lt;0,"",(JO97-JO96))</f>
        <v>43968.09999999404</v>
      </c>
      <c r="JZ97" s="284">
        <f t="shared" ref="JZ97" si="537">IF((JP97-JP96)&lt;0,"",(JP97-JP96))</f>
        <v>23.270000000018626</v>
      </c>
      <c r="KA97" s="284">
        <f t="shared" ref="KA97" si="538">IF((JQ97-JQ96)&lt;0,"",(JQ97-JQ96))</f>
        <v>34487.581000000238</v>
      </c>
      <c r="KB97" s="284">
        <f t="shared" ref="KB97" si="539">IF((JR97-JR96)&lt;0,"",(JR97-JR96))</f>
        <v>28.544000000001688</v>
      </c>
      <c r="KC97" s="283">
        <f t="shared" ref="KC97" si="540">IF((JS97-JS96)&lt;0,"",(JS97-JS96))</f>
        <v>165401.15999996662</v>
      </c>
      <c r="KD97" s="283">
        <f t="shared" ref="KD97:KD98" si="541">IF((JT97-JT96)&lt;0,"",(JT97-JT96))</f>
        <v>95.681000000011409</v>
      </c>
      <c r="KE97" s="291">
        <f t="shared" ref="KE97" si="542">(JU97+JW97)-(JV97+JX97)</f>
        <v>87147.665999996665</v>
      </c>
      <c r="KF97" s="291">
        <f t="shared" ref="KF97" si="543">IFERROR(KC97-KD97,"")</f>
        <v>165305.47899996661</v>
      </c>
      <c r="KG97" s="292">
        <f>(RD[[#This Row],[Sunset Time (POA&lt;20 W/m2)]]-RD[[#This Row],[Sunrise Time (POA&gt;20 W/m2)]])*24</f>
        <v>13.049999999999999</v>
      </c>
      <c r="KH97" s="293">
        <f>RD[[#This Row],[GHI ]]</f>
        <v>3.23</v>
      </c>
      <c r="KI97" s="293">
        <f>RD[[#This Row],[POA]]</f>
        <v>3.03</v>
      </c>
      <c r="KJ97" s="293">
        <f>RD[[#This Row],[AT (°C) 14 Hours]]</f>
        <v>29.64</v>
      </c>
      <c r="KK97" s="293">
        <f>RD[[#This Row],[MT (°C) Gen. Hours]]</f>
        <v>35.33</v>
      </c>
      <c r="KL97" s="293">
        <f>RD[[#This Row],[WS_Avg (m/s) (24 Hours)]]</f>
        <v>1.69</v>
      </c>
      <c r="KM97" s="293">
        <f>RD[[#This Row],[WS_Max (m/s)]]</f>
        <v>4.3</v>
      </c>
      <c r="KN97" s="294">
        <f>SUM(RD[[#This Row],[BLK1_INV1]:[BLK8_INV27]])</f>
        <v>166212.4</v>
      </c>
      <c r="KO97" s="95"/>
      <c r="KP97" s="55"/>
      <c r="KQ97" s="90" t="str">
        <f>IFERROR(RD[[#This Row],[WPR_Eac]]/RD[[#This Row],[WPR_Edc]],"")</f>
        <v/>
      </c>
    </row>
    <row r="98" spans="2:303" ht="15" customHeight="1" x14ac:dyDescent="0.25">
      <c r="B98" s="52">
        <v>45839</v>
      </c>
      <c r="C98" s="9">
        <f>YEAR(RD[[#This Row],[Date]])+IF(MONTH(RD[[#This Row],[Date]])&gt;=4,1,0)</f>
        <v>2026</v>
      </c>
      <c r="D98" s="6">
        <f t="shared" ref="D98:D131" si="544">YEAR(B98)</f>
        <v>2025</v>
      </c>
      <c r="E98" s="7"/>
      <c r="F98" s="7"/>
      <c r="G98" s="367" t="str">
        <f>TEXT(RD[[#This Row],[Date]],"mmm-yy")</f>
        <v>Jul-25</v>
      </c>
      <c r="H98" s="6">
        <f t="shared" ref="H98:H131" si="545">DAY(EOMONTH(B98,0))</f>
        <v>31</v>
      </c>
      <c r="I98" s="9">
        <f>'Basic Data '!$S$2</f>
        <v>66750</v>
      </c>
      <c r="J98" s="10">
        <v>0.23194444444444443</v>
      </c>
      <c r="K98" s="10">
        <v>0.77986111111111101</v>
      </c>
      <c r="L98" s="9">
        <v>588.4</v>
      </c>
      <c r="M98" s="9">
        <v>599</v>
      </c>
      <c r="N98" s="9">
        <v>554.20000000000005</v>
      </c>
      <c r="O98" s="9">
        <v>551.4</v>
      </c>
      <c r="P98" s="9">
        <v>597.20000000000005</v>
      </c>
      <c r="Q98" s="9">
        <v>550.79999999999995</v>
      </c>
      <c r="R98" s="9">
        <v>553.6</v>
      </c>
      <c r="S98" s="9">
        <v>555.20000000000005</v>
      </c>
      <c r="T98" s="9">
        <v>501</v>
      </c>
      <c r="U98" s="9">
        <v>543</v>
      </c>
      <c r="V98" s="9">
        <v>566.1</v>
      </c>
      <c r="W98" s="9">
        <v>562.4</v>
      </c>
      <c r="X98" s="9">
        <v>528.20000000000005</v>
      </c>
      <c r="Y98" s="9">
        <v>520.4</v>
      </c>
      <c r="Z98" s="9">
        <v>552.79999999999995</v>
      </c>
      <c r="AA98" s="9">
        <v>553</v>
      </c>
      <c r="AB98" s="9">
        <v>547.5</v>
      </c>
      <c r="AC98" s="9">
        <v>545.4</v>
      </c>
      <c r="AD98" s="9">
        <v>599</v>
      </c>
      <c r="AE98" s="9">
        <v>598</v>
      </c>
      <c r="AF98" s="9">
        <v>553.6</v>
      </c>
      <c r="AG98" s="9">
        <v>557</v>
      </c>
      <c r="AH98" s="9">
        <v>587.29999999999995</v>
      </c>
      <c r="AI98" s="9">
        <v>632.20000000000005</v>
      </c>
      <c r="AJ98" s="9">
        <v>605.4</v>
      </c>
      <c r="AK98" s="9">
        <v>601.20000000000005</v>
      </c>
      <c r="AL98" s="9">
        <v>597.6</v>
      </c>
      <c r="AM98" s="9">
        <v>622.9</v>
      </c>
      <c r="AN98" s="9">
        <v>629.4</v>
      </c>
      <c r="AO98" s="9">
        <v>602.5</v>
      </c>
      <c r="AP98" s="9">
        <v>615.20000000000005</v>
      </c>
      <c r="AQ98" s="9">
        <v>612</v>
      </c>
      <c r="AR98" s="9">
        <v>517.6</v>
      </c>
      <c r="AS98" s="9">
        <v>690</v>
      </c>
      <c r="AT98" s="9">
        <v>544.4</v>
      </c>
      <c r="AU98" s="9">
        <v>590</v>
      </c>
      <c r="AV98" s="9">
        <v>536</v>
      </c>
      <c r="AW98" s="9">
        <v>521.1</v>
      </c>
      <c r="AX98" s="9">
        <v>532</v>
      </c>
      <c r="AY98" s="9">
        <v>536.79999999999995</v>
      </c>
      <c r="AZ98" s="9">
        <v>526</v>
      </c>
      <c r="BA98" s="9">
        <v>529</v>
      </c>
      <c r="BB98" s="9">
        <v>537.4</v>
      </c>
      <c r="BC98" s="9">
        <v>537.20000000000005</v>
      </c>
      <c r="BD98" s="9">
        <v>541.20000000000005</v>
      </c>
      <c r="BE98" s="9">
        <v>527.70000000000005</v>
      </c>
      <c r="BF98" s="9">
        <v>573</v>
      </c>
      <c r="BG98" s="9">
        <v>539.20000000000005</v>
      </c>
      <c r="BH98" s="9">
        <v>561.5</v>
      </c>
      <c r="BI98" s="9">
        <v>549.29999999999995</v>
      </c>
      <c r="BJ98" s="9">
        <v>542.4</v>
      </c>
      <c r="BK98" s="9">
        <v>547.79999999999995</v>
      </c>
      <c r="BL98" s="9">
        <v>593</v>
      </c>
      <c r="BM98" s="9">
        <v>596</v>
      </c>
      <c r="BN98" s="9">
        <v>571</v>
      </c>
      <c r="BO98" s="9">
        <v>596</v>
      </c>
      <c r="BP98" s="9">
        <v>541.20000000000005</v>
      </c>
      <c r="BQ98" s="9">
        <v>539</v>
      </c>
      <c r="BR98" s="9">
        <v>588</v>
      </c>
      <c r="BS98" s="9">
        <v>590</v>
      </c>
      <c r="BT98" s="9">
        <v>528</v>
      </c>
      <c r="BU98" s="9">
        <v>590</v>
      </c>
      <c r="BV98" s="9">
        <v>534</v>
      </c>
      <c r="BW98" s="9">
        <v>499.3</v>
      </c>
      <c r="BX98" s="9">
        <v>586.1</v>
      </c>
      <c r="BY98" s="9">
        <v>584</v>
      </c>
      <c r="BZ98" s="9">
        <v>584</v>
      </c>
      <c r="CA98" s="9">
        <v>569</v>
      </c>
      <c r="CB98" s="9">
        <v>532.20000000000005</v>
      </c>
      <c r="CC98" s="9">
        <v>536</v>
      </c>
      <c r="CD98" s="9">
        <v>536.5</v>
      </c>
      <c r="CE98" s="9">
        <v>522.79999999999995</v>
      </c>
      <c r="CF98" s="9">
        <v>529.1</v>
      </c>
      <c r="CG98" s="9">
        <v>541.29999999999995</v>
      </c>
      <c r="CH98" s="9">
        <v>599</v>
      </c>
      <c r="CI98" s="9">
        <v>588</v>
      </c>
      <c r="CJ98" s="9">
        <v>590</v>
      </c>
      <c r="CK98" s="9">
        <v>534</v>
      </c>
      <c r="CL98" s="9">
        <v>534.4</v>
      </c>
      <c r="CM98" s="9">
        <v>567</v>
      </c>
      <c r="CN98" s="9">
        <v>529</v>
      </c>
      <c r="CO98" s="9">
        <v>524.20000000000005</v>
      </c>
      <c r="CP98" s="9">
        <v>539.9</v>
      </c>
      <c r="CQ98" s="9">
        <v>532.79999999999995</v>
      </c>
      <c r="CR98" s="9">
        <v>524.9</v>
      </c>
      <c r="CS98" s="9">
        <v>523.20000000000005</v>
      </c>
      <c r="CT98" s="9">
        <v>523.9</v>
      </c>
      <c r="CU98" s="9">
        <v>532.29999999999995</v>
      </c>
      <c r="CV98" s="9">
        <v>531</v>
      </c>
      <c r="CW98" s="9">
        <v>526</v>
      </c>
      <c r="CX98" s="9">
        <v>546</v>
      </c>
      <c r="CY98" s="9">
        <v>562.1</v>
      </c>
      <c r="CZ98" s="9">
        <v>536</v>
      </c>
      <c r="DA98" s="9">
        <v>523</v>
      </c>
      <c r="DB98" s="9">
        <v>600.4</v>
      </c>
      <c r="DC98" s="9">
        <v>532.1</v>
      </c>
      <c r="DD98" s="9">
        <v>470</v>
      </c>
      <c r="DE98" s="9">
        <v>521</v>
      </c>
      <c r="DF98" s="9">
        <v>539</v>
      </c>
      <c r="DG98" s="9">
        <v>542.70000000000005</v>
      </c>
      <c r="DH98" s="9">
        <v>532</v>
      </c>
      <c r="DI98" s="9">
        <v>538</v>
      </c>
      <c r="DJ98" s="9">
        <v>533</v>
      </c>
      <c r="DK98" s="9">
        <v>540.70000000000005</v>
      </c>
      <c r="DL98" s="9">
        <v>610.79999999999995</v>
      </c>
      <c r="DM98" s="9">
        <v>523.20000000000005</v>
      </c>
      <c r="DN98" s="9">
        <v>601</v>
      </c>
      <c r="DO98" s="9">
        <v>598.20000000000005</v>
      </c>
      <c r="DP98" s="9">
        <v>524</v>
      </c>
      <c r="DQ98" s="9">
        <v>604.20000000000005</v>
      </c>
      <c r="DR98" s="9">
        <v>580.1</v>
      </c>
      <c r="DS98" s="9">
        <v>581.29999999999995</v>
      </c>
      <c r="DT98" s="9">
        <v>590</v>
      </c>
      <c r="DU98" s="9">
        <v>593</v>
      </c>
      <c r="DV98" s="9">
        <v>531</v>
      </c>
      <c r="DW98" s="9">
        <v>524</v>
      </c>
      <c r="DX98" s="9">
        <v>582</v>
      </c>
      <c r="DY98" s="9">
        <v>587</v>
      </c>
      <c r="DZ98" s="9">
        <v>602.9</v>
      </c>
      <c r="EA98" s="9">
        <v>532.6</v>
      </c>
      <c r="EB98" s="9">
        <v>538.6</v>
      </c>
      <c r="EC98" s="9">
        <v>556.4</v>
      </c>
      <c r="ED98" s="9">
        <v>574.5</v>
      </c>
      <c r="EE98" s="9">
        <v>533.70000000000005</v>
      </c>
      <c r="EF98" s="9">
        <v>535.4</v>
      </c>
      <c r="EG98" s="9">
        <v>589</v>
      </c>
      <c r="EH98" s="9">
        <v>524</v>
      </c>
      <c r="EI98" s="9">
        <v>535.6</v>
      </c>
      <c r="EJ98" s="9">
        <v>587.5</v>
      </c>
      <c r="EK98" s="9">
        <v>602</v>
      </c>
      <c r="EL98" s="9">
        <v>572</v>
      </c>
      <c r="EM98" s="9">
        <v>587.29999999999995</v>
      </c>
      <c r="EN98" s="9">
        <v>567</v>
      </c>
      <c r="EO98" s="9">
        <v>480</v>
      </c>
      <c r="EP98" s="9">
        <v>572</v>
      </c>
      <c r="EQ98" s="9">
        <v>562</v>
      </c>
      <c r="ER98" s="9">
        <v>563</v>
      </c>
      <c r="ES98" s="9">
        <v>568</v>
      </c>
      <c r="ET98" s="9">
        <v>559.79999999999995</v>
      </c>
      <c r="EU98" s="9">
        <v>539</v>
      </c>
      <c r="EV98" s="9">
        <v>591.29999999999995</v>
      </c>
      <c r="EW98" s="9">
        <v>588.70000000000005</v>
      </c>
      <c r="EX98" s="9">
        <v>531.5</v>
      </c>
      <c r="EY98" s="9">
        <v>574.79999999999995</v>
      </c>
      <c r="EZ98" s="9">
        <v>523</v>
      </c>
      <c r="FA98" s="9">
        <v>582</v>
      </c>
      <c r="FB98" s="9">
        <v>545.4</v>
      </c>
      <c r="FC98" s="9">
        <v>431</v>
      </c>
      <c r="FD98" s="9">
        <v>591</v>
      </c>
      <c r="FE98" s="9">
        <v>590</v>
      </c>
      <c r="FF98" s="9">
        <v>578</v>
      </c>
      <c r="FG98" s="9">
        <v>529</v>
      </c>
      <c r="FH98" s="9">
        <v>614.6</v>
      </c>
      <c r="FI98" s="9">
        <v>529</v>
      </c>
      <c r="FJ98" s="9">
        <v>535</v>
      </c>
      <c r="FK98" s="9">
        <v>540.70000000000005</v>
      </c>
      <c r="FL98" s="9">
        <v>524</v>
      </c>
      <c r="FM98" s="9">
        <v>538.70000000000005</v>
      </c>
      <c r="FN98" s="9">
        <v>529</v>
      </c>
      <c r="FO98" s="9">
        <v>534</v>
      </c>
      <c r="FP98" s="9">
        <v>590</v>
      </c>
      <c r="FQ98" s="9">
        <v>519.6</v>
      </c>
      <c r="FR98" s="9">
        <v>603.9</v>
      </c>
      <c r="FS98" s="9">
        <v>531</v>
      </c>
      <c r="FT98" s="9">
        <v>581</v>
      </c>
      <c r="FU98" s="9">
        <v>552.9</v>
      </c>
      <c r="FV98" s="9">
        <v>535.4</v>
      </c>
      <c r="FW98" s="9">
        <v>529</v>
      </c>
      <c r="FX98" s="9">
        <v>532.79999999999995</v>
      </c>
      <c r="FY98" s="9">
        <v>545.29999999999995</v>
      </c>
      <c r="FZ98" s="9">
        <v>547.29999999999995</v>
      </c>
      <c r="GA98" s="9">
        <v>549.9</v>
      </c>
      <c r="GB98" s="9">
        <v>591.20000000000005</v>
      </c>
      <c r="GC98" s="9">
        <v>546</v>
      </c>
      <c r="GD98" s="9">
        <v>583</v>
      </c>
      <c r="GE98" s="9">
        <v>492.2</v>
      </c>
      <c r="GF98" s="9">
        <v>524</v>
      </c>
      <c r="GG98" s="9">
        <v>523.5</v>
      </c>
      <c r="GH98" s="9">
        <v>592.6</v>
      </c>
      <c r="GI98" s="9">
        <v>519</v>
      </c>
      <c r="GJ98" s="9">
        <v>569.6</v>
      </c>
      <c r="GK98" s="9">
        <v>578</v>
      </c>
      <c r="GL98" s="9">
        <v>590</v>
      </c>
      <c r="GM98" s="9">
        <v>549</v>
      </c>
      <c r="GN98" s="9">
        <v>579.20000000000005</v>
      </c>
      <c r="GO98" s="9">
        <v>583</v>
      </c>
      <c r="GP98" s="9">
        <v>545</v>
      </c>
      <c r="GQ98" s="9">
        <v>538</v>
      </c>
      <c r="GR98" s="9">
        <v>551</v>
      </c>
      <c r="GS98" s="9">
        <v>495</v>
      </c>
      <c r="GT98" s="9">
        <v>529</v>
      </c>
      <c r="GU98" s="9">
        <v>537</v>
      </c>
      <c r="GV98" s="9">
        <v>527</v>
      </c>
      <c r="GW98" s="9">
        <v>525</v>
      </c>
      <c r="GX98" s="9">
        <v>513.79999999999995</v>
      </c>
      <c r="GY98" s="9">
        <v>526</v>
      </c>
      <c r="GZ98" s="9">
        <v>435.5</v>
      </c>
      <c r="HA98" s="9">
        <v>520.4</v>
      </c>
      <c r="HB98" s="9"/>
      <c r="HC98" s="9"/>
      <c r="HD98" s="9">
        <v>0</v>
      </c>
      <c r="HE98" s="9">
        <v>381.2</v>
      </c>
      <c r="HF98" s="9">
        <v>531</v>
      </c>
      <c r="HG98" s="9"/>
      <c r="HH98" s="9">
        <v>571</v>
      </c>
      <c r="HI98" s="9">
        <v>534</v>
      </c>
      <c r="HJ98" s="9">
        <v>527</v>
      </c>
      <c r="HK98" s="9">
        <v>536</v>
      </c>
      <c r="HL98" s="9">
        <v>536</v>
      </c>
      <c r="HM98" s="9">
        <v>527.20000000000005</v>
      </c>
      <c r="HN98" s="9">
        <v>485</v>
      </c>
      <c r="HO98" s="9">
        <v>539.4</v>
      </c>
      <c r="HP98" s="9">
        <v>522.79999999999995</v>
      </c>
      <c r="HQ98" s="9">
        <v>533.79999999999995</v>
      </c>
      <c r="HR98" s="9">
        <v>527.29999999999995</v>
      </c>
      <c r="HS98" s="9">
        <v>540.5</v>
      </c>
      <c r="HT98" s="9">
        <v>590</v>
      </c>
      <c r="HU98" s="9">
        <v>617.5</v>
      </c>
      <c r="HV98" s="9">
        <v>472</v>
      </c>
      <c r="HW98" s="9">
        <v>451</v>
      </c>
      <c r="HX98" s="9">
        <v>390</v>
      </c>
      <c r="HY98" s="9">
        <v>333.4</v>
      </c>
      <c r="HZ98" s="9">
        <v>413</v>
      </c>
      <c r="IA98" s="9">
        <v>473.7</v>
      </c>
      <c r="IB98" s="9">
        <v>558.4</v>
      </c>
      <c r="IC98" s="9">
        <v>597.5</v>
      </c>
      <c r="ID98" s="9">
        <v>568.4</v>
      </c>
      <c r="IE98" s="9">
        <v>573</v>
      </c>
      <c r="IF98" s="9">
        <v>564.5</v>
      </c>
      <c r="IG98" s="9">
        <v>574.5</v>
      </c>
      <c r="IH98" s="9">
        <v>597.6</v>
      </c>
      <c r="II98" s="9">
        <v>585.9</v>
      </c>
      <c r="IJ98" s="9">
        <v>513</v>
      </c>
      <c r="IK98" s="9">
        <v>551.20000000000005</v>
      </c>
      <c r="IL98" s="9">
        <v>528</v>
      </c>
      <c r="IM98" s="9">
        <v>538</v>
      </c>
      <c r="IN98" s="9">
        <v>497</v>
      </c>
      <c r="IO98" s="9"/>
      <c r="IP98" s="9">
        <v>734</v>
      </c>
      <c r="IQ98" s="9">
        <v>562</v>
      </c>
      <c r="IR98" s="9">
        <v>198</v>
      </c>
      <c r="IS98" s="9">
        <v>525</v>
      </c>
      <c r="IT98" s="9">
        <v>509</v>
      </c>
      <c r="IU98" s="9"/>
      <c r="IV98" s="9"/>
      <c r="IW98" s="9">
        <v>512</v>
      </c>
      <c r="IX98" s="9">
        <v>538</v>
      </c>
      <c r="IY98" s="9">
        <v>543</v>
      </c>
      <c r="IZ98" s="9">
        <v>511.7</v>
      </c>
      <c r="JA98" s="9">
        <v>487</v>
      </c>
      <c r="JB98" s="11">
        <v>27.91</v>
      </c>
      <c r="JC98" s="11">
        <v>32.270000000000003</v>
      </c>
      <c r="JD98" s="11">
        <v>0.185</v>
      </c>
      <c r="JE98" s="11">
        <v>4.7</v>
      </c>
      <c r="JF98" s="11">
        <v>0.2</v>
      </c>
      <c r="JG98" s="11">
        <v>2.61</v>
      </c>
      <c r="JH98" s="13">
        <v>2.41</v>
      </c>
      <c r="JI98" s="12"/>
      <c r="JJ98" s="277"/>
      <c r="JK98" s="9">
        <v>88101780.952999994</v>
      </c>
      <c r="JL98" s="215">
        <v>283573.58399999997</v>
      </c>
      <c r="JM98" s="9">
        <v>61006685.813000001</v>
      </c>
      <c r="JN98" s="215">
        <v>63324.216</v>
      </c>
      <c r="JO98" s="9">
        <v>88798717.358999997</v>
      </c>
      <c r="JP98" s="215">
        <v>189026.628</v>
      </c>
      <c r="JQ98" s="9">
        <v>64609100.658</v>
      </c>
      <c r="JR98" s="215">
        <v>58500.055999999997</v>
      </c>
      <c r="JS98" s="11">
        <v>333617364.81</v>
      </c>
      <c r="JT98" s="223">
        <v>90456.444000000003</v>
      </c>
      <c r="JU98" s="283">
        <f t="shared" ref="JU98" si="546">IF((JK98-JK97)&lt;0,"",(JK98-JK97))</f>
        <v>36319.652999997139</v>
      </c>
      <c r="JV98" s="283">
        <f t="shared" ref="JV98" si="547">IF((JL98-JL97)&lt;0,"",(JL98-JL97))</f>
        <v>8.9409999999916181</v>
      </c>
      <c r="JW98" s="283">
        <f t="shared" ref="JW98" si="548">IF((JM98-JM97)&lt;0,"",(JM98-JM97))</f>
        <v>34343.26099999994</v>
      </c>
      <c r="JX98" s="283">
        <f t="shared" ref="JX98" si="549">IF((JN98-JN97)&lt;0,"",(JN98-JN97))</f>
        <v>12.883999999998196</v>
      </c>
      <c r="JY98" s="284">
        <f t="shared" ref="JY98" si="550">IF((JO98-JO97)&lt;0,"",(JO98-JO97))</f>
        <v>33920.943000003695</v>
      </c>
      <c r="JZ98" s="284">
        <f t="shared" ref="JZ98" si="551">IF((JP98-JP97)&lt;0,"",(JP98-JP97))</f>
        <v>23.269999999989523</v>
      </c>
      <c r="KA98" s="284">
        <f t="shared" ref="KA98" si="552">IF((JQ98-JQ97)&lt;0,"",(JQ98-JQ97))</f>
        <v>26991.006999999285</v>
      </c>
      <c r="KB98" s="284">
        <f t="shared" ref="KB98" si="553">IF((JR98-JR97)&lt;0,"",(JR98-JR97))</f>
        <v>28.543999999994412</v>
      </c>
      <c r="KC98" s="283">
        <f t="shared" ref="KC98" si="554">IF((JS98-JS97)&lt;0,"",(JS98-JS97))</f>
        <v>131303.31700003147</v>
      </c>
      <c r="KD98" s="283">
        <f t="shared" si="541"/>
        <v>95.680999999996857</v>
      </c>
      <c r="KE98" s="291">
        <f t="shared" ref="KE98:KE131" si="555">(JU98+JW98)-(JV98+JX98)</f>
        <v>70641.088999997097</v>
      </c>
      <c r="KF98" s="291">
        <f t="shared" ref="KF98:KF131" si="556">IFERROR(KC98-KD98,"")</f>
        <v>131207.63600003149</v>
      </c>
      <c r="KG98" s="292">
        <f>(RD[[#This Row],[Sunset Time (POA&lt;20 W/m2)]]-RD[[#This Row],[Sunrise Time (POA&gt;20 W/m2)]])*24</f>
        <v>13.149999999999999</v>
      </c>
      <c r="KH98" s="293">
        <f>RD[[#This Row],[GHI ]]</f>
        <v>2.61</v>
      </c>
      <c r="KI98" s="293">
        <f>RD[[#This Row],[POA]]</f>
        <v>2.41</v>
      </c>
      <c r="KJ98" s="293">
        <f>RD[[#This Row],[AT (°C) 14 Hours]]</f>
        <v>27.91</v>
      </c>
      <c r="KK98" s="293">
        <f>RD[[#This Row],[MT (°C) Gen. Hours]]</f>
        <v>32.270000000000003</v>
      </c>
      <c r="KL98" s="293">
        <f>RD[[#This Row],[WS_Avg (m/s) (24 Hours)]]</f>
        <v>0.185</v>
      </c>
      <c r="KM98" s="293">
        <f>RD[[#This Row],[WS_Max (m/s)]]</f>
        <v>4.7</v>
      </c>
      <c r="KN98" s="294">
        <f>SUM(RD[[#This Row],[BLK1_INV1]:[BLK8_INV27]])</f>
        <v>132770.99999999997</v>
      </c>
      <c r="KO98" s="95"/>
      <c r="KP98" s="55"/>
      <c r="KQ98" s="90" t="str">
        <f>IFERROR(RD[[#This Row],[WPR_Eac]]/RD[[#This Row],[WPR_Edc]],"")</f>
        <v/>
      </c>
    </row>
    <row r="99" spans="2:303" ht="15" customHeight="1" x14ac:dyDescent="0.25">
      <c r="B99" s="52">
        <v>45840</v>
      </c>
      <c r="C99" s="9">
        <f>YEAR(RD[[#This Row],[Date]])+IF(MONTH(RD[[#This Row],[Date]])&gt;=4,1,0)</f>
        <v>2026</v>
      </c>
      <c r="D99" s="6">
        <f t="shared" si="544"/>
        <v>2025</v>
      </c>
      <c r="E99" s="7"/>
      <c r="F99" s="7"/>
      <c r="G99" s="367" t="str">
        <f>TEXT(RD[[#This Row],[Date]],"mmm-yy")</f>
        <v>Jul-25</v>
      </c>
      <c r="H99" s="6">
        <f t="shared" si="545"/>
        <v>31</v>
      </c>
      <c r="I99" s="9">
        <f>'Basic Data '!$S$2</f>
        <v>66750</v>
      </c>
      <c r="J99" s="10">
        <v>0.21805555555555556</v>
      </c>
      <c r="K99" s="10">
        <v>0.77638888888888891</v>
      </c>
      <c r="L99" s="9">
        <v>934</v>
      </c>
      <c r="M99" s="9">
        <v>952</v>
      </c>
      <c r="N99" s="9">
        <v>877</v>
      </c>
      <c r="O99" s="9">
        <v>878</v>
      </c>
      <c r="P99" s="9">
        <v>940</v>
      </c>
      <c r="Q99" s="9">
        <v>869</v>
      </c>
      <c r="R99" s="9">
        <v>876</v>
      </c>
      <c r="S99" s="9">
        <v>875</v>
      </c>
      <c r="T99" s="9">
        <v>865</v>
      </c>
      <c r="U99" s="9">
        <v>905</v>
      </c>
      <c r="V99" s="9">
        <v>896</v>
      </c>
      <c r="W99" s="9">
        <v>888</v>
      </c>
      <c r="X99" s="9">
        <v>837</v>
      </c>
      <c r="Y99" s="9">
        <v>822</v>
      </c>
      <c r="Z99" s="9">
        <v>882</v>
      </c>
      <c r="AA99" s="9">
        <v>879</v>
      </c>
      <c r="AB99" s="9">
        <v>881</v>
      </c>
      <c r="AC99" s="9">
        <v>881</v>
      </c>
      <c r="AD99" s="9">
        <v>962</v>
      </c>
      <c r="AE99" s="9">
        <v>962</v>
      </c>
      <c r="AF99" s="9">
        <v>892</v>
      </c>
      <c r="AG99" s="9">
        <v>889</v>
      </c>
      <c r="AH99" s="9">
        <v>937</v>
      </c>
      <c r="AI99" s="9">
        <v>1007</v>
      </c>
      <c r="AJ99" s="9">
        <v>964</v>
      </c>
      <c r="AK99" s="9">
        <v>958</v>
      </c>
      <c r="AL99" s="9">
        <v>950</v>
      </c>
      <c r="AM99" s="9">
        <v>989</v>
      </c>
      <c r="AN99" s="9">
        <v>991</v>
      </c>
      <c r="AO99" s="9">
        <v>947</v>
      </c>
      <c r="AP99" s="9">
        <v>958</v>
      </c>
      <c r="AQ99" s="9">
        <v>996</v>
      </c>
      <c r="AR99" s="9">
        <v>813</v>
      </c>
      <c r="AS99" s="9">
        <v>1101</v>
      </c>
      <c r="AT99" s="9">
        <v>877</v>
      </c>
      <c r="AU99" s="9">
        <v>985</v>
      </c>
      <c r="AV99" s="9">
        <v>886</v>
      </c>
      <c r="AW99" s="9">
        <v>870</v>
      </c>
      <c r="AX99" s="9">
        <v>846</v>
      </c>
      <c r="AY99" s="9">
        <v>871</v>
      </c>
      <c r="AZ99" s="9">
        <v>846</v>
      </c>
      <c r="BA99" s="9">
        <v>839</v>
      </c>
      <c r="BB99" s="9">
        <v>854</v>
      </c>
      <c r="BC99" s="9">
        <v>855</v>
      </c>
      <c r="BD99" s="9">
        <v>860</v>
      </c>
      <c r="BE99" s="9">
        <v>864</v>
      </c>
      <c r="BF99" s="9">
        <v>932</v>
      </c>
      <c r="BG99" s="9">
        <v>858</v>
      </c>
      <c r="BH99" s="9">
        <v>893</v>
      </c>
      <c r="BI99" s="9">
        <v>877</v>
      </c>
      <c r="BJ99" s="9">
        <v>851</v>
      </c>
      <c r="BK99" s="9">
        <v>865</v>
      </c>
      <c r="BL99" s="9">
        <v>988</v>
      </c>
      <c r="BM99" s="9">
        <v>968</v>
      </c>
      <c r="BN99" s="9">
        <v>914</v>
      </c>
      <c r="BO99" s="9">
        <v>984</v>
      </c>
      <c r="BP99" s="9">
        <v>956</v>
      </c>
      <c r="BQ99" s="9">
        <v>790</v>
      </c>
      <c r="BR99" s="9">
        <v>956</v>
      </c>
      <c r="BS99" s="9">
        <v>964</v>
      </c>
      <c r="BT99" s="9">
        <v>859</v>
      </c>
      <c r="BU99" s="9">
        <v>964</v>
      </c>
      <c r="BV99" s="9">
        <v>801</v>
      </c>
      <c r="BW99" s="9">
        <v>798</v>
      </c>
      <c r="BX99" s="9">
        <v>933</v>
      </c>
      <c r="BY99" s="9">
        <v>940</v>
      </c>
      <c r="BZ99" s="9">
        <v>942</v>
      </c>
      <c r="CA99" s="9">
        <v>906</v>
      </c>
      <c r="CB99" s="9">
        <v>865</v>
      </c>
      <c r="CC99" s="9">
        <v>869</v>
      </c>
      <c r="CD99" s="9">
        <v>868</v>
      </c>
      <c r="CE99" s="9">
        <v>849</v>
      </c>
      <c r="CF99" s="9">
        <v>839</v>
      </c>
      <c r="CG99" s="9">
        <v>848</v>
      </c>
      <c r="CH99" s="9">
        <v>959</v>
      </c>
      <c r="CI99" s="9">
        <v>947</v>
      </c>
      <c r="CJ99" s="9">
        <v>934</v>
      </c>
      <c r="CK99" s="9">
        <v>852</v>
      </c>
      <c r="CL99" s="9">
        <v>865</v>
      </c>
      <c r="CM99" s="9">
        <v>909</v>
      </c>
      <c r="CN99" s="9">
        <v>836</v>
      </c>
      <c r="CO99" s="9">
        <v>863</v>
      </c>
      <c r="CP99" s="9">
        <v>865</v>
      </c>
      <c r="CQ99" s="9">
        <v>863</v>
      </c>
      <c r="CR99" s="9">
        <v>841</v>
      </c>
      <c r="CS99" s="9">
        <v>850</v>
      </c>
      <c r="CT99" s="9">
        <v>841</v>
      </c>
      <c r="CU99" s="9">
        <v>855</v>
      </c>
      <c r="CV99" s="9">
        <v>839</v>
      </c>
      <c r="CW99" s="9">
        <v>844.5</v>
      </c>
      <c r="CX99" s="9">
        <v>881</v>
      </c>
      <c r="CY99" s="9">
        <v>901</v>
      </c>
      <c r="CZ99" s="9">
        <v>812</v>
      </c>
      <c r="DA99" s="9">
        <v>852</v>
      </c>
      <c r="DB99" s="9">
        <v>958</v>
      </c>
      <c r="DC99" s="9">
        <v>865</v>
      </c>
      <c r="DD99" s="9">
        <v>788</v>
      </c>
      <c r="DE99" s="9">
        <v>853</v>
      </c>
      <c r="DF99" s="9">
        <v>846</v>
      </c>
      <c r="DG99" s="9">
        <v>853</v>
      </c>
      <c r="DH99" s="9">
        <v>852</v>
      </c>
      <c r="DI99" s="9">
        <v>862</v>
      </c>
      <c r="DJ99" s="9">
        <v>842</v>
      </c>
      <c r="DK99" s="9">
        <v>854</v>
      </c>
      <c r="DL99" s="9">
        <v>963</v>
      </c>
      <c r="DM99" s="9">
        <v>778</v>
      </c>
      <c r="DN99" s="9">
        <v>967</v>
      </c>
      <c r="DO99" s="9">
        <v>949</v>
      </c>
      <c r="DP99" s="9">
        <v>875</v>
      </c>
      <c r="DQ99" s="9">
        <v>978</v>
      </c>
      <c r="DR99" s="9">
        <v>945</v>
      </c>
      <c r="DS99" s="9">
        <v>935</v>
      </c>
      <c r="DT99" s="9">
        <v>978</v>
      </c>
      <c r="DU99" s="9">
        <v>979</v>
      </c>
      <c r="DV99" s="9">
        <v>879</v>
      </c>
      <c r="DW99" s="9">
        <v>843</v>
      </c>
      <c r="DX99" s="9">
        <v>947</v>
      </c>
      <c r="DY99" s="9">
        <v>942</v>
      </c>
      <c r="DZ99" s="9">
        <v>967</v>
      </c>
      <c r="EA99" s="9">
        <v>866</v>
      </c>
      <c r="EB99" s="9">
        <v>878</v>
      </c>
      <c r="EC99" s="9">
        <v>905</v>
      </c>
      <c r="ED99" s="9">
        <v>929</v>
      </c>
      <c r="EE99" s="9">
        <v>867</v>
      </c>
      <c r="EF99" s="9">
        <v>872</v>
      </c>
      <c r="EG99" s="9">
        <v>949</v>
      </c>
      <c r="EH99" s="9">
        <v>849</v>
      </c>
      <c r="EI99" s="9">
        <v>843</v>
      </c>
      <c r="EJ99" s="9">
        <v>964</v>
      </c>
      <c r="EK99" s="9">
        <v>939</v>
      </c>
      <c r="EL99" s="9">
        <v>903</v>
      </c>
      <c r="EM99" s="9">
        <v>947</v>
      </c>
      <c r="EN99" s="9">
        <v>924</v>
      </c>
      <c r="EO99" s="9">
        <v>798</v>
      </c>
      <c r="EP99" s="9">
        <v>902</v>
      </c>
      <c r="EQ99" s="9">
        <v>897</v>
      </c>
      <c r="ER99" s="9">
        <v>903</v>
      </c>
      <c r="ES99" s="9">
        <v>918</v>
      </c>
      <c r="ET99" s="9">
        <v>904</v>
      </c>
      <c r="EU99" s="9">
        <v>857</v>
      </c>
      <c r="EV99" s="9">
        <v>955</v>
      </c>
      <c r="EW99" s="9">
        <v>938</v>
      </c>
      <c r="EX99" s="9">
        <v>849</v>
      </c>
      <c r="EY99" s="9">
        <v>923</v>
      </c>
      <c r="EZ99" s="9">
        <v>845</v>
      </c>
      <c r="FA99" s="9">
        <v>948</v>
      </c>
      <c r="FB99" s="9">
        <v>851</v>
      </c>
      <c r="FC99" s="9">
        <v>793</v>
      </c>
      <c r="FD99" s="9">
        <v>944</v>
      </c>
      <c r="FE99" s="9">
        <v>953</v>
      </c>
      <c r="FF99" s="9">
        <v>945</v>
      </c>
      <c r="FG99" s="9">
        <v>861</v>
      </c>
      <c r="FH99" s="9">
        <v>971</v>
      </c>
      <c r="FI99" s="9">
        <v>854</v>
      </c>
      <c r="FJ99" s="9">
        <v>847</v>
      </c>
      <c r="FK99" s="9">
        <v>842</v>
      </c>
      <c r="FL99" s="9">
        <v>845</v>
      </c>
      <c r="FM99" s="9">
        <v>873</v>
      </c>
      <c r="FN99" s="9">
        <v>851</v>
      </c>
      <c r="FO99" s="9">
        <v>851</v>
      </c>
      <c r="FP99" s="9">
        <v>959</v>
      </c>
      <c r="FQ99" s="9">
        <v>840</v>
      </c>
      <c r="FR99" s="9">
        <v>950</v>
      </c>
      <c r="FS99" s="9">
        <v>934</v>
      </c>
      <c r="FT99" s="9">
        <v>950</v>
      </c>
      <c r="FU99" s="9">
        <v>871</v>
      </c>
      <c r="FV99" s="9">
        <v>846</v>
      </c>
      <c r="FW99" s="9">
        <v>971</v>
      </c>
      <c r="FX99" s="9">
        <v>831</v>
      </c>
      <c r="FY99" s="9">
        <v>886</v>
      </c>
      <c r="FZ99" s="9">
        <v>897</v>
      </c>
      <c r="GA99" s="9">
        <v>882</v>
      </c>
      <c r="GB99" s="9">
        <v>965</v>
      </c>
      <c r="GC99" s="9">
        <v>887</v>
      </c>
      <c r="GD99" s="9">
        <v>901</v>
      </c>
      <c r="GE99" s="9">
        <v>834</v>
      </c>
      <c r="GF99" s="9">
        <v>857</v>
      </c>
      <c r="GG99" s="9">
        <v>831</v>
      </c>
      <c r="GH99" s="9">
        <v>943</v>
      </c>
      <c r="GI99" s="9">
        <v>851</v>
      </c>
      <c r="GJ99" s="9">
        <v>907</v>
      </c>
      <c r="GK99" s="9">
        <v>945</v>
      </c>
      <c r="GL99" s="9">
        <v>952</v>
      </c>
      <c r="GM99" s="9">
        <v>878</v>
      </c>
      <c r="GN99" s="9">
        <v>938</v>
      </c>
      <c r="GO99" s="9">
        <v>972</v>
      </c>
      <c r="GP99" s="9">
        <v>872</v>
      </c>
      <c r="GQ99" s="9">
        <v>887</v>
      </c>
      <c r="GR99" s="9">
        <v>867</v>
      </c>
      <c r="GS99" s="9">
        <v>911</v>
      </c>
      <c r="GT99" s="9">
        <v>839</v>
      </c>
      <c r="GU99" s="9">
        <v>829.8</v>
      </c>
      <c r="GV99" s="9">
        <v>757</v>
      </c>
      <c r="GW99" s="9">
        <v>831</v>
      </c>
      <c r="GX99" s="9">
        <v>831</v>
      </c>
      <c r="GY99" s="9">
        <v>807</v>
      </c>
      <c r="GZ99" s="9">
        <v>702</v>
      </c>
      <c r="HA99" s="9">
        <v>833</v>
      </c>
      <c r="HB99" s="9"/>
      <c r="HC99" s="9"/>
      <c r="HD99" s="9">
        <v>407</v>
      </c>
      <c r="HE99" s="9">
        <v>609</v>
      </c>
      <c r="HF99" s="9">
        <v>869</v>
      </c>
      <c r="HG99" s="9"/>
      <c r="HH99" s="9">
        <v>937</v>
      </c>
      <c r="HI99" s="9">
        <v>846</v>
      </c>
      <c r="HJ99" s="9">
        <v>851</v>
      </c>
      <c r="HK99" s="9">
        <v>841</v>
      </c>
      <c r="HL99" s="9">
        <v>854</v>
      </c>
      <c r="HM99" s="9">
        <v>842</v>
      </c>
      <c r="HN99" s="9">
        <v>849</v>
      </c>
      <c r="HO99" s="9">
        <v>869</v>
      </c>
      <c r="HP99" s="9">
        <v>848</v>
      </c>
      <c r="HQ99" s="9">
        <v>854</v>
      </c>
      <c r="HR99" s="9">
        <v>851</v>
      </c>
      <c r="HS99" s="9">
        <v>866</v>
      </c>
      <c r="HT99" s="9">
        <v>968</v>
      </c>
      <c r="HU99" s="9">
        <v>964</v>
      </c>
      <c r="HV99" s="9">
        <v>747</v>
      </c>
      <c r="HW99" s="9">
        <v>761</v>
      </c>
      <c r="HX99" s="9">
        <v>632</v>
      </c>
      <c r="HY99" s="9">
        <v>531</v>
      </c>
      <c r="HZ99" s="9">
        <v>666</v>
      </c>
      <c r="IA99" s="9">
        <v>755</v>
      </c>
      <c r="IB99" s="9">
        <v>883</v>
      </c>
      <c r="IC99" s="9">
        <v>961</v>
      </c>
      <c r="ID99" s="9">
        <v>910</v>
      </c>
      <c r="IE99" s="9">
        <v>917</v>
      </c>
      <c r="IF99" s="9">
        <v>902</v>
      </c>
      <c r="IG99" s="9">
        <v>909</v>
      </c>
      <c r="IH99" s="9">
        <v>962</v>
      </c>
      <c r="II99" s="9">
        <v>944</v>
      </c>
      <c r="IJ99" s="9">
        <v>819</v>
      </c>
      <c r="IK99" s="9">
        <v>875</v>
      </c>
      <c r="IL99" s="9">
        <v>809</v>
      </c>
      <c r="IM99" s="9">
        <v>857</v>
      </c>
      <c r="IN99" s="9">
        <v>791</v>
      </c>
      <c r="IO99" s="9"/>
      <c r="IP99" s="9">
        <v>1201</v>
      </c>
      <c r="IQ99" s="9">
        <v>921</v>
      </c>
      <c r="IR99" s="9">
        <v>321</v>
      </c>
      <c r="IS99" s="9">
        <v>857</v>
      </c>
      <c r="IT99" s="9">
        <v>816</v>
      </c>
      <c r="IU99" s="9"/>
      <c r="IV99" s="9"/>
      <c r="IW99" s="9">
        <v>801</v>
      </c>
      <c r="IX99" s="9">
        <v>861</v>
      </c>
      <c r="IY99" s="9">
        <v>863</v>
      </c>
      <c r="IZ99" s="9">
        <v>809</v>
      </c>
      <c r="JA99" s="9">
        <v>771</v>
      </c>
      <c r="JB99" s="11">
        <v>30.38</v>
      </c>
      <c r="JC99" s="11">
        <v>37.35</v>
      </c>
      <c r="JD99" s="11">
        <v>1.48</v>
      </c>
      <c r="JE99" s="11">
        <v>7.1</v>
      </c>
      <c r="JF99" s="11">
        <v>1.2</v>
      </c>
      <c r="JG99" s="11">
        <v>4.34</v>
      </c>
      <c r="JH99" s="13">
        <v>4.07</v>
      </c>
      <c r="JI99" s="12"/>
      <c r="JJ99" s="277"/>
      <c r="JK99" s="9">
        <v>88159467.883000001</v>
      </c>
      <c r="JL99" s="260">
        <v>283582.52500000002</v>
      </c>
      <c r="JM99" s="9">
        <v>61061901.317000002</v>
      </c>
      <c r="JN99" s="260">
        <v>63337.1</v>
      </c>
      <c r="JO99" s="9">
        <v>88855694.682999998</v>
      </c>
      <c r="JP99" s="260">
        <v>189049.89799999999</v>
      </c>
      <c r="JQ99" s="9">
        <v>64652310.868000001</v>
      </c>
      <c r="JR99" s="260">
        <v>58528.6</v>
      </c>
      <c r="JS99" s="11">
        <v>333830099.27499998</v>
      </c>
      <c r="JT99" s="289">
        <v>90552.125</v>
      </c>
      <c r="JU99" s="283">
        <f t="shared" ref="JU99" si="557">IF((JK99-JK98)&lt;0,"",(JK99-JK98))</f>
        <v>57686.930000007153</v>
      </c>
      <c r="JV99" s="283">
        <f t="shared" ref="JV99" si="558">IF((JL99-JL98)&lt;0,"",(JL99-JL98))</f>
        <v>8.9410000000498258</v>
      </c>
      <c r="JW99" s="283">
        <f t="shared" ref="JW99" si="559">IF((JM99-JM98)&lt;0,"",(JM99-JM98))</f>
        <v>55215.504000000656</v>
      </c>
      <c r="JX99" s="283">
        <f t="shared" ref="JX99" si="560">IF((JN99-JN98)&lt;0,"",(JN99-JN98))</f>
        <v>12.883999999998196</v>
      </c>
      <c r="JY99" s="284">
        <f t="shared" ref="JY99" si="561">IF((JO99-JO98)&lt;0,"",(JO99-JO98))</f>
        <v>56977.324000000954</v>
      </c>
      <c r="JZ99" s="284">
        <f t="shared" ref="JZ99" si="562">IF((JP99-JP98)&lt;0,"",(JP99-JP98))</f>
        <v>23.269999999989523</v>
      </c>
      <c r="KA99" s="284">
        <f t="shared" ref="KA99" si="563">IF((JQ99-JQ98)&lt;0,"",(JQ99-JQ98))</f>
        <v>43210.210000000894</v>
      </c>
      <c r="KB99" s="284">
        <f t="shared" ref="KB99" si="564">IF((JR99-JR98)&lt;0,"",(JR99-JR98))</f>
        <v>28.544000000001688</v>
      </c>
      <c r="KC99" s="283">
        <f t="shared" ref="KC99" si="565">IF((JS99-JS98)&lt;0,"",(JS99-JS98))</f>
        <v>212734.46499997377</v>
      </c>
      <c r="KD99" s="283">
        <f t="shared" ref="KD99" si="566">IF((JT99-JT98)&lt;0,"",(JT99-JT98))</f>
        <v>95.680999999996857</v>
      </c>
      <c r="KE99" s="291">
        <f t="shared" si="555"/>
        <v>112880.60900000777</v>
      </c>
      <c r="KF99" s="291">
        <f t="shared" si="556"/>
        <v>212638.78399997379</v>
      </c>
      <c r="KG99" s="292">
        <f>(RD[[#This Row],[Sunset Time (POA&lt;20 W/m2)]]-RD[[#This Row],[Sunrise Time (POA&gt;20 W/m2)]])*24</f>
        <v>13.4</v>
      </c>
      <c r="KH99" s="293">
        <f>RD[[#This Row],[GHI ]]</f>
        <v>4.34</v>
      </c>
      <c r="KI99" s="293">
        <f>RD[[#This Row],[POA]]</f>
        <v>4.07</v>
      </c>
      <c r="KJ99" s="293">
        <f>RD[[#This Row],[AT (°C) 14 Hours]]</f>
        <v>30.38</v>
      </c>
      <c r="KK99" s="293">
        <f>RD[[#This Row],[MT (°C) Gen. Hours]]</f>
        <v>37.35</v>
      </c>
      <c r="KL99" s="293">
        <f>RD[[#This Row],[WS_Avg (m/s) (24 Hours)]]</f>
        <v>1.48</v>
      </c>
      <c r="KM99" s="293">
        <f>RD[[#This Row],[WS_Max (m/s)]]</f>
        <v>7.1</v>
      </c>
      <c r="KN99" s="294">
        <f>SUM(RD[[#This Row],[BLK1_INV1]:[BLK8_INV27]])</f>
        <v>213894.3</v>
      </c>
      <c r="KO99" s="95"/>
      <c r="KP99" s="55"/>
      <c r="KQ99" s="90" t="str">
        <f>IFERROR(RD[[#This Row],[WPR_Eac]]/RD[[#This Row],[WPR_Edc]],"")</f>
        <v/>
      </c>
    </row>
    <row r="100" spans="2:303" ht="15" customHeight="1" x14ac:dyDescent="0.25">
      <c r="B100" s="52">
        <v>45841</v>
      </c>
      <c r="C100" s="9">
        <f>YEAR(RD[[#This Row],[Date]])+IF(MONTH(RD[[#This Row],[Date]])&gt;=4,1,0)</f>
        <v>2026</v>
      </c>
      <c r="D100" s="6">
        <f t="shared" si="544"/>
        <v>2025</v>
      </c>
      <c r="E100" s="7"/>
      <c r="F100" s="7"/>
      <c r="G100" s="367" t="str">
        <f>TEXT(RD[[#This Row],[Date]],"mmm-yy")</f>
        <v>Jul-25</v>
      </c>
      <c r="H100" s="6">
        <f t="shared" si="545"/>
        <v>31</v>
      </c>
      <c r="I100" s="9">
        <f>'Basic Data '!$S$2</f>
        <v>66750</v>
      </c>
      <c r="J100" s="10">
        <v>0.21944444444444444</v>
      </c>
      <c r="K100" s="10">
        <v>0.77638888888888891</v>
      </c>
      <c r="L100" s="9">
        <v>1036</v>
      </c>
      <c r="M100" s="9">
        <v>1059</v>
      </c>
      <c r="N100" s="9">
        <v>978</v>
      </c>
      <c r="O100" s="9">
        <v>975</v>
      </c>
      <c r="P100" s="9">
        <v>1054</v>
      </c>
      <c r="Q100" s="9">
        <v>973</v>
      </c>
      <c r="R100" s="9">
        <v>956</v>
      </c>
      <c r="S100" s="9">
        <v>951</v>
      </c>
      <c r="T100" s="9">
        <v>964</v>
      </c>
      <c r="U100" s="9">
        <v>1017</v>
      </c>
      <c r="V100" s="9">
        <v>962</v>
      </c>
      <c r="W100" s="9">
        <v>955</v>
      </c>
      <c r="X100" s="9">
        <v>935</v>
      </c>
      <c r="Y100" s="9">
        <v>890</v>
      </c>
      <c r="Z100" s="9">
        <v>976</v>
      </c>
      <c r="AA100" s="9">
        <v>973</v>
      </c>
      <c r="AB100" s="9">
        <v>968</v>
      </c>
      <c r="AC100" s="9">
        <v>967</v>
      </c>
      <c r="AD100" s="9">
        <v>1053</v>
      </c>
      <c r="AE100" s="9">
        <v>1053</v>
      </c>
      <c r="AF100" s="9">
        <v>978</v>
      </c>
      <c r="AG100" s="9">
        <v>978</v>
      </c>
      <c r="AH100" s="9">
        <v>1032</v>
      </c>
      <c r="AI100" s="9">
        <v>1106</v>
      </c>
      <c r="AJ100" s="9">
        <v>1062</v>
      </c>
      <c r="AK100" s="9">
        <v>1052</v>
      </c>
      <c r="AL100" s="9">
        <v>1045</v>
      </c>
      <c r="AM100" s="9">
        <v>1088</v>
      </c>
      <c r="AN100" s="9">
        <v>1091</v>
      </c>
      <c r="AO100" s="9">
        <v>1040</v>
      </c>
      <c r="AP100" s="9">
        <v>1046</v>
      </c>
      <c r="AQ100" s="9">
        <v>1051</v>
      </c>
      <c r="AR100" s="9">
        <v>902</v>
      </c>
      <c r="AS100" s="9">
        <v>1223</v>
      </c>
      <c r="AT100" s="9">
        <v>957</v>
      </c>
      <c r="AU100" s="9">
        <v>1064</v>
      </c>
      <c r="AV100" s="9">
        <v>929</v>
      </c>
      <c r="AW100" s="9">
        <v>928</v>
      </c>
      <c r="AX100" s="9">
        <v>933</v>
      </c>
      <c r="AY100" s="9">
        <v>964</v>
      </c>
      <c r="AZ100" s="9">
        <v>936</v>
      </c>
      <c r="BA100" s="9">
        <v>933.5</v>
      </c>
      <c r="BB100" s="9">
        <v>940</v>
      </c>
      <c r="BC100" s="9">
        <v>945</v>
      </c>
      <c r="BD100" s="9">
        <v>951</v>
      </c>
      <c r="BE100" s="9">
        <v>957</v>
      </c>
      <c r="BF100" s="9">
        <v>1039</v>
      </c>
      <c r="BG100" s="9">
        <v>954</v>
      </c>
      <c r="BH100" s="9">
        <v>988</v>
      </c>
      <c r="BI100" s="9">
        <v>971</v>
      </c>
      <c r="BJ100" s="9">
        <v>951</v>
      </c>
      <c r="BK100" s="9">
        <v>963</v>
      </c>
      <c r="BL100" s="9">
        <v>1106</v>
      </c>
      <c r="BM100" s="9">
        <v>1084</v>
      </c>
      <c r="BN100" s="9">
        <v>1004</v>
      </c>
      <c r="BO100" s="9">
        <v>1081</v>
      </c>
      <c r="BP100" s="9">
        <v>1063</v>
      </c>
      <c r="BQ100" s="9">
        <v>949</v>
      </c>
      <c r="BR100" s="9">
        <v>1092</v>
      </c>
      <c r="BS100" s="9">
        <v>1106</v>
      </c>
      <c r="BT100" s="9">
        <v>967</v>
      </c>
      <c r="BU100" s="9">
        <v>1062</v>
      </c>
      <c r="BV100" s="9">
        <v>954</v>
      </c>
      <c r="BW100" s="9">
        <v>901</v>
      </c>
      <c r="BX100" s="9">
        <v>1032</v>
      </c>
      <c r="BY100" s="9">
        <v>1044</v>
      </c>
      <c r="BZ100" s="9">
        <v>1047</v>
      </c>
      <c r="CA100" s="9">
        <v>1008</v>
      </c>
      <c r="CB100" s="9">
        <v>954</v>
      </c>
      <c r="CC100" s="9">
        <v>963</v>
      </c>
      <c r="CD100" s="9">
        <v>960</v>
      </c>
      <c r="CE100" s="9">
        <v>936</v>
      </c>
      <c r="CF100" s="9">
        <v>970</v>
      </c>
      <c r="CG100" s="9">
        <v>951</v>
      </c>
      <c r="CH100" s="9">
        <v>1064</v>
      </c>
      <c r="CI100" s="9">
        <v>1075</v>
      </c>
      <c r="CJ100" s="9">
        <v>1081</v>
      </c>
      <c r="CK100" s="9">
        <v>949</v>
      </c>
      <c r="CL100" s="9">
        <v>954</v>
      </c>
      <c r="CM100" s="9">
        <v>1045</v>
      </c>
      <c r="CN100" s="9">
        <v>971</v>
      </c>
      <c r="CO100" s="9">
        <v>943</v>
      </c>
      <c r="CP100" s="9">
        <v>962</v>
      </c>
      <c r="CQ100" s="9">
        <v>950</v>
      </c>
      <c r="CR100" s="9">
        <v>930</v>
      </c>
      <c r="CS100" s="9">
        <v>942</v>
      </c>
      <c r="CT100" s="9">
        <v>927</v>
      </c>
      <c r="CU100" s="9">
        <v>945</v>
      </c>
      <c r="CV100" s="9">
        <v>933</v>
      </c>
      <c r="CW100" s="9">
        <v>929</v>
      </c>
      <c r="CX100" s="9">
        <v>971</v>
      </c>
      <c r="CY100" s="9">
        <v>1010</v>
      </c>
      <c r="CZ100" s="9">
        <v>964</v>
      </c>
      <c r="DA100" s="9">
        <v>935</v>
      </c>
      <c r="DB100" s="9">
        <v>1087</v>
      </c>
      <c r="DC100" s="9">
        <v>961</v>
      </c>
      <c r="DD100" s="9">
        <v>933</v>
      </c>
      <c r="DE100" s="9">
        <v>953</v>
      </c>
      <c r="DF100" s="9">
        <v>957</v>
      </c>
      <c r="DG100" s="9">
        <v>949</v>
      </c>
      <c r="DH100" s="9">
        <v>961</v>
      </c>
      <c r="DI100" s="9">
        <v>957</v>
      </c>
      <c r="DJ100" s="9">
        <v>947</v>
      </c>
      <c r="DK100" s="9">
        <v>946</v>
      </c>
      <c r="DL100" s="9">
        <v>1067</v>
      </c>
      <c r="DM100" s="9">
        <v>951</v>
      </c>
      <c r="DN100" s="9">
        <v>1084</v>
      </c>
      <c r="DO100" s="9">
        <v>1034.8</v>
      </c>
      <c r="DP100" s="9">
        <v>968</v>
      </c>
      <c r="DQ100" s="9">
        <v>1092</v>
      </c>
      <c r="DR100" s="9">
        <v>1048</v>
      </c>
      <c r="DS100" s="9">
        <v>1024</v>
      </c>
      <c r="DT100" s="9">
        <v>1044</v>
      </c>
      <c r="DU100" s="9">
        <v>1055</v>
      </c>
      <c r="DV100" s="9">
        <v>945</v>
      </c>
      <c r="DW100" s="9">
        <v>929</v>
      </c>
      <c r="DX100" s="9">
        <v>1042</v>
      </c>
      <c r="DY100" s="9">
        <v>1044</v>
      </c>
      <c r="DZ100" s="9">
        <v>1093</v>
      </c>
      <c r="EA100" s="9">
        <v>968</v>
      </c>
      <c r="EB100" s="9">
        <v>977</v>
      </c>
      <c r="EC100" s="9">
        <v>1015</v>
      </c>
      <c r="ED100" s="9">
        <v>1037</v>
      </c>
      <c r="EE100" s="9">
        <v>957</v>
      </c>
      <c r="EF100" s="9">
        <v>964</v>
      </c>
      <c r="EG100" s="9">
        <v>1054</v>
      </c>
      <c r="EH100" s="9">
        <v>933</v>
      </c>
      <c r="EI100" s="9">
        <v>943</v>
      </c>
      <c r="EJ100" s="9">
        <v>1060.2</v>
      </c>
      <c r="EK100" s="9">
        <v>1070.7</v>
      </c>
      <c r="EL100" s="9">
        <v>1023</v>
      </c>
      <c r="EM100" s="9">
        <v>1032.2</v>
      </c>
      <c r="EN100" s="9">
        <v>1040.2</v>
      </c>
      <c r="EO100" s="9">
        <v>857</v>
      </c>
      <c r="EP100" s="9">
        <v>1001</v>
      </c>
      <c r="EQ100" s="9">
        <v>1012.7</v>
      </c>
      <c r="ER100" s="9">
        <v>994</v>
      </c>
      <c r="ES100" s="9">
        <v>1028</v>
      </c>
      <c r="ET100" s="9">
        <v>986</v>
      </c>
      <c r="EU100" s="9">
        <v>952</v>
      </c>
      <c r="EV100" s="9">
        <v>1009</v>
      </c>
      <c r="EW100" s="9">
        <v>1023.6</v>
      </c>
      <c r="EX100" s="9">
        <v>958.6</v>
      </c>
      <c r="EY100" s="9">
        <v>1032</v>
      </c>
      <c r="EZ100" s="9">
        <v>925.6</v>
      </c>
      <c r="FA100" s="9">
        <v>1038.5999999999999</v>
      </c>
      <c r="FB100" s="9">
        <v>961.2</v>
      </c>
      <c r="FC100" s="9">
        <v>821</v>
      </c>
      <c r="FD100" s="9">
        <v>1022.2</v>
      </c>
      <c r="FE100" s="9">
        <v>1034</v>
      </c>
      <c r="FF100" s="9">
        <v>1031</v>
      </c>
      <c r="FG100" s="9">
        <v>953</v>
      </c>
      <c r="FH100" s="9">
        <v>1072</v>
      </c>
      <c r="FI100" s="9">
        <v>957</v>
      </c>
      <c r="FJ100" s="9">
        <v>951</v>
      </c>
      <c r="FK100" s="9">
        <v>943</v>
      </c>
      <c r="FL100" s="9">
        <v>946</v>
      </c>
      <c r="FM100" s="9">
        <v>939</v>
      </c>
      <c r="FN100" s="9">
        <v>943</v>
      </c>
      <c r="FO100" s="9">
        <v>928</v>
      </c>
      <c r="FP100" s="9">
        <v>1045</v>
      </c>
      <c r="FQ100" s="9">
        <v>934</v>
      </c>
      <c r="FR100" s="9">
        <v>1056</v>
      </c>
      <c r="FS100" s="9">
        <v>939</v>
      </c>
      <c r="FT100" s="9">
        <v>1061</v>
      </c>
      <c r="FU100" s="9">
        <v>965</v>
      </c>
      <c r="FV100" s="9">
        <v>798</v>
      </c>
      <c r="FW100" s="9">
        <v>898</v>
      </c>
      <c r="FX100" s="9">
        <v>923</v>
      </c>
      <c r="FY100" s="9">
        <v>969</v>
      </c>
      <c r="FZ100" s="9">
        <v>988</v>
      </c>
      <c r="GA100" s="9">
        <v>967</v>
      </c>
      <c r="GB100" s="9">
        <v>1045</v>
      </c>
      <c r="GC100" s="9">
        <v>959</v>
      </c>
      <c r="GD100" s="9">
        <v>1033</v>
      </c>
      <c r="GE100" s="9">
        <v>923</v>
      </c>
      <c r="GF100" s="9">
        <v>919</v>
      </c>
      <c r="GG100" s="9">
        <v>919</v>
      </c>
      <c r="GH100" s="9">
        <v>1034</v>
      </c>
      <c r="GI100" s="9">
        <v>924</v>
      </c>
      <c r="GJ100" s="9">
        <v>1010</v>
      </c>
      <c r="GK100" s="9">
        <v>1034</v>
      </c>
      <c r="GL100" s="9">
        <v>1031</v>
      </c>
      <c r="GM100" s="9">
        <v>989</v>
      </c>
      <c r="GN100" s="9">
        <v>998</v>
      </c>
      <c r="GO100" s="9">
        <v>1033</v>
      </c>
      <c r="GP100" s="9">
        <v>974</v>
      </c>
      <c r="GQ100" s="9">
        <v>965</v>
      </c>
      <c r="GR100" s="9">
        <v>990</v>
      </c>
      <c r="GS100" s="9">
        <v>996</v>
      </c>
      <c r="GT100" s="9">
        <v>932</v>
      </c>
      <c r="GU100" s="9">
        <v>934</v>
      </c>
      <c r="GV100" s="9">
        <v>934</v>
      </c>
      <c r="GW100" s="9">
        <v>927</v>
      </c>
      <c r="GX100" s="9">
        <v>935</v>
      </c>
      <c r="GY100" s="9">
        <v>945</v>
      </c>
      <c r="GZ100" s="9">
        <v>793</v>
      </c>
      <c r="HA100" s="9">
        <v>946</v>
      </c>
      <c r="HB100" s="9"/>
      <c r="HC100" s="9"/>
      <c r="HD100" s="9">
        <v>867</v>
      </c>
      <c r="HE100" s="9">
        <v>687</v>
      </c>
      <c r="HF100" s="9">
        <v>965</v>
      </c>
      <c r="HG100" s="9"/>
      <c r="HH100" s="9">
        <v>1035</v>
      </c>
      <c r="HI100" s="9">
        <v>934</v>
      </c>
      <c r="HJ100" s="9">
        <v>931</v>
      </c>
      <c r="HK100" s="9">
        <v>931</v>
      </c>
      <c r="HL100" s="9">
        <v>946</v>
      </c>
      <c r="HM100" s="9">
        <v>961</v>
      </c>
      <c r="HN100" s="9">
        <v>956</v>
      </c>
      <c r="HO100" s="9">
        <v>953</v>
      </c>
      <c r="HP100" s="9">
        <v>964</v>
      </c>
      <c r="HQ100" s="9">
        <v>935</v>
      </c>
      <c r="HR100" s="9">
        <v>964</v>
      </c>
      <c r="HS100" s="9">
        <v>952</v>
      </c>
      <c r="HT100" s="9">
        <v>1049</v>
      </c>
      <c r="HU100" s="9">
        <v>1087</v>
      </c>
      <c r="HV100" s="9">
        <v>831</v>
      </c>
      <c r="HW100" s="9">
        <v>825</v>
      </c>
      <c r="HX100" s="9">
        <v>701</v>
      </c>
      <c r="HY100" s="9">
        <v>590</v>
      </c>
      <c r="HZ100" s="9">
        <v>728</v>
      </c>
      <c r="IA100" s="9">
        <v>855</v>
      </c>
      <c r="IB100" s="9">
        <v>1020</v>
      </c>
      <c r="IC100" s="9">
        <v>1066</v>
      </c>
      <c r="ID100" s="9">
        <v>1032</v>
      </c>
      <c r="IE100" s="9">
        <v>1037</v>
      </c>
      <c r="IF100" s="9">
        <v>1002</v>
      </c>
      <c r="IG100" s="9">
        <v>1025</v>
      </c>
      <c r="IH100" s="9">
        <v>1065</v>
      </c>
      <c r="II100" s="9">
        <v>1085</v>
      </c>
      <c r="IJ100" s="9">
        <v>901</v>
      </c>
      <c r="IK100" s="9">
        <v>980</v>
      </c>
      <c r="IL100" s="9">
        <v>901</v>
      </c>
      <c r="IM100" s="9">
        <v>935</v>
      </c>
      <c r="IN100" s="9">
        <v>864</v>
      </c>
      <c r="IO100" s="9"/>
      <c r="IP100" s="9">
        <v>1302</v>
      </c>
      <c r="IQ100" s="9">
        <v>1004</v>
      </c>
      <c r="IR100" s="9">
        <v>356</v>
      </c>
      <c r="IS100" s="9">
        <v>934</v>
      </c>
      <c r="IT100" s="9">
        <v>901</v>
      </c>
      <c r="IU100" s="9"/>
      <c r="IV100" s="9"/>
      <c r="IW100" s="9">
        <v>875</v>
      </c>
      <c r="IX100" s="9">
        <v>956</v>
      </c>
      <c r="IY100" s="9">
        <v>944</v>
      </c>
      <c r="IZ100" s="9">
        <v>897</v>
      </c>
      <c r="JA100" s="9">
        <v>842</v>
      </c>
      <c r="JB100" s="11">
        <v>31.07</v>
      </c>
      <c r="JC100" s="11">
        <v>39.159999999999997</v>
      </c>
      <c r="JD100" s="11">
        <v>2.3199999999999998</v>
      </c>
      <c r="JE100" s="11">
        <v>5.7</v>
      </c>
      <c r="JF100" s="11"/>
      <c r="JG100" s="11">
        <v>4.7699999999999996</v>
      </c>
      <c r="JH100" s="13">
        <v>4.5599999999999996</v>
      </c>
      <c r="JI100" s="12"/>
      <c r="JJ100" s="277"/>
      <c r="JK100" s="9">
        <v>88223510.201000005</v>
      </c>
      <c r="JL100" s="215">
        <v>283591.46600000001</v>
      </c>
      <c r="JM100" s="9">
        <v>61123420.148000002</v>
      </c>
      <c r="JN100" s="215">
        <v>63349.983999999997</v>
      </c>
      <c r="JO100" s="9">
        <v>88917345.921000004</v>
      </c>
      <c r="JP100" s="215">
        <v>189073.16800000001</v>
      </c>
      <c r="JQ100" s="9">
        <v>64701872.207999997</v>
      </c>
      <c r="JR100" s="215">
        <v>58557.144</v>
      </c>
      <c r="JS100" s="11">
        <v>334066544.05599999</v>
      </c>
      <c r="JT100" s="223">
        <v>90647.805999999997</v>
      </c>
      <c r="JU100" s="283">
        <f t="shared" ref="JU100" si="567">IF((JK100-JK99)&lt;0,"",(JK100-JK99))</f>
        <v>64042.318000003695</v>
      </c>
      <c r="JV100" s="283">
        <f t="shared" ref="JV100" si="568">IF((JL100-JL99)&lt;0,"",(JL100-JL99))</f>
        <v>8.9409999999916181</v>
      </c>
      <c r="JW100" s="283">
        <f t="shared" ref="JW100" si="569">IF((JM100-JM99)&lt;0,"",(JM100-JM99))</f>
        <v>61518.831000000238</v>
      </c>
      <c r="JX100" s="283">
        <f t="shared" ref="JX100" si="570">IF((JN100-JN99)&lt;0,"",(JN100-JN99))</f>
        <v>12.883999999998196</v>
      </c>
      <c r="JY100" s="284">
        <f t="shared" ref="JY100" si="571">IF((JO100-JO99)&lt;0,"",(JO100-JO99))</f>
        <v>61651.238000005484</v>
      </c>
      <c r="JZ100" s="284">
        <f t="shared" ref="JZ100" si="572">IF((JP100-JP99)&lt;0,"",(JP100-JP99))</f>
        <v>23.270000000018626</v>
      </c>
      <c r="KA100" s="284">
        <f t="shared" ref="KA100" si="573">IF((JQ100-JQ99)&lt;0,"",(JQ100-JQ99))</f>
        <v>49561.339999996126</v>
      </c>
      <c r="KB100" s="284">
        <f t="shared" ref="KB100" si="574">IF((JR100-JR99)&lt;0,"",(JR100-JR99))</f>
        <v>28.544000000001688</v>
      </c>
      <c r="KC100" s="283">
        <f t="shared" ref="KC100" si="575">IF((JS100-JS99)&lt;0,"",(JS100-JS99))</f>
        <v>236444.78100001812</v>
      </c>
      <c r="KD100" s="283">
        <f t="shared" ref="KD100" si="576">IF((JT100-JT99)&lt;0,"",(JT100-JT99))</f>
        <v>95.680999999996857</v>
      </c>
      <c r="KE100" s="291">
        <f t="shared" si="555"/>
        <v>125539.32400000395</v>
      </c>
      <c r="KF100" s="291">
        <f t="shared" si="556"/>
        <v>236349.10000001814</v>
      </c>
      <c r="KG100" s="292">
        <f>(RD[[#This Row],[Sunset Time (POA&lt;20 W/m2)]]-RD[[#This Row],[Sunrise Time (POA&gt;20 W/m2)]])*24</f>
        <v>13.366666666666667</v>
      </c>
      <c r="KH100" s="293">
        <f>RD[[#This Row],[GHI ]]</f>
        <v>4.7699999999999996</v>
      </c>
      <c r="KI100" s="293">
        <f>RD[[#This Row],[POA]]</f>
        <v>4.5599999999999996</v>
      </c>
      <c r="KJ100" s="293">
        <f>RD[[#This Row],[AT (°C) 14 Hours]]</f>
        <v>31.07</v>
      </c>
      <c r="KK100" s="293">
        <f>RD[[#This Row],[MT (°C) Gen. Hours]]</f>
        <v>39.159999999999997</v>
      </c>
      <c r="KL100" s="293">
        <f>RD[[#This Row],[WS_Avg (m/s) (24 Hours)]]</f>
        <v>2.3199999999999998</v>
      </c>
      <c r="KM100" s="293">
        <f>RD[[#This Row],[WS_Max (m/s)]]</f>
        <v>5.7</v>
      </c>
      <c r="KN100" s="294">
        <f>SUM(RD[[#This Row],[BLK1_INV1]:[BLK8_INV27]])</f>
        <v>237266.10000000006</v>
      </c>
      <c r="KO100" s="95"/>
      <c r="KP100" s="55"/>
      <c r="KQ100" s="90" t="str">
        <f>IFERROR(RD[[#This Row],[WPR_Eac]]/RD[[#This Row],[WPR_Edc]],"")</f>
        <v/>
      </c>
    </row>
    <row r="101" spans="2:303" ht="15" customHeight="1" x14ac:dyDescent="0.25">
      <c r="B101" s="52">
        <v>45842</v>
      </c>
      <c r="C101" s="9">
        <f>YEAR(RD[[#This Row],[Date]])+IF(MONTH(RD[[#This Row],[Date]])&gt;=4,1,0)</f>
        <v>2026</v>
      </c>
      <c r="D101" s="6">
        <f t="shared" si="544"/>
        <v>2025</v>
      </c>
      <c r="E101" s="7"/>
      <c r="F101" s="7"/>
      <c r="G101" s="367" t="str">
        <f>TEXT(RD[[#This Row],[Date]],"mmm-yy")</f>
        <v>Jul-25</v>
      </c>
      <c r="H101" s="6">
        <f t="shared" si="545"/>
        <v>31</v>
      </c>
      <c r="I101" s="9">
        <f>'Basic Data '!$S$2</f>
        <v>66750</v>
      </c>
      <c r="J101" s="10">
        <v>0.21875</v>
      </c>
      <c r="K101" s="10">
        <v>0.77500000000000002</v>
      </c>
      <c r="L101" s="9">
        <v>954</v>
      </c>
      <c r="M101" s="9">
        <v>961</v>
      </c>
      <c r="N101" s="9">
        <v>876</v>
      </c>
      <c r="O101" s="9">
        <v>888</v>
      </c>
      <c r="P101" s="9">
        <v>954</v>
      </c>
      <c r="Q101" s="9">
        <v>881</v>
      </c>
      <c r="R101" s="9">
        <v>885</v>
      </c>
      <c r="S101" s="9">
        <v>883</v>
      </c>
      <c r="T101" s="9">
        <v>891</v>
      </c>
      <c r="U101" s="9">
        <v>901</v>
      </c>
      <c r="V101" s="9">
        <v>872</v>
      </c>
      <c r="W101" s="9">
        <v>875</v>
      </c>
      <c r="X101" s="9">
        <v>875.3</v>
      </c>
      <c r="Y101" s="9">
        <v>801</v>
      </c>
      <c r="Z101" s="9">
        <v>860</v>
      </c>
      <c r="AA101" s="9">
        <v>866</v>
      </c>
      <c r="AB101" s="9">
        <v>879</v>
      </c>
      <c r="AC101" s="9">
        <v>890</v>
      </c>
      <c r="AD101" s="9">
        <v>952</v>
      </c>
      <c r="AE101" s="9">
        <v>949</v>
      </c>
      <c r="AF101" s="9">
        <v>882</v>
      </c>
      <c r="AG101" s="9">
        <v>874</v>
      </c>
      <c r="AH101" s="9">
        <v>965</v>
      </c>
      <c r="AI101" s="9">
        <v>1012</v>
      </c>
      <c r="AJ101" s="9">
        <v>966</v>
      </c>
      <c r="AK101" s="9">
        <v>978</v>
      </c>
      <c r="AL101" s="9">
        <v>971</v>
      </c>
      <c r="AM101" s="9">
        <v>990</v>
      </c>
      <c r="AN101" s="9">
        <v>1011.6</v>
      </c>
      <c r="AO101" s="9">
        <v>968.3</v>
      </c>
      <c r="AP101" s="9">
        <v>992</v>
      </c>
      <c r="AQ101" s="9">
        <v>996</v>
      </c>
      <c r="AR101" s="9">
        <v>829.5</v>
      </c>
      <c r="AS101" s="9">
        <v>1101</v>
      </c>
      <c r="AT101" s="9">
        <v>858.9</v>
      </c>
      <c r="AU101" s="9">
        <v>954.3</v>
      </c>
      <c r="AV101" s="9">
        <v>801</v>
      </c>
      <c r="AW101" s="9">
        <v>871</v>
      </c>
      <c r="AX101" s="9">
        <v>851.1</v>
      </c>
      <c r="AY101" s="9">
        <v>884.2</v>
      </c>
      <c r="AZ101" s="9">
        <v>867</v>
      </c>
      <c r="BA101" s="9">
        <v>876</v>
      </c>
      <c r="BB101" s="9">
        <v>852.4</v>
      </c>
      <c r="BC101" s="9">
        <v>855.9</v>
      </c>
      <c r="BD101" s="9">
        <v>866.2</v>
      </c>
      <c r="BE101" s="9">
        <v>876.5</v>
      </c>
      <c r="BF101" s="9">
        <v>954.7</v>
      </c>
      <c r="BG101" s="9">
        <v>872.8</v>
      </c>
      <c r="BH101" s="9">
        <v>910.1</v>
      </c>
      <c r="BI101" s="9">
        <v>897</v>
      </c>
      <c r="BJ101" s="9">
        <v>885.3</v>
      </c>
      <c r="BK101" s="9">
        <v>889.1</v>
      </c>
      <c r="BL101" s="9">
        <v>993</v>
      </c>
      <c r="BM101" s="9">
        <v>999.3</v>
      </c>
      <c r="BN101" s="9">
        <v>933.6</v>
      </c>
      <c r="BO101" s="9">
        <v>990</v>
      </c>
      <c r="BP101" s="9">
        <v>956</v>
      </c>
      <c r="BQ101" s="9">
        <v>859</v>
      </c>
      <c r="BR101" s="9">
        <v>1007.3</v>
      </c>
      <c r="BS101" s="9">
        <v>995</v>
      </c>
      <c r="BT101" s="9">
        <v>881</v>
      </c>
      <c r="BU101" s="9">
        <v>965</v>
      </c>
      <c r="BV101" s="9">
        <v>856</v>
      </c>
      <c r="BW101" s="9">
        <v>818</v>
      </c>
      <c r="BX101" s="9">
        <v>951.1</v>
      </c>
      <c r="BY101" s="9">
        <v>946.2</v>
      </c>
      <c r="BZ101" s="9">
        <v>956</v>
      </c>
      <c r="CA101" s="9">
        <v>924.1</v>
      </c>
      <c r="CB101" s="9">
        <v>859.3</v>
      </c>
      <c r="CC101" s="9">
        <v>867.4</v>
      </c>
      <c r="CD101" s="9">
        <v>872.2</v>
      </c>
      <c r="CE101" s="9">
        <v>854.9</v>
      </c>
      <c r="CF101" s="9">
        <v>876.6</v>
      </c>
      <c r="CG101" s="9">
        <v>867.5</v>
      </c>
      <c r="CH101" s="9">
        <v>968.6</v>
      </c>
      <c r="CI101" s="9">
        <v>949</v>
      </c>
      <c r="CJ101" s="9">
        <v>973.6</v>
      </c>
      <c r="CK101" s="9">
        <v>863</v>
      </c>
      <c r="CL101" s="9">
        <v>855.5</v>
      </c>
      <c r="CM101" s="9">
        <v>937.5</v>
      </c>
      <c r="CN101" s="9">
        <v>875.5</v>
      </c>
      <c r="CO101" s="9">
        <v>861</v>
      </c>
      <c r="CP101" s="9">
        <v>868.5</v>
      </c>
      <c r="CQ101" s="9">
        <v>855.7</v>
      </c>
      <c r="CR101" s="9">
        <v>842.5</v>
      </c>
      <c r="CS101" s="9">
        <v>855.9</v>
      </c>
      <c r="CT101" s="9">
        <v>844.5</v>
      </c>
      <c r="CU101" s="9">
        <v>867.5</v>
      </c>
      <c r="CV101" s="9">
        <v>856</v>
      </c>
      <c r="CW101" s="9">
        <v>854</v>
      </c>
      <c r="CX101" s="9">
        <v>909</v>
      </c>
      <c r="CY101" s="9">
        <v>912</v>
      </c>
      <c r="CZ101" s="9">
        <v>874.9</v>
      </c>
      <c r="DA101" s="9">
        <v>854</v>
      </c>
      <c r="DB101" s="9">
        <v>965</v>
      </c>
      <c r="DC101" s="9">
        <v>858.8</v>
      </c>
      <c r="DD101" s="9">
        <v>848</v>
      </c>
      <c r="DE101" s="9">
        <v>881.8</v>
      </c>
      <c r="DF101" s="9">
        <v>868.3</v>
      </c>
      <c r="DG101" s="9">
        <v>871</v>
      </c>
      <c r="DH101" s="9">
        <v>882.5</v>
      </c>
      <c r="DI101" s="9">
        <v>865.9</v>
      </c>
      <c r="DJ101" s="9">
        <v>873.7</v>
      </c>
      <c r="DK101" s="9">
        <v>858.6</v>
      </c>
      <c r="DL101" s="9">
        <v>957.9</v>
      </c>
      <c r="DM101" s="9">
        <v>851</v>
      </c>
      <c r="DN101" s="9">
        <v>977.4</v>
      </c>
      <c r="DO101" s="9">
        <v>948</v>
      </c>
      <c r="DP101" s="9">
        <v>861.5</v>
      </c>
      <c r="DQ101" s="9">
        <v>958</v>
      </c>
      <c r="DR101" s="9">
        <v>915.2</v>
      </c>
      <c r="DS101" s="9">
        <v>946.1</v>
      </c>
      <c r="DT101" s="9">
        <v>982</v>
      </c>
      <c r="DU101" s="9">
        <v>984.8</v>
      </c>
      <c r="DV101" s="9">
        <v>876.5</v>
      </c>
      <c r="DW101" s="9">
        <v>845</v>
      </c>
      <c r="DX101" s="9">
        <v>943</v>
      </c>
      <c r="DY101" s="9">
        <v>953</v>
      </c>
      <c r="DZ101" s="9">
        <v>971</v>
      </c>
      <c r="EA101" s="9">
        <v>851.3</v>
      </c>
      <c r="EB101" s="9">
        <v>861.8</v>
      </c>
      <c r="EC101" s="9">
        <v>883.5</v>
      </c>
      <c r="ED101" s="9">
        <v>918.5</v>
      </c>
      <c r="EE101" s="9">
        <v>841.5</v>
      </c>
      <c r="EF101" s="9">
        <v>846.3</v>
      </c>
      <c r="EG101" s="9">
        <v>965.8</v>
      </c>
      <c r="EH101" s="9">
        <v>809</v>
      </c>
      <c r="EI101" s="9">
        <v>851</v>
      </c>
      <c r="EJ101" s="9">
        <v>945.2</v>
      </c>
      <c r="EK101" s="9">
        <v>939.5</v>
      </c>
      <c r="EL101" s="9">
        <v>883.6</v>
      </c>
      <c r="EM101" s="9">
        <v>922.9</v>
      </c>
      <c r="EN101" s="9">
        <v>933.7</v>
      </c>
      <c r="EO101" s="9">
        <v>798</v>
      </c>
      <c r="EP101" s="9">
        <v>924</v>
      </c>
      <c r="EQ101" s="9">
        <v>921.4</v>
      </c>
      <c r="ER101" s="9">
        <v>901</v>
      </c>
      <c r="ES101" s="9">
        <v>934</v>
      </c>
      <c r="ET101" s="9">
        <v>901</v>
      </c>
      <c r="EU101" s="9">
        <v>875.7</v>
      </c>
      <c r="EV101" s="9">
        <v>929.6</v>
      </c>
      <c r="EW101" s="9">
        <v>919.3</v>
      </c>
      <c r="EX101" s="9">
        <v>877.7</v>
      </c>
      <c r="EY101" s="9">
        <v>943</v>
      </c>
      <c r="EZ101" s="9">
        <v>846.5</v>
      </c>
      <c r="FA101" s="9">
        <v>933.6</v>
      </c>
      <c r="FB101" s="9">
        <v>853</v>
      </c>
      <c r="FC101" s="9">
        <v>794.5</v>
      </c>
      <c r="FD101" s="9">
        <v>919.7</v>
      </c>
      <c r="FE101" s="9">
        <v>936.1</v>
      </c>
      <c r="FF101" s="9">
        <v>944</v>
      </c>
      <c r="FG101" s="9">
        <v>864.2</v>
      </c>
      <c r="FH101" s="9">
        <v>962.2</v>
      </c>
      <c r="FI101" s="9">
        <v>867.5</v>
      </c>
      <c r="FJ101" s="9">
        <v>854.8</v>
      </c>
      <c r="FK101" s="9">
        <v>846.5</v>
      </c>
      <c r="FL101" s="9">
        <v>855.5</v>
      </c>
      <c r="FM101" s="9">
        <v>847</v>
      </c>
      <c r="FN101" s="9">
        <v>851</v>
      </c>
      <c r="FO101" s="9">
        <v>849</v>
      </c>
      <c r="FP101" s="9">
        <v>961</v>
      </c>
      <c r="FQ101" s="9">
        <v>853.4</v>
      </c>
      <c r="FR101" s="9">
        <v>967.3</v>
      </c>
      <c r="FS101" s="9">
        <v>944.5</v>
      </c>
      <c r="FT101" s="9">
        <v>1008.3</v>
      </c>
      <c r="FU101" s="9">
        <v>884.6</v>
      </c>
      <c r="FV101" s="9">
        <v>845</v>
      </c>
      <c r="FW101" s="9">
        <v>963.2</v>
      </c>
      <c r="FX101" s="9">
        <v>861.1</v>
      </c>
      <c r="FY101" s="9">
        <v>893.1</v>
      </c>
      <c r="FZ101" s="9">
        <v>895.5</v>
      </c>
      <c r="GA101" s="9">
        <v>888.7</v>
      </c>
      <c r="GB101" s="9">
        <v>959</v>
      </c>
      <c r="GC101" s="9">
        <v>919.1</v>
      </c>
      <c r="GD101" s="9">
        <v>935</v>
      </c>
      <c r="GE101" s="9">
        <v>844</v>
      </c>
      <c r="GF101" s="9">
        <v>841.8</v>
      </c>
      <c r="GG101" s="9">
        <v>851</v>
      </c>
      <c r="GH101" s="9">
        <v>934.4</v>
      </c>
      <c r="GI101" s="9">
        <v>838.5</v>
      </c>
      <c r="GJ101" s="9">
        <v>932</v>
      </c>
      <c r="GK101" s="9">
        <v>954</v>
      </c>
      <c r="GL101" s="9">
        <v>958.1</v>
      </c>
      <c r="GM101" s="9">
        <v>867</v>
      </c>
      <c r="GN101" s="9">
        <v>934.1</v>
      </c>
      <c r="GO101" s="9">
        <v>966.9</v>
      </c>
      <c r="GP101" s="9">
        <v>897.2</v>
      </c>
      <c r="GQ101" s="9">
        <v>887.8</v>
      </c>
      <c r="GR101" s="9">
        <v>890</v>
      </c>
      <c r="GS101" s="9">
        <v>912</v>
      </c>
      <c r="GT101" s="9">
        <v>842</v>
      </c>
      <c r="GU101" s="9">
        <v>841</v>
      </c>
      <c r="GV101" s="9">
        <v>838</v>
      </c>
      <c r="GW101" s="9">
        <v>845</v>
      </c>
      <c r="GX101" s="9">
        <v>836.3</v>
      </c>
      <c r="GY101" s="9">
        <v>842</v>
      </c>
      <c r="GZ101" s="9">
        <v>718.5</v>
      </c>
      <c r="HA101" s="9">
        <v>841.6</v>
      </c>
      <c r="HB101" s="9"/>
      <c r="HC101" s="9"/>
      <c r="HD101" s="9">
        <v>764.4</v>
      </c>
      <c r="HE101" s="9">
        <v>609</v>
      </c>
      <c r="HF101" s="9">
        <v>863</v>
      </c>
      <c r="HG101" s="9"/>
      <c r="HH101" s="9">
        <v>934</v>
      </c>
      <c r="HI101" s="9">
        <v>845</v>
      </c>
      <c r="HJ101" s="9">
        <v>849</v>
      </c>
      <c r="HK101" s="9">
        <v>855</v>
      </c>
      <c r="HL101" s="9">
        <v>856</v>
      </c>
      <c r="HM101" s="9">
        <v>851</v>
      </c>
      <c r="HN101" s="9">
        <v>847</v>
      </c>
      <c r="HO101" s="9">
        <v>866.8</v>
      </c>
      <c r="HP101" s="9">
        <v>857.8</v>
      </c>
      <c r="HQ101" s="9">
        <v>861</v>
      </c>
      <c r="HR101" s="9">
        <v>863.8</v>
      </c>
      <c r="HS101" s="9">
        <v>884.6</v>
      </c>
      <c r="HT101" s="9">
        <v>962</v>
      </c>
      <c r="HU101" s="9">
        <v>956</v>
      </c>
      <c r="HV101" s="9">
        <v>761</v>
      </c>
      <c r="HW101" s="9">
        <v>751</v>
      </c>
      <c r="HX101" s="9">
        <v>654</v>
      </c>
      <c r="HY101" s="9">
        <v>554</v>
      </c>
      <c r="HZ101" s="9">
        <v>671</v>
      </c>
      <c r="IA101" s="9">
        <v>764.1</v>
      </c>
      <c r="IB101" s="9">
        <v>912.3</v>
      </c>
      <c r="IC101" s="9">
        <v>976.2</v>
      </c>
      <c r="ID101" s="9">
        <v>921</v>
      </c>
      <c r="IE101" s="9">
        <v>935</v>
      </c>
      <c r="IF101" s="9">
        <v>922.2</v>
      </c>
      <c r="IG101" s="9">
        <v>925.5</v>
      </c>
      <c r="IH101" s="9">
        <v>972.6</v>
      </c>
      <c r="II101" s="9">
        <v>965</v>
      </c>
      <c r="IJ101" s="9">
        <v>823</v>
      </c>
      <c r="IK101" s="9">
        <v>891</v>
      </c>
      <c r="IL101" s="9">
        <v>844</v>
      </c>
      <c r="IM101" s="9">
        <v>869</v>
      </c>
      <c r="IN101" s="9">
        <v>810</v>
      </c>
      <c r="IO101" s="9"/>
      <c r="IP101" s="9">
        <v>1181</v>
      </c>
      <c r="IQ101" s="9">
        <v>941</v>
      </c>
      <c r="IR101" s="9">
        <v>321</v>
      </c>
      <c r="IS101" s="9">
        <v>854</v>
      </c>
      <c r="IT101" s="9">
        <v>834</v>
      </c>
      <c r="IU101" s="9"/>
      <c r="IV101" s="9"/>
      <c r="IW101" s="9">
        <v>801</v>
      </c>
      <c r="IX101" s="9">
        <v>878</v>
      </c>
      <c r="IY101" s="9">
        <v>888</v>
      </c>
      <c r="IZ101" s="9">
        <v>823</v>
      </c>
      <c r="JA101" s="9">
        <v>790</v>
      </c>
      <c r="JB101" s="11">
        <v>30.97</v>
      </c>
      <c r="JC101" s="11">
        <v>40.04</v>
      </c>
      <c r="JD101" s="11">
        <v>1.49</v>
      </c>
      <c r="JE101" s="11">
        <v>7.5</v>
      </c>
      <c r="JF101" s="11"/>
      <c r="JG101" s="11">
        <v>4.55</v>
      </c>
      <c r="JH101" s="13">
        <v>4.1500000000000004</v>
      </c>
      <c r="JI101" s="12"/>
      <c r="JJ101" s="277"/>
      <c r="JK101" s="9">
        <v>88282690.988000005</v>
      </c>
      <c r="JL101" s="260">
        <v>283600.40700000001</v>
      </c>
      <c r="JM101" s="9">
        <v>61178438.590999998</v>
      </c>
      <c r="JN101" s="260">
        <v>63362.868000000002</v>
      </c>
      <c r="JO101" s="9">
        <v>88973969.421000004</v>
      </c>
      <c r="JP101" s="260">
        <v>189096.43799999999</v>
      </c>
      <c r="JQ101" s="9">
        <v>64745685.766000003</v>
      </c>
      <c r="JR101" s="260">
        <v>58585.688000000002</v>
      </c>
      <c r="JS101" s="11">
        <v>334281509.68900001</v>
      </c>
      <c r="JT101" s="289">
        <v>90743.486999999994</v>
      </c>
      <c r="JU101" s="283">
        <f t="shared" ref="JU101" si="577">IF((JK101-JK100)&lt;0,"",(JK101-JK100))</f>
        <v>59180.787000000477</v>
      </c>
      <c r="JV101" s="283">
        <f t="shared" ref="JV101" si="578">IF((JL101-JL100)&lt;0,"",(JL101-JL100))</f>
        <v>8.9409999999916181</v>
      </c>
      <c r="JW101" s="283">
        <f t="shared" ref="JW101" si="579">IF((JM101-JM100)&lt;0,"",(JM101-JM100))</f>
        <v>55018.442999996245</v>
      </c>
      <c r="JX101" s="283">
        <f t="shared" ref="JX101" si="580">IF((JN101-JN100)&lt;0,"",(JN101-JN100))</f>
        <v>12.884000000005472</v>
      </c>
      <c r="JY101" s="284">
        <f t="shared" ref="JY101" si="581">IF((JO101-JO100)&lt;0,"",(JO101-JO100))</f>
        <v>56623.5</v>
      </c>
      <c r="JZ101" s="284">
        <f t="shared" ref="JZ101" si="582">IF((JP101-JP100)&lt;0,"",(JP101-JP100))</f>
        <v>23.269999999989523</v>
      </c>
      <c r="KA101" s="284">
        <f t="shared" ref="KA101" si="583">IF((JQ101-JQ100)&lt;0,"",(JQ101-JQ100))</f>
        <v>43813.558000005782</v>
      </c>
      <c r="KB101" s="284">
        <f t="shared" ref="KB101" si="584">IF((JR101-JR100)&lt;0,"",(JR101-JR100))</f>
        <v>28.544000000001688</v>
      </c>
      <c r="KC101" s="283">
        <f t="shared" ref="KC101" si="585">IF((JS101-JS100)&lt;0,"",(JS101-JS100))</f>
        <v>214965.63300001621</v>
      </c>
      <c r="KD101" s="283">
        <f t="shared" ref="KD101" si="586">IF((JT101-JT100)&lt;0,"",(JT101-JT100))</f>
        <v>95.680999999996857</v>
      </c>
      <c r="KE101" s="291">
        <f t="shared" si="555"/>
        <v>114177.40499999672</v>
      </c>
      <c r="KF101" s="291">
        <f t="shared" si="556"/>
        <v>214869.95200001623</v>
      </c>
      <c r="KG101" s="292">
        <f>(RD[[#This Row],[Sunset Time (POA&lt;20 W/m2)]]-RD[[#This Row],[Sunrise Time (POA&gt;20 W/m2)]])*24</f>
        <v>13.350000000000001</v>
      </c>
      <c r="KH101" s="293">
        <f>RD[[#This Row],[GHI ]]</f>
        <v>4.55</v>
      </c>
      <c r="KI101" s="293">
        <f>RD[[#This Row],[POA]]</f>
        <v>4.1500000000000004</v>
      </c>
      <c r="KJ101" s="293">
        <f>RD[[#This Row],[AT (°C) 14 Hours]]</f>
        <v>30.97</v>
      </c>
      <c r="KK101" s="293">
        <f>RD[[#This Row],[MT (°C) Gen. Hours]]</f>
        <v>40.04</v>
      </c>
      <c r="KL101" s="293">
        <f>RD[[#This Row],[WS_Avg (m/s) (24 Hours)]]</f>
        <v>1.49</v>
      </c>
      <c r="KM101" s="293">
        <f>RD[[#This Row],[WS_Max (m/s)]]</f>
        <v>7.5</v>
      </c>
      <c r="KN101" s="294">
        <f>SUM(RD[[#This Row],[BLK1_INV1]:[BLK8_INV27]])</f>
        <v>216167.60000000003</v>
      </c>
      <c r="KO101" s="95"/>
      <c r="KP101" s="55"/>
      <c r="KQ101" s="90" t="str">
        <f>IFERROR(RD[[#This Row],[WPR_Eac]]/RD[[#This Row],[WPR_Edc]],"")</f>
        <v/>
      </c>
    </row>
    <row r="102" spans="2:303" ht="15" customHeight="1" x14ac:dyDescent="0.25">
      <c r="B102" s="52">
        <v>45843</v>
      </c>
      <c r="C102" s="9">
        <f>YEAR(RD[[#This Row],[Date]])+IF(MONTH(RD[[#This Row],[Date]])&gt;=4,1,0)</f>
        <v>2026</v>
      </c>
      <c r="D102" s="6">
        <f t="shared" si="544"/>
        <v>2025</v>
      </c>
      <c r="E102" s="7"/>
      <c r="F102" s="7"/>
      <c r="G102" s="367" t="str">
        <f>TEXT(RD[[#This Row],[Date]],"mmm-yy")</f>
        <v>Jul-25</v>
      </c>
      <c r="H102" s="6">
        <f t="shared" si="545"/>
        <v>31</v>
      </c>
      <c r="I102" s="9">
        <f>'Basic Data '!$S$2</f>
        <v>66750</v>
      </c>
      <c r="J102" s="10">
        <v>0.22847222222222222</v>
      </c>
      <c r="K102" s="10">
        <v>0.77916666666666667</v>
      </c>
      <c r="L102" s="9">
        <v>1150.0999999999999</v>
      </c>
      <c r="M102" s="9">
        <v>1170.7</v>
      </c>
      <c r="N102" s="9">
        <v>1077.3</v>
      </c>
      <c r="O102" s="9">
        <v>1072.9000000000001</v>
      </c>
      <c r="P102" s="9">
        <v>1161.3</v>
      </c>
      <c r="Q102" s="9">
        <v>1069.9000000000001</v>
      </c>
      <c r="R102" s="9">
        <v>1073</v>
      </c>
      <c r="S102" s="9">
        <v>1077.5</v>
      </c>
      <c r="T102" s="9">
        <v>1036.3</v>
      </c>
      <c r="U102" s="9">
        <v>1119.9000000000001</v>
      </c>
      <c r="V102" s="9">
        <v>1087.9000000000001</v>
      </c>
      <c r="W102" s="9">
        <v>1085.2</v>
      </c>
      <c r="X102" s="9">
        <v>1049</v>
      </c>
      <c r="Y102" s="9">
        <v>1013.2</v>
      </c>
      <c r="Z102" s="9">
        <v>1074.0999999999999</v>
      </c>
      <c r="AA102" s="9">
        <v>1073.8</v>
      </c>
      <c r="AB102" s="9">
        <v>1047</v>
      </c>
      <c r="AC102" s="9">
        <v>1047.0999999999999</v>
      </c>
      <c r="AD102" s="9">
        <v>1137.5</v>
      </c>
      <c r="AE102" s="9">
        <v>1140.0999999999999</v>
      </c>
      <c r="AF102" s="9">
        <v>1070.5</v>
      </c>
      <c r="AG102" s="9">
        <v>1080.3</v>
      </c>
      <c r="AH102" s="9">
        <v>1144.2</v>
      </c>
      <c r="AI102" s="9">
        <v>1219.5</v>
      </c>
      <c r="AJ102" s="9">
        <v>1153.5</v>
      </c>
      <c r="AK102" s="9">
        <v>1150.9000000000001</v>
      </c>
      <c r="AL102" s="9">
        <v>1149.8</v>
      </c>
      <c r="AM102" s="9">
        <v>1202.3</v>
      </c>
      <c r="AN102" s="9">
        <v>1203.2</v>
      </c>
      <c r="AO102" s="9">
        <v>1162.5</v>
      </c>
      <c r="AP102" s="9">
        <v>1195.5</v>
      </c>
      <c r="AQ102" s="9">
        <v>1203.8</v>
      </c>
      <c r="AR102" s="9">
        <v>994.8</v>
      </c>
      <c r="AS102" s="9">
        <v>1354</v>
      </c>
      <c r="AT102" s="9">
        <v>1032.7</v>
      </c>
      <c r="AU102" s="9">
        <v>1147.2</v>
      </c>
      <c r="AV102" s="9">
        <v>1020</v>
      </c>
      <c r="AW102" s="9">
        <v>1023</v>
      </c>
      <c r="AX102" s="9">
        <v>1015.2</v>
      </c>
      <c r="AY102" s="9">
        <v>1012</v>
      </c>
      <c r="AZ102" s="9">
        <v>1026</v>
      </c>
      <c r="BA102" s="9">
        <v>1012</v>
      </c>
      <c r="BB102" s="9">
        <v>1021.8</v>
      </c>
      <c r="BC102" s="9">
        <v>1034.8</v>
      </c>
      <c r="BD102" s="9">
        <v>1041.3</v>
      </c>
      <c r="BE102" s="9">
        <v>1055.5999999999999</v>
      </c>
      <c r="BF102" s="9">
        <v>1142.9000000000001</v>
      </c>
      <c r="BG102" s="9">
        <v>1040.5</v>
      </c>
      <c r="BH102" s="9">
        <v>1104.8</v>
      </c>
      <c r="BI102" s="9">
        <v>1090.2</v>
      </c>
      <c r="BJ102" s="9">
        <v>1062.2</v>
      </c>
      <c r="BK102" s="9">
        <v>1069.3</v>
      </c>
      <c r="BL102" s="9">
        <v>1226.5999999999999</v>
      </c>
      <c r="BM102" s="9">
        <v>1192.5</v>
      </c>
      <c r="BN102" s="9">
        <v>1133</v>
      </c>
      <c r="BO102" s="9">
        <v>1227.9000000000001</v>
      </c>
      <c r="BP102" s="9">
        <v>1112</v>
      </c>
      <c r="BQ102" s="9">
        <v>1077.4000000000001</v>
      </c>
      <c r="BR102" s="9">
        <v>1194.3</v>
      </c>
      <c r="BS102" s="9">
        <v>1208.7</v>
      </c>
      <c r="BT102" s="9">
        <v>1055.8</v>
      </c>
      <c r="BU102" s="9">
        <v>1206.9000000000001</v>
      </c>
      <c r="BV102" s="9">
        <v>1065.4000000000001</v>
      </c>
      <c r="BW102" s="9">
        <v>990</v>
      </c>
      <c r="BX102" s="9">
        <v>1171</v>
      </c>
      <c r="BY102" s="9">
        <v>1176</v>
      </c>
      <c r="BZ102" s="9">
        <v>1175</v>
      </c>
      <c r="CA102" s="9">
        <v>1169</v>
      </c>
      <c r="CB102" s="9">
        <v>1046</v>
      </c>
      <c r="CC102" s="9">
        <v>1054</v>
      </c>
      <c r="CD102" s="9">
        <v>1049</v>
      </c>
      <c r="CE102" s="9">
        <v>1043</v>
      </c>
      <c r="CF102" s="9">
        <v>1049</v>
      </c>
      <c r="CG102" s="9">
        <v>1090</v>
      </c>
      <c r="CH102" s="9">
        <v>1197</v>
      </c>
      <c r="CI102" s="9">
        <v>1193</v>
      </c>
      <c r="CJ102" s="9">
        <v>1222</v>
      </c>
      <c r="CK102" s="9">
        <v>1090</v>
      </c>
      <c r="CL102" s="9">
        <v>1091</v>
      </c>
      <c r="CM102" s="9">
        <v>1184</v>
      </c>
      <c r="CN102" s="9">
        <v>1078</v>
      </c>
      <c r="CO102" s="9">
        <v>1101</v>
      </c>
      <c r="CP102" s="9">
        <v>1083</v>
      </c>
      <c r="CQ102" s="9">
        <v>1083</v>
      </c>
      <c r="CR102" s="9">
        <v>1070.9000000000001</v>
      </c>
      <c r="CS102" s="9">
        <v>1087.8</v>
      </c>
      <c r="CT102" s="9">
        <v>1073.9000000000001</v>
      </c>
      <c r="CU102" s="9">
        <v>1075</v>
      </c>
      <c r="CV102" s="9">
        <v>1047</v>
      </c>
      <c r="CW102" s="9">
        <v>1043</v>
      </c>
      <c r="CX102" s="9">
        <v>1140.3</v>
      </c>
      <c r="CY102" s="9">
        <v>1121</v>
      </c>
      <c r="CZ102" s="9">
        <v>1114.5</v>
      </c>
      <c r="DA102" s="9">
        <v>1100.9000000000001</v>
      </c>
      <c r="DB102" s="9">
        <v>1231</v>
      </c>
      <c r="DC102" s="9">
        <v>1112.3</v>
      </c>
      <c r="DD102" s="9">
        <v>1062</v>
      </c>
      <c r="DE102" s="9">
        <v>1128.9000000000001</v>
      </c>
      <c r="DF102" s="9">
        <v>1109.8</v>
      </c>
      <c r="DG102" s="9">
        <v>1115.3</v>
      </c>
      <c r="DH102" s="9">
        <v>1132.9000000000001</v>
      </c>
      <c r="DI102" s="9">
        <v>1114.2</v>
      </c>
      <c r="DJ102" s="9">
        <v>1129.4000000000001</v>
      </c>
      <c r="DK102" s="9">
        <v>1114.5</v>
      </c>
      <c r="DL102" s="9">
        <v>1237.5</v>
      </c>
      <c r="DM102" s="9">
        <v>1100</v>
      </c>
      <c r="DN102" s="9">
        <v>1273</v>
      </c>
      <c r="DO102" s="9">
        <v>1255.5</v>
      </c>
      <c r="DP102" s="9">
        <v>1101.9000000000001</v>
      </c>
      <c r="DQ102" s="9">
        <v>1252.0999999999999</v>
      </c>
      <c r="DR102" s="9">
        <v>1199.9000000000001</v>
      </c>
      <c r="DS102" s="9">
        <v>1193.7</v>
      </c>
      <c r="DT102" s="9">
        <v>1247</v>
      </c>
      <c r="DU102" s="9">
        <v>1246</v>
      </c>
      <c r="DV102" s="9">
        <v>1119.8</v>
      </c>
      <c r="DW102" s="9">
        <v>1063</v>
      </c>
      <c r="DX102" s="9">
        <v>1194</v>
      </c>
      <c r="DY102" s="9">
        <v>1204.0999999999999</v>
      </c>
      <c r="DZ102" s="9">
        <v>1254.8</v>
      </c>
      <c r="EA102" s="9">
        <v>1119.2</v>
      </c>
      <c r="EB102" s="9">
        <v>1113.5999999999999</v>
      </c>
      <c r="EC102" s="9">
        <v>1169.0999999999999</v>
      </c>
      <c r="ED102" s="9">
        <v>1213.3</v>
      </c>
      <c r="EE102" s="9">
        <v>1090.8</v>
      </c>
      <c r="EF102" s="9">
        <v>1099.5</v>
      </c>
      <c r="EG102" s="9">
        <v>1267</v>
      </c>
      <c r="EH102" s="9">
        <v>1021</v>
      </c>
      <c r="EI102" s="9">
        <v>1009</v>
      </c>
      <c r="EJ102" s="9">
        <v>1135.8</v>
      </c>
      <c r="EK102" s="9">
        <v>1135</v>
      </c>
      <c r="EL102" s="9">
        <v>1098</v>
      </c>
      <c r="EM102" s="9">
        <v>1098.9000000000001</v>
      </c>
      <c r="EN102" s="9">
        <v>1113</v>
      </c>
      <c r="EO102" s="9">
        <v>934</v>
      </c>
      <c r="EP102" s="9">
        <v>1095</v>
      </c>
      <c r="EQ102" s="9">
        <v>1112</v>
      </c>
      <c r="ER102" s="9">
        <v>1097</v>
      </c>
      <c r="ES102" s="9">
        <v>1124.7</v>
      </c>
      <c r="ET102" s="9">
        <v>1071</v>
      </c>
      <c r="EU102" s="9">
        <v>1023</v>
      </c>
      <c r="EV102" s="9">
        <v>1104.4000000000001</v>
      </c>
      <c r="EW102" s="9">
        <v>1119</v>
      </c>
      <c r="EX102" s="9">
        <v>1034.4000000000001</v>
      </c>
      <c r="EY102" s="9">
        <v>1101</v>
      </c>
      <c r="EZ102" s="9">
        <v>1011</v>
      </c>
      <c r="FA102" s="9">
        <v>1114</v>
      </c>
      <c r="FB102" s="9">
        <v>1027.7</v>
      </c>
      <c r="FC102" s="9">
        <v>931</v>
      </c>
      <c r="FD102" s="9">
        <v>1106</v>
      </c>
      <c r="FE102" s="9">
        <v>1110</v>
      </c>
      <c r="FF102" s="9">
        <v>1101</v>
      </c>
      <c r="FG102" s="9">
        <v>1033</v>
      </c>
      <c r="FH102" s="9">
        <v>1162.5999999999999</v>
      </c>
      <c r="FI102" s="9">
        <v>1032</v>
      </c>
      <c r="FJ102" s="9">
        <v>1023</v>
      </c>
      <c r="FK102" s="9">
        <v>1034.5999999999999</v>
      </c>
      <c r="FL102" s="9">
        <v>1019</v>
      </c>
      <c r="FM102" s="9">
        <v>1026.5999999999999</v>
      </c>
      <c r="FN102" s="9">
        <v>1060.8</v>
      </c>
      <c r="FO102" s="9">
        <v>1039.5</v>
      </c>
      <c r="FP102" s="9">
        <v>1172.4000000000001</v>
      </c>
      <c r="FQ102" s="9">
        <v>1034</v>
      </c>
      <c r="FR102" s="9">
        <v>1165</v>
      </c>
      <c r="FS102" s="9">
        <v>1171</v>
      </c>
      <c r="FT102" s="9">
        <v>1190.9000000000001</v>
      </c>
      <c r="FU102" s="9">
        <v>1074</v>
      </c>
      <c r="FV102" s="9">
        <v>1056</v>
      </c>
      <c r="FW102" s="9">
        <v>1181</v>
      </c>
      <c r="FX102" s="9">
        <v>1057</v>
      </c>
      <c r="FY102" s="9">
        <v>1074.9000000000001</v>
      </c>
      <c r="FZ102" s="9">
        <v>1074</v>
      </c>
      <c r="GA102" s="9">
        <v>1082</v>
      </c>
      <c r="GB102" s="9">
        <v>1176</v>
      </c>
      <c r="GC102" s="9">
        <v>1099.7</v>
      </c>
      <c r="GD102" s="9">
        <v>1143</v>
      </c>
      <c r="GE102" s="9">
        <v>1016</v>
      </c>
      <c r="GF102" s="9">
        <v>1035</v>
      </c>
      <c r="GG102" s="9">
        <v>1033</v>
      </c>
      <c r="GH102" s="9">
        <v>1165</v>
      </c>
      <c r="GI102" s="9">
        <v>1067</v>
      </c>
      <c r="GJ102" s="9">
        <v>1132</v>
      </c>
      <c r="GK102" s="9">
        <v>1172</v>
      </c>
      <c r="GL102" s="9">
        <v>1174</v>
      </c>
      <c r="GM102" s="9">
        <v>1135.9000000000001</v>
      </c>
      <c r="GN102" s="9">
        <v>1120.5999999999999</v>
      </c>
      <c r="GO102" s="9">
        <v>1168</v>
      </c>
      <c r="GP102" s="9">
        <v>1091.5</v>
      </c>
      <c r="GQ102" s="9">
        <v>1076</v>
      </c>
      <c r="GR102" s="9">
        <v>1023</v>
      </c>
      <c r="GS102" s="9">
        <v>1045</v>
      </c>
      <c r="GT102" s="9">
        <v>1063.3</v>
      </c>
      <c r="GU102" s="9">
        <v>1092</v>
      </c>
      <c r="GV102" s="9">
        <v>1065</v>
      </c>
      <c r="GW102" s="9">
        <v>1045</v>
      </c>
      <c r="GX102" s="9">
        <v>1090.9000000000001</v>
      </c>
      <c r="GY102" s="9">
        <v>1045</v>
      </c>
      <c r="GZ102" s="9">
        <v>916.4</v>
      </c>
      <c r="HA102" s="9">
        <v>1090.5999999999999</v>
      </c>
      <c r="HB102" s="9"/>
      <c r="HC102" s="9"/>
      <c r="HD102" s="9">
        <v>962.8</v>
      </c>
      <c r="HE102" s="9">
        <v>764</v>
      </c>
      <c r="HF102" s="9">
        <v>1067</v>
      </c>
      <c r="HG102" s="9"/>
      <c r="HH102" s="9">
        <v>1159</v>
      </c>
      <c r="HI102" s="9">
        <v>1053</v>
      </c>
      <c r="HJ102" s="9">
        <v>1057</v>
      </c>
      <c r="HK102" s="9">
        <v>1080.0999999999999</v>
      </c>
      <c r="HL102" s="9">
        <v>1091.9000000000001</v>
      </c>
      <c r="HM102" s="9">
        <v>1102.5</v>
      </c>
      <c r="HN102" s="9">
        <v>1098.3</v>
      </c>
      <c r="HO102" s="9">
        <v>1136.7</v>
      </c>
      <c r="HP102" s="9">
        <v>1114.7</v>
      </c>
      <c r="HQ102" s="9">
        <v>1074.5999999999999</v>
      </c>
      <c r="HR102" s="9">
        <v>1109.7</v>
      </c>
      <c r="HS102" s="9">
        <v>1124.0999999999999</v>
      </c>
      <c r="HT102" s="9">
        <v>1185</v>
      </c>
      <c r="HU102" s="9">
        <v>1275.2</v>
      </c>
      <c r="HV102" s="9">
        <v>956</v>
      </c>
      <c r="HW102" s="9">
        <v>959</v>
      </c>
      <c r="HX102" s="9">
        <v>821</v>
      </c>
      <c r="HY102" s="9">
        <v>682</v>
      </c>
      <c r="HZ102" s="9">
        <v>855.2</v>
      </c>
      <c r="IA102" s="9">
        <v>1010.3</v>
      </c>
      <c r="IB102" s="9">
        <v>1189.9000000000001</v>
      </c>
      <c r="IC102" s="9">
        <v>1299.2</v>
      </c>
      <c r="ID102" s="9">
        <v>1245.3</v>
      </c>
      <c r="IE102" s="9">
        <v>1224.5999999999999</v>
      </c>
      <c r="IF102" s="9">
        <v>1201</v>
      </c>
      <c r="IG102" s="9">
        <v>1251.5</v>
      </c>
      <c r="IH102" s="9">
        <v>1288.7</v>
      </c>
      <c r="II102" s="9">
        <v>1292.8</v>
      </c>
      <c r="IJ102" s="9">
        <v>1058.5</v>
      </c>
      <c r="IK102" s="9">
        <v>1157</v>
      </c>
      <c r="IL102" s="9">
        <v>1044.3</v>
      </c>
      <c r="IM102" s="9">
        <v>1101.8</v>
      </c>
      <c r="IN102" s="9">
        <v>1020.2</v>
      </c>
      <c r="IO102" s="9"/>
      <c r="IP102" s="9">
        <v>1500.5</v>
      </c>
      <c r="IQ102" s="9">
        <v>1167.5999999999999</v>
      </c>
      <c r="IR102" s="9">
        <v>409</v>
      </c>
      <c r="IS102" s="9">
        <v>1100.8</v>
      </c>
      <c r="IT102" s="9">
        <v>1066.8</v>
      </c>
      <c r="IU102" s="9"/>
      <c r="IV102" s="9"/>
      <c r="IW102" s="9">
        <v>1004</v>
      </c>
      <c r="IX102" s="9">
        <v>1064</v>
      </c>
      <c r="IY102" s="9">
        <v>1103</v>
      </c>
      <c r="IZ102" s="9">
        <v>1012</v>
      </c>
      <c r="JA102" s="9">
        <v>945.5</v>
      </c>
      <c r="JB102" s="11">
        <v>31.55</v>
      </c>
      <c r="JC102" s="11">
        <v>42.78</v>
      </c>
      <c r="JD102" s="11">
        <v>1.29</v>
      </c>
      <c r="JE102" s="11">
        <v>4.3</v>
      </c>
      <c r="JF102" s="11"/>
      <c r="JG102" s="11">
        <v>5.37</v>
      </c>
      <c r="JH102" s="13">
        <v>5.13</v>
      </c>
      <c r="JI102" s="12"/>
      <c r="JJ102" s="277"/>
      <c r="JK102" s="9">
        <v>88353150.305000007</v>
      </c>
      <c r="JL102" s="215">
        <v>283609.348</v>
      </c>
      <c r="JM102" s="9">
        <v>61249233.387000002</v>
      </c>
      <c r="JN102" s="215">
        <v>63375.752</v>
      </c>
      <c r="JO102" s="9">
        <v>89042191.268000007</v>
      </c>
      <c r="JP102" s="215">
        <v>189119.70800000001</v>
      </c>
      <c r="JQ102" s="9">
        <v>64803443.715000004</v>
      </c>
      <c r="JR102" s="215">
        <v>58614.232000000004</v>
      </c>
      <c r="JS102" s="11">
        <v>334547631.73699999</v>
      </c>
      <c r="JT102" s="223">
        <v>90839.168000000005</v>
      </c>
      <c r="JU102" s="283">
        <f t="shared" ref="JU102" si="587">IF((JK102-JK101)&lt;0,"",(JK102-JK101))</f>
        <v>70459.317000001669</v>
      </c>
      <c r="JV102" s="283">
        <f t="shared" ref="JV102" si="588">IF((JL102-JL101)&lt;0,"",(JL102-JL101))</f>
        <v>8.9409999999916181</v>
      </c>
      <c r="JW102" s="283">
        <f t="shared" ref="JW102" si="589">IF((JM102-JM101)&lt;0,"",(JM102-JM101))</f>
        <v>70794.796000003815</v>
      </c>
      <c r="JX102" s="283">
        <f t="shared" ref="JX102" si="590">IF((JN102-JN101)&lt;0,"",(JN102-JN101))</f>
        <v>12.883999999998196</v>
      </c>
      <c r="JY102" s="284">
        <f t="shared" ref="JY102" si="591">IF((JO102-JO101)&lt;0,"",(JO102-JO101))</f>
        <v>68221.847000002861</v>
      </c>
      <c r="JZ102" s="284">
        <f t="shared" ref="JZ102" si="592">IF((JP102-JP101)&lt;0,"",(JP102-JP101))</f>
        <v>23.270000000018626</v>
      </c>
      <c r="KA102" s="284">
        <f t="shared" ref="KA102" si="593">IF((JQ102-JQ101)&lt;0,"",(JQ102-JQ101))</f>
        <v>57757.949000000954</v>
      </c>
      <c r="KB102" s="284">
        <f t="shared" ref="KB102" si="594">IF((JR102-JR101)&lt;0,"",(JR102-JR101))</f>
        <v>28.544000000001688</v>
      </c>
      <c r="KC102" s="283">
        <f t="shared" ref="KC102" si="595">IF((JS102-JS101)&lt;0,"",(JS102-JS101))</f>
        <v>266122.04799997807</v>
      </c>
      <c r="KD102" s="283">
        <f t="shared" ref="KD102" si="596">IF((JT102-JT101)&lt;0,"",(JT102-JT101))</f>
        <v>95.681000000011409</v>
      </c>
      <c r="KE102" s="291">
        <f t="shared" si="555"/>
        <v>141232.2880000055</v>
      </c>
      <c r="KF102" s="291">
        <f t="shared" si="556"/>
        <v>266026.36699997808</v>
      </c>
      <c r="KG102" s="292">
        <f>(RD[[#This Row],[Sunset Time (POA&lt;20 W/m2)]]-RD[[#This Row],[Sunrise Time (POA&gt;20 W/m2)]])*24</f>
        <v>13.216666666666669</v>
      </c>
      <c r="KH102" s="293">
        <f>RD[[#This Row],[GHI ]]</f>
        <v>5.37</v>
      </c>
      <c r="KI102" s="293">
        <f>RD[[#This Row],[POA]]</f>
        <v>5.13</v>
      </c>
      <c r="KJ102" s="293">
        <f>RD[[#This Row],[AT (°C) 14 Hours]]</f>
        <v>31.55</v>
      </c>
      <c r="KK102" s="293">
        <f>RD[[#This Row],[MT (°C) Gen. Hours]]</f>
        <v>42.78</v>
      </c>
      <c r="KL102" s="293">
        <f>RD[[#This Row],[WS_Avg (m/s) (24 Hours)]]</f>
        <v>1.29</v>
      </c>
      <c r="KM102" s="293">
        <f>RD[[#This Row],[WS_Max (m/s)]]</f>
        <v>4.3</v>
      </c>
      <c r="KN102" s="294">
        <f>SUM(RD[[#This Row],[BLK1_INV1]:[BLK8_INV27]])</f>
        <v>267586.69999999995</v>
      </c>
      <c r="KO102" s="95"/>
      <c r="KP102" s="55"/>
      <c r="KQ102" s="90" t="str">
        <f>IFERROR(RD[[#This Row],[WPR_Eac]]/RD[[#This Row],[WPR_Edc]],"")</f>
        <v/>
      </c>
    </row>
    <row r="103" spans="2:303" ht="15" customHeight="1" x14ac:dyDescent="0.25">
      <c r="B103" s="52">
        <v>45844</v>
      </c>
      <c r="C103" s="9">
        <f>YEAR(RD[[#This Row],[Date]])+IF(MONTH(RD[[#This Row],[Date]])&gt;=4,1,0)</f>
        <v>2026</v>
      </c>
      <c r="D103" s="6">
        <f t="shared" si="544"/>
        <v>2025</v>
      </c>
      <c r="E103" s="7"/>
      <c r="F103" s="7"/>
      <c r="G103" s="367" t="str">
        <f>TEXT(RD[[#This Row],[Date]],"mmm-yy")</f>
        <v>Jul-25</v>
      </c>
      <c r="H103" s="6">
        <f t="shared" si="545"/>
        <v>31</v>
      </c>
      <c r="I103" s="9">
        <f>'Basic Data '!$S$2</f>
        <v>66750</v>
      </c>
      <c r="J103" s="10">
        <v>0.21875</v>
      </c>
      <c r="K103" s="10">
        <v>0.76874999999999993</v>
      </c>
      <c r="L103" s="9">
        <v>991.3</v>
      </c>
      <c r="M103" s="9">
        <v>1012.5</v>
      </c>
      <c r="N103" s="9">
        <v>936.5</v>
      </c>
      <c r="O103" s="9">
        <v>935.7</v>
      </c>
      <c r="P103" s="9">
        <v>1003.6</v>
      </c>
      <c r="Q103" s="9">
        <v>925</v>
      </c>
      <c r="R103" s="9">
        <v>932.6</v>
      </c>
      <c r="S103" s="9">
        <v>935.2</v>
      </c>
      <c r="T103" s="9">
        <v>962.2</v>
      </c>
      <c r="U103" s="9">
        <v>967.9</v>
      </c>
      <c r="V103" s="9">
        <v>939</v>
      </c>
      <c r="W103" s="9">
        <v>946.3</v>
      </c>
      <c r="X103" s="9">
        <v>937</v>
      </c>
      <c r="Y103" s="9">
        <v>873.7</v>
      </c>
      <c r="Z103" s="9">
        <v>928.4</v>
      </c>
      <c r="AA103" s="9">
        <v>923.3</v>
      </c>
      <c r="AB103" s="9">
        <v>925.6</v>
      </c>
      <c r="AC103" s="9">
        <v>923.2</v>
      </c>
      <c r="AD103" s="9">
        <v>1002.8</v>
      </c>
      <c r="AE103" s="9">
        <v>1002.9</v>
      </c>
      <c r="AF103" s="9">
        <v>930.5</v>
      </c>
      <c r="AG103" s="9">
        <v>929.5</v>
      </c>
      <c r="AH103" s="9">
        <v>991</v>
      </c>
      <c r="AI103" s="9">
        <v>1051</v>
      </c>
      <c r="AJ103" s="9">
        <v>1012.8</v>
      </c>
      <c r="AK103" s="9">
        <v>1003.9</v>
      </c>
      <c r="AL103" s="9">
        <v>996.8</v>
      </c>
      <c r="AM103" s="9">
        <v>1039.473</v>
      </c>
      <c r="AN103" s="9">
        <v>1046.5</v>
      </c>
      <c r="AO103" s="9">
        <v>1036.2</v>
      </c>
      <c r="AP103" s="9">
        <v>1035.5</v>
      </c>
      <c r="AQ103" s="9">
        <v>1045.2</v>
      </c>
      <c r="AR103" s="9">
        <v>882</v>
      </c>
      <c r="AS103" s="9">
        <v>1172</v>
      </c>
      <c r="AT103" s="9">
        <v>917.1</v>
      </c>
      <c r="AU103" s="9">
        <v>1018.8</v>
      </c>
      <c r="AV103" s="9">
        <v>925.8</v>
      </c>
      <c r="AW103" s="9">
        <v>912</v>
      </c>
      <c r="AX103" s="9">
        <v>909</v>
      </c>
      <c r="AY103" s="9">
        <v>913.5</v>
      </c>
      <c r="AZ103" s="9">
        <v>915</v>
      </c>
      <c r="BA103" s="9">
        <v>921</v>
      </c>
      <c r="BB103" s="9">
        <v>919</v>
      </c>
      <c r="BC103" s="9">
        <v>929</v>
      </c>
      <c r="BD103" s="9">
        <v>924</v>
      </c>
      <c r="BE103" s="9">
        <v>909.5</v>
      </c>
      <c r="BF103" s="9">
        <v>991</v>
      </c>
      <c r="BG103" s="9">
        <v>925</v>
      </c>
      <c r="BH103" s="9">
        <v>956</v>
      </c>
      <c r="BI103" s="9">
        <v>957</v>
      </c>
      <c r="BJ103" s="9">
        <v>925</v>
      </c>
      <c r="BK103" s="9">
        <v>917.3</v>
      </c>
      <c r="BL103" s="9">
        <v>1058.3</v>
      </c>
      <c r="BM103" s="9">
        <v>1026.8</v>
      </c>
      <c r="BN103" s="9">
        <v>991</v>
      </c>
      <c r="BO103" s="9">
        <v>1050.3</v>
      </c>
      <c r="BP103" s="9">
        <v>1058.4000000000001</v>
      </c>
      <c r="BQ103" s="9">
        <v>942</v>
      </c>
      <c r="BR103" s="9">
        <v>1045.8</v>
      </c>
      <c r="BS103" s="9">
        <v>1058.3</v>
      </c>
      <c r="BT103" s="9">
        <v>917.3</v>
      </c>
      <c r="BU103" s="9">
        <v>1055.4000000000001</v>
      </c>
      <c r="BV103" s="9">
        <v>922</v>
      </c>
      <c r="BW103" s="9">
        <v>831</v>
      </c>
      <c r="BX103" s="9">
        <v>1032.2</v>
      </c>
      <c r="BY103" s="9">
        <v>1029.5</v>
      </c>
      <c r="BZ103" s="9">
        <v>1037.5999999999999</v>
      </c>
      <c r="CA103" s="9">
        <v>1014.4</v>
      </c>
      <c r="CB103" s="9">
        <v>922.3</v>
      </c>
      <c r="CC103" s="9">
        <v>942.3</v>
      </c>
      <c r="CD103" s="9">
        <v>949.8</v>
      </c>
      <c r="CE103" s="9">
        <v>937.7</v>
      </c>
      <c r="CF103" s="9">
        <v>948</v>
      </c>
      <c r="CG103" s="9">
        <v>950.9</v>
      </c>
      <c r="CH103" s="9">
        <v>1080.8</v>
      </c>
      <c r="CI103" s="9">
        <v>1060.7</v>
      </c>
      <c r="CJ103" s="9">
        <v>1086.5999999999999</v>
      </c>
      <c r="CK103" s="9">
        <v>949.1</v>
      </c>
      <c r="CL103" s="9">
        <v>928.1</v>
      </c>
      <c r="CM103" s="9">
        <v>1019.3</v>
      </c>
      <c r="CN103" s="9">
        <v>921</v>
      </c>
      <c r="CO103" s="9">
        <v>957</v>
      </c>
      <c r="CP103" s="9">
        <v>930.2</v>
      </c>
      <c r="CQ103" s="9">
        <v>914.9</v>
      </c>
      <c r="CR103" s="9">
        <v>926</v>
      </c>
      <c r="CS103" s="9">
        <v>932</v>
      </c>
      <c r="CT103" s="9">
        <v>939.8</v>
      </c>
      <c r="CU103" s="9">
        <v>932.4</v>
      </c>
      <c r="CV103" s="9">
        <v>940</v>
      </c>
      <c r="CW103" s="9">
        <v>929.9</v>
      </c>
      <c r="CX103" s="9">
        <v>978.2</v>
      </c>
      <c r="CY103" s="9">
        <v>1023.6</v>
      </c>
      <c r="CZ103" s="9">
        <v>963</v>
      </c>
      <c r="DA103" s="9">
        <v>943</v>
      </c>
      <c r="DB103" s="9">
        <v>1058.7</v>
      </c>
      <c r="DC103" s="9">
        <v>943.4</v>
      </c>
      <c r="DD103" s="9">
        <v>909.4</v>
      </c>
      <c r="DE103" s="9">
        <v>964.6</v>
      </c>
      <c r="DF103" s="9">
        <v>957.6</v>
      </c>
      <c r="DG103" s="9">
        <v>939</v>
      </c>
      <c r="DH103" s="9">
        <v>931</v>
      </c>
      <c r="DI103" s="9">
        <v>932</v>
      </c>
      <c r="DJ103" s="9">
        <v>945</v>
      </c>
      <c r="DK103" s="9">
        <v>957.8</v>
      </c>
      <c r="DL103" s="9">
        <v>1075.3</v>
      </c>
      <c r="DM103" s="9">
        <v>911</v>
      </c>
      <c r="DN103" s="9">
        <v>1073</v>
      </c>
      <c r="DO103" s="9">
        <v>1075.5</v>
      </c>
      <c r="DP103" s="9">
        <v>950</v>
      </c>
      <c r="DQ103" s="9">
        <v>1074.5999999999999</v>
      </c>
      <c r="DR103" s="9">
        <v>1027.5999999999999</v>
      </c>
      <c r="DS103" s="9">
        <v>1033.5999999999999</v>
      </c>
      <c r="DT103" s="9">
        <v>1079.5999999999999</v>
      </c>
      <c r="DU103" s="9">
        <v>1076.7</v>
      </c>
      <c r="DV103" s="9">
        <v>955.3</v>
      </c>
      <c r="DW103" s="9">
        <v>923</v>
      </c>
      <c r="DX103" s="9">
        <v>1025</v>
      </c>
      <c r="DY103" s="9">
        <v>1031</v>
      </c>
      <c r="DZ103" s="9">
        <v>1076.4000000000001</v>
      </c>
      <c r="EA103" s="9">
        <v>949</v>
      </c>
      <c r="EB103" s="9">
        <v>950.6</v>
      </c>
      <c r="EC103" s="9">
        <v>1015.7</v>
      </c>
      <c r="ED103" s="9">
        <v>1036.7</v>
      </c>
      <c r="EE103" s="9">
        <v>926.2</v>
      </c>
      <c r="EF103" s="9">
        <v>938.6</v>
      </c>
      <c r="EG103" s="9">
        <v>1061</v>
      </c>
      <c r="EH103" s="9">
        <v>919</v>
      </c>
      <c r="EI103" s="9">
        <v>925</v>
      </c>
      <c r="EJ103" s="9">
        <v>1037.8</v>
      </c>
      <c r="EK103" s="9">
        <v>1043.0999999999999</v>
      </c>
      <c r="EL103" s="9">
        <v>991</v>
      </c>
      <c r="EM103" s="9">
        <v>1022</v>
      </c>
      <c r="EN103" s="9">
        <v>1014</v>
      </c>
      <c r="EO103" s="9">
        <v>877.9</v>
      </c>
      <c r="EP103" s="9">
        <v>1016</v>
      </c>
      <c r="EQ103" s="9">
        <v>986.7</v>
      </c>
      <c r="ER103" s="9">
        <v>981</v>
      </c>
      <c r="ES103" s="9">
        <v>1024</v>
      </c>
      <c r="ET103" s="9">
        <v>990</v>
      </c>
      <c r="EU103" s="9">
        <v>951</v>
      </c>
      <c r="EV103" s="9">
        <v>1016.9</v>
      </c>
      <c r="EW103" s="9">
        <v>1008.8</v>
      </c>
      <c r="EX103" s="9">
        <v>960</v>
      </c>
      <c r="EY103" s="9">
        <v>1032</v>
      </c>
      <c r="EZ103" s="9">
        <v>938.2</v>
      </c>
      <c r="FA103" s="9">
        <v>1020</v>
      </c>
      <c r="FB103" s="9">
        <v>934</v>
      </c>
      <c r="FC103" s="9">
        <v>871</v>
      </c>
      <c r="FD103" s="9">
        <v>989</v>
      </c>
      <c r="FE103" s="9">
        <v>1019</v>
      </c>
      <c r="FF103" s="9">
        <v>1032</v>
      </c>
      <c r="FG103" s="9">
        <v>954</v>
      </c>
      <c r="FH103" s="9">
        <v>1080.4000000000001</v>
      </c>
      <c r="FI103" s="9">
        <v>959</v>
      </c>
      <c r="FJ103" s="9">
        <v>956.2</v>
      </c>
      <c r="FK103" s="9">
        <v>952.4</v>
      </c>
      <c r="FL103" s="9">
        <v>957.3</v>
      </c>
      <c r="FM103" s="9">
        <v>937.5</v>
      </c>
      <c r="FN103" s="9">
        <v>924.6</v>
      </c>
      <c r="FO103" s="9">
        <v>906.6</v>
      </c>
      <c r="FP103" s="9">
        <v>1022.1</v>
      </c>
      <c r="FQ103" s="9">
        <v>925</v>
      </c>
      <c r="FR103" s="9">
        <v>1021</v>
      </c>
      <c r="FS103" s="9">
        <v>1031</v>
      </c>
      <c r="FT103" s="9">
        <v>1046.2</v>
      </c>
      <c r="FU103" s="9">
        <v>943</v>
      </c>
      <c r="FV103" s="9">
        <v>945</v>
      </c>
      <c r="FW103" s="9">
        <v>1029</v>
      </c>
      <c r="FX103" s="9">
        <v>899.7</v>
      </c>
      <c r="FY103" s="9">
        <v>945</v>
      </c>
      <c r="FZ103" s="9">
        <v>939</v>
      </c>
      <c r="GA103" s="9">
        <v>951</v>
      </c>
      <c r="GB103" s="9">
        <v>1031.0999999999999</v>
      </c>
      <c r="GC103" s="9">
        <v>953.5</v>
      </c>
      <c r="GD103" s="9">
        <v>1029</v>
      </c>
      <c r="GE103" s="9">
        <v>939</v>
      </c>
      <c r="GF103" s="9">
        <v>922</v>
      </c>
      <c r="GG103" s="9">
        <v>915</v>
      </c>
      <c r="GH103" s="9">
        <v>1021</v>
      </c>
      <c r="GI103" s="9">
        <v>926</v>
      </c>
      <c r="GJ103" s="9">
        <v>1009</v>
      </c>
      <c r="GK103" s="9">
        <v>1012</v>
      </c>
      <c r="GL103" s="9">
        <v>1029</v>
      </c>
      <c r="GM103" s="9">
        <v>978</v>
      </c>
      <c r="GN103" s="9">
        <v>1005</v>
      </c>
      <c r="GO103" s="9">
        <v>1029</v>
      </c>
      <c r="GP103" s="9">
        <v>953.8</v>
      </c>
      <c r="GQ103" s="9">
        <v>959.2</v>
      </c>
      <c r="GR103" s="9">
        <v>957.2</v>
      </c>
      <c r="GS103" s="9">
        <v>1012</v>
      </c>
      <c r="GT103" s="9">
        <v>931</v>
      </c>
      <c r="GU103" s="9">
        <v>937</v>
      </c>
      <c r="GV103" s="9">
        <v>851</v>
      </c>
      <c r="GW103" s="9">
        <v>925</v>
      </c>
      <c r="GX103" s="9">
        <v>942</v>
      </c>
      <c r="GY103" s="9">
        <v>927</v>
      </c>
      <c r="GZ103" s="9">
        <v>767.6</v>
      </c>
      <c r="HA103" s="9">
        <v>919.1</v>
      </c>
      <c r="HB103" s="9"/>
      <c r="HC103" s="9"/>
      <c r="HD103" s="9">
        <v>838</v>
      </c>
      <c r="HE103" s="9">
        <v>650</v>
      </c>
      <c r="HF103" s="9">
        <v>939</v>
      </c>
      <c r="HG103" s="9"/>
      <c r="HH103" s="9">
        <v>1034</v>
      </c>
      <c r="HI103" s="9">
        <v>922.5</v>
      </c>
      <c r="HJ103" s="9">
        <v>924</v>
      </c>
      <c r="HK103" s="9">
        <v>916.9</v>
      </c>
      <c r="HL103" s="9">
        <v>922.1</v>
      </c>
      <c r="HM103" s="9">
        <v>943.7</v>
      </c>
      <c r="HN103" s="9">
        <v>928.3</v>
      </c>
      <c r="HO103" s="9">
        <v>939</v>
      </c>
      <c r="HP103" s="9">
        <v>944</v>
      </c>
      <c r="HQ103" s="9">
        <v>923</v>
      </c>
      <c r="HR103" s="9">
        <v>937.8</v>
      </c>
      <c r="HS103" s="9">
        <v>941</v>
      </c>
      <c r="HT103" s="9">
        <v>1039</v>
      </c>
      <c r="HU103" s="9">
        <v>1099</v>
      </c>
      <c r="HV103" s="9">
        <v>839</v>
      </c>
      <c r="HW103" s="9">
        <v>842</v>
      </c>
      <c r="HX103" s="9">
        <v>717</v>
      </c>
      <c r="HY103" s="9">
        <v>596</v>
      </c>
      <c r="HZ103" s="9">
        <v>715</v>
      </c>
      <c r="IA103" s="9">
        <v>838.8</v>
      </c>
      <c r="IB103" s="9">
        <v>1005.8</v>
      </c>
      <c r="IC103" s="9">
        <v>1051</v>
      </c>
      <c r="ID103" s="9">
        <v>1030.7</v>
      </c>
      <c r="IE103" s="9">
        <v>1015.5</v>
      </c>
      <c r="IF103" s="9">
        <v>990</v>
      </c>
      <c r="IG103" s="9">
        <v>1021</v>
      </c>
      <c r="IH103" s="9">
        <v>1077.2</v>
      </c>
      <c r="II103" s="9">
        <v>1063</v>
      </c>
      <c r="IJ103" s="9">
        <v>901</v>
      </c>
      <c r="IK103" s="9">
        <v>953.6</v>
      </c>
      <c r="IL103" s="9">
        <v>911</v>
      </c>
      <c r="IM103" s="9">
        <v>923</v>
      </c>
      <c r="IN103" s="9">
        <v>847</v>
      </c>
      <c r="IO103" s="9"/>
      <c r="IP103" s="9">
        <v>1250.5</v>
      </c>
      <c r="IQ103" s="9">
        <v>1009</v>
      </c>
      <c r="IR103" s="9">
        <v>351</v>
      </c>
      <c r="IS103" s="9">
        <v>923</v>
      </c>
      <c r="IT103" s="9">
        <v>877.9</v>
      </c>
      <c r="IU103" s="9"/>
      <c r="IV103" s="9"/>
      <c r="IW103" s="9">
        <v>863</v>
      </c>
      <c r="IX103" s="9">
        <v>931</v>
      </c>
      <c r="IY103" s="9">
        <v>945</v>
      </c>
      <c r="IZ103" s="9">
        <v>901</v>
      </c>
      <c r="JA103" s="9">
        <v>831</v>
      </c>
      <c r="JB103" s="11">
        <v>32.64</v>
      </c>
      <c r="JC103" s="11">
        <v>41.48</v>
      </c>
      <c r="JD103" s="11">
        <v>1.41</v>
      </c>
      <c r="JE103" s="11">
        <v>3.9</v>
      </c>
      <c r="JF103" s="11"/>
      <c r="JG103" s="11">
        <v>4.72</v>
      </c>
      <c r="JH103" s="13">
        <v>4.5</v>
      </c>
      <c r="JI103" s="12"/>
      <c r="JJ103" s="277"/>
      <c r="JK103" s="9">
        <v>88414777.732999995</v>
      </c>
      <c r="JL103" s="260">
        <v>283618.28899999999</v>
      </c>
      <c r="JM103" s="9">
        <v>61310077.476000004</v>
      </c>
      <c r="JN103" s="260">
        <v>63388.635999999999</v>
      </c>
      <c r="JO103" s="9">
        <v>89103661.517000005</v>
      </c>
      <c r="JP103" s="260">
        <v>189142.978</v>
      </c>
      <c r="JQ103" s="9">
        <v>64852126.608999997</v>
      </c>
      <c r="JR103" s="260">
        <v>58642.775999999998</v>
      </c>
      <c r="JS103" s="11">
        <v>334779897.94300002</v>
      </c>
      <c r="JT103" s="289">
        <v>90934.849000000002</v>
      </c>
      <c r="JU103" s="283">
        <f t="shared" ref="JU103" si="597">IF((JK103-JK102)&lt;0,"",(JK103-JK102))</f>
        <v>61627.427999988198</v>
      </c>
      <c r="JV103" s="283">
        <f t="shared" ref="JV103" si="598">IF((JL103-JL102)&lt;0,"",(JL103-JL102))</f>
        <v>8.9409999999916181</v>
      </c>
      <c r="JW103" s="283">
        <f t="shared" ref="JW103" si="599">IF((JM103-JM102)&lt;0,"",(JM103-JM102))</f>
        <v>60844.08900000155</v>
      </c>
      <c r="JX103" s="283">
        <f t="shared" ref="JX103" si="600">IF((JN103-JN102)&lt;0,"",(JN103-JN102))</f>
        <v>12.883999999998196</v>
      </c>
      <c r="JY103" s="284">
        <f t="shared" ref="JY103" si="601">IF((JO103-JO102)&lt;0,"",(JO103-JO102))</f>
        <v>61470.248999997973</v>
      </c>
      <c r="JZ103" s="284">
        <f t="shared" ref="JZ103" si="602">IF((JP103-JP102)&lt;0,"",(JP103-JP102))</f>
        <v>23.269999999989523</v>
      </c>
      <c r="KA103" s="284">
        <f t="shared" ref="KA103" si="603">IF((JQ103-JQ102)&lt;0,"",(JQ103-JQ102))</f>
        <v>48682.893999993801</v>
      </c>
      <c r="KB103" s="284">
        <f t="shared" ref="KB103" si="604">IF((JR103-JR102)&lt;0,"",(JR103-JR102))</f>
        <v>28.543999999994412</v>
      </c>
      <c r="KC103" s="283">
        <f t="shared" ref="KC103" si="605">IF((JS103-JS102)&lt;0,"",(JS103-JS102))</f>
        <v>232266.20600003004</v>
      </c>
      <c r="KD103" s="283">
        <f t="shared" ref="KD103" si="606">IF((JT103-JT102)&lt;0,"",(JT103-JT102))</f>
        <v>95.680999999996857</v>
      </c>
      <c r="KE103" s="291">
        <f t="shared" si="555"/>
        <v>122449.69199998977</v>
      </c>
      <c r="KF103" s="291">
        <f t="shared" si="556"/>
        <v>232170.52500003006</v>
      </c>
      <c r="KG103" s="292">
        <f>(RD[[#This Row],[Sunset Time (POA&lt;20 W/m2)]]-RD[[#This Row],[Sunrise Time (POA&gt;20 W/m2)]])*24</f>
        <v>13.2</v>
      </c>
      <c r="KH103" s="293">
        <f>RD[[#This Row],[GHI ]]</f>
        <v>4.72</v>
      </c>
      <c r="KI103" s="293">
        <f>RD[[#This Row],[POA]]</f>
        <v>4.5</v>
      </c>
      <c r="KJ103" s="293">
        <f>RD[[#This Row],[AT (°C) 14 Hours]]</f>
        <v>32.64</v>
      </c>
      <c r="KK103" s="293">
        <f>RD[[#This Row],[MT (°C) Gen. Hours]]</f>
        <v>41.48</v>
      </c>
      <c r="KL103" s="293">
        <f>RD[[#This Row],[WS_Avg (m/s) (24 Hours)]]</f>
        <v>1.41</v>
      </c>
      <c r="KM103" s="293">
        <f>RD[[#This Row],[WS_Max (m/s)]]</f>
        <v>3.9</v>
      </c>
      <c r="KN103" s="294">
        <f>SUM(RD[[#This Row],[BLK1_INV1]:[BLK8_INV27]])</f>
        <v>233878.07300000012</v>
      </c>
      <c r="KO103" s="95"/>
      <c r="KP103" s="55"/>
      <c r="KQ103" s="90" t="str">
        <f>IFERROR(RD[[#This Row],[WPR_Eac]]/RD[[#This Row],[WPR_Edc]],"")</f>
        <v/>
      </c>
    </row>
    <row r="104" spans="2:303" ht="15" customHeight="1" x14ac:dyDescent="0.25">
      <c r="B104" s="52">
        <v>45845</v>
      </c>
      <c r="C104" s="9">
        <f>YEAR(RD[[#This Row],[Date]])+IF(MONTH(RD[[#This Row],[Date]])&gt;=4,1,0)</f>
        <v>2026</v>
      </c>
      <c r="D104" s="6">
        <f t="shared" si="544"/>
        <v>2025</v>
      </c>
      <c r="E104" s="7"/>
      <c r="F104" s="7"/>
      <c r="G104" s="367" t="str">
        <f>TEXT(RD[[#This Row],[Date]],"mmm-yy")</f>
        <v>Jul-25</v>
      </c>
      <c r="H104" s="6">
        <f t="shared" si="545"/>
        <v>31</v>
      </c>
      <c r="I104" s="9">
        <f>'Basic Data '!$S$2</f>
        <v>66750</v>
      </c>
      <c r="J104" s="10">
        <v>0.22291666666666665</v>
      </c>
      <c r="K104" s="10">
        <v>0.78472222222222221</v>
      </c>
      <c r="L104" s="9">
        <v>1031</v>
      </c>
      <c r="M104" s="9">
        <v>1022</v>
      </c>
      <c r="N104" s="9">
        <v>953</v>
      </c>
      <c r="O104" s="9">
        <v>949</v>
      </c>
      <c r="P104" s="9">
        <v>1034</v>
      </c>
      <c r="Q104" s="9">
        <v>939</v>
      </c>
      <c r="R104" s="9">
        <v>944</v>
      </c>
      <c r="S104" s="9">
        <v>947</v>
      </c>
      <c r="T104" s="9">
        <v>990</v>
      </c>
      <c r="U104" s="9">
        <v>990</v>
      </c>
      <c r="V104" s="9">
        <v>957</v>
      </c>
      <c r="W104" s="9">
        <v>961</v>
      </c>
      <c r="X104" s="9">
        <v>938</v>
      </c>
      <c r="Y104" s="9">
        <v>887</v>
      </c>
      <c r="Z104" s="9">
        <v>938</v>
      </c>
      <c r="AA104" s="9">
        <v>941</v>
      </c>
      <c r="AB104" s="9">
        <v>938</v>
      </c>
      <c r="AC104" s="9">
        <v>937</v>
      </c>
      <c r="AD104" s="9">
        <v>1023</v>
      </c>
      <c r="AE104" s="9">
        <v>1021</v>
      </c>
      <c r="AF104" s="9">
        <v>941</v>
      </c>
      <c r="AG104" s="9">
        <v>944</v>
      </c>
      <c r="AH104" s="9">
        <v>1006</v>
      </c>
      <c r="AI104" s="9">
        <v>1064</v>
      </c>
      <c r="AJ104" s="9">
        <v>1024</v>
      </c>
      <c r="AK104" s="9">
        <v>1023</v>
      </c>
      <c r="AL104" s="9">
        <v>1011</v>
      </c>
      <c r="AM104" s="9">
        <v>1054</v>
      </c>
      <c r="AN104" s="9">
        <v>1056</v>
      </c>
      <c r="AO104" s="9">
        <v>1052</v>
      </c>
      <c r="AP104" s="9">
        <v>1048</v>
      </c>
      <c r="AQ104" s="9">
        <v>1059</v>
      </c>
      <c r="AR104" s="9">
        <v>892.4</v>
      </c>
      <c r="AS104" s="9">
        <v>1201</v>
      </c>
      <c r="AT104" s="9">
        <v>928.7</v>
      </c>
      <c r="AU104" s="9">
        <v>1041</v>
      </c>
      <c r="AV104" s="9">
        <v>950.6</v>
      </c>
      <c r="AW104" s="9">
        <v>941</v>
      </c>
      <c r="AX104" s="9">
        <v>955</v>
      </c>
      <c r="AY104" s="9">
        <v>938.8</v>
      </c>
      <c r="AZ104" s="9">
        <v>941</v>
      </c>
      <c r="BA104" s="9">
        <v>954</v>
      </c>
      <c r="BB104" s="9">
        <v>951</v>
      </c>
      <c r="BC104" s="9">
        <v>939</v>
      </c>
      <c r="BD104" s="9">
        <v>946</v>
      </c>
      <c r="BE104" s="9">
        <v>949</v>
      </c>
      <c r="BF104" s="9">
        <v>1010.1</v>
      </c>
      <c r="BG104" s="9">
        <v>933.2</v>
      </c>
      <c r="BH104" s="9">
        <v>977</v>
      </c>
      <c r="BI104" s="9">
        <v>971</v>
      </c>
      <c r="BJ104" s="9">
        <v>948</v>
      </c>
      <c r="BK104" s="9">
        <v>940.7</v>
      </c>
      <c r="BL104" s="9">
        <v>1081</v>
      </c>
      <c r="BM104" s="9">
        <v>1052.9000000000001</v>
      </c>
      <c r="BN104" s="9">
        <v>1021</v>
      </c>
      <c r="BO104" s="9">
        <v>1081</v>
      </c>
      <c r="BP104" s="9">
        <v>1070</v>
      </c>
      <c r="BQ104" s="9">
        <v>951</v>
      </c>
      <c r="BR104" s="9">
        <v>1055</v>
      </c>
      <c r="BS104" s="9">
        <v>1065</v>
      </c>
      <c r="BT104" s="9">
        <v>942.5</v>
      </c>
      <c r="BU104" s="9">
        <v>1061</v>
      </c>
      <c r="BV104" s="9">
        <v>935</v>
      </c>
      <c r="BW104" s="9">
        <v>867</v>
      </c>
      <c r="BX104" s="9">
        <v>1049.5999999999999</v>
      </c>
      <c r="BY104" s="9">
        <v>1043.5</v>
      </c>
      <c r="BZ104" s="9">
        <v>1056.7</v>
      </c>
      <c r="CA104" s="9">
        <v>1034.5999999999999</v>
      </c>
      <c r="CB104" s="9">
        <v>958.6</v>
      </c>
      <c r="CC104" s="9">
        <v>956.8</v>
      </c>
      <c r="CD104" s="9">
        <v>965.9</v>
      </c>
      <c r="CE104" s="9">
        <v>961.5</v>
      </c>
      <c r="CF104" s="9">
        <v>972.9</v>
      </c>
      <c r="CG104" s="9">
        <v>962.4</v>
      </c>
      <c r="CH104" s="9">
        <v>1074.7</v>
      </c>
      <c r="CI104" s="9">
        <v>1053.9000000000001</v>
      </c>
      <c r="CJ104" s="9">
        <v>1084.5999999999999</v>
      </c>
      <c r="CK104" s="9">
        <v>949.4</v>
      </c>
      <c r="CL104" s="9">
        <v>932.8</v>
      </c>
      <c r="CM104" s="9">
        <v>1046.5</v>
      </c>
      <c r="CN104" s="9">
        <v>936</v>
      </c>
      <c r="CO104" s="9">
        <v>967.9</v>
      </c>
      <c r="CP104" s="9">
        <v>936.4</v>
      </c>
      <c r="CQ104" s="9">
        <v>944</v>
      </c>
      <c r="CR104" s="9">
        <v>949</v>
      </c>
      <c r="CS104" s="9">
        <v>956</v>
      </c>
      <c r="CT104" s="9">
        <v>950.2</v>
      </c>
      <c r="CU104" s="9">
        <v>954.6</v>
      </c>
      <c r="CV104" s="9">
        <v>955.7</v>
      </c>
      <c r="CW104" s="9">
        <v>951.9</v>
      </c>
      <c r="CX104" s="9">
        <v>996.9</v>
      </c>
      <c r="CY104" s="9">
        <v>1045.4000000000001</v>
      </c>
      <c r="CZ104" s="9">
        <v>951</v>
      </c>
      <c r="DA104" s="9">
        <v>954</v>
      </c>
      <c r="DB104" s="9">
        <v>1080.2</v>
      </c>
      <c r="DC104" s="9">
        <v>951.1</v>
      </c>
      <c r="DD104" s="9">
        <v>950.2</v>
      </c>
      <c r="DE104" s="9">
        <v>972.4</v>
      </c>
      <c r="DF104" s="9">
        <v>959.5</v>
      </c>
      <c r="DG104" s="9">
        <v>963.2</v>
      </c>
      <c r="DH104" s="9">
        <v>953</v>
      </c>
      <c r="DI104" s="9">
        <v>960.7</v>
      </c>
      <c r="DJ104" s="9">
        <v>951</v>
      </c>
      <c r="DK104" s="9">
        <v>958.2</v>
      </c>
      <c r="DL104" s="9">
        <v>1068.0999999999999</v>
      </c>
      <c r="DM104" s="9">
        <v>956</v>
      </c>
      <c r="DN104" s="9">
        <v>1090</v>
      </c>
      <c r="DO104" s="9">
        <v>1044</v>
      </c>
      <c r="DP104" s="9">
        <v>945.5</v>
      </c>
      <c r="DQ104" s="9">
        <v>1074.4000000000001</v>
      </c>
      <c r="DR104" s="9">
        <v>1023.9</v>
      </c>
      <c r="DS104" s="9">
        <v>1042.4000000000001</v>
      </c>
      <c r="DT104" s="9">
        <v>1095.9000000000001</v>
      </c>
      <c r="DU104" s="9">
        <v>1086.0999999999999</v>
      </c>
      <c r="DV104" s="9">
        <v>961.1</v>
      </c>
      <c r="DW104" s="9">
        <v>957.4</v>
      </c>
      <c r="DX104" s="9">
        <v>1047</v>
      </c>
      <c r="DY104" s="9">
        <v>1061</v>
      </c>
      <c r="DZ104" s="9">
        <v>1078.3</v>
      </c>
      <c r="EA104" s="9">
        <v>947.1</v>
      </c>
      <c r="EB104" s="9">
        <v>944.3</v>
      </c>
      <c r="EC104" s="9">
        <v>1053</v>
      </c>
      <c r="ED104" s="9">
        <v>1074.8</v>
      </c>
      <c r="EE104" s="9">
        <v>971.5</v>
      </c>
      <c r="EF104" s="9">
        <v>930.1</v>
      </c>
      <c r="EG104" s="9">
        <v>1096.9000000000001</v>
      </c>
      <c r="EH104" s="9">
        <v>955</v>
      </c>
      <c r="EI104" s="9">
        <v>939</v>
      </c>
      <c r="EJ104" s="9">
        <v>1055</v>
      </c>
      <c r="EK104" s="9">
        <v>1051</v>
      </c>
      <c r="EL104" s="9">
        <v>1012</v>
      </c>
      <c r="EM104" s="9">
        <v>1025.4000000000001</v>
      </c>
      <c r="EN104" s="9">
        <v>1022.9</v>
      </c>
      <c r="EO104" s="9">
        <v>885.6</v>
      </c>
      <c r="EP104" s="9">
        <v>1020</v>
      </c>
      <c r="EQ104" s="9">
        <v>1010</v>
      </c>
      <c r="ER104" s="9">
        <v>1009.1</v>
      </c>
      <c r="ES104" s="9">
        <v>1042.5</v>
      </c>
      <c r="ET104" s="9">
        <v>1010</v>
      </c>
      <c r="EU104" s="9">
        <v>975.1</v>
      </c>
      <c r="EV104" s="9">
        <v>1024</v>
      </c>
      <c r="EW104" s="9">
        <v>1011</v>
      </c>
      <c r="EX104" s="9">
        <v>955.1</v>
      </c>
      <c r="EY104" s="9">
        <v>1053.2</v>
      </c>
      <c r="EZ104" s="9">
        <v>934</v>
      </c>
      <c r="FA104" s="9">
        <v>1035.2</v>
      </c>
      <c r="FB104" s="9">
        <v>954.4</v>
      </c>
      <c r="FC104" s="9">
        <v>888</v>
      </c>
      <c r="FD104" s="9">
        <v>1032</v>
      </c>
      <c r="FE104" s="9">
        <v>1050.0999999999999</v>
      </c>
      <c r="FF104" s="9">
        <v>1059.0999999999999</v>
      </c>
      <c r="FG104" s="9">
        <v>972.2</v>
      </c>
      <c r="FH104" s="9">
        <v>1059.0999999999999</v>
      </c>
      <c r="FI104" s="9">
        <v>972.9</v>
      </c>
      <c r="FJ104" s="9">
        <v>956.7</v>
      </c>
      <c r="FK104" s="9">
        <v>947.3</v>
      </c>
      <c r="FL104" s="9">
        <v>941</v>
      </c>
      <c r="FM104" s="9">
        <v>931.3</v>
      </c>
      <c r="FN104" s="9">
        <v>949.1</v>
      </c>
      <c r="FO104" s="9">
        <v>933.6</v>
      </c>
      <c r="FP104" s="9">
        <v>1042.3</v>
      </c>
      <c r="FQ104" s="9">
        <v>939</v>
      </c>
      <c r="FR104" s="9">
        <v>1045</v>
      </c>
      <c r="FS104" s="9">
        <v>1052</v>
      </c>
      <c r="FT104" s="9">
        <v>1067.8</v>
      </c>
      <c r="FU104" s="9">
        <v>1002</v>
      </c>
      <c r="FV104" s="9">
        <v>943</v>
      </c>
      <c r="FW104" s="9">
        <v>1040</v>
      </c>
      <c r="FX104" s="9">
        <v>926.8</v>
      </c>
      <c r="FY104" s="9">
        <v>967.1</v>
      </c>
      <c r="FZ104" s="9">
        <v>973</v>
      </c>
      <c r="GA104" s="9">
        <v>958.6</v>
      </c>
      <c r="GB104" s="9">
        <v>1078.5</v>
      </c>
      <c r="GC104" s="9">
        <v>990.8</v>
      </c>
      <c r="GD104" s="9">
        <v>1045</v>
      </c>
      <c r="GE104" s="9">
        <v>934</v>
      </c>
      <c r="GF104" s="9">
        <v>941</v>
      </c>
      <c r="GG104" s="9">
        <v>956</v>
      </c>
      <c r="GH104" s="9">
        <v>1051</v>
      </c>
      <c r="GI104" s="9">
        <v>952</v>
      </c>
      <c r="GJ104" s="9">
        <v>1044</v>
      </c>
      <c r="GK104" s="9">
        <v>1049</v>
      </c>
      <c r="GL104" s="9">
        <v>1036</v>
      </c>
      <c r="GM104" s="9">
        <v>999.8</v>
      </c>
      <c r="GN104" s="9">
        <v>1023</v>
      </c>
      <c r="GO104" s="9">
        <v>1044</v>
      </c>
      <c r="GP104" s="9">
        <v>963.4</v>
      </c>
      <c r="GQ104" s="9">
        <v>984.2</v>
      </c>
      <c r="GR104" s="9">
        <v>987.3</v>
      </c>
      <c r="GS104" s="9">
        <v>1016</v>
      </c>
      <c r="GT104" s="9">
        <v>942</v>
      </c>
      <c r="GU104" s="9">
        <v>932</v>
      </c>
      <c r="GV104" s="9">
        <v>939</v>
      </c>
      <c r="GW104" s="9">
        <v>954</v>
      </c>
      <c r="GX104" s="9">
        <v>932</v>
      </c>
      <c r="GY104" s="9">
        <v>936</v>
      </c>
      <c r="GZ104" s="9">
        <v>781</v>
      </c>
      <c r="HA104" s="9">
        <v>934</v>
      </c>
      <c r="HB104" s="9"/>
      <c r="HC104" s="9"/>
      <c r="HD104" s="9">
        <v>820</v>
      </c>
      <c r="HE104" s="9">
        <v>680</v>
      </c>
      <c r="HF104" s="9">
        <v>954</v>
      </c>
      <c r="HG104" s="9"/>
      <c r="HH104" s="9">
        <v>1026</v>
      </c>
      <c r="HI104" s="9">
        <v>956</v>
      </c>
      <c r="HJ104" s="9">
        <v>934</v>
      </c>
      <c r="HK104" s="9">
        <v>949</v>
      </c>
      <c r="HL104" s="9">
        <v>935</v>
      </c>
      <c r="HM104" s="9">
        <v>937.7</v>
      </c>
      <c r="HN104" s="9">
        <v>933</v>
      </c>
      <c r="HO104" s="9">
        <v>964.7</v>
      </c>
      <c r="HP104" s="9">
        <v>936</v>
      </c>
      <c r="HQ104" s="9">
        <v>935</v>
      </c>
      <c r="HR104" s="9">
        <v>976.5</v>
      </c>
      <c r="HS104" s="9">
        <v>966.4</v>
      </c>
      <c r="HT104" s="9">
        <v>1101</v>
      </c>
      <c r="HU104" s="9">
        <v>1111.0999999999999</v>
      </c>
      <c r="HV104" s="9">
        <v>854</v>
      </c>
      <c r="HW104" s="9">
        <v>854.7</v>
      </c>
      <c r="HX104" s="9">
        <v>735.7</v>
      </c>
      <c r="HY104" s="9">
        <v>601</v>
      </c>
      <c r="HZ104" s="9">
        <v>734</v>
      </c>
      <c r="IA104" s="9">
        <v>850.6</v>
      </c>
      <c r="IB104" s="9">
        <v>1010</v>
      </c>
      <c r="IC104" s="9">
        <v>1090.9000000000001</v>
      </c>
      <c r="ID104" s="9">
        <v>1048.5999999999999</v>
      </c>
      <c r="IE104" s="9">
        <v>1024.2</v>
      </c>
      <c r="IF104" s="9">
        <v>1056.0999999999999</v>
      </c>
      <c r="IG104" s="9">
        <v>1021</v>
      </c>
      <c r="IH104" s="9">
        <v>1087.8</v>
      </c>
      <c r="II104" s="9">
        <v>1078.3</v>
      </c>
      <c r="IJ104" s="9">
        <v>912</v>
      </c>
      <c r="IK104" s="9">
        <v>989.7</v>
      </c>
      <c r="IL104" s="9">
        <v>923</v>
      </c>
      <c r="IM104" s="9">
        <v>938</v>
      </c>
      <c r="IN104" s="9">
        <v>901</v>
      </c>
      <c r="IO104" s="9"/>
      <c r="IP104" s="9">
        <v>1301</v>
      </c>
      <c r="IQ104" s="9">
        <v>1021</v>
      </c>
      <c r="IR104" s="9">
        <v>363</v>
      </c>
      <c r="IS104" s="9">
        <v>936</v>
      </c>
      <c r="IT104" s="9">
        <v>902.4</v>
      </c>
      <c r="IU104" s="9"/>
      <c r="IV104" s="9"/>
      <c r="IW104" s="9">
        <v>887</v>
      </c>
      <c r="IX104" s="9">
        <v>940</v>
      </c>
      <c r="IY104" s="9">
        <v>956</v>
      </c>
      <c r="IZ104" s="9">
        <v>909</v>
      </c>
      <c r="JA104" s="9">
        <v>844.7</v>
      </c>
      <c r="JB104" s="11">
        <v>30.51</v>
      </c>
      <c r="JC104" s="11">
        <v>37.51</v>
      </c>
      <c r="JD104" s="11">
        <v>1.91</v>
      </c>
      <c r="JE104" s="11">
        <v>4.3</v>
      </c>
      <c r="JF104" s="11"/>
      <c r="JG104" s="11">
        <v>4.55</v>
      </c>
      <c r="JH104" s="13">
        <v>4.4400000000000004</v>
      </c>
      <c r="JI104" s="12"/>
      <c r="JJ104" s="277"/>
      <c r="JK104" s="9">
        <v>88478645.112000003</v>
      </c>
      <c r="JL104" s="215">
        <v>283627.23</v>
      </c>
      <c r="JM104" s="9">
        <v>61371584.592</v>
      </c>
      <c r="JN104" s="215">
        <v>63401.52</v>
      </c>
      <c r="JO104" s="9">
        <v>89165988.591999993</v>
      </c>
      <c r="JP104" s="215">
        <v>189166.24799999999</v>
      </c>
      <c r="JQ104" s="9">
        <v>64901337.612999998</v>
      </c>
      <c r="JR104" s="215">
        <v>58671.32</v>
      </c>
      <c r="JS104" s="11">
        <v>335016401.227</v>
      </c>
      <c r="JT104" s="223">
        <v>91030.53</v>
      </c>
      <c r="JU104" s="283">
        <f t="shared" ref="JU104" si="607">IF((JK104-JK103)&lt;0,"",(JK104-JK103))</f>
        <v>63867.379000008106</v>
      </c>
      <c r="JV104" s="283">
        <f t="shared" ref="JV104" si="608">IF((JL104-JL103)&lt;0,"",(JL104-JL103))</f>
        <v>8.9409999999916181</v>
      </c>
      <c r="JW104" s="283">
        <f t="shared" ref="JW104" si="609">IF((JM104-JM103)&lt;0,"",(JM104-JM103))</f>
        <v>61507.115999996662</v>
      </c>
      <c r="JX104" s="283">
        <f t="shared" ref="JX104" si="610">IF((JN104-JN103)&lt;0,"",(JN104-JN103))</f>
        <v>12.883999999998196</v>
      </c>
      <c r="JY104" s="284">
        <f t="shared" ref="JY104" si="611">IF((JO104-JO103)&lt;0,"",(JO104-JO103))</f>
        <v>62327.074999988079</v>
      </c>
      <c r="JZ104" s="284">
        <f t="shared" ref="JZ104" si="612">IF((JP104-JP103)&lt;0,"",(JP104-JP103))</f>
        <v>23.269999999989523</v>
      </c>
      <c r="KA104" s="284">
        <f t="shared" ref="KA104" si="613">IF((JQ104-JQ103)&lt;0,"",(JQ104-JQ103))</f>
        <v>49211.004000000656</v>
      </c>
      <c r="KB104" s="284">
        <f t="shared" ref="KB104" si="614">IF((JR104-JR103)&lt;0,"",(JR104-JR103))</f>
        <v>28.544000000001688</v>
      </c>
      <c r="KC104" s="283">
        <f t="shared" ref="KC104" si="615">IF((JS104-JS103)&lt;0,"",(JS104-JS103))</f>
        <v>236503.2839999795</v>
      </c>
      <c r="KD104" s="283">
        <f t="shared" ref="KD104" si="616">IF((JT104-JT103)&lt;0,"",(JT104-JT103))</f>
        <v>95.680999999996857</v>
      </c>
      <c r="KE104" s="291">
        <f t="shared" si="555"/>
        <v>125352.67000000479</v>
      </c>
      <c r="KF104" s="291">
        <f t="shared" si="556"/>
        <v>236407.60299997951</v>
      </c>
      <c r="KG104" s="292">
        <f>(RD[[#This Row],[Sunset Time (POA&lt;20 W/m2)]]-RD[[#This Row],[Sunrise Time (POA&gt;20 W/m2)]])*24</f>
        <v>13.483333333333334</v>
      </c>
      <c r="KH104" s="293">
        <f>RD[[#This Row],[GHI ]]</f>
        <v>4.55</v>
      </c>
      <c r="KI104" s="293">
        <f>RD[[#This Row],[POA]]</f>
        <v>4.4400000000000004</v>
      </c>
      <c r="KJ104" s="293">
        <f>RD[[#This Row],[AT (°C) 14 Hours]]</f>
        <v>30.51</v>
      </c>
      <c r="KK104" s="293">
        <f>RD[[#This Row],[MT (°C) Gen. Hours]]</f>
        <v>37.51</v>
      </c>
      <c r="KL104" s="293">
        <f>RD[[#This Row],[WS_Avg (m/s) (24 Hours)]]</f>
        <v>1.91</v>
      </c>
      <c r="KM104" s="293">
        <f>RD[[#This Row],[WS_Max (m/s)]]</f>
        <v>4.3</v>
      </c>
      <c r="KN104" s="294">
        <f>SUM(RD[[#This Row],[BLK1_INV1]:[BLK8_INV27]])</f>
        <v>238029.5</v>
      </c>
      <c r="KO104" s="95"/>
      <c r="KP104" s="55"/>
      <c r="KQ104" s="90" t="str">
        <f>IFERROR(RD[[#This Row],[WPR_Eac]]/RD[[#This Row],[WPR_Edc]],"")</f>
        <v/>
      </c>
    </row>
    <row r="105" spans="2:303" ht="15" customHeight="1" x14ac:dyDescent="0.25">
      <c r="B105" s="52">
        <v>45846</v>
      </c>
      <c r="C105" s="9">
        <f>YEAR(RD[[#This Row],[Date]])+IF(MONTH(RD[[#This Row],[Date]])&gt;=4,1,0)</f>
        <v>2026</v>
      </c>
      <c r="D105" s="6">
        <f t="shared" si="544"/>
        <v>2025</v>
      </c>
      <c r="E105" s="7"/>
      <c r="F105" s="7"/>
      <c r="G105" s="367" t="str">
        <f>TEXT(RD[[#This Row],[Date]],"mmm-yy")</f>
        <v>Jul-25</v>
      </c>
      <c r="H105" s="6">
        <f t="shared" si="545"/>
        <v>31</v>
      </c>
      <c r="I105" s="9">
        <f>'Basic Data '!$S$2</f>
        <v>66750</v>
      </c>
      <c r="J105" s="10">
        <v>0.22152777777777777</v>
      </c>
      <c r="K105" s="10">
        <v>0.78055555555555556</v>
      </c>
      <c r="L105" s="9">
        <v>1423</v>
      </c>
      <c r="M105" s="9">
        <v>1443</v>
      </c>
      <c r="N105" s="9">
        <v>1323</v>
      </c>
      <c r="O105" s="9">
        <v>1339</v>
      </c>
      <c r="P105" s="9">
        <v>1433</v>
      </c>
      <c r="Q105" s="9">
        <v>1309</v>
      </c>
      <c r="R105" s="9">
        <v>1311.9</v>
      </c>
      <c r="S105" s="9">
        <v>1290</v>
      </c>
      <c r="T105" s="9">
        <v>1390</v>
      </c>
      <c r="U105" s="9">
        <v>1391</v>
      </c>
      <c r="V105" s="9">
        <v>1334</v>
      </c>
      <c r="W105" s="9">
        <v>1325</v>
      </c>
      <c r="X105" s="9">
        <v>1331</v>
      </c>
      <c r="Y105" s="9">
        <v>1195</v>
      </c>
      <c r="Z105" s="9">
        <v>1327</v>
      </c>
      <c r="AA105" s="9">
        <v>1321.2</v>
      </c>
      <c r="AB105" s="9">
        <v>1319</v>
      </c>
      <c r="AC105" s="9">
        <v>1323</v>
      </c>
      <c r="AD105" s="9">
        <v>1422</v>
      </c>
      <c r="AE105" s="9">
        <v>1427</v>
      </c>
      <c r="AF105" s="9">
        <v>1310</v>
      </c>
      <c r="AG105" s="9">
        <v>1290</v>
      </c>
      <c r="AH105" s="9">
        <v>1421</v>
      </c>
      <c r="AI105" s="9">
        <v>1490</v>
      </c>
      <c r="AJ105" s="9">
        <v>1390</v>
      </c>
      <c r="AK105" s="9">
        <v>1388</v>
      </c>
      <c r="AL105" s="9">
        <v>1390</v>
      </c>
      <c r="AM105" s="9">
        <v>1449</v>
      </c>
      <c r="AN105" s="9">
        <v>1451</v>
      </c>
      <c r="AO105" s="9">
        <v>1444</v>
      </c>
      <c r="AP105" s="9">
        <v>1439</v>
      </c>
      <c r="AQ105" s="9">
        <v>1435</v>
      </c>
      <c r="AR105" s="9">
        <v>1244</v>
      </c>
      <c r="AS105" s="9">
        <v>1623</v>
      </c>
      <c r="AT105" s="9">
        <v>1296</v>
      </c>
      <c r="AU105" s="9">
        <v>1424.7</v>
      </c>
      <c r="AV105" s="9">
        <v>1323.7</v>
      </c>
      <c r="AW105" s="9">
        <v>1321</v>
      </c>
      <c r="AX105" s="9">
        <v>1311</v>
      </c>
      <c r="AY105" s="9">
        <v>1297.5</v>
      </c>
      <c r="AZ105" s="9">
        <v>1285</v>
      </c>
      <c r="BA105" s="9">
        <v>1296</v>
      </c>
      <c r="BB105" s="9">
        <v>1285</v>
      </c>
      <c r="BC105" s="9">
        <v>1290.0999999999999</v>
      </c>
      <c r="BD105" s="9">
        <v>1281</v>
      </c>
      <c r="BE105" s="9">
        <v>1285.5</v>
      </c>
      <c r="BF105" s="9">
        <v>1391.1</v>
      </c>
      <c r="BG105" s="9">
        <v>1290</v>
      </c>
      <c r="BH105" s="9">
        <v>1340</v>
      </c>
      <c r="BI105" s="9">
        <v>1323</v>
      </c>
      <c r="BJ105" s="9">
        <v>1281</v>
      </c>
      <c r="BK105" s="9">
        <v>1286.3</v>
      </c>
      <c r="BL105" s="9">
        <v>1454</v>
      </c>
      <c r="BM105" s="9">
        <v>1442.7</v>
      </c>
      <c r="BN105" s="9">
        <v>1378.1</v>
      </c>
      <c r="BO105" s="9">
        <v>1441</v>
      </c>
      <c r="BP105" s="9">
        <v>1439</v>
      </c>
      <c r="BQ105" s="9">
        <v>1311</v>
      </c>
      <c r="BR105" s="9">
        <v>1457</v>
      </c>
      <c r="BS105" s="9">
        <v>1441</v>
      </c>
      <c r="BT105" s="9">
        <v>1309.5</v>
      </c>
      <c r="BU105" s="9">
        <v>1505.6</v>
      </c>
      <c r="BV105" s="9">
        <v>1275</v>
      </c>
      <c r="BW105" s="9">
        <v>1201</v>
      </c>
      <c r="BX105" s="9">
        <v>1390</v>
      </c>
      <c r="BY105" s="9">
        <v>1384</v>
      </c>
      <c r="BZ105" s="9">
        <v>1401</v>
      </c>
      <c r="CA105" s="9">
        <v>1407</v>
      </c>
      <c r="CB105" s="9">
        <v>1290</v>
      </c>
      <c r="CC105" s="9">
        <v>1295</v>
      </c>
      <c r="CD105" s="9">
        <v>1291</v>
      </c>
      <c r="CE105" s="9">
        <v>1294</v>
      </c>
      <c r="CF105" s="9">
        <v>1321</v>
      </c>
      <c r="CG105" s="9">
        <v>1290</v>
      </c>
      <c r="CH105" s="9">
        <v>1451</v>
      </c>
      <c r="CI105" s="9">
        <v>1457.1</v>
      </c>
      <c r="CJ105" s="9">
        <v>1438</v>
      </c>
      <c r="CK105" s="9">
        <v>1287</v>
      </c>
      <c r="CL105" s="9">
        <v>1304.8</v>
      </c>
      <c r="CM105" s="9">
        <v>1400</v>
      </c>
      <c r="CN105" s="9">
        <v>1270.5</v>
      </c>
      <c r="CO105" s="9">
        <v>1311</v>
      </c>
      <c r="CP105" s="9">
        <v>1293.5999999999999</v>
      </c>
      <c r="CQ105" s="9">
        <v>1291</v>
      </c>
      <c r="CR105" s="9">
        <v>1267</v>
      </c>
      <c r="CS105" s="9">
        <v>1296</v>
      </c>
      <c r="CT105" s="9">
        <v>1307.8</v>
      </c>
      <c r="CU105" s="9">
        <v>1281</v>
      </c>
      <c r="CV105" s="9">
        <v>1311.6</v>
      </c>
      <c r="CW105" s="9">
        <v>1312.8</v>
      </c>
      <c r="CX105" s="9">
        <v>1360.5</v>
      </c>
      <c r="CY105" s="9">
        <v>1401</v>
      </c>
      <c r="CZ105" s="9">
        <v>1319</v>
      </c>
      <c r="DA105" s="9">
        <v>1289</v>
      </c>
      <c r="DB105" s="9">
        <v>1472.3</v>
      </c>
      <c r="DC105" s="9">
        <v>1281</v>
      </c>
      <c r="DD105" s="9">
        <v>1295</v>
      </c>
      <c r="DE105" s="9">
        <v>1290</v>
      </c>
      <c r="DF105" s="9">
        <v>1297</v>
      </c>
      <c r="DG105" s="9">
        <v>1284</v>
      </c>
      <c r="DH105" s="9">
        <v>1293</v>
      </c>
      <c r="DI105" s="9">
        <v>1299</v>
      </c>
      <c r="DJ105" s="9">
        <v>1278</v>
      </c>
      <c r="DK105" s="9">
        <v>1293</v>
      </c>
      <c r="DL105" s="9">
        <v>1458.8</v>
      </c>
      <c r="DM105" s="9">
        <v>1290</v>
      </c>
      <c r="DN105" s="9">
        <v>1481</v>
      </c>
      <c r="DO105" s="9">
        <v>1452</v>
      </c>
      <c r="DP105" s="9">
        <v>1299.5999999999999</v>
      </c>
      <c r="DQ105" s="9">
        <v>1474.1</v>
      </c>
      <c r="DR105" s="9">
        <v>1401.4</v>
      </c>
      <c r="DS105" s="9">
        <v>1424.3</v>
      </c>
      <c r="DT105" s="9">
        <v>1471.2</v>
      </c>
      <c r="DU105" s="9">
        <v>1479.1</v>
      </c>
      <c r="DV105" s="9">
        <v>1321.5</v>
      </c>
      <c r="DW105" s="9">
        <v>1315.4</v>
      </c>
      <c r="DX105" s="9">
        <v>1432</v>
      </c>
      <c r="DY105" s="9">
        <v>1423</v>
      </c>
      <c r="DZ105" s="9">
        <v>1468.3</v>
      </c>
      <c r="EA105" s="9">
        <v>1300.3</v>
      </c>
      <c r="EB105" s="9">
        <v>1290.9000000000001</v>
      </c>
      <c r="EC105" s="9">
        <v>1422</v>
      </c>
      <c r="ED105" s="9">
        <v>1453.7</v>
      </c>
      <c r="EE105" s="9">
        <v>1297</v>
      </c>
      <c r="EF105" s="9">
        <v>1271.4000000000001</v>
      </c>
      <c r="EG105" s="9">
        <v>1423</v>
      </c>
      <c r="EH105" s="9">
        <v>1285</v>
      </c>
      <c r="EI105" s="9">
        <v>1267.5</v>
      </c>
      <c r="EJ105" s="9">
        <v>1439</v>
      </c>
      <c r="EK105" s="9">
        <v>1438</v>
      </c>
      <c r="EL105" s="9">
        <v>1378.2</v>
      </c>
      <c r="EM105" s="9">
        <v>1423.2</v>
      </c>
      <c r="EN105" s="9">
        <v>1423.3</v>
      </c>
      <c r="EO105" s="9">
        <v>1233</v>
      </c>
      <c r="EP105" s="9">
        <v>1421</v>
      </c>
      <c r="EQ105" s="9">
        <v>1389</v>
      </c>
      <c r="ER105" s="9">
        <v>1371</v>
      </c>
      <c r="ES105" s="9">
        <v>1409</v>
      </c>
      <c r="ET105" s="9">
        <v>1388</v>
      </c>
      <c r="EU105" s="9">
        <v>1332.6</v>
      </c>
      <c r="EV105" s="9">
        <v>1424.5</v>
      </c>
      <c r="EW105" s="9">
        <v>1373.2</v>
      </c>
      <c r="EX105" s="9">
        <v>1331.5</v>
      </c>
      <c r="EY105" s="9">
        <v>1432</v>
      </c>
      <c r="EZ105" s="9">
        <v>1296.3</v>
      </c>
      <c r="FA105" s="9">
        <v>1421.1</v>
      </c>
      <c r="FB105" s="9">
        <v>1307.5</v>
      </c>
      <c r="FC105" s="9">
        <v>1201</v>
      </c>
      <c r="FD105" s="9">
        <v>1378</v>
      </c>
      <c r="FE105" s="9">
        <v>1434.1</v>
      </c>
      <c r="FF105" s="9">
        <v>1447.7</v>
      </c>
      <c r="FG105" s="9">
        <v>1327.6</v>
      </c>
      <c r="FH105" s="9">
        <v>1449.6</v>
      </c>
      <c r="FI105" s="9">
        <v>1327.8</v>
      </c>
      <c r="FJ105" s="9">
        <v>1308.5</v>
      </c>
      <c r="FK105" s="9">
        <v>1299.5</v>
      </c>
      <c r="FL105" s="9">
        <v>1290</v>
      </c>
      <c r="FM105" s="9">
        <v>1315.4</v>
      </c>
      <c r="FN105" s="9">
        <v>1301</v>
      </c>
      <c r="FO105" s="9">
        <v>1315.3</v>
      </c>
      <c r="FP105" s="9">
        <v>1461</v>
      </c>
      <c r="FQ105" s="9">
        <v>1270.4000000000001</v>
      </c>
      <c r="FR105" s="9">
        <v>1420.5</v>
      </c>
      <c r="FS105" s="9">
        <v>1450.8</v>
      </c>
      <c r="FT105" s="9">
        <v>1501.1</v>
      </c>
      <c r="FU105" s="9">
        <v>1324.6</v>
      </c>
      <c r="FV105" s="9">
        <v>1271</v>
      </c>
      <c r="FW105" s="9">
        <v>1438.3</v>
      </c>
      <c r="FX105" s="9">
        <v>1303.2</v>
      </c>
      <c r="FY105" s="9">
        <v>1351.5</v>
      </c>
      <c r="FZ105" s="9">
        <v>1334.5</v>
      </c>
      <c r="GA105" s="9">
        <v>1339.1</v>
      </c>
      <c r="GB105" s="9">
        <v>1480</v>
      </c>
      <c r="GC105" s="9">
        <v>1368.6</v>
      </c>
      <c r="GD105" s="9">
        <v>1477.8</v>
      </c>
      <c r="GE105" s="9">
        <v>1271.8</v>
      </c>
      <c r="GF105" s="9">
        <v>1252.7</v>
      </c>
      <c r="GG105" s="9">
        <v>1266</v>
      </c>
      <c r="GH105" s="9">
        <v>1421</v>
      </c>
      <c r="GI105" s="9">
        <v>1276</v>
      </c>
      <c r="GJ105" s="9">
        <v>1367</v>
      </c>
      <c r="GK105" s="9">
        <v>1414</v>
      </c>
      <c r="GL105" s="9">
        <v>1418.8</v>
      </c>
      <c r="GM105" s="9">
        <v>1431</v>
      </c>
      <c r="GN105" s="9">
        <v>1378.4</v>
      </c>
      <c r="GO105" s="9">
        <v>1417.8</v>
      </c>
      <c r="GP105" s="9">
        <v>1351.6</v>
      </c>
      <c r="GQ105" s="9">
        <v>1351</v>
      </c>
      <c r="GR105" s="9">
        <v>1321</v>
      </c>
      <c r="GS105" s="9">
        <v>1390</v>
      </c>
      <c r="GT105" s="9">
        <v>1256</v>
      </c>
      <c r="GU105" s="9">
        <v>1265</v>
      </c>
      <c r="GV105" s="9">
        <v>1261</v>
      </c>
      <c r="GW105" s="9">
        <v>1266</v>
      </c>
      <c r="GX105" s="9">
        <v>1261.9000000000001</v>
      </c>
      <c r="GY105" s="9">
        <v>1259</v>
      </c>
      <c r="GZ105" s="9">
        <v>1064</v>
      </c>
      <c r="HA105" s="9">
        <v>1266</v>
      </c>
      <c r="HB105" s="9"/>
      <c r="HC105" s="9"/>
      <c r="HD105" s="9">
        <v>1159</v>
      </c>
      <c r="HE105" s="9">
        <v>921</v>
      </c>
      <c r="HF105" s="9">
        <v>1289</v>
      </c>
      <c r="HG105" s="9"/>
      <c r="HH105" s="9">
        <v>1401</v>
      </c>
      <c r="HI105" s="9">
        <v>1271</v>
      </c>
      <c r="HJ105" s="9">
        <v>1276</v>
      </c>
      <c r="HK105" s="9">
        <v>1278</v>
      </c>
      <c r="HL105" s="9">
        <v>1281</v>
      </c>
      <c r="HM105" s="9">
        <v>1278</v>
      </c>
      <c r="HN105" s="9">
        <v>1273</v>
      </c>
      <c r="HO105" s="9">
        <v>1326.5</v>
      </c>
      <c r="HP105" s="9">
        <v>1279.3</v>
      </c>
      <c r="HQ105" s="9">
        <v>1281</v>
      </c>
      <c r="HR105" s="9">
        <v>1280.3</v>
      </c>
      <c r="HS105" s="9">
        <v>1291</v>
      </c>
      <c r="HT105" s="9">
        <v>1431</v>
      </c>
      <c r="HU105" s="9">
        <v>1502.8</v>
      </c>
      <c r="HV105" s="9">
        <v>1151</v>
      </c>
      <c r="HW105" s="9">
        <v>1159</v>
      </c>
      <c r="HX105" s="9">
        <v>998.2</v>
      </c>
      <c r="HY105" s="9">
        <v>821</v>
      </c>
      <c r="HZ105" s="9">
        <v>1001</v>
      </c>
      <c r="IA105" s="9">
        <v>1156.3</v>
      </c>
      <c r="IB105" s="9">
        <v>1383.1</v>
      </c>
      <c r="IC105" s="9">
        <v>1483.5</v>
      </c>
      <c r="ID105" s="9">
        <v>1416.9</v>
      </c>
      <c r="IE105" s="9">
        <v>1396.7</v>
      </c>
      <c r="IF105" s="9">
        <v>1390</v>
      </c>
      <c r="IG105" s="9">
        <v>1432</v>
      </c>
      <c r="IH105" s="9">
        <v>1439</v>
      </c>
      <c r="II105" s="9">
        <v>1432</v>
      </c>
      <c r="IJ105" s="9">
        <v>1255</v>
      </c>
      <c r="IK105" s="9">
        <v>1324</v>
      </c>
      <c r="IL105" s="9">
        <v>1275</v>
      </c>
      <c r="IM105" s="9">
        <v>1323.1</v>
      </c>
      <c r="IN105" s="9">
        <v>1190</v>
      </c>
      <c r="IO105" s="9"/>
      <c r="IP105" s="9">
        <v>1780</v>
      </c>
      <c r="IQ105" s="9">
        <v>1419</v>
      </c>
      <c r="IR105" s="9">
        <v>490</v>
      </c>
      <c r="IS105" s="9">
        <v>1321</v>
      </c>
      <c r="IT105" s="9">
        <v>1256</v>
      </c>
      <c r="IU105" s="9"/>
      <c r="IV105" s="9"/>
      <c r="IW105" s="9">
        <v>1201</v>
      </c>
      <c r="IX105" s="9">
        <v>1271</v>
      </c>
      <c r="IY105" s="9">
        <v>1311</v>
      </c>
      <c r="IZ105" s="9">
        <v>1275</v>
      </c>
      <c r="JA105" s="9">
        <v>1182</v>
      </c>
      <c r="JB105" s="11">
        <v>34.049999999999997</v>
      </c>
      <c r="JC105" s="11">
        <v>43.94</v>
      </c>
      <c r="JD105" s="11">
        <v>1.76</v>
      </c>
      <c r="JE105" s="11">
        <v>6.5</v>
      </c>
      <c r="JF105" s="11"/>
      <c r="JG105" s="11">
        <v>6.66</v>
      </c>
      <c r="JH105" s="13">
        <v>6.3</v>
      </c>
      <c r="JI105" s="12"/>
      <c r="JJ105" s="277"/>
      <c r="JK105" s="9">
        <v>88567201.417999998</v>
      </c>
      <c r="JL105" s="260">
        <v>283636.17099999997</v>
      </c>
      <c r="JM105" s="9">
        <v>61455212.684</v>
      </c>
      <c r="JN105" s="260">
        <v>63414.404000000002</v>
      </c>
      <c r="JO105" s="9">
        <v>89252319.721000001</v>
      </c>
      <c r="JP105" s="260">
        <v>189189.51800000001</v>
      </c>
      <c r="JQ105" s="9">
        <v>64967375.266999997</v>
      </c>
      <c r="JR105" s="260">
        <v>58699.864000000001</v>
      </c>
      <c r="JS105" s="11">
        <v>335340446.602</v>
      </c>
      <c r="JT105" s="289">
        <v>91126.210999999996</v>
      </c>
      <c r="JU105" s="283">
        <f t="shared" ref="JU105" si="617">IF((JK105-JK104)&lt;0,"",(JK105-JK104))</f>
        <v>88556.305999994278</v>
      </c>
      <c r="JV105" s="283">
        <f t="shared" ref="JV105" si="618">IF((JL105-JL104)&lt;0,"",(JL105-JL104))</f>
        <v>8.9409999999916181</v>
      </c>
      <c r="JW105" s="283">
        <f t="shared" ref="JW105" si="619">IF((JM105-JM104)&lt;0,"",(JM105-JM104))</f>
        <v>83628.092000000179</v>
      </c>
      <c r="JX105" s="283">
        <f t="shared" ref="JX105" si="620">IF((JN105-JN104)&lt;0,"",(JN105-JN104))</f>
        <v>12.884000000005472</v>
      </c>
      <c r="JY105" s="284">
        <f t="shared" ref="JY105" si="621">IF((JO105-JO104)&lt;0,"",(JO105-JO104))</f>
        <v>86331.129000008106</v>
      </c>
      <c r="JZ105" s="284">
        <f t="shared" ref="JZ105" si="622">IF((JP105-JP104)&lt;0,"",(JP105-JP104))</f>
        <v>23.270000000018626</v>
      </c>
      <c r="KA105" s="284">
        <f t="shared" ref="KA105" si="623">IF((JQ105-JQ104)&lt;0,"",(JQ105-JQ104))</f>
        <v>66037.653999999166</v>
      </c>
      <c r="KB105" s="284">
        <f t="shared" ref="KB105" si="624">IF((JR105-JR104)&lt;0,"",(JR105-JR104))</f>
        <v>28.544000000001688</v>
      </c>
      <c r="KC105" s="283">
        <f t="shared" ref="KC105" si="625">IF((JS105-JS104)&lt;0,"",(JS105-JS104))</f>
        <v>324045.375</v>
      </c>
      <c r="KD105" s="283">
        <f t="shared" ref="KD105" si="626">IF((JT105-JT104)&lt;0,"",(JT105-JT104))</f>
        <v>95.680999999996857</v>
      </c>
      <c r="KE105" s="291">
        <f t="shared" si="555"/>
        <v>172162.57299999445</v>
      </c>
      <c r="KF105" s="291">
        <f t="shared" si="556"/>
        <v>323949.69400000002</v>
      </c>
      <c r="KG105" s="292">
        <f>(RD[[#This Row],[Sunset Time (POA&lt;20 W/m2)]]-RD[[#This Row],[Sunrise Time (POA&gt;20 W/m2)]])*24</f>
        <v>13.416666666666668</v>
      </c>
      <c r="KH105" s="293">
        <f>RD[[#This Row],[GHI ]]</f>
        <v>6.66</v>
      </c>
      <c r="KI105" s="293">
        <f>RD[[#This Row],[POA]]</f>
        <v>6.3</v>
      </c>
      <c r="KJ105" s="293">
        <f>RD[[#This Row],[AT (°C) 14 Hours]]</f>
        <v>34.049999999999997</v>
      </c>
      <c r="KK105" s="293">
        <f>RD[[#This Row],[MT (°C) Gen. Hours]]</f>
        <v>43.94</v>
      </c>
      <c r="KL105" s="293">
        <f>RD[[#This Row],[WS_Avg (m/s) (24 Hours)]]</f>
        <v>1.76</v>
      </c>
      <c r="KM105" s="293">
        <f>RD[[#This Row],[WS_Max (m/s)]]</f>
        <v>6.5</v>
      </c>
      <c r="KN105" s="294">
        <f>SUM(RD[[#This Row],[BLK1_INV1]:[BLK8_INV27]])</f>
        <v>325117.39999999997</v>
      </c>
      <c r="KO105" s="95"/>
      <c r="KP105" s="55"/>
      <c r="KQ105" s="90" t="str">
        <f>IFERROR(RD[[#This Row],[WPR_Eac]]/RD[[#This Row],[WPR_Edc]],"")</f>
        <v/>
      </c>
    </row>
    <row r="106" spans="2:303" ht="15" customHeight="1" x14ac:dyDescent="0.25">
      <c r="B106" s="52">
        <v>45847</v>
      </c>
      <c r="C106" s="9">
        <f>YEAR(RD[[#This Row],[Date]])+IF(MONTH(RD[[#This Row],[Date]])&gt;=4,1,0)</f>
        <v>2026</v>
      </c>
      <c r="D106" s="6">
        <f t="shared" si="544"/>
        <v>2025</v>
      </c>
      <c r="E106" s="7"/>
      <c r="F106" s="7"/>
      <c r="G106" s="367" t="str">
        <f>TEXT(RD[[#This Row],[Date]],"mmm-yy")</f>
        <v>Jul-25</v>
      </c>
      <c r="H106" s="6">
        <f t="shared" si="545"/>
        <v>31</v>
      </c>
      <c r="I106" s="9">
        <f>'Basic Data '!$S$2</f>
        <v>66750</v>
      </c>
      <c r="J106" s="10">
        <v>0.22291666666666665</v>
      </c>
      <c r="K106" s="10">
        <v>0.73055555555555562</v>
      </c>
      <c r="L106" s="9">
        <v>896.2</v>
      </c>
      <c r="M106" s="9">
        <v>912.7</v>
      </c>
      <c r="N106" s="9">
        <v>847.1</v>
      </c>
      <c r="O106" s="9">
        <v>821.8</v>
      </c>
      <c r="P106" s="9">
        <v>911.9</v>
      </c>
      <c r="Q106" s="9">
        <v>838.4</v>
      </c>
      <c r="R106" s="9">
        <v>831</v>
      </c>
      <c r="S106" s="9">
        <v>829</v>
      </c>
      <c r="T106" s="9">
        <v>877.5</v>
      </c>
      <c r="U106" s="9">
        <v>883.2</v>
      </c>
      <c r="V106" s="9">
        <v>837</v>
      </c>
      <c r="W106" s="9">
        <v>826</v>
      </c>
      <c r="X106" s="9">
        <v>846.2</v>
      </c>
      <c r="Y106" s="9">
        <v>781</v>
      </c>
      <c r="Z106" s="9">
        <v>849.5</v>
      </c>
      <c r="AA106" s="9">
        <v>836</v>
      </c>
      <c r="AB106" s="9">
        <v>841.8</v>
      </c>
      <c r="AC106" s="9">
        <v>845.1</v>
      </c>
      <c r="AD106" s="9">
        <v>918.7</v>
      </c>
      <c r="AE106" s="9">
        <v>920.1</v>
      </c>
      <c r="AF106" s="9">
        <v>833</v>
      </c>
      <c r="AG106" s="9">
        <v>836</v>
      </c>
      <c r="AH106" s="9">
        <v>918</v>
      </c>
      <c r="AI106" s="9">
        <v>934</v>
      </c>
      <c r="AJ106" s="9">
        <v>918</v>
      </c>
      <c r="AK106" s="9">
        <v>923.5</v>
      </c>
      <c r="AL106" s="9">
        <v>918.5</v>
      </c>
      <c r="AM106" s="9">
        <v>955.1</v>
      </c>
      <c r="AN106" s="9">
        <v>955.7</v>
      </c>
      <c r="AO106" s="9">
        <v>951.9</v>
      </c>
      <c r="AP106" s="9">
        <v>953.8</v>
      </c>
      <c r="AQ106" s="9">
        <v>955.5</v>
      </c>
      <c r="AR106" s="9">
        <v>777</v>
      </c>
      <c r="AS106" s="9">
        <v>1051</v>
      </c>
      <c r="AT106" s="9">
        <v>812.6</v>
      </c>
      <c r="AU106" s="9">
        <v>931</v>
      </c>
      <c r="AV106" s="9">
        <v>834</v>
      </c>
      <c r="AW106" s="9">
        <v>828</v>
      </c>
      <c r="AX106" s="9">
        <v>829</v>
      </c>
      <c r="AY106" s="9">
        <v>821</v>
      </c>
      <c r="AZ106" s="9">
        <v>833</v>
      </c>
      <c r="BA106" s="9">
        <v>829</v>
      </c>
      <c r="BB106" s="9">
        <v>841</v>
      </c>
      <c r="BC106" s="9">
        <v>812.1</v>
      </c>
      <c r="BD106" s="9">
        <v>837</v>
      </c>
      <c r="BE106" s="9">
        <v>828</v>
      </c>
      <c r="BF106" s="9">
        <v>896</v>
      </c>
      <c r="BG106" s="9">
        <v>829</v>
      </c>
      <c r="BH106" s="9">
        <v>851</v>
      </c>
      <c r="BI106" s="9">
        <v>859</v>
      </c>
      <c r="BJ106" s="9">
        <v>837</v>
      </c>
      <c r="BK106" s="9">
        <v>829</v>
      </c>
      <c r="BL106" s="9">
        <v>953</v>
      </c>
      <c r="BM106" s="9">
        <v>919</v>
      </c>
      <c r="BN106" s="9">
        <v>891</v>
      </c>
      <c r="BO106" s="9">
        <v>957.8</v>
      </c>
      <c r="BP106" s="9">
        <v>933</v>
      </c>
      <c r="BQ106" s="9">
        <v>841</v>
      </c>
      <c r="BR106" s="9">
        <v>945</v>
      </c>
      <c r="BS106" s="9">
        <v>941</v>
      </c>
      <c r="BT106" s="9">
        <v>821.2</v>
      </c>
      <c r="BU106" s="9">
        <v>962.3</v>
      </c>
      <c r="BV106" s="9">
        <v>835</v>
      </c>
      <c r="BW106" s="9">
        <v>771</v>
      </c>
      <c r="BX106" s="9">
        <v>916.6</v>
      </c>
      <c r="BY106" s="9">
        <v>914.1</v>
      </c>
      <c r="BZ106" s="9">
        <v>924</v>
      </c>
      <c r="CA106" s="9">
        <v>903.9</v>
      </c>
      <c r="CB106" s="9">
        <v>843.7</v>
      </c>
      <c r="CC106" s="9">
        <v>840.6</v>
      </c>
      <c r="CD106" s="9">
        <v>845.9</v>
      </c>
      <c r="CE106" s="9">
        <v>842.5</v>
      </c>
      <c r="CF106" s="9">
        <v>827</v>
      </c>
      <c r="CG106" s="9">
        <v>847.2</v>
      </c>
      <c r="CH106" s="9">
        <v>931</v>
      </c>
      <c r="CI106" s="9">
        <v>929</v>
      </c>
      <c r="CJ106" s="9">
        <v>937</v>
      </c>
      <c r="CK106" s="9">
        <v>834</v>
      </c>
      <c r="CL106" s="9">
        <v>840.1</v>
      </c>
      <c r="CM106" s="9">
        <v>901</v>
      </c>
      <c r="CN106" s="9">
        <v>832</v>
      </c>
      <c r="CO106" s="9">
        <v>831</v>
      </c>
      <c r="CP106" s="9">
        <v>843.6</v>
      </c>
      <c r="CQ106" s="9">
        <v>833</v>
      </c>
      <c r="CR106" s="9">
        <v>841</v>
      </c>
      <c r="CS106" s="9">
        <v>839</v>
      </c>
      <c r="CT106" s="9">
        <v>827.5</v>
      </c>
      <c r="CU106" s="9">
        <v>832.2</v>
      </c>
      <c r="CV106" s="9">
        <v>838.8</v>
      </c>
      <c r="CW106" s="9">
        <v>833.3</v>
      </c>
      <c r="CX106" s="9">
        <v>870.9</v>
      </c>
      <c r="CY106" s="9">
        <v>912</v>
      </c>
      <c r="CZ106" s="9">
        <v>838</v>
      </c>
      <c r="DA106" s="9">
        <v>838</v>
      </c>
      <c r="DB106" s="9">
        <v>942</v>
      </c>
      <c r="DC106" s="9">
        <v>839.2</v>
      </c>
      <c r="DD106" s="9">
        <v>840</v>
      </c>
      <c r="DE106" s="9">
        <v>829</v>
      </c>
      <c r="DF106" s="9">
        <v>845</v>
      </c>
      <c r="DG106" s="9">
        <v>845.5</v>
      </c>
      <c r="DH106" s="9">
        <v>839</v>
      </c>
      <c r="DI106" s="9">
        <v>846</v>
      </c>
      <c r="DJ106" s="9">
        <v>843</v>
      </c>
      <c r="DK106" s="9">
        <v>844.8</v>
      </c>
      <c r="DL106" s="9">
        <v>930.2</v>
      </c>
      <c r="DM106" s="9">
        <v>829.5</v>
      </c>
      <c r="DN106" s="9">
        <v>952.7</v>
      </c>
      <c r="DO106" s="9">
        <v>912</v>
      </c>
      <c r="DP106" s="9">
        <v>826.1</v>
      </c>
      <c r="DQ106" s="9">
        <v>933.8</v>
      </c>
      <c r="DR106" s="9">
        <v>889.4</v>
      </c>
      <c r="DS106" s="9">
        <v>910.7</v>
      </c>
      <c r="DT106" s="9">
        <v>955.8</v>
      </c>
      <c r="DU106" s="9">
        <v>947.9</v>
      </c>
      <c r="DV106" s="9">
        <v>840.5</v>
      </c>
      <c r="DW106" s="9">
        <v>832</v>
      </c>
      <c r="DX106" s="9">
        <v>912</v>
      </c>
      <c r="DY106" s="9">
        <v>921</v>
      </c>
      <c r="DZ106" s="9">
        <v>938.4</v>
      </c>
      <c r="EA106" s="9">
        <v>822.4</v>
      </c>
      <c r="EB106" s="9">
        <v>818.9</v>
      </c>
      <c r="EC106" s="9">
        <v>919</v>
      </c>
      <c r="ED106" s="9">
        <v>934.1</v>
      </c>
      <c r="EE106" s="9">
        <v>839</v>
      </c>
      <c r="EF106" s="9">
        <v>824</v>
      </c>
      <c r="EG106" s="9">
        <v>947.8</v>
      </c>
      <c r="EH106" s="9">
        <v>829</v>
      </c>
      <c r="EI106" s="9">
        <v>833</v>
      </c>
      <c r="EJ106" s="9">
        <v>915.5</v>
      </c>
      <c r="EK106" s="9">
        <v>914.8</v>
      </c>
      <c r="EL106" s="9">
        <v>892</v>
      </c>
      <c r="EM106" s="9">
        <v>905.4</v>
      </c>
      <c r="EN106" s="9">
        <v>906.5</v>
      </c>
      <c r="EO106" s="9">
        <v>784.9</v>
      </c>
      <c r="EP106" s="9">
        <v>909</v>
      </c>
      <c r="EQ106" s="9">
        <v>882.6</v>
      </c>
      <c r="ER106" s="9">
        <v>891</v>
      </c>
      <c r="ES106" s="9">
        <v>901</v>
      </c>
      <c r="ET106" s="9">
        <v>890</v>
      </c>
      <c r="EU106" s="9">
        <v>855.3</v>
      </c>
      <c r="EV106" s="9">
        <v>906</v>
      </c>
      <c r="EW106" s="9">
        <v>893.4</v>
      </c>
      <c r="EX106" s="9">
        <v>841</v>
      </c>
      <c r="EY106" s="9">
        <v>931.8</v>
      </c>
      <c r="EZ106" s="9">
        <v>822.5</v>
      </c>
      <c r="FA106" s="9">
        <v>914.1</v>
      </c>
      <c r="FB106" s="9">
        <v>842.5</v>
      </c>
      <c r="FC106" s="9">
        <v>780.7</v>
      </c>
      <c r="FD106" s="9">
        <v>885.9</v>
      </c>
      <c r="FE106" s="9">
        <v>921.6</v>
      </c>
      <c r="FF106" s="9">
        <v>921</v>
      </c>
      <c r="FG106" s="9">
        <v>852.1</v>
      </c>
      <c r="FH106" s="9">
        <v>923.6</v>
      </c>
      <c r="FI106" s="9">
        <v>854.5</v>
      </c>
      <c r="FJ106" s="9">
        <v>840</v>
      </c>
      <c r="FK106" s="9">
        <v>834.5</v>
      </c>
      <c r="FL106" s="9">
        <v>843.5</v>
      </c>
      <c r="FM106" s="9">
        <v>841.6</v>
      </c>
      <c r="FN106" s="9">
        <v>843.8</v>
      </c>
      <c r="FO106" s="9">
        <v>830.3</v>
      </c>
      <c r="FP106" s="9">
        <v>918.9</v>
      </c>
      <c r="FQ106" s="9">
        <v>823</v>
      </c>
      <c r="FR106" s="9">
        <v>911</v>
      </c>
      <c r="FS106" s="9">
        <v>909</v>
      </c>
      <c r="FT106" s="9">
        <v>948.7</v>
      </c>
      <c r="FU106" s="9">
        <v>841.1</v>
      </c>
      <c r="FV106" s="9">
        <v>827</v>
      </c>
      <c r="FW106" s="9">
        <v>920.4</v>
      </c>
      <c r="FX106" s="9">
        <v>819.9</v>
      </c>
      <c r="FY106" s="9">
        <v>855.9</v>
      </c>
      <c r="FZ106" s="9">
        <v>843.5</v>
      </c>
      <c r="GA106" s="9">
        <v>846.7</v>
      </c>
      <c r="GB106" s="9">
        <v>940.3</v>
      </c>
      <c r="GC106" s="9">
        <v>849.1</v>
      </c>
      <c r="GD106" s="9">
        <v>931.7</v>
      </c>
      <c r="GE106" s="9">
        <v>829</v>
      </c>
      <c r="GF106" s="9">
        <v>809</v>
      </c>
      <c r="GG106" s="9">
        <v>835</v>
      </c>
      <c r="GH106" s="9">
        <v>907</v>
      </c>
      <c r="GI106" s="9">
        <v>837</v>
      </c>
      <c r="GJ106" s="9">
        <v>898</v>
      </c>
      <c r="GK106" s="9">
        <v>911</v>
      </c>
      <c r="GL106" s="9">
        <v>909</v>
      </c>
      <c r="GM106" s="9">
        <v>881</v>
      </c>
      <c r="GN106" s="9">
        <v>891</v>
      </c>
      <c r="GO106" s="9">
        <v>912</v>
      </c>
      <c r="GP106" s="9">
        <v>845.8</v>
      </c>
      <c r="GQ106" s="9">
        <v>844</v>
      </c>
      <c r="GR106" s="9">
        <v>854.9</v>
      </c>
      <c r="GS106" s="9">
        <v>878</v>
      </c>
      <c r="GT106" s="9">
        <v>829</v>
      </c>
      <c r="GU106" s="9">
        <v>821</v>
      </c>
      <c r="GV106" s="9">
        <v>836</v>
      </c>
      <c r="GW106" s="9">
        <v>831</v>
      </c>
      <c r="GX106" s="9">
        <v>829</v>
      </c>
      <c r="GY106" s="9">
        <v>839</v>
      </c>
      <c r="GZ106" s="9">
        <v>681</v>
      </c>
      <c r="HA106" s="9">
        <v>809</v>
      </c>
      <c r="HB106" s="9"/>
      <c r="HC106" s="9"/>
      <c r="HD106" s="9">
        <v>747</v>
      </c>
      <c r="HE106" s="9">
        <v>587</v>
      </c>
      <c r="HF106" s="9">
        <v>829</v>
      </c>
      <c r="HG106" s="9"/>
      <c r="HH106" s="9">
        <v>901</v>
      </c>
      <c r="HI106" s="9">
        <v>819</v>
      </c>
      <c r="HJ106" s="9">
        <v>824</v>
      </c>
      <c r="HK106" s="9">
        <v>833</v>
      </c>
      <c r="HL106" s="9">
        <v>835</v>
      </c>
      <c r="HM106" s="9">
        <v>825</v>
      </c>
      <c r="HN106" s="9">
        <v>821</v>
      </c>
      <c r="HO106" s="9">
        <v>839.6</v>
      </c>
      <c r="HP106" s="9">
        <v>821</v>
      </c>
      <c r="HQ106" s="9">
        <v>831</v>
      </c>
      <c r="HR106" s="9">
        <v>834</v>
      </c>
      <c r="HS106" s="9">
        <v>852.9</v>
      </c>
      <c r="HT106" s="9">
        <v>919</v>
      </c>
      <c r="HU106" s="9">
        <v>965.9</v>
      </c>
      <c r="HV106" s="9">
        <v>724</v>
      </c>
      <c r="HW106" s="9">
        <v>743.9</v>
      </c>
      <c r="HX106" s="9">
        <v>638.1</v>
      </c>
      <c r="HY106" s="9">
        <v>524</v>
      </c>
      <c r="HZ106" s="9">
        <v>643</v>
      </c>
      <c r="IA106" s="9">
        <v>738.8</v>
      </c>
      <c r="IB106" s="9">
        <v>879.4</v>
      </c>
      <c r="IC106" s="9">
        <v>943.4</v>
      </c>
      <c r="ID106" s="9">
        <v>905.5</v>
      </c>
      <c r="IE106" s="9">
        <v>883.2</v>
      </c>
      <c r="IF106" s="9">
        <v>885.8</v>
      </c>
      <c r="IG106" s="9">
        <v>921.5</v>
      </c>
      <c r="IH106" s="9">
        <v>941.1</v>
      </c>
      <c r="II106" s="9">
        <v>926.1</v>
      </c>
      <c r="IJ106" s="9">
        <v>798</v>
      </c>
      <c r="IK106" s="9">
        <v>854</v>
      </c>
      <c r="IL106" s="9">
        <v>791</v>
      </c>
      <c r="IM106" s="9">
        <v>819</v>
      </c>
      <c r="IN106" s="9">
        <v>765</v>
      </c>
      <c r="IO106" s="9"/>
      <c r="IP106" s="9">
        <v>1156</v>
      </c>
      <c r="IQ106" s="9">
        <v>891</v>
      </c>
      <c r="IR106" s="9">
        <v>321</v>
      </c>
      <c r="IS106" s="9">
        <v>816</v>
      </c>
      <c r="IT106" s="9">
        <v>791</v>
      </c>
      <c r="IU106" s="9"/>
      <c r="IV106" s="9"/>
      <c r="IW106" s="9">
        <v>767</v>
      </c>
      <c r="IX106" s="9">
        <v>814</v>
      </c>
      <c r="IY106" s="9">
        <v>846</v>
      </c>
      <c r="IZ106" s="9">
        <v>791</v>
      </c>
      <c r="JA106" s="9">
        <v>740.1</v>
      </c>
      <c r="JB106" s="11">
        <v>31.93</v>
      </c>
      <c r="JC106" s="11">
        <v>39.1</v>
      </c>
      <c r="JD106" s="11">
        <v>2.2400000000000002</v>
      </c>
      <c r="JE106" s="11">
        <v>7.1</v>
      </c>
      <c r="JF106" s="11"/>
      <c r="JG106" s="11">
        <v>4.07</v>
      </c>
      <c r="JH106" s="13">
        <v>3.86</v>
      </c>
      <c r="JI106" s="12"/>
      <c r="JJ106" s="277"/>
      <c r="JK106" s="9">
        <v>88622789.600999996</v>
      </c>
      <c r="JL106" s="215">
        <v>283645.11200000002</v>
      </c>
      <c r="JM106" s="9">
        <v>61509254.042999998</v>
      </c>
      <c r="JN106" s="215">
        <v>63427.288</v>
      </c>
      <c r="JO106" s="9">
        <v>89307397.672000006</v>
      </c>
      <c r="JP106" s="215">
        <v>189212.788</v>
      </c>
      <c r="JQ106" s="9">
        <v>65009921.548</v>
      </c>
      <c r="JR106" s="215">
        <v>58728.408000000003</v>
      </c>
      <c r="JS106" s="11">
        <v>335547445.89499998</v>
      </c>
      <c r="JT106" s="223">
        <v>91221.892000000007</v>
      </c>
      <c r="JU106" s="283">
        <f t="shared" ref="JU106" si="627">IF((JK106-JK105)&lt;0,"",(JK106-JK105))</f>
        <v>55588.182999998331</v>
      </c>
      <c r="JV106" s="283">
        <f t="shared" ref="JV106" si="628">IF((JL106-JL105)&lt;0,"",(JL106-JL105))</f>
        <v>8.9410000000498258</v>
      </c>
      <c r="JW106" s="283">
        <f t="shared" ref="JW106" si="629">IF((JM106-JM105)&lt;0,"",(JM106-JM105))</f>
        <v>54041.358999997377</v>
      </c>
      <c r="JX106" s="283">
        <f t="shared" ref="JX106" si="630">IF((JN106-JN105)&lt;0,"",(JN106-JN105))</f>
        <v>12.883999999998196</v>
      </c>
      <c r="JY106" s="284">
        <f t="shared" ref="JY106" si="631">IF((JO106-JO105)&lt;0,"",(JO106-JO105))</f>
        <v>55077.951000005007</v>
      </c>
      <c r="JZ106" s="284">
        <f t="shared" ref="JZ106" si="632">IF((JP106-JP105)&lt;0,"",(JP106-JP105))</f>
        <v>23.269999999989523</v>
      </c>
      <c r="KA106" s="284">
        <f t="shared" ref="KA106" si="633">IF((JQ106-JQ105)&lt;0,"",(JQ106-JQ105))</f>
        <v>42546.281000003219</v>
      </c>
      <c r="KB106" s="284">
        <f t="shared" ref="KB106" si="634">IF((JR106-JR105)&lt;0,"",(JR106-JR105))</f>
        <v>28.544000000001688</v>
      </c>
      <c r="KC106" s="283">
        <f t="shared" ref="KC106" si="635">IF((JS106-JS105)&lt;0,"",(JS106-JS105))</f>
        <v>206999.29299998283</v>
      </c>
      <c r="KD106" s="283">
        <f t="shared" ref="KD106" si="636">IF((JT106-JT105)&lt;0,"",(JT106-JT105))</f>
        <v>95.681000000011409</v>
      </c>
      <c r="KE106" s="291">
        <f t="shared" si="555"/>
        <v>109607.71699999567</v>
      </c>
      <c r="KF106" s="291">
        <f t="shared" si="556"/>
        <v>206903.61199998282</v>
      </c>
      <c r="KG106" s="292">
        <f>(RD[[#This Row],[Sunset Time (POA&lt;20 W/m2)]]-RD[[#This Row],[Sunrise Time (POA&gt;20 W/m2)]])*24</f>
        <v>12.183333333333335</v>
      </c>
      <c r="KH106" s="293">
        <f>RD[[#This Row],[GHI ]]</f>
        <v>4.07</v>
      </c>
      <c r="KI106" s="293">
        <f>RD[[#This Row],[POA]]</f>
        <v>3.86</v>
      </c>
      <c r="KJ106" s="293">
        <f>RD[[#This Row],[AT (°C) 14 Hours]]</f>
        <v>31.93</v>
      </c>
      <c r="KK106" s="293">
        <f>RD[[#This Row],[MT (°C) Gen. Hours]]</f>
        <v>39.1</v>
      </c>
      <c r="KL106" s="293">
        <f>RD[[#This Row],[WS_Avg (m/s) (24 Hours)]]</f>
        <v>2.2400000000000002</v>
      </c>
      <c r="KM106" s="293">
        <f>RD[[#This Row],[WS_Max (m/s)]]</f>
        <v>7.1</v>
      </c>
      <c r="KN106" s="294">
        <f>SUM(RD[[#This Row],[BLK1_INV1]:[BLK8_INV27]])</f>
        <v>208916.29999999996</v>
      </c>
      <c r="KO106" s="95"/>
      <c r="KP106" s="55"/>
      <c r="KQ106" s="90" t="str">
        <f>IFERROR(RD[[#This Row],[WPR_Eac]]/RD[[#This Row],[WPR_Edc]],"")</f>
        <v/>
      </c>
    </row>
    <row r="107" spans="2:303" ht="15" customHeight="1" x14ac:dyDescent="0.25">
      <c r="B107" s="52">
        <v>45848</v>
      </c>
      <c r="C107" s="9">
        <f>YEAR(RD[[#This Row],[Date]])+IF(MONTH(RD[[#This Row],[Date]])&gt;=4,1,0)</f>
        <v>2026</v>
      </c>
      <c r="D107" s="6">
        <f t="shared" si="544"/>
        <v>2025</v>
      </c>
      <c r="E107" s="7"/>
      <c r="F107" s="7"/>
      <c r="G107" s="367" t="str">
        <f>TEXT(RD[[#This Row],[Date]],"mmm-yy")</f>
        <v>Jul-25</v>
      </c>
      <c r="H107" s="6">
        <f t="shared" si="545"/>
        <v>31</v>
      </c>
      <c r="I107" s="9">
        <f>'Basic Data '!$S$2</f>
        <v>66750</v>
      </c>
      <c r="J107" s="10">
        <v>0.22708333333333333</v>
      </c>
      <c r="K107" s="10">
        <v>0.7715277777777777</v>
      </c>
      <c r="L107" s="9">
        <v>499.7</v>
      </c>
      <c r="M107" s="9">
        <v>504</v>
      </c>
      <c r="N107" s="9">
        <v>470.7</v>
      </c>
      <c r="O107" s="9">
        <v>472.9</v>
      </c>
      <c r="P107" s="9">
        <v>500.1</v>
      </c>
      <c r="Q107" s="9">
        <v>468</v>
      </c>
      <c r="R107" s="9">
        <v>470.1</v>
      </c>
      <c r="S107" s="9">
        <v>471.3</v>
      </c>
      <c r="T107" s="9">
        <v>486.8</v>
      </c>
      <c r="U107" s="9">
        <v>493</v>
      </c>
      <c r="V107" s="9">
        <v>475.7</v>
      </c>
      <c r="W107" s="9">
        <v>474.7</v>
      </c>
      <c r="X107" s="9">
        <v>477.1</v>
      </c>
      <c r="Y107" s="9">
        <v>441.4</v>
      </c>
      <c r="Z107" s="9">
        <v>476.9</v>
      </c>
      <c r="AA107" s="9">
        <v>481</v>
      </c>
      <c r="AB107" s="9">
        <v>477.7</v>
      </c>
      <c r="AC107" s="9">
        <v>479.5</v>
      </c>
      <c r="AD107" s="9">
        <v>516.20000000000005</v>
      </c>
      <c r="AE107" s="9">
        <v>521</v>
      </c>
      <c r="AF107" s="9">
        <v>468.5</v>
      </c>
      <c r="AG107" s="9">
        <v>467.1</v>
      </c>
      <c r="AH107" s="9">
        <v>520.20000000000005</v>
      </c>
      <c r="AI107" s="9">
        <v>515.9</v>
      </c>
      <c r="AJ107" s="9">
        <v>507.3</v>
      </c>
      <c r="AK107" s="9">
        <v>512.79999999999995</v>
      </c>
      <c r="AL107" s="9">
        <v>521.6</v>
      </c>
      <c r="AM107" s="9">
        <v>517.9</v>
      </c>
      <c r="AN107" s="9">
        <v>526.70000000000005</v>
      </c>
      <c r="AO107" s="9">
        <v>521.79999999999995</v>
      </c>
      <c r="AP107" s="9">
        <v>527.20000000000005</v>
      </c>
      <c r="AQ107" s="9">
        <v>529</v>
      </c>
      <c r="AR107" s="9">
        <v>446.9</v>
      </c>
      <c r="AS107" s="9">
        <v>590.9</v>
      </c>
      <c r="AT107" s="9">
        <v>467.1</v>
      </c>
      <c r="AU107" s="9">
        <v>515</v>
      </c>
      <c r="AV107" s="9">
        <v>463.6</v>
      </c>
      <c r="AW107" s="9">
        <v>467.7</v>
      </c>
      <c r="AX107" s="9">
        <v>468.2</v>
      </c>
      <c r="AY107" s="9">
        <v>465</v>
      </c>
      <c r="AZ107" s="9">
        <v>473.6</v>
      </c>
      <c r="BA107" s="9">
        <v>477</v>
      </c>
      <c r="BB107" s="9">
        <v>473</v>
      </c>
      <c r="BC107" s="9">
        <v>475.7</v>
      </c>
      <c r="BD107" s="9">
        <v>462.7</v>
      </c>
      <c r="BE107" s="9">
        <v>472.4</v>
      </c>
      <c r="BF107" s="9">
        <v>498.2</v>
      </c>
      <c r="BG107" s="9">
        <v>464.6</v>
      </c>
      <c r="BH107" s="9">
        <v>483.2</v>
      </c>
      <c r="BI107" s="9">
        <v>480.8</v>
      </c>
      <c r="BJ107" s="9">
        <v>464.4</v>
      </c>
      <c r="BK107" s="9">
        <v>467.4</v>
      </c>
      <c r="BL107" s="9">
        <v>520.6</v>
      </c>
      <c r="BM107" s="9">
        <v>522.6</v>
      </c>
      <c r="BN107" s="9">
        <v>500.2</v>
      </c>
      <c r="BO107" s="9">
        <v>525.20000000000005</v>
      </c>
      <c r="BP107" s="9">
        <v>521.29999999999995</v>
      </c>
      <c r="BQ107" s="9">
        <v>470.2</v>
      </c>
      <c r="BR107" s="9">
        <v>521.29999999999995</v>
      </c>
      <c r="BS107" s="9">
        <v>521.70000000000005</v>
      </c>
      <c r="BT107" s="9">
        <v>465.3</v>
      </c>
      <c r="BU107" s="9">
        <v>535.29999999999995</v>
      </c>
      <c r="BV107" s="9">
        <v>471.6</v>
      </c>
      <c r="BW107" s="9">
        <v>421.4</v>
      </c>
      <c r="BX107" s="9">
        <v>509.8</v>
      </c>
      <c r="BY107" s="9">
        <v>514.9</v>
      </c>
      <c r="BZ107" s="9">
        <v>514.20000000000005</v>
      </c>
      <c r="CA107" s="9">
        <v>515.4</v>
      </c>
      <c r="CB107" s="9">
        <v>472.5</v>
      </c>
      <c r="CC107" s="9">
        <v>470.6</v>
      </c>
      <c r="CD107" s="9">
        <v>470.1</v>
      </c>
      <c r="CE107" s="9">
        <v>470.8</v>
      </c>
      <c r="CF107" s="9">
        <v>473.5</v>
      </c>
      <c r="CG107" s="9">
        <v>472.2</v>
      </c>
      <c r="CH107" s="9">
        <v>522.6</v>
      </c>
      <c r="CI107" s="9">
        <v>525</v>
      </c>
      <c r="CJ107" s="9">
        <v>526.79999999999995</v>
      </c>
      <c r="CK107" s="9">
        <v>467.3</v>
      </c>
      <c r="CL107" s="9">
        <v>463.5</v>
      </c>
      <c r="CM107" s="9">
        <v>518.6</v>
      </c>
      <c r="CN107" s="9">
        <v>470.1</v>
      </c>
      <c r="CO107" s="9">
        <v>477.1</v>
      </c>
      <c r="CP107" s="9">
        <v>473.3</v>
      </c>
      <c r="CQ107" s="9">
        <v>473.5</v>
      </c>
      <c r="CR107" s="9">
        <v>468.5</v>
      </c>
      <c r="CS107" s="9">
        <v>470.2</v>
      </c>
      <c r="CT107" s="9">
        <v>473.9</v>
      </c>
      <c r="CU107" s="9">
        <v>476.2</v>
      </c>
      <c r="CV107" s="9">
        <v>471</v>
      </c>
      <c r="CW107" s="9">
        <v>469.6</v>
      </c>
      <c r="CX107" s="9">
        <v>497</v>
      </c>
      <c r="CY107" s="9">
        <v>518.5</v>
      </c>
      <c r="CZ107" s="9">
        <v>467.7</v>
      </c>
      <c r="DA107" s="9">
        <v>480.2</v>
      </c>
      <c r="DB107" s="9">
        <v>540.70000000000005</v>
      </c>
      <c r="DC107" s="9">
        <v>462.5</v>
      </c>
      <c r="DD107" s="9">
        <v>462.7</v>
      </c>
      <c r="DE107" s="9">
        <v>469.6</v>
      </c>
      <c r="DF107" s="9">
        <v>468.6</v>
      </c>
      <c r="DG107" s="9">
        <v>463.5</v>
      </c>
      <c r="DH107" s="9">
        <v>470.1</v>
      </c>
      <c r="DI107" s="9">
        <v>479.1</v>
      </c>
      <c r="DJ107" s="9">
        <v>460.6</v>
      </c>
      <c r="DK107" s="9">
        <v>471.6</v>
      </c>
      <c r="DL107" s="9">
        <v>530.9</v>
      </c>
      <c r="DM107" s="9">
        <v>461.7</v>
      </c>
      <c r="DN107" s="9">
        <v>525</v>
      </c>
      <c r="DO107" s="9">
        <v>535</v>
      </c>
      <c r="DP107" s="9">
        <v>467.3</v>
      </c>
      <c r="DQ107" s="9">
        <v>526.9</v>
      </c>
      <c r="DR107" s="9">
        <v>511.5</v>
      </c>
      <c r="DS107" s="9">
        <v>510.2</v>
      </c>
      <c r="DT107" s="9">
        <v>537.4</v>
      </c>
      <c r="DU107" s="9">
        <v>529.6</v>
      </c>
      <c r="DV107" s="9">
        <v>466.1</v>
      </c>
      <c r="DW107" s="9">
        <v>461.2</v>
      </c>
      <c r="DX107" s="9">
        <v>521.20000000000005</v>
      </c>
      <c r="DY107" s="9">
        <v>526.5</v>
      </c>
      <c r="DZ107" s="9">
        <v>524</v>
      </c>
      <c r="EA107" s="9">
        <v>478.8</v>
      </c>
      <c r="EB107" s="9">
        <v>469.4</v>
      </c>
      <c r="EC107" s="9">
        <v>523.5</v>
      </c>
      <c r="ED107" s="9">
        <v>528.29999999999995</v>
      </c>
      <c r="EE107" s="9">
        <v>468.6</v>
      </c>
      <c r="EF107" s="9">
        <v>461.8</v>
      </c>
      <c r="EG107" s="9">
        <v>521.29999999999995</v>
      </c>
      <c r="EH107" s="9">
        <v>461.2</v>
      </c>
      <c r="EI107" s="9">
        <v>476.8</v>
      </c>
      <c r="EJ107" s="9">
        <v>521.4</v>
      </c>
      <c r="EK107" s="9">
        <v>518.9</v>
      </c>
      <c r="EL107" s="9">
        <v>506.5</v>
      </c>
      <c r="EM107" s="9">
        <v>509.7</v>
      </c>
      <c r="EN107" s="9">
        <v>507.1</v>
      </c>
      <c r="EO107" s="9">
        <v>421.3</v>
      </c>
      <c r="EP107" s="9">
        <v>493.1</v>
      </c>
      <c r="EQ107" s="9">
        <v>493.5</v>
      </c>
      <c r="ER107" s="9">
        <v>506.7</v>
      </c>
      <c r="ES107" s="9">
        <v>492</v>
      </c>
      <c r="ET107" s="9">
        <v>491.7</v>
      </c>
      <c r="EU107" s="9">
        <v>474</v>
      </c>
      <c r="EV107" s="9">
        <v>502.6</v>
      </c>
      <c r="EW107" s="9">
        <v>511</v>
      </c>
      <c r="EX107" s="9">
        <v>467.2</v>
      </c>
      <c r="EY107" s="9">
        <v>520.4</v>
      </c>
      <c r="EZ107" s="9">
        <v>467.1</v>
      </c>
      <c r="FA107" s="9">
        <v>525.4</v>
      </c>
      <c r="FB107" s="9">
        <v>461.2</v>
      </c>
      <c r="FC107" s="9">
        <v>427.3</v>
      </c>
      <c r="FD107" s="9">
        <v>508.7</v>
      </c>
      <c r="FE107" s="9">
        <v>509.7</v>
      </c>
      <c r="FF107" s="9">
        <v>512.20000000000005</v>
      </c>
      <c r="FG107" s="9">
        <v>471</v>
      </c>
      <c r="FH107" s="9">
        <v>521</v>
      </c>
      <c r="FI107" s="9">
        <v>475.4</v>
      </c>
      <c r="FJ107" s="9">
        <v>473.3</v>
      </c>
      <c r="FK107" s="9">
        <v>475.2</v>
      </c>
      <c r="FL107" s="9">
        <v>468.1</v>
      </c>
      <c r="FM107" s="9">
        <v>461.8</v>
      </c>
      <c r="FN107" s="9">
        <v>463.2</v>
      </c>
      <c r="FO107" s="9">
        <v>456.8</v>
      </c>
      <c r="FP107" s="9">
        <v>518.79999999999995</v>
      </c>
      <c r="FQ107" s="9">
        <v>461</v>
      </c>
      <c r="FR107" s="9">
        <v>523</v>
      </c>
      <c r="FS107" s="9">
        <v>517</v>
      </c>
      <c r="FT107" s="9">
        <v>528.1</v>
      </c>
      <c r="FU107" s="9">
        <v>485.8</v>
      </c>
      <c r="FV107" s="9">
        <v>462.1</v>
      </c>
      <c r="FW107" s="9">
        <v>511.3</v>
      </c>
      <c r="FX107" s="9">
        <v>462.5</v>
      </c>
      <c r="FY107" s="9">
        <v>480.3</v>
      </c>
      <c r="FZ107" s="9">
        <v>494.1</v>
      </c>
      <c r="GA107" s="9">
        <v>478.4</v>
      </c>
      <c r="GB107" s="9">
        <v>515</v>
      </c>
      <c r="GC107" s="9">
        <v>480.6</v>
      </c>
      <c r="GD107" s="9">
        <v>529.4</v>
      </c>
      <c r="GE107" s="9">
        <v>458.5</v>
      </c>
      <c r="GF107" s="9">
        <v>457</v>
      </c>
      <c r="GG107" s="9">
        <v>458.4</v>
      </c>
      <c r="GH107" s="9">
        <v>516.79999999999995</v>
      </c>
      <c r="GI107" s="9">
        <v>455</v>
      </c>
      <c r="GJ107" s="9">
        <v>513</v>
      </c>
      <c r="GK107" s="9">
        <v>517.6</v>
      </c>
      <c r="GL107" s="9">
        <v>511.1</v>
      </c>
      <c r="GM107" s="9">
        <v>488.4</v>
      </c>
      <c r="GN107" s="9">
        <v>514.1</v>
      </c>
      <c r="GO107" s="9">
        <v>514</v>
      </c>
      <c r="GP107" s="9">
        <v>476</v>
      </c>
      <c r="GQ107" s="9">
        <v>445</v>
      </c>
      <c r="GR107" s="9">
        <v>485</v>
      </c>
      <c r="GS107" s="9">
        <v>509</v>
      </c>
      <c r="GT107" s="9">
        <v>467</v>
      </c>
      <c r="GU107" s="9">
        <v>461</v>
      </c>
      <c r="GV107" s="9">
        <v>471</v>
      </c>
      <c r="GW107" s="9">
        <v>458</v>
      </c>
      <c r="GX107" s="9">
        <v>463</v>
      </c>
      <c r="GY107" s="9">
        <v>465</v>
      </c>
      <c r="GZ107" s="9">
        <v>393</v>
      </c>
      <c r="HA107" s="9">
        <v>458.5</v>
      </c>
      <c r="HB107" s="9"/>
      <c r="HC107" s="9"/>
      <c r="HD107" s="9">
        <v>422.9</v>
      </c>
      <c r="HE107" s="9">
        <v>333.8</v>
      </c>
      <c r="HF107" s="9">
        <v>473.8</v>
      </c>
      <c r="HG107" s="9"/>
      <c r="HH107" s="9">
        <v>512</v>
      </c>
      <c r="HI107" s="9">
        <v>467</v>
      </c>
      <c r="HJ107" s="9">
        <v>464</v>
      </c>
      <c r="HK107" s="9">
        <v>466</v>
      </c>
      <c r="HL107" s="9">
        <v>468</v>
      </c>
      <c r="HM107" s="9">
        <v>463</v>
      </c>
      <c r="HN107" s="9">
        <v>465</v>
      </c>
      <c r="HO107" s="9">
        <v>469</v>
      </c>
      <c r="HP107" s="9">
        <v>468</v>
      </c>
      <c r="HQ107" s="9">
        <v>471</v>
      </c>
      <c r="HR107" s="9">
        <v>463</v>
      </c>
      <c r="HS107" s="9">
        <v>476.5</v>
      </c>
      <c r="HT107" s="9">
        <v>525</v>
      </c>
      <c r="HU107" s="9">
        <v>551.70000000000005</v>
      </c>
      <c r="HV107" s="9">
        <v>401.7</v>
      </c>
      <c r="HW107" s="9">
        <v>418.7</v>
      </c>
      <c r="HX107" s="9">
        <v>364.6</v>
      </c>
      <c r="HY107" s="9">
        <v>295.7</v>
      </c>
      <c r="HZ107" s="9">
        <v>363.7</v>
      </c>
      <c r="IA107" s="9">
        <v>424.4</v>
      </c>
      <c r="IB107" s="9">
        <v>498.9</v>
      </c>
      <c r="IC107" s="9">
        <v>535</v>
      </c>
      <c r="ID107" s="9">
        <v>501.2</v>
      </c>
      <c r="IE107" s="9">
        <v>501.7</v>
      </c>
      <c r="IF107" s="9">
        <v>529.9</v>
      </c>
      <c r="IG107" s="9">
        <v>507.4</v>
      </c>
      <c r="IH107" s="9">
        <v>523.70000000000005</v>
      </c>
      <c r="II107" s="9">
        <v>528</v>
      </c>
      <c r="IJ107" s="9">
        <v>444</v>
      </c>
      <c r="IK107" s="9">
        <v>491</v>
      </c>
      <c r="IL107" s="9">
        <v>457</v>
      </c>
      <c r="IM107" s="9">
        <v>465.4</v>
      </c>
      <c r="IN107" s="9">
        <v>428</v>
      </c>
      <c r="IO107" s="9"/>
      <c r="IP107" s="9">
        <v>634.79999999999995</v>
      </c>
      <c r="IQ107" s="9">
        <v>516.20000000000005</v>
      </c>
      <c r="IR107" s="9">
        <v>172.9</v>
      </c>
      <c r="IS107" s="9">
        <v>476.3</v>
      </c>
      <c r="IT107" s="9">
        <v>449</v>
      </c>
      <c r="IU107" s="9"/>
      <c r="IV107" s="9"/>
      <c r="IW107" s="9">
        <v>430</v>
      </c>
      <c r="IX107" s="9">
        <v>456</v>
      </c>
      <c r="IY107" s="9">
        <v>471.4</v>
      </c>
      <c r="IZ107" s="9">
        <v>444</v>
      </c>
      <c r="JA107" s="9">
        <v>423</v>
      </c>
      <c r="JB107" s="11">
        <v>27.48</v>
      </c>
      <c r="JC107" s="11">
        <v>31.37</v>
      </c>
      <c r="JD107" s="11">
        <v>1.28</v>
      </c>
      <c r="JE107" s="11">
        <v>6.1</v>
      </c>
      <c r="JF107" s="11"/>
      <c r="JG107" s="11">
        <v>2.41</v>
      </c>
      <c r="JH107" s="13">
        <v>2.21</v>
      </c>
      <c r="JI107" s="12"/>
      <c r="JJ107" s="277"/>
      <c r="JK107" s="9">
        <v>88654468.040999994</v>
      </c>
      <c r="JL107" s="260">
        <v>283654.05300000001</v>
      </c>
      <c r="JM107" s="9">
        <v>61539532.993000001</v>
      </c>
      <c r="JN107" s="260">
        <v>63440.171999999999</v>
      </c>
      <c r="JO107" s="9">
        <v>89337150.978</v>
      </c>
      <c r="JP107" s="260">
        <v>189236.05799999999</v>
      </c>
      <c r="JQ107" s="9">
        <v>65034076.732000001</v>
      </c>
      <c r="JR107" s="260">
        <v>58756.951999999997</v>
      </c>
      <c r="JS107" s="11">
        <v>335663069.84299999</v>
      </c>
      <c r="JT107" s="289">
        <v>91317.573000000004</v>
      </c>
      <c r="JU107" s="283">
        <f t="shared" ref="JU107" si="637">IF((JK107-JK106)&lt;0,"",(JK107-JK106))</f>
        <v>31678.439999997616</v>
      </c>
      <c r="JV107" s="283">
        <f t="shared" ref="JV107" si="638">IF((JL107-JL106)&lt;0,"",(JL107-JL106))</f>
        <v>8.9409999999916181</v>
      </c>
      <c r="JW107" s="283">
        <f t="shared" ref="JW107" si="639">IF((JM107-JM106)&lt;0,"",(JM107-JM106))</f>
        <v>30278.95000000298</v>
      </c>
      <c r="JX107" s="283">
        <f t="shared" ref="JX107" si="640">IF((JN107-JN106)&lt;0,"",(JN107-JN106))</f>
        <v>12.883999999998196</v>
      </c>
      <c r="JY107" s="284">
        <f t="shared" ref="JY107" si="641">IF((JO107-JO106)&lt;0,"",(JO107-JO106))</f>
        <v>29753.305999994278</v>
      </c>
      <c r="JZ107" s="284">
        <f t="shared" ref="JZ107" si="642">IF((JP107-JP106)&lt;0,"",(JP107-JP106))</f>
        <v>23.269999999989523</v>
      </c>
      <c r="KA107" s="284">
        <f t="shared" ref="KA107" si="643">IF((JQ107-JQ106)&lt;0,"",(JQ107-JQ106))</f>
        <v>24155.184000000358</v>
      </c>
      <c r="KB107" s="284">
        <f t="shared" ref="KB107" si="644">IF((JR107-JR106)&lt;0,"",(JR107-JR106))</f>
        <v>28.543999999994412</v>
      </c>
      <c r="KC107" s="283">
        <f t="shared" ref="KC107" si="645">IF((JS107-JS106)&lt;0,"",(JS107-JS106))</f>
        <v>115623.94800001383</v>
      </c>
      <c r="KD107" s="283">
        <f t="shared" ref="KD107" si="646">IF((JT107-JT106)&lt;0,"",(JT107-JT106))</f>
        <v>95.680999999996857</v>
      </c>
      <c r="KE107" s="291">
        <f t="shared" si="555"/>
        <v>61935.565000000606</v>
      </c>
      <c r="KF107" s="291">
        <f t="shared" si="556"/>
        <v>115528.26700001383</v>
      </c>
      <c r="KG107" s="292">
        <f>(RD[[#This Row],[Sunset Time (POA&lt;20 W/m2)]]-RD[[#This Row],[Sunrise Time (POA&gt;20 W/m2)]])*24</f>
        <v>13.066666666666666</v>
      </c>
      <c r="KH107" s="293">
        <f>RD[[#This Row],[GHI ]]</f>
        <v>2.41</v>
      </c>
      <c r="KI107" s="293">
        <f>RD[[#This Row],[POA]]</f>
        <v>2.21</v>
      </c>
      <c r="KJ107" s="293">
        <f>RD[[#This Row],[AT (°C) 14 Hours]]</f>
        <v>27.48</v>
      </c>
      <c r="KK107" s="293">
        <f>RD[[#This Row],[MT (°C) Gen. Hours]]</f>
        <v>31.37</v>
      </c>
      <c r="KL107" s="293">
        <f>RD[[#This Row],[WS_Avg (m/s) (24 Hours)]]</f>
        <v>1.28</v>
      </c>
      <c r="KM107" s="293">
        <f>RD[[#This Row],[WS_Max (m/s)]]</f>
        <v>6.1</v>
      </c>
      <c r="KN107" s="294">
        <f>SUM(RD[[#This Row],[BLK1_INV1]:[BLK8_INV27]])</f>
        <v>117443.29999999994</v>
      </c>
      <c r="KO107" s="95"/>
      <c r="KP107" s="55"/>
      <c r="KQ107" s="90" t="str">
        <f>IFERROR(RD[[#This Row],[WPR_Eac]]/RD[[#This Row],[WPR_Edc]],"")</f>
        <v/>
      </c>
    </row>
    <row r="108" spans="2:303" ht="15" customHeight="1" x14ac:dyDescent="0.25">
      <c r="B108" s="52">
        <v>45849</v>
      </c>
      <c r="C108" s="9">
        <f>YEAR(RD[[#This Row],[Date]])+IF(MONTH(RD[[#This Row],[Date]])&gt;=4,1,0)</f>
        <v>2026</v>
      </c>
      <c r="D108" s="6">
        <f t="shared" si="544"/>
        <v>2025</v>
      </c>
      <c r="E108" s="7"/>
      <c r="F108" s="7"/>
      <c r="G108" s="367" t="str">
        <f>TEXT(RD[[#This Row],[Date]],"mmm-yy")</f>
        <v>Jul-25</v>
      </c>
      <c r="H108" s="6">
        <f t="shared" si="545"/>
        <v>31</v>
      </c>
      <c r="I108" s="9">
        <f>'Basic Data '!$S$2</f>
        <v>66750</v>
      </c>
      <c r="J108" s="10">
        <v>0.21736111111111112</v>
      </c>
      <c r="K108" s="10">
        <v>0.78125</v>
      </c>
      <c r="L108" s="9">
        <v>1299.5</v>
      </c>
      <c r="M108" s="9">
        <v>1323.8</v>
      </c>
      <c r="N108" s="9">
        <v>1219.9000000000001</v>
      </c>
      <c r="O108" s="9">
        <v>1221</v>
      </c>
      <c r="P108" s="9">
        <v>1316</v>
      </c>
      <c r="Q108" s="9">
        <v>1212.2</v>
      </c>
      <c r="R108" s="9">
        <v>1212.7</v>
      </c>
      <c r="S108" s="9">
        <v>1219</v>
      </c>
      <c r="T108" s="9">
        <v>1264.3</v>
      </c>
      <c r="U108" s="9">
        <v>1251.4000000000001</v>
      </c>
      <c r="V108" s="9">
        <v>1212.7</v>
      </c>
      <c r="W108" s="9">
        <v>1215</v>
      </c>
      <c r="X108" s="9">
        <v>1219</v>
      </c>
      <c r="Y108" s="9">
        <v>1123</v>
      </c>
      <c r="Z108" s="9">
        <v>1211.0999999999999</v>
      </c>
      <c r="AA108" s="9">
        <v>1131</v>
      </c>
      <c r="AB108" s="9">
        <v>1215</v>
      </c>
      <c r="AC108" s="9">
        <v>1223</v>
      </c>
      <c r="AD108" s="9">
        <v>1311</v>
      </c>
      <c r="AE108" s="9">
        <v>1314</v>
      </c>
      <c r="AF108" s="9">
        <v>1217</v>
      </c>
      <c r="AG108" s="9">
        <v>1212</v>
      </c>
      <c r="AH108" s="9">
        <v>1319</v>
      </c>
      <c r="AI108" s="9">
        <v>1341.3</v>
      </c>
      <c r="AJ108" s="9">
        <v>1322</v>
      </c>
      <c r="AK108" s="9">
        <v>1317</v>
      </c>
      <c r="AL108" s="9">
        <v>1322</v>
      </c>
      <c r="AM108" s="9">
        <v>1337</v>
      </c>
      <c r="AN108" s="9">
        <v>1335</v>
      </c>
      <c r="AO108" s="9">
        <v>1339</v>
      </c>
      <c r="AP108" s="9">
        <v>1344</v>
      </c>
      <c r="AQ108" s="9">
        <v>1338</v>
      </c>
      <c r="AR108" s="9">
        <v>1143</v>
      </c>
      <c r="AS108" s="9">
        <v>1429.6</v>
      </c>
      <c r="AT108" s="9">
        <v>1195.3</v>
      </c>
      <c r="AU108" s="9">
        <v>1330.87</v>
      </c>
      <c r="AV108" s="9">
        <v>1221</v>
      </c>
      <c r="AW108" s="9">
        <v>1209</v>
      </c>
      <c r="AX108" s="9">
        <v>1211</v>
      </c>
      <c r="AY108" s="9">
        <v>1195.9000000000001</v>
      </c>
      <c r="AZ108" s="9">
        <v>1196.5999999999999</v>
      </c>
      <c r="BA108" s="9">
        <v>1203.3</v>
      </c>
      <c r="BB108" s="9">
        <v>1209.7</v>
      </c>
      <c r="BC108" s="9">
        <v>1199</v>
      </c>
      <c r="BD108" s="9">
        <v>1218</v>
      </c>
      <c r="BE108" s="9">
        <v>1221</v>
      </c>
      <c r="BF108" s="9">
        <v>1291</v>
      </c>
      <c r="BG108" s="9">
        <v>1211</v>
      </c>
      <c r="BH108" s="9">
        <v>1243</v>
      </c>
      <c r="BI108" s="9">
        <v>1244</v>
      </c>
      <c r="BJ108" s="9">
        <v>1189</v>
      </c>
      <c r="BK108" s="9">
        <v>1195</v>
      </c>
      <c r="BL108" s="9">
        <v>1370.1</v>
      </c>
      <c r="BM108" s="9">
        <v>1335</v>
      </c>
      <c r="BN108" s="9">
        <v>1289</v>
      </c>
      <c r="BO108" s="9">
        <v>1362</v>
      </c>
      <c r="BP108" s="9">
        <v>1371</v>
      </c>
      <c r="BQ108" s="9">
        <v>1224.8</v>
      </c>
      <c r="BR108" s="9">
        <v>1371</v>
      </c>
      <c r="BS108" s="9">
        <v>1371</v>
      </c>
      <c r="BT108" s="9">
        <v>1201.2</v>
      </c>
      <c r="BU108" s="9">
        <v>1359</v>
      </c>
      <c r="BV108" s="9">
        <v>1194.9000000000001</v>
      </c>
      <c r="BW108" s="9">
        <v>1100.3</v>
      </c>
      <c r="BX108" s="9">
        <v>1351</v>
      </c>
      <c r="BY108" s="9">
        <v>1354</v>
      </c>
      <c r="BZ108" s="9">
        <v>1361</v>
      </c>
      <c r="CA108" s="9">
        <v>1335.6</v>
      </c>
      <c r="CB108" s="9">
        <v>1283.2</v>
      </c>
      <c r="CC108" s="9">
        <v>1286.7</v>
      </c>
      <c r="CD108" s="9">
        <v>1280.7</v>
      </c>
      <c r="CE108" s="9">
        <v>1267.5</v>
      </c>
      <c r="CF108" s="9">
        <v>1212</v>
      </c>
      <c r="CG108" s="9">
        <v>1280.5999999999999</v>
      </c>
      <c r="CH108" s="9">
        <v>1437.3</v>
      </c>
      <c r="CI108" s="9">
        <v>1425</v>
      </c>
      <c r="CJ108" s="9">
        <v>1448.9</v>
      </c>
      <c r="CK108" s="9">
        <v>1286.7</v>
      </c>
      <c r="CL108" s="9">
        <v>1286.9000000000001</v>
      </c>
      <c r="CM108" s="9">
        <v>1399.3</v>
      </c>
      <c r="CN108" s="9">
        <v>1266.0999999999999</v>
      </c>
      <c r="CO108" s="9">
        <v>1280.5</v>
      </c>
      <c r="CP108" s="9">
        <v>1267.7</v>
      </c>
      <c r="CQ108" s="9">
        <v>1237</v>
      </c>
      <c r="CR108" s="9">
        <v>1263.5</v>
      </c>
      <c r="CS108" s="9">
        <v>1275.2</v>
      </c>
      <c r="CT108" s="9">
        <v>1243.9000000000001</v>
      </c>
      <c r="CU108" s="9">
        <v>1235.9000000000001</v>
      </c>
      <c r="CV108" s="9">
        <v>1249</v>
      </c>
      <c r="CW108" s="9">
        <v>1239.5</v>
      </c>
      <c r="CX108" s="9">
        <v>1275.7</v>
      </c>
      <c r="CY108" s="9">
        <v>1343.5</v>
      </c>
      <c r="CZ108" s="9">
        <v>1231</v>
      </c>
      <c r="DA108" s="9">
        <v>1227</v>
      </c>
      <c r="DB108" s="9">
        <v>1392.3</v>
      </c>
      <c r="DC108" s="9">
        <v>1229</v>
      </c>
      <c r="DD108" s="9">
        <v>1235</v>
      </c>
      <c r="DE108" s="9">
        <v>1225</v>
      </c>
      <c r="DF108" s="9">
        <v>1240</v>
      </c>
      <c r="DG108" s="9">
        <v>1230</v>
      </c>
      <c r="DH108" s="9">
        <v>1228</v>
      </c>
      <c r="DI108" s="9">
        <v>1219</v>
      </c>
      <c r="DJ108" s="9">
        <v>1215</v>
      </c>
      <c r="DK108" s="9">
        <v>1211</v>
      </c>
      <c r="DL108" s="9">
        <v>1385.6</v>
      </c>
      <c r="DM108" s="9">
        <v>1230</v>
      </c>
      <c r="DN108" s="9">
        <v>1381</v>
      </c>
      <c r="DO108" s="9">
        <v>1380.5</v>
      </c>
      <c r="DP108" s="9">
        <v>1255.8</v>
      </c>
      <c r="DQ108" s="9">
        <v>1414.5</v>
      </c>
      <c r="DR108" s="9">
        <v>1341</v>
      </c>
      <c r="DS108" s="9">
        <v>1369.2</v>
      </c>
      <c r="DT108" s="9">
        <v>1406.3</v>
      </c>
      <c r="DU108" s="9">
        <v>1423.3</v>
      </c>
      <c r="DV108" s="9">
        <v>1212</v>
      </c>
      <c r="DW108" s="9">
        <v>1255.9000000000001</v>
      </c>
      <c r="DX108" s="9">
        <v>1331.7</v>
      </c>
      <c r="DY108" s="9">
        <v>1343</v>
      </c>
      <c r="DZ108" s="9">
        <v>1391.2</v>
      </c>
      <c r="EA108" s="9">
        <v>1241.3</v>
      </c>
      <c r="EB108" s="9">
        <v>1228.8</v>
      </c>
      <c r="EC108" s="9">
        <v>1342</v>
      </c>
      <c r="ED108" s="9">
        <v>1372</v>
      </c>
      <c r="EE108" s="9">
        <v>1199.8</v>
      </c>
      <c r="EF108" s="9">
        <v>1226.8</v>
      </c>
      <c r="EG108" s="9">
        <v>1403.8</v>
      </c>
      <c r="EH108" s="9">
        <v>1143</v>
      </c>
      <c r="EI108" s="9">
        <v>1138.4000000000001</v>
      </c>
      <c r="EJ108" s="9">
        <v>1291</v>
      </c>
      <c r="EK108" s="9">
        <v>1289</v>
      </c>
      <c r="EL108" s="9">
        <v>1234</v>
      </c>
      <c r="EM108" s="9">
        <v>1252</v>
      </c>
      <c r="EN108" s="9">
        <v>1256</v>
      </c>
      <c r="EO108" s="9">
        <v>1044</v>
      </c>
      <c r="EP108" s="9">
        <v>1219</v>
      </c>
      <c r="EQ108" s="9">
        <v>1224</v>
      </c>
      <c r="ER108" s="9">
        <v>1212</v>
      </c>
      <c r="ES108" s="9">
        <v>1228</v>
      </c>
      <c r="ET108" s="9">
        <v>1199</v>
      </c>
      <c r="EU108" s="9">
        <v>1142</v>
      </c>
      <c r="EV108" s="9">
        <v>1256</v>
      </c>
      <c r="EW108" s="9">
        <v>1213</v>
      </c>
      <c r="EX108" s="9">
        <v>1142</v>
      </c>
      <c r="EY108" s="9">
        <v>1229</v>
      </c>
      <c r="EZ108" s="9">
        <v>1132</v>
      </c>
      <c r="FA108" s="9">
        <v>1256</v>
      </c>
      <c r="FB108" s="9">
        <v>1156</v>
      </c>
      <c r="FC108" s="9">
        <v>1055</v>
      </c>
      <c r="FD108" s="9">
        <v>1242</v>
      </c>
      <c r="FE108" s="9">
        <v>1239</v>
      </c>
      <c r="FF108" s="9">
        <v>1244</v>
      </c>
      <c r="FG108" s="9">
        <v>1121</v>
      </c>
      <c r="FH108" s="9">
        <v>1132</v>
      </c>
      <c r="FI108" s="9">
        <v>1129</v>
      </c>
      <c r="FJ108" s="9">
        <v>1125</v>
      </c>
      <c r="FK108" s="9">
        <v>1121</v>
      </c>
      <c r="FL108" s="9">
        <v>1134</v>
      </c>
      <c r="FM108" s="9">
        <v>1127</v>
      </c>
      <c r="FN108" s="9">
        <v>1221</v>
      </c>
      <c r="FO108" s="9">
        <v>1218</v>
      </c>
      <c r="FP108" s="9">
        <v>1343</v>
      </c>
      <c r="FQ108" s="9">
        <v>1177.8</v>
      </c>
      <c r="FR108" s="9">
        <v>1321</v>
      </c>
      <c r="FS108" s="9">
        <v>1342.8</v>
      </c>
      <c r="FT108" s="9">
        <v>1361</v>
      </c>
      <c r="FU108" s="9">
        <v>1246.7</v>
      </c>
      <c r="FV108" s="9">
        <v>1221</v>
      </c>
      <c r="FW108" s="9">
        <v>1332</v>
      </c>
      <c r="FX108" s="9">
        <v>1213</v>
      </c>
      <c r="FY108" s="9">
        <v>1268.4000000000001</v>
      </c>
      <c r="FZ108" s="9">
        <v>1263.5999999999999</v>
      </c>
      <c r="GA108" s="9">
        <v>1276.2</v>
      </c>
      <c r="GB108" s="9">
        <v>1301.5999999999999</v>
      </c>
      <c r="GC108" s="9">
        <v>1281</v>
      </c>
      <c r="GD108" s="9">
        <v>1381</v>
      </c>
      <c r="GE108" s="9">
        <v>1194.5999999999999</v>
      </c>
      <c r="GF108" s="9">
        <v>1198</v>
      </c>
      <c r="GG108" s="9">
        <v>1212</v>
      </c>
      <c r="GH108" s="9">
        <v>1334</v>
      </c>
      <c r="GI108" s="9">
        <v>1196</v>
      </c>
      <c r="GJ108" s="9">
        <v>1281</v>
      </c>
      <c r="GK108" s="9">
        <v>1323</v>
      </c>
      <c r="GL108" s="9">
        <v>1329</v>
      </c>
      <c r="GM108" s="9">
        <v>1260</v>
      </c>
      <c r="GN108" s="9">
        <v>1284</v>
      </c>
      <c r="GO108" s="9">
        <v>1324</v>
      </c>
      <c r="GP108" s="9">
        <v>1251</v>
      </c>
      <c r="GQ108" s="9">
        <v>1284.8</v>
      </c>
      <c r="GR108" s="9">
        <v>1171</v>
      </c>
      <c r="GS108" s="9">
        <v>1212</v>
      </c>
      <c r="GT108" s="9">
        <v>1212</v>
      </c>
      <c r="GU108" s="9">
        <v>1194</v>
      </c>
      <c r="GV108" s="9">
        <v>1204</v>
      </c>
      <c r="GW108" s="9">
        <v>1197</v>
      </c>
      <c r="GX108" s="9">
        <v>1201.0999999999999</v>
      </c>
      <c r="GY108" s="9">
        <v>1223</v>
      </c>
      <c r="GZ108" s="9">
        <v>994</v>
      </c>
      <c r="HA108" s="9">
        <v>1206.0999999999999</v>
      </c>
      <c r="HB108" s="9"/>
      <c r="HC108" s="9"/>
      <c r="HD108" s="9">
        <v>1104.0999999999999</v>
      </c>
      <c r="HE108" s="9">
        <v>801</v>
      </c>
      <c r="HF108" s="9">
        <v>1221</v>
      </c>
      <c r="HG108" s="9"/>
      <c r="HH108" s="9">
        <v>1319</v>
      </c>
      <c r="HI108" s="9">
        <v>1210</v>
      </c>
      <c r="HJ108" s="9">
        <v>1230.0999999999999</v>
      </c>
      <c r="HK108" s="9">
        <v>1197</v>
      </c>
      <c r="HL108" s="9">
        <v>1198.3</v>
      </c>
      <c r="HM108" s="9">
        <v>1193.2</v>
      </c>
      <c r="HN108" s="9">
        <v>1201</v>
      </c>
      <c r="HO108" s="9">
        <v>1221</v>
      </c>
      <c r="HP108" s="9">
        <v>1131</v>
      </c>
      <c r="HQ108" s="9">
        <v>1201</v>
      </c>
      <c r="HR108" s="9">
        <v>1198</v>
      </c>
      <c r="HS108" s="9">
        <v>1241</v>
      </c>
      <c r="HT108" s="9">
        <v>1340.5</v>
      </c>
      <c r="HU108" s="9">
        <v>1429.6</v>
      </c>
      <c r="HV108" s="9">
        <v>1051</v>
      </c>
      <c r="HW108" s="9">
        <v>1071</v>
      </c>
      <c r="HX108" s="9">
        <v>929</v>
      </c>
      <c r="HY108" s="9">
        <v>771</v>
      </c>
      <c r="HZ108" s="9">
        <v>952.9</v>
      </c>
      <c r="IA108" s="9">
        <v>1101</v>
      </c>
      <c r="IB108" s="9">
        <v>1294</v>
      </c>
      <c r="IC108" s="9">
        <v>1381</v>
      </c>
      <c r="ID108" s="9">
        <v>1331</v>
      </c>
      <c r="IE108" s="9">
        <v>1327</v>
      </c>
      <c r="IF108" s="9">
        <v>1298</v>
      </c>
      <c r="IG108" s="9">
        <v>1325</v>
      </c>
      <c r="IH108" s="9">
        <v>1381</v>
      </c>
      <c r="II108" s="9">
        <v>1375</v>
      </c>
      <c r="IJ108" s="9">
        <v>1167</v>
      </c>
      <c r="IK108" s="9">
        <v>1251</v>
      </c>
      <c r="IL108" s="9">
        <v>1167</v>
      </c>
      <c r="IM108" s="9">
        <v>1217.7</v>
      </c>
      <c r="IN108" s="9">
        <v>1136.8</v>
      </c>
      <c r="IO108" s="9"/>
      <c r="IP108" s="9">
        <v>1600.1</v>
      </c>
      <c r="IQ108" s="9">
        <v>1301</v>
      </c>
      <c r="IR108" s="9">
        <v>455</v>
      </c>
      <c r="IS108" s="9">
        <v>1218.8</v>
      </c>
      <c r="IT108" s="9">
        <v>1171</v>
      </c>
      <c r="IU108" s="9"/>
      <c r="IV108" s="9"/>
      <c r="IW108" s="9">
        <v>1109</v>
      </c>
      <c r="IX108" s="9">
        <v>1178</v>
      </c>
      <c r="IY108" s="9">
        <v>1212</v>
      </c>
      <c r="IZ108" s="9">
        <v>1181</v>
      </c>
      <c r="JA108" s="9">
        <v>1109</v>
      </c>
      <c r="JB108" s="11">
        <v>30.53</v>
      </c>
      <c r="JC108" s="11">
        <v>43.25</v>
      </c>
      <c r="JD108" s="11">
        <v>1.6</v>
      </c>
      <c r="JE108" s="11">
        <v>7.7</v>
      </c>
      <c r="JF108" s="11"/>
      <c r="JG108" s="11">
        <v>6.47</v>
      </c>
      <c r="JH108" s="13">
        <v>6.17</v>
      </c>
      <c r="JI108" s="12"/>
      <c r="JJ108" s="277"/>
      <c r="JK108" s="9">
        <v>88734485.731000006</v>
      </c>
      <c r="JL108" s="215">
        <v>283662.99400000001</v>
      </c>
      <c r="JM108" s="9">
        <v>61619742.604000002</v>
      </c>
      <c r="JN108" s="215">
        <v>63453.055999999997</v>
      </c>
      <c r="JO108" s="9">
        <v>89416165.476999998</v>
      </c>
      <c r="JP108" s="215">
        <v>189259.32800000001</v>
      </c>
      <c r="JQ108" s="9">
        <v>65096725.501000002</v>
      </c>
      <c r="JR108" s="215">
        <v>58785.495999999999</v>
      </c>
      <c r="JS108" s="11">
        <v>335964631.29900002</v>
      </c>
      <c r="JT108" s="223">
        <v>91413.254000000001</v>
      </c>
      <c r="JU108" s="283">
        <f t="shared" ref="JU108" si="647">IF((JK108-JK107)&lt;0,"",(JK108-JK107))</f>
        <v>80017.690000012517</v>
      </c>
      <c r="JV108" s="283">
        <f t="shared" ref="JV108" si="648">IF((JL108-JL107)&lt;0,"",(JL108-JL107))</f>
        <v>8.9409999999916181</v>
      </c>
      <c r="JW108" s="283">
        <f t="shared" ref="JW108" si="649">IF((JM108-JM107)&lt;0,"",(JM108-JM107))</f>
        <v>80209.611000001431</v>
      </c>
      <c r="JX108" s="283">
        <f t="shared" ref="JX108" si="650">IF((JN108-JN107)&lt;0,"",(JN108-JN107))</f>
        <v>12.883999999998196</v>
      </c>
      <c r="JY108" s="284">
        <f t="shared" ref="JY108" si="651">IF((JO108-JO107)&lt;0,"",(JO108-JO107))</f>
        <v>79014.498999997973</v>
      </c>
      <c r="JZ108" s="284">
        <f t="shared" ref="JZ108" si="652">IF((JP108-JP107)&lt;0,"",(JP108-JP107))</f>
        <v>23.270000000018626</v>
      </c>
      <c r="KA108" s="284">
        <f t="shared" ref="KA108" si="653">IF((JQ108-JQ107)&lt;0,"",(JQ108-JQ107))</f>
        <v>62648.769000001252</v>
      </c>
      <c r="KB108" s="284">
        <f t="shared" ref="KB108" si="654">IF((JR108-JR107)&lt;0,"",(JR108-JR107))</f>
        <v>28.544000000001688</v>
      </c>
      <c r="KC108" s="283">
        <f t="shared" ref="KC108" si="655">IF((JS108-JS107)&lt;0,"",(JS108-JS107))</f>
        <v>301561.45600003004</v>
      </c>
      <c r="KD108" s="283">
        <f t="shared" ref="KD108" si="656">IF((JT108-JT107)&lt;0,"",(JT108-JT107))</f>
        <v>95.680999999996857</v>
      </c>
      <c r="KE108" s="291">
        <f t="shared" si="555"/>
        <v>160205.47600001396</v>
      </c>
      <c r="KF108" s="291">
        <f t="shared" si="556"/>
        <v>301465.77500003006</v>
      </c>
      <c r="KG108" s="292">
        <f>(RD[[#This Row],[Sunset Time (POA&lt;20 W/m2)]]-RD[[#This Row],[Sunrise Time (POA&gt;20 W/m2)]])*24</f>
        <v>13.533333333333333</v>
      </c>
      <c r="KH108" s="293">
        <f>RD[[#This Row],[GHI ]]</f>
        <v>6.47</v>
      </c>
      <c r="KI108" s="293">
        <f>RD[[#This Row],[POA]]</f>
        <v>6.17</v>
      </c>
      <c r="KJ108" s="293">
        <f>RD[[#This Row],[AT (°C) 14 Hours]]</f>
        <v>30.53</v>
      </c>
      <c r="KK108" s="293">
        <f>RD[[#This Row],[MT (°C) Gen. Hours]]</f>
        <v>43.25</v>
      </c>
      <c r="KL108" s="293">
        <f>RD[[#This Row],[WS_Avg (m/s) (24 Hours)]]</f>
        <v>1.6</v>
      </c>
      <c r="KM108" s="293">
        <f>RD[[#This Row],[WS_Max (m/s)]]</f>
        <v>7.7</v>
      </c>
      <c r="KN108" s="294">
        <f>SUM(RD[[#This Row],[BLK1_INV1]:[BLK8_INV27]])</f>
        <v>302424.36999999994</v>
      </c>
      <c r="KO108" s="95"/>
      <c r="KP108" s="55"/>
      <c r="KQ108" s="90" t="str">
        <f>IFERROR(RD[[#This Row],[WPR_Eac]]/RD[[#This Row],[WPR_Edc]],"")</f>
        <v/>
      </c>
    </row>
    <row r="109" spans="2:303" ht="15" customHeight="1" x14ac:dyDescent="0.25">
      <c r="B109" s="52">
        <v>45850</v>
      </c>
      <c r="C109" s="9">
        <f>YEAR(RD[[#This Row],[Date]])+IF(MONTH(RD[[#This Row],[Date]])&gt;=4,1,0)</f>
        <v>2026</v>
      </c>
      <c r="D109" s="6">
        <f t="shared" si="544"/>
        <v>2025</v>
      </c>
      <c r="E109" s="7"/>
      <c r="F109" s="7"/>
      <c r="G109" s="367" t="str">
        <f>TEXT(RD[[#This Row],[Date]],"mmm-yy")</f>
        <v>Jul-25</v>
      </c>
      <c r="H109" s="6">
        <f t="shared" si="545"/>
        <v>31</v>
      </c>
      <c r="I109" s="9">
        <f>'Basic Data '!$S$2</f>
        <v>66750</v>
      </c>
      <c r="J109" s="10">
        <v>0.21944444444444444</v>
      </c>
      <c r="K109" s="10">
        <v>0.76874999999999993</v>
      </c>
      <c r="L109" s="9">
        <v>861.7</v>
      </c>
      <c r="M109" s="9">
        <v>859.1</v>
      </c>
      <c r="N109" s="9">
        <v>798</v>
      </c>
      <c r="O109" s="9">
        <v>793</v>
      </c>
      <c r="P109" s="9">
        <v>857</v>
      </c>
      <c r="Q109" s="9">
        <v>791</v>
      </c>
      <c r="R109" s="9">
        <v>788</v>
      </c>
      <c r="S109" s="9">
        <v>771</v>
      </c>
      <c r="T109" s="9">
        <v>801</v>
      </c>
      <c r="U109" s="9">
        <v>810</v>
      </c>
      <c r="V109" s="9">
        <v>784</v>
      </c>
      <c r="W109" s="9">
        <v>789</v>
      </c>
      <c r="X109" s="9">
        <v>793</v>
      </c>
      <c r="Y109" s="9">
        <v>732</v>
      </c>
      <c r="Z109" s="9">
        <v>785</v>
      </c>
      <c r="AA109" s="9">
        <v>785.8</v>
      </c>
      <c r="AB109" s="9">
        <v>788.8</v>
      </c>
      <c r="AC109" s="9">
        <v>784</v>
      </c>
      <c r="AD109" s="9">
        <v>848.6</v>
      </c>
      <c r="AE109" s="9">
        <v>832</v>
      </c>
      <c r="AF109" s="9">
        <v>777</v>
      </c>
      <c r="AG109" s="9">
        <v>788</v>
      </c>
      <c r="AH109" s="9">
        <v>856</v>
      </c>
      <c r="AI109" s="9">
        <v>861</v>
      </c>
      <c r="AJ109" s="9">
        <v>843</v>
      </c>
      <c r="AK109" s="9">
        <v>839</v>
      </c>
      <c r="AL109" s="9">
        <v>838</v>
      </c>
      <c r="AM109" s="9">
        <v>871</v>
      </c>
      <c r="AN109" s="9">
        <v>891</v>
      </c>
      <c r="AO109" s="9">
        <v>886</v>
      </c>
      <c r="AP109" s="9">
        <v>892</v>
      </c>
      <c r="AQ109" s="9">
        <v>882</v>
      </c>
      <c r="AR109" s="9">
        <v>743</v>
      </c>
      <c r="AS109" s="9">
        <v>984.8</v>
      </c>
      <c r="AT109" s="9">
        <v>781</v>
      </c>
      <c r="AU109" s="9">
        <v>856</v>
      </c>
      <c r="AV109" s="9">
        <v>789</v>
      </c>
      <c r="AW109" s="9">
        <v>786</v>
      </c>
      <c r="AX109" s="9">
        <v>789</v>
      </c>
      <c r="AY109" s="9">
        <v>796</v>
      </c>
      <c r="AZ109" s="9">
        <v>785</v>
      </c>
      <c r="BA109" s="9">
        <v>776</v>
      </c>
      <c r="BB109" s="9">
        <v>778</v>
      </c>
      <c r="BC109" s="9">
        <v>791</v>
      </c>
      <c r="BD109" s="9">
        <v>772</v>
      </c>
      <c r="BE109" s="9">
        <v>781</v>
      </c>
      <c r="BF109" s="9">
        <v>826</v>
      </c>
      <c r="BG109" s="9">
        <v>784</v>
      </c>
      <c r="BH109" s="9">
        <v>801</v>
      </c>
      <c r="BI109" s="9">
        <v>805.5</v>
      </c>
      <c r="BJ109" s="9">
        <v>789</v>
      </c>
      <c r="BK109" s="9">
        <v>781</v>
      </c>
      <c r="BL109" s="9">
        <v>877.9</v>
      </c>
      <c r="BM109" s="9">
        <v>861</v>
      </c>
      <c r="BN109" s="9">
        <v>842</v>
      </c>
      <c r="BO109" s="9">
        <v>902.1</v>
      </c>
      <c r="BP109" s="9">
        <v>895.1</v>
      </c>
      <c r="BQ109" s="9">
        <v>798</v>
      </c>
      <c r="BR109" s="9">
        <v>874.7</v>
      </c>
      <c r="BS109" s="9">
        <v>875.5</v>
      </c>
      <c r="BT109" s="9">
        <v>789</v>
      </c>
      <c r="BU109" s="9">
        <v>854.2</v>
      </c>
      <c r="BV109" s="9">
        <v>781</v>
      </c>
      <c r="BW109" s="9">
        <v>701</v>
      </c>
      <c r="BX109" s="9">
        <v>848</v>
      </c>
      <c r="BY109" s="9">
        <v>851</v>
      </c>
      <c r="BZ109" s="9">
        <v>849</v>
      </c>
      <c r="CA109" s="9">
        <v>856.8</v>
      </c>
      <c r="CB109" s="9">
        <v>809.8</v>
      </c>
      <c r="CC109" s="9">
        <v>813.6</v>
      </c>
      <c r="CD109" s="9">
        <v>806.7</v>
      </c>
      <c r="CE109" s="9">
        <v>796.5</v>
      </c>
      <c r="CF109" s="9">
        <v>798</v>
      </c>
      <c r="CG109" s="9">
        <v>808.9</v>
      </c>
      <c r="CH109" s="9">
        <v>909.4</v>
      </c>
      <c r="CI109" s="9">
        <v>906.5</v>
      </c>
      <c r="CJ109" s="9">
        <v>909.8</v>
      </c>
      <c r="CK109" s="9">
        <v>800.3</v>
      </c>
      <c r="CL109" s="9">
        <v>788.5</v>
      </c>
      <c r="CM109" s="9">
        <v>870.5</v>
      </c>
      <c r="CN109" s="9">
        <v>781</v>
      </c>
      <c r="CO109" s="9">
        <v>793.2</v>
      </c>
      <c r="CP109" s="9">
        <v>778.8</v>
      </c>
      <c r="CQ109" s="9">
        <v>797.2</v>
      </c>
      <c r="CR109" s="9">
        <v>779.9</v>
      </c>
      <c r="CS109" s="9">
        <v>798.2</v>
      </c>
      <c r="CT109" s="9">
        <v>782.3</v>
      </c>
      <c r="CU109" s="9">
        <v>779.6</v>
      </c>
      <c r="CV109" s="9">
        <v>800.3</v>
      </c>
      <c r="CW109" s="9">
        <v>794.3</v>
      </c>
      <c r="CX109" s="9">
        <v>817.6</v>
      </c>
      <c r="CY109" s="9">
        <v>867.4</v>
      </c>
      <c r="CZ109" s="9">
        <v>781</v>
      </c>
      <c r="DA109" s="9">
        <v>801.5</v>
      </c>
      <c r="DB109" s="9">
        <v>892.5</v>
      </c>
      <c r="DC109" s="9">
        <v>793.7</v>
      </c>
      <c r="DD109" s="9">
        <v>787</v>
      </c>
      <c r="DE109" s="9">
        <v>791</v>
      </c>
      <c r="DF109" s="9">
        <v>788</v>
      </c>
      <c r="DG109" s="9">
        <v>793</v>
      </c>
      <c r="DH109" s="9">
        <v>794</v>
      </c>
      <c r="DI109" s="9">
        <v>783</v>
      </c>
      <c r="DJ109" s="9">
        <v>794</v>
      </c>
      <c r="DK109" s="9">
        <v>794</v>
      </c>
      <c r="DL109" s="9">
        <v>871</v>
      </c>
      <c r="DM109" s="9">
        <v>778</v>
      </c>
      <c r="DN109" s="9">
        <v>889.9</v>
      </c>
      <c r="DO109" s="9">
        <v>855.5</v>
      </c>
      <c r="DP109" s="9">
        <v>787</v>
      </c>
      <c r="DQ109" s="9">
        <v>908.1</v>
      </c>
      <c r="DR109" s="9">
        <v>846</v>
      </c>
      <c r="DS109" s="9">
        <v>873</v>
      </c>
      <c r="DT109" s="9">
        <v>894.4</v>
      </c>
      <c r="DU109" s="9">
        <v>892.3</v>
      </c>
      <c r="DV109" s="9">
        <v>800.1</v>
      </c>
      <c r="DW109" s="9">
        <v>791.5</v>
      </c>
      <c r="DX109" s="9">
        <v>861</v>
      </c>
      <c r="DY109" s="9">
        <v>859</v>
      </c>
      <c r="DZ109" s="9">
        <v>866</v>
      </c>
      <c r="EA109" s="9">
        <v>776</v>
      </c>
      <c r="EB109" s="9">
        <v>769.3</v>
      </c>
      <c r="EC109" s="9">
        <v>867</v>
      </c>
      <c r="ED109" s="9">
        <v>863.5</v>
      </c>
      <c r="EE109" s="9">
        <v>781</v>
      </c>
      <c r="EF109" s="9">
        <v>784</v>
      </c>
      <c r="EG109" s="9">
        <v>892.5</v>
      </c>
      <c r="EH109" s="9">
        <v>781</v>
      </c>
      <c r="EI109" s="9">
        <v>786</v>
      </c>
      <c r="EJ109" s="9">
        <v>861</v>
      </c>
      <c r="EK109" s="9">
        <v>867</v>
      </c>
      <c r="EL109" s="9">
        <v>829</v>
      </c>
      <c r="EM109" s="9">
        <v>834</v>
      </c>
      <c r="EN109" s="9">
        <v>837</v>
      </c>
      <c r="EO109" s="9">
        <v>712.3</v>
      </c>
      <c r="EP109" s="9">
        <v>852.1</v>
      </c>
      <c r="EQ109" s="9">
        <v>823</v>
      </c>
      <c r="ER109" s="9">
        <v>829</v>
      </c>
      <c r="ES109" s="9">
        <v>848.6</v>
      </c>
      <c r="ET109" s="9">
        <v>807</v>
      </c>
      <c r="EU109" s="9">
        <v>781</v>
      </c>
      <c r="EV109" s="9">
        <v>832</v>
      </c>
      <c r="EW109" s="9">
        <v>828.2</v>
      </c>
      <c r="EX109" s="9">
        <v>778</v>
      </c>
      <c r="EY109" s="9">
        <v>834</v>
      </c>
      <c r="EZ109" s="9">
        <v>789.7</v>
      </c>
      <c r="FA109" s="9">
        <v>834</v>
      </c>
      <c r="FB109" s="9">
        <v>789</v>
      </c>
      <c r="FC109" s="9">
        <v>712</v>
      </c>
      <c r="FD109" s="9">
        <v>854</v>
      </c>
      <c r="FE109" s="9">
        <v>845</v>
      </c>
      <c r="FF109" s="9">
        <v>849</v>
      </c>
      <c r="FG109" s="9">
        <v>784</v>
      </c>
      <c r="FH109" s="9">
        <v>866</v>
      </c>
      <c r="FI109" s="9">
        <v>781</v>
      </c>
      <c r="FJ109" s="9">
        <v>791</v>
      </c>
      <c r="FK109" s="9">
        <v>793.3</v>
      </c>
      <c r="FL109" s="9">
        <v>791</v>
      </c>
      <c r="FM109" s="9">
        <v>785.1</v>
      </c>
      <c r="FN109" s="9">
        <v>788.8</v>
      </c>
      <c r="FO109" s="9">
        <v>783.3</v>
      </c>
      <c r="FP109" s="9">
        <v>855.4</v>
      </c>
      <c r="FQ109" s="9">
        <v>781</v>
      </c>
      <c r="FR109" s="9">
        <v>866</v>
      </c>
      <c r="FS109" s="9">
        <v>855.8</v>
      </c>
      <c r="FT109" s="9">
        <v>859</v>
      </c>
      <c r="FU109" s="9">
        <v>796.3</v>
      </c>
      <c r="FV109" s="9">
        <v>786</v>
      </c>
      <c r="FW109" s="9">
        <v>860</v>
      </c>
      <c r="FX109" s="9">
        <v>768.1</v>
      </c>
      <c r="FY109" s="9">
        <v>793</v>
      </c>
      <c r="FZ109" s="9">
        <v>790.1</v>
      </c>
      <c r="GA109" s="9">
        <v>792.5</v>
      </c>
      <c r="GB109" s="9">
        <v>864</v>
      </c>
      <c r="GC109" s="9">
        <v>787</v>
      </c>
      <c r="GD109" s="9">
        <v>876.8</v>
      </c>
      <c r="GE109" s="9">
        <v>781</v>
      </c>
      <c r="GF109" s="9">
        <v>789</v>
      </c>
      <c r="GG109" s="9">
        <v>794</v>
      </c>
      <c r="GH109" s="9">
        <v>863</v>
      </c>
      <c r="GI109" s="9">
        <v>778</v>
      </c>
      <c r="GJ109" s="9">
        <v>839</v>
      </c>
      <c r="GK109" s="9">
        <v>856</v>
      </c>
      <c r="GL109" s="9">
        <v>867</v>
      </c>
      <c r="GM109" s="9">
        <v>794</v>
      </c>
      <c r="GN109" s="9">
        <v>829</v>
      </c>
      <c r="GO109" s="9">
        <v>862</v>
      </c>
      <c r="GP109" s="9">
        <v>797</v>
      </c>
      <c r="GQ109" s="9">
        <v>803</v>
      </c>
      <c r="GR109" s="9">
        <v>797.7</v>
      </c>
      <c r="GS109" s="9">
        <v>819</v>
      </c>
      <c r="GT109" s="9">
        <v>778.9</v>
      </c>
      <c r="GU109" s="9">
        <v>794</v>
      </c>
      <c r="GV109" s="9">
        <v>789</v>
      </c>
      <c r="GW109" s="9">
        <v>784</v>
      </c>
      <c r="GX109" s="9">
        <v>782</v>
      </c>
      <c r="GY109" s="9">
        <v>796.1</v>
      </c>
      <c r="GZ109" s="9">
        <v>634</v>
      </c>
      <c r="HA109" s="9">
        <v>789</v>
      </c>
      <c r="HB109" s="9"/>
      <c r="HC109" s="9"/>
      <c r="HD109" s="9">
        <v>702.89</v>
      </c>
      <c r="HE109" s="9">
        <v>555</v>
      </c>
      <c r="HF109" s="9">
        <v>793</v>
      </c>
      <c r="HG109" s="9"/>
      <c r="HH109" s="9">
        <v>848</v>
      </c>
      <c r="HI109" s="9">
        <v>791</v>
      </c>
      <c r="HJ109" s="9">
        <v>786.8</v>
      </c>
      <c r="HK109" s="9">
        <v>793</v>
      </c>
      <c r="HL109" s="9">
        <v>797</v>
      </c>
      <c r="HM109" s="9">
        <v>780.5</v>
      </c>
      <c r="HN109" s="9">
        <v>802</v>
      </c>
      <c r="HO109" s="9">
        <v>803.3</v>
      </c>
      <c r="HP109" s="9">
        <v>780</v>
      </c>
      <c r="HQ109" s="9">
        <v>792</v>
      </c>
      <c r="HR109" s="9">
        <v>797</v>
      </c>
      <c r="HS109" s="9">
        <v>785</v>
      </c>
      <c r="HT109" s="9">
        <v>878</v>
      </c>
      <c r="HU109" s="9">
        <v>934.8</v>
      </c>
      <c r="HV109" s="9">
        <v>680</v>
      </c>
      <c r="HW109" s="9">
        <v>698</v>
      </c>
      <c r="HX109" s="9">
        <v>597</v>
      </c>
      <c r="HY109" s="9">
        <v>498</v>
      </c>
      <c r="HZ109" s="9">
        <v>610.20000000000005</v>
      </c>
      <c r="IA109" s="9">
        <v>716.9</v>
      </c>
      <c r="IB109" s="9">
        <v>832</v>
      </c>
      <c r="IC109" s="9">
        <v>888</v>
      </c>
      <c r="ID109" s="9">
        <v>851</v>
      </c>
      <c r="IE109" s="9">
        <v>855.6</v>
      </c>
      <c r="IF109" s="9">
        <v>834</v>
      </c>
      <c r="IG109" s="9">
        <v>839</v>
      </c>
      <c r="IH109" s="9">
        <v>871</v>
      </c>
      <c r="II109" s="9">
        <v>894.4</v>
      </c>
      <c r="IJ109" s="9">
        <v>739</v>
      </c>
      <c r="IK109" s="9">
        <v>819.6</v>
      </c>
      <c r="IL109" s="9">
        <v>756</v>
      </c>
      <c r="IM109" s="9">
        <v>772.4</v>
      </c>
      <c r="IN109" s="9">
        <v>728.7</v>
      </c>
      <c r="IO109" s="9"/>
      <c r="IP109" s="9">
        <v>1050</v>
      </c>
      <c r="IQ109" s="9">
        <v>833</v>
      </c>
      <c r="IR109" s="9">
        <v>293</v>
      </c>
      <c r="IS109" s="9">
        <v>785.5</v>
      </c>
      <c r="IT109" s="9">
        <v>764.1</v>
      </c>
      <c r="IU109" s="9"/>
      <c r="IV109" s="9"/>
      <c r="IW109" s="9">
        <v>723</v>
      </c>
      <c r="IX109" s="9">
        <v>760</v>
      </c>
      <c r="IY109" s="9">
        <v>781</v>
      </c>
      <c r="IZ109" s="9">
        <v>742</v>
      </c>
      <c r="JA109" s="9">
        <v>692</v>
      </c>
      <c r="JB109" s="11">
        <v>29.65</v>
      </c>
      <c r="JC109" s="11">
        <v>36.39</v>
      </c>
      <c r="JD109" s="11">
        <v>1.47</v>
      </c>
      <c r="JE109" s="11">
        <v>11.3</v>
      </c>
      <c r="JF109" s="11">
        <v>0.5</v>
      </c>
      <c r="JG109" s="11">
        <v>4.09</v>
      </c>
      <c r="JH109" s="13">
        <v>3.83</v>
      </c>
      <c r="JI109" s="12"/>
      <c r="JJ109" s="277"/>
      <c r="JK109" s="9">
        <v>88786555.421000004</v>
      </c>
      <c r="JL109" s="260">
        <v>283671.935</v>
      </c>
      <c r="JM109" s="9">
        <v>61670838.050999999</v>
      </c>
      <c r="JN109" s="260">
        <v>63465.94</v>
      </c>
      <c r="JO109" s="9">
        <v>89466698.704999998</v>
      </c>
      <c r="JP109" s="260">
        <v>189282.598</v>
      </c>
      <c r="JQ109" s="9">
        <v>65137845.104000002</v>
      </c>
      <c r="JR109" s="260">
        <v>58814.04</v>
      </c>
      <c r="JS109" s="11">
        <v>336159261.162</v>
      </c>
      <c r="JT109" s="289">
        <v>91508.934999999998</v>
      </c>
      <c r="JU109" s="283">
        <f t="shared" ref="JU109" si="657">IF((JK109-JK108)&lt;0,"",(JK109-JK108))</f>
        <v>52069.689999997616</v>
      </c>
      <c r="JV109" s="283">
        <f t="shared" ref="JV109" si="658">IF((JL109-JL108)&lt;0,"",(JL109-JL108))</f>
        <v>8.9409999999916181</v>
      </c>
      <c r="JW109" s="283">
        <f t="shared" ref="JW109" si="659">IF((JM109-JM108)&lt;0,"",(JM109-JM108))</f>
        <v>51095.446999996901</v>
      </c>
      <c r="JX109" s="283">
        <f t="shared" ref="JX109" si="660">IF((JN109-JN108)&lt;0,"",(JN109-JN108))</f>
        <v>12.884000000005472</v>
      </c>
      <c r="JY109" s="284">
        <f t="shared" ref="JY109" si="661">IF((JO109-JO108)&lt;0,"",(JO109-JO108))</f>
        <v>50533.228000000119</v>
      </c>
      <c r="JZ109" s="284">
        <f t="shared" ref="JZ109" si="662">IF((JP109-JP108)&lt;0,"",(JP109-JP108))</f>
        <v>23.269999999989523</v>
      </c>
      <c r="KA109" s="284">
        <f t="shared" ref="KA109" si="663">IF((JQ109-JQ108)&lt;0,"",(JQ109-JQ108))</f>
        <v>41119.603000000119</v>
      </c>
      <c r="KB109" s="284">
        <f t="shared" ref="KB109" si="664">IF((JR109-JR108)&lt;0,"",(JR109-JR108))</f>
        <v>28.544000000001688</v>
      </c>
      <c r="KC109" s="283">
        <f t="shared" ref="KC109" si="665">IF((JS109-JS108)&lt;0,"",(JS109-JS108))</f>
        <v>194629.86299997568</v>
      </c>
      <c r="KD109" s="283">
        <f t="shared" ref="KD109" si="666">IF((JT109-JT108)&lt;0,"",(JT109-JT108))</f>
        <v>95.680999999996857</v>
      </c>
      <c r="KE109" s="291">
        <f t="shared" si="555"/>
        <v>103143.31199999452</v>
      </c>
      <c r="KF109" s="291">
        <f t="shared" si="556"/>
        <v>194534.1819999757</v>
      </c>
      <c r="KG109" s="292">
        <f>(RD[[#This Row],[Sunset Time (POA&lt;20 W/m2)]]-RD[[#This Row],[Sunrise Time (POA&gt;20 W/m2)]])*24</f>
        <v>13.183333333333332</v>
      </c>
      <c r="KH109" s="293">
        <f>RD[[#This Row],[GHI ]]</f>
        <v>4.09</v>
      </c>
      <c r="KI109" s="293">
        <f>RD[[#This Row],[POA]]</f>
        <v>3.83</v>
      </c>
      <c r="KJ109" s="293">
        <f>RD[[#This Row],[AT (°C) 14 Hours]]</f>
        <v>29.65</v>
      </c>
      <c r="KK109" s="293">
        <f>RD[[#This Row],[MT (°C) Gen. Hours]]</f>
        <v>36.39</v>
      </c>
      <c r="KL109" s="293">
        <f>RD[[#This Row],[WS_Avg (m/s) (24 Hours)]]</f>
        <v>1.47</v>
      </c>
      <c r="KM109" s="293">
        <f>RD[[#This Row],[WS_Max (m/s)]]</f>
        <v>11.3</v>
      </c>
      <c r="KN109" s="294">
        <f>SUM(RD[[#This Row],[BLK1_INV1]:[BLK8_INV27]])</f>
        <v>196348.49000000002</v>
      </c>
      <c r="KO109" s="95"/>
      <c r="KP109" s="55"/>
      <c r="KQ109" s="90" t="str">
        <f>IFERROR(RD[[#This Row],[WPR_Eac]]/RD[[#This Row],[WPR_Edc]],"")</f>
        <v/>
      </c>
    </row>
    <row r="110" spans="2:303" ht="15" customHeight="1" x14ac:dyDescent="0.25">
      <c r="B110" s="52">
        <v>45851</v>
      </c>
      <c r="C110" s="9">
        <f>YEAR(RD[[#This Row],[Date]])+IF(MONTH(RD[[#This Row],[Date]])&gt;=4,1,0)</f>
        <v>2026</v>
      </c>
      <c r="D110" s="6">
        <f t="shared" si="544"/>
        <v>2025</v>
      </c>
      <c r="E110" s="7"/>
      <c r="F110" s="7"/>
      <c r="G110" s="367" t="str">
        <f>TEXT(RD[[#This Row],[Date]],"mmm-yy")</f>
        <v>Jul-25</v>
      </c>
      <c r="H110" s="6">
        <f t="shared" si="545"/>
        <v>31</v>
      </c>
      <c r="I110" s="9">
        <f>'Basic Data '!$S$2</f>
        <v>66750</v>
      </c>
      <c r="J110" s="10">
        <v>0.2298611111111111</v>
      </c>
      <c r="K110" s="10">
        <v>0.77013888888888893</v>
      </c>
      <c r="L110" s="9">
        <v>810</v>
      </c>
      <c r="M110" s="9">
        <v>807</v>
      </c>
      <c r="N110" s="9">
        <v>738</v>
      </c>
      <c r="O110" s="9">
        <v>741</v>
      </c>
      <c r="P110" s="9">
        <v>803.9</v>
      </c>
      <c r="Q110" s="9">
        <v>737.6</v>
      </c>
      <c r="R110" s="9">
        <v>735</v>
      </c>
      <c r="S110" s="9">
        <v>737</v>
      </c>
      <c r="T110" s="9">
        <v>770.3</v>
      </c>
      <c r="U110" s="9">
        <v>775.3</v>
      </c>
      <c r="V110" s="9">
        <v>734</v>
      </c>
      <c r="W110" s="9">
        <v>741</v>
      </c>
      <c r="X110" s="9">
        <v>745.2</v>
      </c>
      <c r="Y110" s="9">
        <v>682</v>
      </c>
      <c r="Z110" s="9">
        <v>730</v>
      </c>
      <c r="AA110" s="9">
        <v>723</v>
      </c>
      <c r="AB110" s="9">
        <v>729.9</v>
      </c>
      <c r="AC110" s="9">
        <v>737.5</v>
      </c>
      <c r="AD110" s="9">
        <v>800.5</v>
      </c>
      <c r="AE110" s="9">
        <v>802.4</v>
      </c>
      <c r="AF110" s="9">
        <v>734</v>
      </c>
      <c r="AG110" s="9">
        <v>712.6</v>
      </c>
      <c r="AH110" s="9">
        <v>790</v>
      </c>
      <c r="AI110" s="9">
        <v>810</v>
      </c>
      <c r="AJ110" s="9">
        <v>790</v>
      </c>
      <c r="AK110" s="9">
        <v>802.2</v>
      </c>
      <c r="AL110" s="9">
        <v>798.3</v>
      </c>
      <c r="AM110" s="9">
        <v>828.3</v>
      </c>
      <c r="AN110" s="9">
        <v>826.8</v>
      </c>
      <c r="AO110" s="9">
        <v>827.1</v>
      </c>
      <c r="AP110" s="9">
        <v>834.2</v>
      </c>
      <c r="AQ110" s="9">
        <v>825.2</v>
      </c>
      <c r="AR110" s="9">
        <v>677.1</v>
      </c>
      <c r="AS110" s="9">
        <v>920</v>
      </c>
      <c r="AT110" s="9">
        <v>721</v>
      </c>
      <c r="AU110" s="9">
        <v>810</v>
      </c>
      <c r="AV110" s="9">
        <v>731.2</v>
      </c>
      <c r="AW110" s="9">
        <v>710</v>
      </c>
      <c r="AX110" s="9">
        <v>721</v>
      </c>
      <c r="AY110" s="9">
        <v>728</v>
      </c>
      <c r="AZ110" s="9">
        <v>724</v>
      </c>
      <c r="BA110" s="9">
        <v>730</v>
      </c>
      <c r="BB110" s="9">
        <v>721</v>
      </c>
      <c r="BC110" s="9">
        <v>710</v>
      </c>
      <c r="BD110" s="9">
        <v>729</v>
      </c>
      <c r="BE110" s="9">
        <v>723.3</v>
      </c>
      <c r="BF110" s="9">
        <v>792</v>
      </c>
      <c r="BG110" s="9">
        <v>713.5</v>
      </c>
      <c r="BH110" s="9">
        <v>751</v>
      </c>
      <c r="BI110" s="9">
        <v>755</v>
      </c>
      <c r="BJ110" s="9">
        <v>722</v>
      </c>
      <c r="BK110" s="9">
        <v>719.5</v>
      </c>
      <c r="BL110" s="9">
        <v>822</v>
      </c>
      <c r="BM110" s="9">
        <v>808.5</v>
      </c>
      <c r="BN110" s="9">
        <v>777</v>
      </c>
      <c r="BO110" s="9">
        <v>821</v>
      </c>
      <c r="BP110" s="9">
        <v>830.5</v>
      </c>
      <c r="BQ110" s="9">
        <v>733.5</v>
      </c>
      <c r="BR110" s="9">
        <v>819</v>
      </c>
      <c r="BS110" s="9">
        <v>824</v>
      </c>
      <c r="BT110" s="9">
        <v>723.5</v>
      </c>
      <c r="BU110" s="9">
        <v>826.6</v>
      </c>
      <c r="BV110" s="9">
        <v>725.6</v>
      </c>
      <c r="BW110" s="9">
        <v>657</v>
      </c>
      <c r="BX110" s="9">
        <v>818.9</v>
      </c>
      <c r="BY110" s="9">
        <v>815.2</v>
      </c>
      <c r="BZ110" s="9">
        <v>814.2</v>
      </c>
      <c r="CA110" s="9">
        <v>804.5</v>
      </c>
      <c r="CB110" s="9">
        <v>750.5</v>
      </c>
      <c r="CC110" s="9">
        <v>747</v>
      </c>
      <c r="CD110" s="9">
        <v>750.1</v>
      </c>
      <c r="CE110" s="9">
        <v>746.6</v>
      </c>
      <c r="CF110" s="9">
        <v>763.6</v>
      </c>
      <c r="CG110" s="9">
        <v>754.2</v>
      </c>
      <c r="CH110" s="9">
        <v>845.6</v>
      </c>
      <c r="CI110" s="9">
        <v>837.5</v>
      </c>
      <c r="CJ110" s="9">
        <v>848.6</v>
      </c>
      <c r="CK110" s="9">
        <v>747.6</v>
      </c>
      <c r="CL110" s="9">
        <v>739.5</v>
      </c>
      <c r="CM110" s="9">
        <v>820.5</v>
      </c>
      <c r="CN110" s="9">
        <v>741.5</v>
      </c>
      <c r="CO110" s="9">
        <v>751.2</v>
      </c>
      <c r="CP110" s="9">
        <v>729</v>
      </c>
      <c r="CQ110" s="9">
        <v>753.8</v>
      </c>
      <c r="CR110" s="9">
        <v>738.7</v>
      </c>
      <c r="CS110" s="9">
        <v>749</v>
      </c>
      <c r="CT110" s="9">
        <v>742</v>
      </c>
      <c r="CU110" s="9">
        <v>737.3</v>
      </c>
      <c r="CV110" s="9">
        <v>748.5</v>
      </c>
      <c r="CW110" s="9">
        <v>741.2</v>
      </c>
      <c r="CX110" s="9">
        <v>750.5</v>
      </c>
      <c r="CY110" s="9">
        <v>811.4</v>
      </c>
      <c r="CZ110" s="9">
        <v>756.7</v>
      </c>
      <c r="DA110" s="9">
        <v>731.5</v>
      </c>
      <c r="DB110" s="9">
        <v>842</v>
      </c>
      <c r="DC110" s="9">
        <v>722</v>
      </c>
      <c r="DD110" s="9">
        <v>728</v>
      </c>
      <c r="DE110" s="9">
        <v>721</v>
      </c>
      <c r="DF110" s="9">
        <v>726</v>
      </c>
      <c r="DG110" s="9">
        <v>727</v>
      </c>
      <c r="DH110" s="9">
        <v>721</v>
      </c>
      <c r="DI110" s="9">
        <v>733</v>
      </c>
      <c r="DJ110" s="9">
        <v>732</v>
      </c>
      <c r="DK110" s="9">
        <v>719</v>
      </c>
      <c r="DL110" s="9">
        <v>823.1</v>
      </c>
      <c r="DM110" s="9">
        <v>732.1</v>
      </c>
      <c r="DN110" s="9">
        <v>809.9</v>
      </c>
      <c r="DO110" s="9">
        <v>829.5</v>
      </c>
      <c r="DP110" s="9">
        <v>728</v>
      </c>
      <c r="DQ110" s="9">
        <v>830.6</v>
      </c>
      <c r="DR110" s="9">
        <v>785.5</v>
      </c>
      <c r="DS110" s="9">
        <v>791.6</v>
      </c>
      <c r="DT110" s="9">
        <v>822</v>
      </c>
      <c r="DU110" s="9">
        <v>824</v>
      </c>
      <c r="DV110" s="9">
        <v>720</v>
      </c>
      <c r="DW110" s="9">
        <v>732.4</v>
      </c>
      <c r="DX110" s="9">
        <v>807.8</v>
      </c>
      <c r="DY110" s="9">
        <v>812</v>
      </c>
      <c r="DZ110" s="9">
        <v>833</v>
      </c>
      <c r="EA110" s="9">
        <v>730.6</v>
      </c>
      <c r="EB110" s="9">
        <v>734.5</v>
      </c>
      <c r="EC110" s="9">
        <v>819</v>
      </c>
      <c r="ED110" s="9">
        <v>824</v>
      </c>
      <c r="EE110" s="9">
        <v>728.6</v>
      </c>
      <c r="EF110" s="9">
        <v>712.7</v>
      </c>
      <c r="EG110" s="9">
        <v>822.5</v>
      </c>
      <c r="EH110" s="9">
        <v>719.6</v>
      </c>
      <c r="EI110" s="9">
        <v>722</v>
      </c>
      <c r="EJ110" s="9">
        <v>811</v>
      </c>
      <c r="EK110" s="9">
        <v>804.9</v>
      </c>
      <c r="EL110" s="9">
        <v>770</v>
      </c>
      <c r="EM110" s="9">
        <v>797</v>
      </c>
      <c r="EN110" s="9">
        <v>806.6</v>
      </c>
      <c r="EO110" s="9">
        <v>685</v>
      </c>
      <c r="EP110" s="9">
        <v>780</v>
      </c>
      <c r="EQ110" s="9">
        <v>774.7</v>
      </c>
      <c r="ER110" s="9">
        <v>771</v>
      </c>
      <c r="ES110" s="9">
        <v>781</v>
      </c>
      <c r="ET110" s="9">
        <v>759</v>
      </c>
      <c r="EU110" s="9">
        <v>736</v>
      </c>
      <c r="EV110" s="9">
        <v>792.6</v>
      </c>
      <c r="EW110" s="9">
        <v>783.6</v>
      </c>
      <c r="EX110" s="9">
        <v>736.5</v>
      </c>
      <c r="EY110" s="9">
        <v>793.7</v>
      </c>
      <c r="EZ110" s="9">
        <v>725</v>
      </c>
      <c r="FA110" s="9">
        <v>802.2</v>
      </c>
      <c r="FB110" s="9">
        <v>740</v>
      </c>
      <c r="FC110" s="9">
        <v>660</v>
      </c>
      <c r="FD110" s="9">
        <v>808.7</v>
      </c>
      <c r="FE110" s="9">
        <v>790</v>
      </c>
      <c r="FF110" s="9">
        <v>791</v>
      </c>
      <c r="FG110" s="9">
        <v>728</v>
      </c>
      <c r="FH110" s="9">
        <v>815.4</v>
      </c>
      <c r="FI110" s="9">
        <v>723</v>
      </c>
      <c r="FJ110" s="9">
        <v>733</v>
      </c>
      <c r="FK110" s="9">
        <v>736.6</v>
      </c>
      <c r="FL110" s="9">
        <v>733.4</v>
      </c>
      <c r="FM110" s="9">
        <v>743.6</v>
      </c>
      <c r="FN110" s="9">
        <v>726</v>
      </c>
      <c r="FO110" s="9">
        <v>720</v>
      </c>
      <c r="FP110" s="9">
        <v>799</v>
      </c>
      <c r="FQ110" s="9">
        <v>723</v>
      </c>
      <c r="FR110" s="9">
        <v>811</v>
      </c>
      <c r="FS110" s="9">
        <v>801</v>
      </c>
      <c r="FT110" s="9">
        <v>813.4</v>
      </c>
      <c r="FU110" s="9">
        <v>741</v>
      </c>
      <c r="FV110" s="9">
        <v>739</v>
      </c>
      <c r="FW110" s="9">
        <v>790</v>
      </c>
      <c r="FX110" s="9">
        <v>715.4</v>
      </c>
      <c r="FY110" s="9">
        <v>735</v>
      </c>
      <c r="FZ110" s="9">
        <v>755</v>
      </c>
      <c r="GA110" s="9">
        <v>737.7</v>
      </c>
      <c r="GB110" s="9">
        <v>792</v>
      </c>
      <c r="GC110" s="9">
        <v>739</v>
      </c>
      <c r="GD110" s="9">
        <v>799.1</v>
      </c>
      <c r="GE110" s="9">
        <v>721</v>
      </c>
      <c r="GF110" s="9">
        <v>723</v>
      </c>
      <c r="GG110" s="9">
        <v>729</v>
      </c>
      <c r="GH110" s="9">
        <v>801</v>
      </c>
      <c r="GI110" s="9">
        <v>721</v>
      </c>
      <c r="GJ110" s="9">
        <v>775</v>
      </c>
      <c r="GK110" s="9">
        <v>801</v>
      </c>
      <c r="GL110" s="9">
        <v>809</v>
      </c>
      <c r="GM110" s="9">
        <v>752.3</v>
      </c>
      <c r="GN110" s="9">
        <v>771</v>
      </c>
      <c r="GO110" s="9">
        <v>791</v>
      </c>
      <c r="GP110" s="9">
        <v>736</v>
      </c>
      <c r="GQ110" s="9">
        <v>734</v>
      </c>
      <c r="GR110" s="9">
        <v>743</v>
      </c>
      <c r="GS110" s="9">
        <v>776</v>
      </c>
      <c r="GT110" s="9">
        <v>716.5</v>
      </c>
      <c r="GU110" s="9">
        <v>713.4</v>
      </c>
      <c r="GV110" s="9">
        <v>723</v>
      </c>
      <c r="GW110" s="9">
        <v>725</v>
      </c>
      <c r="GX110" s="9">
        <v>708.7</v>
      </c>
      <c r="GY110" s="9">
        <v>719</v>
      </c>
      <c r="GZ110" s="9">
        <v>600</v>
      </c>
      <c r="HA110" s="9">
        <v>723</v>
      </c>
      <c r="HB110" s="9"/>
      <c r="HC110" s="9"/>
      <c r="HD110" s="9">
        <v>651.4</v>
      </c>
      <c r="HE110" s="9">
        <v>521</v>
      </c>
      <c r="HF110" s="9">
        <v>735.6</v>
      </c>
      <c r="HG110" s="9"/>
      <c r="HH110" s="9">
        <v>790.2</v>
      </c>
      <c r="HI110" s="9">
        <v>721</v>
      </c>
      <c r="HJ110" s="9">
        <v>736.5</v>
      </c>
      <c r="HK110" s="9">
        <v>724</v>
      </c>
      <c r="HL110" s="9">
        <v>729</v>
      </c>
      <c r="HM110" s="9">
        <v>720.5</v>
      </c>
      <c r="HN110" s="9">
        <v>725</v>
      </c>
      <c r="HO110" s="9">
        <v>731</v>
      </c>
      <c r="HP110" s="9">
        <v>721</v>
      </c>
      <c r="HQ110" s="9">
        <v>719</v>
      </c>
      <c r="HR110" s="9">
        <v>729</v>
      </c>
      <c r="HS110" s="9">
        <v>722</v>
      </c>
      <c r="HT110" s="9">
        <v>812</v>
      </c>
      <c r="HU110" s="9">
        <v>864.5</v>
      </c>
      <c r="HV110" s="9">
        <v>634</v>
      </c>
      <c r="HW110" s="9">
        <v>641</v>
      </c>
      <c r="HX110" s="9">
        <v>550</v>
      </c>
      <c r="HY110" s="9">
        <v>467</v>
      </c>
      <c r="HZ110" s="9">
        <v>571</v>
      </c>
      <c r="IA110" s="9">
        <v>659.7</v>
      </c>
      <c r="IB110" s="9">
        <v>771</v>
      </c>
      <c r="IC110" s="9">
        <v>821</v>
      </c>
      <c r="ID110" s="9">
        <v>778</v>
      </c>
      <c r="IE110" s="9">
        <v>787.7</v>
      </c>
      <c r="IF110" s="9">
        <v>778</v>
      </c>
      <c r="IG110" s="9">
        <v>779</v>
      </c>
      <c r="IH110" s="9">
        <v>841.2</v>
      </c>
      <c r="II110" s="9">
        <v>829</v>
      </c>
      <c r="IJ110" s="9">
        <v>701</v>
      </c>
      <c r="IK110" s="9">
        <v>756.4</v>
      </c>
      <c r="IL110" s="9">
        <v>701</v>
      </c>
      <c r="IM110" s="9">
        <v>729</v>
      </c>
      <c r="IN110" s="9">
        <v>667</v>
      </c>
      <c r="IO110" s="9"/>
      <c r="IP110" s="9">
        <v>989</v>
      </c>
      <c r="IQ110" s="9">
        <v>774.5</v>
      </c>
      <c r="IR110" s="9">
        <v>279.5</v>
      </c>
      <c r="IS110" s="9">
        <v>721.4</v>
      </c>
      <c r="IT110" s="9">
        <v>696</v>
      </c>
      <c r="IU110" s="9"/>
      <c r="IV110" s="9"/>
      <c r="IW110" s="9">
        <v>674</v>
      </c>
      <c r="IX110" s="9">
        <v>721</v>
      </c>
      <c r="IY110" s="9">
        <v>733</v>
      </c>
      <c r="IZ110" s="9">
        <v>701</v>
      </c>
      <c r="JA110" s="9">
        <v>662</v>
      </c>
      <c r="JB110" s="11">
        <v>29.58</v>
      </c>
      <c r="JC110" s="11">
        <v>34.35</v>
      </c>
      <c r="JD110" s="11">
        <v>1.1399999999999999</v>
      </c>
      <c r="JE110" s="11">
        <v>4.0999999999999996</v>
      </c>
      <c r="JF110" s="11"/>
      <c r="JG110" s="11">
        <v>3.56</v>
      </c>
      <c r="JH110" s="13">
        <v>3.52</v>
      </c>
      <c r="JI110" s="12"/>
      <c r="JJ110" s="277"/>
      <c r="JK110" s="9">
        <v>88835350.561000004</v>
      </c>
      <c r="JL110" s="215">
        <v>283680.87599999999</v>
      </c>
      <c r="JM110" s="9">
        <v>61718777.906000003</v>
      </c>
      <c r="JN110" s="215">
        <v>63478.824000000001</v>
      </c>
      <c r="JO110" s="9">
        <v>89513905.591999993</v>
      </c>
      <c r="JP110" s="215">
        <v>189305.86799999999</v>
      </c>
      <c r="JQ110" s="9">
        <v>65176117.939000003</v>
      </c>
      <c r="JR110" s="215">
        <v>58842.584000000003</v>
      </c>
      <c r="JS110" s="11">
        <v>336341275.96799999</v>
      </c>
      <c r="JT110" s="223">
        <v>91604.615999999995</v>
      </c>
      <c r="JU110" s="283">
        <f t="shared" ref="JU110" si="667">IF((JK110-JK109)&lt;0,"",(JK110-JK109))</f>
        <v>48795.140000000596</v>
      </c>
      <c r="JV110" s="283">
        <f t="shared" ref="JV110" si="668">IF((JL110-JL109)&lt;0,"",(JL110-JL109))</f>
        <v>8.9409999999916181</v>
      </c>
      <c r="JW110" s="283">
        <f t="shared" ref="JW110" si="669">IF((JM110-JM109)&lt;0,"",(JM110-JM109))</f>
        <v>47939.855000004172</v>
      </c>
      <c r="JX110" s="283">
        <f t="shared" ref="JX110" si="670">IF((JN110-JN109)&lt;0,"",(JN110-JN109))</f>
        <v>12.883999999998196</v>
      </c>
      <c r="JY110" s="284">
        <f t="shared" ref="JY110" si="671">IF((JO110-JO109)&lt;0,"",(JO110-JO109))</f>
        <v>47206.886999994516</v>
      </c>
      <c r="JZ110" s="284">
        <f t="shared" ref="JZ110" si="672">IF((JP110-JP109)&lt;0,"",(JP110-JP109))</f>
        <v>23.269999999989523</v>
      </c>
      <c r="KA110" s="284">
        <f t="shared" ref="KA110" si="673">IF((JQ110-JQ109)&lt;0,"",(JQ110-JQ109))</f>
        <v>38272.835000000894</v>
      </c>
      <c r="KB110" s="284">
        <f t="shared" ref="KB110" si="674">IF((JR110-JR109)&lt;0,"",(JR110-JR109))</f>
        <v>28.544000000001688</v>
      </c>
      <c r="KC110" s="283">
        <f t="shared" ref="KC110" si="675">IF((JS110-JS109)&lt;0,"",(JS110-JS109))</f>
        <v>182014.80599999428</v>
      </c>
      <c r="KD110" s="283">
        <f t="shared" ref="KD110" si="676">IF((JT110-JT109)&lt;0,"",(JT110-JT109))</f>
        <v>95.680999999996857</v>
      </c>
      <c r="KE110" s="291">
        <f t="shared" si="555"/>
        <v>96713.170000004786</v>
      </c>
      <c r="KF110" s="291">
        <f t="shared" si="556"/>
        <v>181919.1249999943</v>
      </c>
      <c r="KG110" s="292">
        <f>(RD[[#This Row],[Sunset Time (POA&lt;20 W/m2)]]-RD[[#This Row],[Sunrise Time (POA&gt;20 W/m2)]])*24</f>
        <v>12.966666666666669</v>
      </c>
      <c r="KH110" s="293">
        <f>RD[[#This Row],[GHI ]]</f>
        <v>3.56</v>
      </c>
      <c r="KI110" s="293">
        <f>RD[[#This Row],[POA]]</f>
        <v>3.52</v>
      </c>
      <c r="KJ110" s="293">
        <f>RD[[#This Row],[AT (°C) 14 Hours]]</f>
        <v>29.58</v>
      </c>
      <c r="KK110" s="293">
        <f>RD[[#This Row],[MT (°C) Gen. Hours]]</f>
        <v>34.35</v>
      </c>
      <c r="KL110" s="293">
        <f>RD[[#This Row],[WS_Avg (m/s) (24 Hours)]]</f>
        <v>1.1399999999999999</v>
      </c>
      <c r="KM110" s="293">
        <f>RD[[#This Row],[WS_Max (m/s)]]</f>
        <v>4.0999999999999996</v>
      </c>
      <c r="KN110" s="294">
        <f>SUM(RD[[#This Row],[BLK1_INV1]:[BLK8_INV27]])</f>
        <v>182953.60000000003</v>
      </c>
      <c r="KO110" s="95"/>
      <c r="KP110" s="55"/>
      <c r="KQ110" s="90" t="str">
        <f>IFERROR(RD[[#This Row],[WPR_Eac]]/RD[[#This Row],[WPR_Edc]],"")</f>
        <v/>
      </c>
    </row>
    <row r="111" spans="2:303" ht="15" customHeight="1" x14ac:dyDescent="0.25">
      <c r="B111" s="52">
        <v>45852</v>
      </c>
      <c r="C111" s="9">
        <f>YEAR(RD[[#This Row],[Date]])+IF(MONTH(RD[[#This Row],[Date]])&gt;=4,1,0)</f>
        <v>2026</v>
      </c>
      <c r="D111" s="6">
        <f t="shared" si="544"/>
        <v>2025</v>
      </c>
      <c r="E111" s="7"/>
      <c r="F111" s="7"/>
      <c r="G111" s="367" t="str">
        <f>TEXT(RD[[#This Row],[Date]],"mmm-yy")</f>
        <v>Jul-25</v>
      </c>
      <c r="H111" s="6">
        <f t="shared" si="545"/>
        <v>31</v>
      </c>
      <c r="I111" s="9">
        <f>'Basic Data '!$S$2</f>
        <v>66750</v>
      </c>
      <c r="J111" s="10">
        <v>0.22500000000000001</v>
      </c>
      <c r="K111" s="10">
        <v>0.77708333333333324</v>
      </c>
      <c r="L111" s="9">
        <v>1067.2</v>
      </c>
      <c r="M111" s="9">
        <v>1092.3</v>
      </c>
      <c r="N111" s="9">
        <v>1011.1</v>
      </c>
      <c r="O111" s="9">
        <v>1004.6</v>
      </c>
      <c r="P111" s="9">
        <v>1084.5</v>
      </c>
      <c r="Q111" s="9">
        <v>998.5</v>
      </c>
      <c r="R111" s="9">
        <v>1008.5</v>
      </c>
      <c r="S111" s="9">
        <v>1016.7</v>
      </c>
      <c r="T111" s="9">
        <v>1046.3</v>
      </c>
      <c r="U111" s="9">
        <v>1052</v>
      </c>
      <c r="V111" s="9">
        <v>998</v>
      </c>
      <c r="W111" s="9">
        <v>994</v>
      </c>
      <c r="X111" s="9">
        <v>1010.3</v>
      </c>
      <c r="Y111" s="9">
        <v>917</v>
      </c>
      <c r="Z111" s="9">
        <v>1012.2</v>
      </c>
      <c r="AA111" s="9">
        <v>1009.2</v>
      </c>
      <c r="AB111" s="9">
        <v>990.5</v>
      </c>
      <c r="AC111" s="9">
        <v>999.4</v>
      </c>
      <c r="AD111" s="9">
        <v>1077.2</v>
      </c>
      <c r="AE111" s="9">
        <v>1084.8</v>
      </c>
      <c r="AF111" s="9">
        <v>1014.3</v>
      </c>
      <c r="AG111" s="9">
        <v>972.4</v>
      </c>
      <c r="AH111" s="9">
        <v>1090</v>
      </c>
      <c r="AI111" s="9">
        <v>1121</v>
      </c>
      <c r="AJ111" s="9">
        <v>1081</v>
      </c>
      <c r="AK111" s="9">
        <v>1090.5999999999999</v>
      </c>
      <c r="AL111" s="9">
        <v>1085.5999999999999</v>
      </c>
      <c r="AM111" s="9">
        <v>1128.3</v>
      </c>
      <c r="AN111" s="9">
        <v>1099.5999999999999</v>
      </c>
      <c r="AO111" s="9">
        <v>1100.2</v>
      </c>
      <c r="AP111" s="9">
        <v>1125.5</v>
      </c>
      <c r="AQ111" s="9">
        <v>1135.5</v>
      </c>
      <c r="AR111" s="9">
        <v>940.1</v>
      </c>
      <c r="AS111" s="9">
        <v>1232.5999999999999</v>
      </c>
      <c r="AT111" s="9">
        <v>972.9</v>
      </c>
      <c r="AU111" s="9">
        <v>1109</v>
      </c>
      <c r="AV111" s="9">
        <v>984</v>
      </c>
      <c r="AW111" s="9">
        <v>971</v>
      </c>
      <c r="AX111" s="9">
        <v>978</v>
      </c>
      <c r="AY111" s="9">
        <v>986.9</v>
      </c>
      <c r="AZ111" s="9">
        <v>975</v>
      </c>
      <c r="BA111" s="9">
        <v>983</v>
      </c>
      <c r="BB111" s="9">
        <v>981</v>
      </c>
      <c r="BC111" s="9">
        <v>988</v>
      </c>
      <c r="BD111" s="9">
        <v>990</v>
      </c>
      <c r="BE111" s="9">
        <v>982</v>
      </c>
      <c r="BF111" s="9">
        <v>1058.5</v>
      </c>
      <c r="BG111" s="9">
        <v>980.7</v>
      </c>
      <c r="BH111" s="9">
        <v>1012</v>
      </c>
      <c r="BI111" s="9">
        <v>1015.5</v>
      </c>
      <c r="BJ111" s="9">
        <v>984</v>
      </c>
      <c r="BK111" s="9">
        <v>980.7</v>
      </c>
      <c r="BL111" s="9">
        <v>1139</v>
      </c>
      <c r="BM111" s="9">
        <v>1103.5999999999999</v>
      </c>
      <c r="BN111" s="9">
        <v>1069</v>
      </c>
      <c r="BO111" s="9">
        <v>1121</v>
      </c>
      <c r="BP111" s="9">
        <v>1125.2</v>
      </c>
      <c r="BQ111" s="9">
        <v>990</v>
      </c>
      <c r="BR111" s="9">
        <v>1121</v>
      </c>
      <c r="BS111" s="9">
        <v>1127</v>
      </c>
      <c r="BT111" s="9">
        <v>998.9</v>
      </c>
      <c r="BU111" s="9">
        <v>1136.5</v>
      </c>
      <c r="BV111" s="9">
        <v>985</v>
      </c>
      <c r="BW111" s="9">
        <v>901</v>
      </c>
      <c r="BX111" s="9">
        <v>1101</v>
      </c>
      <c r="BY111" s="9">
        <v>1119.5</v>
      </c>
      <c r="BZ111" s="9">
        <v>1109</v>
      </c>
      <c r="CA111" s="9">
        <v>1104.4000000000001</v>
      </c>
      <c r="CB111" s="9">
        <v>1035.3</v>
      </c>
      <c r="CC111" s="9">
        <v>1035.4000000000001</v>
      </c>
      <c r="CD111" s="9">
        <v>1042.0999999999999</v>
      </c>
      <c r="CE111" s="9">
        <v>1039.0999999999999</v>
      </c>
      <c r="CF111" s="9">
        <v>1032</v>
      </c>
      <c r="CG111" s="9">
        <v>1038.4000000000001</v>
      </c>
      <c r="CH111" s="9">
        <v>1168.5999999999999</v>
      </c>
      <c r="CI111" s="9">
        <v>1151.0999999999999</v>
      </c>
      <c r="CJ111" s="9">
        <v>1174.7</v>
      </c>
      <c r="CK111" s="9">
        <v>1038.2</v>
      </c>
      <c r="CL111" s="9">
        <v>1033.5999999999999</v>
      </c>
      <c r="CM111" s="9">
        <v>1131</v>
      </c>
      <c r="CN111" s="9">
        <v>1020.6</v>
      </c>
      <c r="CO111" s="9">
        <v>1031.3</v>
      </c>
      <c r="CP111" s="9">
        <v>1039.8</v>
      </c>
      <c r="CQ111" s="9">
        <v>1052.8699999999999</v>
      </c>
      <c r="CR111" s="9">
        <v>1034.7</v>
      </c>
      <c r="CS111" s="9">
        <v>1046.5</v>
      </c>
      <c r="CT111" s="9">
        <v>1038.0999999999999</v>
      </c>
      <c r="CU111" s="9">
        <v>1033.5</v>
      </c>
      <c r="CV111" s="9">
        <v>1039</v>
      </c>
      <c r="CW111" s="9">
        <v>1037.5999999999999</v>
      </c>
      <c r="CX111" s="9">
        <v>1067.5999999999999</v>
      </c>
      <c r="CY111" s="9">
        <v>1128.2</v>
      </c>
      <c r="CZ111" s="9">
        <v>1036.5</v>
      </c>
      <c r="DA111" s="9">
        <v>1029</v>
      </c>
      <c r="DB111" s="9">
        <v>1159.9000000000001</v>
      </c>
      <c r="DC111" s="9">
        <v>1019.5</v>
      </c>
      <c r="DD111" s="9">
        <v>1032.5999999999999</v>
      </c>
      <c r="DE111" s="9">
        <v>989</v>
      </c>
      <c r="DF111" s="9">
        <v>991</v>
      </c>
      <c r="DG111" s="9">
        <v>983</v>
      </c>
      <c r="DH111" s="9">
        <v>980</v>
      </c>
      <c r="DI111" s="9">
        <v>995</v>
      </c>
      <c r="DJ111" s="9">
        <v>984</v>
      </c>
      <c r="DK111" s="9">
        <v>1026.2</v>
      </c>
      <c r="DL111" s="9">
        <v>1111.2</v>
      </c>
      <c r="DM111" s="9">
        <v>983</v>
      </c>
      <c r="DN111" s="9">
        <v>1110.2</v>
      </c>
      <c r="DO111" s="9">
        <v>1099</v>
      </c>
      <c r="DP111" s="9">
        <v>1004.1</v>
      </c>
      <c r="DQ111" s="9">
        <v>1128.5</v>
      </c>
      <c r="DR111" s="9">
        <v>1071.0999999999999</v>
      </c>
      <c r="DS111" s="9">
        <v>1093.0999999999999</v>
      </c>
      <c r="DT111" s="9">
        <v>1136.2</v>
      </c>
      <c r="DU111" s="9">
        <v>1126.0999999999999</v>
      </c>
      <c r="DV111" s="9">
        <v>991</v>
      </c>
      <c r="DW111" s="9">
        <v>1004.8</v>
      </c>
      <c r="DX111" s="9">
        <v>1096.9000000000001</v>
      </c>
      <c r="DY111" s="9">
        <v>1131</v>
      </c>
      <c r="DZ111" s="9">
        <v>1110.4000000000001</v>
      </c>
      <c r="EA111" s="9">
        <v>1008.6</v>
      </c>
      <c r="EB111" s="9">
        <v>1014.6</v>
      </c>
      <c r="EC111" s="9">
        <v>1102</v>
      </c>
      <c r="ED111" s="9">
        <v>1113.0999999999999</v>
      </c>
      <c r="EE111" s="9">
        <v>975.41</v>
      </c>
      <c r="EF111" s="9">
        <v>992.4</v>
      </c>
      <c r="EG111" s="9">
        <v>1134.3</v>
      </c>
      <c r="EH111" s="9">
        <v>1003.6</v>
      </c>
      <c r="EI111" s="9">
        <v>974.4</v>
      </c>
      <c r="EJ111" s="9">
        <v>1131.0999999999999</v>
      </c>
      <c r="EK111" s="9">
        <v>1120.5999999999999</v>
      </c>
      <c r="EL111" s="9">
        <v>1060.5</v>
      </c>
      <c r="EM111" s="9">
        <v>1093.0999999999999</v>
      </c>
      <c r="EN111" s="9">
        <v>1090.5999999999999</v>
      </c>
      <c r="EO111" s="9">
        <v>901</v>
      </c>
      <c r="EP111" s="9">
        <v>1093</v>
      </c>
      <c r="EQ111" s="9">
        <v>1061.5999999999999</v>
      </c>
      <c r="ER111" s="9">
        <v>1050.4000000000001</v>
      </c>
      <c r="ES111" s="9">
        <v>1061</v>
      </c>
      <c r="ET111" s="9">
        <v>1043</v>
      </c>
      <c r="EU111" s="9">
        <v>1012.5</v>
      </c>
      <c r="EV111" s="9">
        <v>1092.8</v>
      </c>
      <c r="EW111" s="9">
        <v>1083.3</v>
      </c>
      <c r="EX111" s="9">
        <v>1011.8</v>
      </c>
      <c r="EY111" s="9">
        <v>1094.7</v>
      </c>
      <c r="EZ111" s="9">
        <v>987.7</v>
      </c>
      <c r="FA111" s="9">
        <v>1089</v>
      </c>
      <c r="FB111" s="9">
        <v>991</v>
      </c>
      <c r="FC111" s="9">
        <v>925</v>
      </c>
      <c r="FD111" s="9">
        <v>1090</v>
      </c>
      <c r="FE111" s="9">
        <v>1101</v>
      </c>
      <c r="FF111" s="9">
        <v>1090.8</v>
      </c>
      <c r="FG111" s="9">
        <v>1021</v>
      </c>
      <c r="FH111" s="9">
        <v>1106.5999999999999</v>
      </c>
      <c r="FI111" s="9">
        <v>981</v>
      </c>
      <c r="FJ111" s="9">
        <v>985</v>
      </c>
      <c r="FK111" s="9">
        <v>981</v>
      </c>
      <c r="FL111" s="9">
        <v>990</v>
      </c>
      <c r="FM111" s="9">
        <v>980</v>
      </c>
      <c r="FN111" s="9">
        <v>976</v>
      </c>
      <c r="FO111" s="9">
        <v>991.8</v>
      </c>
      <c r="FP111" s="9">
        <v>1091.8</v>
      </c>
      <c r="FQ111" s="9">
        <v>970.2</v>
      </c>
      <c r="FR111" s="9">
        <v>1088</v>
      </c>
      <c r="FS111" s="9">
        <v>1090.5</v>
      </c>
      <c r="FT111" s="9">
        <v>1117.5999999999999</v>
      </c>
      <c r="FU111" s="9">
        <v>1020.5</v>
      </c>
      <c r="FV111" s="9">
        <v>976.3</v>
      </c>
      <c r="FW111" s="9">
        <v>1086.8</v>
      </c>
      <c r="FX111" s="9">
        <v>980.5</v>
      </c>
      <c r="FY111" s="9">
        <v>1017.1</v>
      </c>
      <c r="FZ111" s="9">
        <v>1007.3</v>
      </c>
      <c r="GA111" s="9">
        <v>1011.4</v>
      </c>
      <c r="GB111" s="9">
        <v>1096.8</v>
      </c>
      <c r="GC111" s="9">
        <v>1037.3</v>
      </c>
      <c r="GD111" s="9">
        <v>1114.2</v>
      </c>
      <c r="GE111" s="9">
        <v>980.1</v>
      </c>
      <c r="GF111" s="9">
        <v>973.5</v>
      </c>
      <c r="GG111" s="9">
        <v>977.8</v>
      </c>
      <c r="GH111" s="9">
        <v>1109</v>
      </c>
      <c r="GI111" s="9">
        <v>981</v>
      </c>
      <c r="GJ111" s="9">
        <v>1052</v>
      </c>
      <c r="GK111" s="9">
        <v>1087</v>
      </c>
      <c r="GL111" s="9">
        <v>1096</v>
      </c>
      <c r="GM111" s="9">
        <v>1037.3</v>
      </c>
      <c r="GN111" s="9">
        <v>1051.0999999999999</v>
      </c>
      <c r="GO111" s="9">
        <v>1091.4000000000001</v>
      </c>
      <c r="GP111" s="9">
        <v>1016.6</v>
      </c>
      <c r="GQ111" s="9">
        <v>1019</v>
      </c>
      <c r="GR111" s="9">
        <v>1012.3</v>
      </c>
      <c r="GS111" s="9">
        <v>1071</v>
      </c>
      <c r="GT111" s="9">
        <v>999.1</v>
      </c>
      <c r="GU111" s="9">
        <v>985.1</v>
      </c>
      <c r="GV111" s="9">
        <v>981</v>
      </c>
      <c r="GW111" s="9">
        <v>978</v>
      </c>
      <c r="GX111" s="9">
        <v>985.5</v>
      </c>
      <c r="GY111" s="9">
        <v>974.3</v>
      </c>
      <c r="GZ111" s="9">
        <v>815.4</v>
      </c>
      <c r="HA111" s="9">
        <v>990</v>
      </c>
      <c r="HB111" s="9"/>
      <c r="HC111" s="9"/>
      <c r="HD111" s="9">
        <v>912</v>
      </c>
      <c r="HE111" s="9">
        <v>714.8</v>
      </c>
      <c r="HF111" s="9">
        <v>1010.7</v>
      </c>
      <c r="HG111" s="9"/>
      <c r="HH111" s="9">
        <v>1073.0999999999999</v>
      </c>
      <c r="HI111" s="9">
        <v>981.3</v>
      </c>
      <c r="HJ111" s="9">
        <v>1022.4</v>
      </c>
      <c r="HK111" s="9">
        <v>982.6</v>
      </c>
      <c r="HL111" s="9">
        <v>983.4</v>
      </c>
      <c r="HM111" s="9">
        <v>979.7</v>
      </c>
      <c r="HN111" s="9">
        <v>988.9</v>
      </c>
      <c r="HO111" s="9">
        <v>981</v>
      </c>
      <c r="HP111" s="9">
        <v>985.5</v>
      </c>
      <c r="HQ111" s="9">
        <v>979</v>
      </c>
      <c r="HR111" s="9">
        <v>1000.6</v>
      </c>
      <c r="HS111" s="9">
        <v>986</v>
      </c>
      <c r="HT111" s="9">
        <v>1105.5</v>
      </c>
      <c r="HU111" s="9">
        <v>1188.8</v>
      </c>
      <c r="HV111" s="9">
        <v>828</v>
      </c>
      <c r="HW111" s="9">
        <v>871</v>
      </c>
      <c r="HX111" s="9">
        <v>751</v>
      </c>
      <c r="HY111" s="9">
        <v>629</v>
      </c>
      <c r="HZ111" s="9">
        <v>772</v>
      </c>
      <c r="IA111" s="9">
        <v>902.8</v>
      </c>
      <c r="IB111" s="9">
        <v>1059.5</v>
      </c>
      <c r="IC111" s="9">
        <v>1133.8</v>
      </c>
      <c r="ID111" s="9">
        <v>1090</v>
      </c>
      <c r="IE111" s="9">
        <v>1084.9000000000001</v>
      </c>
      <c r="IF111" s="9">
        <v>1055.5</v>
      </c>
      <c r="IG111" s="9">
        <v>1081</v>
      </c>
      <c r="IH111" s="9">
        <v>1123</v>
      </c>
      <c r="II111" s="9">
        <v>1138.3</v>
      </c>
      <c r="IJ111" s="9">
        <v>945</v>
      </c>
      <c r="IK111" s="9">
        <v>1042.4000000000001</v>
      </c>
      <c r="IL111" s="9">
        <v>963.5</v>
      </c>
      <c r="IM111" s="9">
        <v>990.2</v>
      </c>
      <c r="IN111" s="9">
        <v>920.3</v>
      </c>
      <c r="IO111" s="9"/>
      <c r="IP111" s="9">
        <v>1330</v>
      </c>
      <c r="IQ111" s="9">
        <v>1061</v>
      </c>
      <c r="IR111" s="9">
        <v>380</v>
      </c>
      <c r="IS111" s="9">
        <v>988.4</v>
      </c>
      <c r="IT111" s="9">
        <v>939</v>
      </c>
      <c r="IU111" s="9"/>
      <c r="IV111" s="9"/>
      <c r="IW111" s="9">
        <v>912</v>
      </c>
      <c r="IX111" s="9">
        <v>951</v>
      </c>
      <c r="IY111" s="9">
        <v>990</v>
      </c>
      <c r="IZ111" s="9">
        <v>951</v>
      </c>
      <c r="JA111" s="9">
        <v>901</v>
      </c>
      <c r="JB111" s="11">
        <v>29.93</v>
      </c>
      <c r="JC111" s="11">
        <v>37.700000000000003</v>
      </c>
      <c r="JD111" s="11">
        <v>4.92</v>
      </c>
      <c r="JE111" s="11">
        <v>9.3000000000000007</v>
      </c>
      <c r="JF111" s="11"/>
      <c r="JG111" s="11">
        <v>4.9800000000000004</v>
      </c>
      <c r="JH111" s="13">
        <v>4.91</v>
      </c>
      <c r="JI111" s="12"/>
      <c r="JJ111" s="277"/>
      <c r="JK111" s="9">
        <v>88901648.078999996</v>
      </c>
      <c r="JL111" s="260">
        <v>283689.81699999998</v>
      </c>
      <c r="JM111" s="9">
        <v>61784411.924000002</v>
      </c>
      <c r="JN111" s="260">
        <v>63491.707999999999</v>
      </c>
      <c r="JO111" s="9">
        <v>89579196.273000002</v>
      </c>
      <c r="JP111" s="260">
        <v>189329.13800000001</v>
      </c>
      <c r="JQ111" s="9">
        <v>65228511.670999996</v>
      </c>
      <c r="JR111" s="260">
        <v>58871.127999999997</v>
      </c>
      <c r="JS111" s="11">
        <v>336590668.94</v>
      </c>
      <c r="JT111" s="289">
        <v>91700.297000000006</v>
      </c>
      <c r="JU111" s="283">
        <f t="shared" ref="JU111" si="677">IF((JK111-JK110)&lt;0,"",(JK111-JK110))</f>
        <v>66297.517999991775</v>
      </c>
      <c r="JV111" s="283">
        <f t="shared" ref="JV111" si="678">IF((JL111-JL110)&lt;0,"",(JL111-JL110))</f>
        <v>8.9409999999916181</v>
      </c>
      <c r="JW111" s="283">
        <f t="shared" ref="JW111" si="679">IF((JM111-JM110)&lt;0,"",(JM111-JM110))</f>
        <v>65634.017999999225</v>
      </c>
      <c r="JX111" s="283">
        <f t="shared" ref="JX111" si="680">IF((JN111-JN110)&lt;0,"",(JN111-JN110))</f>
        <v>12.883999999998196</v>
      </c>
      <c r="JY111" s="284">
        <f t="shared" ref="JY111" si="681">IF((JO111-JO110)&lt;0,"",(JO111-JO110))</f>
        <v>65290.681000009179</v>
      </c>
      <c r="JZ111" s="284">
        <f t="shared" ref="JZ111" si="682">IF((JP111-JP110)&lt;0,"",(JP111-JP110))</f>
        <v>23.270000000018626</v>
      </c>
      <c r="KA111" s="284">
        <f t="shared" ref="KA111" si="683">IF((JQ111-JQ110)&lt;0,"",(JQ111-JQ110))</f>
        <v>52393.731999993324</v>
      </c>
      <c r="KB111" s="284">
        <f t="shared" ref="KB111" si="684">IF((JR111-JR110)&lt;0,"",(JR111-JR110))</f>
        <v>28.543999999994412</v>
      </c>
      <c r="KC111" s="283">
        <f t="shared" ref="KC111" si="685">IF((JS111-JS110)&lt;0,"",(JS111-JS110))</f>
        <v>249392.97200000286</v>
      </c>
      <c r="KD111" s="283">
        <f t="shared" ref="KD111" si="686">IF((JT111-JT110)&lt;0,"",(JT111-JT110))</f>
        <v>95.681000000011409</v>
      </c>
      <c r="KE111" s="291">
        <f t="shared" si="555"/>
        <v>131909.71099999102</v>
      </c>
      <c r="KF111" s="291">
        <f t="shared" si="556"/>
        <v>249297.29100000285</v>
      </c>
      <c r="KG111" s="292">
        <f>(RD[[#This Row],[Sunset Time (POA&lt;20 W/m2)]]-RD[[#This Row],[Sunrise Time (POA&gt;20 W/m2)]])*24</f>
        <v>13.249999999999998</v>
      </c>
      <c r="KH111" s="293">
        <f>RD[[#This Row],[GHI ]]</f>
        <v>4.9800000000000004</v>
      </c>
      <c r="KI111" s="293">
        <f>RD[[#This Row],[POA]]</f>
        <v>4.91</v>
      </c>
      <c r="KJ111" s="293">
        <f>RD[[#This Row],[AT (°C) 14 Hours]]</f>
        <v>29.93</v>
      </c>
      <c r="KK111" s="293">
        <f>RD[[#This Row],[MT (°C) Gen. Hours]]</f>
        <v>37.700000000000003</v>
      </c>
      <c r="KL111" s="293">
        <f>RD[[#This Row],[WS_Avg (m/s) (24 Hours)]]</f>
        <v>4.92</v>
      </c>
      <c r="KM111" s="293">
        <f>RD[[#This Row],[WS_Max (m/s)]]</f>
        <v>9.3000000000000007</v>
      </c>
      <c r="KN111" s="294">
        <f>SUM(RD[[#This Row],[BLK1_INV1]:[BLK8_INV27]])</f>
        <v>250120.87999999989</v>
      </c>
      <c r="KO111" s="95"/>
      <c r="KP111" s="55"/>
      <c r="KQ111" s="90" t="str">
        <f>IFERROR(RD[[#This Row],[WPR_Eac]]/RD[[#This Row],[WPR_Edc]],"")</f>
        <v/>
      </c>
    </row>
    <row r="112" spans="2:303" ht="15" customHeight="1" x14ac:dyDescent="0.25">
      <c r="B112" s="52">
        <v>45853</v>
      </c>
      <c r="C112" s="9">
        <f>YEAR(RD[[#This Row],[Date]])+IF(MONTH(RD[[#This Row],[Date]])&gt;=4,1,0)</f>
        <v>2026</v>
      </c>
      <c r="D112" s="6">
        <f t="shared" si="544"/>
        <v>2025</v>
      </c>
      <c r="E112" s="7"/>
      <c r="F112" s="7"/>
      <c r="G112" s="367" t="str">
        <f>TEXT(RD[[#This Row],[Date]],"mmm-yy")</f>
        <v>Jul-25</v>
      </c>
      <c r="H112" s="6">
        <f t="shared" si="545"/>
        <v>31</v>
      </c>
      <c r="I112" s="9">
        <f>'Basic Data '!$S$2</f>
        <v>66750</v>
      </c>
      <c r="J112" s="10">
        <v>0.21458333333333335</v>
      </c>
      <c r="K112" s="10">
        <v>0.77708333333333324</v>
      </c>
      <c r="L112" s="9">
        <v>947.2</v>
      </c>
      <c r="M112" s="9">
        <v>951</v>
      </c>
      <c r="N112" s="9">
        <v>880</v>
      </c>
      <c r="O112" s="9">
        <v>861</v>
      </c>
      <c r="P112" s="9">
        <v>965.2</v>
      </c>
      <c r="Q112" s="9">
        <v>892.1</v>
      </c>
      <c r="R112" s="9">
        <v>881</v>
      </c>
      <c r="S112" s="9">
        <v>879</v>
      </c>
      <c r="T112" s="9">
        <v>930.4</v>
      </c>
      <c r="U112" s="9">
        <v>933.5</v>
      </c>
      <c r="V112" s="9">
        <v>874</v>
      </c>
      <c r="W112" s="9">
        <v>891</v>
      </c>
      <c r="X112" s="9">
        <v>894</v>
      </c>
      <c r="Y112" s="9">
        <v>801</v>
      </c>
      <c r="Z112" s="9">
        <v>890</v>
      </c>
      <c r="AA112" s="9">
        <v>901.3</v>
      </c>
      <c r="AB112" s="9">
        <v>894.1</v>
      </c>
      <c r="AC112" s="9">
        <v>871</v>
      </c>
      <c r="AD112" s="9">
        <v>972.4</v>
      </c>
      <c r="AE112" s="9">
        <v>951</v>
      </c>
      <c r="AF112" s="9">
        <v>888</v>
      </c>
      <c r="AG112" s="9">
        <v>871.1</v>
      </c>
      <c r="AH112" s="9">
        <v>957</v>
      </c>
      <c r="AI112" s="9">
        <v>1001</v>
      </c>
      <c r="AJ112" s="9">
        <v>951</v>
      </c>
      <c r="AK112" s="9">
        <v>954</v>
      </c>
      <c r="AL112" s="9">
        <v>949.1</v>
      </c>
      <c r="AM112" s="9">
        <v>990</v>
      </c>
      <c r="AN112" s="9">
        <v>969.6</v>
      </c>
      <c r="AO112" s="9">
        <v>981</v>
      </c>
      <c r="AP112" s="9">
        <v>1003</v>
      </c>
      <c r="AQ112" s="9">
        <v>990</v>
      </c>
      <c r="AR112" s="9">
        <v>824.3</v>
      </c>
      <c r="AS112" s="9">
        <v>1078</v>
      </c>
      <c r="AT112" s="9">
        <v>855.1</v>
      </c>
      <c r="AU112" s="9">
        <v>972</v>
      </c>
      <c r="AV112" s="9">
        <v>858.8</v>
      </c>
      <c r="AW112" s="9">
        <v>861.2</v>
      </c>
      <c r="AX112" s="9">
        <v>867.5</v>
      </c>
      <c r="AY112" s="9">
        <v>861.9</v>
      </c>
      <c r="AZ112" s="9">
        <v>868.7</v>
      </c>
      <c r="BA112" s="9">
        <v>869</v>
      </c>
      <c r="BB112" s="9">
        <v>864</v>
      </c>
      <c r="BC112" s="9">
        <v>861</v>
      </c>
      <c r="BD112" s="9">
        <v>897.9</v>
      </c>
      <c r="BE112" s="9">
        <v>898.6</v>
      </c>
      <c r="BF112" s="9">
        <v>951</v>
      </c>
      <c r="BG112" s="9">
        <v>856.9</v>
      </c>
      <c r="BH112" s="9">
        <v>899.8</v>
      </c>
      <c r="BI112" s="9">
        <v>898.6</v>
      </c>
      <c r="BJ112" s="9">
        <v>867</v>
      </c>
      <c r="BK112" s="9">
        <v>879</v>
      </c>
      <c r="BL112" s="9">
        <v>1009.4</v>
      </c>
      <c r="BM112" s="9">
        <v>962.8</v>
      </c>
      <c r="BN112" s="9">
        <v>928.7</v>
      </c>
      <c r="BO112" s="9">
        <v>997.2</v>
      </c>
      <c r="BP112" s="9">
        <v>987</v>
      </c>
      <c r="BQ112" s="9">
        <v>856</v>
      </c>
      <c r="BR112" s="9">
        <v>990</v>
      </c>
      <c r="BS112" s="9">
        <v>1021.8</v>
      </c>
      <c r="BT112" s="9">
        <v>871.8</v>
      </c>
      <c r="BU112" s="9">
        <v>1005</v>
      </c>
      <c r="BV112" s="9">
        <v>855.1</v>
      </c>
      <c r="BW112" s="9">
        <v>802.9</v>
      </c>
      <c r="BX112" s="9">
        <v>969.7</v>
      </c>
      <c r="BY112" s="9">
        <v>963.8</v>
      </c>
      <c r="BZ112" s="9">
        <v>976.6</v>
      </c>
      <c r="CA112" s="9">
        <v>952.9</v>
      </c>
      <c r="CB112" s="9">
        <v>895.2</v>
      </c>
      <c r="CC112" s="9">
        <v>889.6</v>
      </c>
      <c r="CD112" s="9">
        <v>900.9</v>
      </c>
      <c r="CE112" s="9">
        <v>897</v>
      </c>
      <c r="CF112" s="9">
        <v>865.8</v>
      </c>
      <c r="CG112" s="9">
        <v>896.5</v>
      </c>
      <c r="CH112" s="9">
        <v>1019.9</v>
      </c>
      <c r="CI112" s="9">
        <v>1001.6</v>
      </c>
      <c r="CJ112" s="9">
        <v>1021.1</v>
      </c>
      <c r="CK112" s="9">
        <v>901.2</v>
      </c>
      <c r="CL112" s="9">
        <v>899.1</v>
      </c>
      <c r="CM112" s="9">
        <v>982.1</v>
      </c>
      <c r="CN112" s="9">
        <v>907.1</v>
      </c>
      <c r="CO112" s="9">
        <v>867.6</v>
      </c>
      <c r="CP112" s="9">
        <v>906.2</v>
      </c>
      <c r="CQ112" s="9">
        <v>917.3</v>
      </c>
      <c r="CR112" s="9">
        <v>904.5</v>
      </c>
      <c r="CS112" s="9">
        <v>908.9</v>
      </c>
      <c r="CT112" s="9">
        <v>896.4</v>
      </c>
      <c r="CU112" s="9">
        <v>893.2</v>
      </c>
      <c r="CV112" s="9">
        <v>901.1</v>
      </c>
      <c r="CW112" s="9">
        <v>896.9</v>
      </c>
      <c r="CX112" s="9">
        <v>921.5</v>
      </c>
      <c r="CY112" s="9">
        <v>973.4</v>
      </c>
      <c r="CZ112" s="9">
        <v>861</v>
      </c>
      <c r="DA112" s="9">
        <v>871</v>
      </c>
      <c r="DB112" s="9">
        <v>998.3</v>
      </c>
      <c r="DC112" s="9">
        <v>880.4</v>
      </c>
      <c r="DD112" s="9">
        <v>891.4</v>
      </c>
      <c r="DE112" s="9">
        <v>896.9</v>
      </c>
      <c r="DF112" s="9">
        <v>896.6</v>
      </c>
      <c r="DG112" s="9">
        <v>888.7</v>
      </c>
      <c r="DH112" s="9">
        <v>900</v>
      </c>
      <c r="DI112" s="9">
        <v>892.1</v>
      </c>
      <c r="DJ112" s="9">
        <v>869</v>
      </c>
      <c r="DK112" s="9">
        <v>891.7</v>
      </c>
      <c r="DL112" s="9">
        <v>968.7</v>
      </c>
      <c r="DM112" s="9">
        <v>859</v>
      </c>
      <c r="DN112" s="9">
        <v>981</v>
      </c>
      <c r="DO112" s="9">
        <v>978</v>
      </c>
      <c r="DP112" s="9">
        <v>869.8</v>
      </c>
      <c r="DQ112" s="9">
        <v>970.7</v>
      </c>
      <c r="DR112" s="9">
        <v>939</v>
      </c>
      <c r="DS112" s="9">
        <v>951.5</v>
      </c>
      <c r="DT112" s="9">
        <v>990.1</v>
      </c>
      <c r="DU112" s="9">
        <v>971.8</v>
      </c>
      <c r="DV112" s="9">
        <v>885</v>
      </c>
      <c r="DW112" s="9">
        <v>868.7</v>
      </c>
      <c r="DX112" s="9">
        <v>957.8</v>
      </c>
      <c r="DY112" s="9">
        <v>961</v>
      </c>
      <c r="DZ112" s="9">
        <v>981</v>
      </c>
      <c r="EA112" s="9">
        <v>863.4</v>
      </c>
      <c r="EB112" s="9">
        <v>874.6</v>
      </c>
      <c r="EC112" s="9">
        <v>975.8</v>
      </c>
      <c r="ED112" s="9">
        <v>973</v>
      </c>
      <c r="EE112" s="9">
        <v>862.7</v>
      </c>
      <c r="EF112" s="9">
        <v>864</v>
      </c>
      <c r="EG112" s="9">
        <v>980.9</v>
      </c>
      <c r="EH112" s="9">
        <v>881.9</v>
      </c>
      <c r="EI112" s="9">
        <v>879</v>
      </c>
      <c r="EJ112" s="9">
        <v>995.6</v>
      </c>
      <c r="EK112" s="9">
        <v>986.7</v>
      </c>
      <c r="EL112" s="9">
        <v>933.9</v>
      </c>
      <c r="EM112" s="9">
        <v>962.4</v>
      </c>
      <c r="EN112" s="9">
        <v>980.3</v>
      </c>
      <c r="EO112" s="9">
        <v>805.7</v>
      </c>
      <c r="EP112" s="9">
        <v>956</v>
      </c>
      <c r="EQ112" s="9">
        <v>939.7</v>
      </c>
      <c r="ER112" s="9">
        <v>924.5</v>
      </c>
      <c r="ES112" s="9">
        <v>958.1</v>
      </c>
      <c r="ET112" s="9">
        <v>901</v>
      </c>
      <c r="EU112" s="9">
        <v>890</v>
      </c>
      <c r="EV112" s="9">
        <v>962.7</v>
      </c>
      <c r="EW112" s="9">
        <v>947.2</v>
      </c>
      <c r="EX112" s="9">
        <v>888</v>
      </c>
      <c r="EY112" s="9">
        <v>950.7</v>
      </c>
      <c r="EZ112" s="9">
        <v>867</v>
      </c>
      <c r="FA112" s="9">
        <v>965.7</v>
      </c>
      <c r="FB112" s="9">
        <v>888.9</v>
      </c>
      <c r="FC112" s="9">
        <v>825.6</v>
      </c>
      <c r="FD112" s="9">
        <v>960.5</v>
      </c>
      <c r="FE112" s="9">
        <v>969.5</v>
      </c>
      <c r="FF112" s="9">
        <v>977.7</v>
      </c>
      <c r="FG112" s="9">
        <v>898.5</v>
      </c>
      <c r="FH112" s="9">
        <v>971</v>
      </c>
      <c r="FI112" s="9">
        <v>898.9</v>
      </c>
      <c r="FJ112" s="9">
        <v>887.3</v>
      </c>
      <c r="FK112" s="9">
        <v>878.1</v>
      </c>
      <c r="FL112" s="9">
        <v>887.1</v>
      </c>
      <c r="FM112" s="9">
        <v>881.5</v>
      </c>
      <c r="FN112" s="9">
        <v>877</v>
      </c>
      <c r="FO112" s="9">
        <v>881</v>
      </c>
      <c r="FP112" s="9">
        <v>989.2</v>
      </c>
      <c r="FQ112" s="9">
        <v>873</v>
      </c>
      <c r="FR112" s="9">
        <v>951.9</v>
      </c>
      <c r="FS112" s="9">
        <v>985.6</v>
      </c>
      <c r="FT112" s="9">
        <v>998</v>
      </c>
      <c r="FU112" s="9">
        <v>920.3</v>
      </c>
      <c r="FV112" s="9">
        <v>871</v>
      </c>
      <c r="FW112" s="9">
        <v>961</v>
      </c>
      <c r="FX112" s="9">
        <v>894.2</v>
      </c>
      <c r="FY112" s="9">
        <v>881</v>
      </c>
      <c r="FZ112" s="9">
        <v>918.3</v>
      </c>
      <c r="GA112" s="9">
        <v>918.7</v>
      </c>
      <c r="GB112" s="9">
        <v>977</v>
      </c>
      <c r="GC112" s="9">
        <v>880.4</v>
      </c>
      <c r="GD112" s="9">
        <v>1009.1</v>
      </c>
      <c r="GE112" s="9">
        <v>858.9</v>
      </c>
      <c r="GF112" s="9">
        <v>861.7</v>
      </c>
      <c r="GG112" s="9">
        <v>867</v>
      </c>
      <c r="GH112" s="9">
        <v>959</v>
      </c>
      <c r="GI112" s="9">
        <v>869</v>
      </c>
      <c r="GJ112" s="9">
        <v>955</v>
      </c>
      <c r="GK112" s="9">
        <v>965</v>
      </c>
      <c r="GL112" s="9">
        <v>955.5</v>
      </c>
      <c r="GM112" s="9">
        <v>901</v>
      </c>
      <c r="GN112" s="9">
        <v>918.6</v>
      </c>
      <c r="GO112" s="9">
        <v>958</v>
      </c>
      <c r="GP112" s="9">
        <v>906.6</v>
      </c>
      <c r="GQ112" s="9">
        <v>901</v>
      </c>
      <c r="GR112" s="9">
        <v>896.8</v>
      </c>
      <c r="GS112" s="9">
        <v>923</v>
      </c>
      <c r="GT112" s="9">
        <v>851.9</v>
      </c>
      <c r="GU112" s="9">
        <v>855</v>
      </c>
      <c r="GV112" s="9">
        <v>877</v>
      </c>
      <c r="GW112" s="9">
        <v>858</v>
      </c>
      <c r="GX112" s="9">
        <v>866</v>
      </c>
      <c r="GY112" s="9">
        <v>872</v>
      </c>
      <c r="GZ112" s="9">
        <v>720</v>
      </c>
      <c r="HA112" s="9">
        <v>881</v>
      </c>
      <c r="HB112" s="9"/>
      <c r="HC112" s="9"/>
      <c r="HD112" s="9">
        <v>775.6</v>
      </c>
      <c r="HE112" s="9">
        <v>626</v>
      </c>
      <c r="HF112" s="9">
        <v>891</v>
      </c>
      <c r="HG112" s="9"/>
      <c r="HH112" s="9">
        <v>949</v>
      </c>
      <c r="HI112" s="9">
        <v>867</v>
      </c>
      <c r="HJ112" s="9">
        <v>870.6</v>
      </c>
      <c r="HK112" s="9">
        <v>859</v>
      </c>
      <c r="HL112" s="9">
        <v>871</v>
      </c>
      <c r="HM112" s="9">
        <v>864</v>
      </c>
      <c r="HN112" s="9">
        <v>879</v>
      </c>
      <c r="HO112" s="9">
        <v>890</v>
      </c>
      <c r="HP112" s="9">
        <v>874.3</v>
      </c>
      <c r="HQ112" s="9">
        <v>860.8</v>
      </c>
      <c r="HR112" s="9">
        <v>869</v>
      </c>
      <c r="HS112" s="9">
        <v>906.9</v>
      </c>
      <c r="HT112" s="9">
        <v>980</v>
      </c>
      <c r="HU112" s="9">
        <v>1018.5</v>
      </c>
      <c r="HV112" s="9">
        <v>758</v>
      </c>
      <c r="HW112" s="9">
        <v>768</v>
      </c>
      <c r="HX112" s="9">
        <v>671.4</v>
      </c>
      <c r="HY112" s="9">
        <v>554.29999999999995</v>
      </c>
      <c r="HZ112" s="9">
        <v>674</v>
      </c>
      <c r="IA112" s="9">
        <v>778.4</v>
      </c>
      <c r="IB112" s="9">
        <v>932.4</v>
      </c>
      <c r="IC112" s="9">
        <v>997.3</v>
      </c>
      <c r="ID112" s="9">
        <v>955.8</v>
      </c>
      <c r="IE112" s="9">
        <v>930</v>
      </c>
      <c r="IF112" s="9">
        <v>936.5</v>
      </c>
      <c r="IG112" s="9">
        <v>961.5</v>
      </c>
      <c r="IH112" s="9">
        <v>994.3</v>
      </c>
      <c r="II112" s="9">
        <v>976.2</v>
      </c>
      <c r="IJ112" s="9">
        <v>829</v>
      </c>
      <c r="IK112" s="9">
        <v>902.1</v>
      </c>
      <c r="IL112" s="9">
        <v>847</v>
      </c>
      <c r="IM112" s="9">
        <v>881</v>
      </c>
      <c r="IN112" s="9">
        <v>795.1</v>
      </c>
      <c r="IO112" s="9"/>
      <c r="IP112" s="9">
        <v>1191</v>
      </c>
      <c r="IQ112" s="9">
        <v>934</v>
      </c>
      <c r="IR112" s="9">
        <v>331.1</v>
      </c>
      <c r="IS112" s="9">
        <v>873</v>
      </c>
      <c r="IT112" s="9">
        <v>825.3</v>
      </c>
      <c r="IU112" s="9"/>
      <c r="IV112" s="9"/>
      <c r="IW112" s="9">
        <v>801</v>
      </c>
      <c r="IX112" s="9">
        <v>854</v>
      </c>
      <c r="IY112" s="9">
        <v>788</v>
      </c>
      <c r="IZ112" s="9">
        <v>839</v>
      </c>
      <c r="JA112" s="9">
        <v>784</v>
      </c>
      <c r="JB112" s="11">
        <v>30.41</v>
      </c>
      <c r="JC112" s="11">
        <v>39.15</v>
      </c>
      <c r="JD112" s="11">
        <v>2.63</v>
      </c>
      <c r="JE112" s="11">
        <v>6.1</v>
      </c>
      <c r="JF112" s="11"/>
      <c r="JG112" s="11">
        <v>4.41</v>
      </c>
      <c r="JH112" s="13">
        <v>4.21</v>
      </c>
      <c r="JI112" s="12"/>
      <c r="JJ112" s="277"/>
      <c r="JK112" s="9">
        <v>88960403.509000003</v>
      </c>
      <c r="JL112" s="215">
        <v>283698.75799999997</v>
      </c>
      <c r="JM112" s="9">
        <v>61841455.325999998</v>
      </c>
      <c r="JN112" s="215">
        <v>63504.591999999997</v>
      </c>
      <c r="JO112" s="9">
        <v>89637589.055000007</v>
      </c>
      <c r="JP112" s="215">
        <v>189352.408</v>
      </c>
      <c r="JQ112" s="9">
        <v>65273672.295000002</v>
      </c>
      <c r="JR112" s="215">
        <v>58899.671999999999</v>
      </c>
      <c r="JS112" s="11">
        <v>336809868.23500001</v>
      </c>
      <c r="JT112" s="223">
        <v>91795.978000000003</v>
      </c>
      <c r="JU112" s="283">
        <f t="shared" ref="JU112" si="687">IF((JK112-JK111)&lt;0,"",(JK112-JK111))</f>
        <v>58755.430000007153</v>
      </c>
      <c r="JV112" s="283">
        <f t="shared" ref="JV112" si="688">IF((JL112-JL111)&lt;0,"",(JL112-JL111))</f>
        <v>8.9409999999916181</v>
      </c>
      <c r="JW112" s="283">
        <f t="shared" ref="JW112" si="689">IF((JM112-JM111)&lt;0,"",(JM112-JM111))</f>
        <v>57043.401999995112</v>
      </c>
      <c r="JX112" s="283">
        <f t="shared" ref="JX112" si="690">IF((JN112-JN111)&lt;0,"",(JN112-JN111))</f>
        <v>12.883999999998196</v>
      </c>
      <c r="JY112" s="284">
        <f t="shared" ref="JY112" si="691">IF((JO112-JO111)&lt;0,"",(JO112-JO111))</f>
        <v>58392.782000005245</v>
      </c>
      <c r="JZ112" s="284">
        <f t="shared" ref="JZ112" si="692">IF((JP112-JP111)&lt;0,"",(JP112-JP111))</f>
        <v>23.269999999989523</v>
      </c>
      <c r="KA112" s="284">
        <f t="shared" ref="KA112" si="693">IF((JQ112-JQ111)&lt;0,"",(JQ112-JQ111))</f>
        <v>45160.624000005424</v>
      </c>
      <c r="KB112" s="284">
        <f t="shared" ref="KB112" si="694">IF((JR112-JR111)&lt;0,"",(JR112-JR111))</f>
        <v>28.544000000001688</v>
      </c>
      <c r="KC112" s="283">
        <f t="shared" ref="KC112" si="695">IF((JS112-JS111)&lt;0,"",(JS112-JS111))</f>
        <v>219199.29500001669</v>
      </c>
      <c r="KD112" s="283">
        <f t="shared" ref="KD112" si="696">IF((JT112-JT111)&lt;0,"",(JT112-JT111))</f>
        <v>95.680999999996857</v>
      </c>
      <c r="KE112" s="291">
        <f t="shared" si="555"/>
        <v>115777.00700000228</v>
      </c>
      <c r="KF112" s="291">
        <f t="shared" si="556"/>
        <v>219103.61400001671</v>
      </c>
      <c r="KG112" s="292">
        <f>(RD[[#This Row],[Sunset Time (POA&lt;20 W/m2)]]-RD[[#This Row],[Sunrise Time (POA&gt;20 W/m2)]])*24</f>
        <v>13.499999999999996</v>
      </c>
      <c r="KH112" s="293">
        <f>RD[[#This Row],[GHI ]]</f>
        <v>4.41</v>
      </c>
      <c r="KI112" s="293">
        <f>RD[[#This Row],[POA]]</f>
        <v>4.21</v>
      </c>
      <c r="KJ112" s="293">
        <f>RD[[#This Row],[AT (°C) 14 Hours]]</f>
        <v>30.41</v>
      </c>
      <c r="KK112" s="293">
        <f>RD[[#This Row],[MT (°C) Gen. Hours]]</f>
        <v>39.15</v>
      </c>
      <c r="KL112" s="293">
        <f>RD[[#This Row],[WS_Avg (m/s) (24 Hours)]]</f>
        <v>2.63</v>
      </c>
      <c r="KM112" s="293">
        <f>RD[[#This Row],[WS_Max (m/s)]]</f>
        <v>6.1</v>
      </c>
      <c r="KN112" s="294">
        <f>SUM(RD[[#This Row],[BLK1_INV1]:[BLK8_INV27]])</f>
        <v>220029.49999999994</v>
      </c>
      <c r="KO112" s="95"/>
      <c r="KP112" s="55"/>
      <c r="KQ112" s="90" t="str">
        <f>IFERROR(RD[[#This Row],[WPR_Eac]]/RD[[#This Row],[WPR_Edc]],"")</f>
        <v/>
      </c>
    </row>
    <row r="113" spans="2:303" ht="15" customHeight="1" x14ac:dyDescent="0.25">
      <c r="B113" s="52">
        <v>45854</v>
      </c>
      <c r="C113" s="9">
        <f>YEAR(RD[[#This Row],[Date]])+IF(MONTH(RD[[#This Row],[Date]])&gt;=4,1,0)</f>
        <v>2026</v>
      </c>
      <c r="D113" s="6">
        <f t="shared" si="544"/>
        <v>2025</v>
      </c>
      <c r="E113" s="7"/>
      <c r="F113" s="7"/>
      <c r="G113" s="367" t="str">
        <f>TEXT(RD[[#This Row],[Date]],"mmm-yy")</f>
        <v>Jul-25</v>
      </c>
      <c r="H113" s="6">
        <f t="shared" si="545"/>
        <v>31</v>
      </c>
      <c r="I113" s="9">
        <f>'Basic Data '!$S$2</f>
        <v>66750</v>
      </c>
      <c r="J113" s="10">
        <v>0.22361111111111109</v>
      </c>
      <c r="K113" s="10">
        <v>0.77847222222222223</v>
      </c>
      <c r="L113" s="9">
        <v>797.6</v>
      </c>
      <c r="M113" s="9">
        <v>789</v>
      </c>
      <c r="N113" s="9">
        <v>727</v>
      </c>
      <c r="O113" s="9">
        <v>733.2</v>
      </c>
      <c r="P113" s="9">
        <v>806.7</v>
      </c>
      <c r="Q113" s="9">
        <v>744.8</v>
      </c>
      <c r="R113" s="9">
        <v>736.2</v>
      </c>
      <c r="S113" s="9">
        <v>730.6</v>
      </c>
      <c r="T113" s="9">
        <v>761</v>
      </c>
      <c r="U113" s="9">
        <v>782.9</v>
      </c>
      <c r="V113" s="9">
        <v>726</v>
      </c>
      <c r="W113" s="9">
        <v>744</v>
      </c>
      <c r="X113" s="9">
        <v>727</v>
      </c>
      <c r="Y113" s="9">
        <v>671</v>
      </c>
      <c r="Z113" s="9">
        <v>737.7</v>
      </c>
      <c r="AA113" s="9">
        <v>735.8</v>
      </c>
      <c r="AB113" s="9">
        <v>741.4</v>
      </c>
      <c r="AC113" s="9">
        <v>734</v>
      </c>
      <c r="AD113" s="9">
        <v>799.9</v>
      </c>
      <c r="AE113" s="9">
        <v>809.7</v>
      </c>
      <c r="AF113" s="9">
        <v>734.1</v>
      </c>
      <c r="AG113" s="9">
        <v>727.8</v>
      </c>
      <c r="AH113" s="9">
        <v>790</v>
      </c>
      <c r="AI113" s="9">
        <v>819</v>
      </c>
      <c r="AJ113" s="9">
        <v>795</v>
      </c>
      <c r="AK113" s="9">
        <v>795.6</v>
      </c>
      <c r="AL113" s="9">
        <v>784.8</v>
      </c>
      <c r="AM113" s="9">
        <v>844.9</v>
      </c>
      <c r="AN113" s="9">
        <v>806.8</v>
      </c>
      <c r="AO113" s="9">
        <v>840.1</v>
      </c>
      <c r="AP113" s="9">
        <v>845.5</v>
      </c>
      <c r="AQ113" s="9">
        <v>836.5</v>
      </c>
      <c r="AR113" s="9">
        <v>688</v>
      </c>
      <c r="AS113" s="9">
        <v>919</v>
      </c>
      <c r="AT113" s="9">
        <v>725</v>
      </c>
      <c r="AU113" s="9">
        <v>812</v>
      </c>
      <c r="AV113" s="9">
        <v>736.2</v>
      </c>
      <c r="AW113" s="9">
        <v>741</v>
      </c>
      <c r="AX113" s="9">
        <v>738</v>
      </c>
      <c r="AY113" s="9">
        <v>732</v>
      </c>
      <c r="AZ113" s="9">
        <v>745</v>
      </c>
      <c r="BA113" s="9">
        <v>732</v>
      </c>
      <c r="BB113" s="9">
        <v>729</v>
      </c>
      <c r="BC113" s="9">
        <v>717.4</v>
      </c>
      <c r="BD113" s="9">
        <v>757.8</v>
      </c>
      <c r="BE113" s="9">
        <v>758.4</v>
      </c>
      <c r="BF113" s="9">
        <v>791</v>
      </c>
      <c r="BG113" s="9">
        <v>720.2</v>
      </c>
      <c r="BH113" s="9">
        <v>756</v>
      </c>
      <c r="BI113" s="9">
        <v>755</v>
      </c>
      <c r="BJ113" s="9">
        <v>723</v>
      </c>
      <c r="BK113" s="9">
        <v>718.4</v>
      </c>
      <c r="BL113" s="9">
        <v>839.4</v>
      </c>
      <c r="BM113" s="9">
        <v>823</v>
      </c>
      <c r="BN113" s="9">
        <v>791</v>
      </c>
      <c r="BO113" s="9">
        <v>835.8</v>
      </c>
      <c r="BP113" s="9">
        <v>841.9</v>
      </c>
      <c r="BQ113" s="9">
        <v>757.9</v>
      </c>
      <c r="BR113" s="9">
        <v>834.9</v>
      </c>
      <c r="BS113" s="9">
        <v>837.7</v>
      </c>
      <c r="BT113" s="9">
        <v>731.3</v>
      </c>
      <c r="BU113" s="9">
        <v>829.1</v>
      </c>
      <c r="BV113" s="9">
        <v>735</v>
      </c>
      <c r="BW113" s="9">
        <v>661</v>
      </c>
      <c r="BX113" s="9">
        <v>823</v>
      </c>
      <c r="BY113" s="9">
        <v>820</v>
      </c>
      <c r="BZ113" s="9">
        <v>820.1</v>
      </c>
      <c r="CA113" s="9">
        <v>797.8</v>
      </c>
      <c r="CB113" s="9">
        <v>757.7</v>
      </c>
      <c r="CC113" s="9">
        <v>758.1</v>
      </c>
      <c r="CD113" s="9">
        <v>755.7</v>
      </c>
      <c r="CE113" s="9">
        <v>748.7</v>
      </c>
      <c r="CF113" s="9">
        <v>735</v>
      </c>
      <c r="CG113" s="9">
        <v>721</v>
      </c>
      <c r="CH113" s="9">
        <v>832</v>
      </c>
      <c r="CI113" s="9">
        <v>847.1</v>
      </c>
      <c r="CJ113" s="9">
        <v>842</v>
      </c>
      <c r="CK113" s="9">
        <v>739</v>
      </c>
      <c r="CL113" s="9">
        <v>752.7</v>
      </c>
      <c r="CM113" s="9">
        <v>809</v>
      </c>
      <c r="CN113" s="9">
        <v>751.8</v>
      </c>
      <c r="CO113" s="9">
        <v>761.4</v>
      </c>
      <c r="CP113" s="9">
        <v>751.6</v>
      </c>
      <c r="CQ113" s="9">
        <v>762.5</v>
      </c>
      <c r="CR113" s="9">
        <v>747.8</v>
      </c>
      <c r="CS113" s="9">
        <v>756</v>
      </c>
      <c r="CT113" s="9">
        <v>741.6</v>
      </c>
      <c r="CU113" s="9">
        <v>740.1</v>
      </c>
      <c r="CV113" s="9">
        <v>746.3</v>
      </c>
      <c r="CW113" s="9">
        <v>743.7</v>
      </c>
      <c r="CX113" s="9">
        <v>766.2</v>
      </c>
      <c r="CY113" s="9">
        <v>812.7</v>
      </c>
      <c r="CZ113" s="9">
        <v>736.1</v>
      </c>
      <c r="DA113" s="9">
        <v>734.5</v>
      </c>
      <c r="DB113" s="9">
        <v>835.5</v>
      </c>
      <c r="DC113" s="9">
        <v>751.6</v>
      </c>
      <c r="DD113" s="9">
        <v>754.6</v>
      </c>
      <c r="DE113" s="9">
        <v>744</v>
      </c>
      <c r="DF113" s="9">
        <v>741</v>
      </c>
      <c r="DG113" s="9">
        <v>732</v>
      </c>
      <c r="DH113" s="9">
        <v>725</v>
      </c>
      <c r="DI113" s="9">
        <v>739</v>
      </c>
      <c r="DJ113" s="9">
        <v>745</v>
      </c>
      <c r="DK113" s="9">
        <v>750</v>
      </c>
      <c r="DL113" s="9">
        <v>828.1</v>
      </c>
      <c r="DM113" s="9">
        <v>729</v>
      </c>
      <c r="DN113" s="9">
        <v>812</v>
      </c>
      <c r="DO113" s="9">
        <v>812.5</v>
      </c>
      <c r="DP113" s="9">
        <v>745</v>
      </c>
      <c r="DQ113" s="9">
        <v>840.2</v>
      </c>
      <c r="DR113" s="9">
        <v>791.3</v>
      </c>
      <c r="DS113" s="9">
        <v>812.4</v>
      </c>
      <c r="DT113" s="9">
        <v>846.5</v>
      </c>
      <c r="DU113" s="9">
        <v>836.7</v>
      </c>
      <c r="DV113" s="9">
        <v>728.6</v>
      </c>
      <c r="DW113" s="9">
        <v>745.3</v>
      </c>
      <c r="DX113" s="9">
        <v>814</v>
      </c>
      <c r="DY113" s="9">
        <v>834</v>
      </c>
      <c r="DZ113" s="9">
        <v>828.6</v>
      </c>
      <c r="EA113" s="9">
        <v>748</v>
      </c>
      <c r="EB113" s="9">
        <v>728</v>
      </c>
      <c r="EC113" s="9">
        <v>808</v>
      </c>
      <c r="ED113" s="9">
        <v>825.8</v>
      </c>
      <c r="EE113" s="9">
        <v>723</v>
      </c>
      <c r="EF113" s="9">
        <v>724.7</v>
      </c>
      <c r="EG113" s="9">
        <v>844.8</v>
      </c>
      <c r="EH113" s="9">
        <v>718.1</v>
      </c>
      <c r="EI113" s="9">
        <v>723</v>
      </c>
      <c r="EJ113" s="9">
        <v>829.2</v>
      </c>
      <c r="EK113" s="9">
        <v>811</v>
      </c>
      <c r="EL113" s="9">
        <v>783.9</v>
      </c>
      <c r="EM113" s="9">
        <v>807.1</v>
      </c>
      <c r="EN113" s="9">
        <v>815.7</v>
      </c>
      <c r="EO113" s="9">
        <v>671</v>
      </c>
      <c r="EP113" s="9">
        <v>790</v>
      </c>
      <c r="EQ113" s="9">
        <v>783</v>
      </c>
      <c r="ER113" s="9">
        <v>780.6</v>
      </c>
      <c r="ES113" s="9">
        <v>801</v>
      </c>
      <c r="ET113" s="9">
        <v>779</v>
      </c>
      <c r="EU113" s="9">
        <v>743</v>
      </c>
      <c r="EV113" s="9">
        <v>805.6</v>
      </c>
      <c r="EW113" s="9">
        <v>789.3</v>
      </c>
      <c r="EX113" s="9">
        <v>751</v>
      </c>
      <c r="EY113" s="9">
        <v>793</v>
      </c>
      <c r="EZ113" s="9">
        <v>724</v>
      </c>
      <c r="FA113" s="9">
        <v>811.1</v>
      </c>
      <c r="FB113" s="9">
        <v>748.4</v>
      </c>
      <c r="FC113" s="9">
        <v>678</v>
      </c>
      <c r="FD113" s="9">
        <v>813</v>
      </c>
      <c r="FE113" s="9">
        <v>797.7</v>
      </c>
      <c r="FF113" s="9">
        <v>789</v>
      </c>
      <c r="FG113" s="9">
        <v>736</v>
      </c>
      <c r="FH113" s="9">
        <v>814.5</v>
      </c>
      <c r="FI113" s="9">
        <v>743</v>
      </c>
      <c r="FJ113" s="9">
        <v>741</v>
      </c>
      <c r="FK113" s="9">
        <v>750.7</v>
      </c>
      <c r="FL113" s="9">
        <v>744</v>
      </c>
      <c r="FM113" s="9">
        <v>738</v>
      </c>
      <c r="FN113" s="9">
        <v>731</v>
      </c>
      <c r="FO113" s="9">
        <v>725</v>
      </c>
      <c r="FP113" s="9">
        <v>797.6</v>
      </c>
      <c r="FQ113" s="9">
        <v>726</v>
      </c>
      <c r="FR113" s="9">
        <v>809</v>
      </c>
      <c r="FS113" s="9">
        <v>804</v>
      </c>
      <c r="FT113" s="9">
        <v>840.9</v>
      </c>
      <c r="FU113" s="9">
        <v>749.4</v>
      </c>
      <c r="FV113" s="9">
        <v>737.5</v>
      </c>
      <c r="FW113" s="9">
        <v>813</v>
      </c>
      <c r="FX113" s="9">
        <v>713.2</v>
      </c>
      <c r="FY113" s="9">
        <v>748</v>
      </c>
      <c r="FZ113" s="9">
        <v>750.6</v>
      </c>
      <c r="GA113" s="9">
        <v>749.6</v>
      </c>
      <c r="GB113" s="9">
        <v>801</v>
      </c>
      <c r="GC113" s="9">
        <v>747</v>
      </c>
      <c r="GD113" s="9">
        <v>817.3</v>
      </c>
      <c r="GE113" s="9">
        <v>737</v>
      </c>
      <c r="GF113" s="9">
        <v>727.9</v>
      </c>
      <c r="GG113" s="9">
        <v>734</v>
      </c>
      <c r="GH113" s="9">
        <v>819</v>
      </c>
      <c r="GI113" s="9">
        <v>732.4</v>
      </c>
      <c r="GJ113" s="9">
        <v>775</v>
      </c>
      <c r="GK113" s="9">
        <v>821</v>
      </c>
      <c r="GL113" s="9">
        <v>807</v>
      </c>
      <c r="GM113" s="9">
        <v>772.5</v>
      </c>
      <c r="GN113" s="9">
        <v>775</v>
      </c>
      <c r="GO113" s="9">
        <v>813</v>
      </c>
      <c r="GP113" s="9">
        <v>741.2</v>
      </c>
      <c r="GQ113" s="9">
        <v>753.4</v>
      </c>
      <c r="GR113" s="9">
        <v>745</v>
      </c>
      <c r="GS113" s="9">
        <v>798</v>
      </c>
      <c r="GT113" s="9">
        <v>734</v>
      </c>
      <c r="GU113" s="9">
        <v>726</v>
      </c>
      <c r="GV113" s="9">
        <v>739</v>
      </c>
      <c r="GW113" s="9">
        <v>735</v>
      </c>
      <c r="GX113" s="9">
        <v>734.9</v>
      </c>
      <c r="GY113" s="9">
        <v>723</v>
      </c>
      <c r="GZ113" s="9">
        <v>601</v>
      </c>
      <c r="HA113" s="9">
        <v>734</v>
      </c>
      <c r="HB113" s="9"/>
      <c r="HC113" s="9"/>
      <c r="HD113" s="9">
        <v>656</v>
      </c>
      <c r="HE113" s="9">
        <v>523</v>
      </c>
      <c r="HF113" s="9">
        <v>734</v>
      </c>
      <c r="HG113" s="9"/>
      <c r="HH113" s="9">
        <v>794</v>
      </c>
      <c r="HI113" s="9">
        <v>728</v>
      </c>
      <c r="HJ113" s="9">
        <v>746.4</v>
      </c>
      <c r="HK113" s="9">
        <v>724</v>
      </c>
      <c r="HL113" s="9">
        <v>725.6</v>
      </c>
      <c r="HM113" s="9">
        <v>737</v>
      </c>
      <c r="HN113" s="9">
        <v>725</v>
      </c>
      <c r="HO113" s="9">
        <v>740</v>
      </c>
      <c r="HP113" s="9">
        <v>719.4</v>
      </c>
      <c r="HQ113" s="9">
        <v>734.1</v>
      </c>
      <c r="HR113" s="9">
        <v>729.1</v>
      </c>
      <c r="HS113" s="9">
        <v>741</v>
      </c>
      <c r="HT113" s="9">
        <v>810.2</v>
      </c>
      <c r="HU113" s="9">
        <v>855</v>
      </c>
      <c r="HV113" s="9">
        <v>634</v>
      </c>
      <c r="HW113" s="9">
        <v>644</v>
      </c>
      <c r="HX113" s="9">
        <v>561.5</v>
      </c>
      <c r="HY113" s="9">
        <v>455.5</v>
      </c>
      <c r="HZ113" s="9">
        <v>567.5</v>
      </c>
      <c r="IA113" s="9">
        <v>664.1</v>
      </c>
      <c r="IB113" s="9">
        <v>771</v>
      </c>
      <c r="IC113" s="9">
        <v>836</v>
      </c>
      <c r="ID113" s="9">
        <v>807.6</v>
      </c>
      <c r="IE113" s="9">
        <v>785.6</v>
      </c>
      <c r="IF113" s="9">
        <v>756</v>
      </c>
      <c r="IG113" s="9">
        <v>814.5</v>
      </c>
      <c r="IH113" s="9">
        <v>823</v>
      </c>
      <c r="II113" s="9">
        <v>822</v>
      </c>
      <c r="IJ113" s="9">
        <v>714</v>
      </c>
      <c r="IK113" s="9">
        <v>756</v>
      </c>
      <c r="IL113" s="9">
        <v>713</v>
      </c>
      <c r="IM113" s="9">
        <v>734</v>
      </c>
      <c r="IN113" s="9">
        <v>691</v>
      </c>
      <c r="IO113" s="9"/>
      <c r="IP113" s="9">
        <v>1000.5</v>
      </c>
      <c r="IQ113" s="9">
        <v>790</v>
      </c>
      <c r="IR113" s="9">
        <v>274</v>
      </c>
      <c r="IS113" s="9">
        <v>729</v>
      </c>
      <c r="IT113" s="9">
        <v>701</v>
      </c>
      <c r="IU113" s="9"/>
      <c r="IV113" s="9"/>
      <c r="IW113" s="9">
        <v>666.5</v>
      </c>
      <c r="IX113" s="9">
        <v>709</v>
      </c>
      <c r="IY113" s="9">
        <v>665</v>
      </c>
      <c r="IZ113" s="9">
        <v>701</v>
      </c>
      <c r="JA113" s="9">
        <v>656</v>
      </c>
      <c r="JB113" s="11">
        <v>29.38</v>
      </c>
      <c r="JC113" s="11">
        <v>36.950000000000003</v>
      </c>
      <c r="JD113" s="11">
        <v>1.39</v>
      </c>
      <c r="JE113" s="11">
        <v>6.5</v>
      </c>
      <c r="JF113" s="11"/>
      <c r="JG113" s="11">
        <v>3.65</v>
      </c>
      <c r="JH113" s="13">
        <v>3.55</v>
      </c>
      <c r="JI113" s="12"/>
      <c r="JJ113" s="277"/>
      <c r="JK113" s="9">
        <v>89009374.666999996</v>
      </c>
      <c r="JL113" s="260">
        <v>283707.69900000002</v>
      </c>
      <c r="JM113" s="9">
        <v>61889621.133000001</v>
      </c>
      <c r="JN113" s="260">
        <v>63517.476000000002</v>
      </c>
      <c r="JO113" s="9">
        <v>89685651.484999999</v>
      </c>
      <c r="JP113" s="260">
        <v>189375.67800000001</v>
      </c>
      <c r="JQ113" s="9">
        <v>65311941.906999998</v>
      </c>
      <c r="JR113" s="260">
        <v>58928.216</v>
      </c>
      <c r="JS113" s="11">
        <v>336993168.64200002</v>
      </c>
      <c r="JT113" s="289">
        <v>91891.659</v>
      </c>
      <c r="JU113" s="283">
        <f t="shared" ref="JU113" si="697">IF((JK113-JK112)&lt;0,"",(JK113-JK112))</f>
        <v>48971.157999992371</v>
      </c>
      <c r="JV113" s="283">
        <f t="shared" ref="JV113" si="698">IF((JL113-JL112)&lt;0,"",(JL113-JL112))</f>
        <v>8.9410000000498258</v>
      </c>
      <c r="JW113" s="283">
        <f t="shared" ref="JW113" si="699">IF((JM113-JM112)&lt;0,"",(JM113-JM112))</f>
        <v>48165.807000003755</v>
      </c>
      <c r="JX113" s="283">
        <f t="shared" ref="JX113" si="700">IF((JN113-JN112)&lt;0,"",(JN113-JN112))</f>
        <v>12.884000000005472</v>
      </c>
      <c r="JY113" s="284">
        <f t="shared" ref="JY113" si="701">IF((JO113-JO112)&lt;0,"",(JO113-JO112))</f>
        <v>48062.429999992251</v>
      </c>
      <c r="JZ113" s="284">
        <f t="shared" ref="JZ113" si="702">IF((JP113-JP112)&lt;0,"",(JP113-JP112))</f>
        <v>23.270000000018626</v>
      </c>
      <c r="KA113" s="284">
        <f t="shared" ref="KA113" si="703">IF((JQ113-JQ112)&lt;0,"",(JQ113-JQ112))</f>
        <v>38269.611999996006</v>
      </c>
      <c r="KB113" s="284">
        <f t="shared" ref="KB113" si="704">IF((JR113-JR112)&lt;0,"",(JR113-JR112))</f>
        <v>28.544000000001688</v>
      </c>
      <c r="KC113" s="283">
        <f t="shared" ref="KC113" si="705">IF((JS113-JS112)&lt;0,"",(JS113-JS112))</f>
        <v>183300.40700000525</v>
      </c>
      <c r="KD113" s="283">
        <f t="shared" ref="KD113" si="706">IF((JT113-JT112)&lt;0,"",(JT113-JT112))</f>
        <v>95.680999999996857</v>
      </c>
      <c r="KE113" s="291">
        <f t="shared" si="555"/>
        <v>97115.13999999607</v>
      </c>
      <c r="KF113" s="291">
        <f t="shared" si="556"/>
        <v>183204.72600000526</v>
      </c>
      <c r="KG113" s="292">
        <f>(RD[[#This Row],[Sunset Time (POA&lt;20 W/m2)]]-RD[[#This Row],[Sunrise Time (POA&gt;20 W/m2)]])*24</f>
        <v>13.316666666666666</v>
      </c>
      <c r="KH113" s="293">
        <f>RD[[#This Row],[GHI ]]</f>
        <v>3.65</v>
      </c>
      <c r="KI113" s="293">
        <f>RD[[#This Row],[POA]]</f>
        <v>3.55</v>
      </c>
      <c r="KJ113" s="293">
        <f>RD[[#This Row],[AT (°C) 14 Hours]]</f>
        <v>29.38</v>
      </c>
      <c r="KK113" s="293">
        <f>RD[[#This Row],[MT (°C) Gen. Hours]]</f>
        <v>36.950000000000003</v>
      </c>
      <c r="KL113" s="293">
        <f>RD[[#This Row],[WS_Avg (m/s) (24 Hours)]]</f>
        <v>1.39</v>
      </c>
      <c r="KM113" s="293">
        <f>RD[[#This Row],[WS_Max (m/s)]]</f>
        <v>6.5</v>
      </c>
      <c r="KN113" s="294">
        <f>SUM(RD[[#This Row],[BLK1_INV1]:[BLK8_INV27]])</f>
        <v>184352.80000000005</v>
      </c>
      <c r="KO113" s="95"/>
      <c r="KP113" s="55"/>
      <c r="KQ113" s="90" t="str">
        <f>IFERROR(RD[[#This Row],[WPR_Eac]]/RD[[#This Row],[WPR_Edc]],"")</f>
        <v/>
      </c>
    </row>
    <row r="114" spans="2:303" ht="15" customHeight="1" x14ac:dyDescent="0.25">
      <c r="B114" s="52">
        <v>45855</v>
      </c>
      <c r="C114" s="9">
        <f>YEAR(RD[[#This Row],[Date]])+IF(MONTH(RD[[#This Row],[Date]])&gt;=4,1,0)</f>
        <v>2026</v>
      </c>
      <c r="D114" s="6">
        <f t="shared" si="544"/>
        <v>2025</v>
      </c>
      <c r="E114" s="7"/>
      <c r="F114" s="7"/>
      <c r="G114" s="367" t="str">
        <f>TEXT(RD[[#This Row],[Date]],"mmm-yy")</f>
        <v>Jul-25</v>
      </c>
      <c r="H114" s="6">
        <f t="shared" si="545"/>
        <v>31</v>
      </c>
      <c r="I114" s="9">
        <f>'Basic Data '!$S$2</f>
        <v>66750</v>
      </c>
      <c r="J114" s="10">
        <v>0.22500000000000001</v>
      </c>
      <c r="K114" s="10">
        <v>0.76736111111111116</v>
      </c>
      <c r="L114" s="9">
        <v>796.9</v>
      </c>
      <c r="M114" s="9">
        <v>798</v>
      </c>
      <c r="N114" s="9">
        <v>735</v>
      </c>
      <c r="O114" s="9">
        <v>744</v>
      </c>
      <c r="P114" s="9">
        <v>811.8</v>
      </c>
      <c r="Q114" s="9">
        <v>751</v>
      </c>
      <c r="R114" s="9">
        <v>744</v>
      </c>
      <c r="S114" s="9">
        <v>751</v>
      </c>
      <c r="T114" s="9">
        <v>767</v>
      </c>
      <c r="U114" s="9">
        <v>791.9</v>
      </c>
      <c r="V114" s="9">
        <v>740</v>
      </c>
      <c r="W114" s="9">
        <v>756</v>
      </c>
      <c r="X114" s="9">
        <v>735</v>
      </c>
      <c r="Y114" s="9">
        <v>687</v>
      </c>
      <c r="Z114" s="9">
        <v>748</v>
      </c>
      <c r="AA114" s="9">
        <v>755</v>
      </c>
      <c r="AB114" s="9">
        <v>753.5</v>
      </c>
      <c r="AC114" s="9">
        <v>752</v>
      </c>
      <c r="AD114" s="9">
        <v>818.6</v>
      </c>
      <c r="AE114" s="9">
        <v>827.7</v>
      </c>
      <c r="AF114" s="9">
        <v>750.7</v>
      </c>
      <c r="AG114" s="9">
        <v>748.4</v>
      </c>
      <c r="AH114" s="9">
        <v>824.1</v>
      </c>
      <c r="AI114" s="9">
        <v>843.8</v>
      </c>
      <c r="AJ114" s="9">
        <v>815</v>
      </c>
      <c r="AK114" s="9">
        <v>830.7</v>
      </c>
      <c r="AL114" s="9">
        <v>799.7</v>
      </c>
      <c r="AM114" s="9">
        <v>854.4</v>
      </c>
      <c r="AN114" s="9">
        <v>827.5</v>
      </c>
      <c r="AO114" s="9">
        <v>852.5</v>
      </c>
      <c r="AP114" s="9">
        <v>847.6</v>
      </c>
      <c r="AQ114" s="9">
        <v>845.8</v>
      </c>
      <c r="AR114" s="9">
        <v>701.8</v>
      </c>
      <c r="AS114" s="9">
        <v>935.1</v>
      </c>
      <c r="AT114" s="9">
        <v>739.2</v>
      </c>
      <c r="AU114" s="9">
        <v>825</v>
      </c>
      <c r="AV114" s="9">
        <v>750.9</v>
      </c>
      <c r="AW114" s="9">
        <v>749</v>
      </c>
      <c r="AX114" s="9">
        <v>745</v>
      </c>
      <c r="AY114" s="9">
        <v>748.3</v>
      </c>
      <c r="AZ114" s="9">
        <v>755</v>
      </c>
      <c r="BA114" s="9">
        <v>742</v>
      </c>
      <c r="BB114" s="9">
        <v>739</v>
      </c>
      <c r="BC114" s="9">
        <v>733.6</v>
      </c>
      <c r="BD114" s="9">
        <v>769.6</v>
      </c>
      <c r="BE114" s="9">
        <v>768</v>
      </c>
      <c r="BF114" s="9">
        <v>801</v>
      </c>
      <c r="BG114" s="9">
        <v>736.4</v>
      </c>
      <c r="BH114" s="9">
        <v>767</v>
      </c>
      <c r="BI114" s="9">
        <v>762.3</v>
      </c>
      <c r="BJ114" s="9">
        <v>735</v>
      </c>
      <c r="BK114" s="9">
        <v>739</v>
      </c>
      <c r="BL114" s="9">
        <v>839.1</v>
      </c>
      <c r="BM114" s="9">
        <v>825</v>
      </c>
      <c r="BN114" s="9">
        <v>801</v>
      </c>
      <c r="BO114" s="9">
        <v>838.9</v>
      </c>
      <c r="BP114" s="9">
        <v>851</v>
      </c>
      <c r="BQ114" s="9">
        <v>774</v>
      </c>
      <c r="BR114" s="9">
        <v>852</v>
      </c>
      <c r="BS114" s="9">
        <v>858.4</v>
      </c>
      <c r="BT114" s="9">
        <v>739.8</v>
      </c>
      <c r="BU114" s="9">
        <v>843.8</v>
      </c>
      <c r="BV114" s="9">
        <v>744</v>
      </c>
      <c r="BW114" s="9">
        <v>678.9</v>
      </c>
      <c r="BX114" s="9">
        <v>823.7</v>
      </c>
      <c r="BY114" s="9">
        <v>821</v>
      </c>
      <c r="BZ114" s="9">
        <v>825.2</v>
      </c>
      <c r="CA114" s="9">
        <v>806.6</v>
      </c>
      <c r="CB114" s="9">
        <v>764.7</v>
      </c>
      <c r="CC114" s="9">
        <v>765.6</v>
      </c>
      <c r="CD114" s="9">
        <v>767.5</v>
      </c>
      <c r="CE114" s="9">
        <v>764.4</v>
      </c>
      <c r="CF114" s="9">
        <v>755.2</v>
      </c>
      <c r="CG114" s="9">
        <v>759.4</v>
      </c>
      <c r="CH114" s="9">
        <v>852</v>
      </c>
      <c r="CI114" s="9">
        <v>864.9</v>
      </c>
      <c r="CJ114" s="9">
        <v>860</v>
      </c>
      <c r="CK114" s="9">
        <v>765</v>
      </c>
      <c r="CL114" s="9">
        <v>770.2</v>
      </c>
      <c r="CM114" s="9">
        <v>840.7</v>
      </c>
      <c r="CN114" s="9">
        <v>768</v>
      </c>
      <c r="CO114" s="9">
        <v>765</v>
      </c>
      <c r="CP114" s="9">
        <v>771.4</v>
      </c>
      <c r="CQ114" s="9">
        <v>772.7</v>
      </c>
      <c r="CR114" s="9">
        <v>754</v>
      </c>
      <c r="CS114" s="9">
        <v>765</v>
      </c>
      <c r="CT114" s="9">
        <v>754.6</v>
      </c>
      <c r="CU114" s="9">
        <v>751.5</v>
      </c>
      <c r="CV114" s="9">
        <v>763.5</v>
      </c>
      <c r="CW114" s="9">
        <v>757.7</v>
      </c>
      <c r="CX114" s="9">
        <v>775.4</v>
      </c>
      <c r="CY114" s="9">
        <v>821.7</v>
      </c>
      <c r="CZ114" s="9">
        <v>762.2</v>
      </c>
      <c r="DA114" s="9">
        <v>747.5</v>
      </c>
      <c r="DB114" s="9">
        <v>842.7</v>
      </c>
      <c r="DC114" s="9">
        <v>754.3</v>
      </c>
      <c r="DD114" s="9">
        <v>764.6</v>
      </c>
      <c r="DE114" s="9">
        <v>763.1</v>
      </c>
      <c r="DF114" s="9">
        <v>745.4</v>
      </c>
      <c r="DG114" s="9">
        <v>753.2</v>
      </c>
      <c r="DH114" s="9">
        <v>762.9</v>
      </c>
      <c r="DI114" s="9">
        <v>761.6</v>
      </c>
      <c r="DJ114" s="9">
        <v>759.8</v>
      </c>
      <c r="DK114" s="9">
        <v>765</v>
      </c>
      <c r="DL114" s="9">
        <v>840.2</v>
      </c>
      <c r="DM114" s="9">
        <v>737.6</v>
      </c>
      <c r="DN114" s="9">
        <v>829.8</v>
      </c>
      <c r="DO114" s="9">
        <v>823.6</v>
      </c>
      <c r="DP114" s="9">
        <v>755.4</v>
      </c>
      <c r="DQ114" s="9">
        <v>846.6</v>
      </c>
      <c r="DR114" s="9">
        <v>812</v>
      </c>
      <c r="DS114" s="9">
        <v>817</v>
      </c>
      <c r="DT114" s="9">
        <v>857</v>
      </c>
      <c r="DU114" s="9">
        <v>844</v>
      </c>
      <c r="DV114" s="9">
        <v>751.8</v>
      </c>
      <c r="DW114" s="9">
        <v>751.1</v>
      </c>
      <c r="DX114" s="9">
        <v>826.8</v>
      </c>
      <c r="DY114" s="9">
        <v>849.6</v>
      </c>
      <c r="DZ114" s="9">
        <v>838.7</v>
      </c>
      <c r="EA114" s="9">
        <v>751.1</v>
      </c>
      <c r="EB114" s="9">
        <v>733.8</v>
      </c>
      <c r="EC114" s="9">
        <v>829.7</v>
      </c>
      <c r="ED114" s="9">
        <v>829.6</v>
      </c>
      <c r="EE114" s="9">
        <v>737.5</v>
      </c>
      <c r="EF114" s="9">
        <v>732.7</v>
      </c>
      <c r="EG114" s="9">
        <v>849.7</v>
      </c>
      <c r="EH114" s="9">
        <v>741.6</v>
      </c>
      <c r="EI114" s="9">
        <v>747.7</v>
      </c>
      <c r="EJ114" s="9">
        <v>835.3</v>
      </c>
      <c r="EK114" s="9">
        <v>826.3</v>
      </c>
      <c r="EL114" s="9">
        <v>796.5</v>
      </c>
      <c r="EM114" s="9">
        <v>816.2</v>
      </c>
      <c r="EN114" s="9">
        <v>829.2</v>
      </c>
      <c r="EO114" s="9">
        <v>677.7</v>
      </c>
      <c r="EP114" s="9">
        <v>795.5</v>
      </c>
      <c r="EQ114" s="9">
        <v>787.6</v>
      </c>
      <c r="ER114" s="9">
        <v>789</v>
      </c>
      <c r="ES114" s="9">
        <v>804</v>
      </c>
      <c r="ET114" s="9">
        <v>791</v>
      </c>
      <c r="EU114" s="9">
        <v>751.2</v>
      </c>
      <c r="EV114" s="9">
        <v>816.3</v>
      </c>
      <c r="EW114" s="9">
        <v>800.8</v>
      </c>
      <c r="EX114" s="9">
        <v>756.4</v>
      </c>
      <c r="EY114" s="9">
        <v>802.3</v>
      </c>
      <c r="EZ114" s="9">
        <v>733</v>
      </c>
      <c r="FA114" s="9">
        <v>817</v>
      </c>
      <c r="FB114" s="9">
        <v>761.3</v>
      </c>
      <c r="FC114" s="9">
        <v>681</v>
      </c>
      <c r="FD114" s="9">
        <v>820</v>
      </c>
      <c r="FE114" s="9">
        <v>801</v>
      </c>
      <c r="FF114" s="9">
        <v>796</v>
      </c>
      <c r="FG114" s="9">
        <v>746.1</v>
      </c>
      <c r="FH114" s="9">
        <v>824.3</v>
      </c>
      <c r="FI114" s="9">
        <v>756.1</v>
      </c>
      <c r="FJ114" s="9">
        <v>766.7</v>
      </c>
      <c r="FK114" s="9">
        <v>758.4</v>
      </c>
      <c r="FL114" s="9">
        <v>754.4</v>
      </c>
      <c r="FM114" s="9">
        <v>758.7</v>
      </c>
      <c r="FN114" s="9">
        <v>747.6</v>
      </c>
      <c r="FO114" s="9">
        <v>736.7</v>
      </c>
      <c r="FP114" s="9">
        <v>816.8</v>
      </c>
      <c r="FQ114" s="9">
        <v>747</v>
      </c>
      <c r="FR114" s="9">
        <v>819.6</v>
      </c>
      <c r="FS114" s="9">
        <v>817.3</v>
      </c>
      <c r="FT114" s="9">
        <v>854.9</v>
      </c>
      <c r="FU114" s="9">
        <v>772.1</v>
      </c>
      <c r="FV114" s="9">
        <v>749.9</v>
      </c>
      <c r="FW114" s="9">
        <v>821.6</v>
      </c>
      <c r="FX114" s="9">
        <v>729.7</v>
      </c>
      <c r="FY114" s="9">
        <v>758</v>
      </c>
      <c r="FZ114" s="9">
        <v>770.8</v>
      </c>
      <c r="GA114" s="9">
        <v>774.3</v>
      </c>
      <c r="GB114" s="9">
        <v>822</v>
      </c>
      <c r="GC114" s="9">
        <v>757</v>
      </c>
      <c r="GD114" s="9">
        <v>835.2</v>
      </c>
      <c r="GE114" s="9">
        <v>747</v>
      </c>
      <c r="GF114" s="9">
        <v>738.7</v>
      </c>
      <c r="GG114" s="9">
        <v>745</v>
      </c>
      <c r="GH114" s="9">
        <v>833</v>
      </c>
      <c r="GI114" s="9">
        <v>751</v>
      </c>
      <c r="GJ114" s="9">
        <v>789.5</v>
      </c>
      <c r="GK114" s="9">
        <v>836.6</v>
      </c>
      <c r="GL114" s="9">
        <v>827</v>
      </c>
      <c r="GM114" s="9">
        <v>792.7</v>
      </c>
      <c r="GN114" s="9">
        <v>790.7</v>
      </c>
      <c r="GO114" s="9">
        <v>823</v>
      </c>
      <c r="GP114" s="9">
        <v>757.6</v>
      </c>
      <c r="GQ114" s="9">
        <v>769</v>
      </c>
      <c r="GR114" s="9">
        <v>753</v>
      </c>
      <c r="GS114" s="9">
        <v>814</v>
      </c>
      <c r="GT114" s="9">
        <v>751.7</v>
      </c>
      <c r="GU114" s="9">
        <v>744.7</v>
      </c>
      <c r="GV114" s="9">
        <v>758.8</v>
      </c>
      <c r="GW114" s="9">
        <v>756.5</v>
      </c>
      <c r="GX114" s="9">
        <v>769.1</v>
      </c>
      <c r="GY114" s="9">
        <v>745</v>
      </c>
      <c r="GZ114" s="9">
        <v>621</v>
      </c>
      <c r="HA114" s="9">
        <v>779.1</v>
      </c>
      <c r="HB114" s="9"/>
      <c r="HC114" s="9"/>
      <c r="HD114" s="9">
        <v>667.8</v>
      </c>
      <c r="HE114" s="9">
        <v>535</v>
      </c>
      <c r="HF114" s="9">
        <v>749</v>
      </c>
      <c r="HG114" s="9"/>
      <c r="HH114" s="9">
        <v>812</v>
      </c>
      <c r="HI114" s="9">
        <v>747</v>
      </c>
      <c r="HJ114" s="9">
        <v>770.4</v>
      </c>
      <c r="HK114" s="9">
        <v>744</v>
      </c>
      <c r="HL114" s="9">
        <v>741</v>
      </c>
      <c r="HM114" s="9">
        <v>754.8</v>
      </c>
      <c r="HN114" s="9">
        <v>733.4</v>
      </c>
      <c r="HO114" s="9">
        <v>756.7</v>
      </c>
      <c r="HP114" s="9">
        <v>738.8</v>
      </c>
      <c r="HQ114" s="9">
        <v>755</v>
      </c>
      <c r="HR114" s="9">
        <v>743</v>
      </c>
      <c r="HS114" s="9">
        <v>776.6</v>
      </c>
      <c r="HT114" s="9">
        <v>827</v>
      </c>
      <c r="HU114" s="9">
        <v>864.4</v>
      </c>
      <c r="HV114" s="9">
        <v>648.79999999999995</v>
      </c>
      <c r="HW114" s="9">
        <v>656</v>
      </c>
      <c r="HX114" s="9">
        <v>564.1</v>
      </c>
      <c r="HY114" s="9">
        <v>484.8</v>
      </c>
      <c r="HZ114" s="9">
        <v>581.20000000000005</v>
      </c>
      <c r="IA114" s="9">
        <v>664.2</v>
      </c>
      <c r="IB114" s="9">
        <v>793.9</v>
      </c>
      <c r="IC114" s="9">
        <v>844.9</v>
      </c>
      <c r="ID114" s="9">
        <v>816.7</v>
      </c>
      <c r="IE114" s="9">
        <v>801.1</v>
      </c>
      <c r="IF114" s="9">
        <v>801.1</v>
      </c>
      <c r="IG114" s="9">
        <v>823</v>
      </c>
      <c r="IH114" s="9">
        <v>843.7</v>
      </c>
      <c r="II114" s="9">
        <v>828.8</v>
      </c>
      <c r="IJ114" s="9">
        <v>733.3</v>
      </c>
      <c r="IK114" s="9">
        <v>768.8</v>
      </c>
      <c r="IL114" s="9">
        <v>723.4</v>
      </c>
      <c r="IM114" s="9">
        <v>754.4</v>
      </c>
      <c r="IN114" s="9">
        <v>709</v>
      </c>
      <c r="IO114" s="9"/>
      <c r="IP114" s="9">
        <v>995.6</v>
      </c>
      <c r="IQ114" s="9">
        <v>810.1</v>
      </c>
      <c r="IR114" s="9">
        <v>281</v>
      </c>
      <c r="IS114" s="9">
        <v>742.2</v>
      </c>
      <c r="IT114" s="9">
        <v>714.1</v>
      </c>
      <c r="IU114" s="9"/>
      <c r="IV114" s="9"/>
      <c r="IW114" s="9">
        <v>688.1</v>
      </c>
      <c r="IX114" s="9">
        <v>729</v>
      </c>
      <c r="IY114" s="9">
        <v>682.2</v>
      </c>
      <c r="IZ114" s="9">
        <v>721.1</v>
      </c>
      <c r="JA114" s="9">
        <v>674.1</v>
      </c>
      <c r="JB114" s="11">
        <v>29.54</v>
      </c>
      <c r="JC114" s="11">
        <v>38.29</v>
      </c>
      <c r="JD114" s="11">
        <v>0.78</v>
      </c>
      <c r="JE114" s="11">
        <v>4.9000000000000004</v>
      </c>
      <c r="JF114" s="11"/>
      <c r="JG114" s="11">
        <v>3.67</v>
      </c>
      <c r="JH114" s="13">
        <v>3.55</v>
      </c>
      <c r="JI114" s="12"/>
      <c r="JJ114" s="277"/>
      <c r="JK114" s="9">
        <v>89059212.706</v>
      </c>
      <c r="JL114" s="215">
        <v>283716.64</v>
      </c>
      <c r="JM114" s="9">
        <v>61938214.608000003</v>
      </c>
      <c r="JN114" s="215">
        <v>63530.36</v>
      </c>
      <c r="JO114" s="9">
        <v>89734693.703999996</v>
      </c>
      <c r="JP114" s="215">
        <v>189398.948</v>
      </c>
      <c r="JQ114" s="9">
        <v>65350923.465000004</v>
      </c>
      <c r="JR114" s="215">
        <v>58956.76</v>
      </c>
      <c r="JS114" s="11">
        <v>337179476.796</v>
      </c>
      <c r="JT114" s="223">
        <v>91987.34</v>
      </c>
      <c r="JU114" s="283">
        <f t="shared" ref="JU114" si="707">IF((JK114-JK113)&lt;0,"",(JK114-JK113))</f>
        <v>49838.03900000453</v>
      </c>
      <c r="JV114" s="283">
        <f t="shared" ref="JV114" si="708">IF((JL114-JL113)&lt;0,"",(JL114-JL113))</f>
        <v>8.9409999999916181</v>
      </c>
      <c r="JW114" s="283">
        <f t="shared" ref="JW114" si="709">IF((JM114-JM113)&lt;0,"",(JM114-JM113))</f>
        <v>48593.47500000149</v>
      </c>
      <c r="JX114" s="283">
        <f t="shared" ref="JX114" si="710">IF((JN114-JN113)&lt;0,"",(JN114-JN113))</f>
        <v>12.883999999998196</v>
      </c>
      <c r="JY114" s="284">
        <f t="shared" ref="JY114" si="711">IF((JO114-JO113)&lt;0,"",(JO114-JO113))</f>
        <v>49042.218999996781</v>
      </c>
      <c r="JZ114" s="284">
        <f t="shared" ref="JZ114" si="712">IF((JP114-JP113)&lt;0,"",(JP114-JP113))</f>
        <v>23.269999999989523</v>
      </c>
      <c r="KA114" s="284">
        <f t="shared" ref="KA114" si="713">IF((JQ114-JQ113)&lt;0,"",(JQ114-JQ113))</f>
        <v>38981.558000005782</v>
      </c>
      <c r="KB114" s="284">
        <f t="shared" ref="KB114" si="714">IF((JR114-JR113)&lt;0,"",(JR114-JR113))</f>
        <v>28.544000000001688</v>
      </c>
      <c r="KC114" s="283">
        <f t="shared" ref="KC114" si="715">IF((JS114-JS113)&lt;0,"",(JS114-JS113))</f>
        <v>186308.15399998426</v>
      </c>
      <c r="KD114" s="283">
        <f t="shared" ref="KD114" si="716">IF((JT114-JT113)&lt;0,"",(JT114-JT113))</f>
        <v>95.680999999996857</v>
      </c>
      <c r="KE114" s="291">
        <f t="shared" si="555"/>
        <v>98409.689000006038</v>
      </c>
      <c r="KF114" s="291">
        <f t="shared" si="556"/>
        <v>186212.47299998428</v>
      </c>
      <c r="KG114" s="292">
        <f>(RD[[#This Row],[Sunset Time (POA&lt;20 W/m2)]]-RD[[#This Row],[Sunrise Time (POA&gt;20 W/m2)]])*24</f>
        <v>13.016666666666669</v>
      </c>
      <c r="KH114" s="293">
        <f>RD[[#This Row],[GHI ]]</f>
        <v>3.67</v>
      </c>
      <c r="KI114" s="293">
        <f>RD[[#This Row],[POA]]</f>
        <v>3.55</v>
      </c>
      <c r="KJ114" s="293">
        <f>RD[[#This Row],[AT (°C) 14 Hours]]</f>
        <v>29.54</v>
      </c>
      <c r="KK114" s="293">
        <f>RD[[#This Row],[MT (°C) Gen. Hours]]</f>
        <v>38.29</v>
      </c>
      <c r="KL114" s="293">
        <f>RD[[#This Row],[WS_Avg (m/s) (24 Hours)]]</f>
        <v>0.78</v>
      </c>
      <c r="KM114" s="293">
        <f>RD[[#This Row],[WS_Max (m/s)]]</f>
        <v>4.9000000000000004</v>
      </c>
      <c r="KN114" s="294">
        <f>SUM(RD[[#This Row],[BLK1_INV1]:[BLK8_INV27]])</f>
        <v>187729.2000000001</v>
      </c>
      <c r="KO114" s="95"/>
      <c r="KP114" s="55"/>
      <c r="KQ114" s="90" t="str">
        <f>IFERROR(RD[[#This Row],[WPR_Eac]]/RD[[#This Row],[WPR_Edc]],"")</f>
        <v/>
      </c>
    </row>
    <row r="115" spans="2:303" ht="15" customHeight="1" x14ac:dyDescent="0.25">
      <c r="B115" s="52">
        <v>45856</v>
      </c>
      <c r="C115" s="9">
        <f>YEAR(RD[[#This Row],[Date]])+IF(MONTH(RD[[#This Row],[Date]])&gt;=4,1,0)</f>
        <v>2026</v>
      </c>
      <c r="D115" s="6">
        <f t="shared" si="544"/>
        <v>2025</v>
      </c>
      <c r="E115" s="7"/>
      <c r="F115" s="7"/>
      <c r="G115" s="367" t="str">
        <f>TEXT(RD[[#This Row],[Date]],"mmm-yy")</f>
        <v>Jul-25</v>
      </c>
      <c r="H115" s="6">
        <f t="shared" si="545"/>
        <v>31</v>
      </c>
      <c r="I115" s="9">
        <f>'Basic Data '!$S$2</f>
        <v>66750</v>
      </c>
      <c r="J115" s="10">
        <v>0.23124999999999998</v>
      </c>
      <c r="K115" s="10">
        <v>0.76736111111111116</v>
      </c>
      <c r="L115" s="9">
        <v>335</v>
      </c>
      <c r="M115" s="9">
        <v>341</v>
      </c>
      <c r="N115" s="9">
        <v>314.60000000000002</v>
      </c>
      <c r="O115" s="9">
        <v>311</v>
      </c>
      <c r="P115" s="9">
        <v>339</v>
      </c>
      <c r="Q115" s="9">
        <v>309</v>
      </c>
      <c r="R115" s="9">
        <v>311.8</v>
      </c>
      <c r="S115" s="9">
        <v>314</v>
      </c>
      <c r="T115" s="9">
        <v>324</v>
      </c>
      <c r="U115" s="9">
        <v>324</v>
      </c>
      <c r="V115" s="9">
        <v>318</v>
      </c>
      <c r="W115" s="9">
        <v>308.10000000000002</v>
      </c>
      <c r="X115" s="9">
        <v>306</v>
      </c>
      <c r="Y115" s="9">
        <v>287</v>
      </c>
      <c r="Z115" s="9">
        <v>306</v>
      </c>
      <c r="AA115" s="9">
        <v>311.5</v>
      </c>
      <c r="AB115" s="9">
        <v>306</v>
      </c>
      <c r="AC115" s="9">
        <v>316.7</v>
      </c>
      <c r="AD115" s="9">
        <v>331</v>
      </c>
      <c r="AE115" s="9">
        <v>335</v>
      </c>
      <c r="AF115" s="9">
        <v>309</v>
      </c>
      <c r="AG115" s="9">
        <v>315.5</v>
      </c>
      <c r="AH115" s="9">
        <v>336.1</v>
      </c>
      <c r="AI115" s="9">
        <v>355</v>
      </c>
      <c r="AJ115" s="9">
        <v>338</v>
      </c>
      <c r="AK115" s="9">
        <v>332.6</v>
      </c>
      <c r="AL115" s="9">
        <v>342.7</v>
      </c>
      <c r="AM115" s="9">
        <v>343.6</v>
      </c>
      <c r="AN115" s="9">
        <v>352.8</v>
      </c>
      <c r="AO115" s="9">
        <v>349.8</v>
      </c>
      <c r="AP115" s="9">
        <v>352.5</v>
      </c>
      <c r="AQ115" s="9">
        <v>357.1</v>
      </c>
      <c r="AR115" s="9">
        <v>297.60000000000002</v>
      </c>
      <c r="AS115" s="9">
        <v>389.7</v>
      </c>
      <c r="AT115" s="9">
        <v>308.39999999999998</v>
      </c>
      <c r="AU115" s="9">
        <v>348.1</v>
      </c>
      <c r="AV115" s="9">
        <v>307.7</v>
      </c>
      <c r="AW115" s="9">
        <v>311.2</v>
      </c>
      <c r="AX115" s="9">
        <v>313.2</v>
      </c>
      <c r="AY115" s="9">
        <v>312.89999999999998</v>
      </c>
      <c r="AZ115" s="9">
        <v>307.8</v>
      </c>
      <c r="BA115" s="9">
        <v>315.2</v>
      </c>
      <c r="BB115" s="9">
        <v>308.3</v>
      </c>
      <c r="BC115" s="9">
        <v>310.8</v>
      </c>
      <c r="BD115" s="9">
        <v>311.2</v>
      </c>
      <c r="BE115" s="9">
        <v>306.7</v>
      </c>
      <c r="BF115" s="9">
        <v>335.6</v>
      </c>
      <c r="BG115" s="9">
        <v>309.5</v>
      </c>
      <c r="BH115" s="9">
        <v>321</v>
      </c>
      <c r="BI115" s="9">
        <v>329</v>
      </c>
      <c r="BJ115" s="9">
        <v>317.5</v>
      </c>
      <c r="BK115" s="9">
        <v>310.7</v>
      </c>
      <c r="BL115" s="9">
        <v>351</v>
      </c>
      <c r="BM115" s="9">
        <v>352.8</v>
      </c>
      <c r="BN115" s="9">
        <v>339</v>
      </c>
      <c r="BO115" s="9">
        <v>350.2</v>
      </c>
      <c r="BP115" s="9">
        <v>347.7</v>
      </c>
      <c r="BQ115" s="9">
        <v>310.2</v>
      </c>
      <c r="BR115" s="9">
        <v>353.4</v>
      </c>
      <c r="BS115" s="9">
        <v>357.8</v>
      </c>
      <c r="BT115" s="9">
        <v>317.10000000000002</v>
      </c>
      <c r="BU115" s="9">
        <v>347.6</v>
      </c>
      <c r="BV115" s="9">
        <v>311.2</v>
      </c>
      <c r="BW115" s="9">
        <v>273.10000000000002</v>
      </c>
      <c r="BX115" s="9">
        <v>347.8</v>
      </c>
      <c r="BY115" s="9">
        <v>346.1</v>
      </c>
      <c r="BZ115" s="9">
        <v>348.6</v>
      </c>
      <c r="CA115" s="9">
        <v>340.3</v>
      </c>
      <c r="CB115" s="9">
        <v>317.3</v>
      </c>
      <c r="CC115" s="9">
        <v>316.8</v>
      </c>
      <c r="CD115" s="9">
        <v>320.8</v>
      </c>
      <c r="CE115" s="9">
        <v>317.60000000000002</v>
      </c>
      <c r="CF115" s="9">
        <v>327.8</v>
      </c>
      <c r="CG115" s="9">
        <v>320</v>
      </c>
      <c r="CH115" s="9">
        <v>367.3</v>
      </c>
      <c r="CI115" s="9">
        <v>362.3</v>
      </c>
      <c r="CJ115" s="9">
        <v>367.2</v>
      </c>
      <c r="CK115" s="9">
        <v>322.3</v>
      </c>
      <c r="CL115" s="9">
        <v>315.60000000000002</v>
      </c>
      <c r="CM115" s="9">
        <v>352.8</v>
      </c>
      <c r="CN115" s="9">
        <v>320.3</v>
      </c>
      <c r="CO115" s="9">
        <v>325.7</v>
      </c>
      <c r="CP115" s="9">
        <v>319.7</v>
      </c>
      <c r="CQ115" s="9">
        <v>320.2</v>
      </c>
      <c r="CR115" s="9">
        <v>312.89999999999998</v>
      </c>
      <c r="CS115" s="9">
        <v>323.39999999999998</v>
      </c>
      <c r="CT115" s="9">
        <v>314.39999999999998</v>
      </c>
      <c r="CU115" s="9">
        <v>315.2</v>
      </c>
      <c r="CV115" s="9">
        <v>319.60000000000002</v>
      </c>
      <c r="CW115" s="9">
        <v>317</v>
      </c>
      <c r="CX115" s="9">
        <v>326.8</v>
      </c>
      <c r="CY115" s="9">
        <v>346.6</v>
      </c>
      <c r="CZ115" s="9">
        <v>325.8</v>
      </c>
      <c r="DA115" s="9">
        <v>322.60000000000002</v>
      </c>
      <c r="DB115" s="9">
        <v>358.7</v>
      </c>
      <c r="DC115" s="9">
        <v>312.8</v>
      </c>
      <c r="DD115" s="9">
        <v>319</v>
      </c>
      <c r="DE115" s="9">
        <v>318.8</v>
      </c>
      <c r="DF115" s="9">
        <v>321.39999999999998</v>
      </c>
      <c r="DG115" s="9">
        <v>313.5</v>
      </c>
      <c r="DH115" s="9">
        <v>318.60000000000002</v>
      </c>
      <c r="DI115" s="9">
        <v>317.7</v>
      </c>
      <c r="DJ115" s="9">
        <v>323</v>
      </c>
      <c r="DK115" s="9">
        <v>315.7</v>
      </c>
      <c r="DL115" s="9">
        <v>348.6</v>
      </c>
      <c r="DM115" s="9">
        <v>312.10000000000002</v>
      </c>
      <c r="DN115" s="9">
        <v>351</v>
      </c>
      <c r="DO115" s="9">
        <v>342.1</v>
      </c>
      <c r="DP115" s="9">
        <v>313</v>
      </c>
      <c r="DQ115" s="9">
        <v>349.2</v>
      </c>
      <c r="DR115" s="9">
        <v>335.3</v>
      </c>
      <c r="DS115" s="9">
        <v>342.2</v>
      </c>
      <c r="DT115" s="9">
        <v>360.2</v>
      </c>
      <c r="DU115" s="9">
        <v>353.7</v>
      </c>
      <c r="DV115" s="9">
        <v>318.3</v>
      </c>
      <c r="DW115" s="9">
        <v>307.3</v>
      </c>
      <c r="DX115" s="9">
        <v>347.1</v>
      </c>
      <c r="DY115" s="9">
        <v>348.1</v>
      </c>
      <c r="DZ115" s="9">
        <v>347.2</v>
      </c>
      <c r="EA115" s="9">
        <v>308.8</v>
      </c>
      <c r="EB115" s="9">
        <v>304.5</v>
      </c>
      <c r="EC115" s="9">
        <v>346.9</v>
      </c>
      <c r="ED115" s="9">
        <v>350.8</v>
      </c>
      <c r="EE115" s="9">
        <v>306.3</v>
      </c>
      <c r="EF115" s="9">
        <v>311</v>
      </c>
      <c r="EG115" s="9">
        <v>350.4</v>
      </c>
      <c r="EH115" s="9">
        <v>305.3</v>
      </c>
      <c r="EI115" s="9">
        <v>308.7</v>
      </c>
      <c r="EJ115" s="9">
        <v>347.6</v>
      </c>
      <c r="EK115" s="9">
        <v>344.3</v>
      </c>
      <c r="EL115" s="9">
        <v>345.6</v>
      </c>
      <c r="EM115" s="9">
        <v>335.8</v>
      </c>
      <c r="EN115" s="9">
        <v>343.2</v>
      </c>
      <c r="EO115" s="9">
        <v>293</v>
      </c>
      <c r="EP115" s="9">
        <v>347.7</v>
      </c>
      <c r="EQ115" s="9">
        <v>330.9</v>
      </c>
      <c r="ER115" s="9">
        <v>329.5</v>
      </c>
      <c r="ES115" s="9">
        <v>346.2</v>
      </c>
      <c r="ET115" s="9">
        <v>337.1</v>
      </c>
      <c r="EU115" s="9">
        <v>318.60000000000002</v>
      </c>
      <c r="EV115" s="9">
        <v>337</v>
      </c>
      <c r="EW115" s="9">
        <v>332.1</v>
      </c>
      <c r="EX115" s="9">
        <v>314.60000000000002</v>
      </c>
      <c r="EY115" s="9">
        <v>347.3</v>
      </c>
      <c r="EZ115" s="9">
        <v>312.10000000000002</v>
      </c>
      <c r="FA115" s="9">
        <v>340.1</v>
      </c>
      <c r="FB115" s="9">
        <v>310.5</v>
      </c>
      <c r="FC115" s="9">
        <v>287.10000000000002</v>
      </c>
      <c r="FD115" s="9">
        <v>336</v>
      </c>
      <c r="FE115" s="9">
        <v>340.1</v>
      </c>
      <c r="FF115" s="9">
        <v>343.8</v>
      </c>
      <c r="FG115" s="9">
        <v>313.10000000000002</v>
      </c>
      <c r="FH115" s="9">
        <v>348.1</v>
      </c>
      <c r="FI115" s="9">
        <v>312.2</v>
      </c>
      <c r="FJ115" s="9">
        <v>310.5</v>
      </c>
      <c r="FK115" s="9">
        <v>306.8</v>
      </c>
      <c r="FL115" s="9">
        <v>309</v>
      </c>
      <c r="FM115" s="9">
        <v>311.2</v>
      </c>
      <c r="FN115" s="9">
        <v>311.10000000000002</v>
      </c>
      <c r="FO115" s="9">
        <v>306.8</v>
      </c>
      <c r="FP115" s="9">
        <v>341.2</v>
      </c>
      <c r="FQ115" s="9">
        <v>312.10000000000002</v>
      </c>
      <c r="FR115" s="9">
        <v>343.5</v>
      </c>
      <c r="FS115" s="9">
        <v>339.5</v>
      </c>
      <c r="FT115" s="9">
        <v>351.6</v>
      </c>
      <c r="FU115" s="9">
        <v>319</v>
      </c>
      <c r="FV115" s="9">
        <v>307.60000000000002</v>
      </c>
      <c r="FW115" s="9">
        <v>339.3</v>
      </c>
      <c r="FX115" s="9">
        <v>302.7</v>
      </c>
      <c r="FY115" s="9">
        <v>314.60000000000002</v>
      </c>
      <c r="FZ115" s="9">
        <v>323</v>
      </c>
      <c r="GA115" s="9">
        <v>327</v>
      </c>
      <c r="GB115" s="9">
        <v>346.6</v>
      </c>
      <c r="GC115" s="9">
        <v>328</v>
      </c>
      <c r="GD115" s="9">
        <v>342.1</v>
      </c>
      <c r="GE115" s="9">
        <v>311.2</v>
      </c>
      <c r="GF115" s="9">
        <v>314.2</v>
      </c>
      <c r="GG115" s="9">
        <v>307.60000000000002</v>
      </c>
      <c r="GH115" s="9">
        <v>351.2</v>
      </c>
      <c r="GI115" s="9">
        <v>308</v>
      </c>
      <c r="GJ115" s="9">
        <v>338</v>
      </c>
      <c r="GK115" s="9">
        <v>345</v>
      </c>
      <c r="GL115" s="9">
        <v>342</v>
      </c>
      <c r="GM115" s="9">
        <v>319.2</v>
      </c>
      <c r="GN115" s="9">
        <v>334</v>
      </c>
      <c r="GO115" s="9">
        <v>346</v>
      </c>
      <c r="GP115" s="9">
        <v>327</v>
      </c>
      <c r="GQ115" s="9">
        <v>321</v>
      </c>
      <c r="GR115" s="9">
        <v>318.89999999999998</v>
      </c>
      <c r="GS115" s="9">
        <v>341.2</v>
      </c>
      <c r="GT115" s="9">
        <v>316.10000000000002</v>
      </c>
      <c r="GU115" s="9">
        <v>305.3</v>
      </c>
      <c r="GV115" s="9">
        <v>314.2</v>
      </c>
      <c r="GW115" s="9">
        <v>319.39999999999998</v>
      </c>
      <c r="GX115" s="9">
        <v>311.10000000000002</v>
      </c>
      <c r="GY115" s="9">
        <v>308</v>
      </c>
      <c r="GZ115" s="9">
        <v>254</v>
      </c>
      <c r="HA115" s="9">
        <v>322</v>
      </c>
      <c r="HB115" s="9"/>
      <c r="HC115" s="9"/>
      <c r="HD115" s="9">
        <v>275</v>
      </c>
      <c r="HE115" s="9">
        <v>221</v>
      </c>
      <c r="HF115" s="9">
        <v>315.8</v>
      </c>
      <c r="HG115" s="9"/>
      <c r="HH115" s="9">
        <v>338.7</v>
      </c>
      <c r="HI115" s="9">
        <v>307.8</v>
      </c>
      <c r="HJ115" s="9">
        <v>320.7</v>
      </c>
      <c r="HK115" s="9">
        <v>306.89999999999998</v>
      </c>
      <c r="HL115" s="9">
        <v>312</v>
      </c>
      <c r="HM115" s="9">
        <v>319</v>
      </c>
      <c r="HN115" s="9">
        <v>321</v>
      </c>
      <c r="HO115" s="9">
        <v>321.39999999999998</v>
      </c>
      <c r="HP115" s="9">
        <v>320</v>
      </c>
      <c r="HQ115" s="9">
        <v>322.39999999999998</v>
      </c>
      <c r="HR115" s="9">
        <v>314</v>
      </c>
      <c r="HS115" s="9">
        <v>321.3</v>
      </c>
      <c r="HT115" s="9">
        <v>349</v>
      </c>
      <c r="HU115" s="9">
        <v>351.6</v>
      </c>
      <c r="HV115" s="9">
        <v>267</v>
      </c>
      <c r="HW115" s="9">
        <v>276.3</v>
      </c>
      <c r="HX115" s="9">
        <v>235.8</v>
      </c>
      <c r="HY115" s="9">
        <v>198.7</v>
      </c>
      <c r="HZ115" s="9">
        <v>245</v>
      </c>
      <c r="IA115" s="9">
        <v>281</v>
      </c>
      <c r="IB115" s="9">
        <v>325</v>
      </c>
      <c r="IC115" s="9">
        <v>345.6</v>
      </c>
      <c r="ID115" s="9">
        <v>335.2</v>
      </c>
      <c r="IE115" s="9">
        <v>335</v>
      </c>
      <c r="IF115" s="9">
        <v>332.3</v>
      </c>
      <c r="IG115" s="9">
        <v>339.9</v>
      </c>
      <c r="IH115" s="9">
        <v>345.9</v>
      </c>
      <c r="II115" s="9">
        <v>353.1</v>
      </c>
      <c r="IJ115" s="9">
        <v>298.60000000000002</v>
      </c>
      <c r="IK115" s="9">
        <v>321</v>
      </c>
      <c r="IL115" s="9">
        <v>301</v>
      </c>
      <c r="IM115" s="9">
        <v>317</v>
      </c>
      <c r="IN115" s="9">
        <v>289</v>
      </c>
      <c r="IO115" s="9"/>
      <c r="IP115" s="9">
        <v>415</v>
      </c>
      <c r="IQ115" s="9">
        <v>339</v>
      </c>
      <c r="IR115" s="9">
        <v>116</v>
      </c>
      <c r="IS115" s="9">
        <v>312</v>
      </c>
      <c r="IT115" s="9">
        <v>307</v>
      </c>
      <c r="IU115" s="9"/>
      <c r="IV115" s="9"/>
      <c r="IW115" s="9">
        <v>288.7</v>
      </c>
      <c r="IX115" s="9">
        <v>301</v>
      </c>
      <c r="IY115" s="9">
        <v>279</v>
      </c>
      <c r="IZ115" s="9">
        <v>302</v>
      </c>
      <c r="JA115" s="9">
        <v>282.2</v>
      </c>
      <c r="JB115" s="11">
        <v>26.7</v>
      </c>
      <c r="JC115" s="11">
        <v>35.9</v>
      </c>
      <c r="JD115" s="11">
        <v>1.21</v>
      </c>
      <c r="JE115" s="11">
        <v>7.8</v>
      </c>
      <c r="JF115" s="11"/>
      <c r="JG115" s="11">
        <v>1.57</v>
      </c>
      <c r="JH115" s="13">
        <v>1.41</v>
      </c>
      <c r="JI115" s="12"/>
      <c r="JJ115" s="277"/>
      <c r="JK115" s="9">
        <v>89080585.050999999</v>
      </c>
      <c r="JL115" s="260">
        <v>283725.58100000001</v>
      </c>
      <c r="JM115" s="9">
        <v>61958966.394000001</v>
      </c>
      <c r="JN115" s="260">
        <v>63543.243999999999</v>
      </c>
      <c r="JO115" s="9">
        <v>89754674.656000003</v>
      </c>
      <c r="JP115" s="260">
        <v>189422.21799999999</v>
      </c>
      <c r="JQ115" s="9">
        <v>65367160.619000003</v>
      </c>
      <c r="JR115" s="260">
        <v>58985.303999999996</v>
      </c>
      <c r="JS115" s="11">
        <v>337257621.94</v>
      </c>
      <c r="JT115" s="289">
        <v>92083.020999999993</v>
      </c>
      <c r="JU115" s="283">
        <f t="shared" ref="JU115" si="717">IF((JK115-JK114)&lt;0,"",(JK115-JK114))</f>
        <v>21372.344999998808</v>
      </c>
      <c r="JV115" s="283">
        <f t="shared" ref="JV115" si="718">IF((JL115-JL114)&lt;0,"",(JL115-JL114))</f>
        <v>8.9409999999916181</v>
      </c>
      <c r="JW115" s="283">
        <f t="shared" ref="JW115" si="719">IF((JM115-JM114)&lt;0,"",(JM115-JM114))</f>
        <v>20751.78599999845</v>
      </c>
      <c r="JX115" s="283">
        <f t="shared" ref="JX115" si="720">IF((JN115-JN114)&lt;0,"",(JN115-JN114))</f>
        <v>12.883999999998196</v>
      </c>
      <c r="JY115" s="284">
        <f t="shared" ref="JY115" si="721">IF((JO115-JO114)&lt;0,"",(JO115-JO114))</f>
        <v>19980.952000007033</v>
      </c>
      <c r="JZ115" s="284">
        <f t="shared" ref="JZ115" si="722">IF((JP115-JP114)&lt;0,"",(JP115-JP114))</f>
        <v>23.269999999989523</v>
      </c>
      <c r="KA115" s="284">
        <f t="shared" ref="KA115" si="723">IF((JQ115-JQ114)&lt;0,"",(JQ115-JQ114))</f>
        <v>16237.153999999166</v>
      </c>
      <c r="KB115" s="284">
        <f t="shared" ref="KB115" si="724">IF((JR115-JR114)&lt;0,"",(JR115-JR114))</f>
        <v>28.543999999994412</v>
      </c>
      <c r="KC115" s="283">
        <f t="shared" ref="KC115" si="725">IF((JS115-JS114)&lt;0,"",(JS115-JS114))</f>
        <v>78145.143999993801</v>
      </c>
      <c r="KD115" s="283">
        <f t="shared" ref="KD115" si="726">IF((JT115-JT114)&lt;0,"",(JT115-JT114))</f>
        <v>95.680999999996857</v>
      </c>
      <c r="KE115" s="291">
        <f t="shared" si="555"/>
        <v>42102.305999997268</v>
      </c>
      <c r="KF115" s="291">
        <f t="shared" si="556"/>
        <v>78049.462999993804</v>
      </c>
      <c r="KG115" s="292">
        <f>(RD[[#This Row],[Sunset Time (POA&lt;20 W/m2)]]-RD[[#This Row],[Sunrise Time (POA&gt;20 W/m2)]])*24</f>
        <v>12.866666666666669</v>
      </c>
      <c r="KH115" s="293">
        <f>RD[[#This Row],[GHI ]]</f>
        <v>1.57</v>
      </c>
      <c r="KI115" s="293">
        <f>RD[[#This Row],[POA]]</f>
        <v>1.41</v>
      </c>
      <c r="KJ115" s="293">
        <f>RD[[#This Row],[AT (°C) 14 Hours]]</f>
        <v>26.7</v>
      </c>
      <c r="KK115" s="293">
        <f>RD[[#This Row],[MT (°C) Gen. Hours]]</f>
        <v>35.9</v>
      </c>
      <c r="KL115" s="293">
        <f>RD[[#This Row],[WS_Avg (m/s) (24 Hours)]]</f>
        <v>1.21</v>
      </c>
      <c r="KM115" s="293">
        <f>RD[[#This Row],[WS_Max (m/s)]]</f>
        <v>7.8</v>
      </c>
      <c r="KN115" s="294">
        <f>SUM(RD[[#This Row],[BLK1_INV1]:[BLK8_INV27]])</f>
        <v>78405.799999999945</v>
      </c>
      <c r="KO115" s="95"/>
      <c r="KP115" s="55"/>
      <c r="KQ115" s="90" t="str">
        <f>IFERROR(RD[[#This Row],[WPR_Eac]]/RD[[#This Row],[WPR_Edc]],"")</f>
        <v/>
      </c>
    </row>
    <row r="116" spans="2:303" ht="15" customHeight="1" x14ac:dyDescent="0.25">
      <c r="B116" s="52">
        <v>45857</v>
      </c>
      <c r="C116" s="9">
        <f>YEAR(RD[[#This Row],[Date]])+IF(MONTH(RD[[#This Row],[Date]])&gt;=4,1,0)</f>
        <v>2026</v>
      </c>
      <c r="D116" s="6">
        <f t="shared" si="544"/>
        <v>2025</v>
      </c>
      <c r="E116" s="7"/>
      <c r="F116" s="7"/>
      <c r="G116" s="367" t="str">
        <f>TEXT(RD[[#This Row],[Date]],"mmm-yy")</f>
        <v>Jul-25</v>
      </c>
      <c r="H116" s="6">
        <f t="shared" si="545"/>
        <v>31</v>
      </c>
      <c r="I116" s="9">
        <f>'Basic Data '!$S$2</f>
        <v>66750</v>
      </c>
      <c r="J116" s="10">
        <v>0.21875</v>
      </c>
      <c r="K116" s="10">
        <v>0.77638888888888891</v>
      </c>
      <c r="L116" s="9">
        <v>1251</v>
      </c>
      <c r="M116" s="9">
        <v>1276</v>
      </c>
      <c r="N116" s="9">
        <v>1180</v>
      </c>
      <c r="O116" s="9">
        <v>1175</v>
      </c>
      <c r="P116" s="9">
        <v>1267</v>
      </c>
      <c r="Q116" s="9">
        <v>1171</v>
      </c>
      <c r="R116" s="9">
        <v>1178</v>
      </c>
      <c r="S116" s="9">
        <v>1182</v>
      </c>
      <c r="T116" s="9">
        <v>1201</v>
      </c>
      <c r="U116" s="9">
        <v>1212</v>
      </c>
      <c r="V116" s="9">
        <v>1182</v>
      </c>
      <c r="W116" s="9">
        <v>1169</v>
      </c>
      <c r="X116" s="9">
        <v>1169</v>
      </c>
      <c r="Y116" s="9">
        <v>1071</v>
      </c>
      <c r="Z116" s="9">
        <v>1174</v>
      </c>
      <c r="AA116" s="9">
        <v>1180</v>
      </c>
      <c r="AB116" s="9">
        <v>1173</v>
      </c>
      <c r="AC116" s="9">
        <v>1184</v>
      </c>
      <c r="AD116" s="9">
        <v>1265</v>
      </c>
      <c r="AE116" s="9">
        <v>1271</v>
      </c>
      <c r="AF116" s="9">
        <v>1165</v>
      </c>
      <c r="AG116" s="9">
        <v>1170.7</v>
      </c>
      <c r="AH116" s="9">
        <v>1275</v>
      </c>
      <c r="AI116" s="9">
        <v>1319.7</v>
      </c>
      <c r="AJ116" s="9">
        <v>1269</v>
      </c>
      <c r="AK116" s="9">
        <v>1262.0999999999999</v>
      </c>
      <c r="AL116" s="9">
        <v>1259</v>
      </c>
      <c r="AM116" s="9">
        <v>1319</v>
      </c>
      <c r="AN116" s="9">
        <v>1311.8</v>
      </c>
      <c r="AO116" s="9">
        <v>1315</v>
      </c>
      <c r="AP116" s="9">
        <v>1300.5999999999999</v>
      </c>
      <c r="AQ116" s="9">
        <v>1320.4</v>
      </c>
      <c r="AR116" s="9">
        <v>1101</v>
      </c>
      <c r="AS116" s="9">
        <v>1451</v>
      </c>
      <c r="AT116" s="9">
        <v>1170.5999999999999</v>
      </c>
      <c r="AU116" s="9">
        <v>1291</v>
      </c>
      <c r="AV116" s="9">
        <v>1155</v>
      </c>
      <c r="AW116" s="9">
        <v>1164</v>
      </c>
      <c r="AX116" s="9">
        <v>1161</v>
      </c>
      <c r="AY116" s="9">
        <v>1156</v>
      </c>
      <c r="AZ116" s="9">
        <v>1159</v>
      </c>
      <c r="BA116" s="9">
        <v>1163</v>
      </c>
      <c r="BB116" s="9">
        <v>1159.8</v>
      </c>
      <c r="BC116" s="9">
        <v>1163</v>
      </c>
      <c r="BD116" s="9">
        <v>1174</v>
      </c>
      <c r="BE116" s="9">
        <v>1169</v>
      </c>
      <c r="BF116" s="9">
        <v>1262.2</v>
      </c>
      <c r="BG116" s="9">
        <v>1159</v>
      </c>
      <c r="BH116" s="9">
        <v>1212</v>
      </c>
      <c r="BI116" s="9">
        <v>1209</v>
      </c>
      <c r="BJ116" s="9">
        <v>1163.5</v>
      </c>
      <c r="BK116" s="9">
        <v>1169</v>
      </c>
      <c r="BL116" s="9">
        <v>1321</v>
      </c>
      <c r="BM116" s="9">
        <v>1316.4</v>
      </c>
      <c r="BN116" s="9">
        <v>1264</v>
      </c>
      <c r="BO116" s="9">
        <v>1318.8</v>
      </c>
      <c r="BP116" s="9">
        <v>1326</v>
      </c>
      <c r="BQ116" s="9">
        <v>1156</v>
      </c>
      <c r="BR116" s="9">
        <v>1314</v>
      </c>
      <c r="BS116" s="9">
        <v>1329.6</v>
      </c>
      <c r="BT116" s="9">
        <v>1172.0999999999999</v>
      </c>
      <c r="BU116" s="9">
        <v>1322</v>
      </c>
      <c r="BV116" s="9">
        <v>1164</v>
      </c>
      <c r="BW116" s="9">
        <v>1051</v>
      </c>
      <c r="BX116" s="9">
        <v>1290</v>
      </c>
      <c r="BY116" s="9">
        <v>1299</v>
      </c>
      <c r="BZ116" s="9">
        <v>1304</v>
      </c>
      <c r="CA116" s="9">
        <v>1310.0999999999999</v>
      </c>
      <c r="CB116" s="9">
        <v>1167</v>
      </c>
      <c r="CC116" s="9">
        <v>1174</v>
      </c>
      <c r="CD116" s="9">
        <v>1169</v>
      </c>
      <c r="CE116" s="9">
        <v>1176</v>
      </c>
      <c r="CF116" s="9">
        <v>1181</v>
      </c>
      <c r="CG116" s="9">
        <v>1077</v>
      </c>
      <c r="CH116" s="9">
        <v>1324</v>
      </c>
      <c r="CI116" s="9">
        <v>1333</v>
      </c>
      <c r="CJ116" s="9">
        <v>1329</v>
      </c>
      <c r="CK116" s="9">
        <v>1190</v>
      </c>
      <c r="CL116" s="9">
        <v>1181</v>
      </c>
      <c r="CM116" s="9">
        <v>1302</v>
      </c>
      <c r="CN116" s="9">
        <v>1190</v>
      </c>
      <c r="CO116" s="9">
        <v>1200</v>
      </c>
      <c r="CP116" s="9">
        <v>1190</v>
      </c>
      <c r="CQ116" s="9">
        <v>1184</v>
      </c>
      <c r="CR116" s="9">
        <v>1181</v>
      </c>
      <c r="CS116" s="9">
        <v>1172</v>
      </c>
      <c r="CT116" s="9">
        <v>1090</v>
      </c>
      <c r="CU116" s="9">
        <v>1174</v>
      </c>
      <c r="CV116" s="9">
        <v>1183</v>
      </c>
      <c r="CW116" s="9">
        <v>1189</v>
      </c>
      <c r="CX116" s="9">
        <v>1227</v>
      </c>
      <c r="CY116" s="9">
        <v>1314</v>
      </c>
      <c r="CZ116" s="9">
        <v>1176</v>
      </c>
      <c r="DA116" s="9">
        <v>1187</v>
      </c>
      <c r="DB116" s="9">
        <v>1335.6</v>
      </c>
      <c r="DC116" s="9">
        <v>1168</v>
      </c>
      <c r="DD116" s="9">
        <v>1171.2</v>
      </c>
      <c r="DE116" s="9">
        <v>1182.5999999999999</v>
      </c>
      <c r="DF116" s="9">
        <v>1164.5999999999999</v>
      </c>
      <c r="DG116" s="9">
        <v>1172.5</v>
      </c>
      <c r="DH116" s="9">
        <v>1185.7</v>
      </c>
      <c r="DI116" s="9">
        <v>1169.7</v>
      </c>
      <c r="DJ116" s="9">
        <v>1166.7</v>
      </c>
      <c r="DK116" s="9">
        <v>1173.5</v>
      </c>
      <c r="DL116" s="9">
        <v>1298.4000000000001</v>
      </c>
      <c r="DM116" s="9">
        <v>1166</v>
      </c>
      <c r="DN116" s="9">
        <v>1301</v>
      </c>
      <c r="DO116" s="9">
        <v>1301</v>
      </c>
      <c r="DP116" s="9">
        <v>1191.7</v>
      </c>
      <c r="DQ116" s="9">
        <v>1330.7</v>
      </c>
      <c r="DR116" s="9">
        <v>1249.5999999999999</v>
      </c>
      <c r="DS116" s="9">
        <v>1278.3</v>
      </c>
      <c r="DT116" s="9">
        <v>1320.3</v>
      </c>
      <c r="DU116" s="9">
        <v>1306.9000000000001</v>
      </c>
      <c r="DV116" s="9">
        <v>1201.5999999999999</v>
      </c>
      <c r="DW116" s="9">
        <v>1194.0999999999999</v>
      </c>
      <c r="DX116" s="9">
        <v>1301</v>
      </c>
      <c r="DY116" s="9">
        <v>1200.3</v>
      </c>
      <c r="DZ116" s="9">
        <v>1292.8</v>
      </c>
      <c r="EA116" s="9">
        <v>1204.2</v>
      </c>
      <c r="EB116" s="9">
        <v>1197.5</v>
      </c>
      <c r="EC116" s="9">
        <v>1298</v>
      </c>
      <c r="ED116" s="9">
        <v>1302</v>
      </c>
      <c r="EE116" s="9">
        <v>1161</v>
      </c>
      <c r="EF116" s="9">
        <v>1161.9000000000001</v>
      </c>
      <c r="EG116" s="9">
        <v>1313.9</v>
      </c>
      <c r="EH116" s="9">
        <v>1167</v>
      </c>
      <c r="EI116" s="9">
        <v>1160</v>
      </c>
      <c r="EJ116" s="9">
        <v>1325.7</v>
      </c>
      <c r="EK116" s="9">
        <v>1309.7</v>
      </c>
      <c r="EL116" s="9">
        <v>1253.7</v>
      </c>
      <c r="EM116" s="9">
        <v>1283.5999999999999</v>
      </c>
      <c r="EN116" s="9">
        <v>1290</v>
      </c>
      <c r="EO116" s="9">
        <v>1101</v>
      </c>
      <c r="EP116" s="9">
        <v>1290</v>
      </c>
      <c r="EQ116" s="9">
        <v>1261.0999999999999</v>
      </c>
      <c r="ER116" s="9">
        <v>1230.4000000000001</v>
      </c>
      <c r="ES116" s="9">
        <v>1280</v>
      </c>
      <c r="ET116" s="9">
        <v>1264</v>
      </c>
      <c r="EU116" s="9">
        <v>1190</v>
      </c>
      <c r="EV116" s="9">
        <v>1278.5999999999999</v>
      </c>
      <c r="EW116" s="9">
        <v>1259</v>
      </c>
      <c r="EX116" s="9">
        <v>1167</v>
      </c>
      <c r="EY116" s="9">
        <v>1291</v>
      </c>
      <c r="EZ116" s="9">
        <v>1156.2</v>
      </c>
      <c r="FA116" s="9">
        <v>1288.3</v>
      </c>
      <c r="FB116" s="9">
        <v>1169</v>
      </c>
      <c r="FC116" s="9">
        <v>1090</v>
      </c>
      <c r="FD116" s="9">
        <v>1285.4000000000001</v>
      </c>
      <c r="FE116" s="9">
        <v>1267</v>
      </c>
      <c r="FF116" s="9">
        <v>1273</v>
      </c>
      <c r="FG116" s="9">
        <v>1190</v>
      </c>
      <c r="FH116" s="9">
        <v>1299.7</v>
      </c>
      <c r="FI116" s="9">
        <v>1169</v>
      </c>
      <c r="FJ116" s="9">
        <v>1174.5999999999999</v>
      </c>
      <c r="FK116" s="9">
        <v>1168</v>
      </c>
      <c r="FL116" s="9">
        <v>1173</v>
      </c>
      <c r="FM116" s="9">
        <v>1169</v>
      </c>
      <c r="FN116" s="9">
        <v>1177</v>
      </c>
      <c r="FO116" s="9">
        <v>1172.2</v>
      </c>
      <c r="FP116" s="9">
        <v>1312.6</v>
      </c>
      <c r="FQ116" s="9">
        <v>1174.5999999999999</v>
      </c>
      <c r="FR116" s="9">
        <v>1277</v>
      </c>
      <c r="FS116" s="9">
        <v>1303.5</v>
      </c>
      <c r="FT116" s="9">
        <v>1323</v>
      </c>
      <c r="FU116" s="9">
        <v>1212</v>
      </c>
      <c r="FV116" s="9">
        <v>1140.7</v>
      </c>
      <c r="FW116" s="9">
        <v>1282</v>
      </c>
      <c r="FX116" s="9">
        <v>1166</v>
      </c>
      <c r="FY116" s="9">
        <v>1183</v>
      </c>
      <c r="FZ116" s="9">
        <v>1209</v>
      </c>
      <c r="GA116" s="9">
        <v>1225</v>
      </c>
      <c r="GB116" s="9">
        <v>1282</v>
      </c>
      <c r="GC116" s="9">
        <v>1191</v>
      </c>
      <c r="GD116" s="9">
        <v>1301</v>
      </c>
      <c r="GE116" s="9">
        <v>1160.7</v>
      </c>
      <c r="GF116" s="9">
        <v>1134</v>
      </c>
      <c r="GG116" s="9">
        <v>1144</v>
      </c>
      <c r="GH116" s="9">
        <v>1267</v>
      </c>
      <c r="GI116" s="9">
        <v>1134</v>
      </c>
      <c r="GJ116" s="9">
        <v>1221</v>
      </c>
      <c r="GK116" s="9">
        <v>1265</v>
      </c>
      <c r="GL116" s="9">
        <v>1269</v>
      </c>
      <c r="GM116" s="9">
        <v>1221.0999999999999</v>
      </c>
      <c r="GN116" s="9">
        <v>1240.7</v>
      </c>
      <c r="GO116" s="9">
        <v>1277</v>
      </c>
      <c r="GP116" s="9">
        <v>1200.7</v>
      </c>
      <c r="GQ116" s="9">
        <v>1189</v>
      </c>
      <c r="GR116" s="9">
        <v>1209.9000000000001</v>
      </c>
      <c r="GS116" s="9">
        <v>1233</v>
      </c>
      <c r="GT116" s="9">
        <v>1156</v>
      </c>
      <c r="GU116" s="9">
        <v>1163.2</v>
      </c>
      <c r="GV116" s="9">
        <v>1159.5</v>
      </c>
      <c r="GW116" s="9">
        <v>1171.2</v>
      </c>
      <c r="GX116" s="9">
        <v>1162.0999999999999</v>
      </c>
      <c r="GY116" s="9">
        <v>1152.9000000000001</v>
      </c>
      <c r="GZ116" s="9">
        <v>970.1</v>
      </c>
      <c r="HA116" s="9">
        <v>1149</v>
      </c>
      <c r="HB116" s="9"/>
      <c r="HC116" s="9"/>
      <c r="HD116" s="9">
        <v>1050</v>
      </c>
      <c r="HE116" s="9">
        <v>841</v>
      </c>
      <c r="HF116" s="9">
        <v>1176</v>
      </c>
      <c r="HG116" s="9"/>
      <c r="HH116" s="9">
        <v>1204</v>
      </c>
      <c r="HI116" s="9">
        <v>1159</v>
      </c>
      <c r="HJ116" s="9">
        <v>1171</v>
      </c>
      <c r="HK116" s="9">
        <v>1176</v>
      </c>
      <c r="HL116" s="9">
        <v>1168</v>
      </c>
      <c r="HM116" s="9">
        <v>1181.2</v>
      </c>
      <c r="HN116" s="9">
        <v>1174</v>
      </c>
      <c r="HO116" s="9">
        <v>1170</v>
      </c>
      <c r="HP116" s="9">
        <v>1181</v>
      </c>
      <c r="HQ116" s="9">
        <v>1161.8</v>
      </c>
      <c r="HR116" s="9">
        <v>1171.0999999999999</v>
      </c>
      <c r="HS116" s="9">
        <v>1180.2</v>
      </c>
      <c r="HT116" s="9">
        <v>1321.1</v>
      </c>
      <c r="HU116" s="9">
        <v>1329</v>
      </c>
      <c r="HV116" s="9">
        <v>1000</v>
      </c>
      <c r="HW116" s="9">
        <v>1021</v>
      </c>
      <c r="HX116" s="9">
        <v>870</v>
      </c>
      <c r="HY116" s="9">
        <v>724</v>
      </c>
      <c r="HZ116" s="9">
        <v>910</v>
      </c>
      <c r="IA116" s="9">
        <v>1032</v>
      </c>
      <c r="IB116" s="9">
        <v>1224</v>
      </c>
      <c r="IC116" s="9">
        <v>1322</v>
      </c>
      <c r="ID116" s="9">
        <v>1267</v>
      </c>
      <c r="IE116" s="9">
        <v>1281</v>
      </c>
      <c r="IF116" s="9">
        <v>1221</v>
      </c>
      <c r="IG116" s="9">
        <v>1265</v>
      </c>
      <c r="IH116" s="9">
        <v>1321</v>
      </c>
      <c r="II116" s="9">
        <v>1321</v>
      </c>
      <c r="IJ116" s="9">
        <v>1107</v>
      </c>
      <c r="IK116" s="9">
        <v>1218</v>
      </c>
      <c r="IL116" s="9">
        <v>1110</v>
      </c>
      <c r="IM116" s="9">
        <v>1176.2</v>
      </c>
      <c r="IN116" s="9">
        <v>1091</v>
      </c>
      <c r="IO116" s="9"/>
      <c r="IP116" s="9">
        <v>1554</v>
      </c>
      <c r="IQ116" s="9">
        <v>1234.7</v>
      </c>
      <c r="IR116" s="9">
        <v>436</v>
      </c>
      <c r="IS116" s="9">
        <v>1173</v>
      </c>
      <c r="IT116" s="9">
        <v>1145.2</v>
      </c>
      <c r="IU116" s="9"/>
      <c r="IV116" s="9"/>
      <c r="IW116" s="9">
        <v>1070</v>
      </c>
      <c r="IX116" s="9">
        <v>1122</v>
      </c>
      <c r="IY116" s="9">
        <v>1034</v>
      </c>
      <c r="IZ116" s="9">
        <v>1101</v>
      </c>
      <c r="JA116" s="9">
        <v>955</v>
      </c>
      <c r="JB116" s="11">
        <v>30.63</v>
      </c>
      <c r="JC116" s="11">
        <v>42.45</v>
      </c>
      <c r="JD116" s="11">
        <v>2.31</v>
      </c>
      <c r="JE116" s="11">
        <v>5.7</v>
      </c>
      <c r="JF116" s="11"/>
      <c r="JG116" s="11"/>
      <c r="JH116" s="13">
        <v>5.81</v>
      </c>
      <c r="JI116" s="12"/>
      <c r="JJ116" s="277"/>
      <c r="JK116" s="9">
        <v>89160578.553000003</v>
      </c>
      <c r="JL116" s="215">
        <v>283734.522</v>
      </c>
      <c r="JM116" s="9">
        <v>62036183.614</v>
      </c>
      <c r="JN116" s="215">
        <v>63556.127999999997</v>
      </c>
      <c r="JO116" s="9">
        <v>89832801.550999999</v>
      </c>
      <c r="JP116" s="215">
        <v>189445.48800000001</v>
      </c>
      <c r="JQ116" s="9">
        <v>65423608.067000002</v>
      </c>
      <c r="JR116" s="215">
        <v>59013.847999999998</v>
      </c>
      <c r="JS116" s="11">
        <v>337549193.171</v>
      </c>
      <c r="JT116" s="223">
        <v>92178.702000000005</v>
      </c>
      <c r="JU116" s="283">
        <f t="shared" ref="JU116" si="727">IF((JK116-JK115)&lt;0,"",(JK116-JK115))</f>
        <v>79993.502000004053</v>
      </c>
      <c r="JV116" s="283">
        <f t="shared" ref="JV116" si="728">IF((JL116-JL115)&lt;0,"",(JL116-JL115))</f>
        <v>8.9409999999916181</v>
      </c>
      <c r="JW116" s="283">
        <f t="shared" ref="JW116" si="729">IF((JM116-JM115)&lt;0,"",(JM116-JM115))</f>
        <v>77217.219999998808</v>
      </c>
      <c r="JX116" s="283">
        <f t="shared" ref="JX116" si="730">IF((JN116-JN115)&lt;0,"",(JN116-JN115))</f>
        <v>12.883999999998196</v>
      </c>
      <c r="JY116" s="284">
        <f t="shared" ref="JY116" si="731">IF((JO116-JO115)&lt;0,"",(JO116-JO115))</f>
        <v>78126.894999995828</v>
      </c>
      <c r="JZ116" s="284">
        <f t="shared" ref="JZ116" si="732">IF((JP116-JP115)&lt;0,"",(JP116-JP115))</f>
        <v>23.270000000018626</v>
      </c>
      <c r="KA116" s="284">
        <f t="shared" ref="KA116" si="733">IF((JQ116-JQ115)&lt;0,"",(JQ116-JQ115))</f>
        <v>56447.447999998927</v>
      </c>
      <c r="KB116" s="284">
        <f t="shared" ref="KB116" si="734">IF((JR116-JR115)&lt;0,"",(JR116-JR115))</f>
        <v>28.544000000001688</v>
      </c>
      <c r="KC116" s="283">
        <f t="shared" ref="KC116" si="735">IF((JS116-JS115)&lt;0,"",(JS116-JS115))</f>
        <v>291571.2310000062</v>
      </c>
      <c r="KD116" s="283">
        <f t="shared" ref="KD116" si="736">IF((JT116-JT115)&lt;0,"",(JT116-JT115))</f>
        <v>95.681000000011409</v>
      </c>
      <c r="KE116" s="291">
        <f t="shared" si="555"/>
        <v>157188.89700000288</v>
      </c>
      <c r="KF116" s="291">
        <f t="shared" si="556"/>
        <v>291475.55000000622</v>
      </c>
      <c r="KG116" s="292">
        <f>(RD[[#This Row],[Sunset Time (POA&lt;20 W/m2)]]-RD[[#This Row],[Sunrise Time (POA&gt;20 W/m2)]])*24</f>
        <v>13.383333333333333</v>
      </c>
      <c r="KH116" s="293">
        <f>RD[[#This Row],[GHI ]]</f>
        <v>0</v>
      </c>
      <c r="KI116" s="293">
        <f>RD[[#This Row],[POA]]</f>
        <v>5.81</v>
      </c>
      <c r="KJ116" s="293">
        <f>RD[[#This Row],[AT (°C) 14 Hours]]</f>
        <v>30.63</v>
      </c>
      <c r="KK116" s="293">
        <f>RD[[#This Row],[MT (°C) Gen. Hours]]</f>
        <v>42.45</v>
      </c>
      <c r="KL116" s="293">
        <f>RD[[#This Row],[WS_Avg (m/s) (24 Hours)]]</f>
        <v>2.31</v>
      </c>
      <c r="KM116" s="293">
        <f>RD[[#This Row],[WS_Max (m/s)]]</f>
        <v>5.7</v>
      </c>
      <c r="KN116" s="294">
        <f>SUM(RD[[#This Row],[BLK1_INV1]:[BLK8_INV27]])</f>
        <v>292631.9000000002</v>
      </c>
      <c r="KO116" s="95"/>
      <c r="KP116" s="55"/>
      <c r="KQ116" s="90" t="str">
        <f>IFERROR(RD[[#This Row],[WPR_Eac]]/RD[[#This Row],[WPR_Edc]],"")</f>
        <v/>
      </c>
    </row>
    <row r="117" spans="2:303" ht="15" customHeight="1" x14ac:dyDescent="0.25">
      <c r="B117" s="52">
        <v>45858</v>
      </c>
      <c r="C117" s="9">
        <f>YEAR(RD[[#This Row],[Date]])+IF(MONTH(RD[[#This Row],[Date]])&gt;=4,1,0)</f>
        <v>2026</v>
      </c>
      <c r="D117" s="6">
        <f t="shared" si="544"/>
        <v>2025</v>
      </c>
      <c r="E117" s="7"/>
      <c r="F117" s="7"/>
      <c r="G117" s="367" t="str">
        <f>TEXT(RD[[#This Row],[Date]],"mmm-yy")</f>
        <v>Jul-25</v>
      </c>
      <c r="H117" s="6">
        <f t="shared" si="545"/>
        <v>31</v>
      </c>
      <c r="I117" s="9">
        <f>'Basic Data '!$S$2</f>
        <v>66750</v>
      </c>
      <c r="J117" s="10">
        <v>0.22569444444444445</v>
      </c>
      <c r="K117" s="10">
        <v>0.77569444444444446</v>
      </c>
      <c r="L117" s="9">
        <v>1421</v>
      </c>
      <c r="M117" s="9">
        <v>1424</v>
      </c>
      <c r="N117" s="9">
        <v>1312</v>
      </c>
      <c r="O117" s="9">
        <v>1320</v>
      </c>
      <c r="P117" s="9">
        <v>1434.2</v>
      </c>
      <c r="Q117" s="9">
        <v>1312</v>
      </c>
      <c r="R117" s="9">
        <v>1323</v>
      </c>
      <c r="S117" s="9">
        <v>1321</v>
      </c>
      <c r="T117" s="9">
        <v>1344.2</v>
      </c>
      <c r="U117" s="9">
        <v>1369</v>
      </c>
      <c r="V117" s="9">
        <v>1312</v>
      </c>
      <c r="W117" s="9">
        <v>1315</v>
      </c>
      <c r="X117" s="9">
        <v>1327</v>
      </c>
      <c r="Y117" s="9">
        <v>1178</v>
      </c>
      <c r="Z117" s="9">
        <v>1282</v>
      </c>
      <c r="AA117" s="9">
        <v>1307</v>
      </c>
      <c r="AB117" s="9">
        <v>1300</v>
      </c>
      <c r="AC117" s="9">
        <v>1321</v>
      </c>
      <c r="AD117" s="9">
        <v>1432.4</v>
      </c>
      <c r="AE117" s="9">
        <v>1432</v>
      </c>
      <c r="AF117" s="9">
        <v>1301</v>
      </c>
      <c r="AG117" s="9">
        <v>1313.4</v>
      </c>
      <c r="AH117" s="9">
        <v>1400</v>
      </c>
      <c r="AI117" s="9">
        <v>1487</v>
      </c>
      <c r="AJ117" s="9">
        <v>1444</v>
      </c>
      <c r="AK117" s="9">
        <v>1432</v>
      </c>
      <c r="AL117" s="9">
        <v>1405.7</v>
      </c>
      <c r="AM117" s="9">
        <v>1486.8</v>
      </c>
      <c r="AN117" s="9">
        <v>1427.5</v>
      </c>
      <c r="AO117" s="9">
        <v>1482.5</v>
      </c>
      <c r="AP117" s="9">
        <v>1467</v>
      </c>
      <c r="AQ117" s="9">
        <v>1474.2</v>
      </c>
      <c r="AR117" s="9">
        <v>1219.0999999999999</v>
      </c>
      <c r="AS117" s="9">
        <v>1633.4</v>
      </c>
      <c r="AT117" s="9">
        <v>1263.4000000000001</v>
      </c>
      <c r="AU117" s="9">
        <v>1421</v>
      </c>
      <c r="AV117" s="9">
        <v>1315.6</v>
      </c>
      <c r="AW117" s="9">
        <v>1275</v>
      </c>
      <c r="AX117" s="9">
        <v>1275</v>
      </c>
      <c r="AY117" s="9">
        <v>1282.7</v>
      </c>
      <c r="AZ117" s="9">
        <v>1272</v>
      </c>
      <c r="BA117" s="9">
        <v>1289</v>
      </c>
      <c r="BB117" s="9">
        <v>1264</v>
      </c>
      <c r="BC117" s="9">
        <v>1285</v>
      </c>
      <c r="BD117" s="9">
        <v>1280</v>
      </c>
      <c r="BE117" s="9">
        <v>1301</v>
      </c>
      <c r="BF117" s="9">
        <v>1378</v>
      </c>
      <c r="BG117" s="9">
        <v>1270</v>
      </c>
      <c r="BH117" s="9">
        <v>1322</v>
      </c>
      <c r="BI117" s="9">
        <v>1320</v>
      </c>
      <c r="BJ117" s="9">
        <v>1269</v>
      </c>
      <c r="BK117" s="9">
        <v>1289.5</v>
      </c>
      <c r="BL117" s="9">
        <v>1424</v>
      </c>
      <c r="BM117" s="9">
        <v>1437.6</v>
      </c>
      <c r="BN117" s="9">
        <v>1381</v>
      </c>
      <c r="BO117" s="9">
        <v>1482</v>
      </c>
      <c r="BP117" s="9">
        <v>1476.7</v>
      </c>
      <c r="BQ117" s="9">
        <v>1304.5</v>
      </c>
      <c r="BR117" s="9">
        <v>1483.5</v>
      </c>
      <c r="BS117" s="9">
        <v>1488.3</v>
      </c>
      <c r="BT117" s="9">
        <v>1304.2</v>
      </c>
      <c r="BU117" s="9">
        <v>1429</v>
      </c>
      <c r="BV117" s="9">
        <v>1274</v>
      </c>
      <c r="BW117" s="9">
        <v>1178</v>
      </c>
      <c r="BX117" s="9">
        <v>1432</v>
      </c>
      <c r="BY117" s="9">
        <v>1440.1</v>
      </c>
      <c r="BZ117" s="9">
        <v>1434</v>
      </c>
      <c r="CA117" s="9">
        <v>1421.7</v>
      </c>
      <c r="CB117" s="9">
        <v>1302</v>
      </c>
      <c r="CC117" s="9">
        <v>1309</v>
      </c>
      <c r="CD117" s="9">
        <v>1301</v>
      </c>
      <c r="CE117" s="9">
        <v>1312</v>
      </c>
      <c r="CF117" s="9">
        <v>1310</v>
      </c>
      <c r="CG117" s="9">
        <v>1322</v>
      </c>
      <c r="CH117" s="9">
        <v>1485.6</v>
      </c>
      <c r="CI117" s="9">
        <v>1479.4</v>
      </c>
      <c r="CJ117" s="9">
        <v>1472</v>
      </c>
      <c r="CK117" s="9">
        <v>1321</v>
      </c>
      <c r="CL117" s="9">
        <v>1319</v>
      </c>
      <c r="CM117" s="9">
        <v>1432</v>
      </c>
      <c r="CN117" s="9">
        <v>1325</v>
      </c>
      <c r="CO117" s="9">
        <v>1321</v>
      </c>
      <c r="CP117" s="9">
        <v>1328</v>
      </c>
      <c r="CQ117" s="9">
        <v>1303</v>
      </c>
      <c r="CR117" s="9">
        <v>1289</v>
      </c>
      <c r="CS117" s="9">
        <v>1297.8</v>
      </c>
      <c r="CT117" s="9">
        <v>1307</v>
      </c>
      <c r="CU117" s="9">
        <v>1311</v>
      </c>
      <c r="CV117" s="9">
        <v>1328</v>
      </c>
      <c r="CW117" s="9">
        <v>1315</v>
      </c>
      <c r="CX117" s="9">
        <v>1368.1</v>
      </c>
      <c r="CY117" s="9">
        <v>1423</v>
      </c>
      <c r="CZ117" s="9">
        <v>1290</v>
      </c>
      <c r="DA117" s="9">
        <v>1310</v>
      </c>
      <c r="DB117" s="9">
        <v>1495.9</v>
      </c>
      <c r="DC117" s="9">
        <v>1310</v>
      </c>
      <c r="DD117" s="9">
        <v>1305</v>
      </c>
      <c r="DE117" s="9">
        <v>1312</v>
      </c>
      <c r="DF117" s="9">
        <v>1303</v>
      </c>
      <c r="DG117" s="9">
        <v>1320.7</v>
      </c>
      <c r="DH117" s="9">
        <v>1300</v>
      </c>
      <c r="DI117" s="9">
        <v>1287</v>
      </c>
      <c r="DJ117" s="9">
        <v>1304</v>
      </c>
      <c r="DK117" s="9">
        <v>1296</v>
      </c>
      <c r="DL117" s="9">
        <v>1421</v>
      </c>
      <c r="DM117" s="9">
        <v>1271</v>
      </c>
      <c r="DN117" s="9">
        <v>1429</v>
      </c>
      <c r="DO117" s="9">
        <v>1411</v>
      </c>
      <c r="DP117" s="9">
        <v>1301.4000000000001</v>
      </c>
      <c r="DQ117" s="9">
        <v>1440.3</v>
      </c>
      <c r="DR117" s="9">
        <v>1371</v>
      </c>
      <c r="DS117" s="9">
        <v>1395.6</v>
      </c>
      <c r="DT117" s="9">
        <v>1428.9</v>
      </c>
      <c r="DU117" s="9">
        <v>1416.7</v>
      </c>
      <c r="DV117" s="9">
        <v>1323.7</v>
      </c>
      <c r="DW117" s="9">
        <v>1300.7</v>
      </c>
      <c r="DX117" s="9">
        <v>1410</v>
      </c>
      <c r="DY117" s="9">
        <v>1423</v>
      </c>
      <c r="DZ117" s="9">
        <v>1434</v>
      </c>
      <c r="EA117" s="9">
        <v>1316.7</v>
      </c>
      <c r="EB117" s="9">
        <v>1319.6</v>
      </c>
      <c r="EC117" s="9">
        <v>1429</v>
      </c>
      <c r="ED117" s="9">
        <v>1439</v>
      </c>
      <c r="EE117" s="9">
        <v>1268</v>
      </c>
      <c r="EF117" s="9">
        <v>1273</v>
      </c>
      <c r="EG117" s="9">
        <v>1424</v>
      </c>
      <c r="EH117" s="9">
        <v>1271</v>
      </c>
      <c r="EI117" s="9">
        <v>1277</v>
      </c>
      <c r="EJ117" s="9">
        <v>1425</v>
      </c>
      <c r="EK117" s="9">
        <v>1434</v>
      </c>
      <c r="EL117" s="9">
        <v>1381</v>
      </c>
      <c r="EM117" s="9">
        <v>1389</v>
      </c>
      <c r="EN117" s="9">
        <v>1378</v>
      </c>
      <c r="EO117" s="9">
        <v>1184</v>
      </c>
      <c r="EP117" s="9">
        <v>1374</v>
      </c>
      <c r="EQ117" s="9">
        <v>1371.2</v>
      </c>
      <c r="ER117" s="9">
        <v>1380.8</v>
      </c>
      <c r="ES117" s="9">
        <v>1366</v>
      </c>
      <c r="ET117" s="9">
        <v>1322.7</v>
      </c>
      <c r="EU117" s="9">
        <v>1288</v>
      </c>
      <c r="EV117" s="9">
        <v>1367</v>
      </c>
      <c r="EW117" s="9">
        <v>1371</v>
      </c>
      <c r="EX117" s="9">
        <v>1281</v>
      </c>
      <c r="EY117" s="9">
        <v>1377</v>
      </c>
      <c r="EZ117" s="9">
        <v>1277</v>
      </c>
      <c r="FA117" s="9">
        <v>1365</v>
      </c>
      <c r="FB117" s="9">
        <v>1271</v>
      </c>
      <c r="FC117" s="9">
        <v>1172</v>
      </c>
      <c r="FD117" s="9">
        <v>1374</v>
      </c>
      <c r="FE117" s="9">
        <v>1380.8</v>
      </c>
      <c r="FF117" s="9">
        <v>1369</v>
      </c>
      <c r="FG117" s="9">
        <v>1278</v>
      </c>
      <c r="FH117" s="9">
        <v>1423</v>
      </c>
      <c r="FI117" s="9">
        <v>1277</v>
      </c>
      <c r="FJ117" s="9">
        <v>1267</v>
      </c>
      <c r="FK117" s="9">
        <v>1264.5</v>
      </c>
      <c r="FL117" s="9">
        <v>1281</v>
      </c>
      <c r="FM117" s="9">
        <v>1270</v>
      </c>
      <c r="FN117" s="9">
        <v>1301</v>
      </c>
      <c r="FO117" s="9">
        <v>1305</v>
      </c>
      <c r="FP117" s="9">
        <v>1420.4</v>
      </c>
      <c r="FQ117" s="9">
        <v>1266.5</v>
      </c>
      <c r="FR117" s="9">
        <v>1418</v>
      </c>
      <c r="FS117" s="9">
        <v>1404.8</v>
      </c>
      <c r="FT117" s="9">
        <v>1475.8</v>
      </c>
      <c r="FU117" s="9">
        <v>1336.9</v>
      </c>
      <c r="FV117" s="9">
        <v>1267</v>
      </c>
      <c r="FW117" s="9">
        <v>1409</v>
      </c>
      <c r="FX117" s="9">
        <v>1290</v>
      </c>
      <c r="FY117" s="9">
        <v>1309</v>
      </c>
      <c r="FZ117" s="9">
        <v>1350.9</v>
      </c>
      <c r="GA117" s="9">
        <v>1352.5</v>
      </c>
      <c r="GB117" s="9">
        <v>1415</v>
      </c>
      <c r="GC117" s="9">
        <v>1321</v>
      </c>
      <c r="GD117" s="9">
        <v>1452.4</v>
      </c>
      <c r="GE117" s="9">
        <v>1273</v>
      </c>
      <c r="GF117" s="9">
        <v>1274</v>
      </c>
      <c r="GG117" s="9">
        <v>1270</v>
      </c>
      <c r="GH117" s="9">
        <v>1429</v>
      </c>
      <c r="GI117" s="9">
        <v>1255</v>
      </c>
      <c r="GJ117" s="9">
        <v>1355</v>
      </c>
      <c r="GK117" s="9">
        <v>1407</v>
      </c>
      <c r="GL117" s="9">
        <v>1424</v>
      </c>
      <c r="GM117" s="9">
        <v>1354</v>
      </c>
      <c r="GN117" s="9">
        <v>1371</v>
      </c>
      <c r="GO117" s="9">
        <v>1412</v>
      </c>
      <c r="GP117" s="9">
        <v>1312.7</v>
      </c>
      <c r="GQ117" s="9">
        <v>1335</v>
      </c>
      <c r="GR117" s="9">
        <v>1311.6</v>
      </c>
      <c r="GS117" s="9">
        <v>1359</v>
      </c>
      <c r="GT117" s="9">
        <v>1282</v>
      </c>
      <c r="GU117" s="9">
        <v>1307.0999999999999</v>
      </c>
      <c r="GV117" s="9">
        <v>1255</v>
      </c>
      <c r="GW117" s="9">
        <v>1298.2</v>
      </c>
      <c r="GX117" s="9">
        <v>1301</v>
      </c>
      <c r="GY117" s="9">
        <v>1248.7</v>
      </c>
      <c r="GZ117" s="9">
        <v>1053.5999999999999</v>
      </c>
      <c r="HA117" s="9">
        <v>1302</v>
      </c>
      <c r="HB117" s="9"/>
      <c r="HC117" s="9"/>
      <c r="HD117" s="9">
        <v>1139</v>
      </c>
      <c r="HE117" s="9">
        <v>924</v>
      </c>
      <c r="HF117" s="9">
        <v>1305.9000000000001</v>
      </c>
      <c r="HG117" s="9"/>
      <c r="HH117" s="9">
        <v>1388.9</v>
      </c>
      <c r="HI117" s="9">
        <v>1297</v>
      </c>
      <c r="HJ117" s="9">
        <v>1301.5999999999999</v>
      </c>
      <c r="HK117" s="9">
        <v>1289.7</v>
      </c>
      <c r="HL117" s="9">
        <v>1288.7</v>
      </c>
      <c r="HM117" s="9">
        <v>1282</v>
      </c>
      <c r="HN117" s="9">
        <v>1289</v>
      </c>
      <c r="HO117" s="9">
        <v>1278</v>
      </c>
      <c r="HP117" s="9">
        <v>1299</v>
      </c>
      <c r="HQ117" s="9">
        <v>1291</v>
      </c>
      <c r="HR117" s="9">
        <v>1273.7</v>
      </c>
      <c r="HS117" s="9">
        <v>1301</v>
      </c>
      <c r="HT117" s="9">
        <v>1433.5</v>
      </c>
      <c r="HU117" s="9">
        <v>1479.6</v>
      </c>
      <c r="HV117" s="9">
        <v>1101</v>
      </c>
      <c r="HW117" s="9">
        <v>1143</v>
      </c>
      <c r="HX117" s="9">
        <v>967</v>
      </c>
      <c r="HY117" s="9">
        <v>801</v>
      </c>
      <c r="HZ117" s="9">
        <v>990.3</v>
      </c>
      <c r="IA117" s="9">
        <v>1163</v>
      </c>
      <c r="IB117" s="9">
        <v>1364</v>
      </c>
      <c r="IC117" s="9">
        <v>1478.6</v>
      </c>
      <c r="ID117" s="9">
        <v>1408</v>
      </c>
      <c r="IE117" s="9">
        <v>1380.1</v>
      </c>
      <c r="IF117" s="9">
        <v>1409.6</v>
      </c>
      <c r="IG117" s="9">
        <v>1417.7</v>
      </c>
      <c r="IH117" s="9">
        <v>1470.1</v>
      </c>
      <c r="II117" s="9">
        <v>1432.4</v>
      </c>
      <c r="IJ117" s="9">
        <v>1247.0999999999999</v>
      </c>
      <c r="IK117" s="9">
        <v>1323.1</v>
      </c>
      <c r="IL117" s="9">
        <v>1255</v>
      </c>
      <c r="IM117" s="9">
        <v>1278</v>
      </c>
      <c r="IN117" s="9">
        <v>1188.9000000000001</v>
      </c>
      <c r="IO117" s="9"/>
      <c r="IP117" s="9">
        <v>1701</v>
      </c>
      <c r="IQ117" s="9">
        <v>1374</v>
      </c>
      <c r="IR117" s="9">
        <v>490</v>
      </c>
      <c r="IS117" s="9">
        <v>1277</v>
      </c>
      <c r="IT117" s="9">
        <v>1254</v>
      </c>
      <c r="IU117" s="9"/>
      <c r="IV117" s="9"/>
      <c r="IW117" s="9">
        <v>1205</v>
      </c>
      <c r="IX117" s="9">
        <v>1270</v>
      </c>
      <c r="IY117" s="9">
        <v>1139</v>
      </c>
      <c r="IZ117" s="9">
        <v>1234</v>
      </c>
      <c r="JA117" s="9">
        <v>1155</v>
      </c>
      <c r="JB117" s="11">
        <v>31.33</v>
      </c>
      <c r="JC117" s="11">
        <v>44.09</v>
      </c>
      <c r="JD117" s="11">
        <v>2.44</v>
      </c>
      <c r="JE117" s="11">
        <v>5.7</v>
      </c>
      <c r="JF117" s="11"/>
      <c r="JG117" s="11"/>
      <c r="JH117" s="13">
        <v>6.19</v>
      </c>
      <c r="JI117" s="12"/>
      <c r="JJ117" s="277"/>
      <c r="JK117" s="9">
        <v>89247304.297000006</v>
      </c>
      <c r="JL117" s="260">
        <v>283743.46299999999</v>
      </c>
      <c r="JM117" s="9">
        <v>62119877.386</v>
      </c>
      <c r="JN117" s="260">
        <v>63569.012000000002</v>
      </c>
      <c r="JO117" s="9">
        <v>89917631.180999994</v>
      </c>
      <c r="JP117" s="260">
        <v>189468.758</v>
      </c>
      <c r="JQ117" s="9">
        <v>65490845.844999999</v>
      </c>
      <c r="JR117" s="260">
        <v>59042.392</v>
      </c>
      <c r="JS117" s="11">
        <v>337871388.134</v>
      </c>
      <c r="JT117" s="289">
        <v>92274.383000000002</v>
      </c>
      <c r="JU117" s="283">
        <f t="shared" ref="JU117" si="737">IF((JK117-JK116)&lt;0,"",(JK117-JK116))</f>
        <v>86725.744000002742</v>
      </c>
      <c r="JV117" s="283">
        <f t="shared" ref="JV117" si="738">IF((JL117-JL116)&lt;0,"",(JL117-JL116))</f>
        <v>8.9409999999916181</v>
      </c>
      <c r="JW117" s="283">
        <f t="shared" ref="JW117" si="739">IF((JM117-JM116)&lt;0,"",(JM117-JM116))</f>
        <v>83693.771999999881</v>
      </c>
      <c r="JX117" s="283">
        <f t="shared" ref="JX117" si="740">IF((JN117-JN116)&lt;0,"",(JN117-JN116))</f>
        <v>12.884000000005472</v>
      </c>
      <c r="JY117" s="284">
        <f t="shared" ref="JY117" si="741">IF((JO117-JO116)&lt;0,"",(JO117-JO116))</f>
        <v>84829.629999995232</v>
      </c>
      <c r="JZ117" s="284">
        <f t="shared" ref="JZ117" si="742">IF((JP117-JP116)&lt;0,"",(JP117-JP116))</f>
        <v>23.269999999989523</v>
      </c>
      <c r="KA117" s="284">
        <f t="shared" ref="KA117" si="743">IF((JQ117-JQ116)&lt;0,"",(JQ117-JQ116))</f>
        <v>67237.777999997139</v>
      </c>
      <c r="KB117" s="284">
        <f t="shared" ref="KB117" si="744">IF((JR117-JR116)&lt;0,"",(JR117-JR116))</f>
        <v>28.544000000001688</v>
      </c>
      <c r="KC117" s="283">
        <f t="shared" ref="KC117" si="745">IF((JS117-JS116)&lt;0,"",(JS117-JS116))</f>
        <v>322194.96299999952</v>
      </c>
      <c r="KD117" s="283">
        <f t="shared" ref="KD117" si="746">IF((JT117-JT116)&lt;0,"",(JT117-JT116))</f>
        <v>95.680999999996857</v>
      </c>
      <c r="KE117" s="291">
        <f t="shared" si="555"/>
        <v>170397.69100000261</v>
      </c>
      <c r="KF117" s="291">
        <f t="shared" si="556"/>
        <v>322099.28199999954</v>
      </c>
      <c r="KG117" s="292">
        <f>(RD[[#This Row],[Sunset Time (POA&lt;20 W/m2)]]-RD[[#This Row],[Sunrise Time (POA&gt;20 W/m2)]])*24</f>
        <v>13.200000000000001</v>
      </c>
      <c r="KH117" s="293">
        <f>RD[[#This Row],[GHI ]]</f>
        <v>0</v>
      </c>
      <c r="KI117" s="293">
        <f>RD[[#This Row],[POA]]</f>
        <v>6.19</v>
      </c>
      <c r="KJ117" s="293">
        <f>RD[[#This Row],[AT (°C) 14 Hours]]</f>
        <v>31.33</v>
      </c>
      <c r="KK117" s="293">
        <f>RD[[#This Row],[MT (°C) Gen. Hours]]</f>
        <v>44.09</v>
      </c>
      <c r="KL117" s="293">
        <f>RD[[#This Row],[WS_Avg (m/s) (24 Hours)]]</f>
        <v>2.44</v>
      </c>
      <c r="KM117" s="293">
        <f>RD[[#This Row],[WS_Max (m/s)]]</f>
        <v>5.7</v>
      </c>
      <c r="KN117" s="294">
        <f>SUM(RD[[#This Row],[BLK1_INV1]:[BLK8_INV27]])</f>
        <v>323299.89999999997</v>
      </c>
      <c r="KO117" s="95"/>
      <c r="KP117" s="55"/>
      <c r="KQ117" s="90" t="str">
        <f>IFERROR(RD[[#This Row],[WPR_Eac]]/RD[[#This Row],[WPR_Edc]],"")</f>
        <v/>
      </c>
    </row>
    <row r="118" spans="2:303" ht="15" customHeight="1" x14ac:dyDescent="0.25">
      <c r="B118" s="52">
        <v>45859</v>
      </c>
      <c r="C118" s="9">
        <f>YEAR(RD[[#This Row],[Date]])+IF(MONTH(RD[[#This Row],[Date]])&gt;=4,1,0)</f>
        <v>2026</v>
      </c>
      <c r="D118" s="6">
        <f t="shared" si="544"/>
        <v>2025</v>
      </c>
      <c r="E118" s="7"/>
      <c r="F118" s="7"/>
      <c r="G118" s="367" t="str">
        <f>TEXT(RD[[#This Row],[Date]],"mmm-yy")</f>
        <v>Jul-25</v>
      </c>
      <c r="H118" s="6">
        <f t="shared" si="545"/>
        <v>31</v>
      </c>
      <c r="I118" s="9">
        <f>'Basic Data '!$S$2</f>
        <v>66750</v>
      </c>
      <c r="J118" s="10">
        <v>0.24305555555555555</v>
      </c>
      <c r="K118" s="10">
        <v>0.77500000000000002</v>
      </c>
      <c r="L118" s="9">
        <v>810</v>
      </c>
      <c r="M118" s="9">
        <v>832</v>
      </c>
      <c r="N118" s="9">
        <v>764</v>
      </c>
      <c r="O118" s="9">
        <v>757</v>
      </c>
      <c r="P118" s="9">
        <v>821</v>
      </c>
      <c r="Q118" s="9">
        <v>750</v>
      </c>
      <c r="R118" s="9">
        <v>764</v>
      </c>
      <c r="S118" s="9">
        <v>771</v>
      </c>
      <c r="T118" s="9">
        <v>787</v>
      </c>
      <c r="U118" s="9">
        <v>790.1</v>
      </c>
      <c r="V118" s="9">
        <v>765</v>
      </c>
      <c r="W118" s="9">
        <v>747</v>
      </c>
      <c r="X118" s="9">
        <v>763</v>
      </c>
      <c r="Y118" s="9">
        <v>690</v>
      </c>
      <c r="Z118" s="9">
        <v>762.6</v>
      </c>
      <c r="AA118" s="9">
        <v>757.9</v>
      </c>
      <c r="AB118" s="9">
        <v>736.6</v>
      </c>
      <c r="AC118" s="9">
        <v>761.2</v>
      </c>
      <c r="AD118" s="9">
        <v>815.2</v>
      </c>
      <c r="AE118" s="9">
        <v>824.9</v>
      </c>
      <c r="AF118" s="9">
        <v>747</v>
      </c>
      <c r="AG118" s="9">
        <v>758</v>
      </c>
      <c r="AH118" s="9">
        <v>809</v>
      </c>
      <c r="AI118" s="9">
        <v>844</v>
      </c>
      <c r="AJ118" s="9">
        <v>816</v>
      </c>
      <c r="AK118" s="9">
        <v>814</v>
      </c>
      <c r="AL118" s="9">
        <v>791</v>
      </c>
      <c r="AM118" s="9">
        <v>854.8</v>
      </c>
      <c r="AN118" s="9">
        <v>818.5</v>
      </c>
      <c r="AO118" s="9">
        <v>855.6</v>
      </c>
      <c r="AP118" s="9">
        <v>819</v>
      </c>
      <c r="AQ118" s="9">
        <v>843</v>
      </c>
      <c r="AR118" s="9">
        <v>701.4</v>
      </c>
      <c r="AS118" s="9">
        <v>933</v>
      </c>
      <c r="AT118" s="9">
        <v>746.4</v>
      </c>
      <c r="AU118" s="9">
        <v>832</v>
      </c>
      <c r="AV118" s="9">
        <v>740.9</v>
      </c>
      <c r="AW118" s="9">
        <v>734</v>
      </c>
      <c r="AX118" s="9">
        <v>730</v>
      </c>
      <c r="AY118" s="9">
        <v>742.2</v>
      </c>
      <c r="AZ118" s="9">
        <v>731</v>
      </c>
      <c r="BA118" s="9">
        <v>752.5</v>
      </c>
      <c r="BB118" s="9">
        <v>739</v>
      </c>
      <c r="BC118" s="9">
        <v>752.2</v>
      </c>
      <c r="BD118" s="9">
        <v>744</v>
      </c>
      <c r="BE118" s="9">
        <v>749</v>
      </c>
      <c r="BF118" s="9">
        <v>798</v>
      </c>
      <c r="BG118" s="9">
        <v>734</v>
      </c>
      <c r="BH118" s="9">
        <v>767</v>
      </c>
      <c r="BI118" s="9">
        <v>771</v>
      </c>
      <c r="BJ118" s="9">
        <v>727</v>
      </c>
      <c r="BK118" s="9">
        <v>729</v>
      </c>
      <c r="BL118" s="9">
        <v>841</v>
      </c>
      <c r="BM118" s="9">
        <v>817.9</v>
      </c>
      <c r="BN118" s="9">
        <v>798</v>
      </c>
      <c r="BO118" s="9">
        <v>849.8</v>
      </c>
      <c r="BP118" s="9">
        <v>849.9</v>
      </c>
      <c r="BQ118" s="9">
        <v>739</v>
      </c>
      <c r="BR118" s="9">
        <v>843</v>
      </c>
      <c r="BS118" s="9">
        <v>839</v>
      </c>
      <c r="BT118" s="9">
        <v>732.9</v>
      </c>
      <c r="BU118" s="9">
        <v>841</v>
      </c>
      <c r="BV118" s="9">
        <v>753</v>
      </c>
      <c r="BW118" s="9">
        <v>690</v>
      </c>
      <c r="BX118" s="9">
        <v>833</v>
      </c>
      <c r="BY118" s="9">
        <v>829.4</v>
      </c>
      <c r="BZ118" s="9">
        <v>837.1</v>
      </c>
      <c r="CA118" s="9">
        <v>819.9</v>
      </c>
      <c r="CB118" s="9">
        <v>765.2</v>
      </c>
      <c r="CC118" s="9">
        <v>762.9</v>
      </c>
      <c r="CD118" s="9">
        <v>765.9</v>
      </c>
      <c r="CE118" s="9">
        <v>764</v>
      </c>
      <c r="CF118" s="9">
        <v>780</v>
      </c>
      <c r="CG118" s="9">
        <v>771.4</v>
      </c>
      <c r="CH118" s="9">
        <v>870.8</v>
      </c>
      <c r="CI118" s="9">
        <v>860.1</v>
      </c>
      <c r="CJ118" s="9">
        <v>871.1</v>
      </c>
      <c r="CK118" s="9">
        <v>767</v>
      </c>
      <c r="CL118" s="9">
        <v>760.8</v>
      </c>
      <c r="CM118" s="9">
        <v>819.9</v>
      </c>
      <c r="CN118" s="9">
        <v>759.8</v>
      </c>
      <c r="CO118" s="9">
        <v>746</v>
      </c>
      <c r="CP118" s="9">
        <v>766</v>
      </c>
      <c r="CQ118" s="9">
        <v>745.6</v>
      </c>
      <c r="CR118" s="9">
        <v>761.1</v>
      </c>
      <c r="CS118" s="9">
        <v>739</v>
      </c>
      <c r="CT118" s="9">
        <v>751.1</v>
      </c>
      <c r="CU118" s="9">
        <v>747.9</v>
      </c>
      <c r="CV118" s="9">
        <v>763.6</v>
      </c>
      <c r="CW118" s="9">
        <v>758.8</v>
      </c>
      <c r="CX118" s="9">
        <v>786.4</v>
      </c>
      <c r="CY118" s="9">
        <v>829.7</v>
      </c>
      <c r="CZ118" s="9">
        <v>732</v>
      </c>
      <c r="DA118" s="9">
        <v>744</v>
      </c>
      <c r="DB118" s="9">
        <v>854.5</v>
      </c>
      <c r="DC118" s="9">
        <v>760.7</v>
      </c>
      <c r="DD118" s="9">
        <v>759.3</v>
      </c>
      <c r="DE118" s="9">
        <v>750.8</v>
      </c>
      <c r="DF118" s="9">
        <v>764.3</v>
      </c>
      <c r="DG118" s="9">
        <v>754.5</v>
      </c>
      <c r="DH118" s="9">
        <v>765.7</v>
      </c>
      <c r="DI118" s="9">
        <v>766.9</v>
      </c>
      <c r="DJ118" s="9">
        <v>750.6</v>
      </c>
      <c r="DK118" s="9">
        <v>764.8</v>
      </c>
      <c r="DL118" s="9">
        <v>828.7</v>
      </c>
      <c r="DM118" s="9">
        <v>752.2</v>
      </c>
      <c r="DN118" s="9">
        <v>821.4</v>
      </c>
      <c r="DO118" s="9">
        <v>831</v>
      </c>
      <c r="DP118" s="9">
        <v>734.7</v>
      </c>
      <c r="DQ118" s="9">
        <v>825.5</v>
      </c>
      <c r="DR118" s="9">
        <v>789.8</v>
      </c>
      <c r="DS118" s="9">
        <v>815</v>
      </c>
      <c r="DT118" s="9">
        <v>851</v>
      </c>
      <c r="DU118" s="9">
        <v>852.6</v>
      </c>
      <c r="DV118" s="9">
        <v>758.5</v>
      </c>
      <c r="DW118" s="9">
        <v>759.9</v>
      </c>
      <c r="DX118" s="9">
        <v>817.2</v>
      </c>
      <c r="DY118" s="9">
        <v>835</v>
      </c>
      <c r="DZ118" s="9">
        <v>837</v>
      </c>
      <c r="EA118" s="9">
        <v>753.3</v>
      </c>
      <c r="EB118" s="9">
        <v>743.4</v>
      </c>
      <c r="EC118" s="9">
        <v>861.2</v>
      </c>
      <c r="ED118" s="9">
        <v>851.8</v>
      </c>
      <c r="EE118" s="9">
        <v>744</v>
      </c>
      <c r="EF118" s="9">
        <v>739</v>
      </c>
      <c r="EG118" s="9">
        <v>852</v>
      </c>
      <c r="EH118" s="9">
        <v>751</v>
      </c>
      <c r="EI118" s="9">
        <v>747</v>
      </c>
      <c r="EJ118" s="9">
        <v>845</v>
      </c>
      <c r="EK118" s="9">
        <v>821</v>
      </c>
      <c r="EL118" s="9">
        <v>791.5</v>
      </c>
      <c r="EM118" s="9">
        <v>815.7</v>
      </c>
      <c r="EN118" s="9">
        <v>810.3</v>
      </c>
      <c r="EO118" s="9">
        <v>680</v>
      </c>
      <c r="EP118" s="9">
        <v>790</v>
      </c>
      <c r="EQ118" s="9">
        <v>790.7</v>
      </c>
      <c r="ER118" s="9">
        <v>809</v>
      </c>
      <c r="ES118" s="9">
        <v>792.3</v>
      </c>
      <c r="ET118" s="9">
        <v>789</v>
      </c>
      <c r="EU118" s="9">
        <v>743</v>
      </c>
      <c r="EV118" s="9">
        <v>815.8</v>
      </c>
      <c r="EW118" s="9">
        <v>800.2</v>
      </c>
      <c r="EX118" s="9">
        <v>757.8</v>
      </c>
      <c r="EY118" s="9">
        <v>788</v>
      </c>
      <c r="EZ118" s="9">
        <v>733</v>
      </c>
      <c r="FA118" s="9">
        <v>820.9</v>
      </c>
      <c r="FB118" s="9">
        <v>752.2</v>
      </c>
      <c r="FC118" s="9">
        <v>696.6</v>
      </c>
      <c r="FD118" s="9">
        <v>823.8</v>
      </c>
      <c r="FE118" s="9">
        <v>810.4</v>
      </c>
      <c r="FF118" s="9">
        <v>809</v>
      </c>
      <c r="FG118" s="9">
        <v>756</v>
      </c>
      <c r="FH118" s="9">
        <v>819.7</v>
      </c>
      <c r="FI118" s="9">
        <v>759</v>
      </c>
      <c r="FJ118" s="9">
        <v>763.4</v>
      </c>
      <c r="FK118" s="9">
        <v>751.1</v>
      </c>
      <c r="FL118" s="9">
        <v>763.5</v>
      </c>
      <c r="FM118" s="9">
        <v>762.8</v>
      </c>
      <c r="FN118" s="9">
        <v>738.7</v>
      </c>
      <c r="FO118" s="9">
        <v>742</v>
      </c>
      <c r="FP118" s="9">
        <v>815.6</v>
      </c>
      <c r="FQ118" s="9">
        <v>719</v>
      </c>
      <c r="FR118" s="9">
        <v>813</v>
      </c>
      <c r="FS118" s="9">
        <v>810</v>
      </c>
      <c r="FT118" s="9">
        <v>844</v>
      </c>
      <c r="FU118" s="9">
        <v>761</v>
      </c>
      <c r="FV118" s="9">
        <v>721</v>
      </c>
      <c r="FW118" s="9">
        <v>809</v>
      </c>
      <c r="FX118" s="9">
        <v>739.7</v>
      </c>
      <c r="FY118" s="9">
        <v>754</v>
      </c>
      <c r="FZ118" s="9">
        <v>763.5</v>
      </c>
      <c r="GA118" s="9">
        <v>766</v>
      </c>
      <c r="GB118" s="9">
        <v>809</v>
      </c>
      <c r="GC118" s="9">
        <v>757</v>
      </c>
      <c r="GD118" s="9">
        <v>841.6</v>
      </c>
      <c r="GE118" s="9">
        <v>724</v>
      </c>
      <c r="GF118" s="9">
        <v>725</v>
      </c>
      <c r="GG118" s="9">
        <v>721</v>
      </c>
      <c r="GH118" s="9">
        <v>809</v>
      </c>
      <c r="GI118" s="9">
        <v>724</v>
      </c>
      <c r="GJ118" s="9">
        <v>790</v>
      </c>
      <c r="GK118" s="9">
        <v>829</v>
      </c>
      <c r="GL118" s="9">
        <v>841</v>
      </c>
      <c r="GM118" s="9">
        <v>782.8</v>
      </c>
      <c r="GN118" s="9">
        <v>780.1</v>
      </c>
      <c r="GO118" s="9">
        <v>810</v>
      </c>
      <c r="GP118" s="9">
        <v>760</v>
      </c>
      <c r="GQ118" s="9">
        <v>754</v>
      </c>
      <c r="GR118" s="9">
        <v>759.4</v>
      </c>
      <c r="GS118" s="9">
        <v>809</v>
      </c>
      <c r="GT118" s="9">
        <v>747.9</v>
      </c>
      <c r="GU118" s="9">
        <v>753.4</v>
      </c>
      <c r="GV118" s="9">
        <v>736.3</v>
      </c>
      <c r="GW118" s="9">
        <v>751.9</v>
      </c>
      <c r="GX118" s="9">
        <v>755</v>
      </c>
      <c r="GY118" s="9">
        <v>735</v>
      </c>
      <c r="GZ118" s="9">
        <v>608.4</v>
      </c>
      <c r="HA118" s="9">
        <v>742</v>
      </c>
      <c r="HB118" s="9"/>
      <c r="HC118" s="9"/>
      <c r="HD118" s="9">
        <v>647.1</v>
      </c>
      <c r="HE118" s="9">
        <v>529</v>
      </c>
      <c r="HF118" s="9">
        <v>748</v>
      </c>
      <c r="HG118" s="9"/>
      <c r="HH118" s="9">
        <v>801</v>
      </c>
      <c r="HI118" s="9">
        <v>741</v>
      </c>
      <c r="HJ118" s="9">
        <v>758.4</v>
      </c>
      <c r="HK118" s="9">
        <v>761.9</v>
      </c>
      <c r="HL118" s="9">
        <v>768</v>
      </c>
      <c r="HM118" s="9">
        <v>755.5</v>
      </c>
      <c r="HN118" s="9">
        <v>763.9</v>
      </c>
      <c r="HO118" s="9">
        <v>776.3</v>
      </c>
      <c r="HP118" s="9">
        <v>773.9</v>
      </c>
      <c r="HQ118" s="9">
        <v>743.6</v>
      </c>
      <c r="HR118" s="9">
        <v>744</v>
      </c>
      <c r="HS118" s="9">
        <v>773.9</v>
      </c>
      <c r="HT118" s="9">
        <v>836.4</v>
      </c>
      <c r="HU118" s="9">
        <v>843.4</v>
      </c>
      <c r="HV118" s="9">
        <v>646</v>
      </c>
      <c r="HW118" s="9">
        <v>662</v>
      </c>
      <c r="HX118" s="9">
        <v>556.20000000000005</v>
      </c>
      <c r="HY118" s="9">
        <v>463</v>
      </c>
      <c r="HZ118" s="9">
        <v>581</v>
      </c>
      <c r="IA118" s="9">
        <v>662.5</v>
      </c>
      <c r="IB118" s="9">
        <v>784.1</v>
      </c>
      <c r="IC118" s="9">
        <v>843.5</v>
      </c>
      <c r="ID118" s="9">
        <v>820.1</v>
      </c>
      <c r="IE118" s="9">
        <v>804.2</v>
      </c>
      <c r="IF118" s="9">
        <v>770</v>
      </c>
      <c r="IG118" s="9">
        <v>810.1</v>
      </c>
      <c r="IH118" s="9">
        <v>843.5</v>
      </c>
      <c r="II118" s="9">
        <v>824.6</v>
      </c>
      <c r="IJ118" s="9">
        <v>723.9</v>
      </c>
      <c r="IK118" s="9">
        <v>758.1</v>
      </c>
      <c r="IL118" s="9">
        <v>719.7</v>
      </c>
      <c r="IM118" s="9">
        <v>733</v>
      </c>
      <c r="IN118" s="9">
        <v>694.6</v>
      </c>
      <c r="IO118" s="9"/>
      <c r="IP118" s="9">
        <v>1005</v>
      </c>
      <c r="IQ118" s="9">
        <v>801</v>
      </c>
      <c r="IR118" s="9">
        <v>287</v>
      </c>
      <c r="IS118" s="9">
        <v>739</v>
      </c>
      <c r="IT118" s="9">
        <v>728</v>
      </c>
      <c r="IU118" s="9"/>
      <c r="IV118" s="9"/>
      <c r="IW118" s="9">
        <v>690</v>
      </c>
      <c r="IX118" s="9">
        <v>731</v>
      </c>
      <c r="IY118" s="9">
        <v>654</v>
      </c>
      <c r="IZ118" s="9">
        <v>709</v>
      </c>
      <c r="JA118" s="9">
        <v>687.7</v>
      </c>
      <c r="JB118" s="11">
        <v>31.33</v>
      </c>
      <c r="JC118" s="11">
        <v>38.57</v>
      </c>
      <c r="JD118" s="11">
        <v>1.33</v>
      </c>
      <c r="JE118" s="11">
        <v>3.9</v>
      </c>
      <c r="JF118" s="11"/>
      <c r="JG118" s="11"/>
      <c r="JH118" s="13">
        <v>3.4</v>
      </c>
      <c r="JI118" s="12"/>
      <c r="JJ118" s="277"/>
      <c r="JK118" s="9">
        <v>89296740.341000006</v>
      </c>
      <c r="JL118" s="215">
        <v>283752.40399999998</v>
      </c>
      <c r="JM118" s="9">
        <v>62168929.232000001</v>
      </c>
      <c r="JN118" s="215">
        <v>63581.896000000001</v>
      </c>
      <c r="JO118" s="9">
        <v>89966282.038000003</v>
      </c>
      <c r="JP118" s="215">
        <v>189492.02799999999</v>
      </c>
      <c r="JQ118" s="9">
        <v>65529909.920999996</v>
      </c>
      <c r="JR118" s="215">
        <v>59070.936000000002</v>
      </c>
      <c r="JS118" s="11">
        <v>338057477.18599999</v>
      </c>
      <c r="JT118" s="223">
        <v>92370.063999999998</v>
      </c>
      <c r="JU118" s="283">
        <f t="shared" ref="JU118" si="747">IF((JK118-JK117)&lt;0,"",(JK118-JK117))</f>
        <v>49436.043999999762</v>
      </c>
      <c r="JV118" s="283">
        <f t="shared" ref="JV118" si="748">IF((JL118-JL117)&lt;0,"",(JL118-JL117))</f>
        <v>8.9409999999916181</v>
      </c>
      <c r="JW118" s="283">
        <f t="shared" ref="JW118" si="749">IF((JM118-JM117)&lt;0,"",(JM118-JM117))</f>
        <v>49051.846000000834</v>
      </c>
      <c r="JX118" s="283">
        <f t="shared" ref="JX118" si="750">IF((JN118-JN117)&lt;0,"",(JN118-JN117))</f>
        <v>12.883999999998196</v>
      </c>
      <c r="JY118" s="284">
        <f t="shared" ref="JY118" si="751">IF((JO118-JO117)&lt;0,"",(JO118-JO117))</f>
        <v>48650.857000008225</v>
      </c>
      <c r="JZ118" s="284">
        <f t="shared" ref="JZ118" si="752">IF((JP118-JP117)&lt;0,"",(JP118-JP117))</f>
        <v>23.269999999989523</v>
      </c>
      <c r="KA118" s="284">
        <f t="shared" ref="KA118" si="753">IF((JQ118-JQ117)&lt;0,"",(JQ118-JQ117))</f>
        <v>39064.075999997556</v>
      </c>
      <c r="KB118" s="284">
        <f t="shared" ref="KB118" si="754">IF((JR118-JR117)&lt;0,"",(JR118-JR117))</f>
        <v>28.544000000001688</v>
      </c>
      <c r="KC118" s="283">
        <f t="shared" ref="KC118" si="755">IF((JS118-JS117)&lt;0,"",(JS118-JS117))</f>
        <v>186089.05199998617</v>
      </c>
      <c r="KD118" s="283">
        <f t="shared" ref="KD118" si="756">IF((JT118-JT117)&lt;0,"",(JT118-JT117))</f>
        <v>95.680999999996857</v>
      </c>
      <c r="KE118" s="291">
        <f t="shared" si="555"/>
        <v>98466.065000000614</v>
      </c>
      <c r="KF118" s="291">
        <f t="shared" si="556"/>
        <v>185993.37099998619</v>
      </c>
      <c r="KG118" s="292">
        <f>(RD[[#This Row],[Sunset Time (POA&lt;20 W/m2)]]-RD[[#This Row],[Sunrise Time (POA&gt;20 W/m2)]])*24</f>
        <v>12.766666666666666</v>
      </c>
      <c r="KH118" s="293">
        <f>RD[[#This Row],[GHI ]]</f>
        <v>0</v>
      </c>
      <c r="KI118" s="293">
        <f>RD[[#This Row],[POA]]</f>
        <v>3.4</v>
      </c>
      <c r="KJ118" s="293">
        <f>RD[[#This Row],[AT (°C) 14 Hours]]</f>
        <v>31.33</v>
      </c>
      <c r="KK118" s="293">
        <f>RD[[#This Row],[MT (°C) Gen. Hours]]</f>
        <v>38.57</v>
      </c>
      <c r="KL118" s="293">
        <f>RD[[#This Row],[WS_Avg (m/s) (24 Hours)]]</f>
        <v>1.33</v>
      </c>
      <c r="KM118" s="293">
        <f>RD[[#This Row],[WS_Max (m/s)]]</f>
        <v>3.9</v>
      </c>
      <c r="KN118" s="294">
        <f>SUM(RD[[#This Row],[BLK1_INV1]:[BLK8_INV27]])</f>
        <v>187263.7</v>
      </c>
      <c r="KO118" s="95"/>
      <c r="KP118" s="55"/>
      <c r="KQ118" s="90" t="str">
        <f>IFERROR(RD[[#This Row],[WPR_Eac]]/RD[[#This Row],[WPR_Edc]],"")</f>
        <v/>
      </c>
    </row>
    <row r="119" spans="2:303" ht="15" customHeight="1" x14ac:dyDescent="0.25">
      <c r="B119" s="52">
        <v>45860</v>
      </c>
      <c r="C119" s="9">
        <f>YEAR(RD[[#This Row],[Date]])+IF(MONTH(RD[[#This Row],[Date]])&gt;=4,1,0)</f>
        <v>2026</v>
      </c>
      <c r="D119" s="6">
        <f t="shared" si="544"/>
        <v>2025</v>
      </c>
      <c r="E119" s="7"/>
      <c r="F119" s="7"/>
      <c r="G119" s="367" t="str">
        <f>TEXT(RD[[#This Row],[Date]],"mmm-yy")</f>
        <v>Jul-25</v>
      </c>
      <c r="H119" s="6">
        <f t="shared" si="545"/>
        <v>31</v>
      </c>
      <c r="I119" s="9">
        <f>'Basic Data '!$S$2</f>
        <v>66750</v>
      </c>
      <c r="J119" s="10">
        <v>0.22638888888888889</v>
      </c>
      <c r="K119" s="10">
        <v>0.77222222222222225</v>
      </c>
      <c r="L119" s="9">
        <v>1291</v>
      </c>
      <c r="M119" s="9">
        <v>1288.2</v>
      </c>
      <c r="N119" s="9">
        <v>1186.5</v>
      </c>
      <c r="O119" s="9">
        <v>1191</v>
      </c>
      <c r="P119" s="9">
        <v>1295</v>
      </c>
      <c r="Q119" s="9">
        <v>1193</v>
      </c>
      <c r="R119" s="9">
        <v>1229</v>
      </c>
      <c r="S119" s="9">
        <v>1225</v>
      </c>
      <c r="T119" s="9">
        <v>1243</v>
      </c>
      <c r="U119" s="9">
        <v>1232</v>
      </c>
      <c r="V119" s="9">
        <v>1244</v>
      </c>
      <c r="W119" s="9">
        <v>1201.4000000000001</v>
      </c>
      <c r="X119" s="9">
        <v>1224</v>
      </c>
      <c r="Y119" s="9">
        <v>1127</v>
      </c>
      <c r="Z119" s="9">
        <v>1224</v>
      </c>
      <c r="AA119" s="9">
        <v>1214.8</v>
      </c>
      <c r="AB119" s="9">
        <v>1212</v>
      </c>
      <c r="AC119" s="9">
        <v>1233</v>
      </c>
      <c r="AD119" s="9">
        <v>1322</v>
      </c>
      <c r="AE119" s="9">
        <v>1318</v>
      </c>
      <c r="AF119" s="9">
        <v>1226</v>
      </c>
      <c r="AG119" s="9">
        <v>1197</v>
      </c>
      <c r="AH119" s="9">
        <v>1331</v>
      </c>
      <c r="AI119" s="9">
        <v>1383</v>
      </c>
      <c r="AJ119" s="9">
        <v>1327</v>
      </c>
      <c r="AK119" s="9">
        <v>1339</v>
      </c>
      <c r="AL119" s="9">
        <v>1289.7</v>
      </c>
      <c r="AM119" s="9">
        <v>1387.1</v>
      </c>
      <c r="AN119" s="9">
        <v>1338</v>
      </c>
      <c r="AO119" s="9">
        <v>1366</v>
      </c>
      <c r="AP119" s="9">
        <v>1339</v>
      </c>
      <c r="AQ119" s="9">
        <v>1352</v>
      </c>
      <c r="AR119" s="9">
        <v>1136</v>
      </c>
      <c r="AS119" s="9">
        <v>1532</v>
      </c>
      <c r="AT119" s="9">
        <v>1194</v>
      </c>
      <c r="AU119" s="9">
        <v>1343</v>
      </c>
      <c r="AV119" s="9">
        <v>1221</v>
      </c>
      <c r="AW119" s="9">
        <v>1201</v>
      </c>
      <c r="AX119" s="9">
        <v>1196</v>
      </c>
      <c r="AY119" s="9">
        <v>1201</v>
      </c>
      <c r="AZ119" s="9">
        <v>1205</v>
      </c>
      <c r="BA119" s="9">
        <v>1206</v>
      </c>
      <c r="BB119" s="9">
        <v>1201</v>
      </c>
      <c r="BC119" s="9">
        <v>1203</v>
      </c>
      <c r="BD119" s="9">
        <v>1198</v>
      </c>
      <c r="BE119" s="9">
        <v>1214</v>
      </c>
      <c r="BF119" s="9">
        <v>1301</v>
      </c>
      <c r="BG119" s="9">
        <v>1221</v>
      </c>
      <c r="BH119" s="9">
        <v>1247</v>
      </c>
      <c r="BI119" s="9">
        <v>1238</v>
      </c>
      <c r="BJ119" s="9">
        <v>1190.3</v>
      </c>
      <c r="BK119" s="9">
        <v>1209</v>
      </c>
      <c r="BL119" s="9">
        <v>1388.8</v>
      </c>
      <c r="BM119" s="9">
        <v>1338.5</v>
      </c>
      <c r="BN119" s="9">
        <v>1291</v>
      </c>
      <c r="BO119" s="9">
        <v>1347.8</v>
      </c>
      <c r="BP119" s="9">
        <v>1361</v>
      </c>
      <c r="BQ119" s="9">
        <v>1212</v>
      </c>
      <c r="BR119" s="9">
        <v>1341</v>
      </c>
      <c r="BS119" s="9">
        <v>1355</v>
      </c>
      <c r="BT119" s="9">
        <v>1199</v>
      </c>
      <c r="BU119" s="9">
        <v>1355</v>
      </c>
      <c r="BV119" s="9">
        <v>1196</v>
      </c>
      <c r="BW119" s="9">
        <v>1101</v>
      </c>
      <c r="BX119" s="9">
        <v>1333.6</v>
      </c>
      <c r="BY119" s="9">
        <v>1330.8</v>
      </c>
      <c r="BZ119" s="9">
        <v>1342</v>
      </c>
      <c r="CA119" s="9">
        <v>1320.2</v>
      </c>
      <c r="CB119" s="9">
        <v>1234</v>
      </c>
      <c r="CC119" s="9">
        <v>1228</v>
      </c>
      <c r="CD119" s="9">
        <v>1239</v>
      </c>
      <c r="CE119" s="9">
        <v>1231</v>
      </c>
      <c r="CF119" s="9">
        <v>1234</v>
      </c>
      <c r="CG119" s="9">
        <v>1241</v>
      </c>
      <c r="CH119" s="9">
        <v>1396</v>
      </c>
      <c r="CI119" s="9">
        <v>1382</v>
      </c>
      <c r="CJ119" s="9">
        <v>1392.1</v>
      </c>
      <c r="CK119" s="9">
        <v>1244</v>
      </c>
      <c r="CL119" s="9">
        <v>1241</v>
      </c>
      <c r="CM119" s="9">
        <v>1332</v>
      </c>
      <c r="CN119" s="9">
        <v>1224</v>
      </c>
      <c r="CO119" s="9">
        <v>1233</v>
      </c>
      <c r="CP119" s="9">
        <v>1223</v>
      </c>
      <c r="CQ119" s="9">
        <v>1238</v>
      </c>
      <c r="CR119" s="9">
        <v>1242</v>
      </c>
      <c r="CS119" s="9">
        <v>1225</v>
      </c>
      <c r="CT119" s="9">
        <v>1234.9000000000001</v>
      </c>
      <c r="CU119" s="9">
        <v>1234.4000000000001</v>
      </c>
      <c r="CV119" s="9">
        <v>1231</v>
      </c>
      <c r="CW119" s="9">
        <v>1237.5</v>
      </c>
      <c r="CX119" s="9">
        <v>1262.7</v>
      </c>
      <c r="CY119" s="9">
        <v>1314.3</v>
      </c>
      <c r="CZ119" s="9">
        <v>1219</v>
      </c>
      <c r="DA119" s="9">
        <v>1214</v>
      </c>
      <c r="DB119" s="9">
        <v>1348.5</v>
      </c>
      <c r="DC119" s="9">
        <v>1204</v>
      </c>
      <c r="DD119" s="9">
        <v>1210</v>
      </c>
      <c r="DE119" s="9">
        <v>1197</v>
      </c>
      <c r="DF119" s="9">
        <v>1201</v>
      </c>
      <c r="DG119" s="9">
        <v>1215</v>
      </c>
      <c r="DH119" s="9">
        <v>1202</v>
      </c>
      <c r="DI119" s="9">
        <v>1196</v>
      </c>
      <c r="DJ119" s="9">
        <v>1208</v>
      </c>
      <c r="DK119" s="9">
        <v>1211</v>
      </c>
      <c r="DL119" s="9">
        <v>1358.8</v>
      </c>
      <c r="DM119" s="9">
        <v>1197</v>
      </c>
      <c r="DN119" s="9">
        <v>1361</v>
      </c>
      <c r="DO119" s="9">
        <v>1325.5</v>
      </c>
      <c r="DP119" s="9">
        <v>1208.7</v>
      </c>
      <c r="DQ119" s="9">
        <v>1338</v>
      </c>
      <c r="DR119" s="9">
        <v>1286</v>
      </c>
      <c r="DS119" s="9">
        <v>1323</v>
      </c>
      <c r="DT119" s="9">
        <v>1351</v>
      </c>
      <c r="DU119" s="9">
        <v>1359</v>
      </c>
      <c r="DV119" s="9">
        <v>1234</v>
      </c>
      <c r="DW119" s="9">
        <v>1202.0999999999999</v>
      </c>
      <c r="DX119" s="9">
        <v>1333</v>
      </c>
      <c r="DY119" s="9">
        <v>1333</v>
      </c>
      <c r="DZ119" s="9">
        <v>1327</v>
      </c>
      <c r="EA119" s="9">
        <v>1207</v>
      </c>
      <c r="EB119" s="9">
        <v>1203</v>
      </c>
      <c r="EC119" s="9">
        <v>1352.1</v>
      </c>
      <c r="ED119" s="9">
        <v>1364.3</v>
      </c>
      <c r="EE119" s="9">
        <v>1208</v>
      </c>
      <c r="EF119" s="9">
        <v>1217</v>
      </c>
      <c r="EG119" s="9">
        <v>1366.1</v>
      </c>
      <c r="EH119" s="9">
        <v>1211.2</v>
      </c>
      <c r="EI119" s="9">
        <v>1212</v>
      </c>
      <c r="EJ119" s="9">
        <v>1339</v>
      </c>
      <c r="EK119" s="9">
        <v>1345</v>
      </c>
      <c r="EL119" s="9">
        <v>1315</v>
      </c>
      <c r="EM119" s="9">
        <v>1312</v>
      </c>
      <c r="EN119" s="9">
        <v>1301</v>
      </c>
      <c r="EO119" s="9">
        <v>1115</v>
      </c>
      <c r="EP119" s="9">
        <v>1301</v>
      </c>
      <c r="EQ119" s="9">
        <v>1280</v>
      </c>
      <c r="ER119" s="9">
        <v>1285</v>
      </c>
      <c r="ES119" s="9">
        <v>1275</v>
      </c>
      <c r="ET119" s="9">
        <v>1245</v>
      </c>
      <c r="EU119" s="9">
        <v>1201</v>
      </c>
      <c r="EV119" s="9">
        <v>1302</v>
      </c>
      <c r="EW119" s="9">
        <v>1291</v>
      </c>
      <c r="EX119" s="9">
        <v>1216</v>
      </c>
      <c r="EY119" s="9">
        <v>1324</v>
      </c>
      <c r="EZ119" s="9">
        <v>1191.3</v>
      </c>
      <c r="FA119" s="9">
        <v>1324</v>
      </c>
      <c r="FB119" s="9">
        <v>1213</v>
      </c>
      <c r="FC119" s="9">
        <v>1120</v>
      </c>
      <c r="FD119" s="9">
        <v>1329</v>
      </c>
      <c r="FE119" s="9">
        <v>1325</v>
      </c>
      <c r="FF119" s="9">
        <v>1326</v>
      </c>
      <c r="FG119" s="9">
        <v>1200</v>
      </c>
      <c r="FH119" s="9">
        <v>1370</v>
      </c>
      <c r="FI119" s="9">
        <v>1228</v>
      </c>
      <c r="FJ119" s="9">
        <v>1206</v>
      </c>
      <c r="FK119" s="9">
        <v>1209</v>
      </c>
      <c r="FL119" s="9">
        <v>1201</v>
      </c>
      <c r="FM119" s="9">
        <v>1194</v>
      </c>
      <c r="FN119" s="9">
        <v>1190</v>
      </c>
      <c r="FO119" s="9">
        <v>1182</v>
      </c>
      <c r="FP119" s="9">
        <v>1317</v>
      </c>
      <c r="FQ119" s="9">
        <v>1182</v>
      </c>
      <c r="FR119" s="9">
        <v>1325</v>
      </c>
      <c r="FS119" s="9">
        <v>1313</v>
      </c>
      <c r="FT119" s="9">
        <v>1361</v>
      </c>
      <c r="FU119" s="9">
        <v>1234</v>
      </c>
      <c r="FV119" s="9">
        <v>1206</v>
      </c>
      <c r="FW119" s="9">
        <v>1321</v>
      </c>
      <c r="FX119" s="9">
        <v>1191</v>
      </c>
      <c r="FY119" s="9">
        <v>1227.3</v>
      </c>
      <c r="FZ119" s="9">
        <v>1231</v>
      </c>
      <c r="GA119" s="9">
        <v>1232</v>
      </c>
      <c r="GB119" s="9">
        <v>1334</v>
      </c>
      <c r="GC119" s="9">
        <v>1219</v>
      </c>
      <c r="GD119" s="9">
        <v>1351</v>
      </c>
      <c r="GE119" s="9">
        <v>1181</v>
      </c>
      <c r="GF119" s="9">
        <v>1178</v>
      </c>
      <c r="GG119" s="9">
        <v>1180</v>
      </c>
      <c r="GH119" s="9">
        <v>1323</v>
      </c>
      <c r="GI119" s="9">
        <v>1171</v>
      </c>
      <c r="GJ119" s="9">
        <v>1267</v>
      </c>
      <c r="GK119" s="9">
        <v>1312</v>
      </c>
      <c r="GL119" s="9">
        <v>1321</v>
      </c>
      <c r="GM119" s="9">
        <v>1271</v>
      </c>
      <c r="GN119" s="9">
        <v>1280</v>
      </c>
      <c r="GO119" s="9">
        <v>1221</v>
      </c>
      <c r="GP119" s="9">
        <v>1219.5</v>
      </c>
      <c r="GQ119" s="9">
        <v>1220</v>
      </c>
      <c r="GR119" s="9">
        <v>1224</v>
      </c>
      <c r="GS119" s="9">
        <v>1293</v>
      </c>
      <c r="GT119" s="9">
        <v>1191</v>
      </c>
      <c r="GU119" s="9">
        <v>1214.2</v>
      </c>
      <c r="GV119" s="9">
        <v>1203</v>
      </c>
      <c r="GW119" s="9">
        <v>1215</v>
      </c>
      <c r="GX119" s="9">
        <v>1221</v>
      </c>
      <c r="GY119" s="9">
        <v>1209</v>
      </c>
      <c r="GZ119" s="9">
        <v>1021</v>
      </c>
      <c r="HA119" s="9">
        <v>1215</v>
      </c>
      <c r="HB119" s="9"/>
      <c r="HC119" s="9"/>
      <c r="HD119" s="9">
        <v>1049.3</v>
      </c>
      <c r="HE119" s="9">
        <v>854</v>
      </c>
      <c r="HF119" s="9">
        <v>1219</v>
      </c>
      <c r="HG119" s="9"/>
      <c r="HH119" s="9">
        <v>1321</v>
      </c>
      <c r="HI119" s="9">
        <v>1214</v>
      </c>
      <c r="HJ119" s="9">
        <v>1216</v>
      </c>
      <c r="HK119" s="9">
        <v>1220.3</v>
      </c>
      <c r="HL119" s="9">
        <v>1202</v>
      </c>
      <c r="HM119" s="9">
        <v>1238</v>
      </c>
      <c r="HN119" s="9">
        <v>1213</v>
      </c>
      <c r="HO119" s="9">
        <v>1238</v>
      </c>
      <c r="HP119" s="9">
        <v>1231</v>
      </c>
      <c r="HQ119" s="9">
        <v>1207</v>
      </c>
      <c r="HR119" s="9">
        <v>1218.9000000000001</v>
      </c>
      <c r="HS119" s="9">
        <v>1237</v>
      </c>
      <c r="HT119" s="9">
        <v>1333</v>
      </c>
      <c r="HU119" s="9">
        <v>1379.1</v>
      </c>
      <c r="HV119" s="9">
        <v>1044</v>
      </c>
      <c r="HW119" s="9">
        <v>1069</v>
      </c>
      <c r="HX119" s="9">
        <v>901</v>
      </c>
      <c r="HY119" s="9">
        <v>760</v>
      </c>
      <c r="HZ119" s="9">
        <v>932</v>
      </c>
      <c r="IA119" s="9">
        <v>1072.3</v>
      </c>
      <c r="IB119" s="9">
        <v>1252.3</v>
      </c>
      <c r="IC119" s="9">
        <v>1376.4</v>
      </c>
      <c r="ID119" s="9">
        <v>1321.6</v>
      </c>
      <c r="IE119" s="9">
        <v>1291</v>
      </c>
      <c r="IF119" s="9">
        <v>1289</v>
      </c>
      <c r="IG119" s="9">
        <v>1325.5</v>
      </c>
      <c r="IH119" s="9">
        <v>1377.6</v>
      </c>
      <c r="II119" s="9">
        <v>1333.6</v>
      </c>
      <c r="IJ119" s="9">
        <v>1156</v>
      </c>
      <c r="IK119" s="9">
        <v>1231.5</v>
      </c>
      <c r="IL119" s="9">
        <v>1143</v>
      </c>
      <c r="IM119" s="9">
        <v>1190</v>
      </c>
      <c r="IN119" s="9">
        <v>1099.4100000000001</v>
      </c>
      <c r="IO119" s="9"/>
      <c r="IP119" s="9">
        <v>1601</v>
      </c>
      <c r="IQ119" s="9">
        <v>1276</v>
      </c>
      <c r="IR119" s="9">
        <v>456</v>
      </c>
      <c r="IS119" s="9">
        <v>1212</v>
      </c>
      <c r="IT119" s="9">
        <v>1143</v>
      </c>
      <c r="IU119" s="9"/>
      <c r="IV119" s="9"/>
      <c r="IW119" s="9">
        <v>1124</v>
      </c>
      <c r="IX119" s="9">
        <v>1181</v>
      </c>
      <c r="IY119" s="9">
        <v>1065</v>
      </c>
      <c r="IZ119" s="9">
        <v>1167</v>
      </c>
      <c r="JA119" s="9">
        <v>1071</v>
      </c>
      <c r="JB119" s="11">
        <v>32.950000000000003</v>
      </c>
      <c r="JC119" s="11">
        <v>48.46</v>
      </c>
      <c r="JD119" s="11">
        <v>1.66</v>
      </c>
      <c r="JE119" s="11">
        <v>6.9</v>
      </c>
      <c r="JF119" s="11"/>
      <c r="JG119" s="11"/>
      <c r="JH119" s="13">
        <v>5.81</v>
      </c>
      <c r="JI119" s="12"/>
      <c r="JJ119" s="277"/>
      <c r="JK119" s="9">
        <v>89376458.592999995</v>
      </c>
      <c r="JL119" s="260">
        <v>283761.34499999997</v>
      </c>
      <c r="JM119" s="9">
        <v>62247578.787</v>
      </c>
      <c r="JN119" s="260">
        <v>63594.78</v>
      </c>
      <c r="JO119" s="9">
        <v>90046789.694999993</v>
      </c>
      <c r="JP119" s="260">
        <v>189515.29800000001</v>
      </c>
      <c r="JQ119" s="9">
        <v>65592254.869999997</v>
      </c>
      <c r="JR119" s="260">
        <v>59099.48</v>
      </c>
      <c r="JS119" s="11">
        <v>338358429.85399997</v>
      </c>
      <c r="JT119" s="289">
        <v>92465.744999999995</v>
      </c>
      <c r="JU119" s="283">
        <f t="shared" ref="JU119" si="757">IF((JK119-JK118)&lt;0,"",(JK119-JK118))</f>
        <v>79718.251999989152</v>
      </c>
      <c r="JV119" s="283">
        <f t="shared" ref="JV119" si="758">IF((JL119-JL118)&lt;0,"",(JL119-JL118))</f>
        <v>8.9409999999916181</v>
      </c>
      <c r="JW119" s="283">
        <f t="shared" ref="JW119" si="759">IF((JM119-JM118)&lt;0,"",(JM119-JM118))</f>
        <v>78649.554999999702</v>
      </c>
      <c r="JX119" s="283">
        <f t="shared" ref="JX119" si="760">IF((JN119-JN118)&lt;0,"",(JN119-JN118))</f>
        <v>12.883999999998196</v>
      </c>
      <c r="JY119" s="284">
        <f t="shared" ref="JY119" si="761">IF((JO119-JO118)&lt;0,"",(JO119-JO118))</f>
        <v>80507.656999990344</v>
      </c>
      <c r="JZ119" s="284">
        <f t="shared" ref="JZ119" si="762">IF((JP119-JP118)&lt;0,"",(JP119-JP118))</f>
        <v>23.270000000018626</v>
      </c>
      <c r="KA119" s="284">
        <f t="shared" ref="KA119" si="763">IF((JQ119-JQ118)&lt;0,"",(JQ119-JQ118))</f>
        <v>62344.949000000954</v>
      </c>
      <c r="KB119" s="284">
        <f t="shared" ref="KB119" si="764">IF((JR119-JR118)&lt;0,"",(JR119-JR118))</f>
        <v>28.544000000001688</v>
      </c>
      <c r="KC119" s="283">
        <f t="shared" ref="KC119" si="765">IF((JS119-JS118)&lt;0,"",(JS119-JS118))</f>
        <v>300952.66799998283</v>
      </c>
      <c r="KD119" s="283">
        <f t="shared" ref="KD119" si="766">IF((JT119-JT118)&lt;0,"",(JT119-JT118))</f>
        <v>95.680999999996857</v>
      </c>
      <c r="KE119" s="291">
        <f t="shared" si="555"/>
        <v>158345.98199998887</v>
      </c>
      <c r="KF119" s="291">
        <f t="shared" si="556"/>
        <v>300856.98699998285</v>
      </c>
      <c r="KG119" s="292">
        <f>(RD[[#This Row],[Sunset Time (POA&lt;20 W/m2)]]-RD[[#This Row],[Sunrise Time (POA&gt;20 W/m2)]])*24</f>
        <v>13.100000000000001</v>
      </c>
      <c r="KH119" s="293">
        <f>RD[[#This Row],[GHI ]]</f>
        <v>0</v>
      </c>
      <c r="KI119" s="293">
        <f>RD[[#This Row],[POA]]</f>
        <v>5.81</v>
      </c>
      <c r="KJ119" s="293">
        <f>RD[[#This Row],[AT (°C) 14 Hours]]</f>
        <v>32.950000000000003</v>
      </c>
      <c r="KK119" s="293">
        <f>RD[[#This Row],[MT (°C) Gen. Hours]]</f>
        <v>48.46</v>
      </c>
      <c r="KL119" s="293">
        <f>RD[[#This Row],[WS_Avg (m/s) (24 Hours)]]</f>
        <v>1.66</v>
      </c>
      <c r="KM119" s="293">
        <f>RD[[#This Row],[WS_Max (m/s)]]</f>
        <v>6.9</v>
      </c>
      <c r="KN119" s="294">
        <f>SUM(RD[[#This Row],[BLK1_INV1]:[BLK8_INV27]])</f>
        <v>302267.00999999989</v>
      </c>
      <c r="KO119" s="95"/>
      <c r="KP119" s="55"/>
      <c r="KQ119" s="90" t="str">
        <f>IFERROR(RD[[#This Row],[WPR_Eac]]/RD[[#This Row],[WPR_Edc]],"")</f>
        <v/>
      </c>
    </row>
    <row r="120" spans="2:303" ht="15" customHeight="1" x14ac:dyDescent="0.25">
      <c r="B120" s="52">
        <v>45861</v>
      </c>
      <c r="C120" s="9">
        <f>YEAR(RD[[#This Row],[Date]])+IF(MONTH(RD[[#This Row],[Date]])&gt;=4,1,0)</f>
        <v>2026</v>
      </c>
      <c r="D120" s="6">
        <f t="shared" si="544"/>
        <v>2025</v>
      </c>
      <c r="E120" s="7"/>
      <c r="F120" s="7"/>
      <c r="G120" s="367" t="str">
        <f>TEXT(RD[[#This Row],[Date]],"mmm-yy")</f>
        <v>Jul-25</v>
      </c>
      <c r="H120" s="6">
        <f t="shared" si="545"/>
        <v>31</v>
      </c>
      <c r="I120" s="9">
        <f>'Basic Data '!$S$2</f>
        <v>66750</v>
      </c>
      <c r="J120" s="10">
        <v>0.22708333333333333</v>
      </c>
      <c r="K120" s="10">
        <v>0.7729166666666667</v>
      </c>
      <c r="L120" s="9">
        <v>481</v>
      </c>
      <c r="M120" s="9">
        <v>486</v>
      </c>
      <c r="N120" s="9">
        <v>444</v>
      </c>
      <c r="O120" s="9">
        <v>441</v>
      </c>
      <c r="P120" s="9">
        <v>486.6</v>
      </c>
      <c r="Q120" s="9">
        <v>451</v>
      </c>
      <c r="R120" s="9">
        <v>452.7</v>
      </c>
      <c r="S120" s="9">
        <v>448</v>
      </c>
      <c r="T120" s="9">
        <v>460</v>
      </c>
      <c r="U120" s="9">
        <v>473</v>
      </c>
      <c r="V120" s="9">
        <v>450</v>
      </c>
      <c r="W120" s="9">
        <v>449</v>
      </c>
      <c r="X120" s="9">
        <v>457.5</v>
      </c>
      <c r="Y120" s="9">
        <v>404</v>
      </c>
      <c r="Z120" s="9">
        <v>449.1</v>
      </c>
      <c r="AA120" s="9">
        <v>451</v>
      </c>
      <c r="AB120" s="9">
        <v>454</v>
      </c>
      <c r="AC120" s="9">
        <v>449.6</v>
      </c>
      <c r="AD120" s="9">
        <v>494</v>
      </c>
      <c r="AE120" s="9">
        <v>487.1</v>
      </c>
      <c r="AF120" s="9">
        <v>453.6</v>
      </c>
      <c r="AG120" s="9">
        <v>456</v>
      </c>
      <c r="AH120" s="9">
        <v>493.6</v>
      </c>
      <c r="AI120" s="9">
        <v>511.2</v>
      </c>
      <c r="AJ120" s="9">
        <v>492.9</v>
      </c>
      <c r="AK120" s="9">
        <v>487.7</v>
      </c>
      <c r="AL120" s="9">
        <v>490</v>
      </c>
      <c r="AM120" s="9">
        <v>503</v>
      </c>
      <c r="AN120" s="9">
        <v>501</v>
      </c>
      <c r="AO120" s="9">
        <v>512.20000000000005</v>
      </c>
      <c r="AP120" s="9">
        <v>505</v>
      </c>
      <c r="AQ120" s="9">
        <v>507</v>
      </c>
      <c r="AR120" s="9">
        <v>421</v>
      </c>
      <c r="AS120" s="9">
        <v>556</v>
      </c>
      <c r="AT120" s="9">
        <v>451</v>
      </c>
      <c r="AU120" s="9">
        <v>509</v>
      </c>
      <c r="AV120" s="9">
        <v>450</v>
      </c>
      <c r="AW120" s="9">
        <v>448</v>
      </c>
      <c r="AX120" s="9">
        <v>458</v>
      </c>
      <c r="AY120" s="9">
        <v>459</v>
      </c>
      <c r="AZ120" s="9">
        <v>443</v>
      </c>
      <c r="BA120" s="9">
        <v>457</v>
      </c>
      <c r="BB120" s="9">
        <v>451</v>
      </c>
      <c r="BC120" s="9">
        <v>446</v>
      </c>
      <c r="BD120" s="9">
        <v>448</v>
      </c>
      <c r="BE120" s="9">
        <v>452</v>
      </c>
      <c r="BF120" s="9">
        <v>481</v>
      </c>
      <c r="BG120" s="9">
        <v>448</v>
      </c>
      <c r="BH120" s="9">
        <v>463</v>
      </c>
      <c r="BI120" s="9">
        <v>468</v>
      </c>
      <c r="BJ120" s="9">
        <v>455.3</v>
      </c>
      <c r="BK120" s="9">
        <v>452</v>
      </c>
      <c r="BL120" s="9">
        <v>512.4</v>
      </c>
      <c r="BM120" s="9">
        <v>503</v>
      </c>
      <c r="BN120" s="9">
        <v>486</v>
      </c>
      <c r="BO120" s="9">
        <v>500.1</v>
      </c>
      <c r="BP120" s="9">
        <v>511.4</v>
      </c>
      <c r="BQ120" s="9">
        <v>449</v>
      </c>
      <c r="BR120" s="9">
        <v>511</v>
      </c>
      <c r="BS120" s="9">
        <v>507</v>
      </c>
      <c r="BT120" s="9">
        <v>451</v>
      </c>
      <c r="BU120" s="9">
        <v>498</v>
      </c>
      <c r="BV120" s="9">
        <v>447</v>
      </c>
      <c r="BW120" s="9">
        <v>401</v>
      </c>
      <c r="BX120" s="9">
        <v>491</v>
      </c>
      <c r="BY120" s="9">
        <v>497.4</v>
      </c>
      <c r="BZ120" s="9">
        <v>500.1</v>
      </c>
      <c r="CA120" s="9">
        <v>488.4</v>
      </c>
      <c r="CB120" s="9">
        <v>457.3</v>
      </c>
      <c r="CC120" s="9">
        <v>458.4</v>
      </c>
      <c r="CD120" s="9">
        <v>461.1</v>
      </c>
      <c r="CE120" s="9">
        <v>455.6</v>
      </c>
      <c r="CF120" s="9">
        <v>447</v>
      </c>
      <c r="CG120" s="9">
        <v>461.5</v>
      </c>
      <c r="CH120" s="9">
        <v>512.6</v>
      </c>
      <c r="CI120" s="9">
        <v>497</v>
      </c>
      <c r="CJ120" s="9">
        <v>513.4</v>
      </c>
      <c r="CK120" s="9">
        <v>456.8</v>
      </c>
      <c r="CL120" s="9">
        <v>449.4</v>
      </c>
      <c r="CM120" s="9">
        <v>486</v>
      </c>
      <c r="CN120" s="9">
        <v>452.2</v>
      </c>
      <c r="CO120" s="9">
        <v>458</v>
      </c>
      <c r="CP120" s="9">
        <v>455.9</v>
      </c>
      <c r="CQ120" s="9">
        <v>457</v>
      </c>
      <c r="CR120" s="9">
        <v>446.8</v>
      </c>
      <c r="CS120" s="9">
        <v>451</v>
      </c>
      <c r="CT120" s="9">
        <v>445.1</v>
      </c>
      <c r="CU120" s="9">
        <v>445.3</v>
      </c>
      <c r="CV120" s="9">
        <v>454.8</v>
      </c>
      <c r="CW120" s="9">
        <v>452</v>
      </c>
      <c r="CX120" s="9">
        <v>465.3</v>
      </c>
      <c r="CY120" s="9">
        <v>492.6</v>
      </c>
      <c r="CZ120" s="9">
        <v>447</v>
      </c>
      <c r="DA120" s="9">
        <v>454</v>
      </c>
      <c r="DB120" s="9">
        <v>507</v>
      </c>
      <c r="DC120" s="9">
        <v>451.7</v>
      </c>
      <c r="DD120" s="9">
        <v>447</v>
      </c>
      <c r="DE120" s="9">
        <v>451</v>
      </c>
      <c r="DF120" s="9">
        <v>449</v>
      </c>
      <c r="DG120" s="9">
        <v>449</v>
      </c>
      <c r="DH120" s="9">
        <v>453.2</v>
      </c>
      <c r="DI120" s="9">
        <v>456.7</v>
      </c>
      <c r="DJ120" s="9">
        <v>451</v>
      </c>
      <c r="DK120" s="9">
        <v>451.9</v>
      </c>
      <c r="DL120" s="9">
        <v>501</v>
      </c>
      <c r="DM120" s="9">
        <v>449</v>
      </c>
      <c r="DN120" s="9">
        <v>498</v>
      </c>
      <c r="DO120" s="9">
        <v>497</v>
      </c>
      <c r="DP120" s="9">
        <v>445</v>
      </c>
      <c r="DQ120" s="9">
        <v>501</v>
      </c>
      <c r="DR120" s="9">
        <v>476</v>
      </c>
      <c r="DS120" s="9">
        <v>494.2</v>
      </c>
      <c r="DT120" s="9">
        <v>496</v>
      </c>
      <c r="DU120" s="9">
        <v>507.1</v>
      </c>
      <c r="DV120" s="9">
        <v>452.4</v>
      </c>
      <c r="DW120" s="9">
        <v>441.9</v>
      </c>
      <c r="DX120" s="9">
        <v>503</v>
      </c>
      <c r="DY120" s="9">
        <v>508</v>
      </c>
      <c r="DZ120" s="9">
        <v>497.1</v>
      </c>
      <c r="EA120" s="9">
        <v>446</v>
      </c>
      <c r="EB120" s="9">
        <v>453</v>
      </c>
      <c r="EC120" s="9">
        <v>501</v>
      </c>
      <c r="ED120" s="9">
        <v>503</v>
      </c>
      <c r="EE120" s="9">
        <v>451</v>
      </c>
      <c r="EF120" s="9">
        <v>453</v>
      </c>
      <c r="EG120" s="9">
        <v>501</v>
      </c>
      <c r="EH120" s="9">
        <v>448</v>
      </c>
      <c r="EI120" s="9">
        <v>453</v>
      </c>
      <c r="EJ120" s="9">
        <v>497.3</v>
      </c>
      <c r="EK120" s="9">
        <v>492</v>
      </c>
      <c r="EL120" s="9">
        <v>478.6</v>
      </c>
      <c r="EM120" s="9">
        <v>477.4</v>
      </c>
      <c r="EN120" s="9">
        <v>483.8</v>
      </c>
      <c r="EO120" s="9">
        <v>412.2</v>
      </c>
      <c r="EP120" s="9">
        <v>471</v>
      </c>
      <c r="EQ120" s="9">
        <v>474</v>
      </c>
      <c r="ER120" s="9">
        <v>472</v>
      </c>
      <c r="ES120" s="9">
        <v>484.5</v>
      </c>
      <c r="ET120" s="9">
        <v>471</v>
      </c>
      <c r="EU120" s="9">
        <v>441</v>
      </c>
      <c r="EV120" s="9">
        <v>478.6</v>
      </c>
      <c r="EW120" s="9">
        <v>489</v>
      </c>
      <c r="EX120" s="9">
        <v>454</v>
      </c>
      <c r="EY120" s="9">
        <v>495.1</v>
      </c>
      <c r="EZ120" s="9">
        <v>455</v>
      </c>
      <c r="FA120" s="9">
        <v>476</v>
      </c>
      <c r="FB120" s="9">
        <v>445.2</v>
      </c>
      <c r="FC120" s="9">
        <v>414.2</v>
      </c>
      <c r="FD120" s="9">
        <v>488.4</v>
      </c>
      <c r="FE120" s="9">
        <v>491.7</v>
      </c>
      <c r="FF120" s="9">
        <v>473</v>
      </c>
      <c r="FG120" s="9">
        <v>446</v>
      </c>
      <c r="FH120" s="9">
        <v>497</v>
      </c>
      <c r="FI120" s="9">
        <v>453</v>
      </c>
      <c r="FJ120" s="9">
        <v>453.6</v>
      </c>
      <c r="FK120" s="9">
        <v>445.6</v>
      </c>
      <c r="FL120" s="9">
        <v>454.4</v>
      </c>
      <c r="FM120" s="9">
        <v>452.74</v>
      </c>
      <c r="FN120" s="9">
        <v>443</v>
      </c>
      <c r="FO120" s="9">
        <v>444.8</v>
      </c>
      <c r="FP120" s="9">
        <v>497</v>
      </c>
      <c r="FQ120" s="9">
        <v>448</v>
      </c>
      <c r="FR120" s="9">
        <v>492</v>
      </c>
      <c r="FS120" s="9">
        <v>494</v>
      </c>
      <c r="FT120" s="9">
        <v>502</v>
      </c>
      <c r="FU120" s="9">
        <v>452</v>
      </c>
      <c r="FV120" s="9">
        <v>441</v>
      </c>
      <c r="FW120" s="9">
        <v>490</v>
      </c>
      <c r="FX120" s="9">
        <v>445</v>
      </c>
      <c r="FY120" s="9">
        <v>466</v>
      </c>
      <c r="FZ120" s="9">
        <v>453</v>
      </c>
      <c r="GA120" s="9">
        <v>464</v>
      </c>
      <c r="GB120" s="9">
        <v>501</v>
      </c>
      <c r="GC120" s="9">
        <v>461</v>
      </c>
      <c r="GD120" s="9">
        <v>497.7</v>
      </c>
      <c r="GE120" s="9">
        <v>439</v>
      </c>
      <c r="GF120" s="9">
        <v>444</v>
      </c>
      <c r="GG120" s="9">
        <v>447</v>
      </c>
      <c r="GH120" s="9">
        <v>503</v>
      </c>
      <c r="GI120" s="9">
        <v>442</v>
      </c>
      <c r="GJ120" s="9">
        <v>484</v>
      </c>
      <c r="GK120" s="9">
        <v>495</v>
      </c>
      <c r="GL120" s="9">
        <v>488</v>
      </c>
      <c r="GM120" s="9">
        <v>461.6</v>
      </c>
      <c r="GN120" s="9">
        <v>476</v>
      </c>
      <c r="GO120" s="9">
        <v>487</v>
      </c>
      <c r="GP120" s="9">
        <v>461</v>
      </c>
      <c r="GQ120" s="9">
        <v>451</v>
      </c>
      <c r="GR120" s="9">
        <v>455.2</v>
      </c>
      <c r="GS120" s="9">
        <v>474</v>
      </c>
      <c r="GT120" s="9">
        <v>455</v>
      </c>
      <c r="GU120" s="9">
        <v>447.2</v>
      </c>
      <c r="GV120" s="9">
        <v>447</v>
      </c>
      <c r="GW120" s="9">
        <v>451</v>
      </c>
      <c r="GX120" s="9">
        <v>448</v>
      </c>
      <c r="GY120" s="9">
        <v>444</v>
      </c>
      <c r="GZ120" s="9">
        <v>381</v>
      </c>
      <c r="HA120" s="9">
        <v>451</v>
      </c>
      <c r="HB120" s="9"/>
      <c r="HC120" s="9"/>
      <c r="HD120" s="9">
        <v>377.4</v>
      </c>
      <c r="HE120" s="9">
        <v>315</v>
      </c>
      <c r="HF120" s="9">
        <v>461</v>
      </c>
      <c r="HG120" s="9"/>
      <c r="HH120" s="9">
        <v>497</v>
      </c>
      <c r="HI120" s="9">
        <v>444</v>
      </c>
      <c r="HJ120" s="9">
        <v>448</v>
      </c>
      <c r="HK120" s="9">
        <v>455.5</v>
      </c>
      <c r="HL120" s="9">
        <v>458</v>
      </c>
      <c r="HM120" s="9">
        <v>449</v>
      </c>
      <c r="HN120" s="9">
        <v>451.2</v>
      </c>
      <c r="HO120" s="9">
        <v>452</v>
      </c>
      <c r="HP120" s="9">
        <v>465.5</v>
      </c>
      <c r="HQ120" s="9">
        <v>456</v>
      </c>
      <c r="HR120" s="9">
        <v>449</v>
      </c>
      <c r="HS120" s="9">
        <v>462.5</v>
      </c>
      <c r="HT120" s="9">
        <v>503</v>
      </c>
      <c r="HU120" s="9">
        <v>515.29999999999995</v>
      </c>
      <c r="HV120" s="9">
        <v>391</v>
      </c>
      <c r="HW120" s="9">
        <v>387</v>
      </c>
      <c r="HX120" s="9">
        <v>332.1</v>
      </c>
      <c r="HY120" s="9">
        <v>284</v>
      </c>
      <c r="HZ120" s="9">
        <v>350</v>
      </c>
      <c r="IA120" s="9">
        <v>397.2</v>
      </c>
      <c r="IB120" s="9">
        <v>471.6</v>
      </c>
      <c r="IC120" s="9">
        <v>514.1</v>
      </c>
      <c r="ID120" s="9">
        <v>487.9</v>
      </c>
      <c r="IE120" s="9">
        <v>482</v>
      </c>
      <c r="IF120" s="9">
        <v>475.5</v>
      </c>
      <c r="IG120" s="9">
        <v>485</v>
      </c>
      <c r="IH120" s="9">
        <v>501</v>
      </c>
      <c r="II120" s="9">
        <v>497</v>
      </c>
      <c r="IJ120" s="9">
        <v>424</v>
      </c>
      <c r="IK120" s="9">
        <v>461</v>
      </c>
      <c r="IL120" s="9">
        <v>439</v>
      </c>
      <c r="IM120" s="9">
        <v>446</v>
      </c>
      <c r="IN120" s="9">
        <v>411.4</v>
      </c>
      <c r="IO120" s="9"/>
      <c r="IP120" s="9">
        <v>612</v>
      </c>
      <c r="IQ120" s="9">
        <v>481</v>
      </c>
      <c r="IR120" s="9">
        <v>167</v>
      </c>
      <c r="IS120" s="9">
        <v>452</v>
      </c>
      <c r="IT120" s="9">
        <v>432</v>
      </c>
      <c r="IU120" s="9"/>
      <c r="IV120" s="9"/>
      <c r="IW120" s="9">
        <v>416</v>
      </c>
      <c r="IX120" s="9">
        <v>445</v>
      </c>
      <c r="IY120" s="9">
        <v>395</v>
      </c>
      <c r="IZ120" s="9">
        <v>432</v>
      </c>
      <c r="JA120" s="9">
        <v>412.5</v>
      </c>
      <c r="JB120" s="11">
        <v>29.49</v>
      </c>
      <c r="JC120" s="11">
        <v>32.130000000000003</v>
      </c>
      <c r="JD120" s="11">
        <v>1.64</v>
      </c>
      <c r="JE120" s="11">
        <v>5.3</v>
      </c>
      <c r="JF120" s="11"/>
      <c r="JG120" s="11"/>
      <c r="JH120" s="13">
        <v>2.1</v>
      </c>
      <c r="JI120" s="12"/>
      <c r="JJ120" s="277"/>
      <c r="JK120" s="9">
        <v>89405617.290999994</v>
      </c>
      <c r="JL120" s="215">
        <v>283770.28600000002</v>
      </c>
      <c r="JM120" s="9">
        <v>62277022.662</v>
      </c>
      <c r="JN120" s="215">
        <v>63607.663999999997</v>
      </c>
      <c r="JO120" s="9">
        <v>90075838.802000001</v>
      </c>
      <c r="JP120" s="215">
        <v>189538.568</v>
      </c>
      <c r="JQ120" s="9">
        <v>65615621.783</v>
      </c>
      <c r="JR120" s="215">
        <v>59128.023999999998</v>
      </c>
      <c r="JS120" s="11">
        <v>338469279.86299998</v>
      </c>
      <c r="JT120" s="223">
        <v>92561.426000000007</v>
      </c>
      <c r="JU120" s="283">
        <f t="shared" ref="JU120" si="767">IF((JK120-JK119)&lt;0,"",(JK120-JK119))</f>
        <v>29158.697999998927</v>
      </c>
      <c r="JV120" s="283">
        <f t="shared" ref="JV120" si="768">IF((JL120-JL119)&lt;0,"",(JL120-JL119))</f>
        <v>8.9410000000498258</v>
      </c>
      <c r="JW120" s="283">
        <f t="shared" ref="JW120" si="769">IF((JM120-JM119)&lt;0,"",(JM120-JM119))</f>
        <v>29443.875</v>
      </c>
      <c r="JX120" s="283">
        <f t="shared" ref="JX120" si="770">IF((JN120-JN119)&lt;0,"",(JN120-JN119))</f>
        <v>12.883999999998196</v>
      </c>
      <c r="JY120" s="284">
        <f t="shared" ref="JY120" si="771">IF((JO120-JO119)&lt;0,"",(JO120-JO119))</f>
        <v>29049.107000008225</v>
      </c>
      <c r="JZ120" s="284">
        <f t="shared" ref="JZ120" si="772">IF((JP120-JP119)&lt;0,"",(JP120-JP119))</f>
        <v>23.269999999989523</v>
      </c>
      <c r="KA120" s="284">
        <f t="shared" ref="KA120" si="773">IF((JQ120-JQ119)&lt;0,"",(JQ120-JQ119))</f>
        <v>23366.913000002503</v>
      </c>
      <c r="KB120" s="284">
        <f t="shared" ref="KB120" si="774">IF((JR120-JR119)&lt;0,"",(JR120-JR119))</f>
        <v>28.543999999994412</v>
      </c>
      <c r="KC120" s="283">
        <f t="shared" ref="KC120" si="775">IF((JS120-JS119)&lt;0,"",(JS120-JS119))</f>
        <v>110850.00900000334</v>
      </c>
      <c r="KD120" s="283">
        <f t="shared" ref="KD120" si="776">IF((JT120-JT119)&lt;0,"",(JT120-JT119))</f>
        <v>95.681000000011409</v>
      </c>
      <c r="KE120" s="291">
        <f t="shared" si="555"/>
        <v>58580.747999998879</v>
      </c>
      <c r="KF120" s="291">
        <f t="shared" si="556"/>
        <v>110754.32800000333</v>
      </c>
      <c r="KG120" s="292">
        <f>(RD[[#This Row],[Sunset Time (POA&lt;20 W/m2)]]-RD[[#This Row],[Sunrise Time (POA&gt;20 W/m2)]])*24</f>
        <v>13.100000000000001</v>
      </c>
      <c r="KH120" s="293">
        <f>RD[[#This Row],[GHI ]]</f>
        <v>0</v>
      </c>
      <c r="KI120" s="293">
        <f>RD[[#This Row],[POA]]</f>
        <v>2.1</v>
      </c>
      <c r="KJ120" s="293">
        <f>RD[[#This Row],[AT (°C) 14 Hours]]</f>
        <v>29.49</v>
      </c>
      <c r="KK120" s="293">
        <f>RD[[#This Row],[MT (°C) Gen. Hours]]</f>
        <v>32.130000000000003</v>
      </c>
      <c r="KL120" s="293">
        <f>RD[[#This Row],[WS_Avg (m/s) (24 Hours)]]</f>
        <v>1.64</v>
      </c>
      <c r="KM120" s="293">
        <f>RD[[#This Row],[WS_Max (m/s)]]</f>
        <v>5.3</v>
      </c>
      <c r="KN120" s="294">
        <f>SUM(RD[[#This Row],[BLK1_INV1]:[BLK8_INV27]])</f>
        <v>112397.24</v>
      </c>
      <c r="KO120" s="95"/>
      <c r="KP120" s="55"/>
      <c r="KQ120" s="90" t="str">
        <f>IFERROR(RD[[#This Row],[WPR_Eac]]/RD[[#This Row],[WPR_Edc]],"")</f>
        <v/>
      </c>
    </row>
    <row r="121" spans="2:303" ht="15" customHeight="1" x14ac:dyDescent="0.25">
      <c r="B121" s="52">
        <v>45862</v>
      </c>
      <c r="C121" s="9">
        <f>YEAR(RD[[#This Row],[Date]])+IF(MONTH(RD[[#This Row],[Date]])&gt;=4,1,0)</f>
        <v>2026</v>
      </c>
      <c r="D121" s="6">
        <f t="shared" si="544"/>
        <v>2025</v>
      </c>
      <c r="E121" s="7"/>
      <c r="F121" s="7"/>
      <c r="G121" s="367" t="str">
        <f>TEXT(RD[[#This Row],[Date]],"mmm-yy")</f>
        <v>Jul-25</v>
      </c>
      <c r="H121" s="6">
        <f t="shared" si="545"/>
        <v>31</v>
      </c>
      <c r="I121" s="9">
        <f>'Basic Data '!$S$2</f>
        <v>66750</v>
      </c>
      <c r="J121" s="10"/>
      <c r="K121" s="10"/>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c r="EO121" s="9"/>
      <c r="EP121" s="9"/>
      <c r="EQ121" s="9"/>
      <c r="ER121" s="9"/>
      <c r="ES121" s="9"/>
      <c r="ET121" s="9"/>
      <c r="EU121" s="9"/>
      <c r="EV121" s="9"/>
      <c r="EW121" s="9"/>
      <c r="EX121" s="9"/>
      <c r="EY121" s="9"/>
      <c r="EZ121" s="9"/>
      <c r="FA121" s="9"/>
      <c r="FB121" s="9"/>
      <c r="FC121" s="9"/>
      <c r="FD121" s="9"/>
      <c r="FE121" s="9"/>
      <c r="FF121" s="9"/>
      <c r="FG121" s="9"/>
      <c r="FH121" s="9"/>
      <c r="FI121" s="9"/>
      <c r="FJ121" s="9"/>
      <c r="FK121" s="9"/>
      <c r="FL121" s="9"/>
      <c r="FM121" s="9"/>
      <c r="FN121" s="9"/>
      <c r="FO121" s="9"/>
      <c r="FP121" s="9"/>
      <c r="FQ121" s="9"/>
      <c r="FR121" s="9"/>
      <c r="FS121" s="9"/>
      <c r="FT121" s="9"/>
      <c r="FU121" s="9"/>
      <c r="FV121" s="9"/>
      <c r="FW121" s="9"/>
      <c r="FX121" s="9"/>
      <c r="FY121" s="9"/>
      <c r="FZ121" s="9"/>
      <c r="GA121" s="9"/>
      <c r="GB121" s="9"/>
      <c r="GC121" s="9"/>
      <c r="GD121" s="9"/>
      <c r="GE121" s="9"/>
      <c r="GF121" s="9"/>
      <c r="GG121" s="9"/>
      <c r="GH121" s="9"/>
      <c r="GI121" s="9"/>
      <c r="GJ121" s="9"/>
      <c r="GK121" s="9"/>
      <c r="GL121" s="9"/>
      <c r="GM121" s="9"/>
      <c r="GN121" s="9"/>
      <c r="GO121" s="9"/>
      <c r="GP121" s="9"/>
      <c r="GQ121" s="9"/>
      <c r="GR121" s="9"/>
      <c r="GS121" s="9"/>
      <c r="GT121" s="9"/>
      <c r="GU121" s="9"/>
      <c r="GV121" s="9"/>
      <c r="GW121" s="9"/>
      <c r="GX121" s="9"/>
      <c r="GY121" s="9"/>
      <c r="GZ121" s="9"/>
      <c r="HA121" s="9"/>
      <c r="HB121" s="9"/>
      <c r="HC121" s="9"/>
      <c r="HD121" s="9"/>
      <c r="HE121" s="9"/>
      <c r="HF121" s="9"/>
      <c r="HG121" s="9"/>
      <c r="HH121" s="9"/>
      <c r="HI121" s="9"/>
      <c r="HJ121" s="9"/>
      <c r="HK121" s="9"/>
      <c r="HL121" s="9"/>
      <c r="HM121" s="9"/>
      <c r="HN121" s="9"/>
      <c r="HO121" s="9"/>
      <c r="HP121" s="9"/>
      <c r="HQ121" s="9"/>
      <c r="HR121" s="9"/>
      <c r="HS121" s="9"/>
      <c r="HT121" s="9"/>
      <c r="HU121" s="9"/>
      <c r="HV121" s="9"/>
      <c r="HW121" s="9"/>
      <c r="HX121" s="9"/>
      <c r="HY121" s="9"/>
      <c r="HZ121" s="9"/>
      <c r="IA121" s="9"/>
      <c r="IB121" s="9"/>
      <c r="IC121" s="9"/>
      <c r="ID121" s="9"/>
      <c r="IE121" s="9"/>
      <c r="IF121" s="9"/>
      <c r="IG121" s="9"/>
      <c r="IH121" s="9"/>
      <c r="II121" s="9"/>
      <c r="IJ121" s="9"/>
      <c r="IK121" s="9"/>
      <c r="IL121" s="9"/>
      <c r="IM121" s="9"/>
      <c r="IN121" s="9"/>
      <c r="IO121" s="9"/>
      <c r="IP121" s="9"/>
      <c r="IQ121" s="9"/>
      <c r="IR121" s="9"/>
      <c r="IS121" s="9"/>
      <c r="IT121" s="9"/>
      <c r="IU121" s="9"/>
      <c r="IV121" s="9"/>
      <c r="IW121" s="9"/>
      <c r="IX121" s="9"/>
      <c r="IY121" s="9"/>
      <c r="IZ121" s="9"/>
      <c r="JA121" s="9"/>
      <c r="JB121" s="11"/>
      <c r="JC121" s="11"/>
      <c r="JD121" s="11"/>
      <c r="JE121" s="11"/>
      <c r="JF121" s="11"/>
      <c r="JG121" s="11"/>
      <c r="JH121" s="13"/>
      <c r="JI121" s="12"/>
      <c r="JJ121" s="277"/>
      <c r="JK121" s="9"/>
      <c r="JL121" s="260"/>
      <c r="JM121" s="9"/>
      <c r="JN121" s="260"/>
      <c r="JO121" s="9"/>
      <c r="JP121" s="260"/>
      <c r="JQ121" s="9"/>
      <c r="JR121" s="260"/>
      <c r="JS121" s="11"/>
      <c r="JT121" s="289"/>
      <c r="JU121" s="378"/>
      <c r="JV121" s="378"/>
      <c r="JW121" s="378"/>
      <c r="JX121" s="378"/>
      <c r="JY121" s="379"/>
      <c r="JZ121" s="379"/>
      <c r="KA121" s="379"/>
      <c r="KB121" s="379"/>
      <c r="KC121" s="378"/>
      <c r="KD121" s="378"/>
      <c r="KE121" s="291">
        <f t="shared" si="555"/>
        <v>0</v>
      </c>
      <c r="KF121" s="291">
        <f t="shared" si="556"/>
        <v>0</v>
      </c>
      <c r="KG121" s="292">
        <f>(RD[[#This Row],[Sunset Time (POA&lt;20 W/m2)]]-RD[[#This Row],[Sunrise Time (POA&gt;20 W/m2)]])*24</f>
        <v>0</v>
      </c>
      <c r="KH121" s="293">
        <f>RD[[#This Row],[GHI ]]</f>
        <v>0</v>
      </c>
      <c r="KI121" s="293">
        <f>RD[[#This Row],[POA]]</f>
        <v>0</v>
      </c>
      <c r="KJ121" s="293">
        <f>RD[[#This Row],[AT (°C) 14 Hours]]</f>
        <v>0</v>
      </c>
      <c r="KK121" s="293">
        <f>RD[[#This Row],[MT (°C) Gen. Hours]]</f>
        <v>0</v>
      </c>
      <c r="KL121" s="293">
        <f>RD[[#This Row],[WS_Avg (m/s) (24 Hours)]]</f>
        <v>0</v>
      </c>
      <c r="KM121" s="293">
        <f>RD[[#This Row],[WS_Max (m/s)]]</f>
        <v>0</v>
      </c>
      <c r="KN121" s="294">
        <f>SUM(RD[[#This Row],[BLK1_INV1]:[BLK8_INV27]])</f>
        <v>0</v>
      </c>
      <c r="KO121" s="95"/>
      <c r="KP121" s="55"/>
      <c r="KQ121" s="90" t="str">
        <f>IFERROR(RD[[#This Row],[WPR_Eac]]/RD[[#This Row],[WPR_Edc]],"")</f>
        <v/>
      </c>
    </row>
    <row r="122" spans="2:303" ht="15" customHeight="1" x14ac:dyDescent="0.25">
      <c r="B122" s="52">
        <v>45863</v>
      </c>
      <c r="C122" s="9">
        <f>YEAR(RD[[#This Row],[Date]])+IF(MONTH(RD[[#This Row],[Date]])&gt;=4,1,0)</f>
        <v>2026</v>
      </c>
      <c r="D122" s="6">
        <f t="shared" si="544"/>
        <v>2025</v>
      </c>
      <c r="E122" s="7"/>
      <c r="F122" s="7"/>
      <c r="G122" s="367" t="str">
        <f>TEXT(RD[[#This Row],[Date]],"mmm-yy")</f>
        <v>Jul-25</v>
      </c>
      <c r="H122" s="6">
        <f t="shared" si="545"/>
        <v>31</v>
      </c>
      <c r="I122" s="9">
        <f>'Basic Data '!$S$2</f>
        <v>66750</v>
      </c>
      <c r="J122" s="10"/>
      <c r="K122" s="10"/>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c r="EG122" s="9"/>
      <c r="EH122" s="9"/>
      <c r="EI122" s="9"/>
      <c r="EJ122" s="9"/>
      <c r="EK122" s="9"/>
      <c r="EL122" s="9"/>
      <c r="EM122" s="9"/>
      <c r="EN122" s="9"/>
      <c r="EO122" s="9"/>
      <c r="EP122" s="9"/>
      <c r="EQ122" s="9"/>
      <c r="ER122" s="9"/>
      <c r="ES122" s="9"/>
      <c r="ET122" s="9"/>
      <c r="EU122" s="9"/>
      <c r="EV122" s="9"/>
      <c r="EW122" s="9"/>
      <c r="EX122" s="9"/>
      <c r="EY122" s="9"/>
      <c r="EZ122" s="9"/>
      <c r="FA122" s="9"/>
      <c r="FB122" s="9"/>
      <c r="FC122" s="9"/>
      <c r="FD122" s="9"/>
      <c r="FE122" s="9"/>
      <c r="FF122" s="9"/>
      <c r="FG122" s="9"/>
      <c r="FH122" s="9"/>
      <c r="FI122" s="9"/>
      <c r="FJ122" s="9"/>
      <c r="FK122" s="9"/>
      <c r="FL122" s="9"/>
      <c r="FM122" s="9"/>
      <c r="FN122" s="9"/>
      <c r="FO122" s="9"/>
      <c r="FP122" s="9"/>
      <c r="FQ122" s="9"/>
      <c r="FR122" s="9"/>
      <c r="FS122" s="9"/>
      <c r="FT122" s="9"/>
      <c r="FU122" s="9"/>
      <c r="FV122" s="9"/>
      <c r="FW122" s="9"/>
      <c r="FX122" s="9"/>
      <c r="FY122" s="9"/>
      <c r="FZ122" s="9"/>
      <c r="GA122" s="9"/>
      <c r="GB122" s="9"/>
      <c r="GC122" s="9"/>
      <c r="GD122" s="9"/>
      <c r="GE122" s="9"/>
      <c r="GF122" s="9"/>
      <c r="GG122" s="9"/>
      <c r="GH122" s="9"/>
      <c r="GI122" s="9"/>
      <c r="GJ122" s="9"/>
      <c r="GK122" s="9"/>
      <c r="GL122" s="9"/>
      <c r="GM122" s="9"/>
      <c r="GN122" s="9"/>
      <c r="GO122" s="9"/>
      <c r="GP122" s="9"/>
      <c r="GQ122" s="9"/>
      <c r="GR122" s="9"/>
      <c r="GS122" s="9"/>
      <c r="GT122" s="9"/>
      <c r="GU122" s="9"/>
      <c r="GV122" s="9"/>
      <c r="GW122" s="9"/>
      <c r="GX122" s="9"/>
      <c r="GY122" s="9"/>
      <c r="GZ122" s="9"/>
      <c r="HA122" s="9"/>
      <c r="HB122" s="9"/>
      <c r="HC122" s="9"/>
      <c r="HD122" s="9"/>
      <c r="HE122" s="9"/>
      <c r="HF122" s="9"/>
      <c r="HG122" s="9"/>
      <c r="HH122" s="9"/>
      <c r="HI122" s="9"/>
      <c r="HJ122" s="9"/>
      <c r="HK122" s="9"/>
      <c r="HL122" s="9"/>
      <c r="HM122" s="9"/>
      <c r="HN122" s="9"/>
      <c r="HO122" s="9"/>
      <c r="HP122" s="9"/>
      <c r="HQ122" s="9"/>
      <c r="HR122" s="9"/>
      <c r="HS122" s="9"/>
      <c r="HT122" s="9"/>
      <c r="HU122" s="9"/>
      <c r="HV122" s="9"/>
      <c r="HW122" s="9"/>
      <c r="HX122" s="9"/>
      <c r="HY122" s="9"/>
      <c r="HZ122" s="9"/>
      <c r="IA122" s="9"/>
      <c r="IB122" s="9"/>
      <c r="IC122" s="9"/>
      <c r="ID122" s="9"/>
      <c r="IE122" s="9"/>
      <c r="IF122" s="9"/>
      <c r="IG122" s="9"/>
      <c r="IH122" s="9"/>
      <c r="II122" s="9"/>
      <c r="IJ122" s="9"/>
      <c r="IK122" s="9"/>
      <c r="IL122" s="9"/>
      <c r="IM122" s="9"/>
      <c r="IN122" s="9"/>
      <c r="IO122" s="9"/>
      <c r="IP122" s="9"/>
      <c r="IQ122" s="9"/>
      <c r="IR122" s="9"/>
      <c r="IS122" s="9"/>
      <c r="IT122" s="9"/>
      <c r="IU122" s="9"/>
      <c r="IV122" s="9"/>
      <c r="IW122" s="9"/>
      <c r="IX122" s="9"/>
      <c r="IY122" s="9"/>
      <c r="IZ122" s="9"/>
      <c r="JA122" s="9"/>
      <c r="JB122" s="11"/>
      <c r="JC122" s="11"/>
      <c r="JD122" s="11"/>
      <c r="JE122" s="11"/>
      <c r="JF122" s="11"/>
      <c r="JG122" s="11"/>
      <c r="JH122" s="13"/>
      <c r="JI122" s="12"/>
      <c r="JJ122" s="277"/>
      <c r="JK122" s="9"/>
      <c r="JL122" s="260"/>
      <c r="JM122" s="9"/>
      <c r="JN122" s="260"/>
      <c r="JO122" s="9"/>
      <c r="JP122" s="260"/>
      <c r="JQ122" s="9"/>
      <c r="JR122" s="260"/>
      <c r="JS122" s="11"/>
      <c r="JT122" s="289"/>
      <c r="JU122" s="378"/>
      <c r="JV122" s="378"/>
      <c r="JW122" s="378"/>
      <c r="JX122" s="378"/>
      <c r="JY122" s="379"/>
      <c r="JZ122" s="379"/>
      <c r="KA122" s="379"/>
      <c r="KB122" s="379"/>
      <c r="KC122" s="378"/>
      <c r="KD122" s="378"/>
      <c r="KE122" s="291">
        <f t="shared" si="555"/>
        <v>0</v>
      </c>
      <c r="KF122" s="291">
        <f t="shared" si="556"/>
        <v>0</v>
      </c>
      <c r="KG122" s="292">
        <f>(RD[[#This Row],[Sunset Time (POA&lt;20 W/m2)]]-RD[[#This Row],[Sunrise Time (POA&gt;20 W/m2)]])*24</f>
        <v>0</v>
      </c>
      <c r="KH122" s="293">
        <f>RD[[#This Row],[GHI ]]</f>
        <v>0</v>
      </c>
      <c r="KI122" s="293">
        <f>RD[[#This Row],[POA]]</f>
        <v>0</v>
      </c>
      <c r="KJ122" s="293">
        <f>RD[[#This Row],[AT (°C) 14 Hours]]</f>
        <v>0</v>
      </c>
      <c r="KK122" s="293">
        <f>RD[[#This Row],[MT (°C) Gen. Hours]]</f>
        <v>0</v>
      </c>
      <c r="KL122" s="293">
        <f>RD[[#This Row],[WS_Avg (m/s) (24 Hours)]]</f>
        <v>0</v>
      </c>
      <c r="KM122" s="293">
        <f>RD[[#This Row],[WS_Max (m/s)]]</f>
        <v>0</v>
      </c>
      <c r="KN122" s="294">
        <f>SUM(RD[[#This Row],[BLK1_INV1]:[BLK8_INV27]])</f>
        <v>0</v>
      </c>
      <c r="KO122" s="95"/>
      <c r="KP122" s="55"/>
      <c r="KQ122" s="90" t="str">
        <f>IFERROR(RD[[#This Row],[WPR_Eac]]/RD[[#This Row],[WPR_Edc]],"")</f>
        <v/>
      </c>
    </row>
    <row r="123" spans="2:303" ht="15" customHeight="1" x14ac:dyDescent="0.25">
      <c r="B123" s="52">
        <v>45864</v>
      </c>
      <c r="C123" s="9">
        <f>YEAR(RD[[#This Row],[Date]])+IF(MONTH(RD[[#This Row],[Date]])&gt;=4,1,0)</f>
        <v>2026</v>
      </c>
      <c r="D123" s="6">
        <f t="shared" si="544"/>
        <v>2025</v>
      </c>
      <c r="E123" s="7"/>
      <c r="F123" s="7"/>
      <c r="G123" s="367" t="str">
        <f>TEXT(RD[[#This Row],[Date]],"mmm-yy")</f>
        <v>Jul-25</v>
      </c>
      <c r="H123" s="6">
        <f t="shared" si="545"/>
        <v>31</v>
      </c>
      <c r="I123" s="9">
        <f>'Basic Data '!$S$2</f>
        <v>66750</v>
      </c>
      <c r="J123" s="10"/>
      <c r="K123" s="10"/>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c r="EG123" s="9"/>
      <c r="EH123" s="9"/>
      <c r="EI123" s="9"/>
      <c r="EJ123" s="9"/>
      <c r="EK123" s="9"/>
      <c r="EL123" s="9"/>
      <c r="EM123" s="9"/>
      <c r="EN123" s="9"/>
      <c r="EO123" s="9"/>
      <c r="EP123" s="9"/>
      <c r="EQ123" s="9"/>
      <c r="ER123" s="9"/>
      <c r="ES123" s="9"/>
      <c r="ET123" s="9"/>
      <c r="EU123" s="9"/>
      <c r="EV123" s="9"/>
      <c r="EW123" s="9"/>
      <c r="EX123" s="9"/>
      <c r="EY123" s="9"/>
      <c r="EZ123" s="9"/>
      <c r="FA123" s="9"/>
      <c r="FB123" s="9"/>
      <c r="FC123" s="9"/>
      <c r="FD123" s="9"/>
      <c r="FE123" s="9"/>
      <c r="FF123" s="9"/>
      <c r="FG123" s="9"/>
      <c r="FH123" s="9"/>
      <c r="FI123" s="9"/>
      <c r="FJ123" s="9"/>
      <c r="FK123" s="9"/>
      <c r="FL123" s="9"/>
      <c r="FM123" s="9"/>
      <c r="FN123" s="9"/>
      <c r="FO123" s="9"/>
      <c r="FP123" s="9"/>
      <c r="FQ123" s="9"/>
      <c r="FR123" s="9"/>
      <c r="FS123" s="9"/>
      <c r="FT123" s="9"/>
      <c r="FU123" s="9"/>
      <c r="FV123" s="9"/>
      <c r="FW123" s="9"/>
      <c r="FX123" s="9"/>
      <c r="FY123" s="9"/>
      <c r="FZ123" s="9"/>
      <c r="GA123" s="9"/>
      <c r="GB123" s="9"/>
      <c r="GC123" s="9"/>
      <c r="GD123" s="9"/>
      <c r="GE123" s="9"/>
      <c r="GF123" s="9"/>
      <c r="GG123" s="9"/>
      <c r="GH123" s="9"/>
      <c r="GI123" s="9"/>
      <c r="GJ123" s="9"/>
      <c r="GK123" s="9"/>
      <c r="GL123" s="9"/>
      <c r="GM123" s="9"/>
      <c r="GN123" s="9"/>
      <c r="GO123" s="9"/>
      <c r="GP123" s="9"/>
      <c r="GQ123" s="9"/>
      <c r="GR123" s="9"/>
      <c r="GS123" s="9"/>
      <c r="GT123" s="9"/>
      <c r="GU123" s="9"/>
      <c r="GV123" s="9"/>
      <c r="GW123" s="9"/>
      <c r="GX123" s="9"/>
      <c r="GY123" s="9"/>
      <c r="GZ123" s="9"/>
      <c r="HA123" s="9"/>
      <c r="HB123" s="9"/>
      <c r="HC123" s="9"/>
      <c r="HD123" s="9"/>
      <c r="HE123" s="9"/>
      <c r="HF123" s="9"/>
      <c r="HG123" s="9"/>
      <c r="HH123" s="9"/>
      <c r="HI123" s="9"/>
      <c r="HJ123" s="9"/>
      <c r="HK123" s="9"/>
      <c r="HL123" s="9"/>
      <c r="HM123" s="9"/>
      <c r="HN123" s="9"/>
      <c r="HO123" s="9"/>
      <c r="HP123" s="9"/>
      <c r="HQ123" s="9"/>
      <c r="HR123" s="9"/>
      <c r="HS123" s="9"/>
      <c r="HT123" s="9"/>
      <c r="HU123" s="9"/>
      <c r="HV123" s="9"/>
      <c r="HW123" s="9"/>
      <c r="HX123" s="9"/>
      <c r="HY123" s="9"/>
      <c r="HZ123" s="9"/>
      <c r="IA123" s="9"/>
      <c r="IB123" s="9"/>
      <c r="IC123" s="9"/>
      <c r="ID123" s="9"/>
      <c r="IE123" s="9"/>
      <c r="IF123" s="9"/>
      <c r="IG123" s="9"/>
      <c r="IH123" s="9"/>
      <c r="II123" s="9"/>
      <c r="IJ123" s="9"/>
      <c r="IK123" s="9"/>
      <c r="IL123" s="9"/>
      <c r="IM123" s="9"/>
      <c r="IN123" s="9"/>
      <c r="IO123" s="9"/>
      <c r="IP123" s="9"/>
      <c r="IQ123" s="9"/>
      <c r="IR123" s="9"/>
      <c r="IS123" s="9"/>
      <c r="IT123" s="9"/>
      <c r="IU123" s="9"/>
      <c r="IV123" s="9"/>
      <c r="IW123" s="9"/>
      <c r="IX123" s="9"/>
      <c r="IY123" s="9"/>
      <c r="IZ123" s="9"/>
      <c r="JA123" s="9"/>
      <c r="JB123" s="11"/>
      <c r="JC123" s="11"/>
      <c r="JD123" s="11"/>
      <c r="JE123" s="11"/>
      <c r="JF123" s="11"/>
      <c r="JG123" s="11"/>
      <c r="JH123" s="13"/>
      <c r="JI123" s="12"/>
      <c r="JJ123" s="277"/>
      <c r="JK123" s="9"/>
      <c r="JL123" s="260"/>
      <c r="JM123" s="9"/>
      <c r="JN123" s="260"/>
      <c r="JO123" s="9"/>
      <c r="JP123" s="260"/>
      <c r="JQ123" s="9"/>
      <c r="JR123" s="260"/>
      <c r="JS123" s="11"/>
      <c r="JT123" s="289"/>
      <c r="JU123" s="378"/>
      <c r="JV123" s="378"/>
      <c r="JW123" s="378"/>
      <c r="JX123" s="378"/>
      <c r="JY123" s="379"/>
      <c r="JZ123" s="379"/>
      <c r="KA123" s="379"/>
      <c r="KB123" s="379"/>
      <c r="KC123" s="378"/>
      <c r="KD123" s="378"/>
      <c r="KE123" s="291">
        <f t="shared" si="555"/>
        <v>0</v>
      </c>
      <c r="KF123" s="291">
        <f t="shared" si="556"/>
        <v>0</v>
      </c>
      <c r="KG123" s="292">
        <f>(RD[[#This Row],[Sunset Time (POA&lt;20 W/m2)]]-RD[[#This Row],[Sunrise Time (POA&gt;20 W/m2)]])*24</f>
        <v>0</v>
      </c>
      <c r="KH123" s="293">
        <f>RD[[#This Row],[GHI ]]</f>
        <v>0</v>
      </c>
      <c r="KI123" s="293">
        <f>RD[[#This Row],[POA]]</f>
        <v>0</v>
      </c>
      <c r="KJ123" s="293">
        <f>RD[[#This Row],[AT (°C) 14 Hours]]</f>
        <v>0</v>
      </c>
      <c r="KK123" s="293">
        <f>RD[[#This Row],[MT (°C) Gen. Hours]]</f>
        <v>0</v>
      </c>
      <c r="KL123" s="293">
        <f>RD[[#This Row],[WS_Avg (m/s) (24 Hours)]]</f>
        <v>0</v>
      </c>
      <c r="KM123" s="293">
        <f>RD[[#This Row],[WS_Max (m/s)]]</f>
        <v>0</v>
      </c>
      <c r="KN123" s="294">
        <f>SUM(RD[[#This Row],[BLK1_INV1]:[BLK8_INV27]])</f>
        <v>0</v>
      </c>
      <c r="KO123" s="95"/>
      <c r="KP123" s="55"/>
      <c r="KQ123" s="90" t="str">
        <f>IFERROR(RD[[#This Row],[WPR_Eac]]/RD[[#This Row],[WPR_Edc]],"")</f>
        <v/>
      </c>
    </row>
    <row r="124" spans="2:303" ht="15" customHeight="1" x14ac:dyDescent="0.25">
      <c r="B124" s="52">
        <v>45865</v>
      </c>
      <c r="C124" s="9">
        <f>YEAR(RD[[#This Row],[Date]])+IF(MONTH(RD[[#This Row],[Date]])&gt;=4,1,0)</f>
        <v>2026</v>
      </c>
      <c r="D124" s="6">
        <f t="shared" si="544"/>
        <v>2025</v>
      </c>
      <c r="E124" s="7"/>
      <c r="F124" s="7"/>
      <c r="G124" s="367" t="str">
        <f>TEXT(RD[[#This Row],[Date]],"mmm-yy")</f>
        <v>Jul-25</v>
      </c>
      <c r="H124" s="6">
        <f t="shared" si="545"/>
        <v>31</v>
      </c>
      <c r="I124" s="9">
        <f>'Basic Data '!$S$2</f>
        <v>66750</v>
      </c>
      <c r="J124" s="10"/>
      <c r="K124" s="10"/>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c r="EG124" s="9"/>
      <c r="EH124" s="9"/>
      <c r="EI124" s="9"/>
      <c r="EJ124" s="9"/>
      <c r="EK124" s="9"/>
      <c r="EL124" s="9"/>
      <c r="EM124" s="9"/>
      <c r="EN124" s="9"/>
      <c r="EO124" s="9"/>
      <c r="EP124" s="9"/>
      <c r="EQ124" s="9"/>
      <c r="ER124" s="9"/>
      <c r="ES124" s="9"/>
      <c r="ET124" s="9"/>
      <c r="EU124" s="9"/>
      <c r="EV124" s="9"/>
      <c r="EW124" s="9"/>
      <c r="EX124" s="9"/>
      <c r="EY124" s="9"/>
      <c r="EZ124" s="9"/>
      <c r="FA124" s="9"/>
      <c r="FB124" s="9"/>
      <c r="FC124" s="9"/>
      <c r="FD124" s="9"/>
      <c r="FE124" s="9"/>
      <c r="FF124" s="9"/>
      <c r="FG124" s="9"/>
      <c r="FH124" s="9"/>
      <c r="FI124" s="9"/>
      <c r="FJ124" s="9"/>
      <c r="FK124" s="9"/>
      <c r="FL124" s="9"/>
      <c r="FM124" s="9"/>
      <c r="FN124" s="9"/>
      <c r="FO124" s="9"/>
      <c r="FP124" s="9"/>
      <c r="FQ124" s="9"/>
      <c r="FR124" s="9"/>
      <c r="FS124" s="9"/>
      <c r="FT124" s="9"/>
      <c r="FU124" s="9"/>
      <c r="FV124" s="9"/>
      <c r="FW124" s="9"/>
      <c r="FX124" s="9"/>
      <c r="FY124" s="9"/>
      <c r="FZ124" s="9"/>
      <c r="GA124" s="9"/>
      <c r="GB124" s="9"/>
      <c r="GC124" s="9"/>
      <c r="GD124" s="9"/>
      <c r="GE124" s="9"/>
      <c r="GF124" s="9"/>
      <c r="GG124" s="9"/>
      <c r="GH124" s="9"/>
      <c r="GI124" s="9"/>
      <c r="GJ124" s="9"/>
      <c r="GK124" s="9"/>
      <c r="GL124" s="9"/>
      <c r="GM124" s="9"/>
      <c r="GN124" s="9"/>
      <c r="GO124" s="9"/>
      <c r="GP124" s="9"/>
      <c r="GQ124" s="9"/>
      <c r="GR124" s="9"/>
      <c r="GS124" s="9"/>
      <c r="GT124" s="9"/>
      <c r="GU124" s="9"/>
      <c r="GV124" s="9"/>
      <c r="GW124" s="9"/>
      <c r="GX124" s="9"/>
      <c r="GY124" s="9"/>
      <c r="GZ124" s="9"/>
      <c r="HA124" s="9"/>
      <c r="HB124" s="9"/>
      <c r="HC124" s="9"/>
      <c r="HD124" s="9"/>
      <c r="HE124" s="9"/>
      <c r="HF124" s="9"/>
      <c r="HG124" s="9"/>
      <c r="HH124" s="9"/>
      <c r="HI124" s="9"/>
      <c r="HJ124" s="9"/>
      <c r="HK124" s="9"/>
      <c r="HL124" s="9"/>
      <c r="HM124" s="9"/>
      <c r="HN124" s="9"/>
      <c r="HO124" s="9"/>
      <c r="HP124" s="9"/>
      <c r="HQ124" s="9"/>
      <c r="HR124" s="9"/>
      <c r="HS124" s="9"/>
      <c r="HT124" s="9"/>
      <c r="HU124" s="9"/>
      <c r="HV124" s="9"/>
      <c r="HW124" s="9"/>
      <c r="HX124" s="9"/>
      <c r="HY124" s="9"/>
      <c r="HZ124" s="9"/>
      <c r="IA124" s="9"/>
      <c r="IB124" s="9"/>
      <c r="IC124" s="9"/>
      <c r="ID124" s="9"/>
      <c r="IE124" s="9"/>
      <c r="IF124" s="9"/>
      <c r="IG124" s="9"/>
      <c r="IH124" s="9"/>
      <c r="II124" s="9"/>
      <c r="IJ124" s="9"/>
      <c r="IK124" s="9"/>
      <c r="IL124" s="9"/>
      <c r="IM124" s="9"/>
      <c r="IN124" s="9"/>
      <c r="IO124" s="9"/>
      <c r="IP124" s="9"/>
      <c r="IQ124" s="9"/>
      <c r="IR124" s="9"/>
      <c r="IS124" s="9"/>
      <c r="IT124" s="9"/>
      <c r="IU124" s="9"/>
      <c r="IV124" s="9"/>
      <c r="IW124" s="9"/>
      <c r="IX124" s="9"/>
      <c r="IY124" s="9"/>
      <c r="IZ124" s="9"/>
      <c r="JA124" s="9"/>
      <c r="JB124" s="11"/>
      <c r="JC124" s="11"/>
      <c r="JD124" s="11"/>
      <c r="JE124" s="11"/>
      <c r="JF124" s="11"/>
      <c r="JG124" s="11"/>
      <c r="JH124" s="13"/>
      <c r="JI124" s="12"/>
      <c r="JJ124" s="277"/>
      <c r="JK124" s="9"/>
      <c r="JL124" s="260"/>
      <c r="JM124" s="9"/>
      <c r="JN124" s="260"/>
      <c r="JO124" s="9"/>
      <c r="JP124" s="260"/>
      <c r="JQ124" s="9"/>
      <c r="JR124" s="260"/>
      <c r="JS124" s="11"/>
      <c r="JT124" s="289"/>
      <c r="JU124" s="378"/>
      <c r="JV124" s="378"/>
      <c r="JW124" s="378"/>
      <c r="JX124" s="378"/>
      <c r="JY124" s="379"/>
      <c r="JZ124" s="379"/>
      <c r="KA124" s="379"/>
      <c r="KB124" s="379"/>
      <c r="KC124" s="378"/>
      <c r="KD124" s="378"/>
      <c r="KE124" s="291">
        <f t="shared" si="555"/>
        <v>0</v>
      </c>
      <c r="KF124" s="291">
        <f t="shared" si="556"/>
        <v>0</v>
      </c>
      <c r="KG124" s="292">
        <f>(RD[[#This Row],[Sunset Time (POA&lt;20 W/m2)]]-RD[[#This Row],[Sunrise Time (POA&gt;20 W/m2)]])*24</f>
        <v>0</v>
      </c>
      <c r="KH124" s="293">
        <f>RD[[#This Row],[GHI ]]</f>
        <v>0</v>
      </c>
      <c r="KI124" s="293">
        <f>RD[[#This Row],[POA]]</f>
        <v>0</v>
      </c>
      <c r="KJ124" s="293">
        <f>RD[[#This Row],[AT (°C) 14 Hours]]</f>
        <v>0</v>
      </c>
      <c r="KK124" s="293">
        <f>RD[[#This Row],[MT (°C) Gen. Hours]]</f>
        <v>0</v>
      </c>
      <c r="KL124" s="293">
        <f>RD[[#This Row],[WS_Avg (m/s) (24 Hours)]]</f>
        <v>0</v>
      </c>
      <c r="KM124" s="293">
        <f>RD[[#This Row],[WS_Max (m/s)]]</f>
        <v>0</v>
      </c>
      <c r="KN124" s="294">
        <f>SUM(RD[[#This Row],[BLK1_INV1]:[BLK8_INV27]])</f>
        <v>0</v>
      </c>
      <c r="KO124" s="95"/>
      <c r="KP124" s="55"/>
      <c r="KQ124" s="90" t="str">
        <f>IFERROR(RD[[#This Row],[WPR_Eac]]/RD[[#This Row],[WPR_Edc]],"")</f>
        <v/>
      </c>
    </row>
    <row r="125" spans="2:303" ht="15" customHeight="1" x14ac:dyDescent="0.25">
      <c r="B125" s="52">
        <v>45866</v>
      </c>
      <c r="C125" s="9">
        <f>YEAR(RD[[#This Row],[Date]])+IF(MONTH(RD[[#This Row],[Date]])&gt;=4,1,0)</f>
        <v>2026</v>
      </c>
      <c r="D125" s="6">
        <f t="shared" si="544"/>
        <v>2025</v>
      </c>
      <c r="E125" s="7"/>
      <c r="F125" s="7"/>
      <c r="G125" s="367" t="str">
        <f>TEXT(RD[[#This Row],[Date]],"mmm-yy")</f>
        <v>Jul-25</v>
      </c>
      <c r="H125" s="6">
        <f t="shared" si="545"/>
        <v>31</v>
      </c>
      <c r="I125" s="9">
        <f>'Basic Data '!$S$2</f>
        <v>66750</v>
      </c>
      <c r="J125" s="10"/>
      <c r="K125" s="10"/>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c r="EO125" s="9"/>
      <c r="EP125" s="9"/>
      <c r="EQ125" s="9"/>
      <c r="ER125" s="9"/>
      <c r="ES125" s="9"/>
      <c r="ET125" s="9"/>
      <c r="EU125" s="9"/>
      <c r="EV125" s="9"/>
      <c r="EW125" s="9"/>
      <c r="EX125" s="9"/>
      <c r="EY125" s="9"/>
      <c r="EZ125" s="9"/>
      <c r="FA125" s="9"/>
      <c r="FB125" s="9"/>
      <c r="FC125" s="9"/>
      <c r="FD125" s="9"/>
      <c r="FE125" s="9"/>
      <c r="FF125" s="9"/>
      <c r="FG125" s="9"/>
      <c r="FH125" s="9"/>
      <c r="FI125" s="9"/>
      <c r="FJ125" s="9"/>
      <c r="FK125" s="9"/>
      <c r="FL125" s="9"/>
      <c r="FM125" s="9"/>
      <c r="FN125" s="9"/>
      <c r="FO125" s="9"/>
      <c r="FP125" s="9"/>
      <c r="FQ125" s="9"/>
      <c r="FR125" s="9"/>
      <c r="FS125" s="9"/>
      <c r="FT125" s="9"/>
      <c r="FU125" s="9"/>
      <c r="FV125" s="9"/>
      <c r="FW125" s="9"/>
      <c r="FX125" s="9"/>
      <c r="FY125" s="9"/>
      <c r="FZ125" s="9"/>
      <c r="GA125" s="9"/>
      <c r="GB125" s="9"/>
      <c r="GC125" s="9"/>
      <c r="GD125" s="9"/>
      <c r="GE125" s="9"/>
      <c r="GF125" s="9"/>
      <c r="GG125" s="9"/>
      <c r="GH125" s="9"/>
      <c r="GI125" s="9"/>
      <c r="GJ125" s="9"/>
      <c r="GK125" s="9"/>
      <c r="GL125" s="9"/>
      <c r="GM125" s="9"/>
      <c r="GN125" s="9"/>
      <c r="GO125" s="9"/>
      <c r="GP125" s="9"/>
      <c r="GQ125" s="9"/>
      <c r="GR125" s="9"/>
      <c r="GS125" s="9"/>
      <c r="GT125" s="9"/>
      <c r="GU125" s="9"/>
      <c r="GV125" s="9"/>
      <c r="GW125" s="9"/>
      <c r="GX125" s="9"/>
      <c r="GY125" s="9"/>
      <c r="GZ125" s="9"/>
      <c r="HA125" s="9"/>
      <c r="HB125" s="9"/>
      <c r="HC125" s="9"/>
      <c r="HD125" s="9"/>
      <c r="HE125" s="9"/>
      <c r="HF125" s="9"/>
      <c r="HG125" s="9"/>
      <c r="HH125" s="9"/>
      <c r="HI125" s="9"/>
      <c r="HJ125" s="9"/>
      <c r="HK125" s="9"/>
      <c r="HL125" s="9"/>
      <c r="HM125" s="9"/>
      <c r="HN125" s="9"/>
      <c r="HO125" s="9"/>
      <c r="HP125" s="9"/>
      <c r="HQ125" s="9"/>
      <c r="HR125" s="9"/>
      <c r="HS125" s="9"/>
      <c r="HT125" s="9"/>
      <c r="HU125" s="9"/>
      <c r="HV125" s="9"/>
      <c r="HW125" s="9"/>
      <c r="HX125" s="9"/>
      <c r="HY125" s="9"/>
      <c r="HZ125" s="9"/>
      <c r="IA125" s="9"/>
      <c r="IB125" s="9"/>
      <c r="IC125" s="9"/>
      <c r="ID125" s="9"/>
      <c r="IE125" s="9"/>
      <c r="IF125" s="9"/>
      <c r="IG125" s="9"/>
      <c r="IH125" s="9"/>
      <c r="II125" s="9"/>
      <c r="IJ125" s="9"/>
      <c r="IK125" s="9"/>
      <c r="IL125" s="9"/>
      <c r="IM125" s="9"/>
      <c r="IN125" s="9"/>
      <c r="IO125" s="9"/>
      <c r="IP125" s="9"/>
      <c r="IQ125" s="9"/>
      <c r="IR125" s="9"/>
      <c r="IS125" s="9"/>
      <c r="IT125" s="9"/>
      <c r="IU125" s="9"/>
      <c r="IV125" s="9"/>
      <c r="IW125" s="9"/>
      <c r="IX125" s="9"/>
      <c r="IY125" s="9"/>
      <c r="IZ125" s="9"/>
      <c r="JA125" s="9"/>
      <c r="JB125" s="11"/>
      <c r="JC125" s="11"/>
      <c r="JD125" s="11"/>
      <c r="JE125" s="11"/>
      <c r="JF125" s="11"/>
      <c r="JG125" s="11"/>
      <c r="JH125" s="13"/>
      <c r="JI125" s="12"/>
      <c r="JJ125" s="277"/>
      <c r="JK125" s="9"/>
      <c r="JL125" s="260"/>
      <c r="JM125" s="9"/>
      <c r="JN125" s="260"/>
      <c r="JO125" s="9"/>
      <c r="JP125" s="260"/>
      <c r="JQ125" s="9"/>
      <c r="JR125" s="260"/>
      <c r="JS125" s="11"/>
      <c r="JT125" s="289"/>
      <c r="JU125" s="378"/>
      <c r="JV125" s="378"/>
      <c r="JW125" s="378"/>
      <c r="JX125" s="378"/>
      <c r="JY125" s="379"/>
      <c r="JZ125" s="379"/>
      <c r="KA125" s="379"/>
      <c r="KB125" s="379"/>
      <c r="KC125" s="378"/>
      <c r="KD125" s="378"/>
      <c r="KE125" s="291">
        <f t="shared" si="555"/>
        <v>0</v>
      </c>
      <c r="KF125" s="291">
        <f t="shared" si="556"/>
        <v>0</v>
      </c>
      <c r="KG125" s="292">
        <f>(RD[[#This Row],[Sunset Time (POA&lt;20 W/m2)]]-RD[[#This Row],[Sunrise Time (POA&gt;20 W/m2)]])*24</f>
        <v>0</v>
      </c>
      <c r="KH125" s="293">
        <f>RD[[#This Row],[GHI ]]</f>
        <v>0</v>
      </c>
      <c r="KI125" s="293">
        <f>RD[[#This Row],[POA]]</f>
        <v>0</v>
      </c>
      <c r="KJ125" s="293">
        <f>RD[[#This Row],[AT (°C) 14 Hours]]</f>
        <v>0</v>
      </c>
      <c r="KK125" s="293">
        <f>RD[[#This Row],[MT (°C) Gen. Hours]]</f>
        <v>0</v>
      </c>
      <c r="KL125" s="293">
        <f>RD[[#This Row],[WS_Avg (m/s) (24 Hours)]]</f>
        <v>0</v>
      </c>
      <c r="KM125" s="293">
        <f>RD[[#This Row],[WS_Max (m/s)]]</f>
        <v>0</v>
      </c>
      <c r="KN125" s="294">
        <f>SUM(RD[[#This Row],[BLK1_INV1]:[BLK8_INV27]])</f>
        <v>0</v>
      </c>
      <c r="KO125" s="95"/>
      <c r="KP125" s="55"/>
      <c r="KQ125" s="90" t="str">
        <f>IFERROR(RD[[#This Row],[WPR_Eac]]/RD[[#This Row],[WPR_Edc]],"")</f>
        <v/>
      </c>
    </row>
    <row r="126" spans="2:303" ht="15" customHeight="1" x14ac:dyDescent="0.25">
      <c r="B126" s="52">
        <v>45867</v>
      </c>
      <c r="C126" s="9">
        <f>YEAR(RD[[#This Row],[Date]])+IF(MONTH(RD[[#This Row],[Date]])&gt;=4,1,0)</f>
        <v>2026</v>
      </c>
      <c r="D126" s="6">
        <f t="shared" si="544"/>
        <v>2025</v>
      </c>
      <c r="E126" s="7"/>
      <c r="F126" s="7"/>
      <c r="G126" s="367" t="str">
        <f>TEXT(RD[[#This Row],[Date]],"mmm-yy")</f>
        <v>Jul-25</v>
      </c>
      <c r="H126" s="6">
        <f t="shared" si="545"/>
        <v>31</v>
      </c>
      <c r="I126" s="9">
        <f>'Basic Data '!$S$2</f>
        <v>66750</v>
      </c>
      <c r="J126" s="10"/>
      <c r="K126" s="10"/>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c r="HA126" s="9"/>
      <c r="HB126" s="9"/>
      <c r="HC126" s="9"/>
      <c r="HD126" s="9"/>
      <c r="HE126" s="9"/>
      <c r="HF126" s="9"/>
      <c r="HG126" s="9"/>
      <c r="HH126" s="9"/>
      <c r="HI126" s="9"/>
      <c r="HJ126" s="9"/>
      <c r="HK126" s="9"/>
      <c r="HL126" s="9"/>
      <c r="HM126" s="9"/>
      <c r="HN126" s="9"/>
      <c r="HO126" s="9"/>
      <c r="HP126" s="9"/>
      <c r="HQ126" s="9"/>
      <c r="HR126" s="9"/>
      <c r="HS126" s="9"/>
      <c r="HT126" s="9"/>
      <c r="HU126" s="9"/>
      <c r="HV126" s="9"/>
      <c r="HW126" s="9"/>
      <c r="HX126" s="9"/>
      <c r="HY126" s="9"/>
      <c r="HZ126" s="9"/>
      <c r="IA126" s="9"/>
      <c r="IB126" s="9"/>
      <c r="IC126" s="9"/>
      <c r="ID126" s="9"/>
      <c r="IE126" s="9"/>
      <c r="IF126" s="9"/>
      <c r="IG126" s="9"/>
      <c r="IH126" s="9"/>
      <c r="II126" s="9"/>
      <c r="IJ126" s="9"/>
      <c r="IK126" s="9"/>
      <c r="IL126" s="9"/>
      <c r="IM126" s="9"/>
      <c r="IN126" s="9"/>
      <c r="IO126" s="9"/>
      <c r="IP126" s="9"/>
      <c r="IQ126" s="9"/>
      <c r="IR126" s="9"/>
      <c r="IS126" s="9"/>
      <c r="IT126" s="9"/>
      <c r="IU126" s="9"/>
      <c r="IV126" s="9"/>
      <c r="IW126" s="9"/>
      <c r="IX126" s="9"/>
      <c r="IY126" s="9"/>
      <c r="IZ126" s="9"/>
      <c r="JA126" s="9"/>
      <c r="JB126" s="11"/>
      <c r="JC126" s="11"/>
      <c r="JD126" s="11"/>
      <c r="JE126" s="11"/>
      <c r="JF126" s="11"/>
      <c r="JG126" s="11"/>
      <c r="JH126" s="13"/>
      <c r="JI126" s="12"/>
      <c r="JJ126" s="277"/>
      <c r="JK126" s="9"/>
      <c r="JL126" s="260"/>
      <c r="JM126" s="9"/>
      <c r="JN126" s="260"/>
      <c r="JO126" s="9"/>
      <c r="JP126" s="260"/>
      <c r="JQ126" s="9"/>
      <c r="JR126" s="260"/>
      <c r="JS126" s="11"/>
      <c r="JT126" s="289"/>
      <c r="JU126" s="378"/>
      <c r="JV126" s="378"/>
      <c r="JW126" s="378"/>
      <c r="JX126" s="378"/>
      <c r="JY126" s="379"/>
      <c r="JZ126" s="379"/>
      <c r="KA126" s="379"/>
      <c r="KB126" s="379"/>
      <c r="KC126" s="378"/>
      <c r="KD126" s="378"/>
      <c r="KE126" s="291">
        <f t="shared" si="555"/>
        <v>0</v>
      </c>
      <c r="KF126" s="291">
        <f t="shared" si="556"/>
        <v>0</v>
      </c>
      <c r="KG126" s="292">
        <f>(RD[[#This Row],[Sunset Time (POA&lt;20 W/m2)]]-RD[[#This Row],[Sunrise Time (POA&gt;20 W/m2)]])*24</f>
        <v>0</v>
      </c>
      <c r="KH126" s="293">
        <f>RD[[#This Row],[GHI ]]</f>
        <v>0</v>
      </c>
      <c r="KI126" s="293">
        <f>RD[[#This Row],[POA]]</f>
        <v>0</v>
      </c>
      <c r="KJ126" s="293">
        <f>RD[[#This Row],[AT (°C) 14 Hours]]</f>
        <v>0</v>
      </c>
      <c r="KK126" s="293">
        <f>RD[[#This Row],[MT (°C) Gen. Hours]]</f>
        <v>0</v>
      </c>
      <c r="KL126" s="293">
        <f>RD[[#This Row],[WS_Avg (m/s) (24 Hours)]]</f>
        <v>0</v>
      </c>
      <c r="KM126" s="293">
        <f>RD[[#This Row],[WS_Max (m/s)]]</f>
        <v>0</v>
      </c>
      <c r="KN126" s="294">
        <f>SUM(RD[[#This Row],[BLK1_INV1]:[BLK8_INV27]])</f>
        <v>0</v>
      </c>
      <c r="KO126" s="95"/>
      <c r="KP126" s="55"/>
      <c r="KQ126" s="90" t="str">
        <f>IFERROR(RD[[#This Row],[WPR_Eac]]/RD[[#This Row],[WPR_Edc]],"")</f>
        <v/>
      </c>
    </row>
    <row r="127" spans="2:303" ht="15" customHeight="1" x14ac:dyDescent="0.25">
      <c r="B127" s="52">
        <v>45868</v>
      </c>
      <c r="C127" s="9">
        <f>YEAR(RD[[#This Row],[Date]])+IF(MONTH(RD[[#This Row],[Date]])&gt;=4,1,0)</f>
        <v>2026</v>
      </c>
      <c r="D127" s="6">
        <f t="shared" si="544"/>
        <v>2025</v>
      </c>
      <c r="E127" s="7"/>
      <c r="F127" s="7"/>
      <c r="G127" s="367" t="str">
        <f>TEXT(RD[[#This Row],[Date]],"mmm-yy")</f>
        <v>Jul-25</v>
      </c>
      <c r="H127" s="6">
        <f t="shared" si="545"/>
        <v>31</v>
      </c>
      <c r="I127" s="9">
        <f>'Basic Data '!$S$2</f>
        <v>66750</v>
      </c>
      <c r="J127" s="10"/>
      <c r="K127" s="10"/>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9"/>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c r="HA127" s="9"/>
      <c r="HB127" s="9"/>
      <c r="HC127" s="9"/>
      <c r="HD127" s="9"/>
      <c r="HE127" s="9"/>
      <c r="HF127" s="9"/>
      <c r="HG127" s="9"/>
      <c r="HH127" s="9"/>
      <c r="HI127" s="9"/>
      <c r="HJ127" s="9"/>
      <c r="HK127" s="9"/>
      <c r="HL127" s="9"/>
      <c r="HM127" s="9"/>
      <c r="HN127" s="9"/>
      <c r="HO127" s="9"/>
      <c r="HP127" s="9"/>
      <c r="HQ127" s="9"/>
      <c r="HR127" s="9"/>
      <c r="HS127" s="9"/>
      <c r="HT127" s="9"/>
      <c r="HU127" s="9"/>
      <c r="HV127" s="9"/>
      <c r="HW127" s="9"/>
      <c r="HX127" s="9"/>
      <c r="HY127" s="9"/>
      <c r="HZ127" s="9"/>
      <c r="IA127" s="9"/>
      <c r="IB127" s="9"/>
      <c r="IC127" s="9"/>
      <c r="ID127" s="9"/>
      <c r="IE127" s="9"/>
      <c r="IF127" s="9"/>
      <c r="IG127" s="9"/>
      <c r="IH127" s="9"/>
      <c r="II127" s="9"/>
      <c r="IJ127" s="9"/>
      <c r="IK127" s="9"/>
      <c r="IL127" s="9"/>
      <c r="IM127" s="9"/>
      <c r="IN127" s="9"/>
      <c r="IO127" s="9"/>
      <c r="IP127" s="9"/>
      <c r="IQ127" s="9"/>
      <c r="IR127" s="9"/>
      <c r="IS127" s="9"/>
      <c r="IT127" s="9"/>
      <c r="IU127" s="9"/>
      <c r="IV127" s="9"/>
      <c r="IW127" s="9"/>
      <c r="IX127" s="9"/>
      <c r="IY127" s="9"/>
      <c r="IZ127" s="9"/>
      <c r="JA127" s="9"/>
      <c r="JB127" s="11"/>
      <c r="JC127" s="11"/>
      <c r="JD127" s="11"/>
      <c r="JE127" s="11"/>
      <c r="JF127" s="11"/>
      <c r="JG127" s="11"/>
      <c r="JH127" s="13"/>
      <c r="JI127" s="12"/>
      <c r="JJ127" s="277"/>
      <c r="JK127" s="9"/>
      <c r="JL127" s="260"/>
      <c r="JM127" s="9"/>
      <c r="JN127" s="260"/>
      <c r="JO127" s="9"/>
      <c r="JP127" s="260"/>
      <c r="JQ127" s="9"/>
      <c r="JR127" s="260"/>
      <c r="JS127" s="11"/>
      <c r="JT127" s="289"/>
      <c r="JU127" s="378"/>
      <c r="JV127" s="378"/>
      <c r="JW127" s="378"/>
      <c r="JX127" s="378"/>
      <c r="JY127" s="379"/>
      <c r="JZ127" s="379"/>
      <c r="KA127" s="379"/>
      <c r="KB127" s="379"/>
      <c r="KC127" s="378"/>
      <c r="KD127" s="378"/>
      <c r="KE127" s="291">
        <f t="shared" si="555"/>
        <v>0</v>
      </c>
      <c r="KF127" s="291">
        <f t="shared" si="556"/>
        <v>0</v>
      </c>
      <c r="KG127" s="292">
        <f>(RD[[#This Row],[Sunset Time (POA&lt;20 W/m2)]]-RD[[#This Row],[Sunrise Time (POA&gt;20 W/m2)]])*24</f>
        <v>0</v>
      </c>
      <c r="KH127" s="293">
        <f>RD[[#This Row],[GHI ]]</f>
        <v>0</v>
      </c>
      <c r="KI127" s="293">
        <f>RD[[#This Row],[POA]]</f>
        <v>0</v>
      </c>
      <c r="KJ127" s="293">
        <f>RD[[#This Row],[AT (°C) 14 Hours]]</f>
        <v>0</v>
      </c>
      <c r="KK127" s="293">
        <f>RD[[#This Row],[MT (°C) Gen. Hours]]</f>
        <v>0</v>
      </c>
      <c r="KL127" s="293">
        <f>RD[[#This Row],[WS_Avg (m/s) (24 Hours)]]</f>
        <v>0</v>
      </c>
      <c r="KM127" s="293">
        <f>RD[[#This Row],[WS_Max (m/s)]]</f>
        <v>0</v>
      </c>
      <c r="KN127" s="294">
        <f>SUM(RD[[#This Row],[BLK1_INV1]:[BLK8_INV27]])</f>
        <v>0</v>
      </c>
      <c r="KO127" s="95"/>
      <c r="KP127" s="55"/>
      <c r="KQ127" s="90" t="str">
        <f>IFERROR(RD[[#This Row],[WPR_Eac]]/RD[[#This Row],[WPR_Edc]],"")</f>
        <v/>
      </c>
    </row>
    <row r="128" spans="2:303" ht="15" customHeight="1" x14ac:dyDescent="0.25">
      <c r="B128" s="52">
        <v>45869</v>
      </c>
      <c r="C128" s="9">
        <f>YEAR(RD[[#This Row],[Date]])+IF(MONTH(RD[[#This Row],[Date]])&gt;=4,1,0)</f>
        <v>2026</v>
      </c>
      <c r="D128" s="6">
        <f t="shared" si="544"/>
        <v>2025</v>
      </c>
      <c r="E128" s="7"/>
      <c r="F128" s="7"/>
      <c r="G128" s="367" t="str">
        <f>TEXT(RD[[#This Row],[Date]],"mmm-yy")</f>
        <v>Jul-25</v>
      </c>
      <c r="H128" s="6">
        <f t="shared" si="545"/>
        <v>31</v>
      </c>
      <c r="I128" s="9">
        <f>'Basic Data '!$S$2</f>
        <v>66750</v>
      </c>
      <c r="J128" s="10"/>
      <c r="K128" s="10"/>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c r="EG128" s="9"/>
      <c r="EH128" s="9"/>
      <c r="EI128" s="9"/>
      <c r="EJ128" s="9"/>
      <c r="EK128" s="9"/>
      <c r="EL128" s="9"/>
      <c r="EM128" s="9"/>
      <c r="EN128" s="9"/>
      <c r="EO128" s="9"/>
      <c r="EP128" s="9"/>
      <c r="EQ128" s="9"/>
      <c r="ER128" s="9"/>
      <c r="ES128" s="9"/>
      <c r="ET128" s="9"/>
      <c r="EU128" s="9"/>
      <c r="EV128" s="9"/>
      <c r="EW128" s="9"/>
      <c r="EX128" s="9"/>
      <c r="EY128" s="9"/>
      <c r="EZ128" s="9"/>
      <c r="FA128" s="9"/>
      <c r="FB128" s="9"/>
      <c r="FC128" s="9"/>
      <c r="FD128" s="9"/>
      <c r="FE128" s="9"/>
      <c r="FF128" s="9"/>
      <c r="FG128" s="9"/>
      <c r="FH128" s="9"/>
      <c r="FI128" s="9"/>
      <c r="FJ128" s="9"/>
      <c r="FK128" s="9"/>
      <c r="FL128" s="9"/>
      <c r="FM128" s="9"/>
      <c r="FN128" s="9"/>
      <c r="FO128" s="9"/>
      <c r="FP128" s="9"/>
      <c r="FQ128" s="9"/>
      <c r="FR128" s="9"/>
      <c r="FS128" s="9"/>
      <c r="FT128" s="9"/>
      <c r="FU128" s="9"/>
      <c r="FV128" s="9"/>
      <c r="FW128" s="9"/>
      <c r="FX128" s="9"/>
      <c r="FY128" s="9"/>
      <c r="FZ128" s="9"/>
      <c r="GA128" s="9"/>
      <c r="GB128" s="9"/>
      <c r="GC128" s="9"/>
      <c r="GD128" s="9"/>
      <c r="GE128" s="9"/>
      <c r="GF128" s="9"/>
      <c r="GG128" s="9"/>
      <c r="GH128" s="9"/>
      <c r="GI128" s="9"/>
      <c r="GJ128" s="9"/>
      <c r="GK128" s="9"/>
      <c r="GL128" s="9"/>
      <c r="GM128" s="9"/>
      <c r="GN128" s="9"/>
      <c r="GO128" s="9"/>
      <c r="GP128" s="9"/>
      <c r="GQ128" s="9"/>
      <c r="GR128" s="9"/>
      <c r="GS128" s="9"/>
      <c r="GT128" s="9"/>
      <c r="GU128" s="9"/>
      <c r="GV128" s="9"/>
      <c r="GW128" s="9"/>
      <c r="GX128" s="9"/>
      <c r="GY128" s="9"/>
      <c r="GZ128" s="9"/>
      <c r="HA128" s="9"/>
      <c r="HB128" s="9"/>
      <c r="HC128" s="9"/>
      <c r="HD128" s="9"/>
      <c r="HE128" s="9"/>
      <c r="HF128" s="9"/>
      <c r="HG128" s="9"/>
      <c r="HH128" s="9"/>
      <c r="HI128" s="9"/>
      <c r="HJ128" s="9"/>
      <c r="HK128" s="9"/>
      <c r="HL128" s="9"/>
      <c r="HM128" s="9"/>
      <c r="HN128" s="9"/>
      <c r="HO128" s="9"/>
      <c r="HP128" s="9"/>
      <c r="HQ128" s="9"/>
      <c r="HR128" s="9"/>
      <c r="HS128" s="9"/>
      <c r="HT128" s="9"/>
      <c r="HU128" s="9"/>
      <c r="HV128" s="9"/>
      <c r="HW128" s="9"/>
      <c r="HX128" s="9"/>
      <c r="HY128" s="9"/>
      <c r="HZ128" s="9"/>
      <c r="IA128" s="9"/>
      <c r="IB128" s="9"/>
      <c r="IC128" s="9"/>
      <c r="ID128" s="9"/>
      <c r="IE128" s="9"/>
      <c r="IF128" s="9"/>
      <c r="IG128" s="9"/>
      <c r="IH128" s="9"/>
      <c r="II128" s="9"/>
      <c r="IJ128" s="9"/>
      <c r="IK128" s="9"/>
      <c r="IL128" s="9"/>
      <c r="IM128" s="9"/>
      <c r="IN128" s="9"/>
      <c r="IO128" s="9"/>
      <c r="IP128" s="9"/>
      <c r="IQ128" s="9"/>
      <c r="IR128" s="9"/>
      <c r="IS128" s="9"/>
      <c r="IT128" s="9"/>
      <c r="IU128" s="9"/>
      <c r="IV128" s="9"/>
      <c r="IW128" s="9"/>
      <c r="IX128" s="9"/>
      <c r="IY128" s="9"/>
      <c r="IZ128" s="9"/>
      <c r="JA128" s="9"/>
      <c r="JB128" s="11"/>
      <c r="JC128" s="11"/>
      <c r="JD128" s="11"/>
      <c r="JE128" s="11"/>
      <c r="JF128" s="11"/>
      <c r="JG128" s="11"/>
      <c r="JH128" s="13"/>
      <c r="JI128" s="12"/>
      <c r="JJ128" s="277"/>
      <c r="JK128" s="9"/>
      <c r="JL128" s="260"/>
      <c r="JM128" s="9"/>
      <c r="JN128" s="260"/>
      <c r="JO128" s="9"/>
      <c r="JP128" s="260"/>
      <c r="JQ128" s="9"/>
      <c r="JR128" s="260"/>
      <c r="JS128" s="11"/>
      <c r="JT128" s="289"/>
      <c r="JU128" s="378"/>
      <c r="JV128" s="378"/>
      <c r="JW128" s="378"/>
      <c r="JX128" s="378"/>
      <c r="JY128" s="379"/>
      <c r="JZ128" s="379"/>
      <c r="KA128" s="379"/>
      <c r="KB128" s="379"/>
      <c r="KC128" s="378"/>
      <c r="KD128" s="378"/>
      <c r="KE128" s="291">
        <f t="shared" si="555"/>
        <v>0</v>
      </c>
      <c r="KF128" s="291">
        <f t="shared" si="556"/>
        <v>0</v>
      </c>
      <c r="KG128" s="292">
        <f>(RD[[#This Row],[Sunset Time (POA&lt;20 W/m2)]]-RD[[#This Row],[Sunrise Time (POA&gt;20 W/m2)]])*24</f>
        <v>0</v>
      </c>
      <c r="KH128" s="293">
        <f>RD[[#This Row],[GHI ]]</f>
        <v>0</v>
      </c>
      <c r="KI128" s="293">
        <f>RD[[#This Row],[POA]]</f>
        <v>0</v>
      </c>
      <c r="KJ128" s="293">
        <f>RD[[#This Row],[AT (°C) 14 Hours]]</f>
        <v>0</v>
      </c>
      <c r="KK128" s="293">
        <f>RD[[#This Row],[MT (°C) Gen. Hours]]</f>
        <v>0</v>
      </c>
      <c r="KL128" s="293">
        <f>RD[[#This Row],[WS_Avg (m/s) (24 Hours)]]</f>
        <v>0</v>
      </c>
      <c r="KM128" s="293">
        <f>RD[[#This Row],[WS_Max (m/s)]]</f>
        <v>0</v>
      </c>
      <c r="KN128" s="294">
        <f>SUM(RD[[#This Row],[BLK1_INV1]:[BLK8_INV27]])</f>
        <v>0</v>
      </c>
      <c r="KO128" s="95"/>
      <c r="KP128" s="55"/>
      <c r="KQ128" s="90" t="str">
        <f>IFERROR(RD[[#This Row],[WPR_Eac]]/RD[[#This Row],[WPR_Edc]],"")</f>
        <v/>
      </c>
    </row>
    <row r="129" spans="2:303" ht="15" customHeight="1" x14ac:dyDescent="0.25">
      <c r="B129" s="52">
        <v>45870</v>
      </c>
      <c r="C129" s="9">
        <f>YEAR(RD[[#This Row],[Date]])+IF(MONTH(RD[[#This Row],[Date]])&gt;=4,1,0)</f>
        <v>2026</v>
      </c>
      <c r="D129" s="6">
        <f t="shared" si="544"/>
        <v>2025</v>
      </c>
      <c r="E129" s="7"/>
      <c r="F129" s="7"/>
      <c r="G129" s="367" t="str">
        <f>TEXT(RD[[#This Row],[Date]],"mmm-yy")</f>
        <v>Aug-25</v>
      </c>
      <c r="H129" s="6">
        <f t="shared" si="545"/>
        <v>31</v>
      </c>
      <c r="I129" s="9">
        <f>'Basic Data '!$S$2</f>
        <v>66750</v>
      </c>
      <c r="J129" s="10"/>
      <c r="K129" s="10"/>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9"/>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c r="HA129" s="9"/>
      <c r="HB129" s="9"/>
      <c r="HC129" s="9"/>
      <c r="HD129" s="9"/>
      <c r="HE129" s="9"/>
      <c r="HF129" s="9"/>
      <c r="HG129" s="9"/>
      <c r="HH129" s="9"/>
      <c r="HI129" s="9"/>
      <c r="HJ129" s="9"/>
      <c r="HK129" s="9"/>
      <c r="HL129" s="9"/>
      <c r="HM129" s="9"/>
      <c r="HN129" s="9"/>
      <c r="HO129" s="9"/>
      <c r="HP129" s="9"/>
      <c r="HQ129" s="9"/>
      <c r="HR129" s="9"/>
      <c r="HS129" s="9"/>
      <c r="HT129" s="9"/>
      <c r="HU129" s="9"/>
      <c r="HV129" s="9"/>
      <c r="HW129" s="9"/>
      <c r="HX129" s="9"/>
      <c r="HY129" s="9"/>
      <c r="HZ129" s="9"/>
      <c r="IA129" s="9"/>
      <c r="IB129" s="9"/>
      <c r="IC129" s="9"/>
      <c r="ID129" s="9"/>
      <c r="IE129" s="9"/>
      <c r="IF129" s="9"/>
      <c r="IG129" s="9"/>
      <c r="IH129" s="9"/>
      <c r="II129" s="9"/>
      <c r="IJ129" s="9"/>
      <c r="IK129" s="9"/>
      <c r="IL129" s="9"/>
      <c r="IM129" s="9"/>
      <c r="IN129" s="9"/>
      <c r="IO129" s="9"/>
      <c r="IP129" s="9"/>
      <c r="IQ129" s="9"/>
      <c r="IR129" s="9"/>
      <c r="IS129" s="9"/>
      <c r="IT129" s="9"/>
      <c r="IU129" s="9"/>
      <c r="IV129" s="9"/>
      <c r="IW129" s="9"/>
      <c r="IX129" s="9"/>
      <c r="IY129" s="9"/>
      <c r="IZ129" s="9"/>
      <c r="JA129" s="9"/>
      <c r="JB129" s="11"/>
      <c r="JC129" s="11"/>
      <c r="JD129" s="11"/>
      <c r="JE129" s="11"/>
      <c r="JF129" s="11"/>
      <c r="JG129" s="11"/>
      <c r="JH129" s="13"/>
      <c r="JI129" s="12"/>
      <c r="JJ129" s="277"/>
      <c r="JK129" s="9"/>
      <c r="JL129" s="260"/>
      <c r="JM129" s="9"/>
      <c r="JN129" s="260"/>
      <c r="JO129" s="9"/>
      <c r="JP129" s="260"/>
      <c r="JQ129" s="9"/>
      <c r="JR129" s="260"/>
      <c r="JS129" s="11"/>
      <c r="JT129" s="289"/>
      <c r="JU129" s="378"/>
      <c r="JV129" s="378"/>
      <c r="JW129" s="378"/>
      <c r="JX129" s="378"/>
      <c r="JY129" s="379"/>
      <c r="JZ129" s="379"/>
      <c r="KA129" s="379"/>
      <c r="KB129" s="379"/>
      <c r="KC129" s="378"/>
      <c r="KD129" s="378"/>
      <c r="KE129" s="291">
        <f t="shared" si="555"/>
        <v>0</v>
      </c>
      <c r="KF129" s="291">
        <f t="shared" si="556"/>
        <v>0</v>
      </c>
      <c r="KG129" s="292">
        <f>(RD[[#This Row],[Sunset Time (POA&lt;20 W/m2)]]-RD[[#This Row],[Sunrise Time (POA&gt;20 W/m2)]])*24</f>
        <v>0</v>
      </c>
      <c r="KH129" s="293">
        <f>RD[[#This Row],[GHI ]]</f>
        <v>0</v>
      </c>
      <c r="KI129" s="293">
        <f>RD[[#This Row],[POA]]</f>
        <v>0</v>
      </c>
      <c r="KJ129" s="293">
        <f>RD[[#This Row],[AT (°C) 14 Hours]]</f>
        <v>0</v>
      </c>
      <c r="KK129" s="293">
        <f>RD[[#This Row],[MT (°C) Gen. Hours]]</f>
        <v>0</v>
      </c>
      <c r="KL129" s="293">
        <f>RD[[#This Row],[WS_Avg (m/s) (24 Hours)]]</f>
        <v>0</v>
      </c>
      <c r="KM129" s="293">
        <f>RD[[#This Row],[WS_Max (m/s)]]</f>
        <v>0</v>
      </c>
      <c r="KN129" s="294">
        <f>SUM(RD[[#This Row],[BLK1_INV1]:[BLK8_INV27]])</f>
        <v>0</v>
      </c>
      <c r="KO129" s="95"/>
      <c r="KP129" s="55"/>
      <c r="KQ129" s="90" t="str">
        <f>IFERROR(RD[[#This Row],[WPR_Eac]]/RD[[#This Row],[WPR_Edc]],"")</f>
        <v/>
      </c>
    </row>
    <row r="130" spans="2:303" ht="15" customHeight="1" x14ac:dyDescent="0.25">
      <c r="B130" s="52">
        <v>45871</v>
      </c>
      <c r="C130" s="9">
        <f>YEAR(RD[[#This Row],[Date]])+IF(MONTH(RD[[#This Row],[Date]])&gt;=4,1,0)</f>
        <v>2026</v>
      </c>
      <c r="D130" s="6">
        <f t="shared" si="544"/>
        <v>2025</v>
      </c>
      <c r="E130" s="7"/>
      <c r="F130" s="7"/>
      <c r="G130" s="367" t="str">
        <f>TEXT(RD[[#This Row],[Date]],"mmm-yy")</f>
        <v>Aug-25</v>
      </c>
      <c r="H130" s="6">
        <f t="shared" si="545"/>
        <v>31</v>
      </c>
      <c r="I130" s="9">
        <f>'Basic Data '!$S$2</f>
        <v>66750</v>
      </c>
      <c r="J130" s="10"/>
      <c r="K130" s="10"/>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c r="EG130" s="9"/>
      <c r="EH130" s="9"/>
      <c r="EI130" s="9"/>
      <c r="EJ130" s="9"/>
      <c r="EK130" s="9"/>
      <c r="EL130" s="9"/>
      <c r="EM130" s="9"/>
      <c r="EN130" s="9"/>
      <c r="EO130" s="9"/>
      <c r="EP130" s="9"/>
      <c r="EQ130" s="9"/>
      <c r="ER130" s="9"/>
      <c r="ES130" s="9"/>
      <c r="ET130" s="9"/>
      <c r="EU130" s="9"/>
      <c r="EV130" s="9"/>
      <c r="EW130" s="9"/>
      <c r="EX130" s="9"/>
      <c r="EY130" s="9"/>
      <c r="EZ130" s="9"/>
      <c r="FA130" s="9"/>
      <c r="FB130" s="9"/>
      <c r="FC130" s="9"/>
      <c r="FD130" s="9"/>
      <c r="FE130" s="9"/>
      <c r="FF130" s="9"/>
      <c r="FG130" s="9"/>
      <c r="FH130" s="9"/>
      <c r="FI130" s="9"/>
      <c r="FJ130" s="9"/>
      <c r="FK130" s="9"/>
      <c r="FL130" s="9"/>
      <c r="FM130" s="9"/>
      <c r="FN130" s="9"/>
      <c r="FO130" s="9"/>
      <c r="FP130" s="9"/>
      <c r="FQ130" s="9"/>
      <c r="FR130" s="9"/>
      <c r="FS130" s="9"/>
      <c r="FT130" s="9"/>
      <c r="FU130" s="9"/>
      <c r="FV130" s="9"/>
      <c r="FW130" s="9"/>
      <c r="FX130" s="9"/>
      <c r="FY130" s="9"/>
      <c r="FZ130" s="9"/>
      <c r="GA130" s="9"/>
      <c r="GB130" s="9"/>
      <c r="GC130" s="9"/>
      <c r="GD130" s="9"/>
      <c r="GE130" s="9"/>
      <c r="GF130" s="9"/>
      <c r="GG130" s="9"/>
      <c r="GH130" s="9"/>
      <c r="GI130" s="9"/>
      <c r="GJ130" s="9"/>
      <c r="GK130" s="9"/>
      <c r="GL130" s="9"/>
      <c r="GM130" s="9"/>
      <c r="GN130" s="9"/>
      <c r="GO130" s="9"/>
      <c r="GP130" s="9"/>
      <c r="GQ130" s="9"/>
      <c r="GR130" s="9"/>
      <c r="GS130" s="9"/>
      <c r="GT130" s="9"/>
      <c r="GU130" s="9"/>
      <c r="GV130" s="9"/>
      <c r="GW130" s="9"/>
      <c r="GX130" s="9"/>
      <c r="GY130" s="9"/>
      <c r="GZ130" s="9"/>
      <c r="HA130" s="9"/>
      <c r="HB130" s="9"/>
      <c r="HC130" s="9"/>
      <c r="HD130" s="9"/>
      <c r="HE130" s="9"/>
      <c r="HF130" s="9"/>
      <c r="HG130" s="9"/>
      <c r="HH130" s="9"/>
      <c r="HI130" s="9"/>
      <c r="HJ130" s="9"/>
      <c r="HK130" s="9"/>
      <c r="HL130" s="9"/>
      <c r="HM130" s="9"/>
      <c r="HN130" s="9"/>
      <c r="HO130" s="9"/>
      <c r="HP130" s="9"/>
      <c r="HQ130" s="9"/>
      <c r="HR130" s="9"/>
      <c r="HS130" s="9"/>
      <c r="HT130" s="9"/>
      <c r="HU130" s="9"/>
      <c r="HV130" s="9"/>
      <c r="HW130" s="9"/>
      <c r="HX130" s="9"/>
      <c r="HY130" s="9"/>
      <c r="HZ130" s="9"/>
      <c r="IA130" s="9"/>
      <c r="IB130" s="9"/>
      <c r="IC130" s="9"/>
      <c r="ID130" s="9"/>
      <c r="IE130" s="9"/>
      <c r="IF130" s="9"/>
      <c r="IG130" s="9"/>
      <c r="IH130" s="9"/>
      <c r="II130" s="9"/>
      <c r="IJ130" s="9"/>
      <c r="IK130" s="9"/>
      <c r="IL130" s="9"/>
      <c r="IM130" s="9"/>
      <c r="IN130" s="9"/>
      <c r="IO130" s="9"/>
      <c r="IP130" s="9"/>
      <c r="IQ130" s="9"/>
      <c r="IR130" s="9"/>
      <c r="IS130" s="9"/>
      <c r="IT130" s="9"/>
      <c r="IU130" s="9"/>
      <c r="IV130" s="9"/>
      <c r="IW130" s="9"/>
      <c r="IX130" s="9"/>
      <c r="IY130" s="9"/>
      <c r="IZ130" s="9"/>
      <c r="JA130" s="9"/>
      <c r="JB130" s="11"/>
      <c r="JC130" s="11"/>
      <c r="JD130" s="11"/>
      <c r="JE130" s="11"/>
      <c r="JF130" s="11"/>
      <c r="JG130" s="11"/>
      <c r="JH130" s="13"/>
      <c r="JI130" s="12"/>
      <c r="JJ130" s="277"/>
      <c r="JK130" s="9"/>
      <c r="JL130" s="260"/>
      <c r="JM130" s="9"/>
      <c r="JN130" s="260"/>
      <c r="JO130" s="9"/>
      <c r="JP130" s="260"/>
      <c r="JQ130" s="9"/>
      <c r="JR130" s="260"/>
      <c r="JS130" s="11"/>
      <c r="JT130" s="289"/>
      <c r="JU130" s="378"/>
      <c r="JV130" s="378"/>
      <c r="JW130" s="378"/>
      <c r="JX130" s="378"/>
      <c r="JY130" s="379"/>
      <c r="JZ130" s="379"/>
      <c r="KA130" s="379"/>
      <c r="KB130" s="379"/>
      <c r="KC130" s="378"/>
      <c r="KD130" s="378"/>
      <c r="KE130" s="291">
        <f t="shared" si="555"/>
        <v>0</v>
      </c>
      <c r="KF130" s="291">
        <f t="shared" si="556"/>
        <v>0</v>
      </c>
      <c r="KG130" s="292">
        <f>(RD[[#This Row],[Sunset Time (POA&lt;20 W/m2)]]-RD[[#This Row],[Sunrise Time (POA&gt;20 W/m2)]])*24</f>
        <v>0</v>
      </c>
      <c r="KH130" s="293">
        <f>RD[[#This Row],[GHI ]]</f>
        <v>0</v>
      </c>
      <c r="KI130" s="293">
        <f>RD[[#This Row],[POA]]</f>
        <v>0</v>
      </c>
      <c r="KJ130" s="293">
        <f>RD[[#This Row],[AT (°C) 14 Hours]]</f>
        <v>0</v>
      </c>
      <c r="KK130" s="293">
        <f>RD[[#This Row],[MT (°C) Gen. Hours]]</f>
        <v>0</v>
      </c>
      <c r="KL130" s="293">
        <f>RD[[#This Row],[WS_Avg (m/s) (24 Hours)]]</f>
        <v>0</v>
      </c>
      <c r="KM130" s="293">
        <f>RD[[#This Row],[WS_Max (m/s)]]</f>
        <v>0</v>
      </c>
      <c r="KN130" s="294">
        <f>SUM(RD[[#This Row],[BLK1_INV1]:[BLK8_INV27]])</f>
        <v>0</v>
      </c>
      <c r="KO130" s="95"/>
      <c r="KP130" s="55"/>
      <c r="KQ130" s="90" t="str">
        <f>IFERROR(RD[[#This Row],[WPR_Eac]]/RD[[#This Row],[WPR_Edc]],"")</f>
        <v/>
      </c>
    </row>
    <row r="131" spans="2:303" ht="15" customHeight="1" x14ac:dyDescent="0.25">
      <c r="B131" s="52">
        <v>45872</v>
      </c>
      <c r="C131" s="9">
        <f>YEAR(RD[[#This Row],[Date]])+IF(MONTH(RD[[#This Row],[Date]])&gt;=4,1,0)</f>
        <v>2026</v>
      </c>
      <c r="D131" s="6">
        <f t="shared" si="544"/>
        <v>2025</v>
      </c>
      <c r="E131" s="7"/>
      <c r="F131" s="7"/>
      <c r="G131" s="367" t="str">
        <f>TEXT(RD[[#This Row],[Date]],"mmm-yy")</f>
        <v>Aug-25</v>
      </c>
      <c r="H131" s="6">
        <f t="shared" si="545"/>
        <v>31</v>
      </c>
      <c r="I131" s="9">
        <f>'Basic Data '!$S$2</f>
        <v>66750</v>
      </c>
      <c r="J131" s="10"/>
      <c r="K131" s="10"/>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c r="EG131" s="9"/>
      <c r="EH131" s="9"/>
      <c r="EI131" s="9"/>
      <c r="EJ131" s="9"/>
      <c r="EK131" s="9"/>
      <c r="EL131" s="9"/>
      <c r="EM131" s="9"/>
      <c r="EN131" s="9"/>
      <c r="EO131" s="9"/>
      <c r="EP131" s="9"/>
      <c r="EQ131" s="9"/>
      <c r="ER131" s="9"/>
      <c r="ES131" s="9"/>
      <c r="ET131" s="9"/>
      <c r="EU131" s="9"/>
      <c r="EV131" s="9"/>
      <c r="EW131" s="9"/>
      <c r="EX131" s="9"/>
      <c r="EY131" s="9"/>
      <c r="EZ131" s="9"/>
      <c r="FA131" s="9"/>
      <c r="FB131" s="9"/>
      <c r="FC131" s="9"/>
      <c r="FD131" s="9"/>
      <c r="FE131" s="9"/>
      <c r="FF131" s="9"/>
      <c r="FG131" s="9"/>
      <c r="FH131" s="9"/>
      <c r="FI131" s="9"/>
      <c r="FJ131" s="9"/>
      <c r="FK131" s="9"/>
      <c r="FL131" s="9"/>
      <c r="FM131" s="9"/>
      <c r="FN131" s="9"/>
      <c r="FO131" s="9"/>
      <c r="FP131" s="9"/>
      <c r="FQ131" s="9"/>
      <c r="FR131" s="9"/>
      <c r="FS131" s="9"/>
      <c r="FT131" s="9"/>
      <c r="FU131" s="9"/>
      <c r="FV131" s="9"/>
      <c r="FW131" s="9"/>
      <c r="FX131" s="9"/>
      <c r="FY131" s="9"/>
      <c r="FZ131" s="9"/>
      <c r="GA131" s="9"/>
      <c r="GB131" s="9"/>
      <c r="GC131" s="9"/>
      <c r="GD131" s="9"/>
      <c r="GE131" s="9"/>
      <c r="GF131" s="9"/>
      <c r="GG131" s="9"/>
      <c r="GH131" s="9"/>
      <c r="GI131" s="9"/>
      <c r="GJ131" s="9"/>
      <c r="GK131" s="9"/>
      <c r="GL131" s="9"/>
      <c r="GM131" s="9"/>
      <c r="GN131" s="9"/>
      <c r="GO131" s="9"/>
      <c r="GP131" s="9"/>
      <c r="GQ131" s="9"/>
      <c r="GR131" s="9"/>
      <c r="GS131" s="9"/>
      <c r="GT131" s="9"/>
      <c r="GU131" s="9"/>
      <c r="GV131" s="9"/>
      <c r="GW131" s="9"/>
      <c r="GX131" s="9"/>
      <c r="GY131" s="9"/>
      <c r="GZ131" s="9"/>
      <c r="HA131" s="9"/>
      <c r="HB131" s="9"/>
      <c r="HC131" s="9"/>
      <c r="HD131" s="9"/>
      <c r="HE131" s="9"/>
      <c r="HF131" s="9"/>
      <c r="HG131" s="9"/>
      <c r="HH131" s="9"/>
      <c r="HI131" s="9"/>
      <c r="HJ131" s="9"/>
      <c r="HK131" s="9"/>
      <c r="HL131" s="9"/>
      <c r="HM131" s="9"/>
      <c r="HN131" s="9"/>
      <c r="HO131" s="9"/>
      <c r="HP131" s="9"/>
      <c r="HQ131" s="9"/>
      <c r="HR131" s="9"/>
      <c r="HS131" s="9"/>
      <c r="HT131" s="9"/>
      <c r="HU131" s="9"/>
      <c r="HV131" s="9"/>
      <c r="HW131" s="9"/>
      <c r="HX131" s="9"/>
      <c r="HY131" s="9"/>
      <c r="HZ131" s="9"/>
      <c r="IA131" s="9"/>
      <c r="IB131" s="9"/>
      <c r="IC131" s="9"/>
      <c r="ID131" s="9"/>
      <c r="IE131" s="9"/>
      <c r="IF131" s="9"/>
      <c r="IG131" s="9"/>
      <c r="IH131" s="9"/>
      <c r="II131" s="9"/>
      <c r="IJ131" s="9"/>
      <c r="IK131" s="9"/>
      <c r="IL131" s="9"/>
      <c r="IM131" s="9"/>
      <c r="IN131" s="9"/>
      <c r="IO131" s="9"/>
      <c r="IP131" s="9"/>
      <c r="IQ131" s="9"/>
      <c r="IR131" s="9"/>
      <c r="IS131" s="9"/>
      <c r="IT131" s="9"/>
      <c r="IU131" s="9"/>
      <c r="IV131" s="9"/>
      <c r="IW131" s="9"/>
      <c r="IX131" s="9"/>
      <c r="IY131" s="9"/>
      <c r="IZ131" s="9"/>
      <c r="JA131" s="9"/>
      <c r="JB131" s="11"/>
      <c r="JC131" s="11"/>
      <c r="JD131" s="11"/>
      <c r="JE131" s="11"/>
      <c r="JF131" s="11"/>
      <c r="JG131" s="11"/>
      <c r="JH131" s="13"/>
      <c r="JI131" s="12"/>
      <c r="JJ131" s="277"/>
      <c r="JK131" s="9"/>
      <c r="JL131" s="260"/>
      <c r="JM131" s="9"/>
      <c r="JN131" s="260"/>
      <c r="JO131" s="9"/>
      <c r="JP131" s="260"/>
      <c r="JQ131" s="9"/>
      <c r="JR131" s="260"/>
      <c r="JS131" s="11"/>
      <c r="JT131" s="289"/>
      <c r="JU131" s="378"/>
      <c r="JV131" s="378"/>
      <c r="JW131" s="378"/>
      <c r="JX131" s="378"/>
      <c r="JY131" s="379"/>
      <c r="JZ131" s="379"/>
      <c r="KA131" s="379"/>
      <c r="KB131" s="379"/>
      <c r="KC131" s="378"/>
      <c r="KD131" s="378"/>
      <c r="KE131" s="291">
        <f t="shared" si="555"/>
        <v>0</v>
      </c>
      <c r="KF131" s="291">
        <f t="shared" si="556"/>
        <v>0</v>
      </c>
      <c r="KG131" s="292">
        <f>(RD[[#This Row],[Sunset Time (POA&lt;20 W/m2)]]-RD[[#This Row],[Sunrise Time (POA&gt;20 W/m2)]])*24</f>
        <v>0</v>
      </c>
      <c r="KH131" s="293">
        <f>RD[[#This Row],[GHI ]]</f>
        <v>0</v>
      </c>
      <c r="KI131" s="293">
        <f>RD[[#This Row],[POA]]</f>
        <v>0</v>
      </c>
      <c r="KJ131" s="293">
        <f>RD[[#This Row],[AT (°C) 14 Hours]]</f>
        <v>0</v>
      </c>
      <c r="KK131" s="293">
        <f>RD[[#This Row],[MT (°C) Gen. Hours]]</f>
        <v>0</v>
      </c>
      <c r="KL131" s="293">
        <f>RD[[#This Row],[WS_Avg (m/s) (24 Hours)]]</f>
        <v>0</v>
      </c>
      <c r="KM131" s="293">
        <f>RD[[#This Row],[WS_Max (m/s)]]</f>
        <v>0</v>
      </c>
      <c r="KN131" s="294">
        <f>SUM(RD[[#This Row],[BLK1_INV1]:[BLK8_INV27]])</f>
        <v>0</v>
      </c>
      <c r="KO131" s="95"/>
      <c r="KP131" s="55"/>
      <c r="KQ131" s="90" t="str">
        <f>IFERROR(RD[[#This Row],[WPR_Eac]]/RD[[#This Row],[WPR_Edc]],"")</f>
        <v/>
      </c>
    </row>
    <row r="132" spans="2:303" ht="15" customHeight="1" x14ac:dyDescent="0.25">
      <c r="I132" s="227"/>
      <c r="J132" s="227"/>
      <c r="K132" s="227"/>
      <c r="L132" s="227"/>
      <c r="M132" s="227"/>
      <c r="N132" s="227"/>
      <c r="O132" s="227"/>
      <c r="P132" s="227"/>
      <c r="Q132" s="227"/>
      <c r="R132" s="227"/>
      <c r="S132" s="227"/>
      <c r="T132" s="227"/>
      <c r="U132" s="227"/>
      <c r="V132" s="227"/>
      <c r="W132" s="227"/>
      <c r="X132" s="227"/>
      <c r="Y132" s="227"/>
      <c r="Z132" s="227"/>
      <c r="AA132" s="227"/>
      <c r="AB132" s="227"/>
      <c r="AC132" s="227"/>
      <c r="AD132" s="227"/>
      <c r="AE132" s="227"/>
      <c r="AF132" s="227"/>
      <c r="AG132" s="227"/>
      <c r="AH132" s="227"/>
      <c r="AI132" s="227"/>
      <c r="AJ132" s="227"/>
      <c r="AK132" s="227"/>
      <c r="AL132" s="227"/>
      <c r="AM132" s="227"/>
      <c r="AN132" s="227"/>
      <c r="AO132" s="227"/>
      <c r="AP132" s="227"/>
      <c r="AQ132" s="227"/>
      <c r="AR132" s="227"/>
      <c r="AS132" s="227"/>
      <c r="AT132" s="227"/>
      <c r="AU132" s="227"/>
      <c r="AV132" s="227"/>
      <c r="AW132" s="227"/>
      <c r="AX132" s="227"/>
      <c r="AY132" s="227"/>
      <c r="AZ132" s="227"/>
      <c r="BA132" s="227"/>
      <c r="BB132" s="227"/>
      <c r="BC132" s="227"/>
      <c r="BD132" s="227"/>
      <c r="BE132" s="227"/>
      <c r="BF132" s="227"/>
      <c r="BG132" s="227"/>
      <c r="BH132" s="227"/>
      <c r="BI132" s="227"/>
      <c r="BJ132" s="227"/>
      <c r="BK132" s="227"/>
      <c r="BL132" s="227"/>
      <c r="BM132" s="227"/>
      <c r="BN132" s="227"/>
      <c r="BO132" s="227"/>
      <c r="BP132" s="227"/>
      <c r="BQ132" s="227"/>
      <c r="BR132" s="227"/>
      <c r="BS132" s="227"/>
      <c r="BT132" s="227"/>
      <c r="BU132" s="227"/>
      <c r="BV132" s="227"/>
      <c r="BW132" s="227"/>
      <c r="BX132" s="227"/>
      <c r="BY132" s="227"/>
      <c r="BZ132" s="227"/>
      <c r="CA132" s="227"/>
      <c r="CB132" s="227"/>
      <c r="CC132" s="227"/>
      <c r="CD132" s="227"/>
      <c r="CE132" s="227"/>
      <c r="CF132" s="227"/>
      <c r="CG132" s="227"/>
      <c r="CH132" s="227"/>
      <c r="CI132" s="227"/>
      <c r="CJ132" s="227"/>
      <c r="CK132" s="227"/>
      <c r="CL132" s="227"/>
      <c r="CM132" s="227"/>
      <c r="CN132" s="227"/>
      <c r="CO132" s="227"/>
      <c r="CP132" s="227"/>
      <c r="CQ132" s="227"/>
      <c r="CR132" s="227"/>
      <c r="CS132" s="227"/>
      <c r="CT132" s="227"/>
      <c r="CU132" s="227"/>
      <c r="CV132" s="227"/>
      <c r="CW132" s="227"/>
      <c r="CX132" s="227"/>
      <c r="CY132" s="227"/>
      <c r="CZ132" s="227"/>
      <c r="DA132" s="227"/>
      <c r="DB132" s="227"/>
      <c r="DC132" s="227"/>
      <c r="DD132" s="227"/>
      <c r="DE132" s="227"/>
      <c r="DF132" s="227"/>
      <c r="DG132" s="227"/>
      <c r="DH132" s="227"/>
      <c r="DI132" s="227"/>
      <c r="DJ132" s="227"/>
      <c r="DK132" s="227"/>
      <c r="DL132" s="227"/>
      <c r="DM132" s="227"/>
      <c r="DN132" s="227"/>
      <c r="DO132" s="227"/>
      <c r="DP132" s="227"/>
      <c r="DQ132" s="227"/>
      <c r="DR132" s="227"/>
      <c r="DS132" s="227"/>
      <c r="DT132" s="227"/>
      <c r="DU132" s="227"/>
      <c r="DV132" s="227"/>
      <c r="DW132" s="227"/>
      <c r="DX132" s="227"/>
      <c r="DY132" s="227"/>
      <c r="DZ132" s="227"/>
      <c r="EA132" s="227"/>
      <c r="EB132" s="227"/>
      <c r="EC132" s="227"/>
      <c r="ED132" s="227"/>
      <c r="EE132" s="227"/>
      <c r="EF132" s="227"/>
      <c r="EG132" s="227"/>
      <c r="EH132" s="227"/>
      <c r="EI132" s="227"/>
      <c r="EJ132" s="227"/>
      <c r="EK132" s="227"/>
      <c r="EL132" s="227"/>
      <c r="EM132" s="227"/>
      <c r="EN132" s="227"/>
      <c r="EO132" s="227"/>
      <c r="EP132" s="227"/>
      <c r="EQ132" s="227"/>
      <c r="ER132" s="227"/>
      <c r="ES132" s="227"/>
      <c r="ET132" s="227"/>
      <c r="EU132" s="227"/>
      <c r="EV132" s="227"/>
      <c r="EW132" s="227"/>
      <c r="EX132" s="227"/>
      <c r="EY132" s="227"/>
      <c r="EZ132" s="227"/>
      <c r="FA132" s="227"/>
      <c r="FB132" s="227"/>
      <c r="FC132" s="227"/>
      <c r="FD132" s="227"/>
      <c r="FE132" s="227"/>
      <c r="FF132" s="227"/>
      <c r="FG132" s="227"/>
      <c r="FH132" s="227"/>
      <c r="FI132" s="227"/>
      <c r="FJ132" s="227"/>
      <c r="FK132" s="227"/>
      <c r="FL132" s="227"/>
      <c r="FM132" s="227"/>
      <c r="FN132" s="227"/>
      <c r="FO132" s="227"/>
      <c r="FP132" s="227"/>
      <c r="FQ132" s="227"/>
      <c r="FR132" s="227"/>
      <c r="FS132" s="227"/>
      <c r="FT132" s="227"/>
      <c r="FU132" s="227"/>
      <c r="FV132" s="227"/>
      <c r="FW132" s="227"/>
      <c r="FX132" s="227"/>
      <c r="FY132" s="227"/>
      <c r="FZ132" s="227"/>
      <c r="GA132" s="227"/>
      <c r="GB132" s="227"/>
      <c r="GC132" s="227"/>
      <c r="GD132" s="227"/>
      <c r="GE132" s="227"/>
      <c r="GF132" s="227"/>
      <c r="GG132" s="227"/>
      <c r="GH132" s="227"/>
      <c r="GI132" s="227"/>
      <c r="GJ132" s="227"/>
      <c r="GK132" s="227"/>
      <c r="GL132" s="227"/>
      <c r="GM132" s="227"/>
      <c r="GN132" s="227"/>
      <c r="GO132" s="227"/>
      <c r="GP132" s="227"/>
      <c r="GQ132" s="227"/>
      <c r="GR132" s="227"/>
      <c r="GS132" s="227"/>
      <c r="GT132" s="227"/>
      <c r="GU132" s="227"/>
      <c r="GV132" s="227"/>
      <c r="GW132" s="227"/>
      <c r="GX132" s="227"/>
      <c r="GY132" s="227"/>
      <c r="GZ132" s="227"/>
      <c r="HA132" s="227"/>
      <c r="HB132" s="227"/>
      <c r="HC132" s="227"/>
      <c r="HD132" s="227"/>
      <c r="HE132" s="227"/>
      <c r="HF132" s="227"/>
      <c r="HG132" s="227"/>
      <c r="HH132" s="227"/>
      <c r="HI132" s="227"/>
      <c r="HJ132" s="227"/>
      <c r="HK132" s="227"/>
      <c r="HL132" s="227"/>
      <c r="HM132" s="227"/>
      <c r="HN132" s="227"/>
      <c r="HO132" s="227"/>
      <c r="HP132" s="227"/>
      <c r="HQ132" s="227"/>
      <c r="HR132" s="227"/>
      <c r="HS132" s="227"/>
      <c r="HT132" s="227"/>
      <c r="HU132" s="227"/>
      <c r="HV132" s="227"/>
      <c r="HW132" s="227"/>
      <c r="HX132" s="227"/>
      <c r="HY132" s="227"/>
      <c r="HZ132" s="227"/>
      <c r="IA132" s="227"/>
      <c r="IB132" s="227"/>
      <c r="IC132" s="227"/>
      <c r="ID132" s="227"/>
      <c r="IE132" s="227"/>
      <c r="IF132" s="227"/>
      <c r="IG132" s="227"/>
      <c r="IH132" s="227"/>
      <c r="II132" s="227"/>
      <c r="IJ132" s="227"/>
      <c r="IK132" s="227"/>
      <c r="IL132" s="227"/>
      <c r="IM132" s="227"/>
      <c r="IN132" s="227"/>
      <c r="IO132" s="227"/>
      <c r="IP132" s="227"/>
      <c r="IQ132" s="227"/>
      <c r="IR132" s="227"/>
      <c r="IS132" s="227"/>
      <c r="IT132" s="227"/>
      <c r="IU132" s="227"/>
      <c r="IV132" s="227"/>
      <c r="IW132" s="227"/>
      <c r="IX132" s="227"/>
      <c r="IY132" s="227"/>
      <c r="IZ132" s="227"/>
      <c r="JA132" s="227"/>
      <c r="JB132" s="227"/>
      <c r="JC132" s="227"/>
      <c r="JD132" s="227"/>
      <c r="JE132" s="227"/>
      <c r="JF132" s="227"/>
      <c r="JG132" s="227"/>
      <c r="JH132" s="227"/>
      <c r="JL132" s="227"/>
      <c r="JR132" s="227"/>
      <c r="JS132" s="227"/>
      <c r="JT132" s="227"/>
      <c r="KF132" t="s">
        <v>413</v>
      </c>
    </row>
    <row r="133" spans="2:303" ht="15" customHeight="1" x14ac:dyDescent="0.25">
      <c r="JL133" s="227"/>
      <c r="JN133" s="227"/>
      <c r="JR133" s="227"/>
      <c r="JS133" s="227"/>
      <c r="JT133" s="227"/>
    </row>
    <row r="134" spans="2:303" ht="15" customHeight="1" x14ac:dyDescent="0.25">
      <c r="JL134" s="227"/>
      <c r="JR134" s="227"/>
      <c r="JS134" s="227"/>
      <c r="JT134" s="227"/>
    </row>
    <row r="135" spans="2:303" ht="15" customHeight="1" x14ac:dyDescent="0.25">
      <c r="JL135" s="227"/>
      <c r="JR135" s="227"/>
      <c r="JS135" s="227"/>
      <c r="JT135" s="227"/>
    </row>
    <row r="136" spans="2:303" ht="15" customHeight="1" x14ac:dyDescent="0.25">
      <c r="JL136" s="227"/>
      <c r="JR136" s="227"/>
      <c r="JS136" s="227"/>
      <c r="JT136" s="227"/>
    </row>
    <row r="150" spans="5:5" ht="15" customHeight="1" x14ac:dyDescent="0.25">
      <c r="E150" s="161"/>
    </row>
  </sheetData>
  <phoneticPr fontId="5" type="noConversion"/>
  <pageMargins left="0.7" right="0.7" top="0.75" bottom="0.75" header="0.3" footer="0.3"/>
  <pageSetup paperSize="9" orientation="portrait" r:id="rId1"/>
  <ignoredErrors>
    <ignoredError sqref="KE4:KE7" calculatedColumn="1"/>
  </ignoredError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C0565-FCA2-4968-A450-A1F49986E4CD}">
  <dimension ref="A1:AS369"/>
  <sheetViews>
    <sheetView zoomScale="61" workbookViewId="0">
      <pane xSplit="1" ySplit="1" topLeftCell="AX139" activePane="bottomRight" state="frozen"/>
      <selection pane="topRight" activeCell="AB39" sqref="AB39"/>
      <selection pane="bottomLeft" activeCell="AB39" sqref="AB39"/>
      <selection pane="bottomRight" activeCell="A2" sqref="A2"/>
    </sheetView>
  </sheetViews>
  <sheetFormatPr defaultColWidth="8.7109375" defaultRowHeight="15" x14ac:dyDescent="0.25"/>
  <cols>
    <col min="1" max="1" width="10.85546875" style="174" bestFit="1" customWidth="1"/>
    <col min="2" max="5" width="9" style="174" customWidth="1"/>
    <col min="6" max="9" width="10.28515625" style="174" customWidth="1"/>
    <col min="10" max="12" width="11.28515625" style="174" customWidth="1"/>
    <col min="13" max="13" width="15.140625" style="174" bestFit="1" customWidth="1"/>
    <col min="14" max="36" width="11.28515625" style="174" customWidth="1"/>
    <col min="37" max="39" width="11.28515625" style="239" customWidth="1"/>
    <col min="40" max="40" width="11.28515625" style="188" customWidth="1"/>
    <col min="41" max="45" width="11.28515625" style="174" customWidth="1"/>
    <col min="46" max="16384" width="8.7109375" style="174"/>
  </cols>
  <sheetData>
    <row r="1" spans="1:45" ht="60" x14ac:dyDescent="0.25">
      <c r="A1" s="170" t="s">
        <v>54</v>
      </c>
      <c r="B1" s="171" t="s">
        <v>440</v>
      </c>
      <c r="C1" s="171" t="s">
        <v>441</v>
      </c>
      <c r="D1" s="171" t="s">
        <v>59</v>
      </c>
      <c r="E1" s="171" t="s">
        <v>34</v>
      </c>
      <c r="F1" s="172" t="s">
        <v>427</v>
      </c>
      <c r="G1" s="172" t="s">
        <v>442</v>
      </c>
      <c r="H1" s="172" t="s">
        <v>443</v>
      </c>
      <c r="I1" s="172" t="s">
        <v>444</v>
      </c>
      <c r="J1" s="172" t="s">
        <v>445</v>
      </c>
      <c r="K1" s="172" t="s">
        <v>446</v>
      </c>
      <c r="L1" s="172" t="s">
        <v>431</v>
      </c>
      <c r="M1" s="172" t="s">
        <v>432</v>
      </c>
      <c r="N1" s="172" t="s">
        <v>433</v>
      </c>
      <c r="O1" s="172" t="s">
        <v>447</v>
      </c>
      <c r="P1" s="172" t="s">
        <v>448</v>
      </c>
      <c r="Q1" s="172" t="s">
        <v>449</v>
      </c>
      <c r="R1" s="172" t="s">
        <v>450</v>
      </c>
      <c r="S1" s="172" t="s">
        <v>451</v>
      </c>
      <c r="T1" s="172" t="s">
        <v>452</v>
      </c>
      <c r="U1" s="172" t="s">
        <v>453</v>
      </c>
      <c r="V1" s="172" t="s">
        <v>454</v>
      </c>
      <c r="W1" s="172" t="s">
        <v>455</v>
      </c>
      <c r="X1" s="172" t="s">
        <v>456</v>
      </c>
      <c r="Y1" s="172" t="s">
        <v>457</v>
      </c>
      <c r="Z1" s="172" t="s">
        <v>458</v>
      </c>
      <c r="AA1" s="172" t="s">
        <v>459</v>
      </c>
      <c r="AB1" s="172" t="s">
        <v>460</v>
      </c>
      <c r="AC1" s="172" t="s">
        <v>461</v>
      </c>
      <c r="AD1" s="172" t="s">
        <v>462</v>
      </c>
      <c r="AE1" s="172" t="s">
        <v>463</v>
      </c>
      <c r="AF1" s="172" t="s">
        <v>464</v>
      </c>
      <c r="AG1" s="172" t="s">
        <v>465</v>
      </c>
      <c r="AH1" s="172" t="s">
        <v>466</v>
      </c>
      <c r="AI1" s="172" t="s">
        <v>467</v>
      </c>
      <c r="AJ1" s="172" t="s">
        <v>468</v>
      </c>
      <c r="AK1" s="237" t="s">
        <v>469</v>
      </c>
      <c r="AL1" s="237" t="s">
        <v>470</v>
      </c>
      <c r="AM1" s="237" t="s">
        <v>471</v>
      </c>
      <c r="AN1" s="173" t="s">
        <v>472</v>
      </c>
      <c r="AO1" s="172" t="s">
        <v>473</v>
      </c>
      <c r="AP1" s="172" t="s">
        <v>474</v>
      </c>
      <c r="AQ1" s="172" t="s">
        <v>475</v>
      </c>
      <c r="AR1" s="172" t="s">
        <v>476</v>
      </c>
      <c r="AS1" s="172" t="s">
        <v>477</v>
      </c>
    </row>
    <row r="2" spans="1:45" x14ac:dyDescent="0.25">
      <c r="A2" s="175">
        <v>45745</v>
      </c>
      <c r="B2" s="176">
        <f>YEAR(Table13[[#This Row],[Date]])+IF(MONTH(Table13[[#This Row],[Date]])&gt;=4,1,0)</f>
        <v>2025</v>
      </c>
      <c r="C2" s="177">
        <f>YEAR(Table13[[#This Row],[Date]])</f>
        <v>2025</v>
      </c>
      <c r="D2" s="178">
        <f>Table13[[#This Row],[Date]]-DAY(Table13[[#This Row],[Date]])+1</f>
        <v>45717</v>
      </c>
      <c r="E2" s="177">
        <f t="shared" ref="E2:E30" si="0">DAY(EOMONTH(A2,0))</f>
        <v>31</v>
      </c>
      <c r="F2" s="179">
        <f>IFERROR(_xlfn.XLOOKUP($A2,Raw_Data!$B:$B,Raw_Data!$KG:$KG),"")</f>
        <v>11.999999999999998</v>
      </c>
      <c r="G2" s="180">
        <f>IFERROR(_xlfn.XLOOKUP($A2,Raw_Data!$B:$B,Raw_Data!KH:KH),"")</f>
        <v>0</v>
      </c>
      <c r="H2" s="180"/>
      <c r="I2" s="180">
        <f>IFERROR(_xlfn.XLOOKUP($A2,Raw_Data!$B:$B,Raw_Data!$KI:$KI),"")</f>
        <v>0</v>
      </c>
      <c r="J2" s="180"/>
      <c r="K2" s="180">
        <v>35.467729890000001</v>
      </c>
      <c r="L2" s="180">
        <v>50.038871729999997</v>
      </c>
      <c r="M2" s="180">
        <v>2.5105065670000002</v>
      </c>
      <c r="N2" s="180">
        <v>5.7</v>
      </c>
      <c r="O2" s="181" t="str">
        <f>IFERROR(1-SUMIF(PA!$B:$B,$A2,PA!AJ:AJ)/($AA2+SUMIF(PA!$B:$B,$A2,PA!AJ:AJ)),"")</f>
        <v/>
      </c>
      <c r="P2" s="181"/>
      <c r="Q2" s="182"/>
      <c r="R2" s="181" t="str">
        <f>IFERROR(1-SUMIF(GA!$C:$C,$A2,GA!$X:$X)/($AA2+SUMIF(GA!$C:$C,$A2,GA!$X:$X)),"")</f>
        <v/>
      </c>
      <c r="S2" s="177"/>
      <c r="T2" s="182"/>
      <c r="U2" s="183" t="str">
        <f t="shared" ref="U2:U30" si="1">IFERROR(AA2/I2/AB2/1000,"")</f>
        <v/>
      </c>
      <c r="V2" s="183" t="str">
        <f>IFERROR(_xlfn.XLOOKUP($A2,Raw_Data!$B:$B,Raw_Data!$KQ:$KQ),"")</f>
        <v/>
      </c>
      <c r="W2" s="184" t="str">
        <f t="shared" ref="W2:W30" si="2">IFERROR(AA2/(24*AB2*1000),"")</f>
        <v/>
      </c>
      <c r="X2" s="176">
        <f>IFERROR(_xlfn.XLOOKUP($A2,Raw_Data!$B:$B,Raw_Data!$KN:$KN),"")</f>
        <v>0</v>
      </c>
      <c r="Y2" s="176" t="str">
        <f>IFERROR(_xlfn.XLOOKUP($A2,Raw_Data!$B:$B,Raw_Data!$KC:$KC),"")</f>
        <v/>
      </c>
      <c r="Z2" s="176" t="str">
        <f>IFERROR(_xlfn.XLOOKUP($A2,Raw_Data!$B:$B,Raw_Data!$KD:$KD),"")</f>
        <v/>
      </c>
      <c r="AA2" s="176" t="str">
        <f>IFERROR(_xlfn.XLOOKUP($A2,Raw_Data!$B:$B,Raw_Data!$KF:$KF),"")</f>
        <v/>
      </c>
      <c r="AB2" s="176">
        <f>IFERROR(_xlfn.XLOOKUP($A2,Raw_Data!$B:$B,Raw_Data!I:I)/1000,"")</f>
        <v>66.75</v>
      </c>
      <c r="AC2" s="185">
        <f>IFERROR(_xlfn.XLOOKUP($D2,'Modelling New'!$D:$D,'Modelling New'!$P:$P),"")</f>
        <v>6.6838709677419352</v>
      </c>
      <c r="AD2" s="176">
        <f>IFERROR(_xlfn.XLOOKUP($D2,'Modelling New'!$D:$D,'Modelling New'!$T:$T)*1000,"")</f>
        <v>346441.93548387091</v>
      </c>
      <c r="AE2" s="186">
        <f>IFERROR(_xlfn.XLOOKUP($D2,'Modelling New'!$D:$D,'Modelling New'!$O:$O),"")</f>
        <v>0.77645912602095668</v>
      </c>
      <c r="AF2" s="186">
        <f>IFERROR(_xlfn.XLOOKUP($D2,'Modelling New'!$D:$D,'Modelling New'!$W:$W),"")</f>
        <v>0.21623969208540617</v>
      </c>
      <c r="AG2" s="186">
        <f>IFERROR(_xlfn.XLOOKUP($D2,'Modelling New'!$D:$D,'Modelling New'!$AE:$AE),"")</f>
        <v>0.995</v>
      </c>
      <c r="AH2" s="186">
        <f>IFERROR(_xlfn.XLOOKUP($D2,'Modelling New'!$D:$D,'Modelling New'!$AF:$AF),"")</f>
        <v>0.995</v>
      </c>
      <c r="AI2" s="177"/>
      <c r="AJ2" s="177"/>
      <c r="AK2" s="238"/>
      <c r="AL2" s="238"/>
      <c r="AM2" s="238"/>
      <c r="AN2" s="187"/>
      <c r="AO2" s="184"/>
      <c r="AP2" s="184"/>
      <c r="AQ2" s="184"/>
      <c r="AR2" s="176" t="str">
        <f>IFERROR(_xlfn.XLOOKUP($D1,'Modelling New'!$D:$D,'Modelling New'!$N:$N),"")</f>
        <v/>
      </c>
      <c r="AS2" s="176"/>
    </row>
    <row r="3" spans="1:45" x14ac:dyDescent="0.25">
      <c r="A3" s="175">
        <f t="shared" ref="A3:A56" si="3">A2+1</f>
        <v>45746</v>
      </c>
      <c r="B3" s="176">
        <f>YEAR(Table13[[#This Row],[Date]])+IF(MONTH(Table13[[#This Row],[Date]])&gt;=4,1,0)</f>
        <v>2025</v>
      </c>
      <c r="C3" s="177">
        <f>YEAR(Table13[[#This Row],[Date]])</f>
        <v>2025</v>
      </c>
      <c r="D3" s="178">
        <f>Table13[[#This Row],[Date]]-DAY(Table13[[#This Row],[Date]])+1</f>
        <v>45717</v>
      </c>
      <c r="E3" s="177">
        <f t="shared" si="0"/>
        <v>31</v>
      </c>
      <c r="F3" s="179">
        <f>IFERROR(_xlfn.XLOOKUP($A3,Raw_Data!$B:$B,Raw_Data!$KG:$KG),"")</f>
        <v>11.999999999999998</v>
      </c>
      <c r="G3" s="180">
        <f>IFERROR(_xlfn.XLOOKUP($A3,Raw_Data!$B:$B,Raw_Data!KH:KH),"")</f>
        <v>0</v>
      </c>
      <c r="H3" s="180"/>
      <c r="I3" s="180">
        <f>IFERROR(_xlfn.XLOOKUP($A3,Raw_Data!$B:$B,Raw_Data!$KI:$KI),"")</f>
        <v>0</v>
      </c>
      <c r="J3" s="180"/>
      <c r="K3" s="180">
        <f>IFERROR(_xlfn.XLOOKUP($A3,Raw_Data!$B:$B,Raw_Data!KJ:KJ),"")</f>
        <v>0</v>
      </c>
      <c r="L3" s="180">
        <f>IFERROR(_xlfn.XLOOKUP($A3,Raw_Data!$B:$B,Raw_Data!KK:KK),"")</f>
        <v>0</v>
      </c>
      <c r="M3" s="180">
        <f>IFERROR(_xlfn.XLOOKUP($A3,Raw_Data!$B:$B,Raw_Data!KL:KL),"")</f>
        <v>0</v>
      </c>
      <c r="N3" s="180">
        <f>IFERROR(_xlfn.XLOOKUP($A3,Raw_Data!$B:$B,Raw_Data!KM:KM),"")</f>
        <v>0</v>
      </c>
      <c r="O3" s="181">
        <f>IFERROR(1-SUMIF(PA!$B:$B,$A3,PA!AJ:AJ)/($AA3+SUMIF(PA!$B:$B,$A3,PA!AJ:AJ)),"")</f>
        <v>1</v>
      </c>
      <c r="P3" s="181"/>
      <c r="Q3" s="182"/>
      <c r="R3" s="181">
        <f>IFERROR(1-SUMIF(GA!$C:$C,$A3,GA!$X:$X)/($AA3+SUMIF(GA!$C:$C,$A3,GA!$X:$X)),"")</f>
        <v>1</v>
      </c>
      <c r="S3" s="177"/>
      <c r="T3" s="182"/>
      <c r="U3" s="183" t="str">
        <f t="shared" si="1"/>
        <v/>
      </c>
      <c r="V3" s="183" t="str">
        <f>IFERROR(_xlfn.XLOOKUP($A3,Raw_Data!$B:$B,Raw_Data!$KQ:$KQ),"")</f>
        <v/>
      </c>
      <c r="W3" s="184">
        <f t="shared" si="2"/>
        <v>0.21445815186374961</v>
      </c>
      <c r="X3" s="176">
        <f>IFERROR(_xlfn.XLOOKUP($A3,Raw_Data!$B:$B,Raw_Data!$KN:$KN),"")</f>
        <v>0</v>
      </c>
      <c r="Y3" s="176">
        <f>IFERROR(_xlfn.XLOOKUP($A3,Raw_Data!$B:$B,Raw_Data!$KC:$KC),"")</f>
        <v>343623.88857144117</v>
      </c>
      <c r="Z3" s="176">
        <f>IFERROR(_xlfn.XLOOKUP($A3,Raw_Data!$B:$B,Raw_Data!$KD:$KD),"")</f>
        <v>61.92928571428638</v>
      </c>
      <c r="AA3" s="176">
        <f>IFERROR(_xlfn.XLOOKUP($A3,Raw_Data!$B:$B,Raw_Data!$KF:$KF),"")</f>
        <v>343561.95928572689</v>
      </c>
      <c r="AB3" s="176">
        <f>IFERROR(_xlfn.XLOOKUP($A3,Raw_Data!$B:$B,Raw_Data!I:I)/1000,"")</f>
        <v>66.75</v>
      </c>
      <c r="AC3" s="185">
        <f>IFERROR(_xlfn.XLOOKUP($D3,'Modelling New'!$D:$D,'Modelling New'!$P:$P),"")</f>
        <v>6.6838709677419352</v>
      </c>
      <c r="AD3" s="176">
        <f>IFERROR(_xlfn.XLOOKUP($D3,'Modelling New'!$D:$D,'Modelling New'!$T:$T)*1000,"")</f>
        <v>346441.93548387091</v>
      </c>
      <c r="AE3" s="186">
        <f>IFERROR(_xlfn.XLOOKUP($D3,'Modelling New'!$D:$D,'Modelling New'!$O:$O),"")</f>
        <v>0.77645912602095668</v>
      </c>
      <c r="AF3" s="186">
        <f>IFERROR(_xlfn.XLOOKUP($D3,'Modelling New'!$D:$D,'Modelling New'!$W:$W),"")</f>
        <v>0.21623969208540617</v>
      </c>
      <c r="AG3" s="186">
        <f>IFERROR(_xlfn.XLOOKUP($D3,'Modelling New'!$D:$D,'Modelling New'!$AE:$AE),"")</f>
        <v>0.995</v>
      </c>
      <c r="AH3" s="186">
        <f>IFERROR(_xlfn.XLOOKUP($D3,'Modelling New'!$D:$D,'Modelling New'!$AF:$AF),"")</f>
        <v>0.995</v>
      </c>
      <c r="AI3" s="177"/>
      <c r="AJ3" s="177"/>
      <c r="AK3" s="238"/>
      <c r="AL3" s="238"/>
      <c r="AM3" s="238"/>
      <c r="AN3" s="187"/>
      <c r="AO3" s="184"/>
      <c r="AP3" s="184"/>
      <c r="AQ3" s="184"/>
      <c r="AR3" s="176">
        <f>IFERROR(_xlfn.XLOOKUP($D2,'Modelling New'!$D:$D,'Modelling New'!$N:$N),"")</f>
        <v>66.754999999999995</v>
      </c>
      <c r="AS3" s="176"/>
    </row>
    <row r="4" spans="1:45" x14ac:dyDescent="0.25">
      <c r="A4" s="175">
        <f t="shared" si="3"/>
        <v>45747</v>
      </c>
      <c r="B4" s="176">
        <f>YEAR(Table13[[#This Row],[Date]])+IF(MONTH(Table13[[#This Row],[Date]])&gt;=4,1,0)</f>
        <v>2025</v>
      </c>
      <c r="C4" s="177">
        <f>YEAR(Table13[[#This Row],[Date]])</f>
        <v>2025</v>
      </c>
      <c r="D4" s="178">
        <f>Table13[[#This Row],[Date]]-DAY(Table13[[#This Row],[Date]])+1</f>
        <v>45717</v>
      </c>
      <c r="E4" s="177">
        <f t="shared" si="0"/>
        <v>31</v>
      </c>
      <c r="F4" s="179">
        <f>IFERROR(_xlfn.XLOOKUP($A4,Raw_Data!$B:$B,Raw_Data!$KG:$KG),"")</f>
        <v>11.999999999999998</v>
      </c>
      <c r="G4" s="180">
        <f>IFERROR(_xlfn.XLOOKUP($A4,Raw_Data!$B:$B,Raw_Data!KH:KH),"")</f>
        <v>0</v>
      </c>
      <c r="H4" s="180"/>
      <c r="I4" s="180">
        <f>IFERROR(_xlfn.XLOOKUP($A4,Raw_Data!$B:$B,Raw_Data!$KI:$KI),"")</f>
        <v>7.31</v>
      </c>
      <c r="J4" s="180"/>
      <c r="K4" s="180">
        <f>IFERROR(_xlfn.XLOOKUP($A4,Raw_Data!$B:$B,Raw_Data!KJ:KJ),"")</f>
        <v>30.32</v>
      </c>
      <c r="L4" s="180">
        <f>IFERROR(_xlfn.XLOOKUP($A4,Raw_Data!$B:$B,Raw_Data!KK:KK),"")</f>
        <v>40.28</v>
      </c>
      <c r="M4" s="180">
        <f>IFERROR(_xlfn.XLOOKUP($A4,Raw_Data!$B:$B,Raw_Data!KL:KL),"")</f>
        <v>1.71</v>
      </c>
      <c r="N4" s="180">
        <f>IFERROR(_xlfn.XLOOKUP($A4,Raw_Data!$B:$B,Raw_Data!KM:KM),"")</f>
        <v>6.3</v>
      </c>
      <c r="O4" s="181">
        <f>IFERROR(1-SUMIF(PA!$B:$B,$A4,PA!AJ:AJ)/($AA4+SUMIF(PA!$B:$B,$A4,PA!AJ:AJ)),"")</f>
        <v>1</v>
      </c>
      <c r="P4" s="181"/>
      <c r="Q4" s="182"/>
      <c r="R4" s="181">
        <f>IFERROR(1-SUMIF(GA!$C:$C,$A4,GA!$X:$X)/($AA4+SUMIF(GA!$C:$C,$A4,GA!$X:$X)),"")</f>
        <v>1</v>
      </c>
      <c r="S4" s="177"/>
      <c r="T4" s="182"/>
      <c r="U4" s="183">
        <f t="shared" si="1"/>
        <v>0.70410337137209178</v>
      </c>
      <c r="V4" s="183" t="str">
        <f>IFERROR(_xlfn.XLOOKUP($A4,Raw_Data!$B:$B,Raw_Data!$KQ:$KQ),"")</f>
        <v/>
      </c>
      <c r="W4" s="184">
        <f t="shared" si="2"/>
        <v>0.21445815186374961</v>
      </c>
      <c r="X4" s="176">
        <f>IFERROR(_xlfn.XLOOKUP($A4,Raw_Data!$B:$B,Raw_Data!$KN:$KN),"")</f>
        <v>364093.20000000019</v>
      </c>
      <c r="Y4" s="176">
        <f>IFERROR(_xlfn.XLOOKUP($A4,Raw_Data!$B:$B,Raw_Data!$KC:$KC),"")</f>
        <v>343623.88857144117</v>
      </c>
      <c r="Z4" s="176">
        <f>IFERROR(_xlfn.XLOOKUP($A4,Raw_Data!$B:$B,Raw_Data!$KD:$KD),"")</f>
        <v>61.92928571428638</v>
      </c>
      <c r="AA4" s="176">
        <f>IFERROR(_xlfn.XLOOKUP($A4,Raw_Data!$B:$B,Raw_Data!$KF:$KF),"")</f>
        <v>343561.95928572689</v>
      </c>
      <c r="AB4" s="176">
        <f>IFERROR(_xlfn.XLOOKUP($A4,Raw_Data!$B:$B,Raw_Data!I:I)/1000,"")</f>
        <v>66.75</v>
      </c>
      <c r="AC4" s="185">
        <f>IFERROR(_xlfn.XLOOKUP($D4,'Modelling New'!$D:$D,'Modelling New'!$P:$P),"")</f>
        <v>6.6838709677419352</v>
      </c>
      <c r="AD4" s="176">
        <f>IFERROR(_xlfn.XLOOKUP($D4,'Modelling New'!$D:$D,'Modelling New'!$T:$T)*1000,"")</f>
        <v>346441.93548387091</v>
      </c>
      <c r="AE4" s="186">
        <f>IFERROR(_xlfn.XLOOKUP($D4,'Modelling New'!$D:$D,'Modelling New'!$O:$O),"")</f>
        <v>0.77645912602095668</v>
      </c>
      <c r="AF4" s="186">
        <f>IFERROR(_xlfn.XLOOKUP($D4,'Modelling New'!$D:$D,'Modelling New'!$W:$W),"")</f>
        <v>0.21623969208540617</v>
      </c>
      <c r="AG4" s="186">
        <f>IFERROR(_xlfn.XLOOKUP($D4,'Modelling New'!$D:$D,'Modelling New'!$AE:$AE),"")</f>
        <v>0.995</v>
      </c>
      <c r="AH4" s="186">
        <f>IFERROR(_xlfn.XLOOKUP($D4,'Modelling New'!$D:$D,'Modelling New'!$AF:$AF),"")</f>
        <v>0.995</v>
      </c>
      <c r="AI4" s="177"/>
      <c r="AJ4" s="177"/>
      <c r="AK4" s="238"/>
      <c r="AL4" s="238"/>
      <c r="AM4" s="238"/>
      <c r="AN4" s="187"/>
      <c r="AO4" s="184"/>
      <c r="AP4" s="184"/>
      <c r="AQ4" s="184"/>
      <c r="AR4" s="176">
        <f>IFERROR(_xlfn.XLOOKUP($D3,'Modelling New'!$D:$D,'Modelling New'!$N:$N),"")</f>
        <v>66.754999999999995</v>
      </c>
      <c r="AS4" s="176"/>
    </row>
    <row r="5" spans="1:45" x14ac:dyDescent="0.25">
      <c r="A5" s="175">
        <f t="shared" si="3"/>
        <v>45748</v>
      </c>
      <c r="B5" s="176">
        <f>YEAR(Table13[[#This Row],[Date]])+IF(MONTH(Table13[[#This Row],[Date]])&gt;=4,1,0)</f>
        <v>2026</v>
      </c>
      <c r="C5" s="177">
        <f>YEAR(Table13[[#This Row],[Date]])</f>
        <v>2025</v>
      </c>
      <c r="D5" s="178">
        <f>Table13[[#This Row],[Date]]-DAY(Table13[[#This Row],[Date]])+1</f>
        <v>45748</v>
      </c>
      <c r="E5" s="177">
        <f t="shared" si="0"/>
        <v>30</v>
      </c>
      <c r="F5" s="179">
        <f>IFERROR(_xlfn.XLOOKUP($A5,Raw_Data!$B:$B,Raw_Data!$KG:$KG),"")</f>
        <v>11.999999999999998</v>
      </c>
      <c r="G5" s="180">
        <f>IFERROR(_xlfn.XLOOKUP($A5,Raw_Data!$B:$B,Raw_Data!KH:KH),"")</f>
        <v>0</v>
      </c>
      <c r="H5" s="180"/>
      <c r="I5" s="180">
        <f>IFERROR(_xlfn.XLOOKUP($A5,Raw_Data!$B:$B,Raw_Data!$KI:$KI),"")</f>
        <v>7.18</v>
      </c>
      <c r="J5" s="180"/>
      <c r="K5" s="180">
        <f>IFERROR(_xlfn.XLOOKUP($A5,Raw_Data!$B:$B,Raw_Data!KJ:KJ),"")</f>
        <v>25.08</v>
      </c>
      <c r="L5" s="180">
        <f>IFERROR(_xlfn.XLOOKUP($A5,Raw_Data!$B:$B,Raw_Data!KK:KK),"")</f>
        <v>40.950000000000003</v>
      </c>
      <c r="M5" s="180">
        <f>IFERROR(_xlfn.XLOOKUP($A5,Raw_Data!$B:$B,Raw_Data!KL:KL),"")</f>
        <v>1.76</v>
      </c>
      <c r="N5" s="180">
        <f>IFERROR(_xlfn.XLOOKUP($A5,Raw_Data!$B:$B,Raw_Data!KM:KM),"")</f>
        <v>5.3</v>
      </c>
      <c r="O5" s="181">
        <f>IFERROR(1-SUMIF(PA!$B:$B,$A5,PA!AJ:AJ)/($AA5+SUMIF(PA!$B:$B,$A5,PA!AJ:AJ)),"")</f>
        <v>0.99985217047261576</v>
      </c>
      <c r="P5" s="181"/>
      <c r="Q5" s="182"/>
      <c r="R5" s="181">
        <f>IFERROR(1-SUMIF(GA!$C:$C,$A5,GA!$X:$X)/($AA5+SUMIF(GA!$C:$C,$A5,GA!$X:$X)),"")</f>
        <v>1</v>
      </c>
      <c r="S5" s="177"/>
      <c r="T5" s="182"/>
      <c r="U5" s="183">
        <f t="shared" si="1"/>
        <v>0.7168517611042069</v>
      </c>
      <c r="V5" s="183" t="str">
        <f>IFERROR(_xlfn.XLOOKUP($A5,Raw_Data!$B:$B,Raw_Data!$KQ:$KQ),"")</f>
        <v/>
      </c>
      <c r="W5" s="184">
        <f t="shared" si="2"/>
        <v>0.2144581518636752</v>
      </c>
      <c r="X5" s="176">
        <f>IFERROR(_xlfn.XLOOKUP($A5,Raw_Data!$B:$B,Raw_Data!$KN:$KN),"")</f>
        <v>354559</v>
      </c>
      <c r="Y5" s="176">
        <f>IFERROR(_xlfn.XLOOKUP($A5,Raw_Data!$B:$B,Raw_Data!$KC:$KC),"")</f>
        <v>343623.88857132196</v>
      </c>
      <c r="Z5" s="176">
        <f>IFERROR(_xlfn.XLOOKUP($A5,Raw_Data!$B:$B,Raw_Data!$KD:$KD),"")</f>
        <v>61.929285714271828</v>
      </c>
      <c r="AA5" s="176">
        <f>IFERROR(_xlfn.XLOOKUP($A5,Raw_Data!$B:$B,Raw_Data!$KF:$KF),"")</f>
        <v>343561.95928560768</v>
      </c>
      <c r="AB5" s="176">
        <f>IFERROR(_xlfn.XLOOKUP($A5,Raw_Data!$B:$B,Raw_Data!I:I)/1000,"")</f>
        <v>66.75</v>
      </c>
      <c r="AC5" s="185">
        <f>IFERROR(_xlfn.XLOOKUP($D5,'Modelling New'!$D:$D,'Modelling New'!$P:$P),"")</f>
        <v>6.8866666666666667</v>
      </c>
      <c r="AD5" s="176">
        <f>IFERROR(_xlfn.XLOOKUP($D5,'Modelling New'!$D:$D,'Modelling New'!$T:$T)*1000,"")</f>
        <v>349842.08946517232</v>
      </c>
      <c r="AE5" s="186">
        <f>IFERROR(_xlfn.XLOOKUP($D5,'Modelling New'!$D:$D,'Modelling New'!$O:$O),"")</f>
        <v>0.76099043046437598</v>
      </c>
      <c r="AF5" s="186">
        <f>IFERROR(_xlfn.XLOOKUP($D5,'Modelling New'!$D:$D,'Modelling New'!$W:$W),"")</f>
        <v>0.21836197629713899</v>
      </c>
      <c r="AG5" s="186">
        <f>IFERROR(_xlfn.XLOOKUP($D5,'Modelling New'!$D:$D,'Modelling New'!$AE:$AE),"")</f>
        <v>0.995</v>
      </c>
      <c r="AH5" s="186">
        <f>IFERROR(_xlfn.XLOOKUP($D5,'Modelling New'!$D:$D,'Modelling New'!$AF:$AF),"")</f>
        <v>0.995</v>
      </c>
      <c r="AI5" s="177"/>
      <c r="AJ5" s="177"/>
      <c r="AK5" s="238"/>
      <c r="AL5" s="238"/>
      <c r="AM5" s="238"/>
      <c r="AN5" s="187"/>
      <c r="AO5" s="184"/>
      <c r="AP5" s="184"/>
      <c r="AQ5" s="184"/>
      <c r="AR5" s="176">
        <f>IFERROR(_xlfn.XLOOKUP($D4,'Modelling New'!$D:$D,'Modelling New'!$N:$N),"")</f>
        <v>66.754999999999995</v>
      </c>
      <c r="AS5" s="176"/>
    </row>
    <row r="6" spans="1:45" x14ac:dyDescent="0.25">
      <c r="A6" s="175">
        <f t="shared" si="3"/>
        <v>45749</v>
      </c>
      <c r="B6" s="176">
        <f>YEAR(Table13[[#This Row],[Date]])+IF(MONTH(Table13[[#This Row],[Date]])&gt;=4,1,0)</f>
        <v>2026</v>
      </c>
      <c r="C6" s="177">
        <f>YEAR(Table13[[#This Row],[Date]])</f>
        <v>2025</v>
      </c>
      <c r="D6" s="178">
        <f>Table13[[#This Row],[Date]]-DAY(Table13[[#This Row],[Date]])+1</f>
        <v>45748</v>
      </c>
      <c r="E6" s="177">
        <f t="shared" si="0"/>
        <v>30</v>
      </c>
      <c r="F6" s="179">
        <f>IFERROR(_xlfn.XLOOKUP($A6,Raw_Data!$B:$B,Raw_Data!$KG:$KG),"")</f>
        <v>11.999999999999998</v>
      </c>
      <c r="G6" s="180">
        <f>IFERROR(_xlfn.XLOOKUP($A6,Raw_Data!$B:$B,Raw_Data!KH:KH),"")</f>
        <v>0</v>
      </c>
      <c r="H6" s="180"/>
      <c r="I6" s="180">
        <f>IFERROR(_xlfn.XLOOKUP($A6,Raw_Data!$B:$B,Raw_Data!$KI:$KI),"")</f>
        <v>6.87</v>
      </c>
      <c r="J6" s="180"/>
      <c r="K6" s="180">
        <f>IFERROR(_xlfn.XLOOKUP($A6,Raw_Data!$B:$B,Raw_Data!KJ:KJ),"")</f>
        <v>26.5</v>
      </c>
      <c r="L6" s="180">
        <f>IFERROR(_xlfn.XLOOKUP($A6,Raw_Data!$B:$B,Raw_Data!KK:KK),"")</f>
        <v>39.700000000000003</v>
      </c>
      <c r="M6" s="180">
        <f>IFERROR(_xlfn.XLOOKUP($A6,Raw_Data!$B:$B,Raw_Data!KL:KL),"")</f>
        <v>1.9</v>
      </c>
      <c r="N6" s="180">
        <f>IFERROR(_xlfn.XLOOKUP($A6,Raw_Data!$B:$B,Raw_Data!KM:KM),"")</f>
        <v>5.9</v>
      </c>
      <c r="O6" s="181">
        <f>IFERROR(1-SUMIF(PA!$B:$B,$A6,PA!AJ:AJ)/($AA6+SUMIF(PA!$B:$B,$A6,PA!AJ:AJ)),"")</f>
        <v>0.99792103247226271</v>
      </c>
      <c r="P6" s="181"/>
      <c r="Q6" s="182"/>
      <c r="R6" s="181">
        <f>IFERROR(1-SUMIF(GA!$C:$C,$A6,GA!$X:$X)/($AA6+SUMIF(GA!$C:$C,$A6,GA!$X:$X)),"")</f>
        <v>1</v>
      </c>
      <c r="S6" s="177"/>
      <c r="T6" s="182"/>
      <c r="U6" s="183">
        <f t="shared" si="1"/>
        <v>0.72976542204341688</v>
      </c>
      <c r="V6" s="183" t="str">
        <f>IFERROR(_xlfn.XLOOKUP($A6,Raw_Data!$B:$B,Raw_Data!$KQ:$KQ),"")</f>
        <v/>
      </c>
      <c r="W6" s="184">
        <f t="shared" si="2"/>
        <v>0.20889535205992807</v>
      </c>
      <c r="X6" s="176">
        <f>IFERROR(_xlfn.XLOOKUP($A6,Raw_Data!$B:$B,Raw_Data!$KN:$KN),"")</f>
        <v>341179</v>
      </c>
      <c r="Y6" s="176">
        <f>IFERROR(_xlfn.XLOOKUP($A6,Raw_Data!$B:$B,Raw_Data!$KC:$KC),"")</f>
        <v>334708.37000000477</v>
      </c>
      <c r="Z6" s="176">
        <f>IFERROR(_xlfn.XLOOKUP($A6,Raw_Data!$B:$B,Raw_Data!$KD:$KD),"")</f>
        <v>58.01600000000326</v>
      </c>
      <c r="AA6" s="176">
        <f>IFERROR(_xlfn.XLOOKUP($A6,Raw_Data!$B:$B,Raw_Data!$KF:$KF),"")</f>
        <v>334650.35400000477</v>
      </c>
      <c r="AB6" s="176">
        <f>IFERROR(_xlfn.XLOOKUP($A6,Raw_Data!$B:$B,Raw_Data!I:I)/1000,"")</f>
        <v>66.75</v>
      </c>
      <c r="AC6" s="185">
        <f>IFERROR(_xlfn.XLOOKUP($D6,'Modelling New'!$D:$D,'Modelling New'!$P:$P),"")</f>
        <v>6.8866666666666667</v>
      </c>
      <c r="AD6" s="176">
        <f>IFERROR(_xlfn.XLOOKUP($D6,'Modelling New'!$D:$D,'Modelling New'!$T:$T)*1000,"")</f>
        <v>349842.08946517232</v>
      </c>
      <c r="AE6" s="186">
        <f>IFERROR(_xlfn.XLOOKUP($D6,'Modelling New'!$D:$D,'Modelling New'!$O:$O),"")</f>
        <v>0.76099043046437598</v>
      </c>
      <c r="AF6" s="186">
        <f>IFERROR(_xlfn.XLOOKUP($D6,'Modelling New'!$D:$D,'Modelling New'!$W:$W),"")</f>
        <v>0.21836197629713899</v>
      </c>
      <c r="AG6" s="186">
        <f>IFERROR(_xlfn.XLOOKUP($D6,'Modelling New'!$D:$D,'Modelling New'!$AE:$AE),"")</f>
        <v>0.995</v>
      </c>
      <c r="AH6" s="186">
        <f>IFERROR(_xlfn.XLOOKUP($D6,'Modelling New'!$D:$D,'Modelling New'!$AF:$AF),"")</f>
        <v>0.995</v>
      </c>
      <c r="AI6" s="177"/>
      <c r="AJ6" s="177"/>
      <c r="AK6" s="238"/>
      <c r="AL6" s="238"/>
      <c r="AM6" s="238"/>
      <c r="AN6" s="187"/>
      <c r="AO6" s="184"/>
      <c r="AP6" s="184"/>
      <c r="AQ6" s="184"/>
      <c r="AR6" s="176">
        <f>IFERROR(_xlfn.XLOOKUP($D5,'Modelling New'!$D:$D,'Modelling New'!$N:$N),"")</f>
        <v>66.754999999999995</v>
      </c>
      <c r="AS6" s="176"/>
    </row>
    <row r="7" spans="1:45" x14ac:dyDescent="0.25">
      <c r="A7" s="175">
        <f t="shared" si="3"/>
        <v>45750</v>
      </c>
      <c r="B7" s="176">
        <f>YEAR(Table13[[#This Row],[Date]])+IF(MONTH(Table13[[#This Row],[Date]])&gt;=4,1,0)</f>
        <v>2026</v>
      </c>
      <c r="C7" s="177">
        <f>YEAR(Table13[[#This Row],[Date]])</f>
        <v>2025</v>
      </c>
      <c r="D7" s="178">
        <f>Table13[[#This Row],[Date]]-DAY(Table13[[#This Row],[Date]])+1</f>
        <v>45748</v>
      </c>
      <c r="E7" s="177">
        <f t="shared" si="0"/>
        <v>30</v>
      </c>
      <c r="F7" s="179">
        <f>IFERROR(_xlfn.XLOOKUP($A7,Raw_Data!$B:$B,Raw_Data!$KG:$KG),"")</f>
        <v>11.999999999999998</v>
      </c>
      <c r="G7" s="180">
        <f>IFERROR(_xlfn.XLOOKUP($A7,Raw_Data!$B:$B,Raw_Data!KH:KH),"")</f>
        <v>0</v>
      </c>
      <c r="H7" s="180"/>
      <c r="I7" s="180">
        <f>IFERROR(_xlfn.XLOOKUP($A7,Raw_Data!$B:$B,Raw_Data!$KI:$KI),"")</f>
        <v>0</v>
      </c>
      <c r="J7" s="180"/>
      <c r="K7" s="180">
        <f>IFERROR(_xlfn.XLOOKUP($A7,Raw_Data!$B:$B,Raw_Data!KJ:KJ),"")</f>
        <v>25.78</v>
      </c>
      <c r="L7" s="180">
        <f>IFERROR(_xlfn.XLOOKUP($A7,Raw_Data!$B:$B,Raw_Data!KK:KK),"")</f>
        <v>32</v>
      </c>
      <c r="M7" s="180">
        <f>IFERROR(_xlfn.XLOOKUP($A7,Raw_Data!$B:$B,Raw_Data!KL:KL),"")</f>
        <v>2.63</v>
      </c>
      <c r="N7" s="180">
        <f>IFERROR(_xlfn.XLOOKUP($A7,Raw_Data!$B:$B,Raw_Data!KM:KM),"")</f>
        <v>5.3</v>
      </c>
      <c r="O7" s="181">
        <f>IFERROR(1-SUMIF(PA!$B:$B,$A7,PA!AJ:AJ)/($AA7+SUMIF(PA!$B:$B,$A7,PA!AJ:AJ)),"")</f>
        <v>0.9956111540142949</v>
      </c>
      <c r="P7" s="181"/>
      <c r="Q7" s="182"/>
      <c r="R7" s="181">
        <f>IFERROR(1-SUMIF(GA!$C:$C,$A7,GA!$X:$X)/($AA7+SUMIF(GA!$C:$C,$A7,GA!$X:$X)),"")</f>
        <v>1</v>
      </c>
      <c r="S7" s="177"/>
      <c r="T7" s="182"/>
      <c r="U7" s="183" t="str">
        <f>IFERROR(AA7/I7/AB7/1000,"")</f>
        <v/>
      </c>
      <c r="V7" s="183" t="str">
        <f>IFERROR(_xlfn.XLOOKUP($A7,Raw_Data!$B:$B,Raw_Data!$KQ:$KQ),"")</f>
        <v/>
      </c>
      <c r="W7" s="184">
        <f t="shared" si="2"/>
        <v>0.18917472659177964</v>
      </c>
      <c r="X7" s="176">
        <f>IFERROR(_xlfn.XLOOKUP($A7,Raw_Data!$B:$B,Raw_Data!$KN:$KN),"")</f>
        <v>305040</v>
      </c>
      <c r="Y7" s="176">
        <f>IFERROR(_xlfn.XLOOKUP($A7,Raw_Data!$B:$B,Raw_Data!$KC:$KC),"")</f>
        <v>303117.53000003099</v>
      </c>
      <c r="Z7" s="176">
        <f>IFERROR(_xlfn.XLOOKUP($A7,Raw_Data!$B:$B,Raw_Data!$KD:$KD),"")</f>
        <v>59.618000000002212</v>
      </c>
      <c r="AA7" s="176">
        <f>IFERROR(_xlfn.XLOOKUP($A7,Raw_Data!$B:$B,Raw_Data!$KF:$KF),"")</f>
        <v>303057.91200003098</v>
      </c>
      <c r="AB7" s="176">
        <f>IFERROR(_xlfn.XLOOKUP($A7,Raw_Data!$B:$B,Raw_Data!I:I)/1000,"")</f>
        <v>66.75</v>
      </c>
      <c r="AC7" s="185">
        <f>IFERROR(_xlfn.XLOOKUP($D7,'Modelling New'!$D:$D,'Modelling New'!$P:$P),"")</f>
        <v>6.8866666666666667</v>
      </c>
      <c r="AD7" s="176">
        <f>IFERROR(_xlfn.XLOOKUP($D7,'Modelling New'!$D:$D,'Modelling New'!$T:$T)*1000,"")</f>
        <v>349842.08946517232</v>
      </c>
      <c r="AE7" s="186">
        <f>IFERROR(_xlfn.XLOOKUP($D7,'Modelling New'!$D:$D,'Modelling New'!$O:$O),"")</f>
        <v>0.76099043046437598</v>
      </c>
      <c r="AF7" s="186">
        <f>IFERROR(_xlfn.XLOOKUP($D7,'Modelling New'!$D:$D,'Modelling New'!$W:$W),"")</f>
        <v>0.21836197629713899</v>
      </c>
      <c r="AG7" s="186">
        <f>IFERROR(_xlfn.XLOOKUP($D7,'Modelling New'!$D:$D,'Modelling New'!$AE:$AE),"")</f>
        <v>0.995</v>
      </c>
      <c r="AH7" s="186">
        <f>IFERROR(_xlfn.XLOOKUP($D7,'Modelling New'!$D:$D,'Modelling New'!$AF:$AF),"")</f>
        <v>0.995</v>
      </c>
      <c r="AI7" s="177"/>
      <c r="AJ7" s="177"/>
      <c r="AK7" s="238"/>
      <c r="AL7" s="238"/>
      <c r="AM7" s="238"/>
      <c r="AN7" s="187"/>
      <c r="AO7" s="184"/>
      <c r="AP7" s="184"/>
      <c r="AQ7" s="184"/>
      <c r="AR7" s="176">
        <f>IFERROR(_xlfn.XLOOKUP($D6,'Modelling New'!$D:$D,'Modelling New'!$N:$N),"")</f>
        <v>66.754999999999995</v>
      </c>
      <c r="AS7" s="176"/>
    </row>
    <row r="8" spans="1:45" x14ac:dyDescent="0.25">
      <c r="A8" s="175">
        <f t="shared" si="3"/>
        <v>45751</v>
      </c>
      <c r="B8" s="176">
        <f>YEAR(Table13[[#This Row],[Date]])+IF(MONTH(Table13[[#This Row],[Date]])&gt;=4,1,0)</f>
        <v>2026</v>
      </c>
      <c r="C8" s="177">
        <f>YEAR(Table13[[#This Row],[Date]])</f>
        <v>2025</v>
      </c>
      <c r="D8" s="178">
        <f>Table13[[#This Row],[Date]]-DAY(Table13[[#This Row],[Date]])+1</f>
        <v>45748</v>
      </c>
      <c r="E8" s="177">
        <f t="shared" si="0"/>
        <v>30</v>
      </c>
      <c r="F8" s="179">
        <f>IFERROR(_xlfn.XLOOKUP($A8,Raw_Data!$B:$B,Raw_Data!$KG:$KG),"")</f>
        <v>11.999999999999998</v>
      </c>
      <c r="G8" s="180">
        <f>IFERROR(_xlfn.XLOOKUP($A8,Raw_Data!$B:$B,Raw_Data!KH:KH),"")</f>
        <v>0</v>
      </c>
      <c r="H8" s="180"/>
      <c r="I8" s="180">
        <f>IFERROR(_xlfn.XLOOKUP($A8,Raw_Data!$B:$B,Raw_Data!$KI:$KI),"")</f>
        <v>6.1</v>
      </c>
      <c r="J8" s="180"/>
      <c r="K8" s="180">
        <f>IFERROR(_xlfn.XLOOKUP($A8,Raw_Data!$B:$B,Raw_Data!KJ:KJ),"")</f>
        <v>35.1</v>
      </c>
      <c r="L8" s="180">
        <f>IFERROR(_xlfn.XLOOKUP($A8,Raw_Data!$B:$B,Raw_Data!KK:KK),"")</f>
        <v>50.1</v>
      </c>
      <c r="M8" s="180">
        <f>IFERROR(_xlfn.XLOOKUP($A8,Raw_Data!$B:$B,Raw_Data!KL:KL),"")</f>
        <v>1.5</v>
      </c>
      <c r="N8" s="180">
        <f>IFERROR(_xlfn.XLOOKUP($A8,Raw_Data!$B:$B,Raw_Data!KM:KM),"")</f>
        <v>4.3</v>
      </c>
      <c r="O8" s="181">
        <f>IFERROR(1-SUMIF(PA!$B:$B,$A8,PA!AJ:AJ)/($AA8+SUMIF(PA!$B:$B,$A8,PA!AJ:AJ)),"")</f>
        <v>1</v>
      </c>
      <c r="P8" s="181"/>
      <c r="Q8" s="182"/>
      <c r="R8" s="181">
        <f>IFERROR(1-SUMIF(GA!$C:$C,$A8,GA!$X:$X)/($AA8+SUMIF(GA!$C:$C,$A8,GA!$X:$X)),"")</f>
        <v>1</v>
      </c>
      <c r="S8" s="177"/>
      <c r="T8" s="182"/>
      <c r="U8" s="183">
        <f t="shared" si="1"/>
        <v>0.77974288205307751</v>
      </c>
      <c r="V8" s="183" t="str">
        <f>IFERROR(_xlfn.XLOOKUP($A8,Raw_Data!$B:$B,Raw_Data!$KQ:$KQ),"")</f>
        <v/>
      </c>
      <c r="W8" s="184">
        <f t="shared" si="2"/>
        <v>0.19818464918849055</v>
      </c>
      <c r="X8" s="176">
        <f>IFERROR(_xlfn.XLOOKUP($A8,Raw_Data!$B:$B,Raw_Data!$KN:$KN),"")</f>
        <v>318035</v>
      </c>
      <c r="Y8" s="176">
        <f>IFERROR(_xlfn.XLOOKUP($A8,Raw_Data!$B:$B,Raw_Data!$KC:$KC),"")</f>
        <v>317553.66499996185</v>
      </c>
      <c r="Z8" s="176">
        <f>IFERROR(_xlfn.XLOOKUP($A8,Raw_Data!$B:$B,Raw_Data!$KD:$KD),"")</f>
        <v>61.857000000003609</v>
      </c>
      <c r="AA8" s="176">
        <f>IFERROR(_xlfn.XLOOKUP($A8,Raw_Data!$B:$B,Raw_Data!$KF:$KF),"")</f>
        <v>317491.80799996183</v>
      </c>
      <c r="AB8" s="176">
        <f>IFERROR(_xlfn.XLOOKUP($A8,Raw_Data!$B:$B,Raw_Data!I:I)/1000,"")</f>
        <v>66.75</v>
      </c>
      <c r="AC8" s="185">
        <f>IFERROR(_xlfn.XLOOKUP($D8,'Modelling New'!$D:$D,'Modelling New'!$P:$P),"")</f>
        <v>6.8866666666666667</v>
      </c>
      <c r="AD8" s="176">
        <f>IFERROR(_xlfn.XLOOKUP($D8,'Modelling New'!$D:$D,'Modelling New'!$T:$T)*1000,"")</f>
        <v>349842.08946517232</v>
      </c>
      <c r="AE8" s="186">
        <f>IFERROR(_xlfn.XLOOKUP($D8,'Modelling New'!$D:$D,'Modelling New'!$O:$O),"")</f>
        <v>0.76099043046437598</v>
      </c>
      <c r="AF8" s="186">
        <f>IFERROR(_xlfn.XLOOKUP($D8,'Modelling New'!$D:$D,'Modelling New'!$W:$W),"")</f>
        <v>0.21836197629713899</v>
      </c>
      <c r="AG8" s="186">
        <f>IFERROR(_xlfn.XLOOKUP($D8,'Modelling New'!$D:$D,'Modelling New'!$AE:$AE),"")</f>
        <v>0.995</v>
      </c>
      <c r="AH8" s="186">
        <f>IFERROR(_xlfn.XLOOKUP($D8,'Modelling New'!$D:$D,'Modelling New'!$AF:$AF),"")</f>
        <v>0.995</v>
      </c>
      <c r="AI8" s="177"/>
      <c r="AJ8" s="177"/>
      <c r="AK8" s="238"/>
      <c r="AL8" s="238"/>
      <c r="AM8" s="238"/>
      <c r="AN8" s="187"/>
      <c r="AO8" s="184"/>
      <c r="AP8" s="184"/>
      <c r="AQ8" s="184"/>
      <c r="AR8" s="176">
        <f>IFERROR(_xlfn.XLOOKUP($D7,'Modelling New'!$D:$D,'Modelling New'!$N:$N),"")</f>
        <v>66.754999999999995</v>
      </c>
      <c r="AS8" s="176"/>
    </row>
    <row r="9" spans="1:45" x14ac:dyDescent="0.25">
      <c r="A9" s="175">
        <f t="shared" si="3"/>
        <v>45752</v>
      </c>
      <c r="B9" s="176">
        <f>YEAR(Table13[[#This Row],[Date]])+IF(MONTH(Table13[[#This Row],[Date]])&gt;=4,1,0)</f>
        <v>2026</v>
      </c>
      <c r="C9" s="177">
        <f>YEAR(Table13[[#This Row],[Date]])</f>
        <v>2025</v>
      </c>
      <c r="D9" s="178">
        <f>Table13[[#This Row],[Date]]-DAY(Table13[[#This Row],[Date]])+1</f>
        <v>45748</v>
      </c>
      <c r="E9" s="177">
        <f t="shared" si="0"/>
        <v>30</v>
      </c>
      <c r="F9" s="179">
        <f>IFERROR(_xlfn.XLOOKUP($A9,Raw_Data!$B:$B,Raw_Data!$KG:$KG),"")</f>
        <v>11.999999999999998</v>
      </c>
      <c r="G9" s="180">
        <f>IFERROR(_xlfn.XLOOKUP($A9,Raw_Data!$B:$B,Raw_Data!KH:KH),"")</f>
        <v>0</v>
      </c>
      <c r="H9" s="180"/>
      <c r="I9" s="180">
        <f>IFERROR(_xlfn.XLOOKUP($A9,Raw_Data!$B:$B,Raw_Data!$KI:$KI),"")</f>
        <v>5.9</v>
      </c>
      <c r="J9" s="180"/>
      <c r="K9" s="180">
        <f>IFERROR(_xlfn.XLOOKUP($A9,Raw_Data!$B:$B,Raw_Data!KJ:KJ),"")</f>
        <v>37.799999999999997</v>
      </c>
      <c r="L9" s="180">
        <f>IFERROR(_xlfn.XLOOKUP($A9,Raw_Data!$B:$B,Raw_Data!KK:KK),"")</f>
        <v>58.63</v>
      </c>
      <c r="M9" s="180">
        <f>IFERROR(_xlfn.XLOOKUP($A9,Raw_Data!$B:$B,Raw_Data!KL:KL),"")</f>
        <v>1.48</v>
      </c>
      <c r="N9" s="180">
        <f>IFERROR(_xlfn.XLOOKUP($A9,Raw_Data!$B:$B,Raw_Data!KM:KM),"")</f>
        <v>7.5</v>
      </c>
      <c r="O9" s="181">
        <f>IFERROR(1-SUMIF(PA!$B:$B,$A9,PA!AJ:AJ)/($AA9+SUMIF(PA!$B:$B,$A9,PA!AJ:AJ)),"")</f>
        <v>1</v>
      </c>
      <c r="P9" s="181"/>
      <c r="Q9" s="182"/>
      <c r="R9" s="181">
        <f>IFERROR(1-SUMIF(GA!$C:$C,$A9,GA!$X:$X)/($AA9+SUMIF(GA!$C:$C,$A9,GA!$X:$X)),"")</f>
        <v>1</v>
      </c>
      <c r="S9" s="177"/>
      <c r="T9" s="182"/>
      <c r="U9" s="183">
        <f t="shared" si="1"/>
        <v>0.84586982035181224</v>
      </c>
      <c r="V9" s="183" t="str">
        <f>IFERROR(_xlfn.XLOOKUP($A9,Raw_Data!$B:$B,Raw_Data!$KQ:$KQ),"")</f>
        <v/>
      </c>
      <c r="W9" s="184">
        <f t="shared" si="2"/>
        <v>0.20794299750315384</v>
      </c>
      <c r="X9" s="176">
        <f>IFERROR(_xlfn.XLOOKUP($A9,Raw_Data!$B:$B,Raw_Data!$KN:$KN),"")</f>
        <v>336772.19999999972</v>
      </c>
      <c r="Y9" s="176">
        <f>IFERROR(_xlfn.XLOOKUP($A9,Raw_Data!$B:$B,Raw_Data!$KC:$KC),"")</f>
        <v>333180.32000005245</v>
      </c>
      <c r="Z9" s="176">
        <f>IFERROR(_xlfn.XLOOKUP($A9,Raw_Data!$B:$B,Raw_Data!$KD:$KD),"")</f>
        <v>55.637999999991735</v>
      </c>
      <c r="AA9" s="176">
        <f>IFERROR(_xlfn.XLOOKUP($A9,Raw_Data!$B:$B,Raw_Data!$KF:$KF),"")</f>
        <v>333124.68200005247</v>
      </c>
      <c r="AB9" s="176">
        <f>IFERROR(_xlfn.XLOOKUP($A9,Raw_Data!$B:$B,Raw_Data!I:I)/1000,"")</f>
        <v>66.75</v>
      </c>
      <c r="AC9" s="185">
        <f>IFERROR(_xlfn.XLOOKUP($D9,'Modelling New'!$D:$D,'Modelling New'!$P:$P),"")</f>
        <v>6.8866666666666667</v>
      </c>
      <c r="AD9" s="176">
        <f>IFERROR(_xlfn.XLOOKUP($D9,'Modelling New'!$D:$D,'Modelling New'!$T:$T)*1000,"")</f>
        <v>349842.08946517232</v>
      </c>
      <c r="AE9" s="186">
        <f>IFERROR(_xlfn.XLOOKUP($D9,'Modelling New'!$D:$D,'Modelling New'!$O:$O),"")</f>
        <v>0.76099043046437598</v>
      </c>
      <c r="AF9" s="186">
        <f>IFERROR(_xlfn.XLOOKUP($D9,'Modelling New'!$D:$D,'Modelling New'!$W:$W),"")</f>
        <v>0.21836197629713899</v>
      </c>
      <c r="AG9" s="186">
        <f>IFERROR(_xlfn.XLOOKUP($D9,'Modelling New'!$D:$D,'Modelling New'!$AE:$AE),"")</f>
        <v>0.995</v>
      </c>
      <c r="AH9" s="186">
        <f>IFERROR(_xlfn.XLOOKUP($D9,'Modelling New'!$D:$D,'Modelling New'!$AF:$AF),"")</f>
        <v>0.995</v>
      </c>
      <c r="AI9" s="177"/>
      <c r="AJ9" s="177"/>
      <c r="AK9" s="238"/>
      <c r="AL9" s="238"/>
      <c r="AM9" s="238"/>
      <c r="AN9" s="187"/>
      <c r="AO9" s="184"/>
      <c r="AP9" s="184"/>
      <c r="AQ9" s="184"/>
      <c r="AR9" s="176">
        <f>IFERROR(_xlfn.XLOOKUP($D8,'Modelling New'!$D:$D,'Modelling New'!$N:$N),"")</f>
        <v>66.754999999999995</v>
      </c>
      <c r="AS9" s="176"/>
    </row>
    <row r="10" spans="1:45" x14ac:dyDescent="0.25">
      <c r="A10" s="175">
        <f t="shared" si="3"/>
        <v>45753</v>
      </c>
      <c r="B10" s="176">
        <f>YEAR(Table13[[#This Row],[Date]])+IF(MONTH(Table13[[#This Row],[Date]])&gt;=4,1,0)</f>
        <v>2026</v>
      </c>
      <c r="C10" s="177">
        <f>YEAR(Table13[[#This Row],[Date]])</f>
        <v>2025</v>
      </c>
      <c r="D10" s="178">
        <f>Table13[[#This Row],[Date]]-DAY(Table13[[#This Row],[Date]])+1</f>
        <v>45748</v>
      </c>
      <c r="E10" s="177">
        <f t="shared" si="0"/>
        <v>30</v>
      </c>
      <c r="F10" s="179">
        <f>IFERROR(_xlfn.XLOOKUP($A10,Raw_Data!$B:$B,Raw_Data!$KG:$KG),"")</f>
        <v>11.999999999999998</v>
      </c>
      <c r="G10" s="180">
        <f>IFERROR(_xlfn.XLOOKUP($A10,Raw_Data!$B:$B,Raw_Data!KH:KH),"")</f>
        <v>0</v>
      </c>
      <c r="H10" s="180"/>
      <c r="I10" s="180">
        <f>IFERROR(_xlfn.XLOOKUP($A10,Raw_Data!$B:$B,Raw_Data!$KI:$KI),"")</f>
        <v>6.92</v>
      </c>
      <c r="J10" s="180"/>
      <c r="K10" s="180">
        <f>IFERROR(_xlfn.XLOOKUP($A10,Raw_Data!$B:$B,Raw_Data!KJ:KJ),"")</f>
        <v>39.299999999999997</v>
      </c>
      <c r="L10" s="180">
        <f>IFERROR(_xlfn.XLOOKUP($A10,Raw_Data!$B:$B,Raw_Data!KK:KK),"")</f>
        <v>47.4</v>
      </c>
      <c r="M10" s="180">
        <f>IFERROR(_xlfn.XLOOKUP($A10,Raw_Data!$B:$B,Raw_Data!KL:KL),"")</f>
        <v>1.2</v>
      </c>
      <c r="N10" s="180">
        <f>IFERROR(_xlfn.XLOOKUP($A10,Raw_Data!$B:$B,Raw_Data!KM:KM),"")</f>
        <v>5.33</v>
      </c>
      <c r="O10" s="181">
        <f>IFERROR(1-SUMIF(PA!$B:$B,$A10,PA!AJ:AJ)/($AA10+SUMIF(PA!$B:$B,$A10,PA!AJ:AJ)),"")</f>
        <v>1</v>
      </c>
      <c r="P10" s="181"/>
      <c r="Q10" s="182"/>
      <c r="R10" s="181">
        <f>IFERROR(1-SUMIF(GA!$C:$C,$A10,GA!$X:$X)/($AA10+SUMIF(GA!$C:$C,$A10,GA!$X:$X)),"")</f>
        <v>1</v>
      </c>
      <c r="S10" s="177"/>
      <c r="T10" s="182"/>
      <c r="U10" s="183">
        <f t="shared" si="1"/>
        <v>0.7123838301833153</v>
      </c>
      <c r="V10" s="183" t="str">
        <f>IFERROR(_xlfn.XLOOKUP($A10,Raw_Data!$B:$B,Raw_Data!$KQ:$KQ),"")</f>
        <v/>
      </c>
      <c r="W10" s="184">
        <f t="shared" si="2"/>
        <v>0.20540400436952258</v>
      </c>
      <c r="X10" s="176">
        <f>IFERROR(_xlfn.XLOOKUP($A10,Raw_Data!$B:$B,Raw_Data!$KN:$KN),"")</f>
        <v>331522.20000000013</v>
      </c>
      <c r="Y10" s="176">
        <f>IFERROR(_xlfn.XLOOKUP($A10,Raw_Data!$B:$B,Raw_Data!$KC:$KC),"")</f>
        <v>329112.5759999752</v>
      </c>
      <c r="Z10" s="176">
        <f>IFERROR(_xlfn.XLOOKUP($A10,Raw_Data!$B:$B,Raw_Data!$KD:$KD),"")</f>
        <v>55.361000000004424</v>
      </c>
      <c r="AA10" s="176">
        <f>IFERROR(_xlfn.XLOOKUP($A10,Raw_Data!$B:$B,Raw_Data!$KF:$KF),"")</f>
        <v>329057.21499997517</v>
      </c>
      <c r="AB10" s="176">
        <f>IFERROR(_xlfn.XLOOKUP($A10,Raw_Data!$B:$B,Raw_Data!I:I)/1000,"")</f>
        <v>66.75</v>
      </c>
      <c r="AC10" s="185">
        <f>IFERROR(_xlfn.XLOOKUP($D10,'Modelling New'!$D:$D,'Modelling New'!$P:$P),"")</f>
        <v>6.8866666666666667</v>
      </c>
      <c r="AD10" s="176">
        <f>IFERROR(_xlfn.XLOOKUP($D10,'Modelling New'!$D:$D,'Modelling New'!$T:$T)*1000,"")</f>
        <v>349842.08946517232</v>
      </c>
      <c r="AE10" s="186">
        <f>IFERROR(_xlfn.XLOOKUP($D10,'Modelling New'!$D:$D,'Modelling New'!$O:$O),"")</f>
        <v>0.76099043046437598</v>
      </c>
      <c r="AF10" s="186">
        <f>IFERROR(_xlfn.XLOOKUP($D10,'Modelling New'!$D:$D,'Modelling New'!$W:$W),"")</f>
        <v>0.21836197629713899</v>
      </c>
      <c r="AG10" s="186">
        <f>IFERROR(_xlfn.XLOOKUP($D10,'Modelling New'!$D:$D,'Modelling New'!$AE:$AE),"")</f>
        <v>0.995</v>
      </c>
      <c r="AH10" s="186">
        <f>IFERROR(_xlfn.XLOOKUP($D10,'Modelling New'!$D:$D,'Modelling New'!$AF:$AF),"")</f>
        <v>0.995</v>
      </c>
      <c r="AI10" s="177"/>
      <c r="AJ10" s="177"/>
      <c r="AK10" s="238"/>
      <c r="AL10" s="238"/>
      <c r="AM10" s="238"/>
      <c r="AN10" s="187"/>
      <c r="AO10" s="184"/>
      <c r="AP10" s="184"/>
      <c r="AQ10" s="184"/>
      <c r="AR10" s="176">
        <f>IFERROR(_xlfn.XLOOKUP($D9,'Modelling New'!$D:$D,'Modelling New'!$N:$N),"")</f>
        <v>66.754999999999995</v>
      </c>
      <c r="AS10" s="176"/>
    </row>
    <row r="11" spans="1:45" x14ac:dyDescent="0.25">
      <c r="A11" s="175">
        <f t="shared" si="3"/>
        <v>45754</v>
      </c>
      <c r="B11" s="176">
        <f>YEAR(Table13[[#This Row],[Date]])+IF(MONTH(Table13[[#This Row],[Date]])&gt;=4,1,0)</f>
        <v>2026</v>
      </c>
      <c r="C11" s="177">
        <f>YEAR(Table13[[#This Row],[Date]])</f>
        <v>2025</v>
      </c>
      <c r="D11" s="178">
        <f>Table13[[#This Row],[Date]]-DAY(Table13[[#This Row],[Date]])+1</f>
        <v>45748</v>
      </c>
      <c r="E11" s="177">
        <f t="shared" si="0"/>
        <v>30</v>
      </c>
      <c r="F11" s="179">
        <f>IFERROR(_xlfn.XLOOKUP($A11,Raw_Data!$B:$B,Raw_Data!$KG:$KG),"")</f>
        <v>11.999999999999998</v>
      </c>
      <c r="G11" s="180">
        <f>IFERROR(_xlfn.XLOOKUP($A11,Raw_Data!$B:$B,Raw_Data!KH:KH),"")</f>
        <v>0</v>
      </c>
      <c r="H11" s="180"/>
      <c r="I11" s="180">
        <f>IFERROR(_xlfn.XLOOKUP($A11,Raw_Data!$B:$B,Raw_Data!$KI:$KI),"")</f>
        <v>6.5256666666666669</v>
      </c>
      <c r="J11" s="180"/>
      <c r="K11" s="180">
        <f>IFERROR(_xlfn.XLOOKUP($A11,Raw_Data!$B:$B,Raw_Data!KJ:KJ),"")</f>
        <v>41.9</v>
      </c>
      <c r="L11" s="180">
        <f>IFERROR(_xlfn.XLOOKUP($A11,Raw_Data!$B:$B,Raw_Data!KK:KK),"")</f>
        <v>51.1</v>
      </c>
      <c r="M11" s="180">
        <f>IFERROR(_xlfn.XLOOKUP($A11,Raw_Data!$B:$B,Raw_Data!KL:KL),"")</f>
        <v>1.1000000000000001</v>
      </c>
      <c r="N11" s="180">
        <f>IFERROR(_xlfn.XLOOKUP($A11,Raw_Data!$B:$B,Raw_Data!KM:KM),"")</f>
        <v>3.13</v>
      </c>
      <c r="O11" s="181">
        <f>IFERROR(1-SUMIF(PA!$B:$B,$A11,PA!AJ:AJ)/($AA11+SUMIF(PA!$B:$B,$A11,PA!AJ:AJ)),"")</f>
        <v>0.99979002943937734</v>
      </c>
      <c r="P11" s="181"/>
      <c r="Q11" s="182"/>
      <c r="R11" s="181">
        <f>IFERROR(1-SUMIF(GA!$C:$C,$A11,GA!$X:$X)/($AA11+SUMIF(GA!$C:$C,$A11,GA!$X:$X)),"")</f>
        <v>1</v>
      </c>
      <c r="S11" s="177"/>
      <c r="T11" s="182"/>
      <c r="U11" s="183">
        <f t="shared" si="1"/>
        <v>0.72851506669426258</v>
      </c>
      <c r="V11" s="183" t="str">
        <f>IFERROR(_xlfn.XLOOKUP($A11,Raw_Data!$B:$B,Raw_Data!$KQ:$KQ),"")</f>
        <v/>
      </c>
      <c r="W11" s="184">
        <f t="shared" si="2"/>
        <v>0.19808527028713305</v>
      </c>
      <c r="X11" s="176">
        <f>IFERROR(_xlfn.XLOOKUP($A11,Raw_Data!$B:$B,Raw_Data!$KN:$KN),"")</f>
        <v>324271</v>
      </c>
      <c r="Y11" s="176">
        <f>IFERROR(_xlfn.XLOOKUP($A11,Raw_Data!$B:$B,Raw_Data!$KC:$KC),"")</f>
        <v>317387.00099998713</v>
      </c>
      <c r="Z11" s="176">
        <f>IFERROR(_xlfn.XLOOKUP($A11,Raw_Data!$B:$B,Raw_Data!$KD:$KD),"")</f>
        <v>54.398000000001048</v>
      </c>
      <c r="AA11" s="176">
        <f>IFERROR(_xlfn.XLOOKUP($A11,Raw_Data!$B:$B,Raw_Data!$KF:$KF),"")</f>
        <v>317332.60299998714</v>
      </c>
      <c r="AB11" s="176">
        <f>IFERROR(_xlfn.XLOOKUP($A11,Raw_Data!$B:$B,Raw_Data!I:I)/1000,"")</f>
        <v>66.75</v>
      </c>
      <c r="AC11" s="185">
        <f>IFERROR(_xlfn.XLOOKUP($D11,'Modelling New'!$D:$D,'Modelling New'!$P:$P),"")</f>
        <v>6.8866666666666667</v>
      </c>
      <c r="AD11" s="176">
        <f>IFERROR(_xlfn.XLOOKUP($D11,'Modelling New'!$D:$D,'Modelling New'!$T:$T)*1000,"")</f>
        <v>349842.08946517232</v>
      </c>
      <c r="AE11" s="186">
        <f>IFERROR(_xlfn.XLOOKUP($D11,'Modelling New'!$D:$D,'Modelling New'!$O:$O),"")</f>
        <v>0.76099043046437598</v>
      </c>
      <c r="AF11" s="186">
        <f>IFERROR(_xlfn.XLOOKUP($D11,'Modelling New'!$D:$D,'Modelling New'!$W:$W),"")</f>
        <v>0.21836197629713899</v>
      </c>
      <c r="AG11" s="186">
        <f>IFERROR(_xlfn.XLOOKUP($D11,'Modelling New'!$D:$D,'Modelling New'!$AE:$AE),"")</f>
        <v>0.995</v>
      </c>
      <c r="AH11" s="186">
        <f>IFERROR(_xlfn.XLOOKUP($D11,'Modelling New'!$D:$D,'Modelling New'!$AF:$AF),"")</f>
        <v>0.995</v>
      </c>
      <c r="AI11" s="177"/>
      <c r="AJ11" s="177"/>
      <c r="AK11" s="238"/>
      <c r="AL11" s="238"/>
      <c r="AM11" s="238"/>
      <c r="AN11" s="187"/>
      <c r="AO11" s="184"/>
      <c r="AP11" s="184"/>
      <c r="AQ11" s="184"/>
      <c r="AR11" s="176">
        <f>IFERROR(_xlfn.XLOOKUP($D10,'Modelling New'!$D:$D,'Modelling New'!$N:$N),"")</f>
        <v>66.754999999999995</v>
      </c>
      <c r="AS11" s="176"/>
    </row>
    <row r="12" spans="1:45" x14ac:dyDescent="0.25">
      <c r="A12" s="175">
        <f t="shared" si="3"/>
        <v>45755</v>
      </c>
      <c r="B12" s="176">
        <f>YEAR(Table13[[#This Row],[Date]])+IF(MONTH(Table13[[#This Row],[Date]])&gt;=4,1,0)</f>
        <v>2026</v>
      </c>
      <c r="C12" s="177">
        <f>YEAR(Table13[[#This Row],[Date]])</f>
        <v>2025</v>
      </c>
      <c r="D12" s="178">
        <f>Table13[[#This Row],[Date]]-DAY(Table13[[#This Row],[Date]])+1</f>
        <v>45748</v>
      </c>
      <c r="E12" s="177">
        <f t="shared" si="0"/>
        <v>30</v>
      </c>
      <c r="F12" s="179">
        <f>IFERROR(_xlfn.XLOOKUP($A12,Raw_Data!$B:$B,Raw_Data!$KG:$KG),"")</f>
        <v>11.999999999999998</v>
      </c>
      <c r="G12" s="180">
        <f>IFERROR(_xlfn.XLOOKUP($A12,Raw_Data!$B:$B,Raw_Data!KH:KH),"")</f>
        <v>0</v>
      </c>
      <c r="H12" s="180"/>
      <c r="I12" s="180">
        <f>IFERROR(_xlfn.XLOOKUP($A12,Raw_Data!$B:$B,Raw_Data!$KI:$KI),"")</f>
        <v>6.0577666666666667</v>
      </c>
      <c r="J12" s="180"/>
      <c r="K12" s="180">
        <f>IFERROR(_xlfn.XLOOKUP($A12,Raw_Data!$B:$B,Raw_Data!KJ:KJ),"")</f>
        <v>43.9</v>
      </c>
      <c r="L12" s="180">
        <f>IFERROR(_xlfn.XLOOKUP($A12,Raw_Data!$B:$B,Raw_Data!KK:KK),"")</f>
        <v>51.1</v>
      </c>
      <c r="M12" s="180">
        <f>IFERROR(_xlfn.XLOOKUP($A12,Raw_Data!$B:$B,Raw_Data!KL:KL),"")</f>
        <v>1.1000000000000001</v>
      </c>
      <c r="N12" s="180">
        <f>IFERROR(_xlfn.XLOOKUP($A12,Raw_Data!$B:$B,Raw_Data!KM:KM),"")</f>
        <v>3.13</v>
      </c>
      <c r="O12" s="181">
        <f>IFERROR(1-SUMIF(PA!$B:$B,$A12,PA!AJ:AJ)/($AA12+SUMIF(PA!$B:$B,$A12,PA!AJ:AJ)),"")</f>
        <v>0.99719329022831449</v>
      </c>
      <c r="P12" s="181"/>
      <c r="Q12" s="182"/>
      <c r="R12" s="181">
        <f>IFERROR(1-SUMIF(GA!$C:$C,$A12,GA!$X:$X)/($AA12+SUMIF(GA!$C:$C,$A12,GA!$X:$X)),"")</f>
        <v>1</v>
      </c>
      <c r="S12" s="177"/>
      <c r="T12" s="182"/>
      <c r="U12" s="183">
        <f t="shared" si="1"/>
        <v>0.7387184149707795</v>
      </c>
      <c r="V12" s="183" t="str">
        <f>IFERROR(_xlfn.XLOOKUP($A12,Raw_Data!$B:$B,Raw_Data!$KQ:$KQ),"")</f>
        <v/>
      </c>
      <c r="W12" s="184">
        <f t="shared" si="2"/>
        <v>0.18645765792761759</v>
      </c>
      <c r="X12" s="176">
        <f>IFERROR(_xlfn.XLOOKUP($A12,Raw_Data!$B:$B,Raw_Data!$KN:$KN),"")</f>
        <v>315636</v>
      </c>
      <c r="Y12" s="176">
        <f>IFERROR(_xlfn.XLOOKUP($A12,Raw_Data!$B:$B,Raw_Data!$KC:$KC),"")</f>
        <v>298762.74200004339</v>
      </c>
      <c r="Z12" s="176">
        <f>IFERROR(_xlfn.XLOOKUP($A12,Raw_Data!$B:$B,Raw_Data!$KD:$KD),"")</f>
        <v>57.573999999993248</v>
      </c>
      <c r="AA12" s="176">
        <f>IFERROR(_xlfn.XLOOKUP($A12,Raw_Data!$B:$B,Raw_Data!$KF:$KF),"")</f>
        <v>298705.16800004337</v>
      </c>
      <c r="AB12" s="176">
        <f>IFERROR(_xlfn.XLOOKUP($A12,Raw_Data!$B:$B,Raw_Data!I:I)/1000,"")</f>
        <v>66.75</v>
      </c>
      <c r="AC12" s="185">
        <f>IFERROR(_xlfn.XLOOKUP($D12,'Modelling New'!$D:$D,'Modelling New'!$P:$P),"")</f>
        <v>6.8866666666666667</v>
      </c>
      <c r="AD12" s="176">
        <f>IFERROR(_xlfn.XLOOKUP($D12,'Modelling New'!$D:$D,'Modelling New'!$T:$T)*1000,"")</f>
        <v>349842.08946517232</v>
      </c>
      <c r="AE12" s="186">
        <f>IFERROR(_xlfn.XLOOKUP($D12,'Modelling New'!$D:$D,'Modelling New'!$O:$O),"")</f>
        <v>0.76099043046437598</v>
      </c>
      <c r="AF12" s="186">
        <f>IFERROR(_xlfn.XLOOKUP($D12,'Modelling New'!$D:$D,'Modelling New'!$W:$W),"")</f>
        <v>0.21836197629713899</v>
      </c>
      <c r="AG12" s="186">
        <f>IFERROR(_xlfn.XLOOKUP($D12,'Modelling New'!$D:$D,'Modelling New'!$AE:$AE),"")</f>
        <v>0.995</v>
      </c>
      <c r="AH12" s="186">
        <f>IFERROR(_xlfn.XLOOKUP($D12,'Modelling New'!$D:$D,'Modelling New'!$AF:$AF),"")</f>
        <v>0.995</v>
      </c>
      <c r="AI12" s="177"/>
      <c r="AJ12" s="177"/>
      <c r="AK12" s="238"/>
      <c r="AL12" s="238"/>
      <c r="AM12" s="238"/>
      <c r="AN12" s="187"/>
      <c r="AO12" s="184"/>
      <c r="AP12" s="184"/>
      <c r="AQ12" s="184"/>
      <c r="AR12" s="176">
        <f>IFERROR(_xlfn.XLOOKUP($D11,'Modelling New'!$D:$D,'Modelling New'!$N:$N),"")</f>
        <v>66.754999999999995</v>
      </c>
      <c r="AS12" s="176"/>
    </row>
    <row r="13" spans="1:45" x14ac:dyDescent="0.25">
      <c r="A13" s="175">
        <f t="shared" si="3"/>
        <v>45756</v>
      </c>
      <c r="B13" s="176">
        <f>YEAR(Table13[[#This Row],[Date]])+IF(MONTH(Table13[[#This Row],[Date]])&gt;=4,1,0)</f>
        <v>2026</v>
      </c>
      <c r="C13" s="177">
        <f>YEAR(Table13[[#This Row],[Date]])</f>
        <v>2025</v>
      </c>
      <c r="D13" s="178">
        <f>Table13[[#This Row],[Date]]-DAY(Table13[[#This Row],[Date]])+1</f>
        <v>45748</v>
      </c>
      <c r="E13" s="177">
        <f t="shared" si="0"/>
        <v>30</v>
      </c>
      <c r="F13" s="179">
        <f>IFERROR(_xlfn.XLOOKUP($A13,Raw_Data!$B:$B,Raw_Data!$KG:$KG),"")</f>
        <v>11.999999999999998</v>
      </c>
      <c r="G13" s="180">
        <f>IFERROR(_xlfn.XLOOKUP($A13,Raw_Data!$B:$B,Raw_Data!KH:KH),"")</f>
        <v>0</v>
      </c>
      <c r="H13" s="180"/>
      <c r="I13" s="180">
        <f>IFERROR(_xlfn.XLOOKUP($A13,Raw_Data!$B:$B,Raw_Data!$KI:$KI),"")</f>
        <v>5.6268166666666666</v>
      </c>
      <c r="J13" s="180"/>
      <c r="K13" s="180">
        <f>IFERROR(_xlfn.XLOOKUP($A13,Raw_Data!$B:$B,Raw_Data!KJ:KJ),"")</f>
        <v>39.9</v>
      </c>
      <c r="L13" s="180">
        <f>IFERROR(_xlfn.XLOOKUP($A13,Raw_Data!$B:$B,Raw_Data!KK:KK),"")</f>
        <v>50.1</v>
      </c>
      <c r="M13" s="180">
        <f>IFERROR(_xlfn.XLOOKUP($A13,Raw_Data!$B:$B,Raw_Data!KL:KL),"")</f>
        <v>1.1000000000000001</v>
      </c>
      <c r="N13" s="180">
        <f>IFERROR(_xlfn.XLOOKUP($A13,Raw_Data!$B:$B,Raw_Data!KM:KM),"")</f>
        <v>3.4</v>
      </c>
      <c r="O13" s="181">
        <f>IFERROR(1-SUMIF(PA!$B:$B,$A13,PA!AJ:AJ)/($AA13+SUMIF(PA!$B:$B,$A13,PA!AJ:AJ)),"")</f>
        <v>1</v>
      </c>
      <c r="P13" s="181"/>
      <c r="Q13" s="182"/>
      <c r="R13" s="181">
        <f>IFERROR(1-SUMIF(GA!$C:$C,$A13,GA!$X:$X)/($AA13+SUMIF(GA!$C:$C,$A13,GA!$X:$X)),"")</f>
        <v>1</v>
      </c>
      <c r="S13" s="177"/>
      <c r="T13" s="182"/>
      <c r="U13" s="183">
        <f t="shared" si="1"/>
        <v>0.75076750876054665</v>
      </c>
      <c r="V13" s="183" t="str">
        <f>IFERROR(_xlfn.XLOOKUP($A13,Raw_Data!$B:$B,Raw_Data!$KQ:$KQ),"")</f>
        <v/>
      </c>
      <c r="W13" s="184">
        <f t="shared" si="2"/>
        <v>0.17601796379523568</v>
      </c>
      <c r="X13" s="176">
        <f>IFERROR(_xlfn.XLOOKUP($A13,Raw_Data!$B:$B,Raw_Data!$KN:$KN),"")</f>
        <v>289705</v>
      </c>
      <c r="Y13" s="176">
        <f>IFERROR(_xlfn.XLOOKUP($A13,Raw_Data!$B:$B,Raw_Data!$KC:$KC),"")</f>
        <v>282018.85899996758</v>
      </c>
      <c r="Z13" s="176">
        <f>IFERROR(_xlfn.XLOOKUP($A13,Raw_Data!$B:$B,Raw_Data!$KD:$KD),"")</f>
        <v>38.081000000005588</v>
      </c>
      <c r="AA13" s="176">
        <f>IFERROR(_xlfn.XLOOKUP($A13,Raw_Data!$B:$B,Raw_Data!$KF:$KF),"")</f>
        <v>281980.77799996757</v>
      </c>
      <c r="AB13" s="176">
        <f>IFERROR(_xlfn.XLOOKUP($A13,Raw_Data!$B:$B,Raw_Data!I:I)/1000,"")</f>
        <v>66.75</v>
      </c>
      <c r="AC13" s="185">
        <f>IFERROR(_xlfn.XLOOKUP($D13,'Modelling New'!$D:$D,'Modelling New'!$P:$P),"")</f>
        <v>6.8866666666666667</v>
      </c>
      <c r="AD13" s="176">
        <f>IFERROR(_xlfn.XLOOKUP($D13,'Modelling New'!$D:$D,'Modelling New'!$T:$T)*1000,"")</f>
        <v>349842.08946517232</v>
      </c>
      <c r="AE13" s="186">
        <f>IFERROR(_xlfn.XLOOKUP($D13,'Modelling New'!$D:$D,'Modelling New'!$O:$O),"")</f>
        <v>0.76099043046437598</v>
      </c>
      <c r="AF13" s="186">
        <f>IFERROR(_xlfn.XLOOKUP($D13,'Modelling New'!$D:$D,'Modelling New'!$W:$W),"")</f>
        <v>0.21836197629713899</v>
      </c>
      <c r="AG13" s="186">
        <f>IFERROR(_xlfn.XLOOKUP($D13,'Modelling New'!$D:$D,'Modelling New'!$AE:$AE),"")</f>
        <v>0.995</v>
      </c>
      <c r="AH13" s="186">
        <f>IFERROR(_xlfn.XLOOKUP($D13,'Modelling New'!$D:$D,'Modelling New'!$AF:$AF),"")</f>
        <v>0.995</v>
      </c>
      <c r="AI13" s="177"/>
      <c r="AJ13" s="177"/>
      <c r="AK13" s="238"/>
      <c r="AL13" s="238"/>
      <c r="AM13" s="238"/>
      <c r="AN13" s="187"/>
      <c r="AO13" s="184"/>
      <c r="AP13" s="184"/>
      <c r="AQ13" s="184"/>
      <c r="AR13" s="176">
        <f>IFERROR(_xlfn.XLOOKUP($D12,'Modelling New'!$D:$D,'Modelling New'!$N:$N),"")</f>
        <v>66.754999999999995</v>
      </c>
      <c r="AS13" s="176"/>
    </row>
    <row r="14" spans="1:45" x14ac:dyDescent="0.25">
      <c r="A14" s="175">
        <f t="shared" si="3"/>
        <v>45757</v>
      </c>
      <c r="B14" s="176">
        <f>YEAR(Table13[[#This Row],[Date]])+IF(MONTH(Table13[[#This Row],[Date]])&gt;=4,1,0)</f>
        <v>2026</v>
      </c>
      <c r="C14" s="177">
        <f>YEAR(Table13[[#This Row],[Date]])</f>
        <v>2025</v>
      </c>
      <c r="D14" s="178">
        <f>Table13[[#This Row],[Date]]-DAY(Table13[[#This Row],[Date]])+1</f>
        <v>45748</v>
      </c>
      <c r="E14" s="177">
        <f t="shared" si="0"/>
        <v>30</v>
      </c>
      <c r="F14" s="179">
        <f>IFERROR(_xlfn.XLOOKUP($A14,Raw_Data!$B:$B,Raw_Data!$KG:$KG),"")</f>
        <v>12</v>
      </c>
      <c r="G14" s="180">
        <f>IFERROR(_xlfn.XLOOKUP($A14,Raw_Data!$B:$B,Raw_Data!KH:KH),"")</f>
        <v>0</v>
      </c>
      <c r="H14" s="180"/>
      <c r="I14" s="180">
        <f>IFERROR(_xlfn.XLOOKUP($A14,Raw_Data!$B:$B,Raw_Data!$KI:$KI),"")</f>
        <v>4.3600000000000003</v>
      </c>
      <c r="J14" s="180"/>
      <c r="K14" s="180">
        <f>IFERROR(_xlfn.XLOOKUP($A14,Raw_Data!$B:$B,Raw_Data!KJ:KJ),"")</f>
        <v>34.9</v>
      </c>
      <c r="L14" s="180">
        <f>IFERROR(_xlfn.XLOOKUP($A14,Raw_Data!$B:$B,Raw_Data!KK:KK),"")</f>
        <v>49</v>
      </c>
      <c r="M14" s="180">
        <f>IFERROR(_xlfn.XLOOKUP($A14,Raw_Data!$B:$B,Raw_Data!KL:KL),"")</f>
        <v>3</v>
      </c>
      <c r="N14" s="180">
        <f>IFERROR(_xlfn.XLOOKUP($A14,Raw_Data!$B:$B,Raw_Data!KM:KM),"")</f>
        <v>5</v>
      </c>
      <c r="O14" s="181">
        <f>IFERROR(1-SUMIF(PA!$B:$B,$A14,PA!AJ:AJ)/($AA14+SUMIF(PA!$B:$B,$A14,PA!AJ:AJ)),"")</f>
        <v>0.99958632039749262</v>
      </c>
      <c r="P14" s="181"/>
      <c r="Q14" s="182"/>
      <c r="R14" s="181">
        <f>IFERROR(1-SUMIF(GA!$C:$C,$A14,GA!$X:$X)/($AA14+SUMIF(GA!$C:$C,$A14,GA!$X:$X)),"")</f>
        <v>1</v>
      </c>
      <c r="S14" s="177"/>
      <c r="T14" s="182"/>
      <c r="U14" s="183">
        <f t="shared" si="1"/>
        <v>0.75193636394865193</v>
      </c>
      <c r="V14" s="183" t="str">
        <f>IFERROR(_xlfn.XLOOKUP($A14,Raw_Data!$B:$B,Raw_Data!$KQ:$KQ),"")</f>
        <v/>
      </c>
      <c r="W14" s="184">
        <f t="shared" si="2"/>
        <v>0.13660177278400509</v>
      </c>
      <c r="X14" s="176">
        <f>IFERROR(_xlfn.XLOOKUP($A14,Raw_Data!$B:$B,Raw_Data!$KN:$KN),"")</f>
        <v>223694</v>
      </c>
      <c r="Y14" s="176">
        <f>IFERROR(_xlfn.XLOOKUP($A14,Raw_Data!$B:$B,Raw_Data!$KC:$KC),"")</f>
        <v>218866.39999997616</v>
      </c>
      <c r="Z14" s="176">
        <f>IFERROR(_xlfn.XLOOKUP($A14,Raw_Data!$B:$B,Raw_Data!$KD:$KD),"")</f>
        <v>30.360000000000582</v>
      </c>
      <c r="AA14" s="176">
        <f>IFERROR(_xlfn.XLOOKUP($A14,Raw_Data!$B:$B,Raw_Data!$KF:$KF),"")</f>
        <v>218836.03999997617</v>
      </c>
      <c r="AB14" s="176">
        <f>IFERROR(_xlfn.XLOOKUP($A14,Raw_Data!$B:$B,Raw_Data!I:I)/1000,"")</f>
        <v>66.75</v>
      </c>
      <c r="AC14" s="185">
        <f>IFERROR(_xlfn.XLOOKUP($D14,'Modelling New'!$D:$D,'Modelling New'!$P:$P),"")</f>
        <v>6.8866666666666667</v>
      </c>
      <c r="AD14" s="176">
        <f>IFERROR(_xlfn.XLOOKUP($D14,'Modelling New'!$D:$D,'Modelling New'!$T:$T)*1000,"")</f>
        <v>349842.08946517232</v>
      </c>
      <c r="AE14" s="186">
        <f>IFERROR(_xlfn.XLOOKUP($D14,'Modelling New'!$D:$D,'Modelling New'!$O:$O),"")</f>
        <v>0.76099043046437598</v>
      </c>
      <c r="AF14" s="186">
        <f>IFERROR(_xlfn.XLOOKUP($D14,'Modelling New'!$D:$D,'Modelling New'!$W:$W),"")</f>
        <v>0.21836197629713899</v>
      </c>
      <c r="AG14" s="186">
        <f>IFERROR(_xlfn.XLOOKUP($D14,'Modelling New'!$D:$D,'Modelling New'!$AE:$AE),"")</f>
        <v>0.995</v>
      </c>
      <c r="AH14" s="186">
        <f>IFERROR(_xlfn.XLOOKUP($D14,'Modelling New'!$D:$D,'Modelling New'!$AF:$AF),"")</f>
        <v>0.995</v>
      </c>
      <c r="AI14" s="177"/>
      <c r="AJ14" s="177"/>
      <c r="AK14" s="238"/>
      <c r="AL14" s="238"/>
      <c r="AM14" s="238"/>
      <c r="AN14" s="187"/>
      <c r="AO14" s="184"/>
      <c r="AP14" s="184"/>
      <c r="AQ14" s="184"/>
      <c r="AR14" s="176">
        <f>IFERROR(_xlfn.XLOOKUP($D13,'Modelling New'!$D:$D,'Modelling New'!$N:$N),"")</f>
        <v>66.754999999999995</v>
      </c>
      <c r="AS14" s="176"/>
    </row>
    <row r="15" spans="1:45" x14ac:dyDescent="0.25">
      <c r="A15" s="175">
        <f t="shared" si="3"/>
        <v>45758</v>
      </c>
      <c r="B15" s="176">
        <f>YEAR(Table13[[#This Row],[Date]])+IF(MONTH(Table13[[#This Row],[Date]])&gt;=4,1,0)</f>
        <v>2026</v>
      </c>
      <c r="C15" s="177">
        <f>YEAR(Table13[[#This Row],[Date]])</f>
        <v>2025</v>
      </c>
      <c r="D15" s="178">
        <f>Table13[[#This Row],[Date]]-DAY(Table13[[#This Row],[Date]])+1</f>
        <v>45748</v>
      </c>
      <c r="E15" s="177">
        <f t="shared" si="0"/>
        <v>30</v>
      </c>
      <c r="F15" s="179">
        <f>IFERROR(_xlfn.XLOOKUP($A15,Raw_Data!$B:$B,Raw_Data!$KG:$KG),"")</f>
        <v>11.999999999999998</v>
      </c>
      <c r="G15" s="180">
        <f>IFERROR(_xlfn.XLOOKUP($A15,Raw_Data!$B:$B,Raw_Data!KH:KH),"")</f>
        <v>0</v>
      </c>
      <c r="H15" s="180"/>
      <c r="I15" s="180">
        <f>IFERROR(_xlfn.XLOOKUP($A15,Raw_Data!$B:$B,Raw_Data!$KI:$KI),"")</f>
        <v>4.88</v>
      </c>
      <c r="J15" s="180"/>
      <c r="K15" s="180">
        <f>IFERROR(_xlfn.XLOOKUP($A15,Raw_Data!$B:$B,Raw_Data!KJ:KJ),"")</f>
        <v>36.6</v>
      </c>
      <c r="L15" s="180">
        <f>IFERROR(_xlfn.XLOOKUP($A15,Raw_Data!$B:$B,Raw_Data!KK:KK),"")</f>
        <v>55.86</v>
      </c>
      <c r="M15" s="180">
        <f>IFERROR(_xlfn.XLOOKUP($A15,Raw_Data!$B:$B,Raw_Data!KL:KL),"")</f>
        <v>2.52</v>
      </c>
      <c r="N15" s="180">
        <f>IFERROR(_xlfn.XLOOKUP($A15,Raw_Data!$B:$B,Raw_Data!KM:KM),"")</f>
        <v>13.1</v>
      </c>
      <c r="O15" s="181">
        <f>IFERROR(1-SUMIF(PA!$B:$B,$A15,PA!AJ:AJ)/($AA15+SUMIF(PA!$B:$B,$A15,PA!AJ:AJ)),"")</f>
        <v>1</v>
      </c>
      <c r="P15" s="181"/>
      <c r="Q15" s="182"/>
      <c r="R15" s="181">
        <f>IFERROR(1-SUMIF(GA!$C:$C,$A15,GA!$X:$X)/($AA15+SUMIF(GA!$C:$C,$A15,GA!$X:$X)),"")</f>
        <v>1</v>
      </c>
      <c r="S15" s="177"/>
      <c r="T15" s="182"/>
      <c r="U15" s="183">
        <f t="shared" si="1"/>
        <v>0.78287236139260652</v>
      </c>
      <c r="V15" s="183" t="str">
        <f>IFERROR(_xlfn.XLOOKUP($A15,Raw_Data!$B:$B,Raw_Data!$KQ:$KQ),"")</f>
        <v/>
      </c>
      <c r="W15" s="184">
        <f t="shared" si="2"/>
        <v>0.15918404681649664</v>
      </c>
      <c r="X15" s="176">
        <f>IFERROR(_xlfn.XLOOKUP($A15,Raw_Data!$B:$B,Raw_Data!$KN:$KN),"")</f>
        <v>257651</v>
      </c>
      <c r="Y15" s="176">
        <f>IFERROR(_xlfn.XLOOKUP($A15,Raw_Data!$B:$B,Raw_Data!$KC:$KC),"")</f>
        <v>255074.89600002766</v>
      </c>
      <c r="Z15" s="176">
        <f>IFERROR(_xlfn.XLOOKUP($A15,Raw_Data!$B:$B,Raw_Data!$KD:$KD),"")</f>
        <v>62.052999999999884</v>
      </c>
      <c r="AA15" s="176">
        <f>IFERROR(_xlfn.XLOOKUP($A15,Raw_Data!$B:$B,Raw_Data!$KF:$KF),"")</f>
        <v>255012.84300002764</v>
      </c>
      <c r="AB15" s="176">
        <f>IFERROR(_xlfn.XLOOKUP($A15,Raw_Data!$B:$B,Raw_Data!I:I)/1000,"")</f>
        <v>66.75</v>
      </c>
      <c r="AC15" s="185">
        <f>IFERROR(_xlfn.XLOOKUP($D15,'Modelling New'!$D:$D,'Modelling New'!$P:$P),"")</f>
        <v>6.8866666666666667</v>
      </c>
      <c r="AD15" s="176">
        <f>IFERROR(_xlfn.XLOOKUP($D15,'Modelling New'!$D:$D,'Modelling New'!$T:$T)*1000,"")</f>
        <v>349842.08946517232</v>
      </c>
      <c r="AE15" s="186">
        <f>IFERROR(_xlfn.XLOOKUP($D15,'Modelling New'!$D:$D,'Modelling New'!$O:$O),"")</f>
        <v>0.76099043046437598</v>
      </c>
      <c r="AF15" s="186">
        <f>IFERROR(_xlfn.XLOOKUP($D15,'Modelling New'!$D:$D,'Modelling New'!$W:$W),"")</f>
        <v>0.21836197629713899</v>
      </c>
      <c r="AG15" s="186">
        <f>IFERROR(_xlfn.XLOOKUP($D15,'Modelling New'!$D:$D,'Modelling New'!$AE:$AE),"")</f>
        <v>0.995</v>
      </c>
      <c r="AH15" s="186">
        <f>IFERROR(_xlfn.XLOOKUP($D15,'Modelling New'!$D:$D,'Modelling New'!$AF:$AF),"")</f>
        <v>0.995</v>
      </c>
      <c r="AI15" s="177"/>
      <c r="AJ15" s="177"/>
      <c r="AK15" s="238"/>
      <c r="AL15" s="238"/>
      <c r="AM15" s="238"/>
      <c r="AN15" s="187"/>
      <c r="AO15" s="184"/>
      <c r="AP15" s="184"/>
      <c r="AQ15" s="184"/>
      <c r="AR15" s="176">
        <f>IFERROR(_xlfn.XLOOKUP($D14,'Modelling New'!$D:$D,'Modelling New'!$N:$N),"")</f>
        <v>66.754999999999995</v>
      </c>
      <c r="AS15" s="176"/>
    </row>
    <row r="16" spans="1:45" x14ac:dyDescent="0.25">
      <c r="A16" s="175">
        <f t="shared" si="3"/>
        <v>45759</v>
      </c>
      <c r="B16" s="176">
        <f>YEAR(Table13[[#This Row],[Date]])+IF(MONTH(Table13[[#This Row],[Date]])&gt;=4,1,0)</f>
        <v>2026</v>
      </c>
      <c r="C16" s="177">
        <f>YEAR(Table13[[#This Row],[Date]])</f>
        <v>2025</v>
      </c>
      <c r="D16" s="178">
        <f>Table13[[#This Row],[Date]]-DAY(Table13[[#This Row],[Date]])+1</f>
        <v>45748</v>
      </c>
      <c r="E16" s="177">
        <f t="shared" si="0"/>
        <v>30</v>
      </c>
      <c r="F16" s="179">
        <f>IFERROR(_xlfn.XLOOKUP($A16,Raw_Data!$B:$B,Raw_Data!$KG:$KG),"")</f>
        <v>11.999999999999998</v>
      </c>
      <c r="G16" s="180">
        <f>IFERROR(_xlfn.XLOOKUP($A16,Raw_Data!$B:$B,Raw_Data!KH:KH),"")</f>
        <v>0</v>
      </c>
      <c r="H16" s="180"/>
      <c r="I16" s="180">
        <f>IFERROR(_xlfn.XLOOKUP($A16,Raw_Data!$B:$B,Raw_Data!$KI:$KI),"")</f>
        <v>6.15</v>
      </c>
      <c r="J16" s="180"/>
      <c r="K16" s="180">
        <f>IFERROR(_xlfn.XLOOKUP($A16,Raw_Data!$B:$B,Raw_Data!KJ:KJ),"")</f>
        <v>29.88</v>
      </c>
      <c r="L16" s="180">
        <f>IFERROR(_xlfn.XLOOKUP($A16,Raw_Data!$B:$B,Raw_Data!KK:KK),"")</f>
        <v>43.21</v>
      </c>
      <c r="M16" s="180">
        <f>IFERROR(_xlfn.XLOOKUP($A16,Raw_Data!$B:$B,Raw_Data!KL:KL),"")</f>
        <v>1.3</v>
      </c>
      <c r="N16" s="180">
        <f>IFERROR(_xlfn.XLOOKUP($A16,Raw_Data!$B:$B,Raw_Data!KM:KM),"")</f>
        <v>6.1</v>
      </c>
      <c r="O16" s="181">
        <f>IFERROR(1-SUMIF(PA!$B:$B,$A16,PA!AJ:AJ)/($AA16+SUMIF(PA!$B:$B,$A16,PA!AJ:AJ)),"")</f>
        <v>0.99743298246598888</v>
      </c>
      <c r="P16" s="181"/>
      <c r="Q16" s="182"/>
      <c r="R16" s="181">
        <f>IFERROR(1-SUMIF(GA!$C:$C,$A16,GA!$X:$X)/($AA16+SUMIF(GA!$C:$C,$A16,GA!$X:$X)),"")</f>
        <v>1</v>
      </c>
      <c r="S16" s="177"/>
      <c r="T16" s="182"/>
      <c r="U16" s="183">
        <f t="shared" si="1"/>
        <v>0.77439154227942009</v>
      </c>
      <c r="V16" s="183" t="str">
        <f>IFERROR(_xlfn.XLOOKUP($A16,Raw_Data!$B:$B,Raw_Data!$KQ:$KQ),"")</f>
        <v/>
      </c>
      <c r="W16" s="184">
        <f t="shared" si="2"/>
        <v>0.1984378327091014</v>
      </c>
      <c r="X16" s="176">
        <f>IFERROR(_xlfn.XLOOKUP($A16,Raw_Data!$B:$B,Raw_Data!$KN:$KN),"")</f>
        <v>321089</v>
      </c>
      <c r="Y16" s="176">
        <f>IFERROR(_xlfn.XLOOKUP($A16,Raw_Data!$B:$B,Raw_Data!$KC:$KC),"")</f>
        <v>317952.48299998045</v>
      </c>
      <c r="Z16" s="176">
        <f>IFERROR(_xlfn.XLOOKUP($A16,Raw_Data!$B:$B,Raw_Data!$KD:$KD),"")</f>
        <v>55.07499999999709</v>
      </c>
      <c r="AA16" s="176">
        <f>IFERROR(_xlfn.XLOOKUP($A16,Raw_Data!$B:$B,Raw_Data!$KF:$KF),"")</f>
        <v>317897.40799998044</v>
      </c>
      <c r="AB16" s="176">
        <f>IFERROR(_xlfn.XLOOKUP($A16,Raw_Data!$B:$B,Raw_Data!I:I)/1000,"")</f>
        <v>66.75</v>
      </c>
      <c r="AC16" s="185">
        <f>IFERROR(_xlfn.XLOOKUP($D16,'Modelling New'!$D:$D,'Modelling New'!$P:$P),"")</f>
        <v>6.8866666666666667</v>
      </c>
      <c r="AD16" s="176">
        <f>IFERROR(_xlfn.XLOOKUP($D16,'Modelling New'!$D:$D,'Modelling New'!$T:$T)*1000,"")</f>
        <v>349842.08946517232</v>
      </c>
      <c r="AE16" s="186">
        <f>IFERROR(_xlfn.XLOOKUP($D16,'Modelling New'!$D:$D,'Modelling New'!$O:$O),"")</f>
        <v>0.76099043046437598</v>
      </c>
      <c r="AF16" s="186">
        <f>IFERROR(_xlfn.XLOOKUP($D16,'Modelling New'!$D:$D,'Modelling New'!$W:$W),"")</f>
        <v>0.21836197629713899</v>
      </c>
      <c r="AG16" s="186">
        <f>IFERROR(_xlfn.XLOOKUP($D16,'Modelling New'!$D:$D,'Modelling New'!$AE:$AE),"")</f>
        <v>0.995</v>
      </c>
      <c r="AH16" s="186">
        <f>IFERROR(_xlfn.XLOOKUP($D16,'Modelling New'!$D:$D,'Modelling New'!$AF:$AF),"")</f>
        <v>0.995</v>
      </c>
      <c r="AI16" s="177"/>
      <c r="AJ16" s="177"/>
      <c r="AK16" s="238"/>
      <c r="AL16" s="238"/>
      <c r="AM16" s="238"/>
      <c r="AN16" s="187"/>
      <c r="AO16" s="184"/>
      <c r="AP16" s="184"/>
      <c r="AQ16" s="184"/>
      <c r="AR16" s="176">
        <f>IFERROR(_xlfn.XLOOKUP($D15,'Modelling New'!$D:$D,'Modelling New'!$N:$N),"")</f>
        <v>66.754999999999995</v>
      </c>
      <c r="AS16" s="176"/>
    </row>
    <row r="17" spans="1:45" x14ac:dyDescent="0.25">
      <c r="A17" s="175">
        <f t="shared" si="3"/>
        <v>45760</v>
      </c>
      <c r="B17" s="176">
        <f>YEAR(Table13[[#This Row],[Date]])+IF(MONTH(Table13[[#This Row],[Date]])&gt;=4,1,0)</f>
        <v>2026</v>
      </c>
      <c r="C17" s="177">
        <f>YEAR(Table13[[#This Row],[Date]])</f>
        <v>2025</v>
      </c>
      <c r="D17" s="178">
        <f>Table13[[#This Row],[Date]]-DAY(Table13[[#This Row],[Date]])+1</f>
        <v>45748</v>
      </c>
      <c r="E17" s="177">
        <f t="shared" si="0"/>
        <v>30</v>
      </c>
      <c r="F17" s="179">
        <f>IFERROR(_xlfn.XLOOKUP($A17,Raw_Data!$B:$B,Raw_Data!$KG:$KG),"")</f>
        <v>11.999999999999998</v>
      </c>
      <c r="G17" s="180">
        <f>IFERROR(_xlfn.XLOOKUP($A17,Raw_Data!$B:$B,Raw_Data!KH:KH),"")</f>
        <v>0</v>
      </c>
      <c r="H17" s="180"/>
      <c r="I17" s="180">
        <f>IFERROR(_xlfn.XLOOKUP($A17,Raw_Data!$B:$B,Raw_Data!$KI:$KI),"")</f>
        <v>6.14</v>
      </c>
      <c r="J17" s="180"/>
      <c r="K17" s="180">
        <f>IFERROR(_xlfn.XLOOKUP($A17,Raw_Data!$B:$B,Raw_Data!KJ:KJ),"")</f>
        <v>31.82</v>
      </c>
      <c r="L17" s="180">
        <f>IFERROR(_xlfn.XLOOKUP($A17,Raw_Data!$B:$B,Raw_Data!KK:KK),"")</f>
        <v>40.799999999999997</v>
      </c>
      <c r="M17" s="180">
        <f>IFERROR(_xlfn.XLOOKUP($A17,Raw_Data!$B:$B,Raw_Data!KL:KL),"")</f>
        <v>3.02</v>
      </c>
      <c r="N17" s="180">
        <f>IFERROR(_xlfn.XLOOKUP($A17,Raw_Data!$B:$B,Raw_Data!KM:KM),"")</f>
        <v>7.1</v>
      </c>
      <c r="O17" s="181">
        <f>IFERROR(1-SUMIF(PA!$B:$B,$A17,PA!AJ:AJ)/($AA17+SUMIF(PA!$B:$B,$A17,PA!AJ:AJ)),"")</f>
        <v>0.9984720498193409</v>
      </c>
      <c r="P17" s="181"/>
      <c r="Q17" s="182"/>
      <c r="R17" s="181">
        <f>IFERROR(1-SUMIF(GA!$C:$C,$A17,GA!$X:$X)/($AA17+SUMIF(GA!$C:$C,$A17,GA!$X:$X)),"")</f>
        <v>1</v>
      </c>
      <c r="S17" s="177"/>
      <c r="T17" s="182"/>
      <c r="U17" s="183">
        <f t="shared" si="1"/>
        <v>0.81202268662551891</v>
      </c>
      <c r="V17" s="183" t="str">
        <f>IFERROR(_xlfn.XLOOKUP($A17,Raw_Data!$B:$B,Raw_Data!$KQ:$KQ),"")</f>
        <v/>
      </c>
      <c r="W17" s="184">
        <f t="shared" si="2"/>
        <v>0.20774247066169524</v>
      </c>
      <c r="X17" s="176">
        <f>IFERROR(_xlfn.XLOOKUP($A17,Raw_Data!$B:$B,Raw_Data!$KN:$KN),"")</f>
        <v>335292</v>
      </c>
      <c r="Y17" s="176">
        <f>IFERROR(_xlfn.XLOOKUP($A17,Raw_Data!$B:$B,Raw_Data!$KC:$KC),"")</f>
        <v>332864.40000003576</v>
      </c>
      <c r="Z17" s="176">
        <f>IFERROR(_xlfn.XLOOKUP($A17,Raw_Data!$B:$B,Raw_Data!$KD:$KD),"")</f>
        <v>60.961999999999534</v>
      </c>
      <c r="AA17" s="176">
        <f>IFERROR(_xlfn.XLOOKUP($A17,Raw_Data!$B:$B,Raw_Data!$KF:$KF),"")</f>
        <v>332803.43800003576</v>
      </c>
      <c r="AB17" s="176">
        <f>IFERROR(_xlfn.XLOOKUP($A17,Raw_Data!$B:$B,Raw_Data!I:I)/1000,"")</f>
        <v>66.75</v>
      </c>
      <c r="AC17" s="185">
        <f>IFERROR(_xlfn.XLOOKUP($D17,'Modelling New'!$D:$D,'Modelling New'!$P:$P),"")</f>
        <v>6.8866666666666667</v>
      </c>
      <c r="AD17" s="176">
        <f>IFERROR(_xlfn.XLOOKUP($D17,'Modelling New'!$D:$D,'Modelling New'!$T:$T)*1000,"")</f>
        <v>349842.08946517232</v>
      </c>
      <c r="AE17" s="186">
        <f>IFERROR(_xlfn.XLOOKUP($D17,'Modelling New'!$D:$D,'Modelling New'!$O:$O),"")</f>
        <v>0.76099043046437598</v>
      </c>
      <c r="AF17" s="186">
        <f>IFERROR(_xlfn.XLOOKUP($D17,'Modelling New'!$D:$D,'Modelling New'!$W:$W),"")</f>
        <v>0.21836197629713899</v>
      </c>
      <c r="AG17" s="186">
        <f>IFERROR(_xlfn.XLOOKUP($D17,'Modelling New'!$D:$D,'Modelling New'!$AE:$AE),"")</f>
        <v>0.995</v>
      </c>
      <c r="AH17" s="186">
        <f>IFERROR(_xlfn.XLOOKUP($D17,'Modelling New'!$D:$D,'Modelling New'!$AF:$AF),"")</f>
        <v>0.995</v>
      </c>
      <c r="AI17" s="177"/>
      <c r="AJ17" s="177"/>
      <c r="AK17" s="238"/>
      <c r="AL17" s="238"/>
      <c r="AM17" s="238"/>
      <c r="AN17" s="187"/>
      <c r="AO17" s="184"/>
      <c r="AP17" s="184"/>
      <c r="AQ17" s="184"/>
      <c r="AR17" s="176">
        <f>IFERROR(_xlfn.XLOOKUP($D16,'Modelling New'!$D:$D,'Modelling New'!$N:$N),"")</f>
        <v>66.754999999999995</v>
      </c>
      <c r="AS17" s="176"/>
    </row>
    <row r="18" spans="1:45" x14ac:dyDescent="0.25">
      <c r="A18" s="175">
        <f t="shared" si="3"/>
        <v>45761</v>
      </c>
      <c r="B18" s="176">
        <f>YEAR(Table13[[#This Row],[Date]])+IF(MONTH(Table13[[#This Row],[Date]])&gt;=4,1,0)</f>
        <v>2026</v>
      </c>
      <c r="C18" s="177">
        <f>YEAR(Table13[[#This Row],[Date]])</f>
        <v>2025</v>
      </c>
      <c r="D18" s="178">
        <f>Table13[[#This Row],[Date]]-DAY(Table13[[#This Row],[Date]])+1</f>
        <v>45748</v>
      </c>
      <c r="E18" s="177">
        <f t="shared" si="0"/>
        <v>30</v>
      </c>
      <c r="F18" s="179">
        <f>IFERROR(_xlfn.XLOOKUP($A18,Raw_Data!$B:$B,Raw_Data!$KG:$KG),"")</f>
        <v>11.999999999999998</v>
      </c>
      <c r="G18" s="180">
        <f>IFERROR(_xlfn.XLOOKUP($A18,Raw_Data!$B:$B,Raw_Data!KH:KH),"")</f>
        <v>0</v>
      </c>
      <c r="H18" s="180"/>
      <c r="I18" s="180">
        <f>IFERROR(_xlfn.XLOOKUP($A18,Raw_Data!$B:$B,Raw_Data!$KI:$KI),"")</f>
        <v>6.51</v>
      </c>
      <c r="J18" s="180"/>
      <c r="K18" s="180">
        <f>IFERROR(_xlfn.XLOOKUP($A18,Raw_Data!$B:$B,Raw_Data!KJ:KJ),"")</f>
        <v>32.369999999999997</v>
      </c>
      <c r="L18" s="180">
        <f>IFERROR(_xlfn.XLOOKUP($A18,Raw_Data!$B:$B,Raw_Data!KK:KK),"")</f>
        <v>45.01</v>
      </c>
      <c r="M18" s="180">
        <f>IFERROR(_xlfn.XLOOKUP($A18,Raw_Data!$B:$B,Raw_Data!KL:KL),"")</f>
        <v>1.79</v>
      </c>
      <c r="N18" s="180">
        <f>IFERROR(_xlfn.XLOOKUP($A18,Raw_Data!$B:$B,Raw_Data!KM:KM),"")</f>
        <v>6.1</v>
      </c>
      <c r="O18" s="181">
        <f>IFERROR(1-SUMIF(PA!$B:$B,$A18,PA!AJ:AJ)/($AA18+SUMIF(PA!$B:$B,$A18,PA!AJ:AJ)),"")</f>
        <v>0.99732286857360775</v>
      </c>
      <c r="P18" s="181"/>
      <c r="Q18" s="182"/>
      <c r="R18" s="181">
        <f>IFERROR(1-SUMIF(GA!$C:$C,$A18,GA!$X:$X)/($AA18+SUMIF(GA!$C:$C,$A18,GA!$X:$X)),"")</f>
        <v>1</v>
      </c>
      <c r="S18" s="177"/>
      <c r="T18" s="182"/>
      <c r="U18" s="183">
        <f t="shared" si="1"/>
        <v>0.76076201062031579</v>
      </c>
      <c r="V18" s="183" t="str">
        <f>IFERROR(_xlfn.XLOOKUP($A18,Raw_Data!$B:$B,Raw_Data!$KQ:$KQ),"")</f>
        <v/>
      </c>
      <c r="W18" s="184">
        <f t="shared" si="2"/>
        <v>0.20635669538076065</v>
      </c>
      <c r="X18" s="176">
        <f>IFERROR(_xlfn.XLOOKUP($A18,Raw_Data!$B:$B,Raw_Data!$KN:$KN),"")</f>
        <v>333086</v>
      </c>
      <c r="Y18" s="176">
        <f>IFERROR(_xlfn.XLOOKUP($A18,Raw_Data!$B:$B,Raw_Data!$KC:$KC),"")</f>
        <v>330638.83499997854</v>
      </c>
      <c r="Z18" s="176">
        <f>IFERROR(_xlfn.XLOOKUP($A18,Raw_Data!$B:$B,Raw_Data!$KD:$KD),"")</f>
        <v>55.408999999999651</v>
      </c>
      <c r="AA18" s="176">
        <f>IFERROR(_xlfn.XLOOKUP($A18,Raw_Data!$B:$B,Raw_Data!$KF:$KF),"")</f>
        <v>330583.42599997856</v>
      </c>
      <c r="AB18" s="176">
        <f>IFERROR(_xlfn.XLOOKUP($A18,Raw_Data!$B:$B,Raw_Data!I:I)/1000,"")</f>
        <v>66.75</v>
      </c>
      <c r="AC18" s="185">
        <f>IFERROR(_xlfn.XLOOKUP($D18,'Modelling New'!$D:$D,'Modelling New'!$P:$P),"")</f>
        <v>6.8866666666666667</v>
      </c>
      <c r="AD18" s="176">
        <f>IFERROR(_xlfn.XLOOKUP($D18,'Modelling New'!$D:$D,'Modelling New'!$T:$T)*1000,"")</f>
        <v>349842.08946517232</v>
      </c>
      <c r="AE18" s="186">
        <f>IFERROR(_xlfn.XLOOKUP($D18,'Modelling New'!$D:$D,'Modelling New'!$O:$O),"")</f>
        <v>0.76099043046437598</v>
      </c>
      <c r="AF18" s="186">
        <f>IFERROR(_xlfn.XLOOKUP($D18,'Modelling New'!$D:$D,'Modelling New'!$W:$W),"")</f>
        <v>0.21836197629713899</v>
      </c>
      <c r="AG18" s="186">
        <f>IFERROR(_xlfn.XLOOKUP($D18,'Modelling New'!$D:$D,'Modelling New'!$AE:$AE),"")</f>
        <v>0.995</v>
      </c>
      <c r="AH18" s="186">
        <f>IFERROR(_xlfn.XLOOKUP($D18,'Modelling New'!$D:$D,'Modelling New'!$AF:$AF),"")</f>
        <v>0.995</v>
      </c>
      <c r="AI18" s="177"/>
      <c r="AJ18" s="177"/>
      <c r="AK18" s="238"/>
      <c r="AL18" s="238"/>
      <c r="AM18" s="238"/>
      <c r="AN18" s="187"/>
      <c r="AO18" s="184"/>
      <c r="AP18" s="184"/>
      <c r="AQ18" s="184"/>
      <c r="AR18" s="176">
        <f>IFERROR(_xlfn.XLOOKUP($D17,'Modelling New'!$D:$D,'Modelling New'!$N:$N),"")</f>
        <v>66.754999999999995</v>
      </c>
      <c r="AS18" s="176"/>
    </row>
    <row r="19" spans="1:45" x14ac:dyDescent="0.25">
      <c r="A19" s="175">
        <f t="shared" si="3"/>
        <v>45762</v>
      </c>
      <c r="B19" s="176">
        <f>YEAR(Table13[[#This Row],[Date]])+IF(MONTH(Table13[[#This Row],[Date]])&gt;=4,1,0)</f>
        <v>2026</v>
      </c>
      <c r="C19" s="177">
        <f>YEAR(Table13[[#This Row],[Date]])</f>
        <v>2025</v>
      </c>
      <c r="D19" s="178">
        <f>Table13[[#This Row],[Date]]-DAY(Table13[[#This Row],[Date]])+1</f>
        <v>45748</v>
      </c>
      <c r="E19" s="177">
        <f t="shared" si="0"/>
        <v>30</v>
      </c>
      <c r="F19" s="179">
        <f>IFERROR(_xlfn.XLOOKUP($A19,Raw_Data!$B:$B,Raw_Data!$KG:$KG),"")</f>
        <v>11.999999999999998</v>
      </c>
      <c r="G19" s="180">
        <f>IFERROR(_xlfn.XLOOKUP($A19,Raw_Data!$B:$B,Raw_Data!KH:KH),"")</f>
        <v>0</v>
      </c>
      <c r="H19" s="180"/>
      <c r="I19" s="180">
        <f>IFERROR(_xlfn.XLOOKUP($A19,Raw_Data!$B:$B,Raw_Data!$KI:$KI),"")</f>
        <v>6.23</v>
      </c>
      <c r="J19" s="180"/>
      <c r="K19" s="180">
        <f>IFERROR(_xlfn.XLOOKUP($A19,Raw_Data!$B:$B,Raw_Data!KJ:KJ),"")</f>
        <v>32.700000000000003</v>
      </c>
      <c r="L19" s="180">
        <f>IFERROR(_xlfn.XLOOKUP($A19,Raw_Data!$B:$B,Raw_Data!KK:KK),"")</f>
        <v>43.6</v>
      </c>
      <c r="M19" s="180">
        <f>IFERROR(_xlfn.XLOOKUP($A19,Raw_Data!$B:$B,Raw_Data!KL:KL),"")</f>
        <v>1.6</v>
      </c>
      <c r="N19" s="180">
        <f>IFERROR(_xlfn.XLOOKUP($A19,Raw_Data!$B:$B,Raw_Data!KM:KM),"")</f>
        <v>6.5</v>
      </c>
      <c r="O19" s="181">
        <f>IFERROR(1-SUMIF(PA!$B:$B,$A19,PA!AJ:AJ)/($AA19+SUMIF(PA!$B:$B,$A19,PA!AJ:AJ)),"")</f>
        <v>0.99987900496434845</v>
      </c>
      <c r="P19" s="181"/>
      <c r="Q19" s="182"/>
      <c r="R19" s="181">
        <f>IFERROR(1-SUMIF(GA!$C:$C,$A19,GA!$X:$X)/($AA19+SUMIF(GA!$C:$C,$A19,GA!$X:$X)),"")</f>
        <v>1</v>
      </c>
      <c r="S19" s="177"/>
      <c r="T19" s="182"/>
      <c r="U19" s="183">
        <f t="shared" si="1"/>
        <v>0.76670401163878332</v>
      </c>
      <c r="V19" s="183" t="str">
        <f>IFERROR(_xlfn.XLOOKUP($A19,Raw_Data!$B:$B,Raw_Data!$KQ:$KQ),"")</f>
        <v/>
      </c>
      <c r="W19" s="184">
        <f t="shared" si="2"/>
        <v>0.19902358302123416</v>
      </c>
      <c r="X19" s="176">
        <f>IFERROR(_xlfn.XLOOKUP($A19,Raw_Data!$B:$B,Raw_Data!$KN:$KN),"")</f>
        <v>326506</v>
      </c>
      <c r="Y19" s="176">
        <f>IFERROR(_xlfn.XLOOKUP($A19,Raw_Data!$B:$B,Raw_Data!$KC:$KC),"")</f>
        <v>318888.95700001717</v>
      </c>
      <c r="Z19" s="176">
        <f>IFERROR(_xlfn.XLOOKUP($A19,Raw_Data!$B:$B,Raw_Data!$KD:$KD),"")</f>
        <v>53.177000000010594</v>
      </c>
      <c r="AA19" s="176">
        <f>IFERROR(_xlfn.XLOOKUP($A19,Raw_Data!$B:$B,Raw_Data!$KF:$KF),"")</f>
        <v>318835.78000001714</v>
      </c>
      <c r="AB19" s="176">
        <f>IFERROR(_xlfn.XLOOKUP($A19,Raw_Data!$B:$B,Raw_Data!I:I)/1000,"")</f>
        <v>66.75</v>
      </c>
      <c r="AC19" s="185">
        <f>IFERROR(_xlfn.XLOOKUP($D19,'Modelling New'!$D:$D,'Modelling New'!$P:$P),"")</f>
        <v>6.8866666666666667</v>
      </c>
      <c r="AD19" s="176">
        <f>IFERROR(_xlfn.XLOOKUP($D19,'Modelling New'!$D:$D,'Modelling New'!$T:$T)*1000,"")</f>
        <v>349842.08946517232</v>
      </c>
      <c r="AE19" s="186">
        <f>IFERROR(_xlfn.XLOOKUP($D19,'Modelling New'!$D:$D,'Modelling New'!$O:$O),"")</f>
        <v>0.76099043046437598</v>
      </c>
      <c r="AF19" s="186">
        <f>IFERROR(_xlfn.XLOOKUP($D19,'Modelling New'!$D:$D,'Modelling New'!$W:$W),"")</f>
        <v>0.21836197629713899</v>
      </c>
      <c r="AG19" s="186">
        <f>IFERROR(_xlfn.XLOOKUP($D19,'Modelling New'!$D:$D,'Modelling New'!$AE:$AE),"")</f>
        <v>0.995</v>
      </c>
      <c r="AH19" s="186">
        <f>IFERROR(_xlfn.XLOOKUP($D19,'Modelling New'!$D:$D,'Modelling New'!$AF:$AF),"")</f>
        <v>0.995</v>
      </c>
      <c r="AI19" s="177"/>
      <c r="AJ19" s="177"/>
      <c r="AK19" s="238"/>
      <c r="AL19" s="238"/>
      <c r="AM19" s="238"/>
      <c r="AN19" s="187"/>
      <c r="AO19" s="184"/>
      <c r="AP19" s="184"/>
      <c r="AQ19" s="184"/>
      <c r="AR19" s="176">
        <f>IFERROR(_xlfn.XLOOKUP($D18,'Modelling New'!$D:$D,'Modelling New'!$N:$N),"")</f>
        <v>66.754999999999995</v>
      </c>
      <c r="AS19" s="176"/>
    </row>
    <row r="20" spans="1:45" x14ac:dyDescent="0.25">
      <c r="A20" s="175">
        <f t="shared" si="3"/>
        <v>45763</v>
      </c>
      <c r="B20" s="176">
        <f>YEAR(Table13[[#This Row],[Date]])+IF(MONTH(Table13[[#This Row],[Date]])&gt;=4,1,0)</f>
        <v>2026</v>
      </c>
      <c r="C20" s="177">
        <f>YEAR(Table13[[#This Row],[Date]])</f>
        <v>2025</v>
      </c>
      <c r="D20" s="178">
        <f>Table13[[#This Row],[Date]]-DAY(Table13[[#This Row],[Date]])+1</f>
        <v>45748</v>
      </c>
      <c r="E20" s="177">
        <f t="shared" si="0"/>
        <v>30</v>
      </c>
      <c r="F20" s="179">
        <f>IFERROR(_xlfn.XLOOKUP($A20,Raw_Data!$B:$B,Raw_Data!$KG:$KG),"")</f>
        <v>11.999999999999998</v>
      </c>
      <c r="G20" s="180">
        <f>IFERROR(_xlfn.XLOOKUP($A20,Raw_Data!$B:$B,Raw_Data!KH:KH),"")</f>
        <v>0</v>
      </c>
      <c r="H20" s="180"/>
      <c r="I20" s="180">
        <f>IFERROR(_xlfn.XLOOKUP($A20,Raw_Data!$B:$B,Raw_Data!$KI:$KI),"")</f>
        <v>6.27</v>
      </c>
      <c r="J20" s="180"/>
      <c r="K20" s="180">
        <f>IFERROR(_xlfn.XLOOKUP($A20,Raw_Data!$B:$B,Raw_Data!KJ:KJ),"")</f>
        <v>34.090000000000003</v>
      </c>
      <c r="L20" s="180">
        <f>IFERROR(_xlfn.XLOOKUP($A20,Raw_Data!$B:$B,Raw_Data!KK:KK),"")</f>
        <v>46.02</v>
      </c>
      <c r="M20" s="180">
        <f>IFERROR(_xlfn.XLOOKUP($A20,Raw_Data!$B:$B,Raw_Data!KL:KL),"")</f>
        <v>1.33</v>
      </c>
      <c r="N20" s="180">
        <f>IFERROR(_xlfn.XLOOKUP($A20,Raw_Data!$B:$B,Raw_Data!KM:KM),"")</f>
        <v>6.1</v>
      </c>
      <c r="O20" s="181">
        <f>IFERROR(1-SUMIF(PA!$B:$B,$A20,PA!AJ:AJ)/($AA20+SUMIF(PA!$B:$B,$A20,PA!AJ:AJ)),"")</f>
        <v>1</v>
      </c>
      <c r="P20" s="181"/>
      <c r="Q20" s="182"/>
      <c r="R20" s="181">
        <f>IFERROR(1-SUMIF(GA!$C:$C,$A20,GA!$X:$X)/($AA20+SUMIF(GA!$C:$C,$A20,GA!$X:$X)),"")</f>
        <v>1</v>
      </c>
      <c r="S20" s="177"/>
      <c r="T20" s="182"/>
      <c r="U20" s="183">
        <f t="shared" si="1"/>
        <v>0.76288443512596615</v>
      </c>
      <c r="V20" s="183" t="str">
        <f>IFERROR(_xlfn.XLOOKUP($A20,Raw_Data!$B:$B,Raw_Data!$KQ:$KQ),"")</f>
        <v/>
      </c>
      <c r="W20" s="184">
        <f t="shared" si="2"/>
        <v>0.19930355867665864</v>
      </c>
      <c r="X20" s="176">
        <f>IFERROR(_xlfn.XLOOKUP($A20,Raw_Data!$B:$B,Raw_Data!$KN:$KN),"")</f>
        <v>323020</v>
      </c>
      <c r="Y20" s="176">
        <f>IFERROR(_xlfn.XLOOKUP($A20,Raw_Data!$B:$B,Raw_Data!$KC:$KC),"")</f>
        <v>319338.93000000715</v>
      </c>
      <c r="Z20" s="176">
        <f>IFERROR(_xlfn.XLOOKUP($A20,Raw_Data!$B:$B,Raw_Data!$KD:$KD),"")</f>
        <v>54.629000000000815</v>
      </c>
      <c r="AA20" s="176">
        <f>IFERROR(_xlfn.XLOOKUP($A20,Raw_Data!$B:$B,Raw_Data!$KF:$KF),"")</f>
        <v>319284.30100000714</v>
      </c>
      <c r="AB20" s="176">
        <f>IFERROR(_xlfn.XLOOKUP($A20,Raw_Data!$B:$B,Raw_Data!I:I)/1000,"")</f>
        <v>66.75</v>
      </c>
      <c r="AC20" s="185">
        <f>IFERROR(_xlfn.XLOOKUP($D20,'Modelling New'!$D:$D,'Modelling New'!$P:$P),"")</f>
        <v>6.8866666666666667</v>
      </c>
      <c r="AD20" s="176">
        <f>IFERROR(_xlfn.XLOOKUP($D20,'Modelling New'!$D:$D,'Modelling New'!$T:$T)*1000,"")</f>
        <v>349842.08946517232</v>
      </c>
      <c r="AE20" s="186">
        <f>IFERROR(_xlfn.XLOOKUP($D20,'Modelling New'!$D:$D,'Modelling New'!$O:$O),"")</f>
        <v>0.76099043046437598</v>
      </c>
      <c r="AF20" s="186">
        <f>IFERROR(_xlfn.XLOOKUP($D20,'Modelling New'!$D:$D,'Modelling New'!$W:$W),"")</f>
        <v>0.21836197629713899</v>
      </c>
      <c r="AG20" s="186">
        <f>IFERROR(_xlfn.XLOOKUP($D20,'Modelling New'!$D:$D,'Modelling New'!$AE:$AE),"")</f>
        <v>0.995</v>
      </c>
      <c r="AH20" s="186">
        <f>IFERROR(_xlfn.XLOOKUP($D20,'Modelling New'!$D:$D,'Modelling New'!$AF:$AF),"")</f>
        <v>0.995</v>
      </c>
      <c r="AI20" s="177"/>
      <c r="AJ20" s="177"/>
      <c r="AK20" s="238"/>
      <c r="AL20" s="238"/>
      <c r="AM20" s="238"/>
      <c r="AN20" s="187"/>
      <c r="AO20" s="184"/>
      <c r="AP20" s="184"/>
      <c r="AQ20" s="184"/>
      <c r="AR20" s="176">
        <f>IFERROR(_xlfn.XLOOKUP($D19,'Modelling New'!$D:$D,'Modelling New'!$N:$N),"")</f>
        <v>66.754999999999995</v>
      </c>
      <c r="AS20" s="176"/>
    </row>
    <row r="21" spans="1:45" x14ac:dyDescent="0.25">
      <c r="A21" s="175">
        <f t="shared" si="3"/>
        <v>45764</v>
      </c>
      <c r="B21" s="176">
        <f>YEAR(Table13[[#This Row],[Date]])+IF(MONTH(Table13[[#This Row],[Date]])&gt;=4,1,0)</f>
        <v>2026</v>
      </c>
      <c r="C21" s="177">
        <f>YEAR(Table13[[#This Row],[Date]])</f>
        <v>2025</v>
      </c>
      <c r="D21" s="178">
        <f>Table13[[#This Row],[Date]]-DAY(Table13[[#This Row],[Date]])+1</f>
        <v>45748</v>
      </c>
      <c r="E21" s="177">
        <f t="shared" si="0"/>
        <v>30</v>
      </c>
      <c r="F21" s="179">
        <f>IFERROR(_xlfn.XLOOKUP($A21,Raw_Data!$B:$B,Raw_Data!$KG:$KG),"")</f>
        <v>11.999999999999998</v>
      </c>
      <c r="G21" s="180">
        <f>IFERROR(_xlfn.XLOOKUP($A21,Raw_Data!$B:$B,Raw_Data!KH:KH),"")</f>
        <v>0</v>
      </c>
      <c r="H21" s="180"/>
      <c r="I21" s="180">
        <f>IFERROR(_xlfn.XLOOKUP($A21,Raw_Data!$B:$B,Raw_Data!$KI:$KI),"")</f>
        <v>6.11</v>
      </c>
      <c r="J21" s="180"/>
      <c r="K21" s="180">
        <f>IFERROR(_xlfn.XLOOKUP($A21,Raw_Data!$B:$B,Raw_Data!KJ:KJ),"")</f>
        <v>35.700000000000003</v>
      </c>
      <c r="L21" s="180">
        <f>IFERROR(_xlfn.XLOOKUP($A21,Raw_Data!$B:$B,Raw_Data!KK:KK),"")</f>
        <v>46</v>
      </c>
      <c r="M21" s="180">
        <f>IFERROR(_xlfn.XLOOKUP($A21,Raw_Data!$B:$B,Raw_Data!KL:KL),"")</f>
        <v>0.6</v>
      </c>
      <c r="N21" s="180">
        <f>IFERROR(_xlfn.XLOOKUP($A21,Raw_Data!$B:$B,Raw_Data!KM:KM),"")</f>
        <v>6.78</v>
      </c>
      <c r="O21" s="181">
        <f>IFERROR(1-SUMIF(PA!$B:$B,$A21,PA!AJ:AJ)/($AA21+SUMIF(PA!$B:$B,$A21,PA!AJ:AJ)),"")</f>
        <v>1</v>
      </c>
      <c r="P21" s="181"/>
      <c r="Q21" s="182"/>
      <c r="R21" s="181">
        <f>IFERROR(1-SUMIF(GA!$C:$C,$A21,GA!$X:$X)/($AA21+SUMIF(GA!$C:$C,$A21,GA!$X:$X)),"")</f>
        <v>1</v>
      </c>
      <c r="S21" s="177"/>
      <c r="T21" s="182"/>
      <c r="U21" s="183">
        <f t="shared" si="1"/>
        <v>0.7555580867613868</v>
      </c>
      <c r="V21" s="183" t="str">
        <f>IFERROR(_xlfn.XLOOKUP($A21,Raw_Data!$B:$B,Raw_Data!$KQ:$KQ),"")</f>
        <v/>
      </c>
      <c r="W21" s="184">
        <f t="shared" si="2"/>
        <v>0.19235249625466974</v>
      </c>
      <c r="X21" s="176">
        <f>IFERROR(_xlfn.XLOOKUP($A21,Raw_Data!$B:$B,Raw_Data!$KN:$KN),"")</f>
        <v>314197</v>
      </c>
      <c r="Y21" s="176">
        <f>IFERROR(_xlfn.XLOOKUP($A21,Raw_Data!$B:$B,Raw_Data!$KC:$KC),"")</f>
        <v>308209.26999998093</v>
      </c>
      <c r="Z21" s="176">
        <f>IFERROR(_xlfn.XLOOKUP($A21,Raw_Data!$B:$B,Raw_Data!$KD:$KD),"")</f>
        <v>60.570999999996275</v>
      </c>
      <c r="AA21" s="176">
        <f>IFERROR(_xlfn.XLOOKUP($A21,Raw_Data!$B:$B,Raw_Data!$KF:$KF),"")</f>
        <v>308148.69899998093</v>
      </c>
      <c r="AB21" s="176">
        <f>IFERROR(_xlfn.XLOOKUP($A21,Raw_Data!$B:$B,Raw_Data!I:I)/1000,"")</f>
        <v>66.75</v>
      </c>
      <c r="AC21" s="185">
        <f>IFERROR(_xlfn.XLOOKUP($D21,'Modelling New'!$D:$D,'Modelling New'!$P:$P),"")</f>
        <v>6.8866666666666667</v>
      </c>
      <c r="AD21" s="176">
        <f>IFERROR(_xlfn.XLOOKUP($D21,'Modelling New'!$D:$D,'Modelling New'!$T:$T)*1000,"")</f>
        <v>349842.08946517232</v>
      </c>
      <c r="AE21" s="186">
        <f>IFERROR(_xlfn.XLOOKUP($D21,'Modelling New'!$D:$D,'Modelling New'!$O:$O),"")</f>
        <v>0.76099043046437598</v>
      </c>
      <c r="AF21" s="186">
        <f>IFERROR(_xlfn.XLOOKUP($D21,'Modelling New'!$D:$D,'Modelling New'!$W:$W),"")</f>
        <v>0.21836197629713899</v>
      </c>
      <c r="AG21" s="186">
        <f>IFERROR(_xlfn.XLOOKUP($D21,'Modelling New'!$D:$D,'Modelling New'!$AE:$AE),"")</f>
        <v>0.995</v>
      </c>
      <c r="AH21" s="186">
        <f>IFERROR(_xlfn.XLOOKUP($D21,'Modelling New'!$D:$D,'Modelling New'!$AF:$AF),"")</f>
        <v>0.995</v>
      </c>
      <c r="AI21" s="177"/>
      <c r="AJ21" s="177"/>
      <c r="AK21" s="238"/>
      <c r="AL21" s="238"/>
      <c r="AM21" s="238"/>
      <c r="AN21" s="187"/>
      <c r="AO21" s="184"/>
      <c r="AP21" s="184"/>
      <c r="AQ21" s="184"/>
      <c r="AR21" s="176">
        <f>IFERROR(_xlfn.XLOOKUP($D20,'Modelling New'!$D:$D,'Modelling New'!$N:$N),"")</f>
        <v>66.754999999999995</v>
      </c>
      <c r="AS21" s="176"/>
    </row>
    <row r="22" spans="1:45" x14ac:dyDescent="0.25">
      <c r="A22" s="175">
        <f t="shared" si="3"/>
        <v>45765</v>
      </c>
      <c r="B22" s="176">
        <f>YEAR(Table13[[#This Row],[Date]])+IF(MONTH(Table13[[#This Row],[Date]])&gt;=4,1,0)</f>
        <v>2026</v>
      </c>
      <c r="C22" s="177">
        <f>YEAR(Table13[[#This Row],[Date]])</f>
        <v>2025</v>
      </c>
      <c r="D22" s="178">
        <f>Table13[[#This Row],[Date]]-DAY(Table13[[#This Row],[Date]])+1</f>
        <v>45748</v>
      </c>
      <c r="E22" s="177">
        <f t="shared" si="0"/>
        <v>30</v>
      </c>
      <c r="F22" s="179">
        <f>IFERROR(_xlfn.XLOOKUP($A22,Raw_Data!$B:$B,Raw_Data!$KG:$KG),"")</f>
        <v>12</v>
      </c>
      <c r="G22" s="180">
        <f>IFERROR(_xlfn.XLOOKUP($A22,Raw_Data!$B:$B,Raw_Data!KH:KH),"")</f>
        <v>0</v>
      </c>
      <c r="H22" s="180"/>
      <c r="I22" s="180">
        <f>IFERROR(_xlfn.XLOOKUP($A22,Raw_Data!$B:$B,Raw_Data!$KI:$KI),"")</f>
        <v>5.95</v>
      </c>
      <c r="J22" s="180"/>
      <c r="K22" s="180">
        <f>IFERROR(_xlfn.XLOOKUP($A22,Raw_Data!$B:$B,Raw_Data!KJ:KJ),"")</f>
        <v>35.61</v>
      </c>
      <c r="L22" s="180">
        <f>IFERROR(_xlfn.XLOOKUP($A22,Raw_Data!$B:$B,Raw_Data!KK:KK),"")</f>
        <v>47.4</v>
      </c>
      <c r="M22" s="180">
        <f>IFERROR(_xlfn.XLOOKUP($A22,Raw_Data!$B:$B,Raw_Data!KL:KL),"")</f>
        <v>1.3</v>
      </c>
      <c r="N22" s="180">
        <f>IFERROR(_xlfn.XLOOKUP($A22,Raw_Data!$B:$B,Raw_Data!KM:KM),"")</f>
        <v>5.0999999999999996</v>
      </c>
      <c r="O22" s="181">
        <f>IFERROR(1-SUMIF(PA!$B:$B,$A22,PA!AJ:AJ)/($AA22+SUMIF(PA!$B:$B,$A22,PA!AJ:AJ)),"")</f>
        <v>1</v>
      </c>
      <c r="P22" s="181"/>
      <c r="Q22" s="182"/>
      <c r="R22" s="181">
        <f>IFERROR(1-SUMIF(GA!$C:$C,$A22,GA!$X:$X)/($AA22+SUMIF(GA!$C:$C,$A22,GA!$X:$X)),"")</f>
        <v>1</v>
      </c>
      <c r="S22" s="177"/>
      <c r="T22" s="182"/>
      <c r="U22" s="183">
        <f t="shared" si="1"/>
        <v>0.7561636181664253</v>
      </c>
      <c r="V22" s="183" t="str">
        <f>IFERROR(_xlfn.XLOOKUP($A22,Raw_Data!$B:$B,Raw_Data!$KQ:$KQ),"")</f>
        <v/>
      </c>
      <c r="W22" s="184">
        <f t="shared" si="2"/>
        <v>0.1874655636704263</v>
      </c>
      <c r="X22" s="176">
        <f>IFERROR(_xlfn.XLOOKUP($A22,Raw_Data!$B:$B,Raw_Data!$KN:$KN),"")</f>
        <v>305558</v>
      </c>
      <c r="Y22" s="176">
        <f>IFERROR(_xlfn.XLOOKUP($A22,Raw_Data!$B:$B,Raw_Data!$KC:$KC),"")</f>
        <v>300377.40100002289</v>
      </c>
      <c r="Z22" s="176">
        <f>IFERROR(_xlfn.XLOOKUP($A22,Raw_Data!$B:$B,Raw_Data!$KD:$KD),"")</f>
        <v>57.567999999999302</v>
      </c>
      <c r="AA22" s="176">
        <f>IFERROR(_xlfn.XLOOKUP($A22,Raw_Data!$B:$B,Raw_Data!$KF:$KF),"")</f>
        <v>300319.83300002292</v>
      </c>
      <c r="AB22" s="176">
        <f>IFERROR(_xlfn.XLOOKUP($A22,Raw_Data!$B:$B,Raw_Data!I:I)/1000,"")</f>
        <v>66.75</v>
      </c>
      <c r="AC22" s="185">
        <f>IFERROR(_xlfn.XLOOKUP($D22,'Modelling New'!$D:$D,'Modelling New'!$P:$P),"")</f>
        <v>6.8866666666666667</v>
      </c>
      <c r="AD22" s="176">
        <f>IFERROR(_xlfn.XLOOKUP($D22,'Modelling New'!$D:$D,'Modelling New'!$T:$T)*1000,"")</f>
        <v>349842.08946517232</v>
      </c>
      <c r="AE22" s="186">
        <f>IFERROR(_xlfn.XLOOKUP($D22,'Modelling New'!$D:$D,'Modelling New'!$O:$O),"")</f>
        <v>0.76099043046437598</v>
      </c>
      <c r="AF22" s="186">
        <f>IFERROR(_xlfn.XLOOKUP($D22,'Modelling New'!$D:$D,'Modelling New'!$W:$W),"")</f>
        <v>0.21836197629713899</v>
      </c>
      <c r="AG22" s="186">
        <f>IFERROR(_xlfn.XLOOKUP($D22,'Modelling New'!$D:$D,'Modelling New'!$AE:$AE),"")</f>
        <v>0.995</v>
      </c>
      <c r="AH22" s="186">
        <f>IFERROR(_xlfn.XLOOKUP($D22,'Modelling New'!$D:$D,'Modelling New'!$AF:$AF),"")</f>
        <v>0.995</v>
      </c>
      <c r="AI22" s="177"/>
      <c r="AJ22" s="177"/>
      <c r="AK22" s="238"/>
      <c r="AL22" s="238"/>
      <c r="AM22" s="238"/>
      <c r="AN22" s="187"/>
      <c r="AO22" s="184"/>
      <c r="AP22" s="184"/>
      <c r="AQ22" s="184"/>
      <c r="AR22" s="176">
        <f>IFERROR(_xlfn.XLOOKUP($D21,'Modelling New'!$D:$D,'Modelling New'!$N:$N),"")</f>
        <v>66.754999999999995</v>
      </c>
      <c r="AS22" s="176"/>
    </row>
    <row r="23" spans="1:45" x14ac:dyDescent="0.25">
      <c r="A23" s="175">
        <f t="shared" si="3"/>
        <v>45766</v>
      </c>
      <c r="B23" s="176">
        <f>YEAR(Table13[[#This Row],[Date]])+IF(MONTH(Table13[[#This Row],[Date]])&gt;=4,1,0)</f>
        <v>2026</v>
      </c>
      <c r="C23" s="177">
        <f>YEAR(Table13[[#This Row],[Date]])</f>
        <v>2025</v>
      </c>
      <c r="D23" s="178">
        <f>Table13[[#This Row],[Date]]-DAY(Table13[[#This Row],[Date]])+1</f>
        <v>45748</v>
      </c>
      <c r="E23" s="177">
        <f t="shared" si="0"/>
        <v>30</v>
      </c>
      <c r="F23" s="179">
        <f>IFERROR(_xlfn.XLOOKUP($A23,Raw_Data!$B:$B,Raw_Data!$KG:$KG),"")</f>
        <v>12</v>
      </c>
      <c r="G23" s="180">
        <f>IFERROR(_xlfn.XLOOKUP($A23,Raw_Data!$B:$B,Raw_Data!KH:KH),"")</f>
        <v>0</v>
      </c>
      <c r="H23" s="180"/>
      <c r="I23" s="180">
        <f>IFERROR(_xlfn.XLOOKUP($A23,Raw_Data!$B:$B,Raw_Data!$KI:$KI),"")</f>
        <v>5.87</v>
      </c>
      <c r="J23" s="180"/>
      <c r="K23" s="180">
        <f>IFERROR(_xlfn.XLOOKUP($A23,Raw_Data!$B:$B,Raw_Data!KJ:KJ),"")</f>
        <v>35.4</v>
      </c>
      <c r="L23" s="180">
        <f>IFERROR(_xlfn.XLOOKUP($A23,Raw_Data!$B:$B,Raw_Data!KK:KK),"")</f>
        <v>46.4</v>
      </c>
      <c r="M23" s="180">
        <f>IFERROR(_xlfn.XLOOKUP($A23,Raw_Data!$B:$B,Raw_Data!KL:KL),"")</f>
        <v>1.2</v>
      </c>
      <c r="N23" s="180">
        <f>IFERROR(_xlfn.XLOOKUP($A23,Raw_Data!$B:$B,Raw_Data!KM:KM),"")</f>
        <v>5.3</v>
      </c>
      <c r="O23" s="181">
        <f>IFERROR(1-SUMIF(PA!$B:$B,$A23,PA!AJ:AJ)/($AA23+SUMIF(PA!$B:$B,$A23,PA!AJ:AJ)),"")</f>
        <v>0.99632073192413828</v>
      </c>
      <c r="P23" s="181"/>
      <c r="Q23" s="182"/>
      <c r="R23" s="181">
        <f>IFERROR(1-SUMIF(GA!$C:$C,$A23,GA!$X:$X)/($AA23+SUMIF(GA!$C:$C,$A23,GA!$X:$X)),"")</f>
        <v>1</v>
      </c>
      <c r="S23" s="177"/>
      <c r="T23" s="182"/>
      <c r="U23" s="183">
        <f t="shared" si="1"/>
        <v>0.75460895430967057</v>
      </c>
      <c r="V23" s="183">
        <f>IFERROR(_xlfn.XLOOKUP($A23,Raw_Data!$B:$B,Raw_Data!$KQ:$KQ),"")</f>
        <v>0</v>
      </c>
      <c r="W23" s="184">
        <f t="shared" si="2"/>
        <v>0.18456477340824029</v>
      </c>
      <c r="X23" s="176">
        <f>IFERROR(_xlfn.XLOOKUP($A23,Raw_Data!$B:$B,Raw_Data!$KN:$KN),"")</f>
        <v>312642</v>
      </c>
      <c r="Y23" s="176">
        <f>IFERROR(_xlfn.XLOOKUP($A23,Raw_Data!$B:$B,Raw_Data!$KC:$KC),"")</f>
        <v>295745.19900000095</v>
      </c>
      <c r="Z23" s="176">
        <f>IFERROR(_xlfn.XLOOKUP($A23,Raw_Data!$B:$B,Raw_Data!$KD:$KD),"")</f>
        <v>72.432000000000698</v>
      </c>
      <c r="AA23" s="176">
        <f>IFERROR(_xlfn.XLOOKUP($A23,Raw_Data!$B:$B,Raw_Data!$KF:$KF),"")</f>
        <v>295672.76700000092</v>
      </c>
      <c r="AB23" s="176">
        <f>IFERROR(_xlfn.XLOOKUP($A23,Raw_Data!$B:$B,Raw_Data!I:I)/1000,"")</f>
        <v>66.75</v>
      </c>
      <c r="AC23" s="185">
        <f>IFERROR(_xlfn.XLOOKUP($D23,'Modelling New'!$D:$D,'Modelling New'!$P:$P),"")</f>
        <v>6.8866666666666667</v>
      </c>
      <c r="AD23" s="176">
        <f>IFERROR(_xlfn.XLOOKUP($D23,'Modelling New'!$D:$D,'Modelling New'!$T:$T)*1000,"")</f>
        <v>349842.08946517232</v>
      </c>
      <c r="AE23" s="186">
        <f>IFERROR(_xlfn.XLOOKUP($D23,'Modelling New'!$D:$D,'Modelling New'!$O:$O),"")</f>
        <v>0.76099043046437598</v>
      </c>
      <c r="AF23" s="186">
        <f>IFERROR(_xlfn.XLOOKUP($D23,'Modelling New'!$D:$D,'Modelling New'!$W:$W),"")</f>
        <v>0.21836197629713899</v>
      </c>
      <c r="AG23" s="186">
        <f>IFERROR(_xlfn.XLOOKUP($D23,'Modelling New'!$D:$D,'Modelling New'!$AE:$AE),"")</f>
        <v>0.995</v>
      </c>
      <c r="AH23" s="186">
        <f>IFERROR(_xlfn.XLOOKUP($D23,'Modelling New'!$D:$D,'Modelling New'!$AF:$AF),"")</f>
        <v>0.995</v>
      </c>
      <c r="AI23" s="177"/>
      <c r="AJ23" s="177"/>
      <c r="AK23" s="238"/>
      <c r="AL23" s="238"/>
      <c r="AM23" s="238"/>
      <c r="AN23" s="187"/>
      <c r="AO23" s="184"/>
      <c r="AP23" s="184"/>
      <c r="AQ23" s="184"/>
      <c r="AR23" s="176">
        <f>IFERROR(_xlfn.XLOOKUP($D22,'Modelling New'!$D:$D,'Modelling New'!$N:$N),"")</f>
        <v>66.754999999999995</v>
      </c>
      <c r="AS23" s="176"/>
    </row>
    <row r="24" spans="1:45" x14ac:dyDescent="0.25">
      <c r="A24" s="175">
        <f t="shared" si="3"/>
        <v>45767</v>
      </c>
      <c r="B24" s="176">
        <f>YEAR(Table13[[#This Row],[Date]])+IF(MONTH(Table13[[#This Row],[Date]])&gt;=4,1,0)</f>
        <v>2026</v>
      </c>
      <c r="C24" s="177">
        <f>YEAR(Table13[[#This Row],[Date]])</f>
        <v>2025</v>
      </c>
      <c r="D24" s="178">
        <f>Table13[[#This Row],[Date]]-DAY(Table13[[#This Row],[Date]])+1</f>
        <v>45748</v>
      </c>
      <c r="E24" s="177">
        <f t="shared" si="0"/>
        <v>30</v>
      </c>
      <c r="F24" s="179">
        <f>IFERROR(_xlfn.XLOOKUP($A24,Raw_Data!$B:$B,Raw_Data!$KG:$KG),"")</f>
        <v>11.999999999999998</v>
      </c>
      <c r="G24" s="180">
        <f>IFERROR(_xlfn.XLOOKUP($A24,Raw_Data!$B:$B,Raw_Data!KH:KH),"")</f>
        <v>0</v>
      </c>
      <c r="H24" s="180"/>
      <c r="I24" s="180">
        <f>IFERROR(_xlfn.XLOOKUP($A24,Raw_Data!$B:$B,Raw_Data!$KI:$KI),"")</f>
        <v>6.7</v>
      </c>
      <c r="J24" s="180"/>
      <c r="K24" s="180">
        <f>IFERROR(_xlfn.XLOOKUP($A24,Raw_Data!$B:$B,Raw_Data!KJ:KJ),"")</f>
        <v>35.9</v>
      </c>
      <c r="L24" s="180">
        <f>IFERROR(_xlfn.XLOOKUP($A24,Raw_Data!$B:$B,Raw_Data!KK:KK),"")</f>
        <v>47.6</v>
      </c>
      <c r="M24" s="180">
        <f>IFERROR(_xlfn.XLOOKUP($A24,Raw_Data!$B:$B,Raw_Data!KL:KL),"")</f>
        <v>1.6</v>
      </c>
      <c r="N24" s="180">
        <f>IFERROR(_xlfn.XLOOKUP($A24,Raw_Data!$B:$B,Raw_Data!KM:KM),"")</f>
        <v>5.0999999999999996</v>
      </c>
      <c r="O24" s="181">
        <f>IFERROR(1-SUMIF(PA!$B:$B,$A24,PA!AJ:AJ)/($AA24+SUMIF(PA!$B:$B,$A24,PA!AJ:AJ)),"")</f>
        <v>1</v>
      </c>
      <c r="P24" s="181"/>
      <c r="Q24" s="182"/>
      <c r="R24" s="181">
        <f>IFERROR(1-SUMIF(GA!$C:$C,$A24,GA!$X:$X)/($AA24+SUMIF(GA!$C:$C,$A24,GA!$X:$X)),"")</f>
        <v>1</v>
      </c>
      <c r="S24" s="177"/>
      <c r="T24" s="182"/>
      <c r="U24" s="183">
        <f t="shared" si="1"/>
        <v>0.72021716362009003</v>
      </c>
      <c r="V24" s="183" t="str">
        <f>IFERROR(_xlfn.XLOOKUP($A24,Raw_Data!$B:$B,Raw_Data!$KQ:$KQ),"")</f>
        <v/>
      </c>
      <c r="W24" s="184">
        <f t="shared" si="2"/>
        <v>0.2010606248439418</v>
      </c>
      <c r="X24" s="176">
        <f>IFERROR(_xlfn.XLOOKUP($A24,Raw_Data!$B:$B,Raw_Data!$KN:$KN),"")</f>
        <v>327345</v>
      </c>
      <c r="Y24" s="176">
        <f>IFERROR(_xlfn.XLOOKUP($A24,Raw_Data!$B:$B,Raw_Data!$KC:$KC),"")</f>
        <v>322154.96799999475</v>
      </c>
      <c r="Z24" s="176">
        <f>IFERROR(_xlfn.XLOOKUP($A24,Raw_Data!$B:$B,Raw_Data!$KD:$KD),"")</f>
        <v>55.846999999994296</v>
      </c>
      <c r="AA24" s="176">
        <f>IFERROR(_xlfn.XLOOKUP($A24,Raw_Data!$B:$B,Raw_Data!$KF:$KF),"")</f>
        <v>322099.12099999475</v>
      </c>
      <c r="AB24" s="176">
        <f>IFERROR(_xlfn.XLOOKUP($A24,Raw_Data!$B:$B,Raw_Data!I:I)/1000,"")</f>
        <v>66.75</v>
      </c>
      <c r="AC24" s="185">
        <f>IFERROR(_xlfn.XLOOKUP($D24,'Modelling New'!$D:$D,'Modelling New'!$P:$P),"")</f>
        <v>6.8866666666666667</v>
      </c>
      <c r="AD24" s="176">
        <f>IFERROR(_xlfn.XLOOKUP($D24,'Modelling New'!$D:$D,'Modelling New'!$T:$T)*1000,"")</f>
        <v>349842.08946517232</v>
      </c>
      <c r="AE24" s="186">
        <f>IFERROR(_xlfn.XLOOKUP($D24,'Modelling New'!$D:$D,'Modelling New'!$O:$O),"")</f>
        <v>0.76099043046437598</v>
      </c>
      <c r="AF24" s="186">
        <f>IFERROR(_xlfn.XLOOKUP($D24,'Modelling New'!$D:$D,'Modelling New'!$W:$W),"")</f>
        <v>0.21836197629713899</v>
      </c>
      <c r="AG24" s="186">
        <f>IFERROR(_xlfn.XLOOKUP($D24,'Modelling New'!$D:$D,'Modelling New'!$AE:$AE),"")</f>
        <v>0.995</v>
      </c>
      <c r="AH24" s="186">
        <f>IFERROR(_xlfn.XLOOKUP($D24,'Modelling New'!$D:$D,'Modelling New'!$AF:$AF),"")</f>
        <v>0.995</v>
      </c>
      <c r="AI24" s="177"/>
      <c r="AJ24" s="177"/>
      <c r="AK24" s="238"/>
      <c r="AL24" s="238"/>
      <c r="AM24" s="238"/>
      <c r="AN24" s="187"/>
      <c r="AO24" s="184"/>
      <c r="AP24" s="184"/>
      <c r="AQ24" s="184"/>
      <c r="AR24" s="176">
        <f>IFERROR(_xlfn.XLOOKUP($D23,'Modelling New'!$D:$D,'Modelling New'!$N:$N),"")</f>
        <v>66.754999999999995</v>
      </c>
      <c r="AS24" s="176"/>
    </row>
    <row r="25" spans="1:45" x14ac:dyDescent="0.25">
      <c r="A25" s="175">
        <f t="shared" si="3"/>
        <v>45768</v>
      </c>
      <c r="B25" s="176">
        <f>YEAR(Table13[[#This Row],[Date]])+IF(MONTH(Table13[[#This Row],[Date]])&gt;=4,1,0)</f>
        <v>2026</v>
      </c>
      <c r="C25" s="177">
        <f>YEAR(Table13[[#This Row],[Date]])</f>
        <v>2025</v>
      </c>
      <c r="D25" s="178">
        <f>Table13[[#This Row],[Date]]-DAY(Table13[[#This Row],[Date]])+1</f>
        <v>45748</v>
      </c>
      <c r="E25" s="177">
        <f t="shared" si="0"/>
        <v>30</v>
      </c>
      <c r="F25" s="179">
        <f>IFERROR(_xlfn.XLOOKUP($A25,Raw_Data!$B:$B,Raw_Data!$KG:$KG),"")</f>
        <v>11.999999999999998</v>
      </c>
      <c r="G25" s="180">
        <f>IFERROR(_xlfn.XLOOKUP($A25,Raw_Data!$B:$B,Raw_Data!KH:KH),"")</f>
        <v>0</v>
      </c>
      <c r="H25" s="180"/>
      <c r="I25" s="180">
        <f>IFERROR(_xlfn.XLOOKUP($A25,Raw_Data!$B:$B,Raw_Data!$KI:$KI),"")</f>
        <v>6.75</v>
      </c>
      <c r="J25" s="180"/>
      <c r="K25" s="180">
        <f>IFERROR(_xlfn.XLOOKUP($A25,Raw_Data!$B:$B,Raw_Data!KJ:KJ),"")</f>
        <v>37.4</v>
      </c>
      <c r="L25" s="180">
        <f>IFERROR(_xlfn.XLOOKUP($A25,Raw_Data!$B:$B,Raw_Data!KK:KK),"")</f>
        <v>47.37</v>
      </c>
      <c r="M25" s="180">
        <f>IFERROR(_xlfn.XLOOKUP($A25,Raw_Data!$B:$B,Raw_Data!KL:KL),"")</f>
        <v>2.08</v>
      </c>
      <c r="N25" s="180">
        <f>IFERROR(_xlfn.XLOOKUP($A25,Raw_Data!$B:$B,Raw_Data!KM:KM),"")</f>
        <v>5.4</v>
      </c>
      <c r="O25" s="181">
        <f>IFERROR(1-SUMIF(PA!$B:$B,$A25,PA!AJ:AJ)/($AA25+SUMIF(PA!$B:$B,$A25,PA!AJ:AJ)),"")</f>
        <v>0.99646210947917502</v>
      </c>
      <c r="P25" s="181"/>
      <c r="Q25" s="182"/>
      <c r="R25" s="181">
        <f>IFERROR(1-SUMIF(GA!$C:$C,$A25,GA!$X:$X)/($AA25+SUMIF(GA!$C:$C,$A25,GA!$X:$X)),"")</f>
        <v>1</v>
      </c>
      <c r="S25" s="177"/>
      <c r="T25" s="182"/>
      <c r="U25" s="183">
        <f t="shared" si="1"/>
        <v>0.71149282951858006</v>
      </c>
      <c r="V25" s="183" t="str">
        <f>IFERROR(_xlfn.XLOOKUP($A25,Raw_Data!$B:$B,Raw_Data!$KQ:$KQ),"")</f>
        <v/>
      </c>
      <c r="W25" s="184">
        <f t="shared" si="2"/>
        <v>0.20010735830210064</v>
      </c>
      <c r="X25" s="176">
        <f>IFERROR(_xlfn.XLOOKUP($A25,Raw_Data!$B:$B,Raw_Data!$KN:$KN),"")</f>
        <v>328589</v>
      </c>
      <c r="Y25" s="176">
        <f>IFERROR(_xlfn.XLOOKUP($A25,Raw_Data!$B:$B,Raw_Data!$KC:$KC),"")</f>
        <v>320631.04899996519</v>
      </c>
      <c r="Z25" s="176">
        <f>IFERROR(_xlfn.XLOOKUP($A25,Raw_Data!$B:$B,Raw_Data!$KD:$KD),"")</f>
        <v>59.061000000001513</v>
      </c>
      <c r="AA25" s="176">
        <f>IFERROR(_xlfn.XLOOKUP($A25,Raw_Data!$B:$B,Raw_Data!$KF:$KF),"")</f>
        <v>320571.9879999652</v>
      </c>
      <c r="AB25" s="176">
        <f>IFERROR(_xlfn.XLOOKUP($A25,Raw_Data!$B:$B,Raw_Data!I:I)/1000,"")</f>
        <v>66.75</v>
      </c>
      <c r="AC25" s="185">
        <f>IFERROR(_xlfn.XLOOKUP($D25,'Modelling New'!$D:$D,'Modelling New'!$P:$P),"")</f>
        <v>6.8866666666666667</v>
      </c>
      <c r="AD25" s="176">
        <f>IFERROR(_xlfn.XLOOKUP($D25,'Modelling New'!$D:$D,'Modelling New'!$T:$T)*1000,"")</f>
        <v>349842.08946517232</v>
      </c>
      <c r="AE25" s="186">
        <f>IFERROR(_xlfn.XLOOKUP($D25,'Modelling New'!$D:$D,'Modelling New'!$O:$O),"")</f>
        <v>0.76099043046437598</v>
      </c>
      <c r="AF25" s="186">
        <f>IFERROR(_xlfn.XLOOKUP($D25,'Modelling New'!$D:$D,'Modelling New'!$W:$W),"")</f>
        <v>0.21836197629713899</v>
      </c>
      <c r="AG25" s="186">
        <f>IFERROR(_xlfn.XLOOKUP($D25,'Modelling New'!$D:$D,'Modelling New'!$AE:$AE),"")</f>
        <v>0.995</v>
      </c>
      <c r="AH25" s="186">
        <f>IFERROR(_xlfn.XLOOKUP($D25,'Modelling New'!$D:$D,'Modelling New'!$AF:$AF),"")</f>
        <v>0.995</v>
      </c>
      <c r="AI25" s="177"/>
      <c r="AJ25" s="177"/>
      <c r="AK25" s="238"/>
      <c r="AL25" s="238"/>
      <c r="AM25" s="238"/>
      <c r="AN25" s="187"/>
      <c r="AO25" s="184"/>
      <c r="AP25" s="184"/>
      <c r="AQ25" s="184"/>
      <c r="AR25" s="176">
        <f>IFERROR(_xlfn.XLOOKUP($D24,'Modelling New'!$D:$D,'Modelling New'!$N:$N),"")</f>
        <v>66.754999999999995</v>
      </c>
      <c r="AS25" s="176"/>
    </row>
    <row r="26" spans="1:45" x14ac:dyDescent="0.25">
      <c r="A26" s="175">
        <f t="shared" si="3"/>
        <v>45769</v>
      </c>
      <c r="B26" s="176">
        <f>YEAR(Table13[[#This Row],[Date]])+IF(MONTH(Table13[[#This Row],[Date]])&gt;=4,1,0)</f>
        <v>2026</v>
      </c>
      <c r="C26" s="177">
        <f>YEAR(Table13[[#This Row],[Date]])</f>
        <v>2025</v>
      </c>
      <c r="D26" s="178">
        <f>Table13[[#This Row],[Date]]-DAY(Table13[[#This Row],[Date]])+1</f>
        <v>45748</v>
      </c>
      <c r="E26" s="177">
        <f t="shared" si="0"/>
        <v>30</v>
      </c>
      <c r="F26" s="179">
        <f>IFERROR(_xlfn.XLOOKUP($A26,Raw_Data!$B:$B,Raw_Data!$KG:$KG),"")</f>
        <v>11.999999999999998</v>
      </c>
      <c r="G26" s="180">
        <f>IFERROR(_xlfn.XLOOKUP($A26,Raw_Data!$B:$B,Raw_Data!KH:KH),"")</f>
        <v>0</v>
      </c>
      <c r="H26" s="180"/>
      <c r="I26" s="180">
        <f>IFERROR(_xlfn.XLOOKUP($A26,Raw_Data!$B:$B,Raw_Data!$KI:$KI),"")</f>
        <v>7.08</v>
      </c>
      <c r="J26" s="180"/>
      <c r="K26" s="180">
        <f>IFERROR(_xlfn.XLOOKUP($A26,Raw_Data!$B:$B,Raw_Data!KJ:KJ),"")</f>
        <v>37.9</v>
      </c>
      <c r="L26" s="180">
        <f>IFERROR(_xlfn.XLOOKUP($A26,Raw_Data!$B:$B,Raw_Data!KK:KK),"")</f>
        <v>46.08</v>
      </c>
      <c r="M26" s="180">
        <f>IFERROR(_xlfn.XLOOKUP($A26,Raw_Data!$B:$B,Raw_Data!KL:KL),"")</f>
        <v>1.93</v>
      </c>
      <c r="N26" s="180">
        <f>IFERROR(_xlfn.XLOOKUP($A26,Raw_Data!$B:$B,Raw_Data!KM:KM),"")</f>
        <v>5.0999999999999996</v>
      </c>
      <c r="O26" s="181">
        <f>IFERROR(1-SUMIF(PA!$B:$B,$A26,PA!AJ:AJ)/($AA26+SUMIF(PA!$B:$B,$A26,PA!AJ:AJ)),"")</f>
        <v>0.99682995738573499</v>
      </c>
      <c r="P26" s="181"/>
      <c r="Q26" s="182"/>
      <c r="R26" s="181">
        <f>IFERROR(1-SUMIF(GA!$C:$C,$A26,GA!$X:$X)/($AA26+SUMIF(GA!$C:$C,$A26,GA!$X:$X)),"")</f>
        <v>1</v>
      </c>
      <c r="S26" s="177"/>
      <c r="T26" s="182"/>
      <c r="U26" s="183">
        <f t="shared" si="1"/>
        <v>0.72394857275864111</v>
      </c>
      <c r="V26" s="183" t="str">
        <f>IFERROR(_xlfn.XLOOKUP($A26,Raw_Data!$B:$B,Raw_Data!$KQ:$KQ),"")</f>
        <v/>
      </c>
      <c r="W26" s="184">
        <f t="shared" si="2"/>
        <v>0.21356482896379914</v>
      </c>
      <c r="X26" s="176">
        <f>IFERROR(_xlfn.XLOOKUP($A26,Raw_Data!$B:$B,Raw_Data!$KN:$KN),"")</f>
        <v>347261</v>
      </c>
      <c r="Y26" s="176">
        <f>IFERROR(_xlfn.XLOOKUP($A26,Raw_Data!$B:$B,Raw_Data!$KC:$KC),"")</f>
        <v>342184.7310000062</v>
      </c>
      <c r="Z26" s="176">
        <f>IFERROR(_xlfn.XLOOKUP($A26,Raw_Data!$B:$B,Raw_Data!$KD:$KD),"")</f>
        <v>53.875</v>
      </c>
      <c r="AA26" s="176">
        <f>IFERROR(_xlfn.XLOOKUP($A26,Raw_Data!$B:$B,Raw_Data!$KF:$KF),"")</f>
        <v>342130.8560000062</v>
      </c>
      <c r="AB26" s="176">
        <f>IFERROR(_xlfn.XLOOKUP($A26,Raw_Data!$B:$B,Raw_Data!I:I)/1000,"")</f>
        <v>66.75</v>
      </c>
      <c r="AC26" s="185">
        <f>IFERROR(_xlfn.XLOOKUP($D26,'Modelling New'!$D:$D,'Modelling New'!$P:$P),"")</f>
        <v>6.8866666666666667</v>
      </c>
      <c r="AD26" s="176">
        <f>IFERROR(_xlfn.XLOOKUP($D26,'Modelling New'!$D:$D,'Modelling New'!$T:$T)*1000,"")</f>
        <v>349842.08946517232</v>
      </c>
      <c r="AE26" s="186">
        <f>IFERROR(_xlfn.XLOOKUP($D26,'Modelling New'!$D:$D,'Modelling New'!$O:$O),"")</f>
        <v>0.76099043046437598</v>
      </c>
      <c r="AF26" s="186">
        <f>IFERROR(_xlfn.XLOOKUP($D26,'Modelling New'!$D:$D,'Modelling New'!$W:$W),"")</f>
        <v>0.21836197629713899</v>
      </c>
      <c r="AG26" s="186">
        <f>IFERROR(_xlfn.XLOOKUP($D26,'Modelling New'!$D:$D,'Modelling New'!$AE:$AE),"")</f>
        <v>0.995</v>
      </c>
      <c r="AH26" s="186">
        <f>IFERROR(_xlfn.XLOOKUP($D26,'Modelling New'!$D:$D,'Modelling New'!$AF:$AF),"")</f>
        <v>0.995</v>
      </c>
      <c r="AI26" s="177"/>
      <c r="AJ26" s="177"/>
      <c r="AK26" s="238"/>
      <c r="AL26" s="238"/>
      <c r="AM26" s="238"/>
      <c r="AN26" s="187"/>
      <c r="AO26" s="184"/>
      <c r="AP26" s="184"/>
      <c r="AQ26" s="184"/>
      <c r="AR26" s="176">
        <f>IFERROR(_xlfn.XLOOKUP($D25,'Modelling New'!$D:$D,'Modelling New'!$N:$N),"")</f>
        <v>66.754999999999995</v>
      </c>
      <c r="AS26" s="176"/>
    </row>
    <row r="27" spans="1:45" x14ac:dyDescent="0.25">
      <c r="A27" s="175">
        <f t="shared" si="3"/>
        <v>45770</v>
      </c>
      <c r="B27" s="176">
        <f>YEAR(Table13[[#This Row],[Date]])+IF(MONTH(Table13[[#This Row],[Date]])&gt;=4,1,0)</f>
        <v>2026</v>
      </c>
      <c r="C27" s="177">
        <f>YEAR(Table13[[#This Row],[Date]])</f>
        <v>2025</v>
      </c>
      <c r="D27" s="178">
        <f>Table13[[#This Row],[Date]]-DAY(Table13[[#This Row],[Date]])+1</f>
        <v>45748</v>
      </c>
      <c r="E27" s="177">
        <f t="shared" si="0"/>
        <v>30</v>
      </c>
      <c r="F27" s="179">
        <f>IFERROR(_xlfn.XLOOKUP($A27,Raw_Data!$B:$B,Raw_Data!$KG:$KG),"")</f>
        <v>11.999999999999998</v>
      </c>
      <c r="G27" s="180">
        <f>IFERROR(_xlfn.XLOOKUP($A27,Raw_Data!$B:$B,Raw_Data!KH:KH),"")</f>
        <v>0</v>
      </c>
      <c r="H27" s="180"/>
      <c r="I27" s="180">
        <f>IFERROR(_xlfn.XLOOKUP($A27,Raw_Data!$B:$B,Raw_Data!$KI:$KI),"")</f>
        <v>7.22</v>
      </c>
      <c r="J27" s="180"/>
      <c r="K27" s="180">
        <f>IFERROR(_xlfn.XLOOKUP($A27,Raw_Data!$B:$B,Raw_Data!KJ:KJ),"")</f>
        <v>38</v>
      </c>
      <c r="L27" s="180">
        <f>IFERROR(_xlfn.XLOOKUP($A27,Raw_Data!$B:$B,Raw_Data!KK:KK),"")</f>
        <v>46.1</v>
      </c>
      <c r="M27" s="180">
        <f>IFERROR(_xlfn.XLOOKUP($A27,Raw_Data!$B:$B,Raw_Data!KL:KL),"")</f>
        <v>2</v>
      </c>
      <c r="N27" s="180">
        <f>IFERROR(_xlfn.XLOOKUP($A27,Raw_Data!$B:$B,Raw_Data!KM:KM),"")</f>
        <v>5.3</v>
      </c>
      <c r="O27" s="181">
        <f>IFERROR(1-SUMIF(PA!$B:$B,$A27,PA!AJ:AJ)/($AA27+SUMIF(PA!$B:$B,$A27,PA!AJ:AJ)),"")</f>
        <v>0.99683429430682102</v>
      </c>
      <c r="P27" s="181"/>
      <c r="Q27" s="182"/>
      <c r="R27" s="181">
        <f>IFERROR(1-SUMIF(GA!$C:$C,$A27,GA!$X:$X)/($AA27+SUMIF(GA!$C:$C,$A27,GA!$X:$X)),"")</f>
        <v>1</v>
      </c>
      <c r="S27" s="177"/>
      <c r="T27" s="182"/>
      <c r="U27" s="183">
        <f t="shared" si="1"/>
        <v>0.72853255522007654</v>
      </c>
      <c r="V27" s="183" t="str">
        <f>IFERROR(_xlfn.XLOOKUP($A27,Raw_Data!$B:$B,Raw_Data!$KQ:$KQ),"")</f>
        <v/>
      </c>
      <c r="W27" s="184">
        <f t="shared" si="2"/>
        <v>0.21916687702870638</v>
      </c>
      <c r="X27" s="176">
        <f>IFERROR(_xlfn.XLOOKUP($A27,Raw_Data!$B:$B,Raw_Data!$KN:$KN),"")</f>
        <v>355743</v>
      </c>
      <c r="Y27" s="176">
        <f>IFERROR(_xlfn.XLOOKUP($A27,Raw_Data!$B:$B,Raw_Data!$KC:$KC),"")</f>
        <v>351160.1629999876</v>
      </c>
      <c r="Z27" s="176">
        <f>IFERROR(_xlfn.XLOOKUP($A27,Raw_Data!$B:$B,Raw_Data!$KD:$KD),"")</f>
        <v>54.826000000000931</v>
      </c>
      <c r="AA27" s="176">
        <f>IFERROR(_xlfn.XLOOKUP($A27,Raw_Data!$B:$B,Raw_Data!$KF:$KF),"")</f>
        <v>351105.3369999876</v>
      </c>
      <c r="AB27" s="176">
        <f>IFERROR(_xlfn.XLOOKUP($A27,Raw_Data!$B:$B,Raw_Data!I:I)/1000,"")</f>
        <v>66.75</v>
      </c>
      <c r="AC27" s="185">
        <f>IFERROR(_xlfn.XLOOKUP($D27,'Modelling New'!$D:$D,'Modelling New'!$P:$P),"")</f>
        <v>6.8866666666666667</v>
      </c>
      <c r="AD27" s="176">
        <f>IFERROR(_xlfn.XLOOKUP($D27,'Modelling New'!$D:$D,'Modelling New'!$T:$T)*1000,"")</f>
        <v>349842.08946517232</v>
      </c>
      <c r="AE27" s="186">
        <f>IFERROR(_xlfn.XLOOKUP($D27,'Modelling New'!$D:$D,'Modelling New'!$O:$O),"")</f>
        <v>0.76099043046437598</v>
      </c>
      <c r="AF27" s="186">
        <f>IFERROR(_xlfn.XLOOKUP($D27,'Modelling New'!$D:$D,'Modelling New'!$W:$W),"")</f>
        <v>0.21836197629713899</v>
      </c>
      <c r="AG27" s="186">
        <f>IFERROR(_xlfn.XLOOKUP($D27,'Modelling New'!$D:$D,'Modelling New'!$AE:$AE),"")</f>
        <v>0.995</v>
      </c>
      <c r="AH27" s="186">
        <f>IFERROR(_xlfn.XLOOKUP($D27,'Modelling New'!$D:$D,'Modelling New'!$AF:$AF),"")</f>
        <v>0.995</v>
      </c>
      <c r="AI27" s="177"/>
      <c r="AJ27" s="177"/>
      <c r="AK27" s="238"/>
      <c r="AL27" s="238"/>
      <c r="AM27" s="238"/>
      <c r="AN27" s="187"/>
      <c r="AO27" s="184"/>
      <c r="AP27" s="184"/>
      <c r="AQ27" s="184"/>
      <c r="AR27" s="176">
        <f>IFERROR(_xlfn.XLOOKUP($D26,'Modelling New'!$D:$D,'Modelling New'!$N:$N),"")</f>
        <v>66.754999999999995</v>
      </c>
      <c r="AS27" s="176"/>
    </row>
    <row r="28" spans="1:45" x14ac:dyDescent="0.25">
      <c r="A28" s="175">
        <f t="shared" si="3"/>
        <v>45771</v>
      </c>
      <c r="B28" s="176">
        <f>YEAR(Table13[[#This Row],[Date]])+IF(MONTH(Table13[[#This Row],[Date]])&gt;=4,1,0)</f>
        <v>2026</v>
      </c>
      <c r="C28" s="177">
        <f>YEAR(Table13[[#This Row],[Date]])</f>
        <v>2025</v>
      </c>
      <c r="D28" s="178">
        <f>Table13[[#This Row],[Date]]-DAY(Table13[[#This Row],[Date]])+1</f>
        <v>45748</v>
      </c>
      <c r="E28" s="177">
        <f t="shared" si="0"/>
        <v>30</v>
      </c>
      <c r="F28" s="179">
        <f>IFERROR(_xlfn.XLOOKUP($A28,Raw_Data!$B:$B,Raw_Data!$KG:$KG),"")</f>
        <v>11.999999999999998</v>
      </c>
      <c r="G28" s="180">
        <f>IFERROR(_xlfn.XLOOKUP($A28,Raw_Data!$B:$B,Raw_Data!KH:KH),"")</f>
        <v>0</v>
      </c>
      <c r="H28" s="180"/>
      <c r="I28" s="180">
        <f>IFERROR(_xlfn.XLOOKUP($A28,Raw_Data!$B:$B,Raw_Data!$KI:$KI),"")</f>
        <v>7.18</v>
      </c>
      <c r="J28" s="180"/>
      <c r="K28" s="180">
        <f>IFERROR(_xlfn.XLOOKUP($A28,Raw_Data!$B:$B,Raw_Data!KJ:KJ),"")</f>
        <v>36.5</v>
      </c>
      <c r="L28" s="180">
        <f>IFERROR(_xlfn.XLOOKUP($A28,Raw_Data!$B:$B,Raw_Data!KK:KK),"")</f>
        <v>45.1</v>
      </c>
      <c r="M28" s="180">
        <f>IFERROR(_xlfn.XLOOKUP($A28,Raw_Data!$B:$B,Raw_Data!KL:KL),"")</f>
        <v>2.4700000000000002</v>
      </c>
      <c r="N28" s="180">
        <f>IFERROR(_xlfn.XLOOKUP($A28,Raw_Data!$B:$B,Raw_Data!KM:KM),"")</f>
        <v>8.3000000000000007</v>
      </c>
      <c r="O28" s="181">
        <f>IFERROR(1-SUMIF(PA!$B:$B,$A28,PA!AJ:AJ)/($AA28+SUMIF(PA!$B:$B,$A28,PA!AJ:AJ)),"")</f>
        <v>0.99544112609552937</v>
      </c>
      <c r="P28" s="181"/>
      <c r="Q28" s="182"/>
      <c r="R28" s="181">
        <f>IFERROR(1-SUMIF(GA!$C:$C,$A28,GA!$X:$X)/($AA28+SUMIF(GA!$C:$C,$A28,GA!$X:$X)),"")</f>
        <v>1</v>
      </c>
      <c r="S28" s="177"/>
      <c r="T28" s="182"/>
      <c r="U28" s="183">
        <f t="shared" si="1"/>
        <v>0.72378711777416127</v>
      </c>
      <c r="V28" s="183" t="str">
        <f>IFERROR(_xlfn.XLOOKUP($A28,Raw_Data!$B:$B,Raw_Data!$KQ:$KQ),"")</f>
        <v/>
      </c>
      <c r="W28" s="184">
        <f t="shared" si="2"/>
        <v>0.2165329794007699</v>
      </c>
      <c r="X28" s="176">
        <f>IFERROR(_xlfn.XLOOKUP($A28,Raw_Data!$B:$B,Raw_Data!$KN:$KN),"")</f>
        <v>351420</v>
      </c>
      <c r="Y28" s="176">
        <f>IFERROR(_xlfn.XLOOKUP($A28,Raw_Data!$B:$B,Raw_Data!$KC:$KC),"")</f>
        <v>346943.96500003338</v>
      </c>
      <c r="Z28" s="176">
        <f>IFERROR(_xlfn.XLOOKUP($A28,Raw_Data!$B:$B,Raw_Data!$KD:$KD),"")</f>
        <v>58.131999999997788</v>
      </c>
      <c r="AA28" s="176">
        <f>IFERROR(_xlfn.XLOOKUP($A28,Raw_Data!$B:$B,Raw_Data!$KF:$KF),"")</f>
        <v>346885.8330000334</v>
      </c>
      <c r="AB28" s="176">
        <f>IFERROR(_xlfn.XLOOKUP($A28,Raw_Data!$B:$B,Raw_Data!I:I)/1000,"")</f>
        <v>66.75</v>
      </c>
      <c r="AC28" s="185">
        <f>IFERROR(_xlfn.XLOOKUP($D28,'Modelling New'!$D:$D,'Modelling New'!$P:$P),"")</f>
        <v>6.8866666666666667</v>
      </c>
      <c r="AD28" s="176">
        <f>IFERROR(_xlfn.XLOOKUP($D28,'Modelling New'!$D:$D,'Modelling New'!$T:$T)*1000,"")</f>
        <v>349842.08946517232</v>
      </c>
      <c r="AE28" s="186">
        <f>IFERROR(_xlfn.XLOOKUP($D28,'Modelling New'!$D:$D,'Modelling New'!$O:$O),"")</f>
        <v>0.76099043046437598</v>
      </c>
      <c r="AF28" s="186">
        <f>IFERROR(_xlfn.XLOOKUP($D28,'Modelling New'!$D:$D,'Modelling New'!$W:$W),"")</f>
        <v>0.21836197629713899</v>
      </c>
      <c r="AG28" s="186">
        <f>IFERROR(_xlfn.XLOOKUP($D28,'Modelling New'!$D:$D,'Modelling New'!$AE:$AE),"")</f>
        <v>0.995</v>
      </c>
      <c r="AH28" s="186">
        <f>IFERROR(_xlfn.XLOOKUP($D28,'Modelling New'!$D:$D,'Modelling New'!$AF:$AF),"")</f>
        <v>0.995</v>
      </c>
      <c r="AI28" s="177"/>
      <c r="AJ28" s="177"/>
      <c r="AK28" s="238"/>
      <c r="AL28" s="238"/>
      <c r="AM28" s="238"/>
      <c r="AN28" s="187"/>
      <c r="AO28" s="184"/>
      <c r="AP28" s="184"/>
      <c r="AQ28" s="184"/>
      <c r="AR28" s="176">
        <f>IFERROR(_xlfn.XLOOKUP($D27,'Modelling New'!$D:$D,'Modelling New'!$N:$N),"")</f>
        <v>66.754999999999995</v>
      </c>
      <c r="AS28" s="176"/>
    </row>
    <row r="29" spans="1:45" x14ac:dyDescent="0.25">
      <c r="A29" s="175">
        <f t="shared" si="3"/>
        <v>45772</v>
      </c>
      <c r="B29" s="176">
        <f>YEAR(Table13[[#This Row],[Date]])+IF(MONTH(Table13[[#This Row],[Date]])&gt;=4,1,0)</f>
        <v>2026</v>
      </c>
      <c r="C29" s="177">
        <f>YEAR(Table13[[#This Row],[Date]])</f>
        <v>2025</v>
      </c>
      <c r="D29" s="178">
        <f>Table13[[#This Row],[Date]]-DAY(Table13[[#This Row],[Date]])+1</f>
        <v>45748</v>
      </c>
      <c r="E29" s="177">
        <f t="shared" si="0"/>
        <v>30</v>
      </c>
      <c r="F29" s="179">
        <f>IFERROR(_xlfn.XLOOKUP($A29,Raw_Data!$B:$B,Raw_Data!$KG:$KG),"")</f>
        <v>11.999999999999998</v>
      </c>
      <c r="G29" s="180">
        <f>IFERROR(_xlfn.XLOOKUP($A29,Raw_Data!$B:$B,Raw_Data!KH:KH),"")</f>
        <v>0</v>
      </c>
      <c r="H29" s="180"/>
      <c r="I29" s="180">
        <f>IFERROR(_xlfn.XLOOKUP($A29,Raw_Data!$B:$B,Raw_Data!$KI:$KI),"")</f>
        <v>7.1</v>
      </c>
      <c r="J29" s="180"/>
      <c r="K29" s="180">
        <f>IFERROR(_xlfn.XLOOKUP($A29,Raw_Data!$B:$B,Raw_Data!KJ:KJ),"")</f>
        <v>37.08</v>
      </c>
      <c r="L29" s="180">
        <f>IFERROR(_xlfn.XLOOKUP($A29,Raw_Data!$B:$B,Raw_Data!KK:KK),"")</f>
        <v>47.02</v>
      </c>
      <c r="M29" s="180">
        <f>IFERROR(_xlfn.XLOOKUP($A29,Raw_Data!$B:$B,Raw_Data!KL:KL),"")</f>
        <v>1.4</v>
      </c>
      <c r="N29" s="180">
        <f>IFERROR(_xlfn.XLOOKUP($A29,Raw_Data!$B:$B,Raw_Data!KM:KM),"")</f>
        <v>6.5</v>
      </c>
      <c r="O29" s="181">
        <f>IFERROR(1-SUMIF(PA!$B:$B,$A29,PA!AJ:AJ)/($AA29+SUMIF(PA!$B:$B,$A29,PA!AJ:AJ)),"")</f>
        <v>0.99466600253673476</v>
      </c>
      <c r="P29" s="181"/>
      <c r="Q29" s="182"/>
      <c r="R29" s="181">
        <f>IFERROR(1-SUMIF(GA!$C:$C,$A29,GA!$X:$X)/($AA29+SUMIF(GA!$C:$C,$A29,GA!$X:$X)),"")</f>
        <v>1</v>
      </c>
      <c r="S29" s="177"/>
      <c r="T29" s="182"/>
      <c r="U29" s="183">
        <f t="shared" si="1"/>
        <v>0.6954001962336156</v>
      </c>
      <c r="V29" s="183" t="str">
        <f>IFERROR(_xlfn.XLOOKUP($A29,Raw_Data!$B:$B,Raw_Data!$KQ:$KQ),"")</f>
        <v/>
      </c>
      <c r="W29" s="184">
        <f t="shared" si="2"/>
        <v>0.2057225580524446</v>
      </c>
      <c r="X29" s="176">
        <f>IFERROR(_xlfn.XLOOKUP($A29,Raw_Data!$B:$B,Raw_Data!$KN:$KN),"")</f>
        <v>335649</v>
      </c>
      <c r="Y29" s="176">
        <f>IFERROR(_xlfn.XLOOKUP($A29,Raw_Data!$B:$B,Raw_Data!$KC:$KC),"")</f>
        <v>329619.25800001621</v>
      </c>
      <c r="Z29" s="176">
        <f>IFERROR(_xlfn.XLOOKUP($A29,Raw_Data!$B:$B,Raw_Data!$KD:$KD),"")</f>
        <v>51.720000000001164</v>
      </c>
      <c r="AA29" s="176">
        <f>IFERROR(_xlfn.XLOOKUP($A29,Raw_Data!$B:$B,Raw_Data!$KF:$KF),"")</f>
        <v>329567.53800001624</v>
      </c>
      <c r="AB29" s="176">
        <f>IFERROR(_xlfn.XLOOKUP($A29,Raw_Data!$B:$B,Raw_Data!I:I)/1000,"")</f>
        <v>66.75</v>
      </c>
      <c r="AC29" s="185">
        <f>IFERROR(_xlfn.XLOOKUP($D29,'Modelling New'!$D:$D,'Modelling New'!$P:$P),"")</f>
        <v>6.8866666666666667</v>
      </c>
      <c r="AD29" s="176">
        <f>IFERROR(_xlfn.XLOOKUP($D29,'Modelling New'!$D:$D,'Modelling New'!$T:$T)*1000,"")</f>
        <v>349842.08946517232</v>
      </c>
      <c r="AE29" s="186">
        <f>IFERROR(_xlfn.XLOOKUP($D29,'Modelling New'!$D:$D,'Modelling New'!$O:$O),"")</f>
        <v>0.76099043046437598</v>
      </c>
      <c r="AF29" s="186">
        <f>IFERROR(_xlfn.XLOOKUP($D29,'Modelling New'!$D:$D,'Modelling New'!$W:$W),"")</f>
        <v>0.21836197629713899</v>
      </c>
      <c r="AG29" s="186">
        <f>IFERROR(_xlfn.XLOOKUP($D29,'Modelling New'!$D:$D,'Modelling New'!$AE:$AE),"")</f>
        <v>0.995</v>
      </c>
      <c r="AH29" s="186">
        <f>IFERROR(_xlfn.XLOOKUP($D29,'Modelling New'!$D:$D,'Modelling New'!$AF:$AF),"")</f>
        <v>0.995</v>
      </c>
      <c r="AI29" s="177"/>
      <c r="AJ29" s="177"/>
      <c r="AK29" s="238"/>
      <c r="AL29" s="238"/>
      <c r="AM29" s="238"/>
      <c r="AN29" s="187"/>
      <c r="AO29" s="184"/>
      <c r="AP29" s="184"/>
      <c r="AQ29" s="184"/>
      <c r="AR29" s="176">
        <f>IFERROR(_xlfn.XLOOKUP($D28,'Modelling New'!$D:$D,'Modelling New'!$N:$N),"")</f>
        <v>66.754999999999995</v>
      </c>
      <c r="AS29" s="176"/>
    </row>
    <row r="30" spans="1:45" x14ac:dyDescent="0.25">
      <c r="A30" s="175">
        <f t="shared" si="3"/>
        <v>45773</v>
      </c>
      <c r="B30" s="176">
        <f>YEAR(Table13[[#This Row],[Date]])+IF(MONTH(Table13[[#This Row],[Date]])&gt;=4,1,0)</f>
        <v>2026</v>
      </c>
      <c r="C30" s="177">
        <f>YEAR(Table13[[#This Row],[Date]])</f>
        <v>2025</v>
      </c>
      <c r="D30" s="178">
        <f>Table13[[#This Row],[Date]]-DAY(Table13[[#This Row],[Date]])+1</f>
        <v>45748</v>
      </c>
      <c r="E30" s="177">
        <f t="shared" si="0"/>
        <v>30</v>
      </c>
      <c r="F30" s="179">
        <f>IFERROR(_xlfn.XLOOKUP($A30,Raw_Data!$B:$B,Raw_Data!$KG:$KG),"")</f>
        <v>11.999999999999998</v>
      </c>
      <c r="G30" s="180">
        <f>IFERROR(_xlfn.XLOOKUP($A30,Raw_Data!$B:$B,Raw_Data!KH:KH),"")</f>
        <v>0</v>
      </c>
      <c r="H30" s="180"/>
      <c r="I30" s="180">
        <f>IFERROR(_xlfn.XLOOKUP($A30,Raw_Data!$B:$B,Raw_Data!$KI:$KI),"")</f>
        <v>5.34</v>
      </c>
      <c r="J30" s="180"/>
      <c r="K30" s="180">
        <f>IFERROR(_xlfn.XLOOKUP($A30,Raw_Data!$B:$B,Raw_Data!KJ:KJ),"")</f>
        <v>36.9</v>
      </c>
      <c r="L30" s="180">
        <f>IFERROR(_xlfn.XLOOKUP($A30,Raw_Data!$B:$B,Raw_Data!KK:KK),"")</f>
        <v>43.37</v>
      </c>
      <c r="M30" s="180">
        <f>IFERROR(_xlfn.XLOOKUP($A30,Raw_Data!$B:$B,Raw_Data!KL:KL),"")</f>
        <v>1.8</v>
      </c>
      <c r="N30" s="180">
        <f>IFERROR(_xlfn.XLOOKUP($A30,Raw_Data!$B:$B,Raw_Data!KM:KM),"")</f>
        <v>9.9</v>
      </c>
      <c r="O30" s="181">
        <f>IFERROR(1-SUMIF(PA!$B:$B,$A30,PA!AJ:AJ)/($AA30+SUMIF(PA!$B:$B,$A30,PA!AJ:AJ)),"")</f>
        <v>1</v>
      </c>
      <c r="P30" s="181"/>
      <c r="Q30" s="182"/>
      <c r="R30" s="181">
        <f>IFERROR(1-SUMIF(GA!$C:$C,$A30,GA!$X:$X)/($AA30+SUMIF(GA!$C:$C,$A30,GA!$X:$X)),"")</f>
        <v>1</v>
      </c>
      <c r="S30" s="177"/>
      <c r="T30" s="182"/>
      <c r="U30" s="183">
        <f t="shared" si="1"/>
        <v>0.73103630293583644</v>
      </c>
      <c r="V30" s="183" t="str">
        <f>IFERROR(_xlfn.XLOOKUP($A30,Raw_Data!$B:$B,Raw_Data!$KQ:$KQ),"")</f>
        <v/>
      </c>
      <c r="W30" s="184">
        <f t="shared" si="2"/>
        <v>0.16265557740322362</v>
      </c>
      <c r="X30" s="176">
        <f>IFERROR(_xlfn.XLOOKUP($A30,Raw_Data!$B:$B,Raw_Data!$KN:$KN),"")</f>
        <v>266123</v>
      </c>
      <c r="Y30" s="176">
        <f>IFERROR(_xlfn.XLOOKUP($A30,Raw_Data!$B:$B,Raw_Data!$KC:$KC),"")</f>
        <v>260616.09999996424</v>
      </c>
      <c r="Z30" s="176">
        <f>IFERROR(_xlfn.XLOOKUP($A30,Raw_Data!$B:$B,Raw_Data!$KD:$KD),"")</f>
        <v>41.865000000005239</v>
      </c>
      <c r="AA30" s="176">
        <f>IFERROR(_xlfn.XLOOKUP($A30,Raw_Data!$B:$B,Raw_Data!$KF:$KF),"")</f>
        <v>260574.23499996425</v>
      </c>
      <c r="AB30" s="176">
        <f>IFERROR(_xlfn.XLOOKUP($A30,Raw_Data!$B:$B,Raw_Data!I:I)/1000,"")</f>
        <v>66.75</v>
      </c>
      <c r="AC30" s="185">
        <f>IFERROR(_xlfn.XLOOKUP($D30,'Modelling New'!$D:$D,'Modelling New'!$P:$P),"")</f>
        <v>6.8866666666666667</v>
      </c>
      <c r="AD30" s="176">
        <f>IFERROR(_xlfn.XLOOKUP($D30,'Modelling New'!$D:$D,'Modelling New'!$T:$T)*1000,"")</f>
        <v>349842.08946517232</v>
      </c>
      <c r="AE30" s="186">
        <f>IFERROR(_xlfn.XLOOKUP($D30,'Modelling New'!$D:$D,'Modelling New'!$O:$O),"")</f>
        <v>0.76099043046437598</v>
      </c>
      <c r="AF30" s="186">
        <f>IFERROR(_xlfn.XLOOKUP($D30,'Modelling New'!$D:$D,'Modelling New'!$W:$W),"")</f>
        <v>0.21836197629713899</v>
      </c>
      <c r="AG30" s="186">
        <f>IFERROR(_xlfn.XLOOKUP($D30,'Modelling New'!$D:$D,'Modelling New'!$AE:$AE),"")</f>
        <v>0.995</v>
      </c>
      <c r="AH30" s="186">
        <f>IFERROR(_xlfn.XLOOKUP($D30,'Modelling New'!$D:$D,'Modelling New'!$AF:$AF),"")</f>
        <v>0.995</v>
      </c>
      <c r="AI30" s="177"/>
      <c r="AJ30" s="177"/>
      <c r="AK30" s="238"/>
      <c r="AL30" s="238"/>
      <c r="AM30" s="238"/>
      <c r="AN30" s="187"/>
      <c r="AO30" s="184"/>
      <c r="AP30" s="184"/>
      <c r="AQ30" s="184"/>
      <c r="AR30" s="176">
        <f>IFERROR(_xlfn.XLOOKUP($D29,'Modelling New'!$D:$D,'Modelling New'!$N:$N),"")</f>
        <v>66.754999999999995</v>
      </c>
      <c r="AS30" s="176"/>
    </row>
    <row r="31" spans="1:45" x14ac:dyDescent="0.25">
      <c r="A31" s="175">
        <f t="shared" si="3"/>
        <v>45774</v>
      </c>
      <c r="B31" s="176">
        <f>YEAR(Table13[[#This Row],[Date]])+IF(MONTH(Table13[[#This Row],[Date]])&gt;=4,1,0)</f>
        <v>2026</v>
      </c>
      <c r="C31" s="177">
        <f>YEAR(Table13[[#This Row],[Date]])</f>
        <v>2025</v>
      </c>
      <c r="D31" s="178">
        <f>Table13[[#This Row],[Date]]-DAY(Table13[[#This Row],[Date]])+1</f>
        <v>45748</v>
      </c>
      <c r="E31" s="177">
        <f t="shared" ref="E31:E94" si="4">DAY(EOMONTH(A31,0))</f>
        <v>30</v>
      </c>
      <c r="F31" s="179">
        <f>IFERROR(_xlfn.XLOOKUP($A31,Raw_Data!$B:$B,Raw_Data!$KG:$KG),"")</f>
        <v>11.999999999999998</v>
      </c>
      <c r="G31" s="180">
        <f>IFERROR(_xlfn.XLOOKUP($A31,Raw_Data!$B:$B,Raw_Data!KH:KH),"")</f>
        <v>0</v>
      </c>
      <c r="H31" s="180"/>
      <c r="I31" s="180">
        <f>IFERROR(_xlfn.XLOOKUP($A31,Raw_Data!$B:$B,Raw_Data!$KI:$KI),"")</f>
        <v>5.5</v>
      </c>
      <c r="J31" s="180"/>
      <c r="K31" s="180">
        <f>IFERROR(_xlfn.XLOOKUP($A31,Raw_Data!$B:$B,Raw_Data!KJ:KJ),"")</f>
        <v>38</v>
      </c>
      <c r="L31" s="180">
        <f>IFERROR(_xlfn.XLOOKUP($A31,Raw_Data!$B:$B,Raw_Data!KK:KK),"")</f>
        <v>45.8</v>
      </c>
      <c r="M31" s="180">
        <f>IFERROR(_xlfn.XLOOKUP($A31,Raw_Data!$B:$B,Raw_Data!KL:KL),"")</f>
        <v>1.9</v>
      </c>
      <c r="N31" s="180">
        <f>IFERROR(_xlfn.XLOOKUP($A31,Raw_Data!$B:$B,Raw_Data!KM:KM),"")</f>
        <v>6.1</v>
      </c>
      <c r="O31" s="181">
        <f>IFERROR(1-SUMIF(PA!$B:$B,$A31,PA!AJ:AJ)/($AA31+SUMIF(PA!$B:$B,$A31,PA!AJ:AJ)),"")</f>
        <v>0.94925326555560208</v>
      </c>
      <c r="P31" s="181"/>
      <c r="Q31" s="182"/>
      <c r="R31" s="181">
        <f>IFERROR(1-SUMIF(GA!$C:$C,$A31,GA!$X:$X)/($AA31+SUMIF(GA!$C:$C,$A31,GA!$X:$X)),"")</f>
        <v>1</v>
      </c>
      <c r="S31" s="177"/>
      <c r="T31" s="182"/>
      <c r="U31" s="183">
        <f t="shared" ref="U31:U94" si="5">IFERROR(AA31/I31/AB31/1000,"")</f>
        <v>0.73166772352741805</v>
      </c>
      <c r="V31" s="183" t="str">
        <f>IFERROR(_xlfn.XLOOKUP($A31,Raw_Data!$B:$B,Raw_Data!$KQ:$KQ),"")</f>
        <v/>
      </c>
      <c r="W31" s="184">
        <f t="shared" ref="W31:W94" si="6">IFERROR(AA31/(24*AB31*1000),"")</f>
        <v>0.16767385330836665</v>
      </c>
      <c r="X31" s="176">
        <f>IFERROR(_xlfn.XLOOKUP($A31,Raw_Data!$B:$B,Raw_Data!$KN:$KN),"")</f>
        <v>274076</v>
      </c>
      <c r="Y31" s="176">
        <f>IFERROR(_xlfn.XLOOKUP($A31,Raw_Data!$B:$B,Raw_Data!$KC:$KC),"")</f>
        <v>268672.38400000334</v>
      </c>
      <c r="Z31" s="176">
        <f>IFERROR(_xlfn.XLOOKUP($A31,Raw_Data!$B:$B,Raw_Data!$KD:$KD),"")</f>
        <v>58.870999999999185</v>
      </c>
      <c r="AA31" s="176">
        <f>IFERROR(_xlfn.XLOOKUP($A31,Raw_Data!$B:$B,Raw_Data!$KF:$KF),"")</f>
        <v>268613.51300000335</v>
      </c>
      <c r="AB31" s="176">
        <f>IFERROR(_xlfn.XLOOKUP($A31,Raw_Data!$B:$B,Raw_Data!I:I)/1000,"")</f>
        <v>66.75</v>
      </c>
      <c r="AC31" s="185">
        <f>IFERROR(_xlfn.XLOOKUP($D31,'Modelling New'!$D:$D,'Modelling New'!$P:$P),"")</f>
        <v>6.8866666666666667</v>
      </c>
      <c r="AD31" s="176">
        <f>IFERROR(_xlfn.XLOOKUP($D31,'Modelling New'!$D:$D,'Modelling New'!$T:$T)*1000,"")</f>
        <v>349842.08946517232</v>
      </c>
      <c r="AE31" s="186">
        <f>IFERROR(_xlfn.XLOOKUP($D31,'Modelling New'!$D:$D,'Modelling New'!$O:$O),"")</f>
        <v>0.76099043046437598</v>
      </c>
      <c r="AF31" s="186">
        <f>IFERROR(_xlfn.XLOOKUP($D31,'Modelling New'!$D:$D,'Modelling New'!$W:$W),"")</f>
        <v>0.21836197629713899</v>
      </c>
      <c r="AG31" s="186">
        <f>IFERROR(_xlfn.XLOOKUP($D31,'Modelling New'!$D:$D,'Modelling New'!$AE:$AE),"")</f>
        <v>0.995</v>
      </c>
      <c r="AH31" s="186">
        <f>IFERROR(_xlfn.XLOOKUP($D31,'Modelling New'!$D:$D,'Modelling New'!$AF:$AF),"")</f>
        <v>0.995</v>
      </c>
      <c r="AI31" s="177"/>
      <c r="AJ31" s="177"/>
      <c r="AK31" s="238"/>
      <c r="AL31" s="238"/>
      <c r="AM31" s="238"/>
      <c r="AN31" s="187"/>
      <c r="AO31" s="184"/>
      <c r="AP31" s="184"/>
      <c r="AQ31" s="184"/>
      <c r="AR31" s="176">
        <f>IFERROR(_xlfn.XLOOKUP($D30,'Modelling New'!$D:$D,'Modelling New'!$N:$N),"")</f>
        <v>66.754999999999995</v>
      </c>
      <c r="AS31" s="176"/>
    </row>
    <row r="32" spans="1:45" x14ac:dyDescent="0.25">
      <c r="A32" s="175">
        <f t="shared" si="3"/>
        <v>45775</v>
      </c>
      <c r="B32" s="176">
        <f>YEAR(Table13[[#This Row],[Date]])+IF(MONTH(Table13[[#This Row],[Date]])&gt;=4,1,0)</f>
        <v>2026</v>
      </c>
      <c r="C32" s="177">
        <f>YEAR(Table13[[#This Row],[Date]])</f>
        <v>2025</v>
      </c>
      <c r="D32" s="178">
        <f>Table13[[#This Row],[Date]]-DAY(Table13[[#This Row],[Date]])+1</f>
        <v>45748</v>
      </c>
      <c r="E32" s="177">
        <f t="shared" si="4"/>
        <v>30</v>
      </c>
      <c r="F32" s="179">
        <f>IFERROR(_xlfn.XLOOKUP($A32,Raw_Data!$B:$B,Raw_Data!$KG:$KG),"")</f>
        <v>11.999999999999998</v>
      </c>
      <c r="G32" s="180">
        <f>IFERROR(_xlfn.XLOOKUP($A32,Raw_Data!$B:$B,Raw_Data!KH:KH),"")</f>
        <v>0</v>
      </c>
      <c r="H32" s="180"/>
      <c r="I32" s="180">
        <f>IFERROR(_xlfn.XLOOKUP($A32,Raw_Data!$B:$B,Raw_Data!$KI:$KI),"")</f>
        <v>6.2</v>
      </c>
      <c r="J32" s="180"/>
      <c r="K32" s="180">
        <f>IFERROR(_xlfn.XLOOKUP($A32,Raw_Data!$B:$B,Raw_Data!KJ:KJ),"")</f>
        <v>38.9724</v>
      </c>
      <c r="L32" s="180">
        <f>IFERROR(_xlfn.XLOOKUP($A32,Raw_Data!$B:$B,Raw_Data!KK:KK),"")</f>
        <v>45.833799999999997</v>
      </c>
      <c r="M32" s="180">
        <f>IFERROR(_xlfn.XLOOKUP($A32,Raw_Data!$B:$B,Raw_Data!KL:KL),"")</f>
        <v>2.2648999999999999</v>
      </c>
      <c r="N32" s="180">
        <f>IFERROR(_xlfn.XLOOKUP($A32,Raw_Data!$B:$B,Raw_Data!KM:KM),"")</f>
        <v>5.9</v>
      </c>
      <c r="O32" s="181">
        <f>IFERROR(1-SUMIF(PA!$B:$B,$A32,PA!AJ:AJ)/($AA32+SUMIF(PA!$B:$B,$A32,PA!AJ:AJ)),"")</f>
        <v>0.9991549714786514</v>
      </c>
      <c r="P32" s="181"/>
      <c r="Q32" s="182"/>
      <c r="R32" s="181">
        <f>IFERROR(1-SUMIF(GA!$C:$C,$A32,GA!$X:$X)/($AA32+SUMIF(GA!$C:$C,$A32,GA!$X:$X)),"")</f>
        <v>1</v>
      </c>
      <c r="S32" s="177"/>
      <c r="T32" s="182"/>
      <c r="U32" s="183">
        <f t="shared" si="5"/>
        <v>0.737807807176459</v>
      </c>
      <c r="V32" s="183" t="str">
        <f>IFERROR(_xlfn.XLOOKUP($A32,Raw_Data!$B:$B,Raw_Data!$KQ:$KQ),"")</f>
        <v/>
      </c>
      <c r="W32" s="184">
        <f t="shared" si="6"/>
        <v>0.19060035018725194</v>
      </c>
      <c r="X32" s="176">
        <f>IFERROR(_xlfn.XLOOKUP($A32,Raw_Data!$B:$B,Raw_Data!$KN:$KN),"")</f>
        <v>306127.9000000002</v>
      </c>
      <c r="Y32" s="176">
        <f>IFERROR(_xlfn.XLOOKUP($A32,Raw_Data!$B:$B,Raw_Data!$KC:$KC),"")</f>
        <v>305402.76099997759</v>
      </c>
      <c r="Z32" s="176">
        <f>IFERROR(_xlfn.XLOOKUP($A32,Raw_Data!$B:$B,Raw_Data!$KD:$KD),"")</f>
        <v>61</v>
      </c>
      <c r="AA32" s="176">
        <f>IFERROR(_xlfn.XLOOKUP($A32,Raw_Data!$B:$B,Raw_Data!$KF:$KF),"")</f>
        <v>305341.76099997759</v>
      </c>
      <c r="AB32" s="176">
        <f>IFERROR(_xlfn.XLOOKUP($A32,Raw_Data!$B:$B,Raw_Data!I:I)/1000,"")</f>
        <v>66.75</v>
      </c>
      <c r="AC32" s="185">
        <f>IFERROR(_xlfn.XLOOKUP($D32,'Modelling New'!$D:$D,'Modelling New'!$P:$P),"")</f>
        <v>6.8866666666666667</v>
      </c>
      <c r="AD32" s="176">
        <f>IFERROR(_xlfn.XLOOKUP($D32,'Modelling New'!$D:$D,'Modelling New'!$T:$T)*1000,"")</f>
        <v>349842.08946517232</v>
      </c>
      <c r="AE32" s="186">
        <f>IFERROR(_xlfn.XLOOKUP($D32,'Modelling New'!$D:$D,'Modelling New'!$O:$O),"")</f>
        <v>0.76099043046437598</v>
      </c>
      <c r="AF32" s="186">
        <f>IFERROR(_xlfn.XLOOKUP($D32,'Modelling New'!$D:$D,'Modelling New'!$W:$W),"")</f>
        <v>0.21836197629713899</v>
      </c>
      <c r="AG32" s="186">
        <f>IFERROR(_xlfn.XLOOKUP($D32,'Modelling New'!$D:$D,'Modelling New'!$AE:$AE),"")</f>
        <v>0.995</v>
      </c>
      <c r="AH32" s="186">
        <f>IFERROR(_xlfn.XLOOKUP($D32,'Modelling New'!$D:$D,'Modelling New'!$AF:$AF),"")</f>
        <v>0.995</v>
      </c>
      <c r="AI32" s="177"/>
      <c r="AJ32" s="177"/>
      <c r="AK32" s="238"/>
      <c r="AL32" s="238"/>
      <c r="AM32" s="238"/>
      <c r="AN32" s="187"/>
      <c r="AO32" s="184"/>
      <c r="AP32" s="184"/>
      <c r="AQ32" s="184"/>
      <c r="AR32" s="176">
        <f>IFERROR(_xlfn.XLOOKUP($D31,'Modelling New'!$D:$D,'Modelling New'!$N:$N),"")</f>
        <v>66.754999999999995</v>
      </c>
      <c r="AS32" s="176"/>
    </row>
    <row r="33" spans="1:45" x14ac:dyDescent="0.25">
      <c r="A33" s="175">
        <f t="shared" si="3"/>
        <v>45776</v>
      </c>
      <c r="B33" s="176">
        <f>YEAR(Table13[[#This Row],[Date]])+IF(MONTH(Table13[[#This Row],[Date]])&gt;=4,1,0)</f>
        <v>2026</v>
      </c>
      <c r="C33" s="177">
        <f>YEAR(Table13[[#This Row],[Date]])</f>
        <v>2025</v>
      </c>
      <c r="D33" s="178">
        <f>Table13[[#This Row],[Date]]-DAY(Table13[[#This Row],[Date]])+1</f>
        <v>45748</v>
      </c>
      <c r="E33" s="177">
        <f t="shared" si="4"/>
        <v>30</v>
      </c>
      <c r="F33" s="179">
        <f>IFERROR(_xlfn.XLOOKUP($A33,Raw_Data!$B:$B,Raw_Data!$KG:$KG),"")</f>
        <v>11.999999999999998</v>
      </c>
      <c r="G33" s="180">
        <f>IFERROR(_xlfn.XLOOKUP($A33,Raw_Data!$B:$B,Raw_Data!KH:KH),"")</f>
        <v>0</v>
      </c>
      <c r="H33" s="180"/>
      <c r="I33" s="180">
        <f>IFERROR(_xlfn.XLOOKUP($A33,Raw_Data!$B:$B,Raw_Data!$KI:$KI),"")</f>
        <v>6.38</v>
      </c>
      <c r="J33" s="180"/>
      <c r="K33" s="180">
        <f>IFERROR(_xlfn.XLOOKUP($A33,Raw_Data!$B:$B,Raw_Data!KJ:KJ),"")</f>
        <v>40</v>
      </c>
      <c r="L33" s="180">
        <f>IFERROR(_xlfn.XLOOKUP($A33,Raw_Data!$B:$B,Raw_Data!KK:KK),"")</f>
        <v>46</v>
      </c>
      <c r="M33" s="180">
        <f>IFERROR(_xlfn.XLOOKUP($A33,Raw_Data!$B:$B,Raw_Data!KL:KL),"")</f>
        <v>2.1</v>
      </c>
      <c r="N33" s="180">
        <f>IFERROR(_xlfn.XLOOKUP($A33,Raw_Data!$B:$B,Raw_Data!KM:KM),"")</f>
        <v>5.0999999999999996</v>
      </c>
      <c r="O33" s="181">
        <f>IFERROR(1-SUMIF(PA!$B:$B,$A33,PA!AJ:AJ)/($AA33+SUMIF(PA!$B:$B,$A33,PA!AJ:AJ)),"")</f>
        <v>0.99902136977270584</v>
      </c>
      <c r="P33" s="181"/>
      <c r="Q33" s="182"/>
      <c r="R33" s="181">
        <f>IFERROR(1-SUMIF(GA!$C:$C,$A33,GA!$X:$X)/($AA33+SUMIF(GA!$C:$C,$A33,GA!$X:$X)),"")</f>
        <v>1</v>
      </c>
      <c r="S33" s="177"/>
      <c r="T33" s="182"/>
      <c r="U33" s="183">
        <f t="shared" si="5"/>
        <v>0.7379191239007763</v>
      </c>
      <c r="V33" s="183" t="str">
        <f>IFERROR(_xlfn.XLOOKUP($A33,Raw_Data!$B:$B,Raw_Data!$KQ:$KQ),"")</f>
        <v/>
      </c>
      <c r="W33" s="184">
        <f t="shared" si="6"/>
        <v>0.19616350043695635</v>
      </c>
      <c r="X33" s="176">
        <f>IFERROR(_xlfn.XLOOKUP($A33,Raw_Data!$B:$B,Raw_Data!$KN:$KN),"")</f>
        <v>316090</v>
      </c>
      <c r="Y33" s="176">
        <f>IFERROR(_xlfn.XLOOKUP($A33,Raw_Data!$B:$B,Raw_Data!$KC:$KC),"")</f>
        <v>314307.9307000041</v>
      </c>
      <c r="Z33" s="176">
        <f>IFERROR(_xlfn.XLOOKUP($A33,Raw_Data!$B:$B,Raw_Data!$KD:$KD),"")</f>
        <v>54.002999999996973</v>
      </c>
      <c r="AA33" s="176">
        <f>IFERROR(_xlfn.XLOOKUP($A33,Raw_Data!$B:$B,Raw_Data!$KF:$KF),"")</f>
        <v>314253.92770000407</v>
      </c>
      <c r="AB33" s="176">
        <f>IFERROR(_xlfn.XLOOKUP($A33,Raw_Data!$B:$B,Raw_Data!I:I)/1000,"")</f>
        <v>66.75</v>
      </c>
      <c r="AC33" s="185">
        <f>IFERROR(_xlfn.XLOOKUP($D33,'Modelling New'!$D:$D,'Modelling New'!$P:$P),"")</f>
        <v>6.8866666666666667</v>
      </c>
      <c r="AD33" s="176">
        <f>IFERROR(_xlfn.XLOOKUP($D33,'Modelling New'!$D:$D,'Modelling New'!$T:$T)*1000,"")</f>
        <v>349842.08946517232</v>
      </c>
      <c r="AE33" s="186">
        <f>IFERROR(_xlfn.XLOOKUP($D33,'Modelling New'!$D:$D,'Modelling New'!$O:$O),"")</f>
        <v>0.76099043046437598</v>
      </c>
      <c r="AF33" s="186">
        <f>IFERROR(_xlfn.XLOOKUP($D33,'Modelling New'!$D:$D,'Modelling New'!$W:$W),"")</f>
        <v>0.21836197629713899</v>
      </c>
      <c r="AG33" s="186">
        <f>IFERROR(_xlfn.XLOOKUP($D33,'Modelling New'!$D:$D,'Modelling New'!$AE:$AE),"")</f>
        <v>0.995</v>
      </c>
      <c r="AH33" s="186">
        <f>IFERROR(_xlfn.XLOOKUP($D33,'Modelling New'!$D:$D,'Modelling New'!$AF:$AF),"")</f>
        <v>0.995</v>
      </c>
      <c r="AI33" s="177"/>
      <c r="AJ33" s="177"/>
      <c r="AK33" s="238"/>
      <c r="AL33" s="238"/>
      <c r="AM33" s="238"/>
      <c r="AN33" s="187"/>
      <c r="AO33" s="184"/>
      <c r="AP33" s="184"/>
      <c r="AQ33" s="184"/>
      <c r="AR33" s="176">
        <f>IFERROR(_xlfn.XLOOKUP($D32,'Modelling New'!$D:$D,'Modelling New'!$N:$N),"")</f>
        <v>66.754999999999995</v>
      </c>
      <c r="AS33" s="176"/>
    </row>
    <row r="34" spans="1:45" x14ac:dyDescent="0.25">
      <c r="A34" s="175">
        <f t="shared" si="3"/>
        <v>45777</v>
      </c>
      <c r="B34" s="176">
        <f>YEAR(Table13[[#This Row],[Date]])+IF(MONTH(Table13[[#This Row],[Date]])&gt;=4,1,0)</f>
        <v>2026</v>
      </c>
      <c r="C34" s="177">
        <f>YEAR(Table13[[#This Row],[Date]])</f>
        <v>2025</v>
      </c>
      <c r="D34" s="178">
        <f>Table13[[#This Row],[Date]]-DAY(Table13[[#This Row],[Date]])+1</f>
        <v>45748</v>
      </c>
      <c r="E34" s="177">
        <f t="shared" si="4"/>
        <v>30</v>
      </c>
      <c r="F34" s="179">
        <f>IFERROR(_xlfn.XLOOKUP($A34,Raw_Data!$B:$B,Raw_Data!$KG:$KG),"")</f>
        <v>11.999999999999998</v>
      </c>
      <c r="G34" s="180">
        <f>IFERROR(_xlfn.XLOOKUP($A34,Raw_Data!$B:$B,Raw_Data!KH:KH),"")</f>
        <v>0</v>
      </c>
      <c r="H34" s="180"/>
      <c r="I34" s="180">
        <f>IFERROR(_xlfn.XLOOKUP($A34,Raw_Data!$B:$B,Raw_Data!$KI:$KI),"")</f>
        <v>6.29</v>
      </c>
      <c r="J34" s="180"/>
      <c r="K34" s="180">
        <f>IFERROR(_xlfn.XLOOKUP($A34,Raw_Data!$B:$B,Raw_Data!KJ:KJ),"")</f>
        <v>35.51</v>
      </c>
      <c r="L34" s="180">
        <f>IFERROR(_xlfn.XLOOKUP($A34,Raw_Data!$B:$B,Raw_Data!KK:KK),"")</f>
        <v>43.47</v>
      </c>
      <c r="M34" s="180">
        <f>IFERROR(_xlfn.XLOOKUP($A34,Raw_Data!$B:$B,Raw_Data!KL:KL),"")</f>
        <v>2.54</v>
      </c>
      <c r="N34" s="180">
        <f>IFERROR(_xlfn.XLOOKUP($A34,Raw_Data!$B:$B,Raw_Data!KM:KM),"")</f>
        <v>6.7</v>
      </c>
      <c r="O34" s="181">
        <f>IFERROR(1-SUMIF(PA!$B:$B,$A34,PA!AJ:AJ)/($AA34+SUMIF(PA!$B:$B,$A34,PA!AJ:AJ)),"")</f>
        <v>0.99897996706242109</v>
      </c>
      <c r="P34" s="181"/>
      <c r="Q34" s="182"/>
      <c r="R34" s="181">
        <f>IFERROR(1-SUMIF(GA!$C:$C,$A34,GA!$X:$X)/($AA34+SUMIF(GA!$C:$C,$A34,GA!$X:$X)),"")</f>
        <v>1</v>
      </c>
      <c r="S34" s="177"/>
      <c r="T34" s="182"/>
      <c r="U34" s="183">
        <f t="shared" si="5"/>
        <v>0.73111432879024607</v>
      </c>
      <c r="V34" s="183" t="str">
        <f>IFERROR(_xlfn.XLOOKUP($A34,Raw_Data!$B:$B,Raw_Data!$KQ:$KQ),"")</f>
        <v/>
      </c>
      <c r="W34" s="184">
        <f t="shared" si="6"/>
        <v>0.19161288033711033</v>
      </c>
      <c r="X34" s="176">
        <f>IFERROR(_xlfn.XLOOKUP($A34,Raw_Data!$B:$B,Raw_Data!$KN:$KN),"")</f>
        <v>308834.89999999985</v>
      </c>
      <c r="Y34" s="176">
        <f>IFERROR(_xlfn.XLOOKUP($A34,Raw_Data!$B:$B,Raw_Data!$KC:$KC),"")</f>
        <v>307007.44930005074</v>
      </c>
      <c r="Z34" s="176">
        <f>IFERROR(_xlfn.XLOOKUP($A34,Raw_Data!$B:$B,Raw_Data!$KD:$KD),"")</f>
        <v>43.615000000005239</v>
      </c>
      <c r="AA34" s="176">
        <f>IFERROR(_xlfn.XLOOKUP($A34,Raw_Data!$B:$B,Raw_Data!$KF:$KF),"")</f>
        <v>306963.83430005074</v>
      </c>
      <c r="AB34" s="176">
        <f>IFERROR(_xlfn.XLOOKUP($A34,Raw_Data!$B:$B,Raw_Data!I:I)/1000,"")</f>
        <v>66.75</v>
      </c>
      <c r="AC34" s="185">
        <f>IFERROR(_xlfn.XLOOKUP($D34,'Modelling New'!$D:$D,'Modelling New'!$P:$P),"")</f>
        <v>6.8866666666666667</v>
      </c>
      <c r="AD34" s="176">
        <f>IFERROR(_xlfn.XLOOKUP($D34,'Modelling New'!$D:$D,'Modelling New'!$T:$T)*1000,"")</f>
        <v>349842.08946517232</v>
      </c>
      <c r="AE34" s="186">
        <f>IFERROR(_xlfn.XLOOKUP($D34,'Modelling New'!$D:$D,'Modelling New'!$O:$O),"")</f>
        <v>0.76099043046437598</v>
      </c>
      <c r="AF34" s="186">
        <f>IFERROR(_xlfn.XLOOKUP($D34,'Modelling New'!$D:$D,'Modelling New'!$W:$W),"")</f>
        <v>0.21836197629713899</v>
      </c>
      <c r="AG34" s="186">
        <f>IFERROR(_xlfn.XLOOKUP($D34,'Modelling New'!$D:$D,'Modelling New'!$AE:$AE),"")</f>
        <v>0.995</v>
      </c>
      <c r="AH34" s="186">
        <f>IFERROR(_xlfn.XLOOKUP($D34,'Modelling New'!$D:$D,'Modelling New'!$AF:$AF),"")</f>
        <v>0.995</v>
      </c>
      <c r="AI34" s="177"/>
      <c r="AJ34" s="177"/>
      <c r="AK34" s="238"/>
      <c r="AL34" s="238"/>
      <c r="AM34" s="238"/>
      <c r="AN34" s="187"/>
      <c r="AO34" s="184"/>
      <c r="AP34" s="184"/>
      <c r="AQ34" s="184"/>
      <c r="AR34" s="176">
        <f>IFERROR(_xlfn.XLOOKUP($D33,'Modelling New'!$D:$D,'Modelling New'!$N:$N),"")</f>
        <v>66.754999999999995</v>
      </c>
      <c r="AS34" s="176"/>
    </row>
    <row r="35" spans="1:45" x14ac:dyDescent="0.25">
      <c r="A35" s="175">
        <f t="shared" si="3"/>
        <v>45778</v>
      </c>
      <c r="B35" s="176">
        <f>YEAR(Table13[[#This Row],[Date]])+IF(MONTH(Table13[[#This Row],[Date]])&gt;=4,1,0)</f>
        <v>2026</v>
      </c>
      <c r="C35" s="177">
        <f>YEAR(Table13[[#This Row],[Date]])</f>
        <v>2025</v>
      </c>
      <c r="D35" s="178">
        <f>Table13[[#This Row],[Date]]-DAY(Table13[[#This Row],[Date]])+1</f>
        <v>45778</v>
      </c>
      <c r="E35" s="177">
        <f t="shared" si="4"/>
        <v>31</v>
      </c>
      <c r="F35" s="179">
        <f>IFERROR(_xlfn.XLOOKUP($A35,Raw_Data!$B:$B,Raw_Data!$KG:$KG),"")</f>
        <v>11.999999999999998</v>
      </c>
      <c r="G35" s="180">
        <f>IFERROR(_xlfn.XLOOKUP($A35,Raw_Data!$B:$B,Raw_Data!KH:KH),"")</f>
        <v>0</v>
      </c>
      <c r="H35" s="180"/>
      <c r="I35" s="180">
        <f>IFERROR(_xlfn.XLOOKUP($A35,Raw_Data!$B:$B,Raw_Data!$KI:$KI),"")</f>
        <v>6.3</v>
      </c>
      <c r="J35" s="180"/>
      <c r="K35" s="180">
        <f>IFERROR(_xlfn.XLOOKUP($A35,Raw_Data!$B:$B,Raw_Data!KJ:KJ),"")</f>
        <v>34.64</v>
      </c>
      <c r="L35" s="180">
        <f>IFERROR(_xlfn.XLOOKUP($A35,Raw_Data!$B:$B,Raw_Data!KK:KK),"")</f>
        <v>42.7</v>
      </c>
      <c r="M35" s="180">
        <f>IFERROR(_xlfn.XLOOKUP($A35,Raw_Data!$B:$B,Raw_Data!KL:KL),"")</f>
        <v>3.78</v>
      </c>
      <c r="N35" s="180">
        <f>IFERROR(_xlfn.XLOOKUP($A35,Raw_Data!$B:$B,Raw_Data!KM:KM),"")</f>
        <v>7.5</v>
      </c>
      <c r="O35" s="181">
        <f>IFERROR(1-SUMIF(PA!$B:$B,$A35,PA!AJ:AJ)/($AA35+SUMIF(PA!$B:$B,$A35,PA!AJ:AJ)),"")</f>
        <v>1</v>
      </c>
      <c r="P35" s="181"/>
      <c r="Q35" s="182"/>
      <c r="R35" s="181">
        <f>IFERROR(1-SUMIF(GA!$C:$C,$A35,GA!$X:$X)/($AA35+SUMIF(GA!$C:$C,$A35,GA!$X:$X)),"")</f>
        <v>1</v>
      </c>
      <c r="S35" s="177"/>
      <c r="T35" s="182"/>
      <c r="U35" s="183">
        <f t="shared" si="5"/>
        <v>0.70464514594849414</v>
      </c>
      <c r="V35" s="183" t="str">
        <f>IFERROR(_xlfn.XLOOKUP($A35,Raw_Data!$B:$B,Raw_Data!$KQ:$KQ),"")</f>
        <v/>
      </c>
      <c r="W35" s="184">
        <f t="shared" si="6"/>
        <v>0.18496935081147969</v>
      </c>
      <c r="X35" s="176">
        <f>IFERROR(_xlfn.XLOOKUP($A35,Raw_Data!$B:$B,Raw_Data!$KN:$KN),"")</f>
        <v>298175.1999999999</v>
      </c>
      <c r="Y35" s="176">
        <f>IFERROR(_xlfn.XLOOKUP($A35,Raw_Data!$B:$B,Raw_Data!$KC:$KC),"")</f>
        <v>296343.88499999046</v>
      </c>
      <c r="Z35" s="176">
        <f>IFERROR(_xlfn.XLOOKUP($A35,Raw_Data!$B:$B,Raw_Data!$KD:$KD),"")</f>
        <v>22.985000000000582</v>
      </c>
      <c r="AA35" s="176">
        <f>IFERROR(_xlfn.XLOOKUP($A35,Raw_Data!$B:$B,Raw_Data!$KF:$KF),"")</f>
        <v>296320.89999999048</v>
      </c>
      <c r="AB35" s="176">
        <f>IFERROR(_xlfn.XLOOKUP($A35,Raw_Data!$B:$B,Raw_Data!I:I)/1000,"")</f>
        <v>66.75</v>
      </c>
      <c r="AC35" s="185">
        <f>IFERROR(_xlfn.XLOOKUP($D35,'Modelling New'!$D:$D,'Modelling New'!$P:$P),"")</f>
        <v>6.1838709677419352</v>
      </c>
      <c r="AD35" s="176">
        <f>IFERROR(_xlfn.XLOOKUP($D35,'Modelling New'!$D:$D,'Modelling New'!$T:$T)*1000,"")</f>
        <v>312542.47707899293</v>
      </c>
      <c r="AE35" s="186">
        <f>IFERROR(_xlfn.XLOOKUP($D35,'Modelling New'!$D:$D,'Modelling New'!$O:$O),"")</f>
        <v>0.75712019519744966</v>
      </c>
      <c r="AF35" s="186">
        <f>IFERROR(_xlfn.XLOOKUP($D35,'Modelling New'!$D:$D,'Modelling New'!$W:$W),"")</f>
        <v>0.19508056642385899</v>
      </c>
      <c r="AG35" s="186">
        <f>IFERROR(_xlfn.XLOOKUP($D35,'Modelling New'!$D:$D,'Modelling New'!$AE:$AE),"")</f>
        <v>0.995</v>
      </c>
      <c r="AH35" s="186">
        <f>IFERROR(_xlfn.XLOOKUP($D35,'Modelling New'!$D:$D,'Modelling New'!$AF:$AF),"")</f>
        <v>0.995</v>
      </c>
      <c r="AI35" s="177"/>
      <c r="AJ35" s="177"/>
      <c r="AK35" s="238"/>
      <c r="AL35" s="238"/>
      <c r="AM35" s="238"/>
      <c r="AN35" s="187"/>
      <c r="AO35" s="184"/>
      <c r="AP35" s="184"/>
      <c r="AQ35" s="184"/>
      <c r="AR35" s="176">
        <f>IFERROR(_xlfn.XLOOKUP($D34,'Modelling New'!$D:$D,'Modelling New'!$N:$N),"")</f>
        <v>66.754999999999995</v>
      </c>
      <c r="AS35" s="176"/>
    </row>
    <row r="36" spans="1:45" x14ac:dyDescent="0.25">
      <c r="A36" s="175">
        <f t="shared" si="3"/>
        <v>45779</v>
      </c>
      <c r="B36" s="176">
        <f>YEAR(Table13[[#This Row],[Date]])+IF(MONTH(Table13[[#This Row],[Date]])&gt;=4,1,0)</f>
        <v>2026</v>
      </c>
      <c r="C36" s="177">
        <f>YEAR(Table13[[#This Row],[Date]])</f>
        <v>2025</v>
      </c>
      <c r="D36" s="178">
        <f>Table13[[#This Row],[Date]]-DAY(Table13[[#This Row],[Date]])+1</f>
        <v>45778</v>
      </c>
      <c r="E36" s="177">
        <f t="shared" si="4"/>
        <v>31</v>
      </c>
      <c r="F36" s="179">
        <f>IFERROR(_xlfn.XLOOKUP($A36,Raw_Data!$B:$B,Raw_Data!$KG:$KG),"")</f>
        <v>11.999999999999998</v>
      </c>
      <c r="G36" s="180">
        <f>IFERROR(_xlfn.XLOOKUP($A36,Raw_Data!$B:$B,Raw_Data!KH:KH),"")</f>
        <v>0</v>
      </c>
      <c r="H36" s="180"/>
      <c r="I36" s="180">
        <f>IFERROR(_xlfn.XLOOKUP($A36,Raw_Data!$B:$B,Raw_Data!$KI:$KI),"")</f>
        <v>4.16</v>
      </c>
      <c r="J36" s="180"/>
      <c r="K36" s="180">
        <f>IFERROR(_xlfn.XLOOKUP($A36,Raw_Data!$B:$B,Raw_Data!KJ:KJ),"")</f>
        <v>26.59</v>
      </c>
      <c r="L36" s="180">
        <f>IFERROR(_xlfn.XLOOKUP($A36,Raw_Data!$B:$B,Raw_Data!KK:KK),"")</f>
        <v>33.020000000000003</v>
      </c>
      <c r="M36" s="180">
        <f>IFERROR(_xlfn.XLOOKUP($A36,Raw_Data!$B:$B,Raw_Data!KL:KL),"")</f>
        <v>3.03</v>
      </c>
      <c r="N36" s="180">
        <f>IFERROR(_xlfn.XLOOKUP($A36,Raw_Data!$B:$B,Raw_Data!KM:KM),"")</f>
        <v>7.7</v>
      </c>
      <c r="O36" s="181">
        <f>IFERROR(1-SUMIF(PA!$B:$B,$A36,PA!AJ:AJ)/($AA36+SUMIF(PA!$B:$B,$A36,PA!AJ:AJ)),"")</f>
        <v>0.99954630597829541</v>
      </c>
      <c r="P36" s="181"/>
      <c r="Q36" s="182"/>
      <c r="R36" s="181">
        <f>IFERROR(1-SUMIF(GA!$C:$C,$A36,GA!$X:$X)/($AA36+SUMIF(GA!$C:$C,$A36,GA!$X:$X)),"")</f>
        <v>1</v>
      </c>
      <c r="S36" s="177"/>
      <c r="T36" s="182"/>
      <c r="U36" s="183">
        <f t="shared" si="5"/>
        <v>0.75680302146357059</v>
      </c>
      <c r="V36" s="183" t="str">
        <f>IFERROR(_xlfn.XLOOKUP($A36,Raw_Data!$B:$B,Raw_Data!$KQ:$KQ),"")</f>
        <v/>
      </c>
      <c r="W36" s="184">
        <f t="shared" si="6"/>
        <v>0.13117919038701892</v>
      </c>
      <c r="X36" s="176">
        <f>IFERROR(_xlfn.XLOOKUP($A36,Raw_Data!$B:$B,Raw_Data!$KN:$KN),"")</f>
        <v>211112.00000000009</v>
      </c>
      <c r="Y36" s="176">
        <f>IFERROR(_xlfn.XLOOKUP($A36,Raw_Data!$B:$B,Raw_Data!$KC:$KC),"")</f>
        <v>210230.58300000429</v>
      </c>
      <c r="Z36" s="176">
        <f>IFERROR(_xlfn.XLOOKUP($A36,Raw_Data!$B:$B,Raw_Data!$KD:$KD),"")</f>
        <v>81.519999999989523</v>
      </c>
      <c r="AA36" s="176">
        <f>IFERROR(_xlfn.XLOOKUP($A36,Raw_Data!$B:$B,Raw_Data!$KF:$KF),"")</f>
        <v>210149.0630000043</v>
      </c>
      <c r="AB36" s="176">
        <f>IFERROR(_xlfn.XLOOKUP($A36,Raw_Data!$B:$B,Raw_Data!I:I)/1000,"")</f>
        <v>66.75</v>
      </c>
      <c r="AC36" s="185">
        <f>IFERROR(_xlfn.XLOOKUP($D36,'Modelling New'!$D:$D,'Modelling New'!$P:$P),"")</f>
        <v>6.1838709677419352</v>
      </c>
      <c r="AD36" s="176">
        <f>IFERROR(_xlfn.XLOOKUP($D36,'Modelling New'!$D:$D,'Modelling New'!$T:$T)*1000,"")</f>
        <v>312542.47707899293</v>
      </c>
      <c r="AE36" s="186">
        <f>IFERROR(_xlfn.XLOOKUP($D36,'Modelling New'!$D:$D,'Modelling New'!$O:$O),"")</f>
        <v>0.75712019519744966</v>
      </c>
      <c r="AF36" s="186">
        <f>IFERROR(_xlfn.XLOOKUP($D36,'Modelling New'!$D:$D,'Modelling New'!$W:$W),"")</f>
        <v>0.19508056642385899</v>
      </c>
      <c r="AG36" s="186">
        <f>IFERROR(_xlfn.XLOOKUP($D36,'Modelling New'!$D:$D,'Modelling New'!$AE:$AE),"")</f>
        <v>0.995</v>
      </c>
      <c r="AH36" s="186">
        <f>IFERROR(_xlfn.XLOOKUP($D36,'Modelling New'!$D:$D,'Modelling New'!$AF:$AF),"")</f>
        <v>0.995</v>
      </c>
      <c r="AI36" s="177"/>
      <c r="AJ36" s="177"/>
      <c r="AK36" s="238"/>
      <c r="AL36" s="238"/>
      <c r="AM36" s="238"/>
      <c r="AN36" s="187"/>
      <c r="AO36" s="184"/>
      <c r="AP36" s="184"/>
      <c r="AQ36" s="184"/>
      <c r="AR36" s="176">
        <f>IFERROR(_xlfn.XLOOKUP($D35,'Modelling New'!$D:$D,'Modelling New'!$N:$N),"")</f>
        <v>66.754999999999995</v>
      </c>
      <c r="AS36" s="176"/>
    </row>
    <row r="37" spans="1:45" x14ac:dyDescent="0.25">
      <c r="A37" s="175">
        <f t="shared" si="3"/>
        <v>45780</v>
      </c>
      <c r="B37" s="176">
        <f>YEAR(Table13[[#This Row],[Date]])+IF(MONTH(Table13[[#This Row],[Date]])&gt;=4,1,0)</f>
        <v>2026</v>
      </c>
      <c r="C37" s="177">
        <f>YEAR(Table13[[#This Row],[Date]])</f>
        <v>2025</v>
      </c>
      <c r="D37" s="178">
        <f>Table13[[#This Row],[Date]]-DAY(Table13[[#This Row],[Date]])+1</f>
        <v>45778</v>
      </c>
      <c r="E37" s="177">
        <f t="shared" si="4"/>
        <v>31</v>
      </c>
      <c r="F37" s="179">
        <f>IFERROR(_xlfn.XLOOKUP($A37,Raw_Data!$B:$B,Raw_Data!$KG:$KG),"")</f>
        <v>11.999999999999998</v>
      </c>
      <c r="G37" s="180">
        <f>IFERROR(_xlfn.XLOOKUP($A37,Raw_Data!$B:$B,Raw_Data!KH:KH),"")</f>
        <v>0</v>
      </c>
      <c r="H37" s="180"/>
      <c r="I37" s="180">
        <f>IFERROR(_xlfn.XLOOKUP($A37,Raw_Data!$B:$B,Raw_Data!$KI:$KI),"")</f>
        <v>5.85</v>
      </c>
      <c r="J37" s="180"/>
      <c r="K37" s="180">
        <f>IFERROR(_xlfn.XLOOKUP($A37,Raw_Data!$B:$B,Raw_Data!KJ:KJ),"")</f>
        <v>27</v>
      </c>
      <c r="L37" s="180">
        <f>IFERROR(_xlfn.XLOOKUP($A37,Raw_Data!$B:$B,Raw_Data!KK:KK),"")</f>
        <v>31</v>
      </c>
      <c r="M37" s="180">
        <f>IFERROR(_xlfn.XLOOKUP($A37,Raw_Data!$B:$B,Raw_Data!KL:KL),"")</f>
        <v>3.1</v>
      </c>
      <c r="N37" s="180">
        <f>IFERROR(_xlfn.XLOOKUP($A37,Raw_Data!$B:$B,Raw_Data!KM:KM),"")</f>
        <v>5.9</v>
      </c>
      <c r="O37" s="181">
        <f>IFERROR(1-SUMIF(PA!$B:$B,$A37,PA!AJ:AJ)/($AA37+SUMIF(PA!$B:$B,$A37,PA!AJ:AJ)),"")</f>
        <v>0.9984262420637281</v>
      </c>
      <c r="P37" s="181"/>
      <c r="Q37" s="182"/>
      <c r="R37" s="181">
        <f>IFERROR(1-SUMIF(GA!$C:$C,$A37,GA!$X:$X)/($AA37+SUMIF(GA!$C:$C,$A37,GA!$X:$X)),"")</f>
        <v>1</v>
      </c>
      <c r="S37" s="177"/>
      <c r="T37" s="182"/>
      <c r="U37" s="183">
        <f t="shared" si="5"/>
        <v>0.7498241710681588</v>
      </c>
      <c r="V37" s="183" t="str">
        <f>IFERROR(_xlfn.XLOOKUP($A37,Raw_Data!$B:$B,Raw_Data!$KQ:$KQ),"")</f>
        <v/>
      </c>
      <c r="W37" s="184">
        <f t="shared" si="6"/>
        <v>0.18276964169786367</v>
      </c>
      <c r="X37" s="176">
        <f>IFERROR(_xlfn.XLOOKUP($A37,Raw_Data!$B:$B,Raw_Data!$KN:$KN),"")</f>
        <v>293329.99999999994</v>
      </c>
      <c r="Y37" s="176">
        <f>IFERROR(_xlfn.XLOOKUP($A37,Raw_Data!$B:$B,Raw_Data!$KC:$KC),"")</f>
        <v>292856.13599997759</v>
      </c>
      <c r="Z37" s="176">
        <f>IFERROR(_xlfn.XLOOKUP($A37,Raw_Data!$B:$B,Raw_Data!$KD:$KD),"")</f>
        <v>59.169999999998254</v>
      </c>
      <c r="AA37" s="176">
        <f>IFERROR(_xlfn.XLOOKUP($A37,Raw_Data!$B:$B,Raw_Data!$KF:$KF),"")</f>
        <v>292796.9659999776</v>
      </c>
      <c r="AB37" s="176">
        <f>IFERROR(_xlfn.XLOOKUP($A37,Raw_Data!$B:$B,Raw_Data!I:I)/1000,"")</f>
        <v>66.75</v>
      </c>
      <c r="AC37" s="185">
        <f>IFERROR(_xlfn.XLOOKUP($D37,'Modelling New'!$D:$D,'Modelling New'!$P:$P),"")</f>
        <v>6.1838709677419352</v>
      </c>
      <c r="AD37" s="176">
        <f>IFERROR(_xlfn.XLOOKUP($D37,'Modelling New'!$D:$D,'Modelling New'!$T:$T)*1000,"")</f>
        <v>312542.47707899293</v>
      </c>
      <c r="AE37" s="186">
        <f>IFERROR(_xlfn.XLOOKUP($D37,'Modelling New'!$D:$D,'Modelling New'!$O:$O),"")</f>
        <v>0.75712019519744966</v>
      </c>
      <c r="AF37" s="186">
        <f>IFERROR(_xlfn.XLOOKUP($D37,'Modelling New'!$D:$D,'Modelling New'!$W:$W),"")</f>
        <v>0.19508056642385899</v>
      </c>
      <c r="AG37" s="186">
        <f>IFERROR(_xlfn.XLOOKUP($D37,'Modelling New'!$D:$D,'Modelling New'!$AE:$AE),"")</f>
        <v>0.995</v>
      </c>
      <c r="AH37" s="186">
        <f>IFERROR(_xlfn.XLOOKUP($D37,'Modelling New'!$D:$D,'Modelling New'!$AF:$AF),"")</f>
        <v>0.995</v>
      </c>
      <c r="AI37" s="177"/>
      <c r="AJ37" s="177"/>
      <c r="AK37" s="238"/>
      <c r="AL37" s="238"/>
      <c r="AM37" s="238"/>
      <c r="AN37" s="187"/>
      <c r="AO37" s="184"/>
      <c r="AP37" s="184"/>
      <c r="AQ37" s="184"/>
      <c r="AR37" s="176">
        <f>IFERROR(_xlfn.XLOOKUP($D36,'Modelling New'!$D:$D,'Modelling New'!$N:$N),"")</f>
        <v>66.754999999999995</v>
      </c>
      <c r="AS37" s="176"/>
    </row>
    <row r="38" spans="1:45" x14ac:dyDescent="0.25">
      <c r="A38" s="175">
        <f t="shared" si="3"/>
        <v>45781</v>
      </c>
      <c r="B38" s="176">
        <f>YEAR(Table13[[#This Row],[Date]])+IF(MONTH(Table13[[#This Row],[Date]])&gt;=4,1,0)</f>
        <v>2026</v>
      </c>
      <c r="C38" s="177">
        <f>YEAR(Table13[[#This Row],[Date]])</f>
        <v>2025</v>
      </c>
      <c r="D38" s="178">
        <f>Table13[[#This Row],[Date]]-DAY(Table13[[#This Row],[Date]])+1</f>
        <v>45778</v>
      </c>
      <c r="E38" s="177">
        <f t="shared" si="4"/>
        <v>31</v>
      </c>
      <c r="F38" s="179">
        <f>IFERROR(_xlfn.XLOOKUP($A38,Raw_Data!$B:$B,Raw_Data!$KG:$KG),"")</f>
        <v>11.999999999999998</v>
      </c>
      <c r="G38" s="180">
        <f>IFERROR(_xlfn.XLOOKUP($A38,Raw_Data!$B:$B,Raw_Data!KH:KH),"")</f>
        <v>0</v>
      </c>
      <c r="H38" s="180"/>
      <c r="I38" s="180">
        <f>IFERROR(_xlfn.XLOOKUP($A38,Raw_Data!$B:$B,Raw_Data!$KI:$KI),"")</f>
        <v>6.49</v>
      </c>
      <c r="J38" s="180"/>
      <c r="K38" s="180">
        <f>IFERROR(_xlfn.XLOOKUP($A38,Raw_Data!$B:$B,Raw_Data!KJ:KJ),"")</f>
        <v>33.65</v>
      </c>
      <c r="L38" s="180">
        <f>IFERROR(_xlfn.XLOOKUP($A38,Raw_Data!$B:$B,Raw_Data!KK:KK),"")</f>
        <v>43.22</v>
      </c>
      <c r="M38" s="180">
        <f>IFERROR(_xlfn.XLOOKUP($A38,Raw_Data!$B:$B,Raw_Data!KL:KL),"")</f>
        <v>1.9</v>
      </c>
      <c r="N38" s="180">
        <f>IFERROR(_xlfn.XLOOKUP($A38,Raw_Data!$B:$B,Raw_Data!KM:KM),"")</f>
        <v>7.5</v>
      </c>
      <c r="O38" s="181">
        <f>IFERROR(1-SUMIF(PA!$B:$B,$A38,PA!AJ:AJ)/($AA38+SUMIF(PA!$B:$B,$A38,PA!AJ:AJ)),"")</f>
        <v>0.99869841730933551</v>
      </c>
      <c r="P38" s="181"/>
      <c r="Q38" s="182"/>
      <c r="R38" s="181">
        <f>IFERROR(1-SUMIF(GA!$C:$C,$A38,GA!$X:$X)/($AA38+SUMIF(GA!$C:$C,$A38,GA!$X:$X)),"")</f>
        <v>1</v>
      </c>
      <c r="S38" s="177"/>
      <c r="T38" s="182"/>
      <c r="U38" s="183">
        <f t="shared" si="5"/>
        <v>0.74047715009549853</v>
      </c>
      <c r="V38" s="183" t="str">
        <f>IFERROR(_xlfn.XLOOKUP($A38,Raw_Data!$B:$B,Raw_Data!$KQ:$KQ),"")</f>
        <v/>
      </c>
      <c r="W38" s="184">
        <f t="shared" si="6"/>
        <v>0.20023736267165773</v>
      </c>
      <c r="X38" s="176">
        <f>IFERROR(_xlfn.XLOOKUP($A38,Raw_Data!$B:$B,Raw_Data!$KN:$KN),"")</f>
        <v>322757</v>
      </c>
      <c r="Y38" s="176">
        <f>IFERROR(_xlfn.XLOOKUP($A38,Raw_Data!$B:$B,Raw_Data!$KC:$KC),"")</f>
        <v>320844.41699999571</v>
      </c>
      <c r="Z38" s="176">
        <f>IFERROR(_xlfn.XLOOKUP($A38,Raw_Data!$B:$B,Raw_Data!$KD:$KD),"")</f>
        <v>64.162000000011176</v>
      </c>
      <c r="AA38" s="176">
        <f>IFERROR(_xlfn.XLOOKUP($A38,Raw_Data!$B:$B,Raw_Data!$KF:$KF),"")</f>
        <v>320780.2549999957</v>
      </c>
      <c r="AB38" s="176">
        <f>IFERROR(_xlfn.XLOOKUP($A38,Raw_Data!$B:$B,Raw_Data!I:I)/1000,"")</f>
        <v>66.75</v>
      </c>
      <c r="AC38" s="185">
        <f>IFERROR(_xlfn.XLOOKUP($D38,'Modelling New'!$D:$D,'Modelling New'!$P:$P),"")</f>
        <v>6.1838709677419352</v>
      </c>
      <c r="AD38" s="176">
        <f>IFERROR(_xlfn.XLOOKUP($D38,'Modelling New'!$D:$D,'Modelling New'!$T:$T)*1000,"")</f>
        <v>312542.47707899293</v>
      </c>
      <c r="AE38" s="186">
        <f>IFERROR(_xlfn.XLOOKUP($D38,'Modelling New'!$D:$D,'Modelling New'!$O:$O),"")</f>
        <v>0.75712019519744966</v>
      </c>
      <c r="AF38" s="186">
        <f>IFERROR(_xlfn.XLOOKUP($D38,'Modelling New'!$D:$D,'Modelling New'!$W:$W),"")</f>
        <v>0.19508056642385899</v>
      </c>
      <c r="AG38" s="186">
        <f>IFERROR(_xlfn.XLOOKUP($D38,'Modelling New'!$D:$D,'Modelling New'!$AE:$AE),"")</f>
        <v>0.995</v>
      </c>
      <c r="AH38" s="186">
        <f>IFERROR(_xlfn.XLOOKUP($D38,'Modelling New'!$D:$D,'Modelling New'!$AF:$AF),"")</f>
        <v>0.995</v>
      </c>
      <c r="AI38" s="177"/>
      <c r="AJ38" s="177"/>
      <c r="AK38" s="238"/>
      <c r="AL38" s="238"/>
      <c r="AM38" s="238"/>
      <c r="AN38" s="187"/>
      <c r="AO38" s="184"/>
      <c r="AP38" s="184"/>
      <c r="AQ38" s="184"/>
      <c r="AR38" s="176">
        <f>IFERROR(_xlfn.XLOOKUP($D37,'Modelling New'!$D:$D,'Modelling New'!$N:$N),"")</f>
        <v>66.754999999999995</v>
      </c>
      <c r="AS38" s="176"/>
    </row>
    <row r="39" spans="1:45" x14ac:dyDescent="0.25">
      <c r="A39" s="175">
        <f t="shared" si="3"/>
        <v>45782</v>
      </c>
      <c r="B39" s="176">
        <f>YEAR(Table13[[#This Row],[Date]])+IF(MONTH(Table13[[#This Row],[Date]])&gt;=4,1,0)</f>
        <v>2026</v>
      </c>
      <c r="C39" s="177">
        <f>YEAR(Table13[[#This Row],[Date]])</f>
        <v>2025</v>
      </c>
      <c r="D39" s="178">
        <f>Table13[[#This Row],[Date]]-DAY(Table13[[#This Row],[Date]])+1</f>
        <v>45778</v>
      </c>
      <c r="E39" s="177">
        <f t="shared" si="4"/>
        <v>31</v>
      </c>
      <c r="F39" s="179">
        <f>IFERROR(_xlfn.XLOOKUP($A39,Raw_Data!$B:$B,Raw_Data!$KG:$KG),"")</f>
        <v>11.999999999999998</v>
      </c>
      <c r="G39" s="180">
        <f>IFERROR(_xlfn.XLOOKUP($A39,Raw_Data!$B:$B,Raw_Data!KH:KH),"")</f>
        <v>0</v>
      </c>
      <c r="H39" s="180"/>
      <c r="I39" s="180">
        <f>IFERROR(_xlfn.XLOOKUP($A39,Raw_Data!$B:$B,Raw_Data!$KI:$KI),"")</f>
        <v>4.1399999999999997</v>
      </c>
      <c r="J39" s="180"/>
      <c r="K39" s="180">
        <f>IFERROR(_xlfn.XLOOKUP($A39,Raw_Data!$B:$B,Raw_Data!KJ:KJ),"")</f>
        <v>27.91</v>
      </c>
      <c r="L39" s="180">
        <f>IFERROR(_xlfn.XLOOKUP($A39,Raw_Data!$B:$B,Raw_Data!KK:KK),"")</f>
        <v>34.01</v>
      </c>
      <c r="M39" s="180">
        <f>IFERROR(_xlfn.XLOOKUP($A39,Raw_Data!$B:$B,Raw_Data!KL:KL),"")</f>
        <v>2.69</v>
      </c>
      <c r="N39" s="180">
        <f>IFERROR(_xlfn.XLOOKUP($A39,Raw_Data!$B:$B,Raw_Data!KM:KM),"")</f>
        <v>9.1</v>
      </c>
      <c r="O39" s="181">
        <f>IFERROR(1-SUMIF(PA!$B:$B,$A39,PA!AJ:AJ)/($AA39+SUMIF(PA!$B:$B,$A39,PA!AJ:AJ)),"")</f>
        <v>0.9970976597083735</v>
      </c>
      <c r="P39" s="181"/>
      <c r="Q39" s="182"/>
      <c r="R39" s="181">
        <f>IFERROR(1-SUMIF(GA!$C:$C,$A39,GA!$X:$X)/($AA39+SUMIF(GA!$C:$C,$A39,GA!$X:$X)),"")</f>
        <v>1</v>
      </c>
      <c r="S39" s="177"/>
      <c r="T39" s="182"/>
      <c r="U39" s="183">
        <f t="shared" si="5"/>
        <v>0.7647434547395312</v>
      </c>
      <c r="V39" s="183" t="str">
        <f>IFERROR(_xlfn.XLOOKUP($A39,Raw_Data!$B:$B,Raw_Data!$KQ:$KQ),"")</f>
        <v/>
      </c>
      <c r="W39" s="184">
        <f t="shared" si="6"/>
        <v>0.13191824594256912</v>
      </c>
      <c r="X39" s="176">
        <f>IFERROR(_xlfn.XLOOKUP($A39,Raw_Data!$B:$B,Raw_Data!$KN:$KN),"")</f>
        <v>212087.70000000004</v>
      </c>
      <c r="Y39" s="176">
        <f>IFERROR(_xlfn.XLOOKUP($A39,Raw_Data!$B:$B,Raw_Data!$KC:$KC),"")</f>
        <v>211396.79199999571</v>
      </c>
      <c r="Z39" s="176">
        <f>IFERROR(_xlfn.XLOOKUP($A39,Raw_Data!$B:$B,Raw_Data!$KD:$KD),"")</f>
        <v>63.762000000002445</v>
      </c>
      <c r="AA39" s="176">
        <f>IFERROR(_xlfn.XLOOKUP($A39,Raw_Data!$B:$B,Raw_Data!$KF:$KF),"")</f>
        <v>211333.02999999572</v>
      </c>
      <c r="AB39" s="176">
        <f>IFERROR(_xlfn.XLOOKUP($A39,Raw_Data!$B:$B,Raw_Data!I:I)/1000,"")</f>
        <v>66.75</v>
      </c>
      <c r="AC39" s="185">
        <f>IFERROR(_xlfn.XLOOKUP($D39,'Modelling New'!$D:$D,'Modelling New'!$P:$P),"")</f>
        <v>6.1838709677419352</v>
      </c>
      <c r="AD39" s="176">
        <f>IFERROR(_xlfn.XLOOKUP($D39,'Modelling New'!$D:$D,'Modelling New'!$T:$T)*1000,"")</f>
        <v>312542.47707899293</v>
      </c>
      <c r="AE39" s="186">
        <f>IFERROR(_xlfn.XLOOKUP($D39,'Modelling New'!$D:$D,'Modelling New'!$O:$O),"")</f>
        <v>0.75712019519744966</v>
      </c>
      <c r="AF39" s="186">
        <f>IFERROR(_xlfn.XLOOKUP($D39,'Modelling New'!$D:$D,'Modelling New'!$W:$W),"")</f>
        <v>0.19508056642385899</v>
      </c>
      <c r="AG39" s="186">
        <f>IFERROR(_xlfn.XLOOKUP($D39,'Modelling New'!$D:$D,'Modelling New'!$AE:$AE),"")</f>
        <v>0.995</v>
      </c>
      <c r="AH39" s="186">
        <f>IFERROR(_xlfn.XLOOKUP($D39,'Modelling New'!$D:$D,'Modelling New'!$AF:$AF),"")</f>
        <v>0.995</v>
      </c>
      <c r="AI39" s="177"/>
      <c r="AJ39" s="177"/>
      <c r="AK39" s="238"/>
      <c r="AL39" s="238"/>
      <c r="AM39" s="238"/>
      <c r="AN39" s="187"/>
      <c r="AO39" s="184"/>
      <c r="AP39" s="184"/>
      <c r="AQ39" s="184"/>
      <c r="AR39" s="176">
        <f>IFERROR(_xlfn.XLOOKUP($D38,'Modelling New'!$D:$D,'Modelling New'!$N:$N),"")</f>
        <v>66.754999999999995</v>
      </c>
      <c r="AS39" s="176"/>
    </row>
    <row r="40" spans="1:45" x14ac:dyDescent="0.25">
      <c r="A40" s="175">
        <f t="shared" si="3"/>
        <v>45783</v>
      </c>
      <c r="B40" s="176">
        <f>YEAR(Table13[[#This Row],[Date]])+IF(MONTH(Table13[[#This Row],[Date]])&gt;=4,1,0)</f>
        <v>2026</v>
      </c>
      <c r="C40" s="177">
        <f>YEAR(Table13[[#This Row],[Date]])</f>
        <v>2025</v>
      </c>
      <c r="D40" s="178">
        <f>Table13[[#This Row],[Date]]-DAY(Table13[[#This Row],[Date]])+1</f>
        <v>45778</v>
      </c>
      <c r="E40" s="177">
        <f t="shared" si="4"/>
        <v>31</v>
      </c>
      <c r="F40" s="179">
        <f>IFERROR(_xlfn.XLOOKUP($A40,Raw_Data!$B:$B,Raw_Data!$KG:$KG),"")</f>
        <v>12.249999999999996</v>
      </c>
      <c r="G40" s="180">
        <f>IFERROR(_xlfn.XLOOKUP($A40,Raw_Data!$B:$B,Raw_Data!KH:KH),"")</f>
        <v>0</v>
      </c>
      <c r="H40" s="180"/>
      <c r="I40" s="180">
        <f>IFERROR(_xlfn.XLOOKUP($A40,Raw_Data!$B:$B,Raw_Data!$KI:$KI),"")</f>
        <v>6.31</v>
      </c>
      <c r="J40" s="180"/>
      <c r="K40" s="180">
        <f>IFERROR(_xlfn.XLOOKUP($A40,Raw_Data!$B:$B,Raw_Data!KJ:KJ),"")</f>
        <v>30.59</v>
      </c>
      <c r="L40" s="180">
        <f>IFERROR(_xlfn.XLOOKUP($A40,Raw_Data!$B:$B,Raw_Data!KK:KK),"")</f>
        <v>43.32</v>
      </c>
      <c r="M40" s="180">
        <f>IFERROR(_xlfn.XLOOKUP($A40,Raw_Data!$B:$B,Raw_Data!KL:KL),"")</f>
        <v>1.89</v>
      </c>
      <c r="N40" s="180">
        <f>IFERROR(_xlfn.XLOOKUP($A40,Raw_Data!$B:$B,Raw_Data!KM:KM),"")</f>
        <v>5.0999999999999996</v>
      </c>
      <c r="O40" s="181">
        <f>IFERROR(1-SUMIF(PA!$B:$B,$A40,PA!AJ:AJ)/($AA40+SUMIF(PA!$B:$B,$A40,PA!AJ:AJ)),"")</f>
        <v>0.99570349499740918</v>
      </c>
      <c r="P40" s="181"/>
      <c r="Q40" s="182"/>
      <c r="R40" s="181">
        <f>IFERROR(1-SUMIF(GA!$C:$C,$A40,GA!$X:$X)/($AA40+SUMIF(GA!$C:$C,$A40,GA!$X:$X)),"")</f>
        <v>1</v>
      </c>
      <c r="S40" s="177"/>
      <c r="T40" s="182"/>
      <c r="U40" s="183">
        <f t="shared" si="5"/>
        <v>0.75863262047646374</v>
      </c>
      <c r="V40" s="183" t="str">
        <f>IFERROR(_xlfn.XLOOKUP($A40,Raw_Data!$B:$B,Raw_Data!$KQ:$KQ),"")</f>
        <v/>
      </c>
      <c r="W40" s="184">
        <f t="shared" si="6"/>
        <v>0.19945715980027026</v>
      </c>
      <c r="X40" s="176">
        <f>IFERROR(_xlfn.XLOOKUP($A40,Raw_Data!$B:$B,Raw_Data!$KN:$KN),"")</f>
        <v>321279.50000000023</v>
      </c>
      <c r="Y40" s="176">
        <f>IFERROR(_xlfn.XLOOKUP($A40,Raw_Data!$B:$B,Raw_Data!$KC:$KC),"")</f>
        <v>319633.6780000329</v>
      </c>
      <c r="Z40" s="176">
        <f>IFERROR(_xlfn.XLOOKUP($A40,Raw_Data!$B:$B,Raw_Data!$KD:$KD),"")</f>
        <v>103.30799999998999</v>
      </c>
      <c r="AA40" s="176">
        <f>IFERROR(_xlfn.XLOOKUP($A40,Raw_Data!$B:$B,Raw_Data!$KF:$KF),"")</f>
        <v>319530.37000003294</v>
      </c>
      <c r="AB40" s="176">
        <f>IFERROR(_xlfn.XLOOKUP($A40,Raw_Data!$B:$B,Raw_Data!I:I)/1000,"")</f>
        <v>66.75</v>
      </c>
      <c r="AC40" s="185">
        <f>IFERROR(_xlfn.XLOOKUP($D40,'Modelling New'!$D:$D,'Modelling New'!$P:$P),"")</f>
        <v>6.1838709677419352</v>
      </c>
      <c r="AD40" s="176">
        <f>IFERROR(_xlfn.XLOOKUP($D40,'Modelling New'!$D:$D,'Modelling New'!$T:$T)*1000,"")</f>
        <v>312542.47707899293</v>
      </c>
      <c r="AE40" s="186">
        <f>IFERROR(_xlfn.XLOOKUP($D40,'Modelling New'!$D:$D,'Modelling New'!$O:$O),"")</f>
        <v>0.75712019519744966</v>
      </c>
      <c r="AF40" s="186">
        <f>IFERROR(_xlfn.XLOOKUP($D40,'Modelling New'!$D:$D,'Modelling New'!$W:$W),"")</f>
        <v>0.19508056642385899</v>
      </c>
      <c r="AG40" s="186">
        <f>IFERROR(_xlfn.XLOOKUP($D40,'Modelling New'!$D:$D,'Modelling New'!$AE:$AE),"")</f>
        <v>0.995</v>
      </c>
      <c r="AH40" s="186">
        <f>IFERROR(_xlfn.XLOOKUP($D40,'Modelling New'!$D:$D,'Modelling New'!$AF:$AF),"")</f>
        <v>0.995</v>
      </c>
      <c r="AI40" s="177"/>
      <c r="AJ40" s="177"/>
      <c r="AK40" s="238"/>
      <c r="AL40" s="238"/>
      <c r="AM40" s="238"/>
      <c r="AN40" s="187"/>
      <c r="AO40" s="184"/>
      <c r="AP40" s="184"/>
      <c r="AQ40" s="184"/>
      <c r="AR40" s="176">
        <f>IFERROR(_xlfn.XLOOKUP($D39,'Modelling New'!$D:$D,'Modelling New'!$N:$N),"")</f>
        <v>66.754999999999995</v>
      </c>
      <c r="AS40" s="176"/>
    </row>
    <row r="41" spans="1:45" x14ac:dyDescent="0.25">
      <c r="A41" s="175">
        <f t="shared" si="3"/>
        <v>45784</v>
      </c>
      <c r="B41" s="176">
        <f>YEAR(Table13[[#This Row],[Date]])+IF(MONTH(Table13[[#This Row],[Date]])&gt;=4,1,0)</f>
        <v>2026</v>
      </c>
      <c r="C41" s="177">
        <f>YEAR(Table13[[#This Row],[Date]])</f>
        <v>2025</v>
      </c>
      <c r="D41" s="178">
        <f>Table13[[#This Row],[Date]]-DAY(Table13[[#This Row],[Date]])+1</f>
        <v>45778</v>
      </c>
      <c r="E41" s="177">
        <f t="shared" si="4"/>
        <v>31</v>
      </c>
      <c r="F41" s="179">
        <f>IFERROR(_xlfn.XLOOKUP($A41,Raw_Data!$B:$B,Raw_Data!$KG:$KG),"")</f>
        <v>12.566666666666666</v>
      </c>
      <c r="G41" s="180">
        <f>IFERROR(_xlfn.XLOOKUP($A41,Raw_Data!$B:$B,Raw_Data!KH:KH),"")</f>
        <v>0</v>
      </c>
      <c r="H41" s="180"/>
      <c r="I41" s="180">
        <f>IFERROR(_xlfn.XLOOKUP($A41,Raw_Data!$B:$B,Raw_Data!$KI:$KI),"")</f>
        <v>5.46</v>
      </c>
      <c r="J41" s="180"/>
      <c r="K41" s="180">
        <f>IFERROR(_xlfn.XLOOKUP($A41,Raw_Data!$B:$B,Raw_Data!KJ:KJ),"")</f>
        <v>26.11</v>
      </c>
      <c r="L41" s="180">
        <f>IFERROR(_xlfn.XLOOKUP($A41,Raw_Data!$B:$B,Raw_Data!KK:KK),"")</f>
        <v>40.909999999999997</v>
      </c>
      <c r="M41" s="180">
        <f>IFERROR(_xlfn.XLOOKUP($A41,Raw_Data!$B:$B,Raw_Data!KL:KL),"")</f>
        <v>2.1</v>
      </c>
      <c r="N41" s="180">
        <f>IFERROR(_xlfn.XLOOKUP($A41,Raw_Data!$B:$B,Raw_Data!KM:KM),"")</f>
        <v>4.9000000000000004</v>
      </c>
      <c r="O41" s="181">
        <f>IFERROR(1-SUMIF(PA!$B:$B,$A41,PA!AJ:AJ)/($AA41+SUMIF(PA!$B:$B,$A41,PA!AJ:AJ)),"")</f>
        <v>0.73276027659634924</v>
      </c>
      <c r="P41" s="181"/>
      <c r="Q41" s="182"/>
      <c r="R41" s="181">
        <f>IFERROR(1-SUMIF(GA!$C:$C,$A41,GA!$X:$X)/($AA41+SUMIF(GA!$C:$C,$A41,GA!$X:$X)),"")</f>
        <v>1</v>
      </c>
      <c r="S41" s="177"/>
      <c r="T41" s="182"/>
      <c r="U41" s="183">
        <f t="shared" si="5"/>
        <v>0.55989590210039109</v>
      </c>
      <c r="V41" s="183" t="str">
        <f>IFERROR(_xlfn.XLOOKUP($A41,Raw_Data!$B:$B,Raw_Data!$KQ:$KQ),"")</f>
        <v/>
      </c>
      <c r="W41" s="184">
        <f t="shared" si="6"/>
        <v>0.127376317727839</v>
      </c>
      <c r="X41" s="176">
        <f>IFERROR(_xlfn.XLOOKUP($A41,Raw_Data!$B:$B,Raw_Data!$KN:$KN),"")</f>
        <v>213164.2000000001</v>
      </c>
      <c r="Y41" s="176">
        <f>IFERROR(_xlfn.XLOOKUP($A41,Raw_Data!$B:$B,Raw_Data!$KC:$KC),"")</f>
        <v>204058.97699999809</v>
      </c>
      <c r="Z41" s="176">
        <f>IFERROR(_xlfn.XLOOKUP($A41,Raw_Data!$B:$B,Raw_Data!$KD:$KD),"")</f>
        <v>2.1160000000090804</v>
      </c>
      <c r="AA41" s="176">
        <f>IFERROR(_xlfn.XLOOKUP($A41,Raw_Data!$B:$B,Raw_Data!$KF:$KF),"")</f>
        <v>204056.86099999808</v>
      </c>
      <c r="AB41" s="176">
        <f>IFERROR(_xlfn.XLOOKUP($A41,Raw_Data!$B:$B,Raw_Data!I:I)/1000,"")</f>
        <v>66.75</v>
      </c>
      <c r="AC41" s="185">
        <f>IFERROR(_xlfn.XLOOKUP($D41,'Modelling New'!$D:$D,'Modelling New'!$P:$P),"")</f>
        <v>6.1838709677419352</v>
      </c>
      <c r="AD41" s="176">
        <f>IFERROR(_xlfn.XLOOKUP($D41,'Modelling New'!$D:$D,'Modelling New'!$T:$T)*1000,"")</f>
        <v>312542.47707899293</v>
      </c>
      <c r="AE41" s="186">
        <f>IFERROR(_xlfn.XLOOKUP($D41,'Modelling New'!$D:$D,'Modelling New'!$O:$O),"")</f>
        <v>0.75712019519744966</v>
      </c>
      <c r="AF41" s="186">
        <f>IFERROR(_xlfn.XLOOKUP($D41,'Modelling New'!$D:$D,'Modelling New'!$W:$W),"")</f>
        <v>0.19508056642385899</v>
      </c>
      <c r="AG41" s="186">
        <f>IFERROR(_xlfn.XLOOKUP($D41,'Modelling New'!$D:$D,'Modelling New'!$AE:$AE),"")</f>
        <v>0.995</v>
      </c>
      <c r="AH41" s="186">
        <f>IFERROR(_xlfn.XLOOKUP($D41,'Modelling New'!$D:$D,'Modelling New'!$AF:$AF),"")</f>
        <v>0.995</v>
      </c>
      <c r="AI41" s="177"/>
      <c r="AJ41" s="177"/>
      <c r="AK41" s="238"/>
      <c r="AL41" s="238"/>
      <c r="AM41" s="238"/>
      <c r="AN41" s="187"/>
      <c r="AO41" s="184"/>
      <c r="AP41" s="184"/>
      <c r="AQ41" s="184"/>
      <c r="AR41" s="176">
        <f>IFERROR(_xlfn.XLOOKUP($D40,'Modelling New'!$D:$D,'Modelling New'!$N:$N),"")</f>
        <v>66.754999999999995</v>
      </c>
      <c r="AS41" s="176"/>
    </row>
    <row r="42" spans="1:45" x14ac:dyDescent="0.25">
      <c r="A42" s="175">
        <f t="shared" si="3"/>
        <v>45785</v>
      </c>
      <c r="B42" s="176">
        <f>YEAR(Table13[[#This Row],[Date]])+IF(MONTH(Table13[[#This Row],[Date]])&gt;=4,1,0)</f>
        <v>2026</v>
      </c>
      <c r="C42" s="177">
        <f>YEAR(Table13[[#This Row],[Date]])</f>
        <v>2025</v>
      </c>
      <c r="D42" s="178">
        <f>Table13[[#This Row],[Date]]-DAY(Table13[[#This Row],[Date]])+1</f>
        <v>45778</v>
      </c>
      <c r="E42" s="177">
        <f t="shared" si="4"/>
        <v>31</v>
      </c>
      <c r="F42" s="179">
        <f>IFERROR(_xlfn.XLOOKUP($A42,Raw_Data!$B:$B,Raw_Data!$KG:$KG),"")</f>
        <v>12.450000000000001</v>
      </c>
      <c r="G42" s="180">
        <f>IFERROR(_xlfn.XLOOKUP($A42,Raw_Data!$B:$B,Raw_Data!KH:KH),"")</f>
        <v>0</v>
      </c>
      <c r="H42" s="180"/>
      <c r="I42" s="180">
        <f>IFERROR(_xlfn.XLOOKUP($A42,Raw_Data!$B:$B,Raw_Data!$KI:$KI),"")</f>
        <v>6.54</v>
      </c>
      <c r="J42" s="180"/>
      <c r="K42" s="180">
        <f>IFERROR(_xlfn.XLOOKUP($A42,Raw_Data!$B:$B,Raw_Data!KJ:KJ),"")</f>
        <v>31.23</v>
      </c>
      <c r="L42" s="180">
        <f>IFERROR(_xlfn.XLOOKUP($A42,Raw_Data!$B:$B,Raw_Data!KK:KK),"")</f>
        <v>40.22</v>
      </c>
      <c r="M42" s="180">
        <f>IFERROR(_xlfn.XLOOKUP($A42,Raw_Data!$B:$B,Raw_Data!KL:KL),"")</f>
        <v>2.0499999999999998</v>
      </c>
      <c r="N42" s="180">
        <f>IFERROR(_xlfn.XLOOKUP($A42,Raw_Data!$B:$B,Raw_Data!KM:KM),"")</f>
        <v>7.9</v>
      </c>
      <c r="O42" s="181">
        <f>IFERROR(1-SUMIF(PA!$B:$B,$A42,PA!AJ:AJ)/($AA42+SUMIF(PA!$B:$B,$A42,PA!AJ:AJ)),"")</f>
        <v>0.98046383595526387</v>
      </c>
      <c r="P42" s="181"/>
      <c r="Q42" s="182"/>
      <c r="R42" s="181">
        <f>IFERROR(1-SUMIF(GA!$C:$C,$A42,GA!$X:$X)/($AA42+SUMIF(GA!$C:$C,$A42,GA!$X:$X)),"")</f>
        <v>1</v>
      </c>
      <c r="S42" s="177"/>
      <c r="T42" s="182"/>
      <c r="U42" s="183">
        <f t="shared" si="5"/>
        <v>0.69674822526887592</v>
      </c>
      <c r="V42" s="183" t="str">
        <f>IFERROR(_xlfn.XLOOKUP($A42,Raw_Data!$B:$B,Raw_Data!$KQ:$KQ),"")</f>
        <v/>
      </c>
      <c r="W42" s="184">
        <f t="shared" si="6"/>
        <v>0.18986389138576867</v>
      </c>
      <c r="X42" s="176">
        <f>IFERROR(_xlfn.XLOOKUP($A42,Raw_Data!$B:$B,Raw_Data!$KN:$KN),"")</f>
        <v>302578</v>
      </c>
      <c r="Y42" s="176">
        <f>IFERROR(_xlfn.XLOOKUP($A42,Raw_Data!$B:$B,Raw_Data!$KC:$KC),"")</f>
        <v>304228.48600000143</v>
      </c>
      <c r="Z42" s="176">
        <f>IFERROR(_xlfn.XLOOKUP($A42,Raw_Data!$B:$B,Raw_Data!$KD:$KD),"")</f>
        <v>66.531999999991967</v>
      </c>
      <c r="AA42" s="176">
        <f>IFERROR(_xlfn.XLOOKUP($A42,Raw_Data!$B:$B,Raw_Data!$KF:$KF),"")</f>
        <v>304161.95400000142</v>
      </c>
      <c r="AB42" s="176">
        <f>IFERROR(_xlfn.XLOOKUP($A42,Raw_Data!$B:$B,Raw_Data!I:I)/1000,"")</f>
        <v>66.75</v>
      </c>
      <c r="AC42" s="185">
        <f>IFERROR(_xlfn.XLOOKUP($D42,'Modelling New'!$D:$D,'Modelling New'!$P:$P),"")</f>
        <v>6.1838709677419352</v>
      </c>
      <c r="AD42" s="176">
        <f>IFERROR(_xlfn.XLOOKUP($D42,'Modelling New'!$D:$D,'Modelling New'!$T:$T)*1000,"")</f>
        <v>312542.47707899293</v>
      </c>
      <c r="AE42" s="186">
        <f>IFERROR(_xlfn.XLOOKUP($D42,'Modelling New'!$D:$D,'Modelling New'!$O:$O),"")</f>
        <v>0.75712019519744966</v>
      </c>
      <c r="AF42" s="186">
        <f>IFERROR(_xlfn.XLOOKUP($D42,'Modelling New'!$D:$D,'Modelling New'!$W:$W),"")</f>
        <v>0.19508056642385899</v>
      </c>
      <c r="AG42" s="186">
        <f>IFERROR(_xlfn.XLOOKUP($D42,'Modelling New'!$D:$D,'Modelling New'!$AE:$AE),"")</f>
        <v>0.995</v>
      </c>
      <c r="AH42" s="186">
        <f>IFERROR(_xlfn.XLOOKUP($D42,'Modelling New'!$D:$D,'Modelling New'!$AF:$AF),"")</f>
        <v>0.995</v>
      </c>
      <c r="AI42" s="177"/>
      <c r="AJ42" s="177"/>
      <c r="AK42" s="238"/>
      <c r="AL42" s="238"/>
      <c r="AM42" s="238"/>
      <c r="AN42" s="187"/>
      <c r="AO42" s="184"/>
      <c r="AP42" s="184"/>
      <c r="AQ42" s="184"/>
      <c r="AR42" s="176">
        <f>IFERROR(_xlfn.XLOOKUP($D41,'Modelling New'!$D:$D,'Modelling New'!$N:$N),"")</f>
        <v>66.754999999999995</v>
      </c>
      <c r="AS42" s="176"/>
    </row>
    <row r="43" spans="1:45" x14ac:dyDescent="0.25">
      <c r="A43" s="175">
        <f t="shared" si="3"/>
        <v>45786</v>
      </c>
      <c r="B43" s="176">
        <f>YEAR(Table13[[#This Row],[Date]])+IF(MONTH(Table13[[#This Row],[Date]])&gt;=4,1,0)</f>
        <v>2026</v>
      </c>
      <c r="C43" s="177">
        <f>YEAR(Table13[[#This Row],[Date]])</f>
        <v>2025</v>
      </c>
      <c r="D43" s="178">
        <f>Table13[[#This Row],[Date]]-DAY(Table13[[#This Row],[Date]])+1</f>
        <v>45778</v>
      </c>
      <c r="E43" s="177">
        <f t="shared" si="4"/>
        <v>31</v>
      </c>
      <c r="F43" s="179">
        <f>IFERROR(_xlfn.XLOOKUP($A43,Raw_Data!$B:$B,Raw_Data!$KG:$KG),"")</f>
        <v>12.149999999999997</v>
      </c>
      <c r="G43" s="180">
        <f>IFERROR(_xlfn.XLOOKUP($A43,Raw_Data!$B:$B,Raw_Data!KH:KH),"")</f>
        <v>0</v>
      </c>
      <c r="H43" s="180"/>
      <c r="I43" s="180">
        <f>IFERROR(_xlfn.XLOOKUP($A43,Raw_Data!$B:$B,Raw_Data!$KI:$KI),"")</f>
        <v>6.68</v>
      </c>
      <c r="J43" s="180"/>
      <c r="K43" s="180">
        <f>IFERROR(_xlfn.XLOOKUP($A43,Raw_Data!$B:$B,Raw_Data!KJ:KJ),"")</f>
        <v>32.39</v>
      </c>
      <c r="L43" s="180">
        <f>IFERROR(_xlfn.XLOOKUP($A43,Raw_Data!$B:$B,Raw_Data!KK:KK),"")</f>
        <v>43.99</v>
      </c>
      <c r="M43" s="180">
        <f>IFERROR(_xlfn.XLOOKUP($A43,Raw_Data!$B:$B,Raw_Data!KL:KL),"")</f>
        <v>1.81</v>
      </c>
      <c r="N43" s="180">
        <f>IFERROR(_xlfn.XLOOKUP($A43,Raw_Data!$B:$B,Raw_Data!KM:KM),"")</f>
        <v>7.1</v>
      </c>
      <c r="O43" s="181">
        <f>IFERROR(1-SUMIF(PA!$B:$B,$A43,PA!AJ:AJ)/($AA43+SUMIF(PA!$B:$B,$A43,PA!AJ:AJ)),"")</f>
        <v>0.99585422111693678</v>
      </c>
      <c r="P43" s="181"/>
      <c r="Q43" s="182"/>
      <c r="R43" s="181">
        <f>IFERROR(1-SUMIF(GA!$C:$C,$A43,GA!$X:$X)/($AA43+SUMIF(GA!$C:$C,$A43,GA!$X:$X)),"")</f>
        <v>1</v>
      </c>
      <c r="S43" s="177"/>
      <c r="T43" s="182"/>
      <c r="U43" s="183">
        <f t="shared" si="5"/>
        <v>0.73523833232411906</v>
      </c>
      <c r="V43" s="183" t="str">
        <f>IFERROR(_xlfn.XLOOKUP($A43,Raw_Data!$B:$B,Raw_Data!$KQ:$KQ),"")</f>
        <v/>
      </c>
      <c r="W43" s="184">
        <f t="shared" si="6"/>
        <v>0.20464133583021313</v>
      </c>
      <c r="X43" s="176">
        <f>IFERROR(_xlfn.XLOOKUP($A43,Raw_Data!$B:$B,Raw_Data!$KN:$KN),"")</f>
        <v>328786</v>
      </c>
      <c r="Y43" s="176">
        <f>IFERROR(_xlfn.XLOOKUP($A43,Raw_Data!$B:$B,Raw_Data!$KC:$KC),"")</f>
        <v>327888.98600000143</v>
      </c>
      <c r="Z43" s="176">
        <f>IFERROR(_xlfn.XLOOKUP($A43,Raw_Data!$B:$B,Raw_Data!$KD:$KD),"")</f>
        <v>53.56600000000617</v>
      </c>
      <c r="AA43" s="176">
        <f>IFERROR(_xlfn.XLOOKUP($A43,Raw_Data!$B:$B,Raw_Data!$KF:$KF),"")</f>
        <v>327835.42000000144</v>
      </c>
      <c r="AB43" s="176">
        <f>IFERROR(_xlfn.XLOOKUP($A43,Raw_Data!$B:$B,Raw_Data!I:I)/1000,"")</f>
        <v>66.75</v>
      </c>
      <c r="AC43" s="185">
        <f>IFERROR(_xlfn.XLOOKUP($D43,'Modelling New'!$D:$D,'Modelling New'!$P:$P),"")</f>
        <v>6.1838709677419352</v>
      </c>
      <c r="AD43" s="176">
        <f>IFERROR(_xlfn.XLOOKUP($D43,'Modelling New'!$D:$D,'Modelling New'!$T:$T)*1000,"")</f>
        <v>312542.47707899293</v>
      </c>
      <c r="AE43" s="186">
        <f>IFERROR(_xlfn.XLOOKUP($D43,'Modelling New'!$D:$D,'Modelling New'!$O:$O),"")</f>
        <v>0.75712019519744966</v>
      </c>
      <c r="AF43" s="186">
        <f>IFERROR(_xlfn.XLOOKUP($D43,'Modelling New'!$D:$D,'Modelling New'!$W:$W),"")</f>
        <v>0.19508056642385899</v>
      </c>
      <c r="AG43" s="186">
        <f>IFERROR(_xlfn.XLOOKUP($D43,'Modelling New'!$D:$D,'Modelling New'!$AE:$AE),"")</f>
        <v>0.995</v>
      </c>
      <c r="AH43" s="186">
        <f>IFERROR(_xlfn.XLOOKUP($D43,'Modelling New'!$D:$D,'Modelling New'!$AF:$AF),"")</f>
        <v>0.995</v>
      </c>
      <c r="AI43" s="177"/>
      <c r="AJ43" s="177"/>
      <c r="AK43" s="238"/>
      <c r="AL43" s="238"/>
      <c r="AM43" s="238"/>
      <c r="AN43" s="187"/>
      <c r="AO43" s="184"/>
      <c r="AP43" s="184"/>
      <c r="AQ43" s="184"/>
      <c r="AR43" s="176">
        <f>IFERROR(_xlfn.XLOOKUP($D42,'Modelling New'!$D:$D,'Modelling New'!$N:$N),"")</f>
        <v>66.754999999999995</v>
      </c>
      <c r="AS43" s="176"/>
    </row>
    <row r="44" spans="1:45" x14ac:dyDescent="0.25">
      <c r="A44" s="175">
        <f t="shared" si="3"/>
        <v>45787</v>
      </c>
      <c r="B44" s="176">
        <f>YEAR(Table13[[#This Row],[Date]])+IF(MONTH(Table13[[#This Row],[Date]])&gt;=4,1,0)</f>
        <v>2026</v>
      </c>
      <c r="C44" s="177">
        <f>YEAR(Table13[[#This Row],[Date]])</f>
        <v>2025</v>
      </c>
      <c r="D44" s="178">
        <f>Table13[[#This Row],[Date]]-DAY(Table13[[#This Row],[Date]])+1</f>
        <v>45778</v>
      </c>
      <c r="E44" s="177">
        <f t="shared" si="4"/>
        <v>31</v>
      </c>
      <c r="F44" s="179">
        <f>IFERROR(_xlfn.XLOOKUP($A44,Raw_Data!$B:$B,Raw_Data!$KG:$KG),"")</f>
        <v>12.083333333333336</v>
      </c>
      <c r="G44" s="180">
        <f>IFERROR(_xlfn.XLOOKUP($A44,Raw_Data!$B:$B,Raw_Data!KH:KH),"")</f>
        <v>0</v>
      </c>
      <c r="H44" s="180"/>
      <c r="I44" s="180">
        <f>IFERROR(_xlfn.XLOOKUP($A44,Raw_Data!$B:$B,Raw_Data!$KI:$KI),"")</f>
        <v>5.78</v>
      </c>
      <c r="J44" s="180"/>
      <c r="K44" s="180">
        <f>IFERROR(_xlfn.XLOOKUP($A44,Raw_Data!$B:$B,Raw_Data!KJ:KJ),"")</f>
        <v>29.02</v>
      </c>
      <c r="L44" s="180">
        <f>IFERROR(_xlfn.XLOOKUP($A44,Raw_Data!$B:$B,Raw_Data!KK:KK),"")</f>
        <v>40.1</v>
      </c>
      <c r="M44" s="180">
        <f>IFERROR(_xlfn.XLOOKUP($A44,Raw_Data!$B:$B,Raw_Data!KL:KL),"")</f>
        <v>1.6</v>
      </c>
      <c r="N44" s="180">
        <f>IFERROR(_xlfn.XLOOKUP($A44,Raw_Data!$B:$B,Raw_Data!KM:KM),"")</f>
        <v>5.4</v>
      </c>
      <c r="O44" s="181">
        <f>IFERROR(1-SUMIF(PA!$B:$B,$A44,PA!AJ:AJ)/($AA44+SUMIF(PA!$B:$B,$A44,PA!AJ:AJ)),"")</f>
        <v>0.99621130717086359</v>
      </c>
      <c r="P44" s="181"/>
      <c r="Q44" s="182"/>
      <c r="R44" s="181">
        <f>IFERROR(1-SUMIF(GA!$C:$C,$A44,GA!$X:$X)/($AA44+SUMIF(GA!$C:$C,$A44,GA!$X:$X)),"")</f>
        <v>1</v>
      </c>
      <c r="S44" s="177"/>
      <c r="T44" s="182"/>
      <c r="U44" s="183">
        <f t="shared" si="5"/>
        <v>0.73674197478065051</v>
      </c>
      <c r="V44" s="183" t="str">
        <f>IFERROR(_xlfn.XLOOKUP($A44,Raw_Data!$B:$B,Raw_Data!$KQ:$KQ),"")</f>
        <v/>
      </c>
      <c r="W44" s="184">
        <f t="shared" si="6"/>
        <v>0.17743202559300666</v>
      </c>
      <c r="X44" s="176">
        <f>IFERROR(_xlfn.XLOOKUP($A44,Raw_Data!$B:$B,Raw_Data!$KN:$KN),"")</f>
        <v>283650.66251000005</v>
      </c>
      <c r="Y44" s="176">
        <f>IFERROR(_xlfn.XLOOKUP($A44,Raw_Data!$B:$B,Raw_Data!$KC:$KC),"")</f>
        <v>284293.99099999666</v>
      </c>
      <c r="Z44" s="176">
        <f>IFERROR(_xlfn.XLOOKUP($A44,Raw_Data!$B:$B,Raw_Data!$KD:$KD),"")</f>
        <v>47.885999999998603</v>
      </c>
      <c r="AA44" s="176">
        <f>IFERROR(_xlfn.XLOOKUP($A44,Raw_Data!$B:$B,Raw_Data!$KF:$KF),"")</f>
        <v>284246.10499999666</v>
      </c>
      <c r="AB44" s="176">
        <f>IFERROR(_xlfn.XLOOKUP($A44,Raw_Data!$B:$B,Raw_Data!I:I)/1000,"")</f>
        <v>66.75</v>
      </c>
      <c r="AC44" s="185">
        <f>IFERROR(_xlfn.XLOOKUP($D44,'Modelling New'!$D:$D,'Modelling New'!$P:$P),"")</f>
        <v>6.1838709677419352</v>
      </c>
      <c r="AD44" s="176">
        <f>IFERROR(_xlfn.XLOOKUP($D44,'Modelling New'!$D:$D,'Modelling New'!$T:$T)*1000,"")</f>
        <v>312542.47707899293</v>
      </c>
      <c r="AE44" s="186">
        <f>IFERROR(_xlfn.XLOOKUP($D44,'Modelling New'!$D:$D,'Modelling New'!$O:$O),"")</f>
        <v>0.75712019519744966</v>
      </c>
      <c r="AF44" s="186">
        <f>IFERROR(_xlfn.XLOOKUP($D44,'Modelling New'!$D:$D,'Modelling New'!$W:$W),"")</f>
        <v>0.19508056642385899</v>
      </c>
      <c r="AG44" s="186">
        <f>IFERROR(_xlfn.XLOOKUP($D44,'Modelling New'!$D:$D,'Modelling New'!$AE:$AE),"")</f>
        <v>0.995</v>
      </c>
      <c r="AH44" s="186">
        <f>IFERROR(_xlfn.XLOOKUP($D44,'Modelling New'!$D:$D,'Modelling New'!$AF:$AF),"")</f>
        <v>0.995</v>
      </c>
      <c r="AI44" s="177"/>
      <c r="AJ44" s="177"/>
      <c r="AK44" s="238"/>
      <c r="AL44" s="238"/>
      <c r="AM44" s="238"/>
      <c r="AN44" s="187"/>
      <c r="AO44" s="184"/>
      <c r="AP44" s="184"/>
      <c r="AQ44" s="184"/>
      <c r="AR44" s="176">
        <f>IFERROR(_xlfn.XLOOKUP($D43,'Modelling New'!$D:$D,'Modelling New'!$N:$N),"")</f>
        <v>66.754999999999995</v>
      </c>
      <c r="AS44" s="176"/>
    </row>
    <row r="45" spans="1:45" x14ac:dyDescent="0.25">
      <c r="A45" s="175">
        <f t="shared" si="3"/>
        <v>45788</v>
      </c>
      <c r="B45" s="176">
        <f>YEAR(Table13[[#This Row],[Date]])+IF(MONTH(Table13[[#This Row],[Date]])&gt;=4,1,0)</f>
        <v>2026</v>
      </c>
      <c r="C45" s="177">
        <f>YEAR(Table13[[#This Row],[Date]])</f>
        <v>2025</v>
      </c>
      <c r="D45" s="178">
        <f>Table13[[#This Row],[Date]]-DAY(Table13[[#This Row],[Date]])+1</f>
        <v>45778</v>
      </c>
      <c r="E45" s="177">
        <f t="shared" si="4"/>
        <v>31</v>
      </c>
      <c r="F45" s="179">
        <f>IFERROR(_xlfn.XLOOKUP($A45,Raw_Data!$B:$B,Raw_Data!$KG:$KG),"")</f>
        <v>12.45</v>
      </c>
      <c r="G45" s="180">
        <f>IFERROR(_xlfn.XLOOKUP($A45,Raw_Data!$B:$B,Raw_Data!KH:KH),"")</f>
        <v>0</v>
      </c>
      <c r="H45" s="180"/>
      <c r="I45" s="180">
        <f>IFERROR(_xlfn.XLOOKUP($A45,Raw_Data!$B:$B,Raw_Data!$KI:$KI),"")</f>
        <v>6.7</v>
      </c>
      <c r="J45" s="180"/>
      <c r="K45" s="180">
        <f>IFERROR(_xlfn.XLOOKUP($A45,Raw_Data!$B:$B,Raw_Data!KJ:KJ),"")</f>
        <v>31.8</v>
      </c>
      <c r="L45" s="180">
        <f>IFERROR(_xlfn.XLOOKUP($A45,Raw_Data!$B:$B,Raw_Data!KK:KK),"")</f>
        <v>43.4</v>
      </c>
      <c r="M45" s="180">
        <f>IFERROR(_xlfn.XLOOKUP($A45,Raw_Data!$B:$B,Raw_Data!KL:KL),"")</f>
        <v>1.5</v>
      </c>
      <c r="N45" s="180">
        <f>IFERROR(_xlfn.XLOOKUP($A45,Raw_Data!$B:$B,Raw_Data!KM:KM),"")</f>
        <v>4.8</v>
      </c>
      <c r="O45" s="181">
        <f>IFERROR(1-SUMIF(PA!$B:$B,$A45,PA!AJ:AJ)/($AA45+SUMIF(PA!$B:$B,$A45,PA!AJ:AJ)),"")</f>
        <v>0.99890404210280082</v>
      </c>
      <c r="P45" s="181"/>
      <c r="Q45" s="182"/>
      <c r="R45" s="181">
        <f>IFERROR(1-SUMIF(GA!$C:$C,$A45,GA!$X:$X)/($AA45+SUMIF(GA!$C:$C,$A45,GA!$X:$X)),"")</f>
        <v>1</v>
      </c>
      <c r="S45" s="177"/>
      <c r="T45" s="182"/>
      <c r="U45" s="183">
        <f t="shared" si="5"/>
        <v>0.75156916764486381</v>
      </c>
      <c r="V45" s="183" t="str">
        <f>IFERROR(_xlfn.XLOOKUP($A45,Raw_Data!$B:$B,Raw_Data!$KQ:$KQ),"")</f>
        <v/>
      </c>
      <c r="W45" s="184">
        <f t="shared" si="6"/>
        <v>0.20981305930085781</v>
      </c>
      <c r="X45" s="176">
        <f>IFERROR(_xlfn.XLOOKUP($A45,Raw_Data!$B:$B,Raw_Data!$KN:$KN),"")</f>
        <v>338732</v>
      </c>
      <c r="Y45" s="176">
        <f>IFERROR(_xlfn.XLOOKUP($A45,Raw_Data!$B:$B,Raw_Data!$KC:$KC),"")</f>
        <v>336183.75199997425</v>
      </c>
      <c r="Z45" s="176">
        <f>IFERROR(_xlfn.XLOOKUP($A45,Raw_Data!$B:$B,Raw_Data!$KD:$KD),"")</f>
        <v>63.230999999999767</v>
      </c>
      <c r="AA45" s="176">
        <f>IFERROR(_xlfn.XLOOKUP($A45,Raw_Data!$B:$B,Raw_Data!$KF:$KF),"")</f>
        <v>336120.52099997422</v>
      </c>
      <c r="AB45" s="176">
        <f>IFERROR(_xlfn.XLOOKUP($A45,Raw_Data!$B:$B,Raw_Data!I:I)/1000,"")</f>
        <v>66.75</v>
      </c>
      <c r="AC45" s="185">
        <f>IFERROR(_xlfn.XLOOKUP($D45,'Modelling New'!$D:$D,'Modelling New'!$P:$P),"")</f>
        <v>6.1838709677419352</v>
      </c>
      <c r="AD45" s="176">
        <f>IFERROR(_xlfn.XLOOKUP($D45,'Modelling New'!$D:$D,'Modelling New'!$T:$T)*1000,"")</f>
        <v>312542.47707899293</v>
      </c>
      <c r="AE45" s="186">
        <f>IFERROR(_xlfn.XLOOKUP($D45,'Modelling New'!$D:$D,'Modelling New'!$O:$O),"")</f>
        <v>0.75712019519744966</v>
      </c>
      <c r="AF45" s="186">
        <f>IFERROR(_xlfn.XLOOKUP($D45,'Modelling New'!$D:$D,'Modelling New'!$W:$W),"")</f>
        <v>0.19508056642385899</v>
      </c>
      <c r="AG45" s="186">
        <f>IFERROR(_xlfn.XLOOKUP($D45,'Modelling New'!$D:$D,'Modelling New'!$AE:$AE),"")</f>
        <v>0.995</v>
      </c>
      <c r="AH45" s="186">
        <f>IFERROR(_xlfn.XLOOKUP($D45,'Modelling New'!$D:$D,'Modelling New'!$AF:$AF),"")</f>
        <v>0.995</v>
      </c>
      <c r="AI45" s="177"/>
      <c r="AJ45" s="177"/>
      <c r="AK45" s="238"/>
      <c r="AL45" s="238"/>
      <c r="AM45" s="238"/>
      <c r="AN45" s="187"/>
      <c r="AO45" s="184"/>
      <c r="AP45" s="184"/>
      <c r="AQ45" s="184"/>
      <c r="AR45" s="176">
        <f>IFERROR(_xlfn.XLOOKUP($D44,'Modelling New'!$D:$D,'Modelling New'!$N:$N),"")</f>
        <v>66.754999999999995</v>
      </c>
      <c r="AS45" s="176"/>
    </row>
    <row r="46" spans="1:45" x14ac:dyDescent="0.25">
      <c r="A46" s="175">
        <f t="shared" si="3"/>
        <v>45789</v>
      </c>
      <c r="B46" s="176">
        <f>YEAR(Table13[[#This Row],[Date]])+IF(MONTH(Table13[[#This Row],[Date]])&gt;=4,1,0)</f>
        <v>2026</v>
      </c>
      <c r="C46" s="177">
        <f>YEAR(Table13[[#This Row],[Date]])</f>
        <v>2025</v>
      </c>
      <c r="D46" s="178">
        <f>Table13[[#This Row],[Date]]-DAY(Table13[[#This Row],[Date]])+1</f>
        <v>45778</v>
      </c>
      <c r="E46" s="177">
        <f t="shared" si="4"/>
        <v>31</v>
      </c>
      <c r="F46" s="179">
        <f>IFERROR(_xlfn.XLOOKUP($A46,Raw_Data!$B:$B,Raw_Data!$KG:$KG),"")</f>
        <v>12.316666666666668</v>
      </c>
      <c r="G46" s="180">
        <f>IFERROR(_xlfn.XLOOKUP($A46,Raw_Data!$B:$B,Raw_Data!KH:KH),"")</f>
        <v>0</v>
      </c>
      <c r="H46" s="180"/>
      <c r="I46" s="180">
        <f>IFERROR(_xlfn.XLOOKUP($A46,Raw_Data!$B:$B,Raw_Data!$KI:$KI),"")</f>
        <v>6.85</v>
      </c>
      <c r="J46" s="180"/>
      <c r="K46" s="180">
        <f>IFERROR(_xlfn.XLOOKUP($A46,Raw_Data!$B:$B,Raw_Data!KJ:KJ),"")</f>
        <v>35.130000000000003</v>
      </c>
      <c r="L46" s="180">
        <f>IFERROR(_xlfn.XLOOKUP($A46,Raw_Data!$B:$B,Raw_Data!KK:KK),"")</f>
        <v>43.88</v>
      </c>
      <c r="M46" s="180">
        <f>IFERROR(_xlfn.XLOOKUP($A46,Raw_Data!$B:$B,Raw_Data!KL:KL),"")</f>
        <v>1.88</v>
      </c>
      <c r="N46" s="180">
        <f>IFERROR(_xlfn.XLOOKUP($A46,Raw_Data!$B:$B,Raw_Data!KM:KM),"")</f>
        <v>7.3</v>
      </c>
      <c r="O46" s="181">
        <f>IFERROR(1-SUMIF(PA!$B:$B,$A46,PA!AJ:AJ)/($AA46+SUMIF(PA!$B:$B,$A46,PA!AJ:AJ)),"")</f>
        <v>0.9998403615103264</v>
      </c>
      <c r="P46" s="181"/>
      <c r="Q46" s="182"/>
      <c r="R46" s="181">
        <f>IFERROR(1-SUMIF(GA!$C:$C,$A46,GA!$X:$X)/($AA46+SUMIF(GA!$C:$C,$A46,GA!$X:$X)),"")</f>
        <v>1</v>
      </c>
      <c r="S46" s="177"/>
      <c r="T46" s="182"/>
      <c r="U46" s="183">
        <f t="shared" si="5"/>
        <v>0.75155768282343316</v>
      </c>
      <c r="V46" s="183" t="str">
        <f>IFERROR(_xlfn.XLOOKUP($A46,Raw_Data!$B:$B,Raw_Data!$KQ:$KQ),"")</f>
        <v/>
      </c>
      <c r="W46" s="184">
        <f t="shared" si="6"/>
        <v>0.21450708863918819</v>
      </c>
      <c r="X46" s="176">
        <f>IFERROR(_xlfn.XLOOKUP($A46,Raw_Data!$B:$B,Raw_Data!$KN:$KN),"")</f>
        <v>345699</v>
      </c>
      <c r="Y46" s="176">
        <f>IFERROR(_xlfn.XLOOKUP($A46,Raw_Data!$B:$B,Raw_Data!$KC:$KC),"")</f>
        <v>343701.7839999795</v>
      </c>
      <c r="Z46" s="176">
        <f>IFERROR(_xlfn.XLOOKUP($A46,Raw_Data!$B:$B,Raw_Data!$KD:$KD),"")</f>
        <v>61.427999999999884</v>
      </c>
      <c r="AA46" s="176">
        <f>IFERROR(_xlfn.XLOOKUP($A46,Raw_Data!$B:$B,Raw_Data!$KF:$KF),"")</f>
        <v>343640.35599997948</v>
      </c>
      <c r="AB46" s="176">
        <f>IFERROR(_xlfn.XLOOKUP($A46,Raw_Data!$B:$B,Raw_Data!I:I)/1000,"")</f>
        <v>66.75</v>
      </c>
      <c r="AC46" s="185">
        <f>IFERROR(_xlfn.XLOOKUP($D46,'Modelling New'!$D:$D,'Modelling New'!$P:$P),"")</f>
        <v>6.1838709677419352</v>
      </c>
      <c r="AD46" s="176">
        <f>IFERROR(_xlfn.XLOOKUP($D46,'Modelling New'!$D:$D,'Modelling New'!$T:$T)*1000,"")</f>
        <v>312542.47707899293</v>
      </c>
      <c r="AE46" s="186">
        <f>IFERROR(_xlfn.XLOOKUP($D46,'Modelling New'!$D:$D,'Modelling New'!$O:$O),"")</f>
        <v>0.75712019519744966</v>
      </c>
      <c r="AF46" s="186">
        <f>IFERROR(_xlfn.XLOOKUP($D46,'Modelling New'!$D:$D,'Modelling New'!$W:$W),"")</f>
        <v>0.19508056642385899</v>
      </c>
      <c r="AG46" s="186">
        <f>IFERROR(_xlfn.XLOOKUP($D46,'Modelling New'!$D:$D,'Modelling New'!$AE:$AE),"")</f>
        <v>0.995</v>
      </c>
      <c r="AH46" s="186">
        <f>IFERROR(_xlfn.XLOOKUP($D46,'Modelling New'!$D:$D,'Modelling New'!$AF:$AF),"")</f>
        <v>0.995</v>
      </c>
      <c r="AI46" s="177"/>
      <c r="AJ46" s="177"/>
      <c r="AK46" s="238"/>
      <c r="AL46" s="238"/>
      <c r="AM46" s="238"/>
      <c r="AN46" s="187"/>
      <c r="AO46" s="184"/>
      <c r="AP46" s="184"/>
      <c r="AQ46" s="184"/>
      <c r="AR46" s="176">
        <f>IFERROR(_xlfn.XLOOKUP($D45,'Modelling New'!$D:$D,'Modelling New'!$N:$N),"")</f>
        <v>66.754999999999995</v>
      </c>
      <c r="AS46" s="176"/>
    </row>
    <row r="47" spans="1:45" x14ac:dyDescent="0.25">
      <c r="A47" s="175">
        <f t="shared" si="3"/>
        <v>45790</v>
      </c>
      <c r="B47" s="176">
        <f>YEAR(Table13[[#This Row],[Date]])+IF(MONTH(Table13[[#This Row],[Date]])&gt;=4,1,0)</f>
        <v>2026</v>
      </c>
      <c r="C47" s="177">
        <f>YEAR(Table13[[#This Row],[Date]])</f>
        <v>2025</v>
      </c>
      <c r="D47" s="178">
        <f>Table13[[#This Row],[Date]]-DAY(Table13[[#This Row],[Date]])+1</f>
        <v>45778</v>
      </c>
      <c r="E47" s="177">
        <f t="shared" si="4"/>
        <v>31</v>
      </c>
      <c r="F47" s="179">
        <f>IFERROR(_xlfn.XLOOKUP($A47,Raw_Data!$B:$B,Raw_Data!$KG:$KG),"")</f>
        <v>12.450000000000001</v>
      </c>
      <c r="G47" s="180">
        <f>IFERROR(_xlfn.XLOOKUP($A47,Raw_Data!$B:$B,Raw_Data!KH:KH),"")</f>
        <v>0</v>
      </c>
      <c r="H47" s="180"/>
      <c r="I47" s="180">
        <f>IFERROR(_xlfn.XLOOKUP($A47,Raw_Data!$B:$B,Raw_Data!$KI:$KI),"")</f>
        <v>5.73</v>
      </c>
      <c r="J47" s="180"/>
      <c r="K47" s="180">
        <f>IFERROR(_xlfn.XLOOKUP($A47,Raw_Data!$B:$B,Raw_Data!KJ:KJ),"")</f>
        <v>34.36</v>
      </c>
      <c r="L47" s="180">
        <f>IFERROR(_xlfn.XLOOKUP($A47,Raw_Data!$B:$B,Raw_Data!KK:KK),"")</f>
        <v>42.16</v>
      </c>
      <c r="M47" s="180">
        <f>IFERROR(_xlfn.XLOOKUP($A47,Raw_Data!$B:$B,Raw_Data!KL:KL),"")</f>
        <v>1.65</v>
      </c>
      <c r="N47" s="180">
        <f>IFERROR(_xlfn.XLOOKUP($A47,Raw_Data!$B:$B,Raw_Data!KM:KM),"")</f>
        <v>11.7</v>
      </c>
      <c r="O47" s="181">
        <f>IFERROR(1-SUMIF(PA!$B:$B,$A47,PA!AJ:AJ)/($AA47+SUMIF(PA!$B:$B,$A47,PA!AJ:AJ)),"")</f>
        <v>0.99486136434178385</v>
      </c>
      <c r="P47" s="181"/>
      <c r="Q47" s="182"/>
      <c r="R47" s="181">
        <f>IFERROR(1-SUMIF(GA!$C:$C,$A47,GA!$X:$X)/($AA47+SUMIF(GA!$C:$C,$A47,GA!$X:$X)),"")</f>
        <v>1</v>
      </c>
      <c r="S47" s="177"/>
      <c r="T47" s="182"/>
      <c r="U47" s="183">
        <f t="shared" si="5"/>
        <v>0.75045628827851263</v>
      </c>
      <c r="V47" s="183" t="str">
        <f>IFERROR(_xlfn.XLOOKUP($A47,Raw_Data!$B:$B,Raw_Data!$KQ:$KQ),"")</f>
        <v/>
      </c>
      <c r="W47" s="184">
        <f t="shared" si="6"/>
        <v>0.17917143882649492</v>
      </c>
      <c r="X47" s="176">
        <f>IFERROR(_xlfn.XLOOKUP($A47,Raw_Data!$B:$B,Raw_Data!$KN:$KN),"")</f>
        <v>286967.70000000007</v>
      </c>
      <c r="Y47" s="176">
        <f>IFERROR(_xlfn.XLOOKUP($A47,Raw_Data!$B:$B,Raw_Data!$KC:$KC),"")</f>
        <v>287098.60300004482</v>
      </c>
      <c r="Z47" s="176">
        <f>IFERROR(_xlfn.XLOOKUP($A47,Raw_Data!$B:$B,Raw_Data!$KD:$KD),"")</f>
        <v>65.957999999998719</v>
      </c>
      <c r="AA47" s="176">
        <f>IFERROR(_xlfn.XLOOKUP($A47,Raw_Data!$B:$B,Raw_Data!$KF:$KF),"")</f>
        <v>287032.64500004484</v>
      </c>
      <c r="AB47" s="176">
        <f>IFERROR(_xlfn.XLOOKUP($A47,Raw_Data!$B:$B,Raw_Data!I:I)/1000,"")</f>
        <v>66.75</v>
      </c>
      <c r="AC47" s="185">
        <f>IFERROR(_xlfn.XLOOKUP($D47,'Modelling New'!$D:$D,'Modelling New'!$P:$P),"")</f>
        <v>6.1838709677419352</v>
      </c>
      <c r="AD47" s="176">
        <f>IFERROR(_xlfn.XLOOKUP($D47,'Modelling New'!$D:$D,'Modelling New'!$T:$T)*1000,"")</f>
        <v>312542.47707899293</v>
      </c>
      <c r="AE47" s="186">
        <f>IFERROR(_xlfn.XLOOKUP($D47,'Modelling New'!$D:$D,'Modelling New'!$O:$O),"")</f>
        <v>0.75712019519744966</v>
      </c>
      <c r="AF47" s="186">
        <f>IFERROR(_xlfn.XLOOKUP($D47,'Modelling New'!$D:$D,'Modelling New'!$W:$W),"")</f>
        <v>0.19508056642385899</v>
      </c>
      <c r="AG47" s="186">
        <f>IFERROR(_xlfn.XLOOKUP($D47,'Modelling New'!$D:$D,'Modelling New'!$AE:$AE),"")</f>
        <v>0.995</v>
      </c>
      <c r="AH47" s="186">
        <f>IFERROR(_xlfn.XLOOKUP($D47,'Modelling New'!$D:$D,'Modelling New'!$AF:$AF),"")</f>
        <v>0.995</v>
      </c>
      <c r="AI47" s="177"/>
      <c r="AJ47" s="177"/>
      <c r="AK47" s="238"/>
      <c r="AL47" s="238"/>
      <c r="AM47" s="238"/>
      <c r="AN47" s="187"/>
      <c r="AO47" s="184"/>
      <c r="AP47" s="184"/>
      <c r="AQ47" s="184"/>
      <c r="AR47" s="176">
        <f>IFERROR(_xlfn.XLOOKUP($D46,'Modelling New'!$D:$D,'Modelling New'!$N:$N),"")</f>
        <v>66.754999999999995</v>
      </c>
      <c r="AS47" s="176"/>
    </row>
    <row r="48" spans="1:45" x14ac:dyDescent="0.25">
      <c r="A48" s="175">
        <f t="shared" si="3"/>
        <v>45791</v>
      </c>
      <c r="B48" s="176">
        <f>YEAR(Table13[[#This Row],[Date]])+IF(MONTH(Table13[[#This Row],[Date]])&gt;=4,1,0)</f>
        <v>2026</v>
      </c>
      <c r="C48" s="177">
        <f>YEAR(Table13[[#This Row],[Date]])</f>
        <v>2025</v>
      </c>
      <c r="D48" s="178">
        <f>Table13[[#This Row],[Date]]-DAY(Table13[[#This Row],[Date]])+1</f>
        <v>45778</v>
      </c>
      <c r="E48" s="177">
        <f t="shared" si="4"/>
        <v>31</v>
      </c>
      <c r="F48" s="179">
        <f>IFERROR(_xlfn.XLOOKUP($A48,Raw_Data!$B:$B,Raw_Data!$KG:$KG),"")</f>
        <v>12.916666666666668</v>
      </c>
      <c r="G48" s="180">
        <f>IFERROR(_xlfn.XLOOKUP($A48,Raw_Data!$B:$B,Raw_Data!KH:KH),"")</f>
        <v>0</v>
      </c>
      <c r="H48" s="180"/>
      <c r="I48" s="180">
        <f>IFERROR(_xlfn.XLOOKUP($A48,Raw_Data!$B:$B,Raw_Data!$KI:$KI),"")</f>
        <v>6.95</v>
      </c>
      <c r="J48" s="180"/>
      <c r="K48" s="180">
        <f>IFERROR(_xlfn.XLOOKUP($A48,Raw_Data!$B:$B,Raw_Data!KJ:KJ),"")</f>
        <v>38.200000000000003</v>
      </c>
      <c r="L48" s="180">
        <f>IFERROR(_xlfn.XLOOKUP($A48,Raw_Data!$B:$B,Raw_Data!KK:KK),"")</f>
        <v>45.38</v>
      </c>
      <c r="M48" s="180">
        <f>IFERROR(_xlfn.XLOOKUP($A48,Raw_Data!$B:$B,Raw_Data!KL:KL),"")</f>
        <v>2.6</v>
      </c>
      <c r="N48" s="180">
        <f>IFERROR(_xlfn.XLOOKUP($A48,Raw_Data!$B:$B,Raw_Data!KM:KM),"")</f>
        <v>7.1</v>
      </c>
      <c r="O48" s="181">
        <f>IFERROR(1-SUMIF(PA!$B:$B,$A48,PA!AJ:AJ)/($AA48+SUMIF(PA!$B:$B,$A48,PA!AJ:AJ)),"")</f>
        <v>0.99642698625632198</v>
      </c>
      <c r="P48" s="181"/>
      <c r="Q48" s="182"/>
      <c r="R48" s="181">
        <f>IFERROR(1-SUMIF(GA!$C:$C,$A48,GA!$X:$X)/($AA48+SUMIF(GA!$C:$C,$A48,GA!$X:$X)),"")</f>
        <v>1</v>
      </c>
      <c r="S48" s="177"/>
      <c r="T48" s="182"/>
      <c r="U48" s="183">
        <f t="shared" si="5"/>
        <v>0.75026155794460714</v>
      </c>
      <c r="V48" s="183" t="str">
        <f>IFERROR(_xlfn.XLOOKUP($A48,Raw_Data!$B:$B,Raw_Data!$KQ:$KQ),"")</f>
        <v/>
      </c>
      <c r="W48" s="184">
        <f t="shared" si="6"/>
        <v>0.21726324282145917</v>
      </c>
      <c r="X48" s="176">
        <f>IFERROR(_xlfn.XLOOKUP($A48,Raw_Data!$B:$B,Raw_Data!$KN:$KN),"")</f>
        <v>201945</v>
      </c>
      <c r="Y48" s="176">
        <f>IFERROR(_xlfn.XLOOKUP($A48,Raw_Data!$B:$B,Raw_Data!$KC:$KC),"")</f>
        <v>348122.38599997759</v>
      </c>
      <c r="Z48" s="176">
        <f>IFERROR(_xlfn.XLOOKUP($A48,Raw_Data!$B:$B,Raw_Data!$KD:$KD),"")</f>
        <v>66.671000000002095</v>
      </c>
      <c r="AA48" s="176">
        <f>IFERROR(_xlfn.XLOOKUP($A48,Raw_Data!$B:$B,Raw_Data!$KF:$KF),"")</f>
        <v>348055.71499997762</v>
      </c>
      <c r="AB48" s="176">
        <f>IFERROR(_xlfn.XLOOKUP($A48,Raw_Data!$B:$B,Raw_Data!I:I)/1000,"")</f>
        <v>66.75</v>
      </c>
      <c r="AC48" s="185">
        <f>IFERROR(_xlfn.XLOOKUP($D48,'Modelling New'!$D:$D,'Modelling New'!$P:$P),"")</f>
        <v>6.1838709677419352</v>
      </c>
      <c r="AD48" s="176">
        <f>IFERROR(_xlfn.XLOOKUP($D48,'Modelling New'!$D:$D,'Modelling New'!$T:$T)*1000,"")</f>
        <v>312542.47707899293</v>
      </c>
      <c r="AE48" s="186">
        <f>IFERROR(_xlfn.XLOOKUP($D48,'Modelling New'!$D:$D,'Modelling New'!$O:$O),"")</f>
        <v>0.75712019519744966</v>
      </c>
      <c r="AF48" s="186">
        <f>IFERROR(_xlfn.XLOOKUP($D48,'Modelling New'!$D:$D,'Modelling New'!$W:$W),"")</f>
        <v>0.19508056642385899</v>
      </c>
      <c r="AG48" s="186">
        <f>IFERROR(_xlfn.XLOOKUP($D48,'Modelling New'!$D:$D,'Modelling New'!$AE:$AE),"")</f>
        <v>0.995</v>
      </c>
      <c r="AH48" s="186">
        <f>IFERROR(_xlfn.XLOOKUP($D48,'Modelling New'!$D:$D,'Modelling New'!$AF:$AF),"")</f>
        <v>0.995</v>
      </c>
      <c r="AI48" s="177"/>
      <c r="AJ48" s="177"/>
      <c r="AK48" s="238"/>
      <c r="AL48" s="238"/>
      <c r="AM48" s="238"/>
      <c r="AN48" s="187"/>
      <c r="AO48" s="184"/>
      <c r="AP48" s="184"/>
      <c r="AQ48" s="184"/>
      <c r="AR48" s="176">
        <f>IFERROR(_xlfn.XLOOKUP($D47,'Modelling New'!$D:$D,'Modelling New'!$N:$N),"")</f>
        <v>66.754999999999995</v>
      </c>
      <c r="AS48" s="176"/>
    </row>
    <row r="49" spans="1:45" x14ac:dyDescent="0.25">
      <c r="A49" s="175">
        <f t="shared" si="3"/>
        <v>45792</v>
      </c>
      <c r="B49" s="176">
        <f>YEAR(Table13[[#This Row],[Date]])+IF(MONTH(Table13[[#This Row],[Date]])&gt;=4,1,0)</f>
        <v>2026</v>
      </c>
      <c r="C49" s="177">
        <f>YEAR(Table13[[#This Row],[Date]])</f>
        <v>2025</v>
      </c>
      <c r="D49" s="178">
        <f>Table13[[#This Row],[Date]]-DAY(Table13[[#This Row],[Date]])+1</f>
        <v>45778</v>
      </c>
      <c r="E49" s="177">
        <f t="shared" si="4"/>
        <v>31</v>
      </c>
      <c r="F49" s="179">
        <f>IFERROR(_xlfn.XLOOKUP($A49,Raw_Data!$B:$B,Raw_Data!$KG:$KG),"")</f>
        <v>12.899999999999999</v>
      </c>
      <c r="G49" s="180">
        <f>IFERROR(_xlfn.XLOOKUP($A49,Raw_Data!$B:$B,Raw_Data!KH:KH),"")</f>
        <v>0</v>
      </c>
      <c r="H49" s="180"/>
      <c r="I49" s="180">
        <f>IFERROR(_xlfn.XLOOKUP($A49,Raw_Data!$B:$B,Raw_Data!$KI:$KI),"")</f>
        <v>6.81</v>
      </c>
      <c r="J49" s="180"/>
      <c r="K49" s="180">
        <f>IFERROR(_xlfn.XLOOKUP($A49,Raw_Data!$B:$B,Raw_Data!KJ:KJ),"")</f>
        <v>38.520000000000003</v>
      </c>
      <c r="L49" s="180">
        <f>IFERROR(_xlfn.XLOOKUP($A49,Raw_Data!$B:$B,Raw_Data!KK:KK),"")</f>
        <v>46.82</v>
      </c>
      <c r="M49" s="180">
        <f>IFERROR(_xlfn.XLOOKUP($A49,Raw_Data!$B:$B,Raw_Data!KL:KL),"")</f>
        <v>2.0499999999999998</v>
      </c>
      <c r="N49" s="180">
        <f>IFERROR(_xlfn.XLOOKUP($A49,Raw_Data!$B:$B,Raw_Data!KM:KM),"")</f>
        <v>5.8</v>
      </c>
      <c r="O49" s="181">
        <f>IFERROR(1-SUMIF(PA!$B:$B,$A49,PA!AJ:AJ)/($AA49+SUMIF(PA!$B:$B,$A49,PA!AJ:AJ)),"")</f>
        <v>0.99940166726546042</v>
      </c>
      <c r="P49" s="181"/>
      <c r="Q49" s="182"/>
      <c r="R49" s="181">
        <f>IFERROR(1-SUMIF(GA!$C:$C,$A49,GA!$X:$X)/($AA49+SUMIF(GA!$C:$C,$A49,GA!$X:$X)),"")</f>
        <v>1</v>
      </c>
      <c r="S49" s="177"/>
      <c r="T49" s="182"/>
      <c r="U49" s="183">
        <f t="shared" si="5"/>
        <v>0.74489604294198242</v>
      </c>
      <c r="V49" s="183" t="str">
        <f>IFERROR(_xlfn.XLOOKUP($A49,Raw_Data!$B:$B,Raw_Data!$KQ:$KQ),"")</f>
        <v/>
      </c>
      <c r="W49" s="184">
        <f t="shared" si="6"/>
        <v>0.21136425218478749</v>
      </c>
      <c r="X49" s="176">
        <f>IFERROR(_xlfn.XLOOKUP($A49,Raw_Data!$B:$B,Raw_Data!$KN:$KN),"")</f>
        <v>334705.40000000002</v>
      </c>
      <c r="Y49" s="176">
        <f>IFERROR(_xlfn.XLOOKUP($A49,Raw_Data!$B:$B,Raw_Data!$KC:$KC),"")</f>
        <v>338665.54400002956</v>
      </c>
      <c r="Z49" s="176">
        <f>IFERROR(_xlfn.XLOOKUP($A49,Raw_Data!$B:$B,Raw_Data!$KD:$KD),"")</f>
        <v>60.012000000002445</v>
      </c>
      <c r="AA49" s="176">
        <f>IFERROR(_xlfn.XLOOKUP($A49,Raw_Data!$B:$B,Raw_Data!$KF:$KF),"")</f>
        <v>338605.53200002958</v>
      </c>
      <c r="AB49" s="176">
        <f>IFERROR(_xlfn.XLOOKUP($A49,Raw_Data!$B:$B,Raw_Data!I:I)/1000,"")</f>
        <v>66.75</v>
      </c>
      <c r="AC49" s="185">
        <f>IFERROR(_xlfn.XLOOKUP($D49,'Modelling New'!$D:$D,'Modelling New'!$P:$P),"")</f>
        <v>6.1838709677419352</v>
      </c>
      <c r="AD49" s="176">
        <f>IFERROR(_xlfn.XLOOKUP($D49,'Modelling New'!$D:$D,'Modelling New'!$T:$T)*1000,"")</f>
        <v>312542.47707899293</v>
      </c>
      <c r="AE49" s="186">
        <f>IFERROR(_xlfn.XLOOKUP($D49,'Modelling New'!$D:$D,'Modelling New'!$O:$O),"")</f>
        <v>0.75712019519744966</v>
      </c>
      <c r="AF49" s="186">
        <f>IFERROR(_xlfn.XLOOKUP($D49,'Modelling New'!$D:$D,'Modelling New'!$W:$W),"")</f>
        <v>0.19508056642385899</v>
      </c>
      <c r="AG49" s="186">
        <f>IFERROR(_xlfn.XLOOKUP($D49,'Modelling New'!$D:$D,'Modelling New'!$AE:$AE),"")</f>
        <v>0.995</v>
      </c>
      <c r="AH49" s="186">
        <f>IFERROR(_xlfn.XLOOKUP($D49,'Modelling New'!$D:$D,'Modelling New'!$AF:$AF),"")</f>
        <v>0.995</v>
      </c>
      <c r="AI49" s="177"/>
      <c r="AJ49" s="177"/>
      <c r="AK49" s="238"/>
      <c r="AL49" s="238"/>
      <c r="AM49" s="238"/>
      <c r="AN49" s="187"/>
      <c r="AO49" s="184"/>
      <c r="AP49" s="184"/>
      <c r="AQ49" s="184"/>
      <c r="AR49" s="176">
        <f>IFERROR(_xlfn.XLOOKUP($D48,'Modelling New'!$D:$D,'Modelling New'!$N:$N),"")</f>
        <v>66.754999999999995</v>
      </c>
      <c r="AS49" s="176"/>
    </row>
    <row r="50" spans="1:45" x14ac:dyDescent="0.25">
      <c r="A50" s="175">
        <f t="shared" si="3"/>
        <v>45793</v>
      </c>
      <c r="B50" s="176">
        <f>YEAR(Table13[[#This Row],[Date]])+IF(MONTH(Table13[[#This Row],[Date]])&gt;=4,1,0)</f>
        <v>2026</v>
      </c>
      <c r="C50" s="177">
        <f>YEAR(Table13[[#This Row],[Date]])</f>
        <v>2025</v>
      </c>
      <c r="D50" s="178">
        <f>Table13[[#This Row],[Date]]-DAY(Table13[[#This Row],[Date]])+1</f>
        <v>45778</v>
      </c>
      <c r="E50" s="177">
        <f t="shared" si="4"/>
        <v>31</v>
      </c>
      <c r="F50" s="179">
        <f>IFERROR(_xlfn.XLOOKUP($A50,Raw_Data!$B:$B,Raw_Data!$KG:$KG),"")</f>
        <v>13.149999999999999</v>
      </c>
      <c r="G50" s="180">
        <f>IFERROR(_xlfn.XLOOKUP($A50,Raw_Data!$B:$B,Raw_Data!KH:KH),"")</f>
        <v>0</v>
      </c>
      <c r="H50" s="180"/>
      <c r="I50" s="180">
        <f>IFERROR(_xlfn.XLOOKUP($A50,Raw_Data!$B:$B,Raw_Data!$KI:$KI),"")</f>
        <v>5.56</v>
      </c>
      <c r="J50" s="180"/>
      <c r="K50" s="180">
        <f>IFERROR(_xlfn.XLOOKUP($A50,Raw_Data!$B:$B,Raw_Data!KJ:KJ),"")</f>
        <v>37.78</v>
      </c>
      <c r="L50" s="180">
        <f>IFERROR(_xlfn.XLOOKUP($A50,Raw_Data!$B:$B,Raw_Data!KK:KK),"")</f>
        <v>42.3</v>
      </c>
      <c r="M50" s="180">
        <f>IFERROR(_xlfn.XLOOKUP($A50,Raw_Data!$B:$B,Raw_Data!KL:KL),"")</f>
        <v>2.2999999999999998</v>
      </c>
      <c r="N50" s="180">
        <f>IFERROR(_xlfn.XLOOKUP($A50,Raw_Data!$B:$B,Raw_Data!KM:KM),"")</f>
        <v>11.3</v>
      </c>
      <c r="O50" s="181">
        <f>IFERROR(1-SUMIF(PA!$B:$B,$A50,PA!AJ:AJ)/($AA50+SUMIF(PA!$B:$B,$A50,PA!AJ:AJ)),"")</f>
        <v>0.99972074070531303</v>
      </c>
      <c r="P50" s="181"/>
      <c r="Q50" s="182"/>
      <c r="R50" s="181">
        <f>IFERROR(1-SUMIF(GA!$C:$C,$A50,GA!$X:$X)/($AA50+SUMIF(GA!$C:$C,$A50,GA!$X:$X)),"")</f>
        <v>1</v>
      </c>
      <c r="S50" s="177"/>
      <c r="T50" s="182"/>
      <c r="U50" s="183">
        <f t="shared" si="5"/>
        <v>0.75324622100068905</v>
      </c>
      <c r="V50" s="183" t="str">
        <f>IFERROR(_xlfn.XLOOKUP($A50,Raw_Data!$B:$B,Raw_Data!$KQ:$KQ),"")</f>
        <v/>
      </c>
      <c r="W50" s="184">
        <f t="shared" si="6"/>
        <v>0.17450204119849294</v>
      </c>
      <c r="X50" s="176">
        <f>IFERROR(_xlfn.XLOOKUP($A50,Raw_Data!$B:$B,Raw_Data!$KN:$KN),"")</f>
        <v>292468</v>
      </c>
      <c r="Y50" s="176">
        <f>IFERROR(_xlfn.XLOOKUP($A50,Raw_Data!$B:$B,Raw_Data!$KC:$KC),"")</f>
        <v>279612.76499998569</v>
      </c>
      <c r="Z50" s="176">
        <f>IFERROR(_xlfn.XLOOKUP($A50,Raw_Data!$B:$B,Raw_Data!$KD:$KD),"")</f>
        <v>60.494999999995343</v>
      </c>
      <c r="AA50" s="176">
        <f>IFERROR(_xlfn.XLOOKUP($A50,Raw_Data!$B:$B,Raw_Data!$KF:$KF),"")</f>
        <v>279552.2699999857</v>
      </c>
      <c r="AB50" s="176">
        <f>IFERROR(_xlfn.XLOOKUP($A50,Raw_Data!$B:$B,Raw_Data!I:I)/1000,"")</f>
        <v>66.75</v>
      </c>
      <c r="AC50" s="185">
        <f>IFERROR(_xlfn.XLOOKUP($D50,'Modelling New'!$D:$D,'Modelling New'!$P:$P),"")</f>
        <v>6.1838709677419352</v>
      </c>
      <c r="AD50" s="176">
        <f>IFERROR(_xlfn.XLOOKUP($D50,'Modelling New'!$D:$D,'Modelling New'!$T:$T)*1000,"")</f>
        <v>312542.47707899293</v>
      </c>
      <c r="AE50" s="186">
        <f>IFERROR(_xlfn.XLOOKUP($D50,'Modelling New'!$D:$D,'Modelling New'!$O:$O),"")</f>
        <v>0.75712019519744966</v>
      </c>
      <c r="AF50" s="186">
        <f>IFERROR(_xlfn.XLOOKUP($D50,'Modelling New'!$D:$D,'Modelling New'!$W:$W),"")</f>
        <v>0.19508056642385899</v>
      </c>
      <c r="AG50" s="186">
        <f>IFERROR(_xlfn.XLOOKUP($D50,'Modelling New'!$D:$D,'Modelling New'!$AE:$AE),"")</f>
        <v>0.995</v>
      </c>
      <c r="AH50" s="186">
        <f>IFERROR(_xlfn.XLOOKUP($D50,'Modelling New'!$D:$D,'Modelling New'!$AF:$AF),"")</f>
        <v>0.995</v>
      </c>
      <c r="AI50" s="177"/>
      <c r="AJ50" s="177"/>
      <c r="AK50" s="238"/>
      <c r="AL50" s="238"/>
      <c r="AM50" s="238"/>
      <c r="AN50" s="187"/>
      <c r="AO50" s="184"/>
      <c r="AP50" s="184"/>
      <c r="AQ50" s="184"/>
      <c r="AR50" s="176">
        <f>IFERROR(_xlfn.XLOOKUP($D49,'Modelling New'!$D:$D,'Modelling New'!$N:$N),"")</f>
        <v>66.754999999999995</v>
      </c>
      <c r="AS50" s="176"/>
    </row>
    <row r="51" spans="1:45" x14ac:dyDescent="0.25">
      <c r="A51" s="175">
        <f t="shared" si="3"/>
        <v>45794</v>
      </c>
      <c r="B51" s="176">
        <f>YEAR(Table13[[#This Row],[Date]])+IF(MONTH(Table13[[#This Row],[Date]])&gt;=4,1,0)</f>
        <v>2026</v>
      </c>
      <c r="C51" s="177">
        <f>YEAR(Table13[[#This Row],[Date]])</f>
        <v>2025</v>
      </c>
      <c r="D51" s="178">
        <f>Table13[[#This Row],[Date]]-DAY(Table13[[#This Row],[Date]])+1</f>
        <v>45778</v>
      </c>
      <c r="E51" s="177">
        <f t="shared" si="4"/>
        <v>31</v>
      </c>
      <c r="F51" s="179">
        <f>IFERROR(_xlfn.XLOOKUP($A51,Raw_Data!$B:$B,Raw_Data!$KG:$KG),"")</f>
        <v>12.966666666666669</v>
      </c>
      <c r="G51" s="180">
        <f>IFERROR(_xlfn.XLOOKUP($A51,Raw_Data!$B:$B,Raw_Data!KH:KH),"")</f>
        <v>0</v>
      </c>
      <c r="H51" s="180"/>
      <c r="I51" s="180">
        <f>IFERROR(_xlfn.XLOOKUP($A51,Raw_Data!$B:$B,Raw_Data!$KI:$KI),"")</f>
        <v>4.84</v>
      </c>
      <c r="J51" s="180"/>
      <c r="K51" s="180">
        <f>IFERROR(_xlfn.XLOOKUP($A51,Raw_Data!$B:$B,Raw_Data!KJ:KJ),"")</f>
        <v>34.4</v>
      </c>
      <c r="L51" s="180">
        <f>IFERROR(_xlfn.XLOOKUP($A51,Raw_Data!$B:$B,Raw_Data!KK:KK),"")</f>
        <v>42</v>
      </c>
      <c r="M51" s="180">
        <f>IFERROR(_xlfn.XLOOKUP($A51,Raw_Data!$B:$B,Raw_Data!KL:KL),"")</f>
        <v>2.7</v>
      </c>
      <c r="N51" s="180">
        <f>IFERROR(_xlfn.XLOOKUP($A51,Raw_Data!$B:$B,Raw_Data!KM:KM),"")</f>
        <v>19.29</v>
      </c>
      <c r="O51" s="181">
        <f>IFERROR(1-SUMIF(PA!$B:$B,$A51,PA!AJ:AJ)/($AA51+SUMIF(PA!$B:$B,$A51,PA!AJ:AJ)),"")</f>
        <v>0.99963625111556698</v>
      </c>
      <c r="P51" s="181"/>
      <c r="Q51" s="182"/>
      <c r="R51" s="181">
        <f>IFERROR(1-SUMIF(GA!$C:$C,$A51,GA!$X:$X)/($AA51+SUMIF(GA!$C:$C,$A51,GA!$X:$X)),"")</f>
        <v>1</v>
      </c>
      <c r="S51" s="177"/>
      <c r="T51" s="182"/>
      <c r="U51" s="183">
        <f t="shared" si="5"/>
        <v>0.76266458971739737</v>
      </c>
      <c r="V51" s="183" t="str">
        <f>IFERROR(_xlfn.XLOOKUP($A51,Raw_Data!$B:$B,Raw_Data!$KQ:$KQ),"")</f>
        <v/>
      </c>
      <c r="W51" s="184">
        <f t="shared" si="6"/>
        <v>0.15380402559300846</v>
      </c>
      <c r="X51" s="176">
        <f>IFERROR(_xlfn.XLOOKUP($A51,Raw_Data!$B:$B,Raw_Data!$KN:$KN),"")</f>
        <v>254893</v>
      </c>
      <c r="Y51" s="176">
        <f>IFERROR(_xlfn.XLOOKUP($A51,Raw_Data!$B:$B,Raw_Data!$KC:$KC),"")</f>
        <v>246466.21299999952</v>
      </c>
      <c r="Z51" s="176">
        <f>IFERROR(_xlfn.XLOOKUP($A51,Raw_Data!$B:$B,Raw_Data!$KD:$KD),"")</f>
        <v>72.164000000004307</v>
      </c>
      <c r="AA51" s="176">
        <f>IFERROR(_xlfn.XLOOKUP($A51,Raw_Data!$B:$B,Raw_Data!$KF:$KF),"")</f>
        <v>246394.04899999953</v>
      </c>
      <c r="AB51" s="176">
        <f>IFERROR(_xlfn.XLOOKUP($A51,Raw_Data!$B:$B,Raw_Data!I:I)/1000,"")</f>
        <v>66.75</v>
      </c>
      <c r="AC51" s="185">
        <f>IFERROR(_xlfn.XLOOKUP($D51,'Modelling New'!$D:$D,'Modelling New'!$P:$P),"")</f>
        <v>6.1838709677419352</v>
      </c>
      <c r="AD51" s="176">
        <f>IFERROR(_xlfn.XLOOKUP($D51,'Modelling New'!$D:$D,'Modelling New'!$T:$T)*1000,"")</f>
        <v>312542.47707899293</v>
      </c>
      <c r="AE51" s="186">
        <f>IFERROR(_xlfn.XLOOKUP($D51,'Modelling New'!$D:$D,'Modelling New'!$O:$O),"")</f>
        <v>0.75712019519744966</v>
      </c>
      <c r="AF51" s="186">
        <f>IFERROR(_xlfn.XLOOKUP($D51,'Modelling New'!$D:$D,'Modelling New'!$W:$W),"")</f>
        <v>0.19508056642385899</v>
      </c>
      <c r="AG51" s="186">
        <f>IFERROR(_xlfn.XLOOKUP($D51,'Modelling New'!$D:$D,'Modelling New'!$AE:$AE),"")</f>
        <v>0.995</v>
      </c>
      <c r="AH51" s="186">
        <f>IFERROR(_xlfn.XLOOKUP($D51,'Modelling New'!$D:$D,'Modelling New'!$AF:$AF),"")</f>
        <v>0.995</v>
      </c>
      <c r="AI51" s="177"/>
      <c r="AJ51" s="177"/>
      <c r="AK51" s="238"/>
      <c r="AL51" s="238"/>
      <c r="AM51" s="238"/>
      <c r="AN51" s="187"/>
      <c r="AO51" s="184"/>
      <c r="AP51" s="184"/>
      <c r="AQ51" s="184"/>
      <c r="AR51" s="176">
        <f>IFERROR(_xlfn.XLOOKUP($D50,'Modelling New'!$D:$D,'Modelling New'!$N:$N),"")</f>
        <v>66.754999999999995</v>
      </c>
      <c r="AS51" s="176"/>
    </row>
    <row r="52" spans="1:45" x14ac:dyDescent="0.25">
      <c r="A52" s="175">
        <f t="shared" si="3"/>
        <v>45795</v>
      </c>
      <c r="B52" s="176">
        <f>YEAR(Table13[[#This Row],[Date]])+IF(MONTH(Table13[[#This Row],[Date]])&gt;=4,1,0)</f>
        <v>2026</v>
      </c>
      <c r="C52" s="177">
        <f>YEAR(Table13[[#This Row],[Date]])</f>
        <v>2025</v>
      </c>
      <c r="D52" s="178">
        <f>Table13[[#This Row],[Date]]-DAY(Table13[[#This Row],[Date]])+1</f>
        <v>45778</v>
      </c>
      <c r="E52" s="177">
        <f t="shared" si="4"/>
        <v>31</v>
      </c>
      <c r="F52" s="179">
        <f>IFERROR(_xlfn.XLOOKUP($A52,Raw_Data!$B:$B,Raw_Data!$KG:$KG),"")</f>
        <v>13.149999999999999</v>
      </c>
      <c r="G52" s="180">
        <f>IFERROR(_xlfn.XLOOKUP($A52,Raw_Data!$B:$B,Raw_Data!KH:KH),"")</f>
        <v>0</v>
      </c>
      <c r="H52" s="180"/>
      <c r="I52" s="180">
        <f>IFERROR(_xlfn.XLOOKUP($A52,Raw_Data!$B:$B,Raw_Data!$KI:$KI),"")</f>
        <v>6.4</v>
      </c>
      <c r="J52" s="180"/>
      <c r="K52" s="180">
        <f>IFERROR(_xlfn.XLOOKUP($A52,Raw_Data!$B:$B,Raw_Data!KJ:KJ),"")</f>
        <v>32.299999999999997</v>
      </c>
      <c r="L52" s="180">
        <f>IFERROR(_xlfn.XLOOKUP($A52,Raw_Data!$B:$B,Raw_Data!KK:KK),"")</f>
        <v>41.68</v>
      </c>
      <c r="M52" s="180">
        <f>IFERROR(_xlfn.XLOOKUP($A52,Raw_Data!$B:$B,Raw_Data!KL:KL),"")</f>
        <v>1.1399999999999999</v>
      </c>
      <c r="N52" s="180">
        <f>IFERROR(_xlfn.XLOOKUP($A52,Raw_Data!$B:$B,Raw_Data!KM:KM),"")</f>
        <v>4.7</v>
      </c>
      <c r="O52" s="181">
        <f>IFERROR(1-SUMIF(PA!$B:$B,$A52,PA!AJ:AJ)/($AA52+SUMIF(PA!$B:$B,$A52,PA!AJ:AJ)),"")</f>
        <v>0.99655811337884259</v>
      </c>
      <c r="P52" s="181"/>
      <c r="Q52" s="182"/>
      <c r="R52" s="181">
        <f>IFERROR(1-SUMIF(GA!$C:$C,$A52,GA!$X:$X)/($AA52+SUMIF(GA!$C:$C,$A52,GA!$X:$X)),"")</f>
        <v>1</v>
      </c>
      <c r="S52" s="177"/>
      <c r="T52" s="182"/>
      <c r="U52" s="183">
        <f t="shared" si="5"/>
        <v>0.76601950374535854</v>
      </c>
      <c r="V52" s="183" t="str">
        <f>IFERROR(_xlfn.XLOOKUP($A52,Raw_Data!$B:$B,Raw_Data!$KQ:$KQ),"")</f>
        <v/>
      </c>
      <c r="W52" s="184">
        <f t="shared" si="6"/>
        <v>0.20427186766542896</v>
      </c>
      <c r="X52" s="176">
        <f>IFERROR(_xlfn.XLOOKUP($A52,Raw_Data!$B:$B,Raw_Data!$KN:$KN),"")</f>
        <v>332920</v>
      </c>
      <c r="Y52" s="176">
        <f>IFERROR(_xlfn.XLOOKUP($A52,Raw_Data!$B:$B,Raw_Data!$KC:$KC),"")</f>
        <v>327298.33200001717</v>
      </c>
      <c r="Z52" s="176">
        <f>IFERROR(_xlfn.XLOOKUP($A52,Raw_Data!$B:$B,Raw_Data!$KD:$KD),"")</f>
        <v>54.799999999988358</v>
      </c>
      <c r="AA52" s="176">
        <f>IFERROR(_xlfn.XLOOKUP($A52,Raw_Data!$B:$B,Raw_Data!$KF:$KF),"")</f>
        <v>327243.53200001718</v>
      </c>
      <c r="AB52" s="176">
        <f>IFERROR(_xlfn.XLOOKUP($A52,Raw_Data!$B:$B,Raw_Data!I:I)/1000,"")</f>
        <v>66.75</v>
      </c>
      <c r="AC52" s="185">
        <f>IFERROR(_xlfn.XLOOKUP($D52,'Modelling New'!$D:$D,'Modelling New'!$P:$P),"")</f>
        <v>6.1838709677419352</v>
      </c>
      <c r="AD52" s="176">
        <f>IFERROR(_xlfn.XLOOKUP($D52,'Modelling New'!$D:$D,'Modelling New'!$T:$T)*1000,"")</f>
        <v>312542.47707899293</v>
      </c>
      <c r="AE52" s="186">
        <f>IFERROR(_xlfn.XLOOKUP($D52,'Modelling New'!$D:$D,'Modelling New'!$O:$O),"")</f>
        <v>0.75712019519744966</v>
      </c>
      <c r="AF52" s="186">
        <f>IFERROR(_xlfn.XLOOKUP($D52,'Modelling New'!$D:$D,'Modelling New'!$W:$W),"")</f>
        <v>0.19508056642385899</v>
      </c>
      <c r="AG52" s="186">
        <f>IFERROR(_xlfn.XLOOKUP($D52,'Modelling New'!$D:$D,'Modelling New'!$AE:$AE),"")</f>
        <v>0.995</v>
      </c>
      <c r="AH52" s="186">
        <f>IFERROR(_xlfn.XLOOKUP($D52,'Modelling New'!$D:$D,'Modelling New'!$AF:$AF),"")</f>
        <v>0.995</v>
      </c>
      <c r="AI52" s="177"/>
      <c r="AJ52" s="177"/>
      <c r="AK52" s="238"/>
      <c r="AL52" s="238"/>
      <c r="AM52" s="238"/>
      <c r="AN52" s="187"/>
      <c r="AO52" s="184"/>
      <c r="AP52" s="184"/>
      <c r="AQ52" s="184"/>
      <c r="AR52" s="176">
        <f>IFERROR(_xlfn.XLOOKUP($D51,'Modelling New'!$D:$D,'Modelling New'!$N:$N),"")</f>
        <v>66.754999999999995</v>
      </c>
      <c r="AS52" s="176"/>
    </row>
    <row r="53" spans="1:45" x14ac:dyDescent="0.25">
      <c r="A53" s="175">
        <f t="shared" si="3"/>
        <v>45796</v>
      </c>
      <c r="B53" s="176">
        <f>YEAR(Table13[[#This Row],[Date]])+IF(MONTH(Table13[[#This Row],[Date]])&gt;=4,1,0)</f>
        <v>2026</v>
      </c>
      <c r="C53" s="177">
        <f>YEAR(Table13[[#This Row],[Date]])</f>
        <v>2025</v>
      </c>
      <c r="D53" s="178">
        <f>Table13[[#This Row],[Date]]-DAY(Table13[[#This Row],[Date]])+1</f>
        <v>45778</v>
      </c>
      <c r="E53" s="177">
        <f t="shared" si="4"/>
        <v>31</v>
      </c>
      <c r="F53" s="179">
        <f>IFERROR(_xlfn.XLOOKUP($A53,Raw_Data!$B:$B,Raw_Data!$KG:$KG),"")</f>
        <v>13.216666666666665</v>
      </c>
      <c r="G53" s="180">
        <f>IFERROR(_xlfn.XLOOKUP($A53,Raw_Data!$B:$B,Raw_Data!KH:KH),"")</f>
        <v>0</v>
      </c>
      <c r="H53" s="180"/>
      <c r="I53" s="180">
        <f>IFERROR(_xlfn.XLOOKUP($A53,Raw_Data!$B:$B,Raw_Data!$KI:$KI),"")</f>
        <v>6.27</v>
      </c>
      <c r="J53" s="180"/>
      <c r="K53" s="180">
        <f>IFERROR(_xlfn.XLOOKUP($A53,Raw_Data!$B:$B,Raw_Data!KJ:KJ),"")</f>
        <v>36.200000000000003</v>
      </c>
      <c r="L53" s="180">
        <f>IFERROR(_xlfn.XLOOKUP($A53,Raw_Data!$B:$B,Raw_Data!KK:KK),"")</f>
        <v>40</v>
      </c>
      <c r="M53" s="180">
        <f>IFERROR(_xlfn.XLOOKUP($A53,Raw_Data!$B:$B,Raw_Data!KL:KL),"")</f>
        <v>1.1000000000000001</v>
      </c>
      <c r="N53" s="180">
        <f>IFERROR(_xlfn.XLOOKUP($A53,Raw_Data!$B:$B,Raw_Data!KM:KM),"")</f>
        <v>4.2</v>
      </c>
      <c r="O53" s="181">
        <f>IFERROR(1-SUMIF(PA!$B:$B,$A53,PA!AJ:AJ)/($AA53+SUMIF(PA!$B:$B,$A53,PA!AJ:AJ)),"")</f>
        <v>0.99617066252302477</v>
      </c>
      <c r="P53" s="181"/>
      <c r="Q53" s="182"/>
      <c r="R53" s="181">
        <f>IFERROR(1-SUMIF(GA!$C:$C,$A53,GA!$X:$X)/($AA53+SUMIF(GA!$C:$C,$A53,GA!$X:$X)),"")</f>
        <v>1</v>
      </c>
      <c r="S53" s="177"/>
      <c r="T53" s="182"/>
      <c r="U53" s="183">
        <f t="shared" si="5"/>
        <v>0.77246325585829512</v>
      </c>
      <c r="V53" s="183" t="str">
        <f>IFERROR(_xlfn.XLOOKUP($A53,Raw_Data!$B:$B,Raw_Data!$KQ:$KQ),"")</f>
        <v/>
      </c>
      <c r="W53" s="184">
        <f t="shared" si="6"/>
        <v>0.20180602559297958</v>
      </c>
      <c r="X53" s="176">
        <f>IFERROR(_xlfn.XLOOKUP($A53,Raw_Data!$B:$B,Raw_Data!$KN:$KN),"")</f>
        <v>324288</v>
      </c>
      <c r="Y53" s="176">
        <f>IFERROR(_xlfn.XLOOKUP($A53,Raw_Data!$B:$B,Raw_Data!$KC:$KC),"")</f>
        <v>323348.62399995327</v>
      </c>
      <c r="Z53" s="176">
        <f>IFERROR(_xlfn.XLOOKUP($A53,Raw_Data!$B:$B,Raw_Data!$KD:$KD),"")</f>
        <v>55.370999999999185</v>
      </c>
      <c r="AA53" s="176">
        <f>IFERROR(_xlfn.XLOOKUP($A53,Raw_Data!$B:$B,Raw_Data!$KF:$KF),"")</f>
        <v>323293.25299995329</v>
      </c>
      <c r="AB53" s="176">
        <f>IFERROR(_xlfn.XLOOKUP($A53,Raw_Data!$B:$B,Raw_Data!I:I)/1000,"")</f>
        <v>66.75</v>
      </c>
      <c r="AC53" s="185">
        <f>IFERROR(_xlfn.XLOOKUP($D53,'Modelling New'!$D:$D,'Modelling New'!$P:$P),"")</f>
        <v>6.1838709677419352</v>
      </c>
      <c r="AD53" s="176">
        <f>IFERROR(_xlfn.XLOOKUP($D53,'Modelling New'!$D:$D,'Modelling New'!$T:$T)*1000,"")</f>
        <v>312542.47707899293</v>
      </c>
      <c r="AE53" s="186">
        <f>IFERROR(_xlfn.XLOOKUP($D53,'Modelling New'!$D:$D,'Modelling New'!$O:$O),"")</f>
        <v>0.75712019519744966</v>
      </c>
      <c r="AF53" s="186">
        <f>IFERROR(_xlfn.XLOOKUP($D53,'Modelling New'!$D:$D,'Modelling New'!$W:$W),"")</f>
        <v>0.19508056642385899</v>
      </c>
      <c r="AG53" s="186">
        <f>IFERROR(_xlfn.XLOOKUP($D53,'Modelling New'!$D:$D,'Modelling New'!$AE:$AE),"")</f>
        <v>0.995</v>
      </c>
      <c r="AH53" s="186">
        <f>IFERROR(_xlfn.XLOOKUP($D53,'Modelling New'!$D:$D,'Modelling New'!$AF:$AF),"")</f>
        <v>0.995</v>
      </c>
      <c r="AI53" s="177"/>
      <c r="AJ53" s="177"/>
      <c r="AK53" s="238"/>
      <c r="AL53" s="238"/>
      <c r="AM53" s="238"/>
      <c r="AN53" s="187"/>
      <c r="AO53" s="184"/>
      <c r="AP53" s="184"/>
      <c r="AQ53" s="184"/>
      <c r="AR53" s="176">
        <f>IFERROR(_xlfn.XLOOKUP($D52,'Modelling New'!$D:$D,'Modelling New'!$N:$N),"")</f>
        <v>66.754999999999995</v>
      </c>
      <c r="AS53" s="176"/>
    </row>
    <row r="54" spans="1:45" x14ac:dyDescent="0.25">
      <c r="A54" s="175">
        <f t="shared" si="3"/>
        <v>45797</v>
      </c>
      <c r="B54" s="176">
        <f>YEAR(Table13[[#This Row],[Date]])+IF(MONTH(Table13[[#This Row],[Date]])&gt;=4,1,0)</f>
        <v>2026</v>
      </c>
      <c r="C54" s="177">
        <f>YEAR(Table13[[#This Row],[Date]])</f>
        <v>2025</v>
      </c>
      <c r="D54" s="178">
        <f>Table13[[#This Row],[Date]]-DAY(Table13[[#This Row],[Date]])+1</f>
        <v>45778</v>
      </c>
      <c r="E54" s="177">
        <f t="shared" si="4"/>
        <v>31</v>
      </c>
      <c r="F54" s="179">
        <f>IFERROR(_xlfn.XLOOKUP($A54,Raw_Data!$B:$B,Raw_Data!$KG:$KG),"")</f>
        <v>13.200000000000001</v>
      </c>
      <c r="G54" s="180">
        <f>IFERROR(_xlfn.XLOOKUP($A54,Raw_Data!$B:$B,Raw_Data!KH:KH),"")</f>
        <v>0</v>
      </c>
      <c r="H54" s="180"/>
      <c r="I54" s="180">
        <f>IFERROR(_xlfn.XLOOKUP($A54,Raw_Data!$B:$B,Raw_Data!$KI:$KI),"")</f>
        <v>6.27</v>
      </c>
      <c r="J54" s="180"/>
      <c r="K54" s="180">
        <f>IFERROR(_xlfn.XLOOKUP($A54,Raw_Data!$B:$B,Raw_Data!KJ:KJ),"")</f>
        <v>36.200000000000003</v>
      </c>
      <c r="L54" s="180">
        <f>IFERROR(_xlfn.XLOOKUP($A54,Raw_Data!$B:$B,Raw_Data!KK:KK),"")</f>
        <v>38.229999999999997</v>
      </c>
      <c r="M54" s="180">
        <f>IFERROR(_xlfn.XLOOKUP($A54,Raw_Data!$B:$B,Raw_Data!KL:KL),"")</f>
        <v>1.3</v>
      </c>
      <c r="N54" s="180">
        <f>IFERROR(_xlfn.XLOOKUP($A54,Raw_Data!$B:$B,Raw_Data!KM:KM),"")</f>
        <v>6.3</v>
      </c>
      <c r="O54" s="181">
        <f>IFERROR(1-SUMIF(PA!$B:$B,$A54,PA!AJ:AJ)/($AA54+SUMIF(PA!$B:$B,$A54,PA!AJ:AJ)),"")</f>
        <v>0.9993655920975274</v>
      </c>
      <c r="P54" s="181"/>
      <c r="Q54" s="182"/>
      <c r="R54" s="181">
        <f>IFERROR(1-SUMIF(GA!$C:$C,$A54,GA!$X:$X)/($AA54+SUMIF(GA!$C:$C,$A54,GA!$X:$X)),"")</f>
        <v>1</v>
      </c>
      <c r="S54" s="177"/>
      <c r="T54" s="182"/>
      <c r="U54" s="183">
        <f t="shared" si="5"/>
        <v>0.76721522737724801</v>
      </c>
      <c r="V54" s="183" t="str">
        <f>IFERROR(_xlfn.XLOOKUP($A54,Raw_Data!$B:$B,Raw_Data!$KQ:$KQ),"")</f>
        <v/>
      </c>
      <c r="W54" s="184">
        <f t="shared" si="6"/>
        <v>0.20043497815230604</v>
      </c>
      <c r="X54" s="176">
        <f>IFERROR(_xlfn.XLOOKUP($A54,Raw_Data!$B:$B,Raw_Data!$KN:$KN),"")</f>
        <v>323147</v>
      </c>
      <c r="Y54" s="176">
        <f>IFERROR(_xlfn.XLOOKUP($A54,Raw_Data!$B:$B,Raw_Data!$KC:$KC),"")</f>
        <v>321187.68099999428</v>
      </c>
      <c r="Z54" s="176">
        <f>IFERROR(_xlfn.XLOOKUP($A54,Raw_Data!$B:$B,Raw_Data!$KD:$KD),"")</f>
        <v>90.846000000005006</v>
      </c>
      <c r="AA54" s="176">
        <f>IFERROR(_xlfn.XLOOKUP($A54,Raw_Data!$B:$B,Raw_Data!$KF:$KF),"")</f>
        <v>321096.83499999426</v>
      </c>
      <c r="AB54" s="176">
        <f>IFERROR(_xlfn.XLOOKUP($A54,Raw_Data!$B:$B,Raw_Data!I:I)/1000,"")</f>
        <v>66.75</v>
      </c>
      <c r="AC54" s="185">
        <f>IFERROR(_xlfn.XLOOKUP($D54,'Modelling New'!$D:$D,'Modelling New'!$P:$P),"")</f>
        <v>6.1838709677419352</v>
      </c>
      <c r="AD54" s="176">
        <f>IFERROR(_xlfn.XLOOKUP($D54,'Modelling New'!$D:$D,'Modelling New'!$T:$T)*1000,"")</f>
        <v>312542.47707899293</v>
      </c>
      <c r="AE54" s="186">
        <f>IFERROR(_xlfn.XLOOKUP($D54,'Modelling New'!$D:$D,'Modelling New'!$O:$O),"")</f>
        <v>0.75712019519744966</v>
      </c>
      <c r="AF54" s="186">
        <f>IFERROR(_xlfn.XLOOKUP($D54,'Modelling New'!$D:$D,'Modelling New'!$W:$W),"")</f>
        <v>0.19508056642385899</v>
      </c>
      <c r="AG54" s="186">
        <f>IFERROR(_xlfn.XLOOKUP($D54,'Modelling New'!$D:$D,'Modelling New'!$AE:$AE),"")</f>
        <v>0.995</v>
      </c>
      <c r="AH54" s="186">
        <f>IFERROR(_xlfn.XLOOKUP($D54,'Modelling New'!$D:$D,'Modelling New'!$AF:$AF),"")</f>
        <v>0.995</v>
      </c>
      <c r="AI54" s="177"/>
      <c r="AJ54" s="177"/>
      <c r="AK54" s="238"/>
      <c r="AL54" s="238"/>
      <c r="AM54" s="238"/>
      <c r="AN54" s="187"/>
      <c r="AO54" s="184"/>
      <c r="AP54" s="184"/>
      <c r="AQ54" s="184"/>
      <c r="AR54" s="176">
        <f>IFERROR(_xlfn.XLOOKUP($D53,'Modelling New'!$D:$D,'Modelling New'!$N:$N),"")</f>
        <v>66.754999999999995</v>
      </c>
      <c r="AS54" s="176"/>
    </row>
    <row r="55" spans="1:45" x14ac:dyDescent="0.25">
      <c r="A55" s="175">
        <f t="shared" si="3"/>
        <v>45798</v>
      </c>
      <c r="B55" s="176">
        <f>YEAR(Table13[[#This Row],[Date]])+IF(MONTH(Table13[[#This Row],[Date]])&gt;=4,1,0)</f>
        <v>2026</v>
      </c>
      <c r="C55" s="177">
        <f>YEAR(Table13[[#This Row],[Date]])</f>
        <v>2025</v>
      </c>
      <c r="D55" s="178">
        <f>Table13[[#This Row],[Date]]-DAY(Table13[[#This Row],[Date]])+1</f>
        <v>45778</v>
      </c>
      <c r="E55" s="177">
        <f t="shared" si="4"/>
        <v>31</v>
      </c>
      <c r="F55" s="179">
        <f>IFERROR(_xlfn.XLOOKUP($A55,Raw_Data!$B:$B,Raw_Data!$KG:$KG),"")</f>
        <v>13.183333333333332</v>
      </c>
      <c r="G55" s="180">
        <f>IFERROR(_xlfn.XLOOKUP($A55,Raw_Data!$B:$B,Raw_Data!KH:KH),"")</f>
        <v>0</v>
      </c>
      <c r="H55" s="180"/>
      <c r="I55" s="180">
        <f>IFERROR(_xlfn.XLOOKUP($A55,Raw_Data!$B:$B,Raw_Data!$KI:$KI),"")</f>
        <v>5.79</v>
      </c>
      <c r="J55" s="180"/>
      <c r="K55" s="180">
        <f>IFERROR(_xlfn.XLOOKUP($A55,Raw_Data!$B:$B,Raw_Data!KJ:KJ),"")</f>
        <v>35.5</v>
      </c>
      <c r="L55" s="180">
        <f>IFERROR(_xlfn.XLOOKUP($A55,Raw_Data!$B:$B,Raw_Data!KK:KK),"")</f>
        <v>28</v>
      </c>
      <c r="M55" s="180">
        <f>IFERROR(_xlfn.XLOOKUP($A55,Raw_Data!$B:$B,Raw_Data!KL:KL),"")</f>
        <v>1.1000000000000001</v>
      </c>
      <c r="N55" s="180">
        <f>IFERROR(_xlfn.XLOOKUP($A55,Raw_Data!$B:$B,Raw_Data!KM:KM),"")</f>
        <v>4.3</v>
      </c>
      <c r="O55" s="181">
        <f>IFERROR(1-SUMIF(PA!$B:$B,$A55,PA!AJ:AJ)/($AA55+SUMIF(PA!$B:$B,$A55,PA!AJ:AJ)),"")</f>
        <v>0.99994284475981288</v>
      </c>
      <c r="P55" s="181"/>
      <c r="Q55" s="182"/>
      <c r="R55" s="181">
        <f>IFERROR(1-SUMIF(GA!$C:$C,$A55,GA!$X:$X)/($AA55+SUMIF(GA!$C:$C,$A55,GA!$X:$X)),"")</f>
        <v>1</v>
      </c>
      <c r="S55" s="177"/>
      <c r="T55" s="182"/>
      <c r="U55" s="183">
        <f t="shared" si="5"/>
        <v>0.76257775966577568</v>
      </c>
      <c r="V55" s="183" t="str">
        <f>IFERROR(_xlfn.XLOOKUP($A55,Raw_Data!$B:$B,Raw_Data!$KQ:$KQ),"")</f>
        <v/>
      </c>
      <c r="W55" s="184">
        <f t="shared" si="6"/>
        <v>0.18397188451936838</v>
      </c>
      <c r="X55" s="176">
        <f>IFERROR(_xlfn.XLOOKUP($A55,Raw_Data!$B:$B,Raw_Data!$KN:$KN),"")</f>
        <v>297837.60000000003</v>
      </c>
      <c r="Y55" s="176">
        <f>IFERROR(_xlfn.XLOOKUP($A55,Raw_Data!$B:$B,Raw_Data!$KC:$KC),"")</f>
        <v>294810.93300002813</v>
      </c>
      <c r="Z55" s="176">
        <f>IFERROR(_xlfn.XLOOKUP($A55,Raw_Data!$B:$B,Raw_Data!$KD:$KD),"")</f>
        <v>87.974000000001979</v>
      </c>
      <c r="AA55" s="176">
        <f>IFERROR(_xlfn.XLOOKUP($A55,Raw_Data!$B:$B,Raw_Data!$KF:$KF),"")</f>
        <v>294722.95900002815</v>
      </c>
      <c r="AB55" s="176">
        <f>IFERROR(_xlfn.XLOOKUP($A55,Raw_Data!$B:$B,Raw_Data!I:I)/1000,"")</f>
        <v>66.75</v>
      </c>
      <c r="AC55" s="185">
        <f>IFERROR(_xlfn.XLOOKUP($D55,'Modelling New'!$D:$D,'Modelling New'!$P:$P),"")</f>
        <v>6.1838709677419352</v>
      </c>
      <c r="AD55" s="176">
        <f>IFERROR(_xlfn.XLOOKUP($D55,'Modelling New'!$D:$D,'Modelling New'!$T:$T)*1000,"")</f>
        <v>312542.47707899293</v>
      </c>
      <c r="AE55" s="186">
        <f>IFERROR(_xlfn.XLOOKUP($D55,'Modelling New'!$D:$D,'Modelling New'!$O:$O),"")</f>
        <v>0.75712019519744966</v>
      </c>
      <c r="AF55" s="186">
        <f>IFERROR(_xlfn.XLOOKUP($D55,'Modelling New'!$D:$D,'Modelling New'!$W:$W),"")</f>
        <v>0.19508056642385899</v>
      </c>
      <c r="AG55" s="186">
        <f>IFERROR(_xlfn.XLOOKUP($D55,'Modelling New'!$D:$D,'Modelling New'!$AE:$AE),"")</f>
        <v>0.995</v>
      </c>
      <c r="AH55" s="186">
        <f>IFERROR(_xlfn.XLOOKUP($D55,'Modelling New'!$D:$D,'Modelling New'!$AF:$AF),"")</f>
        <v>0.995</v>
      </c>
      <c r="AI55" s="177"/>
      <c r="AJ55" s="177"/>
      <c r="AK55" s="238"/>
      <c r="AL55" s="238"/>
      <c r="AM55" s="238"/>
      <c r="AN55" s="187"/>
      <c r="AO55" s="184"/>
      <c r="AP55" s="184"/>
      <c r="AQ55" s="184"/>
      <c r="AR55" s="176">
        <f>IFERROR(_xlfn.XLOOKUP($D54,'Modelling New'!$D:$D,'Modelling New'!$N:$N),"")</f>
        <v>66.754999999999995</v>
      </c>
      <c r="AS55" s="176"/>
    </row>
    <row r="56" spans="1:45" x14ac:dyDescent="0.25">
      <c r="A56" s="175">
        <f t="shared" si="3"/>
        <v>45799</v>
      </c>
      <c r="B56" s="176">
        <f>YEAR(Table13[[#This Row],[Date]])+IF(MONTH(Table13[[#This Row],[Date]])&gt;=4,1,0)</f>
        <v>2026</v>
      </c>
      <c r="C56" s="177">
        <f>YEAR(Table13[[#This Row],[Date]])</f>
        <v>2025</v>
      </c>
      <c r="D56" s="178">
        <f>Table13[[#This Row],[Date]]-DAY(Table13[[#This Row],[Date]])+1</f>
        <v>45778</v>
      </c>
      <c r="E56" s="177">
        <f t="shared" si="4"/>
        <v>31</v>
      </c>
      <c r="F56" s="179">
        <f>IFERROR(_xlfn.XLOOKUP($A56,Raw_Data!$B:$B,Raw_Data!$KG:$KG),"")</f>
        <v>13.216666666666669</v>
      </c>
      <c r="G56" s="180">
        <f>IFERROR(_xlfn.XLOOKUP($A56,Raw_Data!$B:$B,Raw_Data!KH:KH),"")</f>
        <v>6.88</v>
      </c>
      <c r="H56" s="180"/>
      <c r="I56" s="180">
        <f>IFERROR(_xlfn.XLOOKUP($A56,Raw_Data!$B:$B,Raw_Data!$KI:$KI),"")</f>
        <v>6.41</v>
      </c>
      <c r="J56" s="180"/>
      <c r="K56" s="180">
        <f>IFERROR(_xlfn.XLOOKUP($A56,Raw_Data!$B:$B,Raw_Data!KJ:KJ),"")</f>
        <v>33.799999999999997</v>
      </c>
      <c r="L56" s="180">
        <f>IFERROR(_xlfn.XLOOKUP($A56,Raw_Data!$B:$B,Raw_Data!KK:KK),"")</f>
        <v>43.42</v>
      </c>
      <c r="M56" s="180">
        <f>IFERROR(_xlfn.XLOOKUP($A56,Raw_Data!$B:$B,Raw_Data!KL:KL),"")</f>
        <v>3.64</v>
      </c>
      <c r="N56" s="180">
        <f>IFERROR(_xlfn.XLOOKUP($A56,Raw_Data!$B:$B,Raw_Data!KM:KM),"")</f>
        <v>8.3000000000000007</v>
      </c>
      <c r="O56" s="181">
        <f>IFERROR(1-SUMIF(PA!$B:$B,$A56,PA!AJ:AJ)/($AA56+SUMIF(PA!$B:$B,$A56,PA!AJ:AJ)),"")</f>
        <v>0.99961179259595334</v>
      </c>
      <c r="P56" s="181"/>
      <c r="Q56" s="182"/>
      <c r="R56" s="181">
        <f>IFERROR(1-SUMIF(GA!$C:$C,$A56,GA!$X:$X)/($AA56+SUMIF(GA!$C:$C,$A56,GA!$X:$X)),"")</f>
        <v>1</v>
      </c>
      <c r="S56" s="177"/>
      <c r="T56" s="182"/>
      <c r="U56" s="183">
        <f t="shared" si="5"/>
        <v>0.75840105640183331</v>
      </c>
      <c r="V56" s="183" t="str">
        <f>IFERROR(_xlfn.XLOOKUP($A56,Raw_Data!$B:$B,Raw_Data!$KQ:$KQ),"")</f>
        <v/>
      </c>
      <c r="W56" s="184">
        <f t="shared" si="6"/>
        <v>0.20255628214732302</v>
      </c>
      <c r="X56" s="176">
        <f>IFERROR(_xlfn.XLOOKUP($A56,Raw_Data!$B:$B,Raw_Data!$KN:$KN),"")</f>
        <v>327534.79999999993</v>
      </c>
      <c r="Y56" s="176">
        <f>IFERROR(_xlfn.XLOOKUP($A56,Raw_Data!$B:$B,Raw_Data!$KC:$KC),"")</f>
        <v>324586.01300001144</v>
      </c>
      <c r="Z56" s="176">
        <f>IFERROR(_xlfn.XLOOKUP($A56,Raw_Data!$B:$B,Raw_Data!$KD:$KD),"")</f>
        <v>90.849000000001979</v>
      </c>
      <c r="AA56" s="176">
        <f>IFERROR(_xlfn.XLOOKUP($A56,Raw_Data!$B:$B,Raw_Data!$KF:$KF),"")</f>
        <v>324495.16400001146</v>
      </c>
      <c r="AB56" s="176">
        <f>IFERROR(_xlfn.XLOOKUP($A56,Raw_Data!$B:$B,Raw_Data!I:I)/1000,"")</f>
        <v>66.75</v>
      </c>
      <c r="AC56" s="185">
        <f>IFERROR(_xlfn.XLOOKUP($D56,'Modelling New'!$D:$D,'Modelling New'!$P:$P),"")</f>
        <v>6.1838709677419352</v>
      </c>
      <c r="AD56" s="176">
        <f>IFERROR(_xlfn.XLOOKUP($D56,'Modelling New'!$D:$D,'Modelling New'!$T:$T)*1000,"")</f>
        <v>312542.47707899293</v>
      </c>
      <c r="AE56" s="186">
        <f>IFERROR(_xlfn.XLOOKUP($D56,'Modelling New'!$D:$D,'Modelling New'!$O:$O),"")</f>
        <v>0.75712019519744966</v>
      </c>
      <c r="AF56" s="186">
        <f>IFERROR(_xlfn.XLOOKUP($D56,'Modelling New'!$D:$D,'Modelling New'!$W:$W),"")</f>
        <v>0.19508056642385899</v>
      </c>
      <c r="AG56" s="186">
        <f>IFERROR(_xlfn.XLOOKUP($D56,'Modelling New'!$D:$D,'Modelling New'!$AE:$AE),"")</f>
        <v>0.995</v>
      </c>
      <c r="AH56" s="186">
        <f>IFERROR(_xlfn.XLOOKUP($D56,'Modelling New'!$D:$D,'Modelling New'!$AF:$AF),"")</f>
        <v>0.995</v>
      </c>
      <c r="AI56" s="177"/>
      <c r="AJ56" s="177"/>
      <c r="AK56" s="238"/>
      <c r="AL56" s="238"/>
      <c r="AM56" s="238"/>
      <c r="AN56" s="187"/>
      <c r="AO56" s="184"/>
      <c r="AP56" s="184"/>
      <c r="AQ56" s="184"/>
      <c r="AR56" s="176">
        <f>IFERROR(_xlfn.XLOOKUP($D55,'Modelling New'!$D:$D,'Modelling New'!$N:$N),"")</f>
        <v>66.754999999999995</v>
      </c>
      <c r="AS56" s="176"/>
    </row>
    <row r="57" spans="1:45" x14ac:dyDescent="0.25">
      <c r="A57" s="175">
        <f t="shared" ref="A57:A120" si="7">A56+1</f>
        <v>45800</v>
      </c>
      <c r="B57" s="176">
        <f>YEAR(Table13[[#This Row],[Date]])+IF(MONTH(Table13[[#This Row],[Date]])&gt;=4,1,0)</f>
        <v>2026</v>
      </c>
      <c r="C57" s="177">
        <f>YEAR(Table13[[#This Row],[Date]])</f>
        <v>2025</v>
      </c>
      <c r="D57" s="178">
        <f>Table13[[#This Row],[Date]]-DAY(Table13[[#This Row],[Date]])+1</f>
        <v>45778</v>
      </c>
      <c r="E57" s="177">
        <f t="shared" si="4"/>
        <v>31</v>
      </c>
      <c r="F57" s="179">
        <f>IFERROR(_xlfn.XLOOKUP($A57,Raw_Data!$B:$B,Raw_Data!$KG:$KG),"")</f>
        <v>13.266666666666667</v>
      </c>
      <c r="G57" s="180">
        <f>IFERROR(_xlfn.XLOOKUP($A57,Raw_Data!$B:$B,Raw_Data!KH:KH),"")</f>
        <v>6.9</v>
      </c>
      <c r="H57" s="180"/>
      <c r="I57" s="180">
        <f>IFERROR(_xlfn.XLOOKUP($A57,Raw_Data!$B:$B,Raw_Data!$KI:$KI),"")</f>
        <v>6.38</v>
      </c>
      <c r="J57" s="180"/>
      <c r="K57" s="180">
        <f>IFERROR(_xlfn.XLOOKUP($A57,Raw_Data!$B:$B,Raw_Data!KJ:KJ),"")</f>
        <v>34.93</v>
      </c>
      <c r="L57" s="180">
        <f>IFERROR(_xlfn.XLOOKUP($A57,Raw_Data!$B:$B,Raw_Data!KK:KK),"")</f>
        <v>46.23</v>
      </c>
      <c r="M57" s="180">
        <f>IFERROR(_xlfn.XLOOKUP($A57,Raw_Data!$B:$B,Raw_Data!KL:KL),"")</f>
        <v>3.32</v>
      </c>
      <c r="N57" s="180">
        <f>IFERROR(_xlfn.XLOOKUP($A57,Raw_Data!$B:$B,Raw_Data!KM:KM),"")</f>
        <v>7.1</v>
      </c>
      <c r="O57" s="181">
        <f>IFERROR(1-SUMIF(PA!$B:$B,$A57,PA!AJ:AJ)/($AA57+SUMIF(PA!$B:$B,$A57,PA!AJ:AJ)),"")</f>
        <v>0.99980625699903847</v>
      </c>
      <c r="P57" s="181"/>
      <c r="Q57" s="182"/>
      <c r="R57" s="181">
        <f>IFERROR(1-SUMIF(GA!$C:$C,$A57,GA!$X:$X)/($AA57+SUMIF(GA!$C:$C,$A57,GA!$X:$X)),"")</f>
        <v>1</v>
      </c>
      <c r="S57" s="177"/>
      <c r="T57" s="182"/>
      <c r="U57" s="183">
        <f t="shared" si="5"/>
        <v>0.75876149953623251</v>
      </c>
      <c r="V57" s="183" t="str">
        <f>IFERROR(_xlfn.XLOOKUP($A57,Raw_Data!$B:$B,Raw_Data!$KQ:$KQ),"")</f>
        <v/>
      </c>
      <c r="W57" s="184">
        <f t="shared" si="6"/>
        <v>0.20170409862671512</v>
      </c>
      <c r="X57" s="176">
        <f>IFERROR(_xlfn.XLOOKUP($A57,Raw_Data!$B:$B,Raw_Data!$KN:$KN),"")</f>
        <v>326090.96999999997</v>
      </c>
      <c r="Y57" s="176">
        <f>IFERROR(_xlfn.XLOOKUP($A57,Raw_Data!$B:$B,Raw_Data!$KC:$KC),"")</f>
        <v>323230.81499999762</v>
      </c>
      <c r="Z57" s="176">
        <f>IFERROR(_xlfn.XLOOKUP($A57,Raw_Data!$B:$B,Raw_Data!$KD:$KD),"")</f>
        <v>100.84900000000198</v>
      </c>
      <c r="AA57" s="176">
        <f>IFERROR(_xlfn.XLOOKUP($A57,Raw_Data!$B:$B,Raw_Data!$KF:$KF),"")</f>
        <v>323129.96599999763</v>
      </c>
      <c r="AB57" s="176">
        <f>IFERROR(_xlfn.XLOOKUP($A57,Raw_Data!$B:$B,Raw_Data!I:I)/1000,"")</f>
        <v>66.75</v>
      </c>
      <c r="AC57" s="185">
        <f>IFERROR(_xlfn.XLOOKUP($D57,'Modelling New'!$D:$D,'Modelling New'!$P:$P),"")</f>
        <v>6.1838709677419352</v>
      </c>
      <c r="AD57" s="176">
        <f>IFERROR(_xlfn.XLOOKUP($D57,'Modelling New'!$D:$D,'Modelling New'!$T:$T)*1000,"")</f>
        <v>312542.47707899293</v>
      </c>
      <c r="AE57" s="186">
        <f>IFERROR(_xlfn.XLOOKUP($D57,'Modelling New'!$D:$D,'Modelling New'!$O:$O),"")</f>
        <v>0.75712019519744966</v>
      </c>
      <c r="AF57" s="186">
        <f>IFERROR(_xlfn.XLOOKUP($D57,'Modelling New'!$D:$D,'Modelling New'!$W:$W),"")</f>
        <v>0.19508056642385899</v>
      </c>
      <c r="AG57" s="186">
        <f>IFERROR(_xlfn.XLOOKUP($D57,'Modelling New'!$D:$D,'Modelling New'!$AE:$AE),"")</f>
        <v>0.995</v>
      </c>
      <c r="AH57" s="186">
        <f>IFERROR(_xlfn.XLOOKUP($D57,'Modelling New'!$D:$D,'Modelling New'!$AF:$AF),"")</f>
        <v>0.995</v>
      </c>
      <c r="AI57" s="177"/>
      <c r="AJ57" s="177"/>
      <c r="AK57" s="238"/>
      <c r="AL57" s="238"/>
      <c r="AM57" s="238"/>
      <c r="AN57" s="187"/>
      <c r="AO57" s="184"/>
      <c r="AP57" s="184"/>
      <c r="AQ57" s="184"/>
      <c r="AR57" s="176">
        <f>IFERROR(_xlfn.XLOOKUP($D56,'Modelling New'!$D:$D,'Modelling New'!$N:$N),"")</f>
        <v>66.754999999999995</v>
      </c>
      <c r="AS57" s="176"/>
    </row>
    <row r="58" spans="1:45" x14ac:dyDescent="0.25">
      <c r="A58" s="175">
        <f t="shared" si="7"/>
        <v>45801</v>
      </c>
      <c r="B58" s="176">
        <f>YEAR(Table13[[#This Row],[Date]])+IF(MONTH(Table13[[#This Row],[Date]])&gt;=4,1,0)</f>
        <v>2026</v>
      </c>
      <c r="C58" s="177">
        <f>YEAR(Table13[[#This Row],[Date]])</f>
        <v>2025</v>
      </c>
      <c r="D58" s="178">
        <f>Table13[[#This Row],[Date]]-DAY(Table13[[#This Row],[Date]])+1</f>
        <v>45778</v>
      </c>
      <c r="E58" s="177">
        <f t="shared" si="4"/>
        <v>31</v>
      </c>
      <c r="F58" s="179">
        <f>IFERROR(_xlfn.XLOOKUP($A58,Raw_Data!$B:$B,Raw_Data!$KG:$KG),"")</f>
        <v>13.233333333333334</v>
      </c>
      <c r="G58" s="180">
        <f>IFERROR(_xlfn.XLOOKUP($A58,Raw_Data!$B:$B,Raw_Data!KH:KH),"")</f>
        <v>6.17</v>
      </c>
      <c r="H58" s="180"/>
      <c r="I58" s="180">
        <f>IFERROR(_xlfn.XLOOKUP($A58,Raw_Data!$B:$B,Raw_Data!$KI:$KI),"")</f>
        <v>5.67</v>
      </c>
      <c r="J58" s="180"/>
      <c r="K58" s="180">
        <f>IFERROR(_xlfn.XLOOKUP($A58,Raw_Data!$B:$B,Raw_Data!KJ:KJ),"")</f>
        <v>35.89</v>
      </c>
      <c r="L58" s="180">
        <f>IFERROR(_xlfn.XLOOKUP($A58,Raw_Data!$B:$B,Raw_Data!KK:KK),"")</f>
        <v>44.51</v>
      </c>
      <c r="M58" s="180">
        <f>IFERROR(_xlfn.XLOOKUP($A58,Raw_Data!$B:$B,Raw_Data!KL:KL),"")</f>
        <v>4.63</v>
      </c>
      <c r="N58" s="180">
        <f>IFERROR(_xlfn.XLOOKUP($A58,Raw_Data!$B:$B,Raw_Data!KM:KM),"")</f>
        <v>7.7</v>
      </c>
      <c r="O58" s="181">
        <f>IFERROR(1-SUMIF(PA!$B:$B,$A58,PA!AJ:AJ)/($AA58+SUMIF(PA!$B:$B,$A58,PA!AJ:AJ)),"")</f>
        <v>0.99768153892155065</v>
      </c>
      <c r="P58" s="181"/>
      <c r="Q58" s="182"/>
      <c r="R58" s="181">
        <f>IFERROR(1-SUMIF(GA!$C:$C,$A58,GA!$X:$X)/($AA58+SUMIF(GA!$C:$C,$A58,GA!$X:$X)),"")</f>
        <v>1</v>
      </c>
      <c r="S58" s="177"/>
      <c r="T58" s="182"/>
      <c r="U58" s="183">
        <f t="shared" si="5"/>
        <v>0.76135950960770327</v>
      </c>
      <c r="V58" s="183" t="str">
        <f>IFERROR(_xlfn.XLOOKUP($A58,Raw_Data!$B:$B,Raw_Data!$KQ:$KQ),"")</f>
        <v/>
      </c>
      <c r="W58" s="184">
        <f t="shared" si="6"/>
        <v>0.17987118414481987</v>
      </c>
      <c r="X58" s="176">
        <f>IFERROR(_xlfn.XLOOKUP($A58,Raw_Data!$B:$B,Raw_Data!$KN:$KN),"")</f>
        <v>290997.69999999995</v>
      </c>
      <c r="Y58" s="176">
        <f>IFERROR(_xlfn.XLOOKUP($A58,Raw_Data!$B:$B,Raw_Data!$KC:$KC),"")</f>
        <v>288274.48600000143</v>
      </c>
      <c r="Z58" s="176">
        <f>IFERROR(_xlfn.XLOOKUP($A58,Raw_Data!$B:$B,Raw_Data!$KD:$KD),"")</f>
        <v>120.84900000000198</v>
      </c>
      <c r="AA58" s="176">
        <f>IFERROR(_xlfn.XLOOKUP($A58,Raw_Data!$B:$B,Raw_Data!$KF:$KF),"")</f>
        <v>288153.63700000144</v>
      </c>
      <c r="AB58" s="176">
        <f>IFERROR(_xlfn.XLOOKUP($A58,Raw_Data!$B:$B,Raw_Data!I:I)/1000,"")</f>
        <v>66.75</v>
      </c>
      <c r="AC58" s="185">
        <f>IFERROR(_xlfn.XLOOKUP($D58,'Modelling New'!$D:$D,'Modelling New'!$P:$P),"")</f>
        <v>6.1838709677419352</v>
      </c>
      <c r="AD58" s="176">
        <f>IFERROR(_xlfn.XLOOKUP($D58,'Modelling New'!$D:$D,'Modelling New'!$T:$T)*1000,"")</f>
        <v>312542.47707899293</v>
      </c>
      <c r="AE58" s="186">
        <f>IFERROR(_xlfn.XLOOKUP($D58,'Modelling New'!$D:$D,'Modelling New'!$O:$O),"")</f>
        <v>0.75712019519744966</v>
      </c>
      <c r="AF58" s="186">
        <f>IFERROR(_xlfn.XLOOKUP($D58,'Modelling New'!$D:$D,'Modelling New'!$W:$W),"")</f>
        <v>0.19508056642385899</v>
      </c>
      <c r="AG58" s="186">
        <f>IFERROR(_xlfn.XLOOKUP($D58,'Modelling New'!$D:$D,'Modelling New'!$AE:$AE),"")</f>
        <v>0.995</v>
      </c>
      <c r="AH58" s="186">
        <f>IFERROR(_xlfn.XLOOKUP($D58,'Modelling New'!$D:$D,'Modelling New'!$AF:$AF),"")</f>
        <v>0.995</v>
      </c>
      <c r="AI58" s="177"/>
      <c r="AJ58" s="177"/>
      <c r="AK58" s="238"/>
      <c r="AL58" s="238"/>
      <c r="AM58" s="238"/>
      <c r="AN58" s="187"/>
      <c r="AO58" s="184"/>
      <c r="AP58" s="184"/>
      <c r="AQ58" s="184"/>
      <c r="AR58" s="176">
        <f>IFERROR(_xlfn.XLOOKUP($D57,'Modelling New'!$D:$D,'Modelling New'!$N:$N),"")</f>
        <v>66.754999999999995</v>
      </c>
      <c r="AS58" s="176"/>
    </row>
    <row r="59" spans="1:45" x14ac:dyDescent="0.25">
      <c r="A59" s="175">
        <f t="shared" si="7"/>
        <v>45802</v>
      </c>
      <c r="B59" s="176">
        <f>YEAR(Table13[[#This Row],[Date]])+IF(MONTH(Table13[[#This Row],[Date]])&gt;=4,1,0)</f>
        <v>2026</v>
      </c>
      <c r="C59" s="177">
        <f>YEAR(Table13[[#This Row],[Date]])</f>
        <v>2025</v>
      </c>
      <c r="D59" s="178">
        <f>Table13[[#This Row],[Date]]-DAY(Table13[[#This Row],[Date]])+1</f>
        <v>45778</v>
      </c>
      <c r="E59" s="177">
        <f t="shared" si="4"/>
        <v>31</v>
      </c>
      <c r="F59" s="179">
        <f>IFERROR(_xlfn.XLOOKUP($A59,Raw_Data!$B:$B,Raw_Data!$KG:$KG),"")</f>
        <v>12.766666666666664</v>
      </c>
      <c r="G59" s="180">
        <f>IFERROR(_xlfn.XLOOKUP($A59,Raw_Data!$B:$B,Raw_Data!KH:KH),"")</f>
        <v>6.76</v>
      </c>
      <c r="H59" s="180"/>
      <c r="I59" s="180">
        <f>IFERROR(_xlfn.XLOOKUP($A59,Raw_Data!$B:$B,Raw_Data!$KI:$KI),"")</f>
        <v>6.25</v>
      </c>
      <c r="J59" s="180"/>
      <c r="K59" s="180">
        <f>IFERROR(_xlfn.XLOOKUP($A59,Raw_Data!$B:$B,Raw_Data!KJ:KJ),"")</f>
        <v>36.28</v>
      </c>
      <c r="L59" s="180">
        <f>IFERROR(_xlfn.XLOOKUP($A59,Raw_Data!$B:$B,Raw_Data!KK:KK),"")</f>
        <v>44.75</v>
      </c>
      <c r="M59" s="180">
        <f>IFERROR(_xlfn.XLOOKUP($A59,Raw_Data!$B:$B,Raw_Data!KL:KL),"")</f>
        <v>2.4</v>
      </c>
      <c r="N59" s="180">
        <f>IFERROR(_xlfn.XLOOKUP($A59,Raw_Data!$B:$B,Raw_Data!KM:KM),"")</f>
        <v>6.5</v>
      </c>
      <c r="O59" s="181">
        <f>IFERROR(1-SUMIF(PA!$B:$B,$A59,PA!AJ:AJ)/($AA59+SUMIF(PA!$B:$B,$A59,PA!AJ:AJ)),"")</f>
        <v>0.99869196248249059</v>
      </c>
      <c r="P59" s="181"/>
      <c r="Q59" s="182"/>
      <c r="R59" s="181">
        <f>IFERROR(1-SUMIF(GA!$C:$C,$A59,GA!$X:$X)/($AA59+SUMIF(GA!$C:$C,$A59,GA!$X:$X)),"")</f>
        <v>1</v>
      </c>
      <c r="S59" s="177"/>
      <c r="T59" s="182"/>
      <c r="U59" s="183">
        <f t="shared" si="5"/>
        <v>0.7947604494381475</v>
      </c>
      <c r="V59" s="183" t="str">
        <f>IFERROR(_xlfn.XLOOKUP($A59,Raw_Data!$B:$B,Raw_Data!$KQ:$KQ),"")</f>
        <v/>
      </c>
      <c r="W59" s="184">
        <f t="shared" si="6"/>
        <v>0.20696886704118422</v>
      </c>
      <c r="X59" s="176">
        <f>IFERROR(_xlfn.XLOOKUP($A59,Raw_Data!$B:$B,Raw_Data!$KN:$KN),"")</f>
        <v>333824.30000000005</v>
      </c>
      <c r="Y59" s="176">
        <f>IFERROR(_xlfn.XLOOKUP($A59,Raw_Data!$B:$B,Raw_Data!$KC:$KC),"")</f>
        <v>331724.97399997711</v>
      </c>
      <c r="Z59" s="176">
        <f>IFERROR(_xlfn.XLOOKUP($A59,Raw_Data!$B:$B,Raw_Data!$KD:$KD),"")</f>
        <v>160.84899999998743</v>
      </c>
      <c r="AA59" s="176">
        <f>IFERROR(_xlfn.XLOOKUP($A59,Raw_Data!$B:$B,Raw_Data!$KF:$KF),"")</f>
        <v>331564.12499997712</v>
      </c>
      <c r="AB59" s="176">
        <f>IFERROR(_xlfn.XLOOKUP($A59,Raw_Data!$B:$B,Raw_Data!I:I)/1000,"")</f>
        <v>66.75</v>
      </c>
      <c r="AC59" s="185">
        <f>IFERROR(_xlfn.XLOOKUP($D59,'Modelling New'!$D:$D,'Modelling New'!$P:$P),"")</f>
        <v>6.1838709677419352</v>
      </c>
      <c r="AD59" s="176">
        <f>IFERROR(_xlfn.XLOOKUP($D59,'Modelling New'!$D:$D,'Modelling New'!$T:$T)*1000,"")</f>
        <v>312542.47707899293</v>
      </c>
      <c r="AE59" s="186">
        <f>IFERROR(_xlfn.XLOOKUP($D59,'Modelling New'!$D:$D,'Modelling New'!$O:$O),"")</f>
        <v>0.75712019519744966</v>
      </c>
      <c r="AF59" s="186">
        <f>IFERROR(_xlfn.XLOOKUP($D59,'Modelling New'!$D:$D,'Modelling New'!$W:$W),"")</f>
        <v>0.19508056642385899</v>
      </c>
      <c r="AG59" s="186">
        <f>IFERROR(_xlfn.XLOOKUP($D59,'Modelling New'!$D:$D,'Modelling New'!$AE:$AE),"")</f>
        <v>0.995</v>
      </c>
      <c r="AH59" s="186">
        <f>IFERROR(_xlfn.XLOOKUP($D59,'Modelling New'!$D:$D,'Modelling New'!$AF:$AF),"")</f>
        <v>0.995</v>
      </c>
      <c r="AI59" s="177"/>
      <c r="AJ59" s="177"/>
      <c r="AK59" s="238"/>
      <c r="AL59" s="238"/>
      <c r="AM59" s="238"/>
      <c r="AN59" s="187"/>
      <c r="AO59" s="184"/>
      <c r="AP59" s="184"/>
      <c r="AQ59" s="184"/>
      <c r="AR59" s="176">
        <f>IFERROR(_xlfn.XLOOKUP($D58,'Modelling New'!$D:$D,'Modelling New'!$N:$N),"")</f>
        <v>66.754999999999995</v>
      </c>
      <c r="AS59" s="176"/>
    </row>
    <row r="60" spans="1:45" x14ac:dyDescent="0.25">
      <c r="A60" s="175">
        <f t="shared" si="7"/>
        <v>45803</v>
      </c>
      <c r="B60" s="176">
        <f>YEAR(Table13[[#This Row],[Date]])+IF(MONTH(Table13[[#This Row],[Date]])&gt;=4,1,0)</f>
        <v>2026</v>
      </c>
      <c r="C60" s="177">
        <f>YEAR(Table13[[#This Row],[Date]])</f>
        <v>2025</v>
      </c>
      <c r="D60" s="178">
        <f>Table13[[#This Row],[Date]]-DAY(Table13[[#This Row],[Date]])+1</f>
        <v>45778</v>
      </c>
      <c r="E60" s="177">
        <f t="shared" si="4"/>
        <v>31</v>
      </c>
      <c r="F60" s="179">
        <f>IFERROR(_xlfn.XLOOKUP($A60,Raw_Data!$B:$B,Raw_Data!$KG:$KG),"")</f>
        <v>13.283333333333331</v>
      </c>
      <c r="G60" s="180">
        <f>IFERROR(_xlfn.XLOOKUP($A60,Raw_Data!$B:$B,Raw_Data!KH:KH),"")</f>
        <v>5.25</v>
      </c>
      <c r="H60" s="180"/>
      <c r="I60" s="180">
        <f>IFERROR(_xlfn.XLOOKUP($A60,Raw_Data!$B:$B,Raw_Data!$KI:$KI),"")</f>
        <v>4.8099999999999996</v>
      </c>
      <c r="J60" s="180"/>
      <c r="K60" s="180">
        <f>IFERROR(_xlfn.XLOOKUP($A60,Raw_Data!$B:$B,Raw_Data!KJ:KJ),"")</f>
        <v>32.47</v>
      </c>
      <c r="L60" s="180">
        <f>IFERROR(_xlfn.XLOOKUP($A60,Raw_Data!$B:$B,Raw_Data!KK:KK),"")</f>
        <v>39.01</v>
      </c>
      <c r="M60" s="180">
        <f>IFERROR(_xlfn.XLOOKUP($A60,Raw_Data!$B:$B,Raw_Data!KL:KL),"")</f>
        <v>3.18</v>
      </c>
      <c r="N60" s="180">
        <f>IFERROR(_xlfn.XLOOKUP($A60,Raw_Data!$B:$B,Raw_Data!KM:KM),"")</f>
        <v>8.3000000000000007</v>
      </c>
      <c r="O60" s="181">
        <f>IFERROR(1-SUMIF(PA!$B:$B,$A60,PA!AJ:AJ)/($AA60+SUMIF(PA!$B:$B,$A60,PA!AJ:AJ)),"")</f>
        <v>0.99655884030935726</v>
      </c>
      <c r="P60" s="181"/>
      <c r="Q60" s="182"/>
      <c r="R60" s="181">
        <f>IFERROR(1-SUMIF(GA!$C:$C,$A60,GA!$X:$X)/($AA60+SUMIF(GA!$C:$C,$A60,GA!$X:$X)),"")</f>
        <v>1</v>
      </c>
      <c r="S60" s="177"/>
      <c r="T60" s="182"/>
      <c r="U60" s="183">
        <f t="shared" si="5"/>
        <v>0.79803355057737535</v>
      </c>
      <c r="V60" s="183" t="str">
        <f>IFERROR(_xlfn.XLOOKUP($A60,Raw_Data!$B:$B,Raw_Data!$KQ:$KQ),"")</f>
        <v/>
      </c>
      <c r="W60" s="184">
        <f t="shared" si="6"/>
        <v>0.15993922409488229</v>
      </c>
      <c r="X60" s="176">
        <f>IFERROR(_xlfn.XLOOKUP($A60,Raw_Data!$B:$B,Raw_Data!$KN:$KN),"")</f>
        <v>258237.06000000003</v>
      </c>
      <c r="Y60" s="176">
        <f>IFERROR(_xlfn.XLOOKUP($A60,Raw_Data!$B:$B,Raw_Data!$KC:$KC),"")</f>
        <v>256383.48600000143</v>
      </c>
      <c r="Z60" s="176">
        <f>IFERROR(_xlfn.XLOOKUP($A60,Raw_Data!$B:$B,Raw_Data!$KD:$KD),"")</f>
        <v>160.84900000000198</v>
      </c>
      <c r="AA60" s="176">
        <f>IFERROR(_xlfn.XLOOKUP($A60,Raw_Data!$B:$B,Raw_Data!$KF:$KF),"")</f>
        <v>256222.63700000144</v>
      </c>
      <c r="AB60" s="176">
        <f>IFERROR(_xlfn.XLOOKUP($A60,Raw_Data!$B:$B,Raw_Data!I:I)/1000,"")</f>
        <v>66.75</v>
      </c>
      <c r="AC60" s="185">
        <f>IFERROR(_xlfn.XLOOKUP($D60,'Modelling New'!$D:$D,'Modelling New'!$P:$P),"")</f>
        <v>6.1838709677419352</v>
      </c>
      <c r="AD60" s="176">
        <f>IFERROR(_xlfn.XLOOKUP($D60,'Modelling New'!$D:$D,'Modelling New'!$T:$T)*1000,"")</f>
        <v>312542.47707899293</v>
      </c>
      <c r="AE60" s="186">
        <f>IFERROR(_xlfn.XLOOKUP($D60,'Modelling New'!$D:$D,'Modelling New'!$O:$O),"")</f>
        <v>0.75712019519744966</v>
      </c>
      <c r="AF60" s="186">
        <f>IFERROR(_xlfn.XLOOKUP($D60,'Modelling New'!$D:$D,'Modelling New'!$W:$W),"")</f>
        <v>0.19508056642385899</v>
      </c>
      <c r="AG60" s="186">
        <f>IFERROR(_xlfn.XLOOKUP($D60,'Modelling New'!$D:$D,'Modelling New'!$AE:$AE),"")</f>
        <v>0.995</v>
      </c>
      <c r="AH60" s="186">
        <f>IFERROR(_xlfn.XLOOKUP($D60,'Modelling New'!$D:$D,'Modelling New'!$AF:$AF),"")</f>
        <v>0.995</v>
      </c>
      <c r="AI60" s="177"/>
      <c r="AJ60" s="177"/>
      <c r="AK60" s="238"/>
      <c r="AL60" s="238"/>
      <c r="AM60" s="238"/>
      <c r="AN60" s="187"/>
      <c r="AO60" s="184"/>
      <c r="AP60" s="184"/>
      <c r="AQ60" s="184"/>
      <c r="AR60" s="176">
        <f>IFERROR(_xlfn.XLOOKUP($D59,'Modelling New'!$D:$D,'Modelling New'!$N:$N),"")</f>
        <v>66.754999999999995</v>
      </c>
      <c r="AS60" s="176"/>
    </row>
    <row r="61" spans="1:45" x14ac:dyDescent="0.25">
      <c r="A61" s="175">
        <f t="shared" si="7"/>
        <v>45804</v>
      </c>
      <c r="B61" s="176">
        <f>YEAR(Table13[[#This Row],[Date]])+IF(MONTH(Table13[[#This Row],[Date]])&gt;=4,1,0)</f>
        <v>2026</v>
      </c>
      <c r="C61" s="177">
        <f>YEAR(Table13[[#This Row],[Date]])</f>
        <v>2025</v>
      </c>
      <c r="D61" s="178">
        <f>Table13[[#This Row],[Date]]-DAY(Table13[[#This Row],[Date]])+1</f>
        <v>45778</v>
      </c>
      <c r="E61" s="177">
        <f t="shared" si="4"/>
        <v>31</v>
      </c>
      <c r="F61" s="179">
        <f>IFERROR(_xlfn.XLOOKUP($A61,Raw_Data!$B:$B,Raw_Data!$KG:$KG),"")</f>
        <v>13.349999999999998</v>
      </c>
      <c r="G61" s="180">
        <f>IFERROR(_xlfn.XLOOKUP($A61,Raw_Data!$B:$B,Raw_Data!KH:KH),"")</f>
        <v>6.45</v>
      </c>
      <c r="H61" s="180"/>
      <c r="I61" s="180">
        <f>IFERROR(_xlfn.XLOOKUP($A61,Raw_Data!$B:$B,Raw_Data!$KI:$KI),"")</f>
        <v>5.98</v>
      </c>
      <c r="J61" s="180"/>
      <c r="K61" s="180">
        <f>IFERROR(_xlfn.XLOOKUP($A61,Raw_Data!$B:$B,Raw_Data!KJ:KJ),"")</f>
        <v>34.17</v>
      </c>
      <c r="L61" s="180">
        <f>IFERROR(_xlfn.XLOOKUP($A61,Raw_Data!$B:$B,Raw_Data!KK:KK),"")</f>
        <v>39.270000000000003</v>
      </c>
      <c r="M61" s="180">
        <f>IFERROR(_xlfn.XLOOKUP($A61,Raw_Data!$B:$B,Raw_Data!KL:KL),"")</f>
        <v>1.95</v>
      </c>
      <c r="N61" s="180">
        <f>IFERROR(_xlfn.XLOOKUP($A61,Raw_Data!$B:$B,Raw_Data!KM:KM),"")</f>
        <v>5.7</v>
      </c>
      <c r="O61" s="181">
        <f>IFERROR(1-SUMIF(PA!$B:$B,$A61,PA!AJ:AJ)/($AA61+SUMIF(PA!$B:$B,$A61,PA!AJ:AJ)),"")</f>
        <v>0.99926232371150991</v>
      </c>
      <c r="P61" s="181"/>
      <c r="Q61" s="182"/>
      <c r="R61" s="181">
        <f>IFERROR(1-SUMIF(GA!$C:$C,$A61,GA!$X:$X)/($AA61+SUMIF(GA!$C:$C,$A61,GA!$X:$X)),"")</f>
        <v>1</v>
      </c>
      <c r="S61" s="177"/>
      <c r="T61" s="182"/>
      <c r="U61" s="183">
        <f t="shared" si="5"/>
        <v>0.77177347713355449</v>
      </c>
      <c r="V61" s="183" t="str">
        <f>IFERROR(_xlfn.XLOOKUP($A61,Raw_Data!$B:$B,Raw_Data!$KQ:$KQ),"")</f>
        <v/>
      </c>
      <c r="W61" s="184">
        <f t="shared" si="6"/>
        <v>0.19230022471911065</v>
      </c>
      <c r="X61" s="176">
        <f>IFERROR(_xlfn.XLOOKUP($A61,Raw_Data!$B:$B,Raw_Data!$KN:$KN),"")</f>
        <v>311840.19999999984</v>
      </c>
      <c r="Y61" s="176">
        <f>IFERROR(_xlfn.XLOOKUP($A61,Raw_Data!$B:$B,Raw_Data!$KC:$KC),"")</f>
        <v>308223.80900001526</v>
      </c>
      <c r="Z61" s="176">
        <f>IFERROR(_xlfn.XLOOKUP($A61,Raw_Data!$B:$B,Raw_Data!$KD:$KD),"")</f>
        <v>158.84900000000198</v>
      </c>
      <c r="AA61" s="176">
        <f>IFERROR(_xlfn.XLOOKUP($A61,Raw_Data!$B:$B,Raw_Data!$KF:$KF),"")</f>
        <v>308064.96000001527</v>
      </c>
      <c r="AB61" s="176">
        <f>IFERROR(_xlfn.XLOOKUP($A61,Raw_Data!$B:$B,Raw_Data!I:I)/1000,"")</f>
        <v>66.75</v>
      </c>
      <c r="AC61" s="185">
        <f>IFERROR(_xlfn.XLOOKUP($D61,'Modelling New'!$D:$D,'Modelling New'!$P:$P),"")</f>
        <v>6.1838709677419352</v>
      </c>
      <c r="AD61" s="176">
        <f>IFERROR(_xlfn.XLOOKUP($D61,'Modelling New'!$D:$D,'Modelling New'!$T:$T)*1000,"")</f>
        <v>312542.47707899293</v>
      </c>
      <c r="AE61" s="186">
        <f>IFERROR(_xlfn.XLOOKUP($D61,'Modelling New'!$D:$D,'Modelling New'!$O:$O),"")</f>
        <v>0.75712019519744966</v>
      </c>
      <c r="AF61" s="186">
        <f>IFERROR(_xlfn.XLOOKUP($D61,'Modelling New'!$D:$D,'Modelling New'!$W:$W),"")</f>
        <v>0.19508056642385899</v>
      </c>
      <c r="AG61" s="186">
        <f>IFERROR(_xlfn.XLOOKUP($D61,'Modelling New'!$D:$D,'Modelling New'!$AE:$AE),"")</f>
        <v>0.995</v>
      </c>
      <c r="AH61" s="186">
        <f>IFERROR(_xlfn.XLOOKUP($D61,'Modelling New'!$D:$D,'Modelling New'!$AF:$AF),"")</f>
        <v>0.995</v>
      </c>
      <c r="AI61" s="177"/>
      <c r="AJ61" s="177"/>
      <c r="AK61" s="238"/>
      <c r="AL61" s="238"/>
      <c r="AM61" s="238"/>
      <c r="AN61" s="187"/>
      <c r="AO61" s="184"/>
      <c r="AP61" s="184"/>
      <c r="AQ61" s="184"/>
      <c r="AR61" s="176">
        <f>IFERROR(_xlfn.XLOOKUP($D60,'Modelling New'!$D:$D,'Modelling New'!$N:$N),"")</f>
        <v>66.754999999999995</v>
      </c>
      <c r="AS61" s="176"/>
    </row>
    <row r="62" spans="1:45" x14ac:dyDescent="0.25">
      <c r="A62" s="175">
        <f t="shared" si="7"/>
        <v>45805</v>
      </c>
      <c r="B62" s="176">
        <f>YEAR(Table13[[#This Row],[Date]])+IF(MONTH(Table13[[#This Row],[Date]])&gt;=4,1,0)</f>
        <v>2026</v>
      </c>
      <c r="C62" s="177">
        <f>YEAR(Table13[[#This Row],[Date]])</f>
        <v>2025</v>
      </c>
      <c r="D62" s="178">
        <f>Table13[[#This Row],[Date]]-DAY(Table13[[#This Row],[Date]])+1</f>
        <v>45778</v>
      </c>
      <c r="E62" s="177">
        <f t="shared" si="4"/>
        <v>31</v>
      </c>
      <c r="F62" s="179">
        <f>IFERROR(_xlfn.XLOOKUP($A62,Raw_Data!$B:$B,Raw_Data!$KG:$KG),"")</f>
        <v>13.416666666666664</v>
      </c>
      <c r="G62" s="180">
        <f>IFERROR(_xlfn.XLOOKUP($A62,Raw_Data!$B:$B,Raw_Data!KH:KH),"")</f>
        <v>6.79</v>
      </c>
      <c r="H62" s="180"/>
      <c r="I62" s="180">
        <f>IFERROR(_xlfn.XLOOKUP($A62,Raw_Data!$B:$B,Raw_Data!$KI:$KI),"")</f>
        <v>6.28</v>
      </c>
      <c r="J62" s="180"/>
      <c r="K62" s="180">
        <f>IFERROR(_xlfn.XLOOKUP($A62,Raw_Data!$B:$B,Raw_Data!KJ:KJ),"")</f>
        <v>36.79</v>
      </c>
      <c r="L62" s="180">
        <f>IFERROR(_xlfn.XLOOKUP($A62,Raw_Data!$B:$B,Raw_Data!KK:KK),"")</f>
        <v>48.09</v>
      </c>
      <c r="M62" s="180">
        <f>IFERROR(_xlfn.XLOOKUP($A62,Raw_Data!$B:$B,Raw_Data!KL:KL),"")</f>
        <v>1.97</v>
      </c>
      <c r="N62" s="180">
        <f>IFERROR(_xlfn.XLOOKUP($A62,Raw_Data!$B:$B,Raw_Data!KM:KM),"")</f>
        <v>4.9000000000000004</v>
      </c>
      <c r="O62" s="181">
        <f>IFERROR(1-SUMIF(PA!$B:$B,$A62,PA!AJ:AJ)/($AA62+SUMIF(PA!$B:$B,$A62,PA!AJ:AJ)),"")</f>
        <v>0.65938489558123226</v>
      </c>
      <c r="P62" s="181"/>
      <c r="Q62" s="182"/>
      <c r="R62" s="181">
        <f>IFERROR(1-SUMIF(GA!$C:$C,$A62,GA!$X:$X)/($AA62+SUMIF(GA!$C:$C,$A62,GA!$X:$X)),"")</f>
        <v>1</v>
      </c>
      <c r="S62" s="177"/>
      <c r="T62" s="182"/>
      <c r="U62" s="183">
        <f t="shared" si="5"/>
        <v>0.50446321238577341</v>
      </c>
      <c r="V62" s="183" t="str">
        <f>IFERROR(_xlfn.XLOOKUP($A62,Raw_Data!$B:$B,Raw_Data!$KQ:$KQ),"")</f>
        <v/>
      </c>
      <c r="W62" s="184">
        <f t="shared" si="6"/>
        <v>0.13200120724094405</v>
      </c>
      <c r="X62" s="176">
        <f>IFERROR(_xlfn.XLOOKUP($A62,Raw_Data!$B:$B,Raw_Data!$KN:$KN),"")</f>
        <v>212537.59999999995</v>
      </c>
      <c r="Y62" s="176">
        <f>IFERROR(_xlfn.XLOOKUP($A62,Raw_Data!$B:$B,Raw_Data!$KC:$KC),"")</f>
        <v>211625.78299999237</v>
      </c>
      <c r="Z62" s="176">
        <f>IFERROR(_xlfn.XLOOKUP($A62,Raw_Data!$B:$B,Raw_Data!$KD:$KD),"")</f>
        <v>159.84900000000198</v>
      </c>
      <c r="AA62" s="176">
        <f>IFERROR(_xlfn.XLOOKUP($A62,Raw_Data!$B:$B,Raw_Data!$KF:$KF),"")</f>
        <v>211465.93399999238</v>
      </c>
      <c r="AB62" s="176">
        <f>IFERROR(_xlfn.XLOOKUP($A62,Raw_Data!$B:$B,Raw_Data!I:I)/1000,"")</f>
        <v>66.75</v>
      </c>
      <c r="AC62" s="185">
        <f>IFERROR(_xlfn.XLOOKUP($D62,'Modelling New'!$D:$D,'Modelling New'!$P:$P),"")</f>
        <v>6.1838709677419352</v>
      </c>
      <c r="AD62" s="176">
        <f>IFERROR(_xlfn.XLOOKUP($D62,'Modelling New'!$D:$D,'Modelling New'!$T:$T)*1000,"")</f>
        <v>312542.47707899293</v>
      </c>
      <c r="AE62" s="186">
        <f>IFERROR(_xlfn.XLOOKUP($D62,'Modelling New'!$D:$D,'Modelling New'!$O:$O),"")</f>
        <v>0.75712019519744966</v>
      </c>
      <c r="AF62" s="186">
        <f>IFERROR(_xlfn.XLOOKUP($D62,'Modelling New'!$D:$D,'Modelling New'!$W:$W),"")</f>
        <v>0.19508056642385899</v>
      </c>
      <c r="AG62" s="186">
        <f>IFERROR(_xlfn.XLOOKUP($D62,'Modelling New'!$D:$D,'Modelling New'!$AE:$AE),"")</f>
        <v>0.995</v>
      </c>
      <c r="AH62" s="186">
        <f>IFERROR(_xlfn.XLOOKUP($D62,'Modelling New'!$D:$D,'Modelling New'!$AF:$AF),"")</f>
        <v>0.995</v>
      </c>
      <c r="AI62" s="177"/>
      <c r="AJ62" s="177"/>
      <c r="AK62" s="238"/>
      <c r="AL62" s="238"/>
      <c r="AM62" s="238"/>
      <c r="AN62" s="187"/>
      <c r="AO62" s="184"/>
      <c r="AP62" s="184"/>
      <c r="AQ62" s="184"/>
      <c r="AR62" s="176">
        <f>IFERROR(_xlfn.XLOOKUP($D61,'Modelling New'!$D:$D,'Modelling New'!$N:$N),"")</f>
        <v>66.754999999999995</v>
      </c>
      <c r="AS62" s="176"/>
    </row>
    <row r="63" spans="1:45" x14ac:dyDescent="0.25">
      <c r="A63" s="175">
        <f t="shared" si="7"/>
        <v>45806</v>
      </c>
      <c r="B63" s="176">
        <f>YEAR(Table13[[#This Row],[Date]])+IF(MONTH(Table13[[#This Row],[Date]])&gt;=4,1,0)</f>
        <v>2026</v>
      </c>
      <c r="C63" s="177">
        <f>YEAR(Table13[[#This Row],[Date]])</f>
        <v>2025</v>
      </c>
      <c r="D63" s="178">
        <f>Table13[[#This Row],[Date]]-DAY(Table13[[#This Row],[Date]])+1</f>
        <v>45778</v>
      </c>
      <c r="E63" s="177">
        <f t="shared" si="4"/>
        <v>31</v>
      </c>
      <c r="F63" s="179">
        <f>IFERROR(_xlfn.XLOOKUP($A63,Raw_Data!$B:$B,Raw_Data!$KG:$KG),"")</f>
        <v>13.166666666666664</v>
      </c>
      <c r="G63" s="180">
        <f>IFERROR(_xlfn.XLOOKUP($A63,Raw_Data!$B:$B,Raw_Data!KH:KH),"")</f>
        <v>5.38</v>
      </c>
      <c r="H63" s="180"/>
      <c r="I63" s="180">
        <f>IFERROR(_xlfn.XLOOKUP($A63,Raw_Data!$B:$B,Raw_Data!$KI:$KI),"")</f>
        <v>4.87</v>
      </c>
      <c r="J63" s="180"/>
      <c r="K63" s="180">
        <f>IFERROR(_xlfn.XLOOKUP($A63,Raw_Data!$B:$B,Raw_Data!KJ:KJ),"")</f>
        <v>35.729999999999997</v>
      </c>
      <c r="L63" s="180">
        <f>IFERROR(_xlfn.XLOOKUP($A63,Raw_Data!$B:$B,Raw_Data!KK:KK),"")</f>
        <v>41.95</v>
      </c>
      <c r="M63" s="180">
        <f>IFERROR(_xlfn.XLOOKUP($A63,Raw_Data!$B:$B,Raw_Data!KL:KL),"")</f>
        <v>2.0699999999999998</v>
      </c>
      <c r="N63" s="180">
        <f>IFERROR(_xlfn.XLOOKUP($A63,Raw_Data!$B:$B,Raw_Data!KM:KM),"")</f>
        <v>9.69</v>
      </c>
      <c r="O63" s="181">
        <f>IFERROR(1-SUMIF(PA!$B:$B,$A63,PA!AJ:AJ)/($AA63+SUMIF(PA!$B:$B,$A63,PA!AJ:AJ)),"")</f>
        <v>0.86274856495251195</v>
      </c>
      <c r="P63" s="181"/>
      <c r="Q63" s="182"/>
      <c r="R63" s="181">
        <f>IFERROR(1-SUMIF(GA!$C:$C,$A63,GA!$X:$X)/($AA63+SUMIF(GA!$C:$C,$A63,GA!$X:$X)),"")</f>
        <v>1</v>
      </c>
      <c r="S63" s="177"/>
      <c r="T63" s="182"/>
      <c r="U63" s="183">
        <f t="shared" si="5"/>
        <v>0.66653099539331051</v>
      </c>
      <c r="V63" s="183" t="str">
        <f>IFERROR(_xlfn.XLOOKUP($A63,Raw_Data!$B:$B,Raw_Data!$KQ:$KQ),"")</f>
        <v/>
      </c>
      <c r="W63" s="184">
        <f t="shared" si="6"/>
        <v>0.1352502478152259</v>
      </c>
      <c r="X63" s="176">
        <f>IFERROR(_xlfn.XLOOKUP($A63,Raw_Data!$B:$B,Raw_Data!$KN:$KN),"")</f>
        <v>218430.89999999991</v>
      </c>
      <c r="Y63" s="176">
        <f>IFERROR(_xlfn.XLOOKUP($A63,Raw_Data!$B:$B,Raw_Data!$KC:$KC),"")</f>
        <v>216832.74599999189</v>
      </c>
      <c r="Z63" s="176">
        <f>IFERROR(_xlfn.XLOOKUP($A63,Raw_Data!$B:$B,Raw_Data!$KD:$KD),"")</f>
        <v>161.84900000000198</v>
      </c>
      <c r="AA63" s="176">
        <f>IFERROR(_xlfn.XLOOKUP($A63,Raw_Data!$B:$B,Raw_Data!$KF:$KF),"")</f>
        <v>216670.89699999191</v>
      </c>
      <c r="AB63" s="176">
        <f>IFERROR(_xlfn.XLOOKUP($A63,Raw_Data!$B:$B,Raw_Data!I:I)/1000,"")</f>
        <v>66.75</v>
      </c>
      <c r="AC63" s="185">
        <f>IFERROR(_xlfn.XLOOKUP($D63,'Modelling New'!$D:$D,'Modelling New'!$P:$P),"")</f>
        <v>6.1838709677419352</v>
      </c>
      <c r="AD63" s="176">
        <f>IFERROR(_xlfn.XLOOKUP($D63,'Modelling New'!$D:$D,'Modelling New'!$T:$T)*1000,"")</f>
        <v>312542.47707899293</v>
      </c>
      <c r="AE63" s="186">
        <f>IFERROR(_xlfn.XLOOKUP($D63,'Modelling New'!$D:$D,'Modelling New'!$O:$O),"")</f>
        <v>0.75712019519744966</v>
      </c>
      <c r="AF63" s="186">
        <f>IFERROR(_xlfn.XLOOKUP($D63,'Modelling New'!$D:$D,'Modelling New'!$W:$W),"")</f>
        <v>0.19508056642385899</v>
      </c>
      <c r="AG63" s="186">
        <f>IFERROR(_xlfn.XLOOKUP($D63,'Modelling New'!$D:$D,'Modelling New'!$AE:$AE),"")</f>
        <v>0.995</v>
      </c>
      <c r="AH63" s="186">
        <f>IFERROR(_xlfn.XLOOKUP($D63,'Modelling New'!$D:$D,'Modelling New'!$AF:$AF),"")</f>
        <v>0.995</v>
      </c>
      <c r="AI63" s="177"/>
      <c r="AJ63" s="177"/>
      <c r="AK63" s="238"/>
      <c r="AL63" s="238"/>
      <c r="AM63" s="238"/>
      <c r="AN63" s="187"/>
      <c r="AO63" s="184"/>
      <c r="AP63" s="184"/>
      <c r="AQ63" s="184"/>
      <c r="AR63" s="176">
        <f>IFERROR(_xlfn.XLOOKUP($D62,'Modelling New'!$D:$D,'Modelling New'!$N:$N),"")</f>
        <v>66.754999999999995</v>
      </c>
      <c r="AS63" s="176"/>
    </row>
    <row r="64" spans="1:45" x14ac:dyDescent="0.25">
      <c r="A64" s="175">
        <f t="shared" si="7"/>
        <v>45807</v>
      </c>
      <c r="B64" s="176">
        <f>YEAR(Table13[[#This Row],[Date]])+IF(MONTH(Table13[[#This Row],[Date]])&gt;=4,1,0)</f>
        <v>2026</v>
      </c>
      <c r="C64" s="177">
        <f>YEAR(Table13[[#This Row],[Date]])</f>
        <v>2025</v>
      </c>
      <c r="D64" s="178">
        <f>Table13[[#This Row],[Date]]-DAY(Table13[[#This Row],[Date]])+1</f>
        <v>45778</v>
      </c>
      <c r="E64" s="177">
        <f t="shared" si="4"/>
        <v>31</v>
      </c>
      <c r="F64" s="179">
        <f>IFERROR(_xlfn.XLOOKUP($A64,Raw_Data!$B:$B,Raw_Data!$KG:$KG),"")</f>
        <v>13.016666666666666</v>
      </c>
      <c r="G64" s="180">
        <f>IFERROR(_xlfn.XLOOKUP($A64,Raw_Data!$B:$B,Raw_Data!KH:KH),"")</f>
        <v>5.85</v>
      </c>
      <c r="H64" s="180"/>
      <c r="I64" s="180">
        <f>IFERROR(_xlfn.XLOOKUP($A64,Raw_Data!$B:$B,Raw_Data!$KI:$KI),"")</f>
        <v>5.34</v>
      </c>
      <c r="J64" s="180"/>
      <c r="K64" s="180">
        <f>IFERROR(_xlfn.XLOOKUP($A64,Raw_Data!$B:$B,Raw_Data!KJ:KJ),"")</f>
        <v>36.450000000000003</v>
      </c>
      <c r="L64" s="180">
        <f>IFERROR(_xlfn.XLOOKUP($A64,Raw_Data!$B:$B,Raw_Data!KK:KK),"")</f>
        <v>45.55</v>
      </c>
      <c r="M64" s="180">
        <f>IFERROR(_xlfn.XLOOKUP($A64,Raw_Data!$B:$B,Raw_Data!KL:KL),"")</f>
        <v>2.33</v>
      </c>
      <c r="N64" s="180">
        <f>IFERROR(_xlfn.XLOOKUP($A64,Raw_Data!$B:$B,Raw_Data!KM:KM),"")</f>
        <v>7.9</v>
      </c>
      <c r="O64" s="181">
        <f>IFERROR(1-SUMIF(PA!$B:$B,$A64,PA!AJ:AJ)/($AA64+SUMIF(PA!$B:$B,$A64,PA!AJ:AJ)),"")</f>
        <v>1</v>
      </c>
      <c r="P64" s="181"/>
      <c r="Q64" s="182"/>
      <c r="R64" s="181">
        <f>IFERROR(1-SUMIF(GA!$C:$C,$A64,GA!$X:$X)/($AA64+SUMIF(GA!$C:$C,$A64,GA!$X:$X)),"")</f>
        <v>1</v>
      </c>
      <c r="S64" s="177"/>
      <c r="T64" s="182"/>
      <c r="U64" s="183">
        <f t="shared" si="5"/>
        <v>0.77048439170136318</v>
      </c>
      <c r="V64" s="183" t="str">
        <f>IFERROR(_xlfn.XLOOKUP($A64,Raw_Data!$B:$B,Raw_Data!$KQ:$KQ),"")</f>
        <v/>
      </c>
      <c r="W64" s="184">
        <f t="shared" si="6"/>
        <v>0.17143277715355329</v>
      </c>
      <c r="X64" s="176">
        <f>IFERROR(_xlfn.XLOOKUP($A64,Raw_Data!$B:$B,Raw_Data!$KN:$KN),"")</f>
        <v>277904.89999999997</v>
      </c>
      <c r="Y64" s="176">
        <f>IFERROR(_xlfn.XLOOKUP($A64,Raw_Data!$B:$B,Raw_Data!$KC:$KC),"")</f>
        <v>274797.15799999237</v>
      </c>
      <c r="Z64" s="176">
        <f>IFERROR(_xlfn.XLOOKUP($A64,Raw_Data!$B:$B,Raw_Data!$KD:$KD),"")</f>
        <v>161.84900000000198</v>
      </c>
      <c r="AA64" s="176">
        <f>IFERROR(_xlfn.XLOOKUP($A64,Raw_Data!$B:$B,Raw_Data!$KF:$KF),"")</f>
        <v>274635.30899999238</v>
      </c>
      <c r="AB64" s="176">
        <f>IFERROR(_xlfn.XLOOKUP($A64,Raw_Data!$B:$B,Raw_Data!I:I)/1000,"")</f>
        <v>66.75</v>
      </c>
      <c r="AC64" s="185">
        <f>IFERROR(_xlfn.XLOOKUP($D64,'Modelling New'!$D:$D,'Modelling New'!$P:$P),"")</f>
        <v>6.1838709677419352</v>
      </c>
      <c r="AD64" s="176">
        <f>IFERROR(_xlfn.XLOOKUP($D64,'Modelling New'!$D:$D,'Modelling New'!$T:$T)*1000,"")</f>
        <v>312542.47707899293</v>
      </c>
      <c r="AE64" s="186">
        <f>IFERROR(_xlfn.XLOOKUP($D64,'Modelling New'!$D:$D,'Modelling New'!$O:$O),"")</f>
        <v>0.75712019519744966</v>
      </c>
      <c r="AF64" s="186">
        <f>IFERROR(_xlfn.XLOOKUP($D64,'Modelling New'!$D:$D,'Modelling New'!$W:$W),"")</f>
        <v>0.19508056642385899</v>
      </c>
      <c r="AG64" s="186">
        <f>IFERROR(_xlfn.XLOOKUP($D64,'Modelling New'!$D:$D,'Modelling New'!$AE:$AE),"")</f>
        <v>0.995</v>
      </c>
      <c r="AH64" s="186">
        <f>IFERROR(_xlfn.XLOOKUP($D64,'Modelling New'!$D:$D,'Modelling New'!$AF:$AF),"")</f>
        <v>0.995</v>
      </c>
      <c r="AI64" s="177"/>
      <c r="AJ64" s="177"/>
      <c r="AK64" s="238"/>
      <c r="AL64" s="238"/>
      <c r="AM64" s="238"/>
      <c r="AN64" s="187"/>
      <c r="AO64" s="184"/>
      <c r="AP64" s="184"/>
      <c r="AQ64" s="184"/>
      <c r="AR64" s="176">
        <f>IFERROR(_xlfn.XLOOKUP($D63,'Modelling New'!$D:$D,'Modelling New'!$N:$N),"")</f>
        <v>66.754999999999995</v>
      </c>
      <c r="AS64" s="176"/>
    </row>
    <row r="65" spans="1:45" x14ac:dyDescent="0.25">
      <c r="A65" s="175">
        <f t="shared" si="7"/>
        <v>45808</v>
      </c>
      <c r="B65" s="176">
        <f>YEAR(Table13[[#This Row],[Date]])+IF(MONTH(Table13[[#This Row],[Date]])&gt;=4,1,0)</f>
        <v>2026</v>
      </c>
      <c r="C65" s="177">
        <f>YEAR(Table13[[#This Row],[Date]])</f>
        <v>2025</v>
      </c>
      <c r="D65" s="178">
        <f>Table13[[#This Row],[Date]]-DAY(Table13[[#This Row],[Date]])+1</f>
        <v>45778</v>
      </c>
      <c r="E65" s="177">
        <f t="shared" si="4"/>
        <v>31</v>
      </c>
      <c r="F65" s="179">
        <f>IFERROR(_xlfn.XLOOKUP($A65,Raw_Data!$B:$B,Raw_Data!$KG:$KG),"")</f>
        <v>13.183333333333332</v>
      </c>
      <c r="G65" s="180">
        <f>IFERROR(_xlfn.XLOOKUP($A65,Raw_Data!$B:$B,Raw_Data!KH:KH),"")</f>
        <v>5.3</v>
      </c>
      <c r="H65" s="180"/>
      <c r="I65" s="180">
        <f>IFERROR(_xlfn.XLOOKUP($A65,Raw_Data!$B:$B,Raw_Data!$KI:$KI),"")</f>
        <v>4.8499999999999996</v>
      </c>
      <c r="J65" s="180"/>
      <c r="K65" s="180">
        <f>IFERROR(_xlfn.XLOOKUP($A65,Raw_Data!$B:$B,Raw_Data!KJ:KJ),"")</f>
        <v>33.5</v>
      </c>
      <c r="L65" s="180">
        <f>IFERROR(_xlfn.XLOOKUP($A65,Raw_Data!$B:$B,Raw_Data!KK:KK),"")</f>
        <v>42</v>
      </c>
      <c r="M65" s="180">
        <f>IFERROR(_xlfn.XLOOKUP($A65,Raw_Data!$B:$B,Raw_Data!KL:KL),"")</f>
        <v>3.1</v>
      </c>
      <c r="N65" s="180">
        <f>IFERROR(_xlfn.XLOOKUP($A65,Raw_Data!$B:$B,Raw_Data!KM:KM),"")</f>
        <v>8.3000000000000007</v>
      </c>
      <c r="O65" s="181">
        <f>IFERROR(1-SUMIF(PA!$B:$B,$A65,PA!AJ:AJ)/($AA65+SUMIF(PA!$B:$B,$A65,PA!AJ:AJ)),"")</f>
        <v>0.99724401550332498</v>
      </c>
      <c r="P65" s="181"/>
      <c r="Q65" s="182"/>
      <c r="R65" s="181">
        <f>IFERROR(1-SUMIF(GA!$C:$C,$A65,GA!$X:$X)/($AA65+SUMIF(GA!$C:$C,$A65,GA!$X:$X)),"")</f>
        <v>1</v>
      </c>
      <c r="S65" s="177"/>
      <c r="T65" s="182"/>
      <c r="U65" s="183">
        <f t="shared" si="5"/>
        <v>0.76481573497051092</v>
      </c>
      <c r="V65" s="183" t="str">
        <f>IFERROR(_xlfn.XLOOKUP($A65,Raw_Data!$B:$B,Raw_Data!$KQ:$KQ),"")</f>
        <v/>
      </c>
      <c r="W65" s="184">
        <f t="shared" si="6"/>
        <v>0.15455651310862406</v>
      </c>
      <c r="X65" s="176">
        <f>IFERROR(_xlfn.XLOOKUP($A65,Raw_Data!$B:$B,Raw_Data!$KN:$KN),"")</f>
        <v>251303.79</v>
      </c>
      <c r="Y65" s="176">
        <f>IFERROR(_xlfn.XLOOKUP($A65,Raw_Data!$B:$B,Raw_Data!$KC:$KC),"")</f>
        <v>247759.34600001574</v>
      </c>
      <c r="Z65" s="176">
        <f>IFERROR(_xlfn.XLOOKUP($A65,Raw_Data!$B:$B,Raw_Data!$KD:$KD),"")</f>
        <v>159.8119999999908</v>
      </c>
      <c r="AA65" s="176">
        <f>IFERROR(_xlfn.XLOOKUP($A65,Raw_Data!$B:$B,Raw_Data!$KF:$KF),"")</f>
        <v>247599.53400001576</v>
      </c>
      <c r="AB65" s="176">
        <f>IFERROR(_xlfn.XLOOKUP($A65,Raw_Data!$B:$B,Raw_Data!I:I)/1000,"")</f>
        <v>66.75</v>
      </c>
      <c r="AC65" s="185">
        <f>IFERROR(_xlfn.XLOOKUP($D65,'Modelling New'!$D:$D,'Modelling New'!$P:$P),"")</f>
        <v>6.1838709677419352</v>
      </c>
      <c r="AD65" s="176">
        <f>IFERROR(_xlfn.XLOOKUP($D65,'Modelling New'!$D:$D,'Modelling New'!$T:$T)*1000,"")</f>
        <v>312542.47707899293</v>
      </c>
      <c r="AE65" s="186">
        <f>IFERROR(_xlfn.XLOOKUP($D65,'Modelling New'!$D:$D,'Modelling New'!$O:$O),"")</f>
        <v>0.75712019519744966</v>
      </c>
      <c r="AF65" s="186">
        <f>IFERROR(_xlfn.XLOOKUP($D65,'Modelling New'!$D:$D,'Modelling New'!$W:$W),"")</f>
        <v>0.19508056642385899</v>
      </c>
      <c r="AG65" s="186">
        <f>IFERROR(_xlfn.XLOOKUP($D65,'Modelling New'!$D:$D,'Modelling New'!$AE:$AE),"")</f>
        <v>0.995</v>
      </c>
      <c r="AH65" s="186">
        <f>IFERROR(_xlfn.XLOOKUP($D65,'Modelling New'!$D:$D,'Modelling New'!$AF:$AF),"")</f>
        <v>0.995</v>
      </c>
      <c r="AI65" s="177"/>
      <c r="AJ65" s="177"/>
      <c r="AK65" s="238"/>
      <c r="AL65" s="238"/>
      <c r="AM65" s="238"/>
      <c r="AN65" s="187"/>
      <c r="AO65" s="184"/>
      <c r="AP65" s="184"/>
      <c r="AQ65" s="184"/>
      <c r="AR65" s="176">
        <f>IFERROR(_xlfn.XLOOKUP($D64,'Modelling New'!$D:$D,'Modelling New'!$N:$N),"")</f>
        <v>66.754999999999995</v>
      </c>
      <c r="AS65" s="176"/>
    </row>
    <row r="66" spans="1:45" x14ac:dyDescent="0.25">
      <c r="A66" s="175">
        <f t="shared" si="7"/>
        <v>45809</v>
      </c>
      <c r="B66" s="176">
        <f>YEAR(Table13[[#This Row],[Date]])+IF(MONTH(Table13[[#This Row],[Date]])&gt;=4,1,0)</f>
        <v>2026</v>
      </c>
      <c r="C66" s="177">
        <f>YEAR(Table13[[#This Row],[Date]])</f>
        <v>2025</v>
      </c>
      <c r="D66" s="178">
        <f>Table13[[#This Row],[Date]]-DAY(Table13[[#This Row],[Date]])+1</f>
        <v>45809</v>
      </c>
      <c r="E66" s="177">
        <f t="shared" si="4"/>
        <v>30</v>
      </c>
      <c r="F66" s="179">
        <f>IFERROR(_xlfn.XLOOKUP($A66,Raw_Data!$B:$B,Raw_Data!$KG:$KG),"")</f>
        <v>13.316666666666666</v>
      </c>
      <c r="G66" s="180">
        <f>IFERROR(_xlfn.XLOOKUP($A66,Raw_Data!$B:$B,Raw_Data!KH:KH),"")</f>
        <v>4.91</v>
      </c>
      <c r="H66" s="180"/>
      <c r="I66" s="180">
        <f>IFERROR(_xlfn.XLOOKUP($A66,Raw_Data!$B:$B,Raw_Data!$KI:$KI),"")</f>
        <v>4.4000000000000004</v>
      </c>
      <c r="J66" s="180"/>
      <c r="K66" s="180">
        <f>IFERROR(_xlfn.XLOOKUP($A66,Raw_Data!$B:$B,Raw_Data!KJ:KJ),"")</f>
        <v>31.9</v>
      </c>
      <c r="L66" s="180">
        <f>IFERROR(_xlfn.XLOOKUP($A66,Raw_Data!$B:$B,Raw_Data!KK:KK),"")</f>
        <v>40.799999999999997</v>
      </c>
      <c r="M66" s="180">
        <f>IFERROR(_xlfn.XLOOKUP($A66,Raw_Data!$B:$B,Raw_Data!KL:KL),"")</f>
        <v>3.4</v>
      </c>
      <c r="N66" s="180">
        <f>IFERROR(_xlfn.XLOOKUP($A66,Raw_Data!$B:$B,Raw_Data!KM:KM),"")</f>
        <v>6.2</v>
      </c>
      <c r="O66" s="181">
        <f>IFERROR(1-SUMIF(PA!$B:$B,$A66,PA!AJ:AJ)/($AA66+SUMIF(PA!$B:$B,$A66,PA!AJ:AJ)),"")</f>
        <v>0.99772934416179349</v>
      </c>
      <c r="P66" s="181"/>
      <c r="Q66" s="182"/>
      <c r="R66" s="181">
        <f>IFERROR(1-SUMIF(GA!$C:$C,$A66,GA!$X:$X)/($AA66+SUMIF(GA!$C:$C,$A66,GA!$X:$X)),"")</f>
        <v>1</v>
      </c>
      <c r="S66" s="177"/>
      <c r="T66" s="182"/>
      <c r="U66" s="183">
        <f t="shared" si="5"/>
        <v>0.77966972761317488</v>
      </c>
      <c r="V66" s="183" t="str">
        <f>IFERROR(_xlfn.XLOOKUP($A66,Raw_Data!$B:$B,Raw_Data!$KQ:$KQ),"")</f>
        <v/>
      </c>
      <c r="W66" s="184">
        <f t="shared" si="6"/>
        <v>0.14293945006241543</v>
      </c>
      <c r="X66" s="176">
        <f>IFERROR(_xlfn.XLOOKUP($A66,Raw_Data!$B:$B,Raw_Data!$KN:$KN),"")</f>
        <v>229035.10000000018</v>
      </c>
      <c r="Y66" s="176">
        <f>IFERROR(_xlfn.XLOOKUP($A66,Raw_Data!$B:$B,Raw_Data!$KC:$KC),"")</f>
        <v>229145.81099998951</v>
      </c>
      <c r="Z66" s="176">
        <f>IFERROR(_xlfn.XLOOKUP($A66,Raw_Data!$B:$B,Raw_Data!$KD:$KD),"")</f>
        <v>156.81200000000536</v>
      </c>
      <c r="AA66" s="176">
        <f>IFERROR(_xlfn.XLOOKUP($A66,Raw_Data!$B:$B,Raw_Data!$KF:$KF),"")</f>
        <v>228988.9989999895</v>
      </c>
      <c r="AB66" s="176">
        <f>IFERROR(_xlfn.XLOOKUP($A66,Raw_Data!$B:$B,Raw_Data!I:I)/1000,"")</f>
        <v>66.75</v>
      </c>
      <c r="AC66" s="185">
        <f>IFERROR(_xlfn.XLOOKUP($D66,'Modelling New'!$D:$D,'Modelling New'!$P:$P),"")</f>
        <v>5.2366666666666664</v>
      </c>
      <c r="AD66" s="176">
        <f>IFERROR(_xlfn.XLOOKUP($D66,'Modelling New'!$D:$D,'Modelling New'!$T:$T)*1000,"")</f>
        <v>265725.83324908343</v>
      </c>
      <c r="AE66" s="186">
        <f>IFERROR(_xlfn.XLOOKUP($D66,'Modelling New'!$D:$D,'Modelling New'!$O:$O),"")</f>
        <v>0.7601425562567381</v>
      </c>
      <c r="AF66" s="186">
        <f>IFERROR(_xlfn.XLOOKUP($D66,'Modelling New'!$D:$D,'Modelling New'!$W:$W),"")</f>
        <v>0.16585888276101882</v>
      </c>
      <c r="AG66" s="186">
        <f>IFERROR(_xlfn.XLOOKUP($D66,'Modelling New'!$D:$D,'Modelling New'!$AE:$AE),"")</f>
        <v>0.995</v>
      </c>
      <c r="AH66" s="186">
        <f>IFERROR(_xlfn.XLOOKUP($D66,'Modelling New'!$D:$D,'Modelling New'!$AF:$AF),"")</f>
        <v>0.995</v>
      </c>
      <c r="AI66" s="177"/>
      <c r="AJ66" s="177"/>
      <c r="AK66" s="238"/>
      <c r="AL66" s="238"/>
      <c r="AM66" s="238"/>
      <c r="AN66" s="187"/>
      <c r="AO66" s="184"/>
      <c r="AP66" s="184"/>
      <c r="AQ66" s="184"/>
      <c r="AR66" s="176">
        <f>IFERROR(_xlfn.XLOOKUP($D65,'Modelling New'!$D:$D,'Modelling New'!$N:$N),"")</f>
        <v>66.754999999999995</v>
      </c>
      <c r="AS66" s="176"/>
    </row>
    <row r="67" spans="1:45" x14ac:dyDescent="0.25">
      <c r="A67" s="175">
        <f t="shared" si="7"/>
        <v>45810</v>
      </c>
      <c r="B67" s="176">
        <f>YEAR(Table13[[#This Row],[Date]])+IF(MONTH(Table13[[#This Row],[Date]])&gt;=4,1,0)</f>
        <v>2026</v>
      </c>
      <c r="C67" s="177">
        <f>YEAR(Table13[[#This Row],[Date]])</f>
        <v>2025</v>
      </c>
      <c r="D67" s="178">
        <f>Table13[[#This Row],[Date]]-DAY(Table13[[#This Row],[Date]])+1</f>
        <v>45809</v>
      </c>
      <c r="E67" s="177">
        <f t="shared" si="4"/>
        <v>30</v>
      </c>
      <c r="F67" s="179">
        <f>IFERROR(_xlfn.XLOOKUP($A67,Raw_Data!$B:$B,Raw_Data!$KG:$KG),"")</f>
        <v>12.683333333333334</v>
      </c>
      <c r="G67" s="180">
        <f>IFERROR(_xlfn.XLOOKUP($A67,Raw_Data!$B:$B,Raw_Data!KH:KH),"")</f>
        <v>5.82</v>
      </c>
      <c r="H67" s="180"/>
      <c r="I67" s="180">
        <f>IFERROR(_xlfn.XLOOKUP($A67,Raw_Data!$B:$B,Raw_Data!$KI:$KI),"")</f>
        <v>5.25</v>
      </c>
      <c r="J67" s="180"/>
      <c r="K67" s="180">
        <f>IFERROR(_xlfn.XLOOKUP($A67,Raw_Data!$B:$B,Raw_Data!KJ:KJ),"")</f>
        <v>32.200000000000003</v>
      </c>
      <c r="L67" s="180">
        <f>IFERROR(_xlfn.XLOOKUP($A67,Raw_Data!$B:$B,Raw_Data!KK:KK),"")</f>
        <v>41.3</v>
      </c>
      <c r="M67" s="180">
        <f>IFERROR(_xlfn.XLOOKUP($A67,Raw_Data!$B:$B,Raw_Data!KL:KL),"")</f>
        <v>3.2</v>
      </c>
      <c r="N67" s="180">
        <f>IFERROR(_xlfn.XLOOKUP($A67,Raw_Data!$B:$B,Raw_Data!KM:KM),"")</f>
        <v>4.8</v>
      </c>
      <c r="O67" s="181">
        <f>IFERROR(1-SUMIF(PA!$B:$B,$A67,PA!AJ:AJ)/($AA67+SUMIF(PA!$B:$B,$A67,PA!AJ:AJ)),"")</f>
        <v>0.94533257867165943</v>
      </c>
      <c r="P67" s="181"/>
      <c r="Q67" s="182"/>
      <c r="R67" s="181">
        <f>IFERROR(1-SUMIF(GA!$C:$C,$A67,GA!$X:$X)/($AA67+SUMIF(GA!$C:$C,$A67,GA!$X:$X)),"")</f>
        <v>1</v>
      </c>
      <c r="S67" s="177"/>
      <c r="T67" s="182"/>
      <c r="U67" s="183">
        <f t="shared" si="5"/>
        <v>0.73471455537715535</v>
      </c>
      <c r="V67" s="183" t="str">
        <f>IFERROR(_xlfn.XLOOKUP($A67,Raw_Data!$B:$B,Raw_Data!$KQ:$KQ),"")</f>
        <v/>
      </c>
      <c r="W67" s="184">
        <f t="shared" si="6"/>
        <v>0.16071880898875274</v>
      </c>
      <c r="X67" s="176">
        <f>IFERROR(_xlfn.XLOOKUP($A67,Raw_Data!$B:$B,Raw_Data!$KN:$KN),"")</f>
        <v>259288.99000000005</v>
      </c>
      <c r="Y67" s="176">
        <f>IFERROR(_xlfn.XLOOKUP($A67,Raw_Data!$B:$B,Raw_Data!$KC:$KC),"")</f>
        <v>257628.34399998188</v>
      </c>
      <c r="Z67" s="176">
        <f>IFERROR(_xlfn.XLOOKUP($A67,Raw_Data!$B:$B,Raw_Data!$KD:$KD),"")</f>
        <v>156.81200000000536</v>
      </c>
      <c r="AA67" s="176">
        <f>IFERROR(_xlfn.XLOOKUP($A67,Raw_Data!$B:$B,Raw_Data!$KF:$KF),"")</f>
        <v>257471.53199998187</v>
      </c>
      <c r="AB67" s="176">
        <f>IFERROR(_xlfn.XLOOKUP($A67,Raw_Data!$B:$B,Raw_Data!I:I)/1000,"")</f>
        <v>66.75</v>
      </c>
      <c r="AC67" s="185">
        <f>IFERROR(_xlfn.XLOOKUP($D67,'Modelling New'!$D:$D,'Modelling New'!$P:$P),"")</f>
        <v>5.2366666666666664</v>
      </c>
      <c r="AD67" s="176">
        <f>IFERROR(_xlfn.XLOOKUP($D67,'Modelling New'!$D:$D,'Modelling New'!$T:$T)*1000,"")</f>
        <v>265725.83324908343</v>
      </c>
      <c r="AE67" s="186">
        <f>IFERROR(_xlfn.XLOOKUP($D67,'Modelling New'!$D:$D,'Modelling New'!$O:$O),"")</f>
        <v>0.7601425562567381</v>
      </c>
      <c r="AF67" s="186">
        <f>IFERROR(_xlfn.XLOOKUP($D67,'Modelling New'!$D:$D,'Modelling New'!$W:$W),"")</f>
        <v>0.16585888276101882</v>
      </c>
      <c r="AG67" s="186">
        <f>IFERROR(_xlfn.XLOOKUP($D67,'Modelling New'!$D:$D,'Modelling New'!$AE:$AE),"")</f>
        <v>0.995</v>
      </c>
      <c r="AH67" s="186">
        <f>IFERROR(_xlfn.XLOOKUP($D67,'Modelling New'!$D:$D,'Modelling New'!$AF:$AF),"")</f>
        <v>0.995</v>
      </c>
      <c r="AI67" s="177"/>
      <c r="AJ67" s="177"/>
      <c r="AK67" s="238"/>
      <c r="AL67" s="238"/>
      <c r="AM67" s="238"/>
      <c r="AN67" s="187"/>
      <c r="AO67" s="184"/>
      <c r="AP67" s="184"/>
      <c r="AQ67" s="184"/>
      <c r="AR67" s="176">
        <f>IFERROR(_xlfn.XLOOKUP($D66,'Modelling New'!$D:$D,'Modelling New'!$N:$N),"")</f>
        <v>66.754999999999995</v>
      </c>
      <c r="AS67" s="176"/>
    </row>
    <row r="68" spans="1:45" x14ac:dyDescent="0.25">
      <c r="A68" s="175">
        <f t="shared" si="7"/>
        <v>45811</v>
      </c>
      <c r="B68" s="176">
        <f>YEAR(Table13[[#This Row],[Date]])+IF(MONTH(Table13[[#This Row],[Date]])&gt;=4,1,0)</f>
        <v>2026</v>
      </c>
      <c r="C68" s="177">
        <f>YEAR(Table13[[#This Row],[Date]])</f>
        <v>2025</v>
      </c>
      <c r="D68" s="178">
        <f>Table13[[#This Row],[Date]]-DAY(Table13[[#This Row],[Date]])+1</f>
        <v>45809</v>
      </c>
      <c r="E68" s="177">
        <f t="shared" si="4"/>
        <v>30</v>
      </c>
      <c r="F68" s="179">
        <f>IFERROR(_xlfn.XLOOKUP($A68,Raw_Data!$B:$B,Raw_Data!$KG:$KG),"")</f>
        <v>13.233333333333334</v>
      </c>
      <c r="G68" s="180">
        <f>IFERROR(_xlfn.XLOOKUP($A68,Raw_Data!$B:$B,Raw_Data!KH:KH),"")</f>
        <v>5.12</v>
      </c>
      <c r="H68" s="180"/>
      <c r="I68" s="180">
        <f>IFERROR(_xlfn.XLOOKUP($A68,Raw_Data!$B:$B,Raw_Data!$KI:$KI),"")</f>
        <v>4.62</v>
      </c>
      <c r="J68" s="180"/>
      <c r="K68" s="180">
        <f>IFERROR(_xlfn.XLOOKUP($A68,Raw_Data!$B:$B,Raw_Data!KJ:KJ),"")</f>
        <v>32.1</v>
      </c>
      <c r="L68" s="180">
        <f>IFERROR(_xlfn.XLOOKUP($A68,Raw_Data!$B:$B,Raw_Data!KK:KK),"")</f>
        <v>40.799999999999997</v>
      </c>
      <c r="M68" s="180">
        <f>IFERROR(_xlfn.XLOOKUP($A68,Raw_Data!$B:$B,Raw_Data!KL:KL),"")</f>
        <v>2.8</v>
      </c>
      <c r="N68" s="180">
        <f>IFERROR(_xlfn.XLOOKUP($A68,Raw_Data!$B:$B,Raw_Data!KM:KM),"")</f>
        <v>7.1</v>
      </c>
      <c r="O68" s="181">
        <f>IFERROR(1-SUMIF(PA!$B:$B,$A68,PA!AJ:AJ)/($AA68+SUMIF(PA!$B:$B,$A68,PA!AJ:AJ)),"")</f>
        <v>0.94127159247479286</v>
      </c>
      <c r="P68" s="181"/>
      <c r="Q68" s="182"/>
      <c r="R68" s="181">
        <f>IFERROR(1-SUMIF(GA!$C:$C,$A68,GA!$X:$X)/($AA68+SUMIF(GA!$C:$C,$A68,GA!$X:$X)),"")</f>
        <v>1</v>
      </c>
      <c r="S68" s="177"/>
      <c r="T68" s="182"/>
      <c r="U68" s="183">
        <f t="shared" si="5"/>
        <v>0.74853687760446497</v>
      </c>
      <c r="V68" s="183" t="str">
        <f>IFERROR(_xlfn.XLOOKUP($A68,Raw_Data!$B:$B,Raw_Data!$KQ:$KQ),"")</f>
        <v/>
      </c>
      <c r="W68" s="184">
        <f t="shared" si="6"/>
        <v>0.14409334893885953</v>
      </c>
      <c r="X68" s="176">
        <f>IFERROR(_xlfn.XLOOKUP($A68,Raw_Data!$B:$B,Raw_Data!$KN:$KN),"")</f>
        <v>231929.06</v>
      </c>
      <c r="Y68" s="176">
        <f>IFERROR(_xlfn.XLOOKUP($A68,Raw_Data!$B:$B,Raw_Data!$KC:$KC),"")</f>
        <v>230994.35700005293</v>
      </c>
      <c r="Z68" s="176">
        <f>IFERROR(_xlfn.XLOOKUP($A68,Raw_Data!$B:$B,Raw_Data!$KD:$KD),"")</f>
        <v>156.8119999999908</v>
      </c>
      <c r="AA68" s="176">
        <f>IFERROR(_xlfn.XLOOKUP($A68,Raw_Data!$B:$B,Raw_Data!$KF:$KF),"")</f>
        <v>230837.54500005295</v>
      </c>
      <c r="AB68" s="176">
        <f>IFERROR(_xlfn.XLOOKUP($A68,Raw_Data!$B:$B,Raw_Data!I:I)/1000,"")</f>
        <v>66.75</v>
      </c>
      <c r="AC68" s="185">
        <f>IFERROR(_xlfn.XLOOKUP($D68,'Modelling New'!$D:$D,'Modelling New'!$P:$P),"")</f>
        <v>5.2366666666666664</v>
      </c>
      <c r="AD68" s="176">
        <f>IFERROR(_xlfn.XLOOKUP($D68,'Modelling New'!$D:$D,'Modelling New'!$T:$T)*1000,"")</f>
        <v>265725.83324908343</v>
      </c>
      <c r="AE68" s="186">
        <f>IFERROR(_xlfn.XLOOKUP($D68,'Modelling New'!$D:$D,'Modelling New'!$O:$O),"")</f>
        <v>0.7601425562567381</v>
      </c>
      <c r="AF68" s="186">
        <f>IFERROR(_xlfn.XLOOKUP($D68,'Modelling New'!$D:$D,'Modelling New'!$W:$W),"")</f>
        <v>0.16585888276101882</v>
      </c>
      <c r="AG68" s="186">
        <f>IFERROR(_xlfn.XLOOKUP($D68,'Modelling New'!$D:$D,'Modelling New'!$AE:$AE),"")</f>
        <v>0.995</v>
      </c>
      <c r="AH68" s="186">
        <f>IFERROR(_xlfn.XLOOKUP($D68,'Modelling New'!$D:$D,'Modelling New'!$AF:$AF),"")</f>
        <v>0.995</v>
      </c>
      <c r="AI68" s="177"/>
      <c r="AJ68" s="177"/>
      <c r="AK68" s="238"/>
      <c r="AL68" s="238"/>
      <c r="AM68" s="238"/>
      <c r="AN68" s="187"/>
      <c r="AO68" s="184"/>
      <c r="AP68" s="184"/>
      <c r="AQ68" s="184"/>
      <c r="AR68" s="176">
        <f>IFERROR(_xlfn.XLOOKUP($D67,'Modelling New'!$D:$D,'Modelling New'!$N:$N),"")</f>
        <v>66.754999999999995</v>
      </c>
      <c r="AS68" s="176"/>
    </row>
    <row r="69" spans="1:45" x14ac:dyDescent="0.25">
      <c r="A69" s="175">
        <f t="shared" si="7"/>
        <v>45812</v>
      </c>
      <c r="B69" s="176">
        <f>YEAR(Table13[[#This Row],[Date]])+IF(MONTH(Table13[[#This Row],[Date]])&gt;=4,1,0)</f>
        <v>2026</v>
      </c>
      <c r="C69" s="177">
        <f>YEAR(Table13[[#This Row],[Date]])</f>
        <v>2025</v>
      </c>
      <c r="D69" s="178">
        <f>Table13[[#This Row],[Date]]-DAY(Table13[[#This Row],[Date]])+1</f>
        <v>45809</v>
      </c>
      <c r="E69" s="177">
        <f t="shared" si="4"/>
        <v>30</v>
      </c>
      <c r="F69" s="179">
        <f>IFERROR(_xlfn.XLOOKUP($A69,Raw_Data!$B:$B,Raw_Data!$KG:$KG),"")</f>
        <v>13.383333333333333</v>
      </c>
      <c r="G69" s="180">
        <f>IFERROR(_xlfn.XLOOKUP($A69,Raw_Data!$B:$B,Raw_Data!KH:KH),"")</f>
        <v>5.74</v>
      </c>
      <c r="H69" s="180"/>
      <c r="I69" s="180">
        <f>IFERROR(_xlfn.XLOOKUP($A69,Raw_Data!$B:$B,Raw_Data!$KI:$KI),"")</f>
        <v>5.18</v>
      </c>
      <c r="J69" s="180"/>
      <c r="K69" s="180">
        <f>IFERROR(_xlfn.XLOOKUP($A69,Raw_Data!$B:$B,Raw_Data!KJ:KJ),"")</f>
        <v>36.4</v>
      </c>
      <c r="L69" s="180">
        <f>IFERROR(_xlfn.XLOOKUP($A69,Raw_Data!$B:$B,Raw_Data!KK:KK),"")</f>
        <v>48</v>
      </c>
      <c r="M69" s="180">
        <f>IFERROR(_xlfn.XLOOKUP($A69,Raw_Data!$B:$B,Raw_Data!KL:KL),"")</f>
        <v>3.1</v>
      </c>
      <c r="N69" s="180">
        <f>IFERROR(_xlfn.XLOOKUP($A69,Raw_Data!$B:$B,Raw_Data!KM:KM),"")</f>
        <v>6.3</v>
      </c>
      <c r="O69" s="181">
        <f>IFERROR(1-SUMIF(PA!$B:$B,$A69,PA!AJ:AJ)/($AA69+SUMIF(PA!$B:$B,$A69,PA!AJ:AJ)),"")</f>
        <v>0.99500701057486918</v>
      </c>
      <c r="P69" s="181"/>
      <c r="Q69" s="182"/>
      <c r="R69" s="181">
        <f>IFERROR(1-SUMIF(GA!$C:$C,$A69,GA!$X:$X)/($AA69+SUMIF(GA!$C:$C,$A69,GA!$X:$X)),"")</f>
        <v>1</v>
      </c>
      <c r="S69" s="177"/>
      <c r="T69" s="182"/>
      <c r="U69" s="183">
        <f t="shared" si="5"/>
        <v>0.78804751203853018</v>
      </c>
      <c r="V69" s="183" t="str">
        <f>IFERROR(_xlfn.XLOOKUP($A69,Raw_Data!$B:$B,Raw_Data!$KQ:$KQ),"")</f>
        <v/>
      </c>
      <c r="W69" s="184">
        <f t="shared" si="6"/>
        <v>0.17008692134831607</v>
      </c>
      <c r="X69" s="176">
        <f>IFERROR(_xlfn.XLOOKUP($A69,Raw_Data!$B:$B,Raw_Data!$KN:$KN),"")</f>
        <v>273632.50000000006</v>
      </c>
      <c r="Y69" s="176">
        <f>IFERROR(_xlfn.XLOOKUP($A69,Raw_Data!$B:$B,Raw_Data!$KC:$KC),"")</f>
        <v>272636.06000000238</v>
      </c>
      <c r="Z69" s="176">
        <f>IFERROR(_xlfn.XLOOKUP($A69,Raw_Data!$B:$B,Raw_Data!$KD:$KD),"")</f>
        <v>156.81200000000536</v>
      </c>
      <c r="AA69" s="176">
        <f>IFERROR(_xlfn.XLOOKUP($A69,Raw_Data!$B:$B,Raw_Data!$KF:$KF),"")</f>
        <v>272479.24800000235</v>
      </c>
      <c r="AB69" s="176">
        <f>IFERROR(_xlfn.XLOOKUP($A69,Raw_Data!$B:$B,Raw_Data!I:I)/1000,"")</f>
        <v>66.75</v>
      </c>
      <c r="AC69" s="185">
        <f>IFERROR(_xlfn.XLOOKUP($D69,'Modelling New'!$D:$D,'Modelling New'!$P:$P),"")</f>
        <v>5.2366666666666664</v>
      </c>
      <c r="AD69" s="176">
        <f>IFERROR(_xlfn.XLOOKUP($D69,'Modelling New'!$D:$D,'Modelling New'!$T:$T)*1000,"")</f>
        <v>265725.83324908343</v>
      </c>
      <c r="AE69" s="186">
        <f>IFERROR(_xlfn.XLOOKUP($D69,'Modelling New'!$D:$D,'Modelling New'!$O:$O),"")</f>
        <v>0.7601425562567381</v>
      </c>
      <c r="AF69" s="186">
        <f>IFERROR(_xlfn.XLOOKUP($D69,'Modelling New'!$D:$D,'Modelling New'!$W:$W),"")</f>
        <v>0.16585888276101882</v>
      </c>
      <c r="AG69" s="186">
        <f>IFERROR(_xlfn.XLOOKUP($D69,'Modelling New'!$D:$D,'Modelling New'!$AE:$AE),"")</f>
        <v>0.995</v>
      </c>
      <c r="AH69" s="186">
        <f>IFERROR(_xlfn.XLOOKUP($D69,'Modelling New'!$D:$D,'Modelling New'!$AF:$AF),"")</f>
        <v>0.995</v>
      </c>
      <c r="AI69" s="177"/>
      <c r="AJ69" s="177"/>
      <c r="AK69" s="238"/>
      <c r="AL69" s="238"/>
      <c r="AM69" s="238"/>
      <c r="AN69" s="187"/>
      <c r="AO69" s="184"/>
      <c r="AP69" s="184"/>
      <c r="AQ69" s="184"/>
      <c r="AR69" s="176">
        <f>IFERROR(_xlfn.XLOOKUP($D68,'Modelling New'!$D:$D,'Modelling New'!$N:$N),"")</f>
        <v>66.754999999999995</v>
      </c>
      <c r="AS69" s="176"/>
    </row>
    <row r="70" spans="1:45" x14ac:dyDescent="0.25">
      <c r="A70" s="175">
        <f t="shared" si="7"/>
        <v>45813</v>
      </c>
      <c r="B70" s="176">
        <f>YEAR(Table13[[#This Row],[Date]])+IF(MONTH(Table13[[#This Row],[Date]])&gt;=4,1,0)</f>
        <v>2026</v>
      </c>
      <c r="C70" s="177">
        <f>YEAR(Table13[[#This Row],[Date]])</f>
        <v>2025</v>
      </c>
      <c r="D70" s="178">
        <f>Table13[[#This Row],[Date]]-DAY(Table13[[#This Row],[Date]])+1</f>
        <v>45809</v>
      </c>
      <c r="E70" s="177">
        <f t="shared" si="4"/>
        <v>30</v>
      </c>
      <c r="F70" s="179">
        <f>IFERROR(_xlfn.XLOOKUP($A70,Raw_Data!$B:$B,Raw_Data!$KG:$KG),"")</f>
        <v>13.5</v>
      </c>
      <c r="G70" s="180">
        <f>IFERROR(_xlfn.XLOOKUP($A70,Raw_Data!$B:$B,Raw_Data!KH:KH),"")</f>
        <v>6.7</v>
      </c>
      <c r="H70" s="180"/>
      <c r="I70" s="180">
        <f>IFERROR(_xlfn.XLOOKUP($A70,Raw_Data!$B:$B,Raw_Data!$KI:$KI),"")</f>
        <v>6.3</v>
      </c>
      <c r="J70" s="180"/>
      <c r="K70" s="180">
        <f>IFERROR(_xlfn.XLOOKUP($A70,Raw_Data!$B:$B,Raw_Data!KJ:KJ),"")</f>
        <v>36.799999999999997</v>
      </c>
      <c r="L70" s="180">
        <f>IFERROR(_xlfn.XLOOKUP($A70,Raw_Data!$B:$B,Raw_Data!KK:KK),"")</f>
        <v>52.03</v>
      </c>
      <c r="M70" s="180">
        <f>IFERROR(_xlfn.XLOOKUP($A70,Raw_Data!$B:$B,Raw_Data!KL:KL),"")</f>
        <v>3.2</v>
      </c>
      <c r="N70" s="180">
        <f>IFERROR(_xlfn.XLOOKUP($A70,Raw_Data!$B:$B,Raw_Data!KM:KM),"")</f>
        <v>8.3000000000000007</v>
      </c>
      <c r="O70" s="181">
        <f>IFERROR(1-SUMIF(PA!$B:$B,$A70,PA!AJ:AJ)/($AA70+SUMIF(PA!$B:$B,$A70,PA!AJ:AJ)),"")</f>
        <v>0.95706814673224316</v>
      </c>
      <c r="P70" s="181"/>
      <c r="Q70" s="182"/>
      <c r="R70" s="181">
        <f>IFERROR(1-SUMIF(GA!$C:$C,$A70,GA!$X:$X)/($AA70+SUMIF(GA!$C:$C,$A70,GA!$X:$X)),"")</f>
        <v>1</v>
      </c>
      <c r="S70" s="177"/>
      <c r="T70" s="182"/>
      <c r="U70" s="183">
        <f t="shared" si="5"/>
        <v>0.74991456393785649</v>
      </c>
      <c r="V70" s="183" t="str">
        <f>IFERROR(_xlfn.XLOOKUP($A70,Raw_Data!$B:$B,Raw_Data!$KQ:$KQ),"")</f>
        <v/>
      </c>
      <c r="W70" s="184">
        <f t="shared" si="6"/>
        <v>0.19685257303368733</v>
      </c>
      <c r="X70" s="176">
        <f>IFERROR(_xlfn.XLOOKUP($A70,Raw_Data!$B:$B,Raw_Data!$KN:$KN),"")</f>
        <v>317965</v>
      </c>
      <c r="Y70" s="176">
        <f>IFERROR(_xlfn.XLOOKUP($A70,Raw_Data!$B:$B,Raw_Data!$KC:$KC),"")</f>
        <v>315512.6969999671</v>
      </c>
      <c r="Z70" s="176">
        <f>IFERROR(_xlfn.XLOOKUP($A70,Raw_Data!$B:$B,Raw_Data!$KD:$KD),"")</f>
        <v>154.875</v>
      </c>
      <c r="AA70" s="176">
        <f>IFERROR(_xlfn.XLOOKUP($A70,Raw_Data!$B:$B,Raw_Data!$KF:$KF),"")</f>
        <v>315357.8219999671</v>
      </c>
      <c r="AB70" s="176">
        <f>IFERROR(_xlfn.XLOOKUP($A70,Raw_Data!$B:$B,Raw_Data!I:I)/1000,"")</f>
        <v>66.75</v>
      </c>
      <c r="AC70" s="185">
        <f>IFERROR(_xlfn.XLOOKUP($D70,'Modelling New'!$D:$D,'Modelling New'!$P:$P),"")</f>
        <v>5.2366666666666664</v>
      </c>
      <c r="AD70" s="176">
        <f>IFERROR(_xlfn.XLOOKUP($D70,'Modelling New'!$D:$D,'Modelling New'!$T:$T)*1000,"")</f>
        <v>265725.83324908343</v>
      </c>
      <c r="AE70" s="186">
        <f>IFERROR(_xlfn.XLOOKUP($D70,'Modelling New'!$D:$D,'Modelling New'!$O:$O),"")</f>
        <v>0.7601425562567381</v>
      </c>
      <c r="AF70" s="186">
        <f>IFERROR(_xlfn.XLOOKUP($D70,'Modelling New'!$D:$D,'Modelling New'!$W:$W),"")</f>
        <v>0.16585888276101882</v>
      </c>
      <c r="AG70" s="186">
        <f>IFERROR(_xlfn.XLOOKUP($D70,'Modelling New'!$D:$D,'Modelling New'!$AE:$AE),"")</f>
        <v>0.995</v>
      </c>
      <c r="AH70" s="186">
        <f>IFERROR(_xlfn.XLOOKUP($D70,'Modelling New'!$D:$D,'Modelling New'!$AF:$AF),"")</f>
        <v>0.995</v>
      </c>
      <c r="AI70" s="177"/>
      <c r="AJ70" s="177"/>
      <c r="AK70" s="238"/>
      <c r="AL70" s="238"/>
      <c r="AM70" s="238"/>
      <c r="AN70" s="187"/>
      <c r="AO70" s="184"/>
      <c r="AP70" s="184"/>
      <c r="AQ70" s="184"/>
      <c r="AR70" s="176">
        <f>IFERROR(_xlfn.XLOOKUP($D69,'Modelling New'!$D:$D,'Modelling New'!$N:$N),"")</f>
        <v>66.754999999999995</v>
      </c>
      <c r="AS70" s="176"/>
    </row>
    <row r="71" spans="1:45" x14ac:dyDescent="0.25">
      <c r="A71" s="175">
        <f t="shared" si="7"/>
        <v>45814</v>
      </c>
      <c r="B71" s="176">
        <f>YEAR(Table13[[#This Row],[Date]])+IF(MONTH(Table13[[#This Row],[Date]])&gt;=4,1,0)</f>
        <v>2026</v>
      </c>
      <c r="C71" s="177">
        <f>YEAR(Table13[[#This Row],[Date]])</f>
        <v>2025</v>
      </c>
      <c r="D71" s="178">
        <f>Table13[[#This Row],[Date]]-DAY(Table13[[#This Row],[Date]])+1</f>
        <v>45809</v>
      </c>
      <c r="E71" s="177">
        <f t="shared" si="4"/>
        <v>30</v>
      </c>
      <c r="F71" s="179">
        <f>IFERROR(_xlfn.XLOOKUP($A71,Raw_Data!$B:$B,Raw_Data!$KG:$KG),"")</f>
        <v>13.45</v>
      </c>
      <c r="G71" s="180">
        <f>IFERROR(_xlfn.XLOOKUP($A71,Raw_Data!$B:$B,Raw_Data!KH:KH),"")</f>
        <v>6.6</v>
      </c>
      <c r="H71" s="180"/>
      <c r="I71" s="180">
        <f>IFERROR(_xlfn.XLOOKUP($A71,Raw_Data!$B:$B,Raw_Data!$KI:$KI),"")</f>
        <v>6.32</v>
      </c>
      <c r="J71" s="180"/>
      <c r="K71" s="180">
        <f>IFERROR(_xlfn.XLOOKUP($A71,Raw_Data!$B:$B,Raw_Data!KJ:KJ),"")</f>
        <v>30.8</v>
      </c>
      <c r="L71" s="180">
        <f>IFERROR(_xlfn.XLOOKUP($A71,Raw_Data!$B:$B,Raw_Data!KK:KK),"")</f>
        <v>50.3</v>
      </c>
      <c r="M71" s="180">
        <f>IFERROR(_xlfn.XLOOKUP($A71,Raw_Data!$B:$B,Raw_Data!KL:KL),"")</f>
        <v>31.1</v>
      </c>
      <c r="N71" s="180">
        <f>IFERROR(_xlfn.XLOOKUP($A71,Raw_Data!$B:$B,Raw_Data!KM:KM),"")</f>
        <v>8.5</v>
      </c>
      <c r="O71" s="181">
        <f>IFERROR(1-SUMIF(PA!$B:$B,$A71,PA!AJ:AJ)/($AA71+SUMIF(PA!$B:$B,$A71,PA!AJ:AJ)),"")</f>
        <v>1</v>
      </c>
      <c r="P71" s="181"/>
      <c r="Q71" s="182"/>
      <c r="R71" s="181">
        <f>IFERROR(1-SUMIF(GA!$C:$C,$A71,GA!$X:$X)/($AA71+SUMIF(GA!$C:$C,$A71,GA!$X:$X)),"")</f>
        <v>1</v>
      </c>
      <c r="S71" s="177"/>
      <c r="T71" s="182"/>
      <c r="U71" s="183">
        <f t="shared" si="5"/>
        <v>0.75407287962838376</v>
      </c>
      <c r="V71" s="183" t="str">
        <f>IFERROR(_xlfn.XLOOKUP($A71,Raw_Data!$B:$B,Raw_Data!$KQ:$KQ),"")</f>
        <v/>
      </c>
      <c r="W71" s="184">
        <f t="shared" si="6"/>
        <v>0.19857252496880776</v>
      </c>
      <c r="X71" s="176">
        <f>IFERROR(_xlfn.XLOOKUP($A71,Raw_Data!$B:$B,Raw_Data!$KN:$KN),"")</f>
        <v>319248</v>
      </c>
      <c r="Y71" s="176">
        <f>IFERROR(_xlfn.XLOOKUP($A71,Raw_Data!$B:$B,Raw_Data!$KC:$KC),"")</f>
        <v>318269.45600003004</v>
      </c>
      <c r="Z71" s="176">
        <f>IFERROR(_xlfn.XLOOKUP($A71,Raw_Data!$B:$B,Raw_Data!$KD:$KD),"")</f>
        <v>156.27099999999336</v>
      </c>
      <c r="AA71" s="176">
        <f>IFERROR(_xlfn.XLOOKUP($A71,Raw_Data!$B:$B,Raw_Data!$KF:$KF),"")</f>
        <v>318113.18500003003</v>
      </c>
      <c r="AB71" s="176">
        <f>IFERROR(_xlfn.XLOOKUP($A71,Raw_Data!$B:$B,Raw_Data!I:I)/1000,"")</f>
        <v>66.75</v>
      </c>
      <c r="AC71" s="185">
        <f>IFERROR(_xlfn.XLOOKUP($D71,'Modelling New'!$D:$D,'Modelling New'!$P:$P),"")</f>
        <v>5.2366666666666664</v>
      </c>
      <c r="AD71" s="176">
        <f>IFERROR(_xlfn.XLOOKUP($D71,'Modelling New'!$D:$D,'Modelling New'!$T:$T)*1000,"")</f>
        <v>265725.83324908343</v>
      </c>
      <c r="AE71" s="186">
        <f>IFERROR(_xlfn.XLOOKUP($D71,'Modelling New'!$D:$D,'Modelling New'!$O:$O),"")</f>
        <v>0.7601425562567381</v>
      </c>
      <c r="AF71" s="186">
        <f>IFERROR(_xlfn.XLOOKUP($D71,'Modelling New'!$D:$D,'Modelling New'!$W:$W),"")</f>
        <v>0.16585888276101882</v>
      </c>
      <c r="AG71" s="186">
        <f>IFERROR(_xlfn.XLOOKUP($D71,'Modelling New'!$D:$D,'Modelling New'!$AE:$AE),"")</f>
        <v>0.995</v>
      </c>
      <c r="AH71" s="186">
        <f>IFERROR(_xlfn.XLOOKUP($D71,'Modelling New'!$D:$D,'Modelling New'!$AF:$AF),"")</f>
        <v>0.995</v>
      </c>
      <c r="AI71" s="177"/>
      <c r="AJ71" s="177"/>
      <c r="AK71" s="238"/>
      <c r="AL71" s="238"/>
      <c r="AM71" s="238"/>
      <c r="AN71" s="187"/>
      <c r="AO71" s="184"/>
      <c r="AP71" s="184"/>
      <c r="AQ71" s="184"/>
      <c r="AR71" s="176">
        <f>IFERROR(_xlfn.XLOOKUP($D70,'Modelling New'!$D:$D,'Modelling New'!$N:$N),"")</f>
        <v>66.754999999999995</v>
      </c>
      <c r="AS71" s="176"/>
    </row>
    <row r="72" spans="1:45" x14ac:dyDescent="0.25">
      <c r="A72" s="175">
        <f t="shared" si="7"/>
        <v>45815</v>
      </c>
      <c r="B72" s="176">
        <f>YEAR(Table13[[#This Row],[Date]])+IF(MONTH(Table13[[#This Row],[Date]])&gt;=4,1,0)</f>
        <v>2026</v>
      </c>
      <c r="C72" s="177">
        <f>YEAR(Table13[[#This Row],[Date]])</f>
        <v>2025</v>
      </c>
      <c r="D72" s="178">
        <f>Table13[[#This Row],[Date]]-DAY(Table13[[#This Row],[Date]])+1</f>
        <v>45809</v>
      </c>
      <c r="E72" s="177">
        <f t="shared" si="4"/>
        <v>30</v>
      </c>
      <c r="F72" s="179">
        <f>IFERROR(_xlfn.XLOOKUP($A72,Raw_Data!$B:$B,Raw_Data!$KG:$KG),"")</f>
        <v>13.483333333333334</v>
      </c>
      <c r="G72" s="180">
        <f>IFERROR(_xlfn.XLOOKUP($A72,Raw_Data!$B:$B,Raw_Data!KH:KH),"")</f>
        <v>6.98</v>
      </c>
      <c r="H72" s="180"/>
      <c r="I72" s="180">
        <f>IFERROR(_xlfn.XLOOKUP($A72,Raw_Data!$B:$B,Raw_Data!$KI:$KI),"")</f>
        <v>6.78</v>
      </c>
      <c r="J72" s="180"/>
      <c r="K72" s="180">
        <f>IFERROR(_xlfn.XLOOKUP($A72,Raw_Data!$B:$B,Raw_Data!KJ:KJ),"")</f>
        <v>31.9</v>
      </c>
      <c r="L72" s="180">
        <f>IFERROR(_xlfn.XLOOKUP($A72,Raw_Data!$B:$B,Raw_Data!KK:KK),"")</f>
        <v>52.8</v>
      </c>
      <c r="M72" s="180">
        <f>IFERROR(_xlfn.XLOOKUP($A72,Raw_Data!$B:$B,Raw_Data!KL:KL),"")</f>
        <v>3.9</v>
      </c>
      <c r="N72" s="180">
        <f>IFERROR(_xlfn.XLOOKUP($A72,Raw_Data!$B:$B,Raw_Data!KM:KM),"")</f>
        <v>6.4</v>
      </c>
      <c r="O72" s="181">
        <f>IFERROR(1-SUMIF(PA!$B:$B,$A72,PA!AJ:AJ)/($AA72+SUMIF(PA!$B:$B,$A72,PA!AJ:AJ)),"")</f>
        <v>0.99742415510724936</v>
      </c>
      <c r="P72" s="181"/>
      <c r="Q72" s="182"/>
      <c r="R72" s="181">
        <f>IFERROR(1-SUMIF(GA!$C:$C,$A72,GA!$X:$X)/($AA72+SUMIF(GA!$C:$C,$A72,GA!$X:$X)),"")</f>
        <v>1</v>
      </c>
      <c r="S72" s="177"/>
      <c r="T72" s="182"/>
      <c r="U72" s="183">
        <f t="shared" si="5"/>
        <v>0.747493918000669</v>
      </c>
      <c r="V72" s="183" t="str">
        <f>IFERROR(_xlfn.XLOOKUP($A72,Raw_Data!$B:$B,Raw_Data!$KQ:$KQ),"")</f>
        <v/>
      </c>
      <c r="W72" s="184">
        <f t="shared" si="6"/>
        <v>0.21116703183518903</v>
      </c>
      <c r="X72" s="176">
        <f>IFERROR(_xlfn.XLOOKUP($A72,Raw_Data!$B:$B,Raw_Data!$KN:$KN),"")</f>
        <v>340883</v>
      </c>
      <c r="Y72" s="176">
        <f>IFERROR(_xlfn.XLOOKUP($A72,Raw_Data!$B:$B,Raw_Data!$KC:$KC),"")</f>
        <v>338445.26599997282</v>
      </c>
      <c r="Z72" s="176">
        <f>IFERROR(_xlfn.XLOOKUP($A72,Raw_Data!$B:$B,Raw_Data!$KD:$KD),"")</f>
        <v>155.68100000001141</v>
      </c>
      <c r="AA72" s="176">
        <f>IFERROR(_xlfn.XLOOKUP($A72,Raw_Data!$B:$B,Raw_Data!$KF:$KF),"")</f>
        <v>338289.58499997284</v>
      </c>
      <c r="AB72" s="176">
        <f>IFERROR(_xlfn.XLOOKUP($A72,Raw_Data!$B:$B,Raw_Data!I:I)/1000,"")</f>
        <v>66.75</v>
      </c>
      <c r="AC72" s="185">
        <f>IFERROR(_xlfn.XLOOKUP($D72,'Modelling New'!$D:$D,'Modelling New'!$P:$P),"")</f>
        <v>5.2366666666666664</v>
      </c>
      <c r="AD72" s="176">
        <f>IFERROR(_xlfn.XLOOKUP($D72,'Modelling New'!$D:$D,'Modelling New'!$T:$T)*1000,"")</f>
        <v>265725.83324908343</v>
      </c>
      <c r="AE72" s="186">
        <f>IFERROR(_xlfn.XLOOKUP($D72,'Modelling New'!$D:$D,'Modelling New'!$O:$O),"")</f>
        <v>0.7601425562567381</v>
      </c>
      <c r="AF72" s="186">
        <f>IFERROR(_xlfn.XLOOKUP($D72,'Modelling New'!$D:$D,'Modelling New'!$W:$W),"")</f>
        <v>0.16585888276101882</v>
      </c>
      <c r="AG72" s="186">
        <f>IFERROR(_xlfn.XLOOKUP($D72,'Modelling New'!$D:$D,'Modelling New'!$AE:$AE),"")</f>
        <v>0.995</v>
      </c>
      <c r="AH72" s="186">
        <f>IFERROR(_xlfn.XLOOKUP($D72,'Modelling New'!$D:$D,'Modelling New'!$AF:$AF),"")</f>
        <v>0.995</v>
      </c>
      <c r="AI72" s="177"/>
      <c r="AJ72" s="177"/>
      <c r="AK72" s="238"/>
      <c r="AL72" s="238"/>
      <c r="AM72" s="238"/>
      <c r="AN72" s="187"/>
      <c r="AO72" s="184"/>
      <c r="AP72" s="184"/>
      <c r="AQ72" s="184"/>
      <c r="AR72" s="176">
        <f>IFERROR(_xlfn.XLOOKUP($D71,'Modelling New'!$D:$D,'Modelling New'!$N:$N),"")</f>
        <v>66.754999999999995</v>
      </c>
      <c r="AS72" s="176"/>
    </row>
    <row r="73" spans="1:45" x14ac:dyDescent="0.25">
      <c r="A73" s="175">
        <f t="shared" si="7"/>
        <v>45816</v>
      </c>
      <c r="B73" s="176">
        <f>YEAR(Table13[[#This Row],[Date]])+IF(MONTH(Table13[[#This Row],[Date]])&gt;=4,1,0)</f>
        <v>2026</v>
      </c>
      <c r="C73" s="177">
        <f>YEAR(Table13[[#This Row],[Date]])</f>
        <v>2025</v>
      </c>
      <c r="D73" s="178">
        <f>Table13[[#This Row],[Date]]-DAY(Table13[[#This Row],[Date]])+1</f>
        <v>45809</v>
      </c>
      <c r="E73" s="177">
        <f t="shared" si="4"/>
        <v>30</v>
      </c>
      <c r="F73" s="179">
        <f>IFERROR(_xlfn.XLOOKUP($A73,Raw_Data!$B:$B,Raw_Data!$KG:$KG),"")</f>
        <v>13.466666666666667</v>
      </c>
      <c r="G73" s="180">
        <f>IFERROR(_xlfn.XLOOKUP($A73,Raw_Data!$B:$B,Raw_Data!KH:KH),"")</f>
        <v>6.9</v>
      </c>
      <c r="H73" s="180"/>
      <c r="I73" s="180">
        <f>IFERROR(_xlfn.XLOOKUP($A73,Raw_Data!$B:$B,Raw_Data!$KI:$KI),"")</f>
        <v>6.38</v>
      </c>
      <c r="J73" s="180"/>
      <c r="K73" s="180">
        <f>IFERROR(_xlfn.XLOOKUP($A73,Raw_Data!$B:$B,Raw_Data!KJ:KJ),"")</f>
        <v>38.799999999999997</v>
      </c>
      <c r="L73" s="180">
        <f>IFERROR(_xlfn.XLOOKUP($A73,Raw_Data!$B:$B,Raw_Data!KK:KK),"")</f>
        <v>45.5</v>
      </c>
      <c r="M73" s="180">
        <f>IFERROR(_xlfn.XLOOKUP($A73,Raw_Data!$B:$B,Raw_Data!KL:KL),"")</f>
        <v>1.23</v>
      </c>
      <c r="N73" s="180">
        <f>IFERROR(_xlfn.XLOOKUP($A73,Raw_Data!$B:$B,Raw_Data!KM:KM),"")</f>
        <v>6.3</v>
      </c>
      <c r="O73" s="181">
        <f>IFERROR(1-SUMIF(PA!$B:$B,$A73,PA!AJ:AJ)/($AA73+SUMIF(PA!$B:$B,$A73,PA!AJ:AJ)),"")</f>
        <v>0.99885279442872554</v>
      </c>
      <c r="P73" s="181"/>
      <c r="Q73" s="182"/>
      <c r="R73" s="181">
        <f>IFERROR(1-SUMIF(GA!$C:$C,$A73,GA!$X:$X)/($AA73+SUMIF(GA!$C:$C,$A73,GA!$X:$X)),"")</f>
        <v>1</v>
      </c>
      <c r="S73" s="177"/>
      <c r="T73" s="182"/>
      <c r="U73" s="183">
        <f t="shared" si="5"/>
        <v>0.77590779002737964</v>
      </c>
      <c r="V73" s="183" t="str">
        <f>IFERROR(_xlfn.XLOOKUP($A73,Raw_Data!$B:$B,Raw_Data!$KQ:$KQ),"")</f>
        <v/>
      </c>
      <c r="W73" s="184">
        <f t="shared" si="6"/>
        <v>0.20626215418227842</v>
      </c>
      <c r="X73" s="176">
        <f>IFERROR(_xlfn.XLOOKUP($A73,Raw_Data!$B:$B,Raw_Data!$KN:$KN),"")</f>
        <v>332985.59000000003</v>
      </c>
      <c r="Y73" s="176">
        <f>IFERROR(_xlfn.XLOOKUP($A73,Raw_Data!$B:$B,Raw_Data!$KC:$KC),"")</f>
        <v>330587.65200001001</v>
      </c>
      <c r="Z73" s="176">
        <f>IFERROR(_xlfn.XLOOKUP($A73,Raw_Data!$B:$B,Raw_Data!$KD:$KD),"")</f>
        <v>155.68099999999686</v>
      </c>
      <c r="AA73" s="176">
        <f>IFERROR(_xlfn.XLOOKUP($A73,Raw_Data!$B:$B,Raw_Data!$KF:$KF),"")</f>
        <v>330431.97100001003</v>
      </c>
      <c r="AB73" s="176">
        <f>IFERROR(_xlfn.XLOOKUP($A73,Raw_Data!$B:$B,Raw_Data!I:I)/1000,"")</f>
        <v>66.75</v>
      </c>
      <c r="AC73" s="185">
        <f>IFERROR(_xlfn.XLOOKUP($D73,'Modelling New'!$D:$D,'Modelling New'!$P:$P),"")</f>
        <v>5.2366666666666664</v>
      </c>
      <c r="AD73" s="176">
        <f>IFERROR(_xlfn.XLOOKUP($D73,'Modelling New'!$D:$D,'Modelling New'!$T:$T)*1000,"")</f>
        <v>265725.83324908343</v>
      </c>
      <c r="AE73" s="186">
        <f>IFERROR(_xlfn.XLOOKUP($D73,'Modelling New'!$D:$D,'Modelling New'!$O:$O),"")</f>
        <v>0.7601425562567381</v>
      </c>
      <c r="AF73" s="186">
        <f>IFERROR(_xlfn.XLOOKUP($D73,'Modelling New'!$D:$D,'Modelling New'!$W:$W),"")</f>
        <v>0.16585888276101882</v>
      </c>
      <c r="AG73" s="186">
        <f>IFERROR(_xlfn.XLOOKUP($D73,'Modelling New'!$D:$D,'Modelling New'!$AE:$AE),"")</f>
        <v>0.995</v>
      </c>
      <c r="AH73" s="186">
        <f>IFERROR(_xlfn.XLOOKUP($D73,'Modelling New'!$D:$D,'Modelling New'!$AF:$AF),"")</f>
        <v>0.995</v>
      </c>
      <c r="AI73" s="177"/>
      <c r="AJ73" s="177"/>
      <c r="AK73" s="238"/>
      <c r="AL73" s="238"/>
      <c r="AM73" s="238"/>
      <c r="AN73" s="187"/>
      <c r="AO73" s="184"/>
      <c r="AP73" s="184"/>
      <c r="AQ73" s="184"/>
      <c r="AR73" s="176">
        <f>IFERROR(_xlfn.XLOOKUP($D72,'Modelling New'!$D:$D,'Modelling New'!$N:$N),"")</f>
        <v>66.754999999999995</v>
      </c>
      <c r="AS73" s="176"/>
    </row>
    <row r="74" spans="1:45" x14ac:dyDescent="0.25">
      <c r="A74" s="175">
        <f t="shared" si="7"/>
        <v>45817</v>
      </c>
      <c r="B74" s="176">
        <f>YEAR(Table13[[#This Row],[Date]])+IF(MONTH(Table13[[#This Row],[Date]])&gt;=4,1,0)</f>
        <v>2026</v>
      </c>
      <c r="C74" s="177">
        <f>YEAR(Table13[[#This Row],[Date]])</f>
        <v>2025</v>
      </c>
      <c r="D74" s="178">
        <f>Table13[[#This Row],[Date]]-DAY(Table13[[#This Row],[Date]])+1</f>
        <v>45809</v>
      </c>
      <c r="E74" s="177">
        <f t="shared" si="4"/>
        <v>30</v>
      </c>
      <c r="F74" s="179">
        <f>IFERROR(_xlfn.XLOOKUP($A74,Raw_Data!$B:$B,Raw_Data!$KG:$KG),"")</f>
        <v>13.466666666666667</v>
      </c>
      <c r="G74" s="180">
        <f>IFERROR(_xlfn.XLOOKUP($A74,Raw_Data!$B:$B,Raw_Data!KH:KH),"")</f>
        <v>7.2</v>
      </c>
      <c r="H74" s="180"/>
      <c r="I74" s="180">
        <f>IFERROR(_xlfn.XLOOKUP($A74,Raw_Data!$B:$B,Raw_Data!$KI:$KI),"")</f>
        <v>6.66</v>
      </c>
      <c r="J74" s="180"/>
      <c r="K74" s="180">
        <f>IFERROR(_xlfn.XLOOKUP($A74,Raw_Data!$B:$B,Raw_Data!KJ:KJ),"")</f>
        <v>40.380000000000003</v>
      </c>
      <c r="L74" s="180">
        <f>IFERROR(_xlfn.XLOOKUP($A74,Raw_Data!$B:$B,Raw_Data!KK:KK),"")</f>
        <v>45.99</v>
      </c>
      <c r="M74" s="180">
        <f>IFERROR(_xlfn.XLOOKUP($A74,Raw_Data!$B:$B,Raw_Data!KL:KL),"")</f>
        <v>2.41</v>
      </c>
      <c r="N74" s="180">
        <f>IFERROR(_xlfn.XLOOKUP($A74,Raw_Data!$B:$B,Raw_Data!KM:KM),"")</f>
        <v>7.7</v>
      </c>
      <c r="O74" s="181">
        <f>IFERROR(1-SUMIF(PA!$B:$B,$A74,PA!AJ:AJ)/($AA74+SUMIF(PA!$B:$B,$A74,PA!AJ:AJ)),"")</f>
        <v>0.99848575746604407</v>
      </c>
      <c r="P74" s="181"/>
      <c r="Q74" s="182"/>
      <c r="R74" s="181">
        <f>IFERROR(1-SUMIF(GA!$C:$C,$A74,GA!$X:$X)/($AA74+SUMIF(GA!$C:$C,$A74,GA!$X:$X)),"")</f>
        <v>1</v>
      </c>
      <c r="S74" s="177"/>
      <c r="T74" s="182"/>
      <c r="U74" s="183">
        <f t="shared" si="5"/>
        <v>0.75636828963795577</v>
      </c>
      <c r="V74" s="183" t="str">
        <f>IFERROR(_xlfn.XLOOKUP($A74,Raw_Data!$B:$B,Raw_Data!$KQ:$KQ),"")</f>
        <v/>
      </c>
      <c r="W74" s="184">
        <f t="shared" si="6"/>
        <v>0.20989220037453274</v>
      </c>
      <c r="X74" s="176">
        <f>IFERROR(_xlfn.XLOOKUP($A74,Raw_Data!$B:$B,Raw_Data!$KN:$KN),"")</f>
        <v>338140.39999999997</v>
      </c>
      <c r="Y74" s="176">
        <f>IFERROR(_xlfn.XLOOKUP($A74,Raw_Data!$B:$B,Raw_Data!$KC:$KC),"")</f>
        <v>336393.98600000143</v>
      </c>
      <c r="Z74" s="176">
        <f>IFERROR(_xlfn.XLOOKUP($A74,Raw_Data!$B:$B,Raw_Data!$KD:$KD),"")</f>
        <v>146.68099999999686</v>
      </c>
      <c r="AA74" s="176">
        <f>IFERROR(_xlfn.XLOOKUP($A74,Raw_Data!$B:$B,Raw_Data!$KF:$KF),"")</f>
        <v>336247.30500000145</v>
      </c>
      <c r="AB74" s="176">
        <f>IFERROR(_xlfn.XLOOKUP($A74,Raw_Data!$B:$B,Raw_Data!I:I)/1000,"")</f>
        <v>66.75</v>
      </c>
      <c r="AC74" s="185">
        <f>IFERROR(_xlfn.XLOOKUP($D74,'Modelling New'!$D:$D,'Modelling New'!$P:$P),"")</f>
        <v>5.2366666666666664</v>
      </c>
      <c r="AD74" s="176">
        <f>IFERROR(_xlfn.XLOOKUP($D74,'Modelling New'!$D:$D,'Modelling New'!$T:$T)*1000,"")</f>
        <v>265725.83324908343</v>
      </c>
      <c r="AE74" s="186">
        <f>IFERROR(_xlfn.XLOOKUP($D74,'Modelling New'!$D:$D,'Modelling New'!$O:$O),"")</f>
        <v>0.7601425562567381</v>
      </c>
      <c r="AF74" s="186">
        <f>IFERROR(_xlfn.XLOOKUP($D74,'Modelling New'!$D:$D,'Modelling New'!$W:$W),"")</f>
        <v>0.16585888276101882</v>
      </c>
      <c r="AG74" s="186">
        <f>IFERROR(_xlfn.XLOOKUP($D74,'Modelling New'!$D:$D,'Modelling New'!$AE:$AE),"")</f>
        <v>0.995</v>
      </c>
      <c r="AH74" s="186">
        <f>IFERROR(_xlfn.XLOOKUP($D74,'Modelling New'!$D:$D,'Modelling New'!$AF:$AF),"")</f>
        <v>0.995</v>
      </c>
      <c r="AI74" s="177"/>
      <c r="AJ74" s="177"/>
      <c r="AK74" s="238"/>
      <c r="AL74" s="238"/>
      <c r="AM74" s="238"/>
      <c r="AN74" s="187"/>
      <c r="AO74" s="184"/>
      <c r="AP74" s="184"/>
      <c r="AQ74" s="184"/>
      <c r="AR74" s="176">
        <f>IFERROR(_xlfn.XLOOKUP($D73,'Modelling New'!$D:$D,'Modelling New'!$N:$N),"")</f>
        <v>66.754999999999995</v>
      </c>
      <c r="AS74" s="176"/>
    </row>
    <row r="75" spans="1:45" x14ac:dyDescent="0.25">
      <c r="A75" s="175">
        <f t="shared" si="7"/>
        <v>45818</v>
      </c>
      <c r="B75" s="176">
        <f>YEAR(Table13[[#This Row],[Date]])+IF(MONTH(Table13[[#This Row],[Date]])&gt;=4,1,0)</f>
        <v>2026</v>
      </c>
      <c r="C75" s="177">
        <f>YEAR(Table13[[#This Row],[Date]])</f>
        <v>2025</v>
      </c>
      <c r="D75" s="178">
        <f>Table13[[#This Row],[Date]]-DAY(Table13[[#This Row],[Date]])+1</f>
        <v>45809</v>
      </c>
      <c r="E75" s="177">
        <f t="shared" si="4"/>
        <v>30</v>
      </c>
      <c r="F75" s="179">
        <f>IFERROR(_xlfn.XLOOKUP($A75,Raw_Data!$B:$B,Raw_Data!$KG:$KG),"")</f>
        <v>13.483333333333334</v>
      </c>
      <c r="G75" s="180">
        <f>IFERROR(_xlfn.XLOOKUP($A75,Raw_Data!$B:$B,Raw_Data!KH:KH),"")</f>
        <v>7.54</v>
      </c>
      <c r="H75" s="180"/>
      <c r="I75" s="180">
        <f>IFERROR(_xlfn.XLOOKUP($A75,Raw_Data!$B:$B,Raw_Data!$KI:$KI),"")</f>
        <v>7.03</v>
      </c>
      <c r="J75" s="180"/>
      <c r="K75" s="180">
        <f>IFERROR(_xlfn.XLOOKUP($A75,Raw_Data!$B:$B,Raw_Data!KJ:KJ),"")</f>
        <v>41.33</v>
      </c>
      <c r="L75" s="180">
        <f>IFERROR(_xlfn.XLOOKUP($A75,Raw_Data!$B:$B,Raw_Data!KK:KK),"")</f>
        <v>46.5</v>
      </c>
      <c r="M75" s="180">
        <f>IFERROR(_xlfn.XLOOKUP($A75,Raw_Data!$B:$B,Raw_Data!KL:KL),"")</f>
        <v>3.21</v>
      </c>
      <c r="N75" s="180">
        <f>IFERROR(_xlfn.XLOOKUP($A75,Raw_Data!$B:$B,Raw_Data!KM:KM),"")</f>
        <v>8.6999999999999993</v>
      </c>
      <c r="O75" s="181">
        <f>IFERROR(1-SUMIF(PA!$B:$B,$A75,PA!AJ:AJ)/($AA75+SUMIF(PA!$B:$B,$A75,PA!AJ:AJ)),"")</f>
        <v>0.99957025718781689</v>
      </c>
      <c r="P75" s="181"/>
      <c r="Q75" s="182"/>
      <c r="R75" s="181">
        <f>IFERROR(1-SUMIF(GA!$C:$C,$A75,GA!$X:$X)/($AA75+SUMIF(GA!$C:$C,$A75,GA!$X:$X)),"")</f>
        <v>1</v>
      </c>
      <c r="S75" s="177"/>
      <c r="T75" s="182"/>
      <c r="U75" s="183">
        <f t="shared" si="5"/>
        <v>0.76271415922135133</v>
      </c>
      <c r="V75" s="183" t="str">
        <f>IFERROR(_xlfn.XLOOKUP($A75,Raw_Data!$B:$B,Raw_Data!$KQ:$KQ),"")</f>
        <v/>
      </c>
      <c r="W75" s="184">
        <f t="shared" si="6"/>
        <v>0.2234116891385875</v>
      </c>
      <c r="X75" s="176">
        <f>IFERROR(_xlfn.XLOOKUP($A75,Raw_Data!$B:$B,Raw_Data!$KN:$KN),"")</f>
        <v>359956.49999999977</v>
      </c>
      <c r="Y75" s="176">
        <f>IFERROR(_xlfn.XLOOKUP($A75,Raw_Data!$B:$B,Raw_Data!$KC:$KC),"")</f>
        <v>358052.20700001717</v>
      </c>
      <c r="Z75" s="176">
        <f>IFERROR(_xlfn.XLOOKUP($A75,Raw_Data!$B:$B,Raw_Data!$KD:$KD),"")</f>
        <v>146.68099999999686</v>
      </c>
      <c r="AA75" s="176">
        <f>IFERROR(_xlfn.XLOOKUP($A75,Raw_Data!$B:$B,Raw_Data!$KF:$KF),"")</f>
        <v>357905.52600001718</v>
      </c>
      <c r="AB75" s="176">
        <f>IFERROR(_xlfn.XLOOKUP($A75,Raw_Data!$B:$B,Raw_Data!I:I)/1000,"")</f>
        <v>66.75</v>
      </c>
      <c r="AC75" s="185">
        <f>IFERROR(_xlfn.XLOOKUP($D75,'Modelling New'!$D:$D,'Modelling New'!$P:$P),"")</f>
        <v>5.2366666666666664</v>
      </c>
      <c r="AD75" s="176">
        <f>IFERROR(_xlfn.XLOOKUP($D75,'Modelling New'!$D:$D,'Modelling New'!$T:$T)*1000,"")</f>
        <v>265725.83324908343</v>
      </c>
      <c r="AE75" s="186">
        <f>IFERROR(_xlfn.XLOOKUP($D75,'Modelling New'!$D:$D,'Modelling New'!$O:$O),"")</f>
        <v>0.7601425562567381</v>
      </c>
      <c r="AF75" s="186">
        <f>IFERROR(_xlfn.XLOOKUP($D75,'Modelling New'!$D:$D,'Modelling New'!$W:$W),"")</f>
        <v>0.16585888276101882</v>
      </c>
      <c r="AG75" s="186">
        <f>IFERROR(_xlfn.XLOOKUP($D75,'Modelling New'!$D:$D,'Modelling New'!$AE:$AE),"")</f>
        <v>0.995</v>
      </c>
      <c r="AH75" s="186">
        <f>IFERROR(_xlfn.XLOOKUP($D75,'Modelling New'!$D:$D,'Modelling New'!$AF:$AF),"")</f>
        <v>0.995</v>
      </c>
      <c r="AI75" s="177"/>
      <c r="AJ75" s="177"/>
      <c r="AK75" s="238"/>
      <c r="AL75" s="238"/>
      <c r="AM75" s="238"/>
      <c r="AN75" s="187"/>
      <c r="AO75" s="184"/>
      <c r="AP75" s="184"/>
      <c r="AQ75" s="184"/>
      <c r="AR75" s="176">
        <f>IFERROR(_xlfn.XLOOKUP($D74,'Modelling New'!$D:$D,'Modelling New'!$N:$N),"")</f>
        <v>66.754999999999995</v>
      </c>
      <c r="AS75" s="176"/>
    </row>
    <row r="76" spans="1:45" x14ac:dyDescent="0.25">
      <c r="A76" s="175">
        <f t="shared" si="7"/>
        <v>45819</v>
      </c>
      <c r="B76" s="176">
        <f>YEAR(Table13[[#This Row],[Date]])+IF(MONTH(Table13[[#This Row],[Date]])&gt;=4,1,0)</f>
        <v>2026</v>
      </c>
      <c r="C76" s="177">
        <f>YEAR(Table13[[#This Row],[Date]])</f>
        <v>2025</v>
      </c>
      <c r="D76" s="178">
        <f>Table13[[#This Row],[Date]]-DAY(Table13[[#This Row],[Date]])+1</f>
        <v>45809</v>
      </c>
      <c r="E76" s="177">
        <f t="shared" si="4"/>
        <v>30</v>
      </c>
      <c r="F76" s="179">
        <f>IFERROR(_xlfn.XLOOKUP($A76,Raw_Data!$B:$B,Raw_Data!$KG:$KG),"")</f>
        <v>13.45</v>
      </c>
      <c r="G76" s="180">
        <f>IFERROR(_xlfn.XLOOKUP($A76,Raw_Data!$B:$B,Raw_Data!KH:KH),"")</f>
        <v>7.17</v>
      </c>
      <c r="H76" s="180"/>
      <c r="I76" s="180">
        <f>IFERROR(_xlfn.XLOOKUP($A76,Raw_Data!$B:$B,Raw_Data!$KI:$KI),"")</f>
        <v>6.59</v>
      </c>
      <c r="J76" s="180"/>
      <c r="K76" s="180">
        <f>IFERROR(_xlfn.XLOOKUP($A76,Raw_Data!$B:$B,Raw_Data!KJ:KJ),"")</f>
        <v>40.35</v>
      </c>
      <c r="L76" s="180">
        <f>IFERROR(_xlfn.XLOOKUP($A76,Raw_Data!$B:$B,Raw_Data!KK:KK),"")</f>
        <v>47.76</v>
      </c>
      <c r="M76" s="180">
        <f>IFERROR(_xlfn.XLOOKUP($A76,Raw_Data!$B:$B,Raw_Data!KL:KL),"")</f>
        <v>2.2200000000000002</v>
      </c>
      <c r="N76" s="180">
        <f>IFERROR(_xlfn.XLOOKUP($A76,Raw_Data!$B:$B,Raw_Data!KM:KM),"")</f>
        <v>5.5</v>
      </c>
      <c r="O76" s="181">
        <f>IFERROR(1-SUMIF(PA!$B:$B,$A76,PA!AJ:AJ)/($AA76+SUMIF(PA!$B:$B,$A76,PA!AJ:AJ)),"")</f>
        <v>1</v>
      </c>
      <c r="P76" s="181"/>
      <c r="Q76" s="182"/>
      <c r="R76" s="181">
        <f>IFERROR(1-SUMIF(GA!$C:$C,$A76,GA!$X:$X)/($AA76+SUMIF(GA!$C:$C,$A76,GA!$X:$X)),"")</f>
        <v>1</v>
      </c>
      <c r="S76" s="177"/>
      <c r="T76" s="182"/>
      <c r="U76" s="183">
        <f t="shared" si="5"/>
        <v>0.76482352219052774</v>
      </c>
      <c r="V76" s="183" t="str">
        <f>IFERROR(_xlfn.XLOOKUP($A76,Raw_Data!$B:$B,Raw_Data!$KQ:$KQ),"")</f>
        <v/>
      </c>
      <c r="W76" s="184">
        <f t="shared" si="6"/>
        <v>0.21000779213481569</v>
      </c>
      <c r="X76" s="176">
        <f>IFERROR(_xlfn.XLOOKUP($A76,Raw_Data!$B:$B,Raw_Data!$KN:$KN),"")</f>
        <v>338030.77000000025</v>
      </c>
      <c r="Y76" s="176">
        <f>IFERROR(_xlfn.XLOOKUP($A76,Raw_Data!$B:$B,Raw_Data!$KC:$KC),"")</f>
        <v>336579.16399997473</v>
      </c>
      <c r="Z76" s="176">
        <f>IFERROR(_xlfn.XLOOKUP($A76,Raw_Data!$B:$B,Raw_Data!$KD:$KD),"")</f>
        <v>146.68099999999686</v>
      </c>
      <c r="AA76" s="176">
        <f>IFERROR(_xlfn.XLOOKUP($A76,Raw_Data!$B:$B,Raw_Data!$KF:$KF),"")</f>
        <v>336432.48299997475</v>
      </c>
      <c r="AB76" s="176">
        <f>IFERROR(_xlfn.XLOOKUP($A76,Raw_Data!$B:$B,Raw_Data!I:I)/1000,"")</f>
        <v>66.75</v>
      </c>
      <c r="AC76" s="185">
        <f>IFERROR(_xlfn.XLOOKUP($D76,'Modelling New'!$D:$D,'Modelling New'!$P:$P),"")</f>
        <v>5.2366666666666664</v>
      </c>
      <c r="AD76" s="176">
        <f>IFERROR(_xlfn.XLOOKUP($D76,'Modelling New'!$D:$D,'Modelling New'!$T:$T)*1000,"")</f>
        <v>265725.83324908343</v>
      </c>
      <c r="AE76" s="186">
        <f>IFERROR(_xlfn.XLOOKUP($D76,'Modelling New'!$D:$D,'Modelling New'!$O:$O),"")</f>
        <v>0.7601425562567381</v>
      </c>
      <c r="AF76" s="186">
        <f>IFERROR(_xlfn.XLOOKUP($D76,'Modelling New'!$D:$D,'Modelling New'!$W:$W),"")</f>
        <v>0.16585888276101882</v>
      </c>
      <c r="AG76" s="186">
        <f>IFERROR(_xlfn.XLOOKUP($D76,'Modelling New'!$D:$D,'Modelling New'!$AE:$AE),"")</f>
        <v>0.995</v>
      </c>
      <c r="AH76" s="186">
        <f>IFERROR(_xlfn.XLOOKUP($D76,'Modelling New'!$D:$D,'Modelling New'!$AF:$AF),"")</f>
        <v>0.995</v>
      </c>
      <c r="AI76" s="177"/>
      <c r="AJ76" s="177"/>
      <c r="AK76" s="238"/>
      <c r="AL76" s="238"/>
      <c r="AM76" s="238"/>
      <c r="AN76" s="187"/>
      <c r="AO76" s="184"/>
      <c r="AP76" s="184"/>
      <c r="AQ76" s="184"/>
      <c r="AR76" s="176">
        <f>IFERROR(_xlfn.XLOOKUP($D75,'Modelling New'!$D:$D,'Modelling New'!$N:$N),"")</f>
        <v>66.754999999999995</v>
      </c>
      <c r="AS76" s="176"/>
    </row>
    <row r="77" spans="1:45" x14ac:dyDescent="0.25">
      <c r="A77" s="175">
        <f t="shared" si="7"/>
        <v>45820</v>
      </c>
      <c r="B77" s="176">
        <f>YEAR(Table13[[#This Row],[Date]])+IF(MONTH(Table13[[#This Row],[Date]])&gt;=4,1,0)</f>
        <v>2026</v>
      </c>
      <c r="C77" s="177">
        <f>YEAR(Table13[[#This Row],[Date]])</f>
        <v>2025</v>
      </c>
      <c r="D77" s="178">
        <f>Table13[[#This Row],[Date]]-DAY(Table13[[#This Row],[Date]])+1</f>
        <v>45809</v>
      </c>
      <c r="E77" s="177">
        <f t="shared" si="4"/>
        <v>30</v>
      </c>
      <c r="F77" s="179">
        <f>IFERROR(_xlfn.XLOOKUP($A77,Raw_Data!$B:$B,Raw_Data!$KG:$KG),"")</f>
        <v>13.43333333333333</v>
      </c>
      <c r="G77" s="180">
        <f>IFERROR(_xlfn.XLOOKUP($A77,Raw_Data!$B:$B,Raw_Data!KH:KH),"")</f>
        <v>6.58</v>
      </c>
      <c r="H77" s="180"/>
      <c r="I77" s="180">
        <f>IFERROR(_xlfn.XLOOKUP($A77,Raw_Data!$B:$B,Raw_Data!$KI:$KI),"")</f>
        <v>6.05</v>
      </c>
      <c r="J77" s="180"/>
      <c r="K77" s="180">
        <f>IFERROR(_xlfn.XLOOKUP($A77,Raw_Data!$B:$B,Raw_Data!KJ:KJ),"")</f>
        <v>39.97</v>
      </c>
      <c r="L77" s="180">
        <f>IFERROR(_xlfn.XLOOKUP($A77,Raw_Data!$B:$B,Raw_Data!KK:KK),"")</f>
        <v>49.84</v>
      </c>
      <c r="M77" s="180">
        <f>IFERROR(_xlfn.XLOOKUP($A77,Raw_Data!$B:$B,Raw_Data!KL:KL),"")</f>
        <v>2.2999999999999998</v>
      </c>
      <c r="N77" s="180">
        <f>IFERROR(_xlfn.XLOOKUP($A77,Raw_Data!$B:$B,Raw_Data!KM:KM),"")</f>
        <v>5.5</v>
      </c>
      <c r="O77" s="181">
        <f>IFERROR(1-SUMIF(PA!$B:$B,$A77,PA!AJ:AJ)/($AA77+SUMIF(PA!$B:$B,$A77,PA!AJ:AJ)),"")</f>
        <v>1</v>
      </c>
      <c r="P77" s="181"/>
      <c r="Q77" s="182"/>
      <c r="R77" s="181">
        <f>IFERROR(1-SUMIF(GA!$C:$C,$A77,GA!$X:$X)/($AA77+SUMIF(GA!$C:$C,$A77,GA!$X:$X)),"")</f>
        <v>1</v>
      </c>
      <c r="S77" s="177"/>
      <c r="T77" s="182"/>
      <c r="U77" s="183">
        <f t="shared" si="5"/>
        <v>0.76022218590396484</v>
      </c>
      <c r="V77" s="183" t="str">
        <f>IFERROR(_xlfn.XLOOKUP($A77,Raw_Data!$B:$B,Raw_Data!$KQ:$KQ),"")</f>
        <v/>
      </c>
      <c r="W77" s="184">
        <f t="shared" si="6"/>
        <v>0.19163934269662447</v>
      </c>
      <c r="X77" s="176">
        <f>IFERROR(_xlfn.XLOOKUP($A77,Raw_Data!$B:$B,Raw_Data!$KN:$KN),"")</f>
        <v>309854.97000000003</v>
      </c>
      <c r="Y77" s="176">
        <f>IFERROR(_xlfn.XLOOKUP($A77,Raw_Data!$B:$B,Raw_Data!$KC:$KC),"")</f>
        <v>307152.90799999237</v>
      </c>
      <c r="Z77" s="176">
        <f>IFERROR(_xlfn.XLOOKUP($A77,Raw_Data!$B:$B,Raw_Data!$KD:$KD),"")</f>
        <v>146.68100000001141</v>
      </c>
      <c r="AA77" s="176">
        <f>IFERROR(_xlfn.XLOOKUP($A77,Raw_Data!$B:$B,Raw_Data!$KF:$KF),"")</f>
        <v>307006.22699999239</v>
      </c>
      <c r="AB77" s="176">
        <f>IFERROR(_xlfn.XLOOKUP($A77,Raw_Data!$B:$B,Raw_Data!I:I)/1000,"")</f>
        <v>66.75</v>
      </c>
      <c r="AC77" s="185">
        <f>IFERROR(_xlfn.XLOOKUP($D77,'Modelling New'!$D:$D,'Modelling New'!$P:$P),"")</f>
        <v>5.2366666666666664</v>
      </c>
      <c r="AD77" s="176">
        <f>IFERROR(_xlfn.XLOOKUP($D77,'Modelling New'!$D:$D,'Modelling New'!$T:$T)*1000,"")</f>
        <v>265725.83324908343</v>
      </c>
      <c r="AE77" s="186">
        <f>IFERROR(_xlfn.XLOOKUP($D77,'Modelling New'!$D:$D,'Modelling New'!$O:$O),"")</f>
        <v>0.7601425562567381</v>
      </c>
      <c r="AF77" s="186">
        <f>IFERROR(_xlfn.XLOOKUP($D77,'Modelling New'!$D:$D,'Modelling New'!$W:$W),"")</f>
        <v>0.16585888276101882</v>
      </c>
      <c r="AG77" s="186">
        <f>IFERROR(_xlfn.XLOOKUP($D77,'Modelling New'!$D:$D,'Modelling New'!$AE:$AE),"")</f>
        <v>0.995</v>
      </c>
      <c r="AH77" s="186">
        <f>IFERROR(_xlfn.XLOOKUP($D77,'Modelling New'!$D:$D,'Modelling New'!$AF:$AF),"")</f>
        <v>0.995</v>
      </c>
      <c r="AI77" s="177"/>
      <c r="AJ77" s="177"/>
      <c r="AK77" s="238"/>
      <c r="AL77" s="238"/>
      <c r="AM77" s="238"/>
      <c r="AN77" s="187"/>
      <c r="AO77" s="184"/>
      <c r="AP77" s="184"/>
      <c r="AQ77" s="184"/>
      <c r="AR77" s="176">
        <f>IFERROR(_xlfn.XLOOKUP($D76,'Modelling New'!$D:$D,'Modelling New'!$N:$N),"")</f>
        <v>66.754999999999995</v>
      </c>
      <c r="AS77" s="176"/>
    </row>
    <row r="78" spans="1:45" x14ac:dyDescent="0.25">
      <c r="A78" s="175">
        <f t="shared" si="7"/>
        <v>45821</v>
      </c>
      <c r="B78" s="176">
        <f>YEAR(Table13[[#This Row],[Date]])+IF(MONTH(Table13[[#This Row],[Date]])&gt;=4,1,0)</f>
        <v>2026</v>
      </c>
      <c r="C78" s="177">
        <f>YEAR(Table13[[#This Row],[Date]])</f>
        <v>2025</v>
      </c>
      <c r="D78" s="178">
        <f>Table13[[#This Row],[Date]]-DAY(Table13[[#This Row],[Date]])+1</f>
        <v>45809</v>
      </c>
      <c r="E78" s="177">
        <f t="shared" si="4"/>
        <v>30</v>
      </c>
      <c r="F78" s="179">
        <f>IFERROR(_xlfn.XLOOKUP($A78,Raw_Data!$B:$B,Raw_Data!$KG:$KG),"")</f>
        <v>11.383333333333333</v>
      </c>
      <c r="G78" s="180">
        <f>IFERROR(_xlfn.XLOOKUP($A78,Raw_Data!$B:$B,Raw_Data!KH:KH),"")</f>
        <v>5.96</v>
      </c>
      <c r="H78" s="180"/>
      <c r="I78" s="180">
        <f>IFERROR(_xlfn.XLOOKUP($A78,Raw_Data!$B:$B,Raw_Data!$KI:$KI),"")</f>
        <v>5.45</v>
      </c>
      <c r="J78" s="180"/>
      <c r="K78" s="180">
        <f>IFERROR(_xlfn.XLOOKUP($A78,Raw_Data!$B:$B,Raw_Data!KJ:KJ),"")</f>
        <v>39.42</v>
      </c>
      <c r="L78" s="180">
        <f>IFERROR(_xlfn.XLOOKUP($A78,Raw_Data!$B:$B,Raw_Data!KK:KK),"")</f>
        <v>48.96</v>
      </c>
      <c r="M78" s="180">
        <f>IFERROR(_xlfn.XLOOKUP($A78,Raw_Data!$B:$B,Raw_Data!KL:KL),"")</f>
        <v>3.4</v>
      </c>
      <c r="N78" s="180">
        <f>IFERROR(_xlfn.XLOOKUP($A78,Raw_Data!$B:$B,Raw_Data!KM:KM),"")</f>
        <v>12.9</v>
      </c>
      <c r="O78" s="181">
        <f>IFERROR(1-SUMIF(PA!$B:$B,$A78,PA!AJ:AJ)/($AA78+SUMIF(PA!$B:$B,$A78,PA!AJ:AJ)),"")</f>
        <v>1</v>
      </c>
      <c r="P78" s="181"/>
      <c r="Q78" s="182"/>
      <c r="R78" s="181">
        <f>IFERROR(1-SUMIF(GA!$C:$C,$A78,GA!$X:$X)/($AA78+SUMIF(GA!$C:$C,$A78,GA!$X:$X)),"")</f>
        <v>1</v>
      </c>
      <c r="S78" s="177"/>
      <c r="T78" s="182"/>
      <c r="U78" s="183">
        <f t="shared" si="5"/>
        <v>0.76088111328724017</v>
      </c>
      <c r="V78" s="183" t="str">
        <f>IFERROR(_xlfn.XLOOKUP($A78,Raw_Data!$B:$B,Raw_Data!$KQ:$KQ),"")</f>
        <v/>
      </c>
      <c r="W78" s="184">
        <f t="shared" si="6"/>
        <v>0.17278341947564413</v>
      </c>
      <c r="X78" s="176">
        <f>IFERROR(_xlfn.XLOOKUP($A78,Raw_Data!$B:$B,Raw_Data!$KN:$KN),"")</f>
        <v>279024.10000000003</v>
      </c>
      <c r="Y78" s="176">
        <f>IFERROR(_xlfn.XLOOKUP($A78,Raw_Data!$B:$B,Raw_Data!$KC:$KC),"")</f>
        <v>276945.71899998188</v>
      </c>
      <c r="Z78" s="176">
        <f>IFERROR(_xlfn.XLOOKUP($A78,Raw_Data!$B:$B,Raw_Data!$KD:$KD),"")</f>
        <v>146.68099999999686</v>
      </c>
      <c r="AA78" s="176">
        <f>IFERROR(_xlfn.XLOOKUP($A78,Raw_Data!$B:$B,Raw_Data!$KF:$KF),"")</f>
        <v>276799.0379999819</v>
      </c>
      <c r="AB78" s="176">
        <f>IFERROR(_xlfn.XLOOKUP($A78,Raw_Data!$B:$B,Raw_Data!I:I)/1000,"")</f>
        <v>66.75</v>
      </c>
      <c r="AC78" s="185">
        <f>IFERROR(_xlfn.XLOOKUP($D78,'Modelling New'!$D:$D,'Modelling New'!$P:$P),"")</f>
        <v>5.2366666666666664</v>
      </c>
      <c r="AD78" s="176">
        <f>IFERROR(_xlfn.XLOOKUP($D78,'Modelling New'!$D:$D,'Modelling New'!$T:$T)*1000,"")</f>
        <v>265725.83324908343</v>
      </c>
      <c r="AE78" s="186">
        <f>IFERROR(_xlfn.XLOOKUP($D78,'Modelling New'!$D:$D,'Modelling New'!$O:$O),"")</f>
        <v>0.7601425562567381</v>
      </c>
      <c r="AF78" s="186">
        <f>IFERROR(_xlfn.XLOOKUP($D78,'Modelling New'!$D:$D,'Modelling New'!$W:$W),"")</f>
        <v>0.16585888276101882</v>
      </c>
      <c r="AG78" s="186">
        <f>IFERROR(_xlfn.XLOOKUP($D78,'Modelling New'!$D:$D,'Modelling New'!$AE:$AE),"")</f>
        <v>0.995</v>
      </c>
      <c r="AH78" s="186">
        <f>IFERROR(_xlfn.XLOOKUP($D78,'Modelling New'!$D:$D,'Modelling New'!$AF:$AF),"")</f>
        <v>0.995</v>
      </c>
      <c r="AI78" s="177"/>
      <c r="AJ78" s="177"/>
      <c r="AK78" s="238"/>
      <c r="AL78" s="238"/>
      <c r="AM78" s="238"/>
      <c r="AN78" s="187"/>
      <c r="AO78" s="184"/>
      <c r="AP78" s="184"/>
      <c r="AQ78" s="184"/>
      <c r="AR78" s="176">
        <f>IFERROR(_xlfn.XLOOKUP($D77,'Modelling New'!$D:$D,'Modelling New'!$N:$N),"")</f>
        <v>66.754999999999995</v>
      </c>
      <c r="AS78" s="176"/>
    </row>
    <row r="79" spans="1:45" x14ac:dyDescent="0.25">
      <c r="A79" s="175">
        <f t="shared" si="7"/>
        <v>45822</v>
      </c>
      <c r="B79" s="176">
        <f>YEAR(Table13[[#This Row],[Date]])+IF(MONTH(Table13[[#This Row],[Date]])&gt;=4,1,0)</f>
        <v>2026</v>
      </c>
      <c r="C79" s="177">
        <f>YEAR(Table13[[#This Row],[Date]])</f>
        <v>2025</v>
      </c>
      <c r="D79" s="178">
        <f>Table13[[#This Row],[Date]]-DAY(Table13[[#This Row],[Date]])+1</f>
        <v>45809</v>
      </c>
      <c r="E79" s="177">
        <f t="shared" si="4"/>
        <v>30</v>
      </c>
      <c r="F79" s="179">
        <f>IFERROR(_xlfn.XLOOKUP($A79,Raw_Data!$B:$B,Raw_Data!$KG:$KG),"")</f>
        <v>13.58333333333333</v>
      </c>
      <c r="G79" s="180">
        <f>IFERROR(_xlfn.XLOOKUP($A79,Raw_Data!$B:$B,Raw_Data!KH:KH),"")</f>
        <v>6.54</v>
      </c>
      <c r="H79" s="180"/>
      <c r="I79" s="180">
        <f>IFERROR(_xlfn.XLOOKUP($A79,Raw_Data!$B:$B,Raw_Data!$KI:$KI),"")</f>
        <v>6.01</v>
      </c>
      <c r="J79" s="180"/>
      <c r="K79" s="180">
        <f>IFERROR(_xlfn.XLOOKUP($A79,Raw_Data!$B:$B,Raw_Data!KJ:KJ),"")</f>
        <v>37.79</v>
      </c>
      <c r="L79" s="180">
        <f>IFERROR(_xlfn.XLOOKUP($A79,Raw_Data!$B:$B,Raw_Data!KK:KK),"")</f>
        <v>49.04</v>
      </c>
      <c r="M79" s="180">
        <f>IFERROR(_xlfn.XLOOKUP($A79,Raw_Data!$B:$B,Raw_Data!KL:KL),"")</f>
        <v>1.63</v>
      </c>
      <c r="N79" s="180">
        <f>IFERROR(_xlfn.XLOOKUP($A79,Raw_Data!$B:$B,Raw_Data!KM:KM),"")</f>
        <v>4.9000000000000004</v>
      </c>
      <c r="O79" s="181">
        <f>IFERROR(1-SUMIF(PA!$B:$B,$A79,PA!AJ:AJ)/($AA79+SUMIF(PA!$B:$B,$A79,PA!AJ:AJ)),"")</f>
        <v>0.99987766876481299</v>
      </c>
      <c r="P79" s="181"/>
      <c r="Q79" s="182"/>
      <c r="R79" s="181">
        <f>IFERROR(1-SUMIF(GA!$C:$C,$A79,GA!$X:$X)/($AA79+SUMIF(GA!$C:$C,$A79,GA!$X:$X)),"")</f>
        <v>1</v>
      </c>
      <c r="S79" s="177"/>
      <c r="T79" s="182"/>
      <c r="U79" s="183">
        <f t="shared" si="5"/>
        <v>0.76049381118863624</v>
      </c>
      <c r="V79" s="183" t="str">
        <f>IFERROR(_xlfn.XLOOKUP($A79,Raw_Data!$B:$B,Raw_Data!$KQ:$KQ),"")</f>
        <v/>
      </c>
      <c r="W79" s="184">
        <f t="shared" si="6"/>
        <v>0.19044032521848764</v>
      </c>
      <c r="X79" s="176">
        <f>IFERROR(_xlfn.XLOOKUP($A79,Raw_Data!$B:$B,Raw_Data!$KN:$KN),"")</f>
        <v>307007.39999999997</v>
      </c>
      <c r="Y79" s="176">
        <f>IFERROR(_xlfn.XLOOKUP($A79,Raw_Data!$B:$B,Raw_Data!$KC:$KC),"")</f>
        <v>305232.08200001717</v>
      </c>
      <c r="Z79" s="176">
        <f>IFERROR(_xlfn.XLOOKUP($A79,Raw_Data!$B:$B,Raw_Data!$KD:$KD),"")</f>
        <v>146.68099999999686</v>
      </c>
      <c r="AA79" s="176">
        <f>IFERROR(_xlfn.XLOOKUP($A79,Raw_Data!$B:$B,Raw_Data!$KF:$KF),"")</f>
        <v>305085.40100001718</v>
      </c>
      <c r="AB79" s="176">
        <f>IFERROR(_xlfn.XLOOKUP($A79,Raw_Data!$B:$B,Raw_Data!I:I)/1000,"")</f>
        <v>66.75</v>
      </c>
      <c r="AC79" s="185">
        <f>IFERROR(_xlfn.XLOOKUP($D79,'Modelling New'!$D:$D,'Modelling New'!$P:$P),"")</f>
        <v>5.2366666666666664</v>
      </c>
      <c r="AD79" s="176">
        <f>IFERROR(_xlfn.XLOOKUP($D79,'Modelling New'!$D:$D,'Modelling New'!$T:$T)*1000,"")</f>
        <v>265725.83324908343</v>
      </c>
      <c r="AE79" s="186">
        <f>IFERROR(_xlfn.XLOOKUP($D79,'Modelling New'!$D:$D,'Modelling New'!$O:$O),"")</f>
        <v>0.7601425562567381</v>
      </c>
      <c r="AF79" s="186">
        <f>IFERROR(_xlfn.XLOOKUP($D79,'Modelling New'!$D:$D,'Modelling New'!$W:$W),"")</f>
        <v>0.16585888276101882</v>
      </c>
      <c r="AG79" s="186">
        <f>IFERROR(_xlfn.XLOOKUP($D79,'Modelling New'!$D:$D,'Modelling New'!$AE:$AE),"")</f>
        <v>0.995</v>
      </c>
      <c r="AH79" s="186">
        <f>IFERROR(_xlfn.XLOOKUP($D79,'Modelling New'!$D:$D,'Modelling New'!$AF:$AF),"")</f>
        <v>0.995</v>
      </c>
      <c r="AI79" s="177"/>
      <c r="AJ79" s="177"/>
      <c r="AK79" s="238"/>
      <c r="AL79" s="238"/>
      <c r="AM79" s="238"/>
      <c r="AN79" s="187"/>
      <c r="AO79" s="184"/>
      <c r="AP79" s="184"/>
      <c r="AQ79" s="184"/>
      <c r="AR79" s="176">
        <f>IFERROR(_xlfn.XLOOKUP($D78,'Modelling New'!$D:$D,'Modelling New'!$N:$N),"")</f>
        <v>66.754999999999995</v>
      </c>
      <c r="AS79" s="176"/>
    </row>
    <row r="80" spans="1:45" x14ac:dyDescent="0.25">
      <c r="A80" s="175">
        <f t="shared" si="7"/>
        <v>45823</v>
      </c>
      <c r="B80" s="176">
        <f>YEAR(Table13[[#This Row],[Date]])+IF(MONTH(Table13[[#This Row],[Date]])&gt;=4,1,0)</f>
        <v>2026</v>
      </c>
      <c r="C80" s="177">
        <f>YEAR(Table13[[#This Row],[Date]])</f>
        <v>2025</v>
      </c>
      <c r="D80" s="178">
        <f>Table13[[#This Row],[Date]]-DAY(Table13[[#This Row],[Date]])+1</f>
        <v>45809</v>
      </c>
      <c r="E80" s="177">
        <f t="shared" si="4"/>
        <v>30</v>
      </c>
      <c r="F80" s="179">
        <f>IFERROR(_xlfn.XLOOKUP($A80,Raw_Data!$B:$B,Raw_Data!$KG:$KG),"")</f>
        <v>13.233333333333334</v>
      </c>
      <c r="G80" s="180">
        <f>IFERROR(_xlfn.XLOOKUP($A80,Raw_Data!$B:$B,Raw_Data!KH:KH),"")</f>
        <v>4.87</v>
      </c>
      <c r="H80" s="180"/>
      <c r="I80" s="180">
        <f>IFERROR(_xlfn.XLOOKUP($A80,Raw_Data!$B:$B,Raw_Data!$KI:$KI),"")</f>
        <v>4.49</v>
      </c>
      <c r="J80" s="180"/>
      <c r="K80" s="180">
        <f>IFERROR(_xlfn.XLOOKUP($A80,Raw_Data!$B:$B,Raw_Data!KJ:KJ),"")</f>
        <v>34.83</v>
      </c>
      <c r="L80" s="180">
        <f>IFERROR(_xlfn.XLOOKUP($A80,Raw_Data!$B:$B,Raw_Data!KK:KK),"")</f>
        <v>42.57</v>
      </c>
      <c r="M80" s="180">
        <f>IFERROR(_xlfn.XLOOKUP($A80,Raw_Data!$B:$B,Raw_Data!KL:KL),"")</f>
        <v>3.24</v>
      </c>
      <c r="N80" s="180">
        <f>IFERROR(_xlfn.XLOOKUP($A80,Raw_Data!$B:$B,Raw_Data!KM:KM),"")</f>
        <v>10.7</v>
      </c>
      <c r="O80" s="181">
        <f>IFERROR(1-SUMIF(PA!$B:$B,$A80,PA!AJ:AJ)/($AA80+SUMIF(PA!$B:$B,$A80,PA!AJ:AJ)),"")</f>
        <v>0.99780017203789839</v>
      </c>
      <c r="P80" s="181"/>
      <c r="Q80" s="182"/>
      <c r="R80" s="181">
        <f>IFERROR(1-SUMIF(GA!$C:$C,$A80,GA!$X:$X)/($AA80+SUMIF(GA!$C:$C,$A80,GA!$X:$X)),"")</f>
        <v>1</v>
      </c>
      <c r="S80" s="177"/>
      <c r="T80" s="182"/>
      <c r="U80" s="183">
        <f t="shared" si="5"/>
        <v>0.7616746894888452</v>
      </c>
      <c r="V80" s="183" t="str">
        <f>IFERROR(_xlfn.XLOOKUP($A80,Raw_Data!$B:$B,Raw_Data!$KQ:$KQ),"")</f>
        <v/>
      </c>
      <c r="W80" s="184">
        <f t="shared" si="6"/>
        <v>0.1424966398252048</v>
      </c>
      <c r="X80" s="176">
        <f>IFERROR(_xlfn.XLOOKUP($A80,Raw_Data!$B:$B,Raw_Data!$KN:$KN),"")</f>
        <v>229066.49999999994</v>
      </c>
      <c r="Y80" s="176">
        <f>IFERROR(_xlfn.XLOOKUP($A80,Raw_Data!$B:$B,Raw_Data!$KC:$KC),"")</f>
        <v>228426.29799997807</v>
      </c>
      <c r="Z80" s="176">
        <f>IFERROR(_xlfn.XLOOKUP($A80,Raw_Data!$B:$B,Raw_Data!$KD:$KD),"")</f>
        <v>146.68099999999686</v>
      </c>
      <c r="AA80" s="176">
        <f>IFERROR(_xlfn.XLOOKUP($A80,Raw_Data!$B:$B,Raw_Data!$KF:$KF),"")</f>
        <v>228279.61699997808</v>
      </c>
      <c r="AB80" s="176">
        <f>IFERROR(_xlfn.XLOOKUP($A80,Raw_Data!$B:$B,Raw_Data!I:I)/1000,"")</f>
        <v>66.75</v>
      </c>
      <c r="AC80" s="185">
        <f>IFERROR(_xlfn.XLOOKUP($D80,'Modelling New'!$D:$D,'Modelling New'!$P:$P),"")</f>
        <v>5.2366666666666664</v>
      </c>
      <c r="AD80" s="176">
        <f>IFERROR(_xlfn.XLOOKUP($D80,'Modelling New'!$D:$D,'Modelling New'!$T:$T)*1000,"")</f>
        <v>265725.83324908343</v>
      </c>
      <c r="AE80" s="186">
        <f>IFERROR(_xlfn.XLOOKUP($D80,'Modelling New'!$D:$D,'Modelling New'!$O:$O),"")</f>
        <v>0.7601425562567381</v>
      </c>
      <c r="AF80" s="186">
        <f>IFERROR(_xlfn.XLOOKUP($D80,'Modelling New'!$D:$D,'Modelling New'!$W:$W),"")</f>
        <v>0.16585888276101882</v>
      </c>
      <c r="AG80" s="186">
        <f>IFERROR(_xlfn.XLOOKUP($D80,'Modelling New'!$D:$D,'Modelling New'!$AE:$AE),"")</f>
        <v>0.995</v>
      </c>
      <c r="AH80" s="186">
        <f>IFERROR(_xlfn.XLOOKUP($D80,'Modelling New'!$D:$D,'Modelling New'!$AF:$AF),"")</f>
        <v>0.995</v>
      </c>
      <c r="AI80" s="177"/>
      <c r="AJ80" s="177"/>
      <c r="AK80" s="238"/>
      <c r="AL80" s="238"/>
      <c r="AM80" s="238"/>
      <c r="AN80" s="187"/>
      <c r="AO80" s="184"/>
      <c r="AP80" s="184"/>
      <c r="AQ80" s="184"/>
      <c r="AR80" s="176">
        <f>IFERROR(_xlfn.XLOOKUP($D79,'Modelling New'!$D:$D,'Modelling New'!$N:$N),"")</f>
        <v>66.754999999999995</v>
      </c>
      <c r="AS80" s="176"/>
    </row>
    <row r="81" spans="1:45" x14ac:dyDescent="0.25">
      <c r="A81" s="175">
        <f t="shared" si="7"/>
        <v>45824</v>
      </c>
      <c r="B81" s="176">
        <f>YEAR(Table13[[#This Row],[Date]])+IF(MONTH(Table13[[#This Row],[Date]])&gt;=4,1,0)</f>
        <v>2026</v>
      </c>
      <c r="C81" s="177">
        <f>YEAR(Table13[[#This Row],[Date]])</f>
        <v>2025</v>
      </c>
      <c r="D81" s="178">
        <f>Table13[[#This Row],[Date]]-DAY(Table13[[#This Row],[Date]])+1</f>
        <v>45809</v>
      </c>
      <c r="E81" s="177">
        <f t="shared" si="4"/>
        <v>30</v>
      </c>
      <c r="F81" s="179">
        <f>IFERROR(_xlfn.XLOOKUP($A81,Raw_Data!$B:$B,Raw_Data!$KG:$KG),"")</f>
        <v>11.666666666666666</v>
      </c>
      <c r="G81" s="180">
        <f>IFERROR(_xlfn.XLOOKUP($A81,Raw_Data!$B:$B,Raw_Data!KH:KH),"")</f>
        <v>6.29</v>
      </c>
      <c r="H81" s="180"/>
      <c r="I81" s="180">
        <f>IFERROR(_xlfn.XLOOKUP($A81,Raw_Data!$B:$B,Raw_Data!$KI:$KI),"")</f>
        <v>5.78</v>
      </c>
      <c r="J81" s="180"/>
      <c r="K81" s="180">
        <f>IFERROR(_xlfn.XLOOKUP($A81,Raw_Data!$B:$B,Raw_Data!KJ:KJ),"")</f>
        <v>32.82</v>
      </c>
      <c r="L81" s="180">
        <f>IFERROR(_xlfn.XLOOKUP($A81,Raw_Data!$B:$B,Raw_Data!KK:KK),"")</f>
        <v>40.29</v>
      </c>
      <c r="M81" s="180">
        <f>IFERROR(_xlfn.XLOOKUP($A81,Raw_Data!$B:$B,Raw_Data!KL:KL),"")</f>
        <v>3.89</v>
      </c>
      <c r="N81" s="180">
        <f>IFERROR(_xlfn.XLOOKUP($A81,Raw_Data!$B:$B,Raw_Data!KM:KM),"")</f>
        <v>8.5</v>
      </c>
      <c r="O81" s="181">
        <f>IFERROR(1-SUMIF(PA!$B:$B,$A81,PA!AJ:AJ)/($AA81+SUMIF(PA!$B:$B,$A81,PA!AJ:AJ)),"")</f>
        <v>0.99582226782724703</v>
      </c>
      <c r="P81" s="181"/>
      <c r="Q81" s="182"/>
      <c r="R81" s="181">
        <f>IFERROR(1-SUMIF(GA!$C:$C,$A81,GA!$X:$X)/($AA81+SUMIF(GA!$C:$C,$A81,GA!$X:$X)),"")</f>
        <v>1</v>
      </c>
      <c r="S81" s="177"/>
      <c r="T81" s="182"/>
      <c r="U81" s="183">
        <f t="shared" si="5"/>
        <v>0.78455198475958443</v>
      </c>
      <c r="V81" s="183" t="str">
        <f>IFERROR(_xlfn.XLOOKUP($A81,Raw_Data!$B:$B,Raw_Data!$KQ:$KQ),"")</f>
        <v/>
      </c>
      <c r="W81" s="184">
        <f t="shared" si="6"/>
        <v>0.18894626966293326</v>
      </c>
      <c r="X81" s="176">
        <f>IFERROR(_xlfn.XLOOKUP($A81,Raw_Data!$B:$B,Raw_Data!$KN:$KN),"")</f>
        <v>303505.10000000015</v>
      </c>
      <c r="Y81" s="176">
        <f>IFERROR(_xlfn.XLOOKUP($A81,Raw_Data!$B:$B,Raw_Data!$KC:$KC),"")</f>
        <v>302835.60500001907</v>
      </c>
      <c r="Z81" s="176">
        <f>IFERROR(_xlfn.XLOOKUP($A81,Raw_Data!$B:$B,Raw_Data!$KD:$KD),"")</f>
        <v>143.68100000001141</v>
      </c>
      <c r="AA81" s="176">
        <f>IFERROR(_xlfn.XLOOKUP($A81,Raw_Data!$B:$B,Raw_Data!$KF:$KF),"")</f>
        <v>302691.92400001909</v>
      </c>
      <c r="AB81" s="176">
        <f>IFERROR(_xlfn.XLOOKUP($A81,Raw_Data!$B:$B,Raw_Data!I:I)/1000,"")</f>
        <v>66.75</v>
      </c>
      <c r="AC81" s="185">
        <f>IFERROR(_xlfn.XLOOKUP($D81,'Modelling New'!$D:$D,'Modelling New'!$P:$P),"")</f>
        <v>5.2366666666666664</v>
      </c>
      <c r="AD81" s="176">
        <f>IFERROR(_xlfn.XLOOKUP($D81,'Modelling New'!$D:$D,'Modelling New'!$T:$T)*1000,"")</f>
        <v>265725.83324908343</v>
      </c>
      <c r="AE81" s="186">
        <f>IFERROR(_xlfn.XLOOKUP($D81,'Modelling New'!$D:$D,'Modelling New'!$O:$O),"")</f>
        <v>0.7601425562567381</v>
      </c>
      <c r="AF81" s="186">
        <f>IFERROR(_xlfn.XLOOKUP($D81,'Modelling New'!$D:$D,'Modelling New'!$W:$W),"")</f>
        <v>0.16585888276101882</v>
      </c>
      <c r="AG81" s="186">
        <f>IFERROR(_xlfn.XLOOKUP($D81,'Modelling New'!$D:$D,'Modelling New'!$AE:$AE),"")</f>
        <v>0.995</v>
      </c>
      <c r="AH81" s="186">
        <f>IFERROR(_xlfn.XLOOKUP($D81,'Modelling New'!$D:$D,'Modelling New'!$AF:$AF),"")</f>
        <v>0.995</v>
      </c>
      <c r="AI81" s="177"/>
      <c r="AJ81" s="177"/>
      <c r="AK81" s="238"/>
      <c r="AL81" s="238"/>
      <c r="AM81" s="238"/>
      <c r="AN81" s="187"/>
      <c r="AO81" s="184"/>
      <c r="AP81" s="184"/>
      <c r="AQ81" s="184"/>
      <c r="AR81" s="176">
        <f>IFERROR(_xlfn.XLOOKUP($D80,'Modelling New'!$D:$D,'Modelling New'!$N:$N),"")</f>
        <v>66.754999999999995</v>
      </c>
      <c r="AS81" s="176"/>
    </row>
    <row r="82" spans="1:45" x14ac:dyDescent="0.25">
      <c r="A82" s="175">
        <f t="shared" si="7"/>
        <v>45825</v>
      </c>
      <c r="B82" s="176">
        <f>YEAR(Table13[[#This Row],[Date]])+IF(MONTH(Table13[[#This Row],[Date]])&gt;=4,1,0)</f>
        <v>2026</v>
      </c>
      <c r="C82" s="177">
        <f>YEAR(Table13[[#This Row],[Date]])</f>
        <v>2025</v>
      </c>
      <c r="D82" s="178">
        <f>Table13[[#This Row],[Date]]-DAY(Table13[[#This Row],[Date]])+1</f>
        <v>45809</v>
      </c>
      <c r="E82" s="177">
        <f t="shared" si="4"/>
        <v>30</v>
      </c>
      <c r="F82" s="179">
        <f>IFERROR(_xlfn.XLOOKUP($A82,Raw_Data!$B:$B,Raw_Data!$KG:$KG),"")</f>
        <v>10.883333333333333</v>
      </c>
      <c r="G82" s="180">
        <f>IFERROR(_xlfn.XLOOKUP($A82,Raw_Data!$B:$B,Raw_Data!KH:KH),"")</f>
        <v>4.4400000000000004</v>
      </c>
      <c r="H82" s="180"/>
      <c r="I82" s="180">
        <f>IFERROR(_xlfn.XLOOKUP($A82,Raw_Data!$B:$B,Raw_Data!$KI:$KI),"")</f>
        <v>3.98</v>
      </c>
      <c r="J82" s="180"/>
      <c r="K82" s="180">
        <f>IFERROR(_xlfn.XLOOKUP($A82,Raw_Data!$B:$B,Raw_Data!KJ:KJ),"")</f>
        <v>33.67</v>
      </c>
      <c r="L82" s="180">
        <f>IFERROR(_xlfn.XLOOKUP($A82,Raw_Data!$B:$B,Raw_Data!KK:KK),"")</f>
        <v>42.05</v>
      </c>
      <c r="M82" s="180">
        <f>IFERROR(_xlfn.XLOOKUP($A82,Raw_Data!$B:$B,Raw_Data!KL:KL),"")</f>
        <v>2.77</v>
      </c>
      <c r="N82" s="180">
        <f>IFERROR(_xlfn.XLOOKUP($A82,Raw_Data!$B:$B,Raw_Data!KM:KM),"")</f>
        <v>8.9</v>
      </c>
      <c r="O82" s="181">
        <f>IFERROR(1-SUMIF(PA!$B:$B,$A82,PA!AJ:AJ)/($AA82+SUMIF(PA!$B:$B,$A82,PA!AJ:AJ)),"")</f>
        <v>1</v>
      </c>
      <c r="P82" s="181"/>
      <c r="Q82" s="182"/>
      <c r="R82" s="181">
        <f>IFERROR(1-SUMIF(GA!$C:$C,$A82,GA!$X:$X)/($AA82+SUMIF(GA!$C:$C,$A82,GA!$X:$X)),"")</f>
        <v>1</v>
      </c>
      <c r="S82" s="177"/>
      <c r="T82" s="182"/>
      <c r="U82" s="183">
        <f t="shared" si="5"/>
        <v>0.79434311633082511</v>
      </c>
      <c r="V82" s="183" t="str">
        <f>IFERROR(_xlfn.XLOOKUP($A82,Raw_Data!$B:$B,Raw_Data!$KQ:$KQ),"")</f>
        <v/>
      </c>
      <c r="W82" s="184">
        <f t="shared" si="6"/>
        <v>0.13172856679152847</v>
      </c>
      <c r="X82" s="176">
        <f>IFERROR(_xlfn.XLOOKUP($A82,Raw_Data!$B:$B,Raw_Data!$KN:$KN),"")</f>
        <v>212042.5</v>
      </c>
      <c r="Y82" s="176">
        <f>IFERROR(_xlfn.XLOOKUP($A82,Raw_Data!$B:$B,Raw_Data!$KC:$KC),"")</f>
        <v>211172.84500002861</v>
      </c>
      <c r="Z82" s="176">
        <f>IFERROR(_xlfn.XLOOKUP($A82,Raw_Data!$B:$B,Raw_Data!$KD:$KD),"")</f>
        <v>143.68099999999686</v>
      </c>
      <c r="AA82" s="176">
        <f>IFERROR(_xlfn.XLOOKUP($A82,Raw_Data!$B:$B,Raw_Data!$KF:$KF),"")</f>
        <v>211029.16400002863</v>
      </c>
      <c r="AB82" s="176">
        <f>IFERROR(_xlfn.XLOOKUP($A82,Raw_Data!$B:$B,Raw_Data!I:I)/1000,"")</f>
        <v>66.75</v>
      </c>
      <c r="AC82" s="185">
        <f>IFERROR(_xlfn.XLOOKUP($D82,'Modelling New'!$D:$D,'Modelling New'!$P:$P),"")</f>
        <v>5.2366666666666664</v>
      </c>
      <c r="AD82" s="176">
        <f>IFERROR(_xlfn.XLOOKUP($D82,'Modelling New'!$D:$D,'Modelling New'!$T:$T)*1000,"")</f>
        <v>265725.83324908343</v>
      </c>
      <c r="AE82" s="186">
        <f>IFERROR(_xlfn.XLOOKUP($D82,'Modelling New'!$D:$D,'Modelling New'!$O:$O),"")</f>
        <v>0.7601425562567381</v>
      </c>
      <c r="AF82" s="186">
        <f>IFERROR(_xlfn.XLOOKUP($D82,'Modelling New'!$D:$D,'Modelling New'!$W:$W),"")</f>
        <v>0.16585888276101882</v>
      </c>
      <c r="AG82" s="186">
        <f>IFERROR(_xlfn.XLOOKUP($D82,'Modelling New'!$D:$D,'Modelling New'!$AE:$AE),"")</f>
        <v>0.995</v>
      </c>
      <c r="AH82" s="186">
        <f>IFERROR(_xlfn.XLOOKUP($D82,'Modelling New'!$D:$D,'Modelling New'!$AF:$AF),"")</f>
        <v>0.995</v>
      </c>
      <c r="AI82" s="177"/>
      <c r="AJ82" s="177"/>
      <c r="AK82" s="238"/>
      <c r="AL82" s="238"/>
      <c r="AM82" s="238"/>
      <c r="AN82" s="187"/>
      <c r="AO82" s="184"/>
      <c r="AP82" s="184"/>
      <c r="AQ82" s="184"/>
      <c r="AR82" s="176">
        <f>IFERROR(_xlfn.XLOOKUP($D81,'Modelling New'!$D:$D,'Modelling New'!$N:$N),"")</f>
        <v>66.754999999999995</v>
      </c>
      <c r="AS82" s="176"/>
    </row>
    <row r="83" spans="1:45" x14ac:dyDescent="0.25">
      <c r="A83" s="175">
        <f t="shared" si="7"/>
        <v>45826</v>
      </c>
      <c r="B83" s="176">
        <f>YEAR(Table13[[#This Row],[Date]])+IF(MONTH(Table13[[#This Row],[Date]])&gt;=4,1,0)</f>
        <v>2026</v>
      </c>
      <c r="C83" s="177">
        <f>YEAR(Table13[[#This Row],[Date]])</f>
        <v>2025</v>
      </c>
      <c r="D83" s="178">
        <f>Table13[[#This Row],[Date]]-DAY(Table13[[#This Row],[Date]])+1</f>
        <v>45809</v>
      </c>
      <c r="E83" s="177">
        <f t="shared" si="4"/>
        <v>30</v>
      </c>
      <c r="F83" s="179">
        <f>IFERROR(_xlfn.XLOOKUP($A83,Raw_Data!$B:$B,Raw_Data!$KG:$KG),"")</f>
        <v>13.466666666666667</v>
      </c>
      <c r="G83" s="180">
        <f>IFERROR(_xlfn.XLOOKUP($A83,Raw_Data!$B:$B,Raw_Data!KH:KH),"")</f>
        <v>5.32</v>
      </c>
      <c r="H83" s="180"/>
      <c r="I83" s="180">
        <f>IFERROR(_xlfn.XLOOKUP($A83,Raw_Data!$B:$B,Raw_Data!$KI:$KI),"")</f>
        <v>4.96</v>
      </c>
      <c r="J83" s="180"/>
      <c r="K83" s="180">
        <f>IFERROR(_xlfn.XLOOKUP($A83,Raw_Data!$B:$B,Raw_Data!KJ:KJ),"")</f>
        <v>31.72</v>
      </c>
      <c r="L83" s="180">
        <f>IFERROR(_xlfn.XLOOKUP($A83,Raw_Data!$B:$B,Raw_Data!KK:KK),"")</f>
        <v>42.78</v>
      </c>
      <c r="M83" s="180">
        <f>IFERROR(_xlfn.XLOOKUP($A83,Raw_Data!$B:$B,Raw_Data!KL:KL),"")</f>
        <v>1.64</v>
      </c>
      <c r="N83" s="180">
        <f>IFERROR(_xlfn.XLOOKUP($A83,Raw_Data!$B:$B,Raw_Data!KM:KM),"")</f>
        <v>5.0999999999999996</v>
      </c>
      <c r="O83" s="181">
        <f>IFERROR(1-SUMIF(PA!$B:$B,$A83,PA!AJ:AJ)/($AA83+SUMIF(PA!$B:$B,$A83,PA!AJ:AJ)),"")</f>
        <v>0.99555248259219387</v>
      </c>
      <c r="P83" s="181"/>
      <c r="Q83" s="182"/>
      <c r="R83" s="181">
        <f>IFERROR(1-SUMIF(GA!$C:$C,$A83,GA!$X:$X)/($AA83+SUMIF(GA!$C:$C,$A83,GA!$X:$X)),"")</f>
        <v>1</v>
      </c>
      <c r="S83" s="177"/>
      <c r="T83" s="182"/>
      <c r="U83" s="183">
        <f t="shared" si="5"/>
        <v>0.78390437960604975</v>
      </c>
      <c r="V83" s="183" t="str">
        <f>IFERROR(_xlfn.XLOOKUP($A83,Raw_Data!$B:$B,Raw_Data!$KQ:$KQ),"")</f>
        <v/>
      </c>
      <c r="W83" s="184">
        <f t="shared" si="6"/>
        <v>0.16200690511858359</v>
      </c>
      <c r="X83" s="176">
        <f>IFERROR(_xlfn.XLOOKUP($A83,Raw_Data!$B:$B,Raw_Data!$KN:$KN),"")</f>
        <v>261299.0500000001</v>
      </c>
      <c r="Y83" s="176">
        <f>IFERROR(_xlfn.XLOOKUP($A83,Raw_Data!$B:$B,Raw_Data!$KC:$KC),"")</f>
        <v>259670.74299997091</v>
      </c>
      <c r="Z83" s="176">
        <f>IFERROR(_xlfn.XLOOKUP($A83,Raw_Data!$B:$B,Raw_Data!$KD:$KD),"")</f>
        <v>135.68099999999686</v>
      </c>
      <c r="AA83" s="176">
        <f>IFERROR(_xlfn.XLOOKUP($A83,Raw_Data!$B:$B,Raw_Data!$KF:$KF),"")</f>
        <v>259535.06199997093</v>
      </c>
      <c r="AB83" s="176">
        <f>IFERROR(_xlfn.XLOOKUP($A83,Raw_Data!$B:$B,Raw_Data!I:I)/1000,"")</f>
        <v>66.75</v>
      </c>
      <c r="AC83" s="185">
        <f>IFERROR(_xlfn.XLOOKUP($D83,'Modelling New'!$D:$D,'Modelling New'!$P:$P),"")</f>
        <v>5.2366666666666664</v>
      </c>
      <c r="AD83" s="176">
        <f>IFERROR(_xlfn.XLOOKUP($D83,'Modelling New'!$D:$D,'Modelling New'!$T:$T)*1000,"")</f>
        <v>265725.83324908343</v>
      </c>
      <c r="AE83" s="186">
        <f>IFERROR(_xlfn.XLOOKUP($D83,'Modelling New'!$D:$D,'Modelling New'!$O:$O),"")</f>
        <v>0.7601425562567381</v>
      </c>
      <c r="AF83" s="186">
        <f>IFERROR(_xlfn.XLOOKUP($D83,'Modelling New'!$D:$D,'Modelling New'!$W:$W),"")</f>
        <v>0.16585888276101882</v>
      </c>
      <c r="AG83" s="186">
        <f>IFERROR(_xlfn.XLOOKUP($D83,'Modelling New'!$D:$D,'Modelling New'!$AE:$AE),"")</f>
        <v>0.995</v>
      </c>
      <c r="AH83" s="186">
        <f>IFERROR(_xlfn.XLOOKUP($D83,'Modelling New'!$D:$D,'Modelling New'!$AF:$AF),"")</f>
        <v>0.995</v>
      </c>
      <c r="AI83" s="177"/>
      <c r="AJ83" s="177"/>
      <c r="AK83" s="238"/>
      <c r="AL83" s="238"/>
      <c r="AM83" s="238"/>
      <c r="AN83" s="187"/>
      <c r="AO83" s="184"/>
      <c r="AP83" s="184"/>
      <c r="AQ83" s="184"/>
      <c r="AR83" s="176">
        <f>IFERROR(_xlfn.XLOOKUP($D82,'Modelling New'!$D:$D,'Modelling New'!$N:$N),"")</f>
        <v>66.754999999999995</v>
      </c>
      <c r="AS83" s="176"/>
    </row>
    <row r="84" spans="1:45" x14ac:dyDescent="0.25">
      <c r="A84" s="175">
        <f t="shared" si="7"/>
        <v>45827</v>
      </c>
      <c r="B84" s="176">
        <f>YEAR(Table13[[#This Row],[Date]])+IF(MONTH(Table13[[#This Row],[Date]])&gt;=4,1,0)</f>
        <v>2026</v>
      </c>
      <c r="C84" s="177">
        <f>YEAR(Table13[[#This Row],[Date]])</f>
        <v>2025</v>
      </c>
      <c r="D84" s="178">
        <f>Table13[[#This Row],[Date]]-DAY(Table13[[#This Row],[Date]])+1</f>
        <v>45809</v>
      </c>
      <c r="E84" s="177">
        <f t="shared" si="4"/>
        <v>30</v>
      </c>
      <c r="F84" s="179">
        <f>IFERROR(_xlfn.XLOOKUP($A84,Raw_Data!$B:$B,Raw_Data!$KG:$KG),"")</f>
        <v>12.433333333333332</v>
      </c>
      <c r="G84" s="180">
        <f>IFERROR(_xlfn.XLOOKUP($A84,Raw_Data!$B:$B,Raw_Data!KH:KH),"")</f>
        <v>4.53</v>
      </c>
      <c r="H84" s="180"/>
      <c r="I84" s="180">
        <f>IFERROR(_xlfn.XLOOKUP($A84,Raw_Data!$B:$B,Raw_Data!$KI:$KI),"")</f>
        <v>4.17</v>
      </c>
      <c r="J84" s="180"/>
      <c r="K84" s="180">
        <f>IFERROR(_xlfn.XLOOKUP($A84,Raw_Data!$B:$B,Raw_Data!KJ:KJ),"")</f>
        <v>30.22</v>
      </c>
      <c r="L84" s="180">
        <f>IFERROR(_xlfn.XLOOKUP($A84,Raw_Data!$B:$B,Raw_Data!KK:KK),"")</f>
        <v>39.340000000000003</v>
      </c>
      <c r="M84" s="180">
        <f>IFERROR(_xlfn.XLOOKUP($A84,Raw_Data!$B:$B,Raw_Data!KL:KL),"")</f>
        <v>3.06</v>
      </c>
      <c r="N84" s="180">
        <f>IFERROR(_xlfn.XLOOKUP($A84,Raw_Data!$B:$B,Raw_Data!KM:KM),"")</f>
        <v>9.5</v>
      </c>
      <c r="O84" s="181">
        <f>IFERROR(1-SUMIF(PA!$B:$B,$A84,PA!AJ:AJ)/($AA84+SUMIF(PA!$B:$B,$A84,PA!AJ:AJ)),"")</f>
        <v>0.99980511368662706</v>
      </c>
      <c r="P84" s="181"/>
      <c r="Q84" s="182"/>
      <c r="R84" s="181">
        <f>IFERROR(1-SUMIF(GA!$C:$C,$A84,GA!$X:$X)/($AA84+SUMIF(GA!$C:$C,$A84,GA!$X:$X)),"")</f>
        <v>1</v>
      </c>
      <c r="S84" s="177"/>
      <c r="T84" s="182"/>
      <c r="U84" s="183">
        <f t="shared" si="5"/>
        <v>0.81173211902388376</v>
      </c>
      <c r="V84" s="183" t="str">
        <f>IFERROR(_xlfn.XLOOKUP($A84,Raw_Data!$B:$B,Raw_Data!$KQ:$KQ),"")</f>
        <v/>
      </c>
      <c r="W84" s="184">
        <f t="shared" si="6"/>
        <v>0.1410384556803998</v>
      </c>
      <c r="X84" s="176">
        <f>IFERROR(_xlfn.XLOOKUP($A84,Raw_Data!$B:$B,Raw_Data!$KN:$KN),"")</f>
        <v>227578.3000000001</v>
      </c>
      <c r="Y84" s="176">
        <f>IFERROR(_xlfn.XLOOKUP($A84,Raw_Data!$B:$B,Raw_Data!$KC:$KC),"")</f>
        <v>226079.28700000048</v>
      </c>
      <c r="Z84" s="176">
        <f>IFERROR(_xlfn.XLOOKUP($A84,Raw_Data!$B:$B,Raw_Data!$KD:$KD),"")</f>
        <v>135.68099999999686</v>
      </c>
      <c r="AA84" s="176">
        <f>IFERROR(_xlfn.XLOOKUP($A84,Raw_Data!$B:$B,Raw_Data!$KF:$KF),"")</f>
        <v>225943.60600000049</v>
      </c>
      <c r="AB84" s="176">
        <f>IFERROR(_xlfn.XLOOKUP($A84,Raw_Data!$B:$B,Raw_Data!I:I)/1000,"")</f>
        <v>66.75</v>
      </c>
      <c r="AC84" s="185">
        <f>IFERROR(_xlfn.XLOOKUP($D84,'Modelling New'!$D:$D,'Modelling New'!$P:$P),"")</f>
        <v>5.2366666666666664</v>
      </c>
      <c r="AD84" s="176">
        <f>IFERROR(_xlfn.XLOOKUP($D84,'Modelling New'!$D:$D,'Modelling New'!$T:$T)*1000,"")</f>
        <v>265725.83324908343</v>
      </c>
      <c r="AE84" s="186">
        <f>IFERROR(_xlfn.XLOOKUP($D84,'Modelling New'!$D:$D,'Modelling New'!$O:$O),"")</f>
        <v>0.7601425562567381</v>
      </c>
      <c r="AF84" s="186">
        <f>IFERROR(_xlfn.XLOOKUP($D84,'Modelling New'!$D:$D,'Modelling New'!$W:$W),"")</f>
        <v>0.16585888276101882</v>
      </c>
      <c r="AG84" s="186">
        <f>IFERROR(_xlfn.XLOOKUP($D84,'Modelling New'!$D:$D,'Modelling New'!$AE:$AE),"")</f>
        <v>0.995</v>
      </c>
      <c r="AH84" s="186">
        <f>IFERROR(_xlfn.XLOOKUP($D84,'Modelling New'!$D:$D,'Modelling New'!$AF:$AF),"")</f>
        <v>0.995</v>
      </c>
      <c r="AI84" s="177"/>
      <c r="AJ84" s="177"/>
      <c r="AK84" s="238"/>
      <c r="AL84" s="238"/>
      <c r="AM84" s="238"/>
      <c r="AN84" s="187"/>
      <c r="AO84" s="184"/>
      <c r="AP84" s="184"/>
      <c r="AQ84" s="184"/>
      <c r="AR84" s="176">
        <f>IFERROR(_xlfn.XLOOKUP($D83,'Modelling New'!$D:$D,'Modelling New'!$N:$N),"")</f>
        <v>66.754999999999995</v>
      </c>
      <c r="AS84" s="176"/>
    </row>
    <row r="85" spans="1:45" x14ac:dyDescent="0.25">
      <c r="A85" s="175">
        <f t="shared" si="7"/>
        <v>45828</v>
      </c>
      <c r="B85" s="176">
        <f>YEAR(Table13[[#This Row],[Date]])+IF(MONTH(Table13[[#This Row],[Date]])&gt;=4,1,0)</f>
        <v>2026</v>
      </c>
      <c r="C85" s="177">
        <f>YEAR(Table13[[#This Row],[Date]])</f>
        <v>2025</v>
      </c>
      <c r="D85" s="178">
        <f>Table13[[#This Row],[Date]]-DAY(Table13[[#This Row],[Date]])+1</f>
        <v>45809</v>
      </c>
      <c r="E85" s="177">
        <f t="shared" si="4"/>
        <v>30</v>
      </c>
      <c r="F85" s="179">
        <f>IFERROR(_xlfn.XLOOKUP($A85,Raw_Data!$B:$B,Raw_Data!$KG:$KG),"")</f>
        <v>13.25</v>
      </c>
      <c r="G85" s="180">
        <f>IFERROR(_xlfn.XLOOKUP($A85,Raw_Data!$B:$B,Raw_Data!KH:KH),"")</f>
        <v>2.5299999999999998</v>
      </c>
      <c r="H85" s="180"/>
      <c r="I85" s="180">
        <f>IFERROR(_xlfn.XLOOKUP($A85,Raw_Data!$B:$B,Raw_Data!$KI:$KI),"")</f>
        <v>2.4</v>
      </c>
      <c r="J85" s="180"/>
      <c r="K85" s="180">
        <f>IFERROR(_xlfn.XLOOKUP($A85,Raw_Data!$B:$B,Raw_Data!KJ:KJ),"")</f>
        <v>28.91</v>
      </c>
      <c r="L85" s="180">
        <f>IFERROR(_xlfn.XLOOKUP($A85,Raw_Data!$B:$B,Raw_Data!KK:KK),"")</f>
        <v>32.29</v>
      </c>
      <c r="M85" s="180">
        <f>IFERROR(_xlfn.XLOOKUP($A85,Raw_Data!$B:$B,Raw_Data!KL:KL),"")</f>
        <v>0.94599999999999995</v>
      </c>
      <c r="N85" s="180">
        <f>IFERROR(_xlfn.XLOOKUP($A85,Raw_Data!$B:$B,Raw_Data!KM:KM),"")</f>
        <v>5.7</v>
      </c>
      <c r="O85" s="181">
        <f>IFERROR(1-SUMIF(PA!$B:$B,$A85,PA!AJ:AJ)/($AA85+SUMIF(PA!$B:$B,$A85,PA!AJ:AJ)),"")</f>
        <v>0.96007438767410469</v>
      </c>
      <c r="P85" s="181"/>
      <c r="Q85" s="182"/>
      <c r="R85" s="181">
        <f>IFERROR(1-SUMIF(GA!$C:$C,$A85,GA!$X:$X)/($AA85+SUMIF(GA!$C:$C,$A85,GA!$X:$X)),"")</f>
        <v>1</v>
      </c>
      <c r="S85" s="177"/>
      <c r="T85" s="182"/>
      <c r="U85" s="183">
        <f t="shared" si="5"/>
        <v>0.7962397378277184</v>
      </c>
      <c r="V85" s="183" t="str">
        <f>IFERROR(_xlfn.XLOOKUP($A85,Raw_Data!$B:$B,Raw_Data!$KQ:$KQ),"")</f>
        <v/>
      </c>
      <c r="W85" s="184">
        <f t="shared" si="6"/>
        <v>7.9623973782771834E-2</v>
      </c>
      <c r="X85" s="176">
        <f>IFERROR(_xlfn.XLOOKUP($A85,Raw_Data!$B:$B,Raw_Data!$KN:$KN),"")</f>
        <v>128207.02999999998</v>
      </c>
      <c r="Y85" s="176">
        <f>IFERROR(_xlfn.XLOOKUP($A85,Raw_Data!$B:$B,Raw_Data!$KC:$KC),"")</f>
        <v>127693.28700000048</v>
      </c>
      <c r="Z85" s="176">
        <f>IFERROR(_xlfn.XLOOKUP($A85,Raw_Data!$B:$B,Raw_Data!$KD:$KD),"")</f>
        <v>135.68099999999686</v>
      </c>
      <c r="AA85" s="176">
        <f>IFERROR(_xlfn.XLOOKUP($A85,Raw_Data!$B:$B,Raw_Data!$KF:$KF),"")</f>
        <v>127557.60600000048</v>
      </c>
      <c r="AB85" s="176">
        <f>IFERROR(_xlfn.XLOOKUP($A85,Raw_Data!$B:$B,Raw_Data!I:I)/1000,"")</f>
        <v>66.75</v>
      </c>
      <c r="AC85" s="185">
        <f>IFERROR(_xlfn.XLOOKUP($D85,'Modelling New'!$D:$D,'Modelling New'!$P:$P),"")</f>
        <v>5.2366666666666664</v>
      </c>
      <c r="AD85" s="176">
        <f>IFERROR(_xlfn.XLOOKUP($D85,'Modelling New'!$D:$D,'Modelling New'!$T:$T)*1000,"")</f>
        <v>265725.83324908343</v>
      </c>
      <c r="AE85" s="186">
        <f>IFERROR(_xlfn.XLOOKUP($D85,'Modelling New'!$D:$D,'Modelling New'!$O:$O),"")</f>
        <v>0.7601425562567381</v>
      </c>
      <c r="AF85" s="186">
        <f>IFERROR(_xlfn.XLOOKUP($D85,'Modelling New'!$D:$D,'Modelling New'!$W:$W),"")</f>
        <v>0.16585888276101882</v>
      </c>
      <c r="AG85" s="186">
        <f>IFERROR(_xlfn.XLOOKUP($D85,'Modelling New'!$D:$D,'Modelling New'!$AE:$AE),"")</f>
        <v>0.995</v>
      </c>
      <c r="AH85" s="186">
        <f>IFERROR(_xlfn.XLOOKUP($D85,'Modelling New'!$D:$D,'Modelling New'!$AF:$AF),"")</f>
        <v>0.995</v>
      </c>
      <c r="AI85" s="177"/>
      <c r="AJ85" s="177"/>
      <c r="AK85" s="238"/>
      <c r="AL85" s="238"/>
      <c r="AM85" s="238"/>
      <c r="AN85" s="187"/>
      <c r="AO85" s="184"/>
      <c r="AP85" s="184"/>
      <c r="AQ85" s="184"/>
      <c r="AR85" s="176">
        <f>IFERROR(_xlfn.XLOOKUP($D84,'Modelling New'!$D:$D,'Modelling New'!$N:$N),"")</f>
        <v>66.754999999999995</v>
      </c>
      <c r="AS85" s="176"/>
    </row>
    <row r="86" spans="1:45" x14ac:dyDescent="0.25">
      <c r="A86" s="175">
        <f t="shared" si="7"/>
        <v>45829</v>
      </c>
      <c r="B86" s="176">
        <f>YEAR(Table13[[#This Row],[Date]])+IF(MONTH(Table13[[#This Row],[Date]])&gt;=4,1,0)</f>
        <v>2026</v>
      </c>
      <c r="C86" s="177">
        <f>YEAR(Table13[[#This Row],[Date]])</f>
        <v>2025</v>
      </c>
      <c r="D86" s="178">
        <f>Table13[[#This Row],[Date]]-DAY(Table13[[#This Row],[Date]])+1</f>
        <v>45809</v>
      </c>
      <c r="E86" s="177">
        <f t="shared" si="4"/>
        <v>30</v>
      </c>
      <c r="F86" s="179">
        <f>IFERROR(_xlfn.XLOOKUP($A86,Raw_Data!$B:$B,Raw_Data!$KG:$KG),"")</f>
        <v>13.5</v>
      </c>
      <c r="G86" s="180">
        <f>IFERROR(_xlfn.XLOOKUP($A86,Raw_Data!$B:$B,Raw_Data!KH:KH),"")</f>
        <v>5.62</v>
      </c>
      <c r="H86" s="180"/>
      <c r="I86" s="180">
        <f>IFERROR(_xlfn.XLOOKUP($A86,Raw_Data!$B:$B,Raw_Data!$KI:$KI),"")</f>
        <v>5.19</v>
      </c>
      <c r="J86" s="180"/>
      <c r="K86" s="180">
        <f>IFERROR(_xlfn.XLOOKUP($A86,Raw_Data!$B:$B,Raw_Data!KJ:KJ),"")</f>
        <v>31.15</v>
      </c>
      <c r="L86" s="180">
        <f>IFERROR(_xlfn.XLOOKUP($A86,Raw_Data!$B:$B,Raw_Data!KK:KK),"")</f>
        <v>42.22</v>
      </c>
      <c r="M86" s="180">
        <f>IFERROR(_xlfn.XLOOKUP($A86,Raw_Data!$B:$B,Raw_Data!KL:KL),"")</f>
        <v>1.35</v>
      </c>
      <c r="N86" s="180">
        <f>IFERROR(_xlfn.XLOOKUP($A86,Raw_Data!$B:$B,Raw_Data!KM:KM),"")</f>
        <v>6.1</v>
      </c>
      <c r="O86" s="181">
        <f>IFERROR(1-SUMIF(PA!$B:$B,$A86,PA!AJ:AJ)/($AA86+SUMIF(PA!$B:$B,$A86,PA!AJ:AJ)),"")</f>
        <v>0.98927968855813875</v>
      </c>
      <c r="P86" s="181"/>
      <c r="Q86" s="182"/>
      <c r="R86" s="181">
        <f>IFERROR(1-SUMIF(GA!$C:$C,$A86,GA!$X:$X)/($AA86+SUMIF(GA!$C:$C,$A86,GA!$X:$X)),"")</f>
        <v>1</v>
      </c>
      <c r="S86" s="177"/>
      <c r="T86" s="182"/>
      <c r="U86" s="183">
        <f t="shared" si="5"/>
        <v>0.76066673017104469</v>
      </c>
      <c r="V86" s="183" t="str">
        <f>IFERROR(_xlfn.XLOOKUP($A86,Raw_Data!$B:$B,Raw_Data!$KQ:$KQ),"")</f>
        <v/>
      </c>
      <c r="W86" s="184">
        <f t="shared" si="6"/>
        <v>0.16449418039948843</v>
      </c>
      <c r="X86" s="176">
        <f>IFERROR(_xlfn.XLOOKUP($A86,Raw_Data!$B:$B,Raw_Data!$KN:$KN),"")</f>
        <v>264314.40000000002</v>
      </c>
      <c r="Y86" s="176">
        <f>IFERROR(_xlfn.XLOOKUP($A86,Raw_Data!$B:$B,Raw_Data!$KC:$KC),"")</f>
        <v>263653.35799998045</v>
      </c>
      <c r="Z86" s="176">
        <f>IFERROR(_xlfn.XLOOKUP($A86,Raw_Data!$B:$B,Raw_Data!$KD:$KD),"")</f>
        <v>133.68100000001141</v>
      </c>
      <c r="AA86" s="176">
        <f>IFERROR(_xlfn.XLOOKUP($A86,Raw_Data!$B:$B,Raw_Data!$KF:$KF),"")</f>
        <v>263519.67699998047</v>
      </c>
      <c r="AB86" s="176">
        <f>IFERROR(_xlfn.XLOOKUP($A86,Raw_Data!$B:$B,Raw_Data!I:I)/1000,"")</f>
        <v>66.75</v>
      </c>
      <c r="AC86" s="185">
        <f>IFERROR(_xlfn.XLOOKUP($D86,'Modelling New'!$D:$D,'Modelling New'!$P:$P),"")</f>
        <v>5.2366666666666664</v>
      </c>
      <c r="AD86" s="176">
        <f>IFERROR(_xlfn.XLOOKUP($D86,'Modelling New'!$D:$D,'Modelling New'!$T:$T)*1000,"")</f>
        <v>265725.83324908343</v>
      </c>
      <c r="AE86" s="186">
        <f>IFERROR(_xlfn.XLOOKUP($D86,'Modelling New'!$D:$D,'Modelling New'!$O:$O),"")</f>
        <v>0.7601425562567381</v>
      </c>
      <c r="AF86" s="186">
        <f>IFERROR(_xlfn.XLOOKUP($D86,'Modelling New'!$D:$D,'Modelling New'!$W:$W),"")</f>
        <v>0.16585888276101882</v>
      </c>
      <c r="AG86" s="186">
        <f>IFERROR(_xlfn.XLOOKUP($D86,'Modelling New'!$D:$D,'Modelling New'!$AE:$AE),"")</f>
        <v>0.995</v>
      </c>
      <c r="AH86" s="186">
        <f>IFERROR(_xlfn.XLOOKUP($D86,'Modelling New'!$D:$D,'Modelling New'!$AF:$AF),"")</f>
        <v>0.995</v>
      </c>
      <c r="AI86" s="177"/>
      <c r="AJ86" s="177"/>
      <c r="AK86" s="238"/>
      <c r="AL86" s="238"/>
      <c r="AM86" s="238"/>
      <c r="AN86" s="187"/>
      <c r="AO86" s="184"/>
      <c r="AP86" s="184"/>
      <c r="AQ86" s="184"/>
      <c r="AR86" s="176">
        <f>IFERROR(_xlfn.XLOOKUP($D85,'Modelling New'!$D:$D,'Modelling New'!$N:$N),"")</f>
        <v>66.754999999999995</v>
      </c>
      <c r="AS86" s="176"/>
    </row>
    <row r="87" spans="1:45" x14ac:dyDescent="0.25">
      <c r="A87" s="175">
        <f t="shared" si="7"/>
        <v>45830</v>
      </c>
      <c r="B87" s="176">
        <f>YEAR(Table13[[#This Row],[Date]])+IF(MONTH(Table13[[#This Row],[Date]])&gt;=4,1,0)</f>
        <v>2026</v>
      </c>
      <c r="C87" s="177">
        <f>YEAR(Table13[[#This Row],[Date]])</f>
        <v>2025</v>
      </c>
      <c r="D87" s="178">
        <f>Table13[[#This Row],[Date]]-DAY(Table13[[#This Row],[Date]])+1</f>
        <v>45809</v>
      </c>
      <c r="E87" s="177">
        <f t="shared" si="4"/>
        <v>30</v>
      </c>
      <c r="F87" s="179">
        <f>IFERROR(_xlfn.XLOOKUP($A87,Raw_Data!$B:$B,Raw_Data!$KG:$KG),"")</f>
        <v>13.216666666666665</v>
      </c>
      <c r="G87" s="180">
        <f>IFERROR(_xlfn.XLOOKUP($A87,Raw_Data!$B:$B,Raw_Data!KH:KH),"")</f>
        <v>5.81</v>
      </c>
      <c r="H87" s="180"/>
      <c r="I87" s="180">
        <f>IFERROR(_xlfn.XLOOKUP($A87,Raw_Data!$B:$B,Raw_Data!$KI:$KI),"")</f>
        <v>5.3</v>
      </c>
      <c r="J87" s="180"/>
      <c r="K87" s="180">
        <f>IFERROR(_xlfn.XLOOKUP($A87,Raw_Data!$B:$B,Raw_Data!KJ:KJ),"")</f>
        <v>33.229999999999997</v>
      </c>
      <c r="L87" s="180">
        <f>IFERROR(_xlfn.XLOOKUP($A87,Raw_Data!$B:$B,Raw_Data!KK:KK),"")</f>
        <v>41.42</v>
      </c>
      <c r="M87" s="180">
        <f>IFERROR(_xlfn.XLOOKUP($A87,Raw_Data!$B:$B,Raw_Data!KL:KL),"")</f>
        <v>1.87</v>
      </c>
      <c r="N87" s="180">
        <f>IFERROR(_xlfn.XLOOKUP($A87,Raw_Data!$B:$B,Raw_Data!KM:KM),"")</f>
        <v>4.9000000000000004</v>
      </c>
      <c r="O87" s="181">
        <f>IFERROR(1-SUMIF(PA!$B:$B,$A87,PA!AJ:AJ)/($AA87+SUMIF(PA!$B:$B,$A87,PA!AJ:AJ)),"")</f>
        <v>0.99873922889091715</v>
      </c>
      <c r="P87" s="181"/>
      <c r="Q87" s="182"/>
      <c r="R87" s="181">
        <f>IFERROR(1-SUMIF(GA!$C:$C,$A87,GA!$X:$X)/($AA87+SUMIF(GA!$C:$C,$A87,GA!$X:$X)),"")</f>
        <v>1</v>
      </c>
      <c r="S87" s="177"/>
      <c r="T87" s="182"/>
      <c r="U87" s="183">
        <f t="shared" si="5"/>
        <v>0.79529915624350311</v>
      </c>
      <c r="V87" s="183" t="str">
        <f>IFERROR(_xlfn.XLOOKUP($A87,Raw_Data!$B:$B,Raw_Data!$KQ:$KQ),"")</f>
        <v/>
      </c>
      <c r="W87" s="184">
        <f t="shared" si="6"/>
        <v>0.17562856367044027</v>
      </c>
      <c r="X87" s="176">
        <f>IFERROR(_xlfn.XLOOKUP($A87,Raw_Data!$B:$B,Raw_Data!$KN:$KN),"")</f>
        <v>282611.15000000002</v>
      </c>
      <c r="Y87" s="176">
        <f>IFERROR(_xlfn.XLOOKUP($A87,Raw_Data!$B:$B,Raw_Data!$KC:$KC),"")</f>
        <v>281490.6400000453</v>
      </c>
      <c r="Z87" s="176">
        <f>IFERROR(_xlfn.XLOOKUP($A87,Raw_Data!$B:$B,Raw_Data!$KD:$KD),"")</f>
        <v>133.68099999999686</v>
      </c>
      <c r="AA87" s="176">
        <f>IFERROR(_xlfn.XLOOKUP($A87,Raw_Data!$B:$B,Raw_Data!$KF:$KF),"")</f>
        <v>281356.95900004532</v>
      </c>
      <c r="AB87" s="176">
        <f>IFERROR(_xlfn.XLOOKUP($A87,Raw_Data!$B:$B,Raw_Data!I:I)/1000,"")</f>
        <v>66.75</v>
      </c>
      <c r="AC87" s="185">
        <f>IFERROR(_xlfn.XLOOKUP($D87,'Modelling New'!$D:$D,'Modelling New'!$P:$P),"")</f>
        <v>5.2366666666666664</v>
      </c>
      <c r="AD87" s="176">
        <f>IFERROR(_xlfn.XLOOKUP($D87,'Modelling New'!$D:$D,'Modelling New'!$T:$T)*1000,"")</f>
        <v>265725.83324908343</v>
      </c>
      <c r="AE87" s="186">
        <f>IFERROR(_xlfn.XLOOKUP($D87,'Modelling New'!$D:$D,'Modelling New'!$O:$O),"")</f>
        <v>0.7601425562567381</v>
      </c>
      <c r="AF87" s="186">
        <f>IFERROR(_xlfn.XLOOKUP($D87,'Modelling New'!$D:$D,'Modelling New'!$W:$W),"")</f>
        <v>0.16585888276101882</v>
      </c>
      <c r="AG87" s="186">
        <f>IFERROR(_xlfn.XLOOKUP($D87,'Modelling New'!$D:$D,'Modelling New'!$AE:$AE),"")</f>
        <v>0.995</v>
      </c>
      <c r="AH87" s="186">
        <f>IFERROR(_xlfn.XLOOKUP($D87,'Modelling New'!$D:$D,'Modelling New'!$AF:$AF),"")</f>
        <v>0.995</v>
      </c>
      <c r="AI87" s="177"/>
      <c r="AJ87" s="177"/>
      <c r="AK87" s="238"/>
      <c r="AL87" s="238"/>
      <c r="AM87" s="238"/>
      <c r="AN87" s="187"/>
      <c r="AO87" s="184"/>
      <c r="AP87" s="184"/>
      <c r="AQ87" s="184"/>
      <c r="AR87" s="176">
        <f>IFERROR(_xlfn.XLOOKUP($D86,'Modelling New'!$D:$D,'Modelling New'!$N:$N),"")</f>
        <v>66.754999999999995</v>
      </c>
      <c r="AS87" s="176"/>
    </row>
    <row r="88" spans="1:45" x14ac:dyDescent="0.25">
      <c r="A88" s="175">
        <f t="shared" si="7"/>
        <v>45831</v>
      </c>
      <c r="B88" s="176">
        <f>YEAR(Table13[[#This Row],[Date]])+IF(MONTH(Table13[[#This Row],[Date]])&gt;=4,1,0)</f>
        <v>2026</v>
      </c>
      <c r="C88" s="177">
        <f>YEAR(Table13[[#This Row],[Date]])</f>
        <v>2025</v>
      </c>
      <c r="D88" s="178">
        <f>Table13[[#This Row],[Date]]-DAY(Table13[[#This Row],[Date]])+1</f>
        <v>45809</v>
      </c>
      <c r="E88" s="177">
        <f t="shared" si="4"/>
        <v>30</v>
      </c>
      <c r="F88" s="179">
        <f>IFERROR(_xlfn.XLOOKUP($A88,Raw_Data!$B:$B,Raw_Data!$KG:$KG),"")</f>
        <v>13.3</v>
      </c>
      <c r="G88" s="180">
        <f>IFERROR(_xlfn.XLOOKUP($A88,Raw_Data!$B:$B,Raw_Data!KH:KH),"")</f>
        <v>4.95</v>
      </c>
      <c r="H88" s="180"/>
      <c r="I88" s="180">
        <f>IFERROR(_xlfn.XLOOKUP($A88,Raw_Data!$B:$B,Raw_Data!$KI:$KI),"")</f>
        <v>4.58</v>
      </c>
      <c r="J88" s="180"/>
      <c r="K88" s="180">
        <f>IFERROR(_xlfn.XLOOKUP($A88,Raw_Data!$B:$B,Raw_Data!KJ:KJ),"")</f>
        <v>30.76</v>
      </c>
      <c r="L88" s="180">
        <f>IFERROR(_xlfn.XLOOKUP($A88,Raw_Data!$B:$B,Raw_Data!KK:KK),"")</f>
        <v>41.42</v>
      </c>
      <c r="M88" s="180">
        <f>IFERROR(_xlfn.XLOOKUP($A88,Raw_Data!$B:$B,Raw_Data!KL:KL),"")</f>
        <v>1.21</v>
      </c>
      <c r="N88" s="180">
        <f>IFERROR(_xlfn.XLOOKUP($A88,Raw_Data!$B:$B,Raw_Data!KM:KM),"")</f>
        <v>6.5</v>
      </c>
      <c r="O88" s="181">
        <f>IFERROR(1-SUMIF(PA!$B:$B,$A88,PA!AJ:AJ)/($AA88+SUMIF(PA!$B:$B,$A88,PA!AJ:AJ)),"")</f>
        <v>0.99313448625021894</v>
      </c>
      <c r="P88" s="181"/>
      <c r="Q88" s="182"/>
      <c r="R88" s="181">
        <f>IFERROR(1-SUMIF(GA!$C:$C,$A88,GA!$X:$X)/($AA88+SUMIF(GA!$C:$C,$A88,GA!$X:$X)),"")</f>
        <v>1</v>
      </c>
      <c r="S88" s="177"/>
      <c r="T88" s="182"/>
      <c r="U88" s="183">
        <f t="shared" si="5"/>
        <v>0.78064248074183784</v>
      </c>
      <c r="V88" s="183" t="str">
        <f>IFERROR(_xlfn.XLOOKUP($A88,Raw_Data!$B:$B,Raw_Data!$KQ:$KQ),"")</f>
        <v/>
      </c>
      <c r="W88" s="184">
        <f t="shared" si="6"/>
        <v>0.1489726067415674</v>
      </c>
      <c r="X88" s="176">
        <f>IFERROR(_xlfn.XLOOKUP($A88,Raw_Data!$B:$B,Raw_Data!$KN:$KN),"")</f>
        <v>239843.70000000013</v>
      </c>
      <c r="Y88" s="176">
        <f>IFERROR(_xlfn.XLOOKUP($A88,Raw_Data!$B:$B,Raw_Data!$KC:$KC),"")</f>
        <v>238787.79699999094</v>
      </c>
      <c r="Z88" s="176">
        <f>IFERROR(_xlfn.XLOOKUP($A88,Raw_Data!$B:$B,Raw_Data!$KD:$KD),"")</f>
        <v>133.68099999999686</v>
      </c>
      <c r="AA88" s="176">
        <f>IFERROR(_xlfn.XLOOKUP($A88,Raw_Data!$B:$B,Raw_Data!$KF:$KF),"")</f>
        <v>238654.11599999096</v>
      </c>
      <c r="AB88" s="176">
        <f>IFERROR(_xlfn.XLOOKUP($A88,Raw_Data!$B:$B,Raw_Data!I:I)/1000,"")</f>
        <v>66.75</v>
      </c>
      <c r="AC88" s="185">
        <f>IFERROR(_xlfn.XLOOKUP($D88,'Modelling New'!$D:$D,'Modelling New'!$P:$P),"")</f>
        <v>5.2366666666666664</v>
      </c>
      <c r="AD88" s="176">
        <f>IFERROR(_xlfn.XLOOKUP($D88,'Modelling New'!$D:$D,'Modelling New'!$T:$T)*1000,"")</f>
        <v>265725.83324908343</v>
      </c>
      <c r="AE88" s="186">
        <f>IFERROR(_xlfn.XLOOKUP($D88,'Modelling New'!$D:$D,'Modelling New'!$O:$O),"")</f>
        <v>0.7601425562567381</v>
      </c>
      <c r="AF88" s="186">
        <f>IFERROR(_xlfn.XLOOKUP($D88,'Modelling New'!$D:$D,'Modelling New'!$W:$W),"")</f>
        <v>0.16585888276101882</v>
      </c>
      <c r="AG88" s="186">
        <f>IFERROR(_xlfn.XLOOKUP($D88,'Modelling New'!$D:$D,'Modelling New'!$AE:$AE),"")</f>
        <v>0.995</v>
      </c>
      <c r="AH88" s="186">
        <f>IFERROR(_xlfn.XLOOKUP($D88,'Modelling New'!$D:$D,'Modelling New'!$AF:$AF),"")</f>
        <v>0.995</v>
      </c>
      <c r="AI88" s="177"/>
      <c r="AJ88" s="177"/>
      <c r="AK88" s="238"/>
      <c r="AL88" s="238"/>
      <c r="AM88" s="238"/>
      <c r="AN88" s="187"/>
      <c r="AO88" s="184"/>
      <c r="AP88" s="184"/>
      <c r="AQ88" s="184"/>
      <c r="AR88" s="176">
        <f>IFERROR(_xlfn.XLOOKUP($D87,'Modelling New'!$D:$D,'Modelling New'!$N:$N),"")</f>
        <v>66.754999999999995</v>
      </c>
      <c r="AS88" s="176"/>
    </row>
    <row r="89" spans="1:45" x14ac:dyDescent="0.25">
      <c r="A89" s="175">
        <f t="shared" si="7"/>
        <v>45832</v>
      </c>
      <c r="B89" s="176">
        <f>YEAR(Table13[[#This Row],[Date]])+IF(MONTH(Table13[[#This Row],[Date]])&gt;=4,1,0)</f>
        <v>2026</v>
      </c>
      <c r="C89" s="177">
        <f>YEAR(Table13[[#This Row],[Date]])</f>
        <v>2025</v>
      </c>
      <c r="D89" s="178">
        <f>Table13[[#This Row],[Date]]-DAY(Table13[[#This Row],[Date]])+1</f>
        <v>45809</v>
      </c>
      <c r="E89" s="177">
        <f t="shared" si="4"/>
        <v>30</v>
      </c>
      <c r="F89" s="179">
        <f>IFERROR(_xlfn.XLOOKUP($A89,Raw_Data!$B:$B,Raw_Data!$KG:$KG),"")</f>
        <v>13.333333333333332</v>
      </c>
      <c r="G89" s="180">
        <f>IFERROR(_xlfn.XLOOKUP($A89,Raw_Data!$B:$B,Raw_Data!KH:KH),"")</f>
        <v>6.96</v>
      </c>
      <c r="H89" s="180"/>
      <c r="I89" s="180">
        <f>IFERROR(_xlfn.XLOOKUP($A89,Raw_Data!$B:$B,Raw_Data!$KI:$KI),"")</f>
        <v>6.44</v>
      </c>
      <c r="J89" s="180"/>
      <c r="K89" s="180">
        <f>IFERROR(_xlfn.XLOOKUP($A89,Raw_Data!$B:$B,Raw_Data!KJ:KJ),"")</f>
        <v>33.08</v>
      </c>
      <c r="L89" s="180">
        <f>IFERROR(_xlfn.XLOOKUP($A89,Raw_Data!$B:$B,Raw_Data!KK:KK),"")</f>
        <v>45.26</v>
      </c>
      <c r="M89" s="180">
        <f>IFERROR(_xlfn.XLOOKUP($A89,Raw_Data!$B:$B,Raw_Data!KL:KL),"")</f>
        <v>1.88</v>
      </c>
      <c r="N89" s="180">
        <f>IFERROR(_xlfn.XLOOKUP($A89,Raw_Data!$B:$B,Raw_Data!KM:KM),"")</f>
        <v>5.5</v>
      </c>
      <c r="O89" s="181">
        <f>IFERROR(1-SUMIF(PA!$B:$B,$A89,PA!AJ:AJ)/($AA89+SUMIF(PA!$B:$B,$A89,PA!AJ:AJ)),"")</f>
        <v>0.99711599782012039</v>
      </c>
      <c r="P89" s="181"/>
      <c r="Q89" s="182"/>
      <c r="R89" s="181">
        <f>IFERROR(1-SUMIF(GA!$C:$C,$A89,GA!$X:$X)/($AA89+SUMIF(GA!$C:$C,$A89,GA!$X:$X)),"")</f>
        <v>1</v>
      </c>
      <c r="S89" s="177"/>
      <c r="T89" s="182"/>
      <c r="U89" s="183">
        <f t="shared" si="5"/>
        <v>0.75965236234203803</v>
      </c>
      <c r="V89" s="183" t="str">
        <f>IFERROR(_xlfn.XLOOKUP($A89,Raw_Data!$B:$B,Raw_Data!$KQ:$KQ),"")</f>
        <v/>
      </c>
      <c r="W89" s="184">
        <f t="shared" si="6"/>
        <v>0.2038400505617802</v>
      </c>
      <c r="X89" s="176">
        <f>IFERROR(_xlfn.XLOOKUP($A89,Raw_Data!$B:$B,Raw_Data!$KN:$KN),"")</f>
        <v>329656.49</v>
      </c>
      <c r="Y89" s="176">
        <f>IFERROR(_xlfn.XLOOKUP($A89,Raw_Data!$B:$B,Raw_Data!$KC:$KC),"")</f>
        <v>326685.44199997187</v>
      </c>
      <c r="Z89" s="176">
        <f>IFERROR(_xlfn.XLOOKUP($A89,Raw_Data!$B:$B,Raw_Data!$KD:$KD),"")</f>
        <v>133.68099999999686</v>
      </c>
      <c r="AA89" s="176">
        <f>IFERROR(_xlfn.XLOOKUP($A89,Raw_Data!$B:$B,Raw_Data!$KF:$KF),"")</f>
        <v>326551.76099997188</v>
      </c>
      <c r="AB89" s="176">
        <f>IFERROR(_xlfn.XLOOKUP($A89,Raw_Data!$B:$B,Raw_Data!I:I)/1000,"")</f>
        <v>66.75</v>
      </c>
      <c r="AC89" s="185">
        <f>IFERROR(_xlfn.XLOOKUP($D89,'Modelling New'!$D:$D,'Modelling New'!$P:$P),"")</f>
        <v>5.2366666666666664</v>
      </c>
      <c r="AD89" s="176">
        <f>IFERROR(_xlfn.XLOOKUP($D89,'Modelling New'!$D:$D,'Modelling New'!$T:$T)*1000,"")</f>
        <v>265725.83324908343</v>
      </c>
      <c r="AE89" s="186">
        <f>IFERROR(_xlfn.XLOOKUP($D89,'Modelling New'!$D:$D,'Modelling New'!$O:$O),"")</f>
        <v>0.7601425562567381</v>
      </c>
      <c r="AF89" s="186">
        <f>IFERROR(_xlfn.XLOOKUP($D89,'Modelling New'!$D:$D,'Modelling New'!$W:$W),"")</f>
        <v>0.16585888276101882</v>
      </c>
      <c r="AG89" s="186">
        <f>IFERROR(_xlfn.XLOOKUP($D89,'Modelling New'!$D:$D,'Modelling New'!$AE:$AE),"")</f>
        <v>0.995</v>
      </c>
      <c r="AH89" s="186">
        <f>IFERROR(_xlfn.XLOOKUP($D89,'Modelling New'!$D:$D,'Modelling New'!$AF:$AF),"")</f>
        <v>0.995</v>
      </c>
      <c r="AI89" s="177"/>
      <c r="AJ89" s="177"/>
      <c r="AK89" s="238"/>
      <c r="AL89" s="238"/>
      <c r="AM89" s="238"/>
      <c r="AN89" s="187"/>
      <c r="AO89" s="184"/>
      <c r="AP89" s="184"/>
      <c r="AQ89" s="184"/>
      <c r="AR89" s="176">
        <f>IFERROR(_xlfn.XLOOKUP($D88,'Modelling New'!$D:$D,'Modelling New'!$N:$N),"")</f>
        <v>66.754999999999995</v>
      </c>
      <c r="AS89" s="176"/>
    </row>
    <row r="90" spans="1:45" x14ac:dyDescent="0.25">
      <c r="A90" s="175">
        <f t="shared" si="7"/>
        <v>45833</v>
      </c>
      <c r="B90" s="176">
        <f>YEAR(Table13[[#This Row],[Date]])+IF(MONTH(Table13[[#This Row],[Date]])&gt;=4,1,0)</f>
        <v>2026</v>
      </c>
      <c r="C90" s="177">
        <f>YEAR(Table13[[#This Row],[Date]])</f>
        <v>2025</v>
      </c>
      <c r="D90" s="178">
        <f>Table13[[#This Row],[Date]]-DAY(Table13[[#This Row],[Date]])+1</f>
        <v>45809</v>
      </c>
      <c r="E90" s="177">
        <f t="shared" si="4"/>
        <v>30</v>
      </c>
      <c r="F90" s="179">
        <f>IFERROR(_xlfn.XLOOKUP($A90,Raw_Data!$B:$B,Raw_Data!$KG:$KG),"")</f>
        <v>13.649999999999999</v>
      </c>
      <c r="G90" s="180">
        <f>IFERROR(_xlfn.XLOOKUP($A90,Raw_Data!$B:$B,Raw_Data!KH:KH),"")</f>
        <v>6.57</v>
      </c>
      <c r="H90" s="180"/>
      <c r="I90" s="180">
        <f>IFERROR(_xlfn.XLOOKUP($A90,Raw_Data!$B:$B,Raw_Data!$KI:$KI),"")</f>
        <v>6.18</v>
      </c>
      <c r="J90" s="180"/>
      <c r="K90" s="180">
        <f>IFERROR(_xlfn.XLOOKUP($A90,Raw_Data!$B:$B,Raw_Data!KJ:KJ),"")</f>
        <v>33.46</v>
      </c>
      <c r="L90" s="180">
        <f>IFERROR(_xlfn.XLOOKUP($A90,Raw_Data!$B:$B,Raw_Data!KK:KK),"")</f>
        <v>42.64</v>
      </c>
      <c r="M90" s="180">
        <f>IFERROR(_xlfn.XLOOKUP($A90,Raw_Data!$B:$B,Raw_Data!KL:KL),"")</f>
        <v>3.12</v>
      </c>
      <c r="N90" s="180">
        <f>IFERROR(_xlfn.XLOOKUP($A90,Raw_Data!$B:$B,Raw_Data!KM:KM),"")</f>
        <v>7.5</v>
      </c>
      <c r="O90" s="181">
        <f>IFERROR(1-SUMIF(PA!$B:$B,$A90,PA!AJ:AJ)/($AA90+SUMIF(PA!$B:$B,$A90,PA!AJ:AJ)),"")</f>
        <v>0.99863317842440558</v>
      </c>
      <c r="P90" s="181"/>
      <c r="Q90" s="182"/>
      <c r="R90" s="181">
        <f>IFERROR(1-SUMIF(GA!$C:$C,$A90,GA!$X:$X)/($AA90+SUMIF(GA!$C:$C,$A90,GA!$X:$X)),"")</f>
        <v>1</v>
      </c>
      <c r="S90" s="177"/>
      <c r="T90" s="182"/>
      <c r="U90" s="183">
        <f t="shared" si="5"/>
        <v>0.78293077585058679</v>
      </c>
      <c r="V90" s="183" t="str">
        <f>IFERROR(_xlfn.XLOOKUP($A90,Raw_Data!$B:$B,Raw_Data!$KQ:$KQ),"")</f>
        <v/>
      </c>
      <c r="W90" s="184">
        <f t="shared" si="6"/>
        <v>0.20160467478152608</v>
      </c>
      <c r="X90" s="176">
        <f>IFERROR(_xlfn.XLOOKUP($A90,Raw_Data!$B:$B,Raw_Data!$KN:$KN),"")</f>
        <v>324493.01000000018</v>
      </c>
      <c r="Y90" s="176">
        <f>IFERROR(_xlfn.XLOOKUP($A90,Raw_Data!$B:$B,Raw_Data!$KC:$KC),"")</f>
        <v>323091.37000000477</v>
      </c>
      <c r="Z90" s="176">
        <f>IFERROR(_xlfn.XLOOKUP($A90,Raw_Data!$B:$B,Raw_Data!$KD:$KD),"")</f>
        <v>120.68099999999686</v>
      </c>
      <c r="AA90" s="176">
        <f>IFERROR(_xlfn.XLOOKUP($A90,Raw_Data!$B:$B,Raw_Data!$KF:$KF),"")</f>
        <v>322970.68900000479</v>
      </c>
      <c r="AB90" s="176">
        <f>IFERROR(_xlfn.XLOOKUP($A90,Raw_Data!$B:$B,Raw_Data!I:I)/1000,"")</f>
        <v>66.75</v>
      </c>
      <c r="AC90" s="185">
        <f>IFERROR(_xlfn.XLOOKUP($D90,'Modelling New'!$D:$D,'Modelling New'!$P:$P),"")</f>
        <v>5.2366666666666664</v>
      </c>
      <c r="AD90" s="176">
        <f>IFERROR(_xlfn.XLOOKUP($D90,'Modelling New'!$D:$D,'Modelling New'!$T:$T)*1000,"")</f>
        <v>265725.83324908343</v>
      </c>
      <c r="AE90" s="186">
        <f>IFERROR(_xlfn.XLOOKUP($D90,'Modelling New'!$D:$D,'Modelling New'!$O:$O),"")</f>
        <v>0.7601425562567381</v>
      </c>
      <c r="AF90" s="186">
        <f>IFERROR(_xlfn.XLOOKUP($D90,'Modelling New'!$D:$D,'Modelling New'!$W:$W),"")</f>
        <v>0.16585888276101882</v>
      </c>
      <c r="AG90" s="186">
        <f>IFERROR(_xlfn.XLOOKUP($D90,'Modelling New'!$D:$D,'Modelling New'!$AE:$AE),"")</f>
        <v>0.995</v>
      </c>
      <c r="AH90" s="186">
        <f>IFERROR(_xlfn.XLOOKUP($D90,'Modelling New'!$D:$D,'Modelling New'!$AF:$AF),"")</f>
        <v>0.995</v>
      </c>
      <c r="AI90" s="177"/>
      <c r="AJ90" s="177"/>
      <c r="AK90" s="238"/>
      <c r="AL90" s="238"/>
      <c r="AM90" s="238"/>
      <c r="AN90" s="187"/>
      <c r="AO90" s="184"/>
      <c r="AP90" s="184"/>
      <c r="AQ90" s="184"/>
      <c r="AR90" s="176">
        <f>IFERROR(_xlfn.XLOOKUP($D89,'Modelling New'!$D:$D,'Modelling New'!$N:$N),"")</f>
        <v>66.754999999999995</v>
      </c>
      <c r="AS90" s="176"/>
    </row>
    <row r="91" spans="1:45" x14ac:dyDescent="0.25">
      <c r="A91" s="175">
        <f t="shared" si="7"/>
        <v>45834</v>
      </c>
      <c r="B91" s="176">
        <f>YEAR(Table13[[#This Row],[Date]])+IF(MONTH(Table13[[#This Row],[Date]])&gt;=4,1,0)</f>
        <v>2026</v>
      </c>
      <c r="C91" s="177">
        <f>YEAR(Table13[[#This Row],[Date]])</f>
        <v>2025</v>
      </c>
      <c r="D91" s="178">
        <f>Table13[[#This Row],[Date]]-DAY(Table13[[#This Row],[Date]])+1</f>
        <v>45809</v>
      </c>
      <c r="E91" s="177">
        <f t="shared" si="4"/>
        <v>30</v>
      </c>
      <c r="F91" s="179">
        <f>IFERROR(_xlfn.XLOOKUP($A91,Raw_Data!$B:$B,Raw_Data!$KG:$KG),"")</f>
        <v>13.433333333333334</v>
      </c>
      <c r="G91" s="180">
        <f>IFERROR(_xlfn.XLOOKUP($A91,Raw_Data!$B:$B,Raw_Data!KH:KH),"")</f>
        <v>6.68</v>
      </c>
      <c r="H91" s="180"/>
      <c r="I91" s="180">
        <f>IFERROR(_xlfn.XLOOKUP($A91,Raw_Data!$B:$B,Raw_Data!$KI:$KI),"")</f>
        <v>6.3</v>
      </c>
      <c r="J91" s="180"/>
      <c r="K91" s="180">
        <f>IFERROR(_xlfn.XLOOKUP($A91,Raw_Data!$B:$B,Raw_Data!KJ:KJ),"")</f>
        <v>34.28</v>
      </c>
      <c r="L91" s="180">
        <f>IFERROR(_xlfn.XLOOKUP($A91,Raw_Data!$B:$B,Raw_Data!KK:KK),"")</f>
        <v>42.05</v>
      </c>
      <c r="M91" s="180">
        <f>IFERROR(_xlfn.XLOOKUP($A91,Raw_Data!$B:$B,Raw_Data!KL:KL),"")</f>
        <v>4.04</v>
      </c>
      <c r="N91" s="180">
        <f>IFERROR(_xlfn.XLOOKUP($A91,Raw_Data!$B:$B,Raw_Data!KM:KM),"")</f>
        <v>8.1</v>
      </c>
      <c r="O91" s="181">
        <f>IFERROR(1-SUMIF(PA!$B:$B,$A91,PA!AJ:AJ)/($AA91+SUMIF(PA!$B:$B,$A91,PA!AJ:AJ)),"")</f>
        <v>0.99964103907997848</v>
      </c>
      <c r="P91" s="181"/>
      <c r="Q91" s="182"/>
      <c r="R91" s="181">
        <f>IFERROR(1-SUMIF(GA!$C:$C,$A91,GA!$X:$X)/($AA91+SUMIF(GA!$C:$C,$A91,GA!$X:$X)),"")</f>
        <v>1</v>
      </c>
      <c r="S91" s="177"/>
      <c r="T91" s="182"/>
      <c r="U91" s="183">
        <f t="shared" si="5"/>
        <v>0.76904619463769619</v>
      </c>
      <c r="V91" s="183" t="str">
        <f>IFERROR(_xlfn.XLOOKUP($A91,Raw_Data!$B:$B,Raw_Data!$KQ:$KQ),"")</f>
        <v/>
      </c>
      <c r="W91" s="184">
        <f t="shared" si="6"/>
        <v>0.20187462609239526</v>
      </c>
      <c r="X91" s="176">
        <f>IFERROR(_xlfn.XLOOKUP($A91,Raw_Data!$B:$B,Raw_Data!$KN:$KN),"")</f>
        <v>325151.30000000005</v>
      </c>
      <c r="Y91" s="176">
        <f>IFERROR(_xlfn.XLOOKUP($A91,Raw_Data!$B:$B,Raw_Data!$KC:$KC),"")</f>
        <v>323519.83200001717</v>
      </c>
      <c r="Z91" s="176">
        <f>IFERROR(_xlfn.XLOOKUP($A91,Raw_Data!$B:$B,Raw_Data!$KD:$KD),"")</f>
        <v>116.68100000001141</v>
      </c>
      <c r="AA91" s="176">
        <f>IFERROR(_xlfn.XLOOKUP($A91,Raw_Data!$B:$B,Raw_Data!$KF:$KF),"")</f>
        <v>323403.15100001718</v>
      </c>
      <c r="AB91" s="176">
        <f>IFERROR(_xlfn.XLOOKUP($A91,Raw_Data!$B:$B,Raw_Data!I:I)/1000,"")</f>
        <v>66.75</v>
      </c>
      <c r="AC91" s="185">
        <f>IFERROR(_xlfn.XLOOKUP($D91,'Modelling New'!$D:$D,'Modelling New'!$P:$P),"")</f>
        <v>5.2366666666666664</v>
      </c>
      <c r="AD91" s="176">
        <f>IFERROR(_xlfn.XLOOKUP($D91,'Modelling New'!$D:$D,'Modelling New'!$T:$T)*1000,"")</f>
        <v>265725.83324908343</v>
      </c>
      <c r="AE91" s="186">
        <f>IFERROR(_xlfn.XLOOKUP($D91,'Modelling New'!$D:$D,'Modelling New'!$O:$O),"")</f>
        <v>0.7601425562567381</v>
      </c>
      <c r="AF91" s="186">
        <f>IFERROR(_xlfn.XLOOKUP($D91,'Modelling New'!$D:$D,'Modelling New'!$W:$W),"")</f>
        <v>0.16585888276101882</v>
      </c>
      <c r="AG91" s="186">
        <f>IFERROR(_xlfn.XLOOKUP($D91,'Modelling New'!$D:$D,'Modelling New'!$AE:$AE),"")</f>
        <v>0.995</v>
      </c>
      <c r="AH91" s="186">
        <f>IFERROR(_xlfn.XLOOKUP($D91,'Modelling New'!$D:$D,'Modelling New'!$AF:$AF),"")</f>
        <v>0.995</v>
      </c>
      <c r="AI91" s="177"/>
      <c r="AJ91" s="177"/>
      <c r="AK91" s="238"/>
      <c r="AL91" s="238"/>
      <c r="AM91" s="238"/>
      <c r="AN91" s="187"/>
      <c r="AO91" s="184"/>
      <c r="AP91" s="184"/>
      <c r="AQ91" s="184"/>
      <c r="AR91" s="176">
        <f>IFERROR(_xlfn.XLOOKUP($D90,'Modelling New'!$D:$D,'Modelling New'!$N:$N),"")</f>
        <v>66.754999999999995</v>
      </c>
      <c r="AS91" s="176"/>
    </row>
    <row r="92" spans="1:45" x14ac:dyDescent="0.25">
      <c r="A92" s="175">
        <f t="shared" si="7"/>
        <v>45835</v>
      </c>
      <c r="B92" s="176">
        <f>YEAR(Table13[[#This Row],[Date]])+IF(MONTH(Table13[[#This Row],[Date]])&gt;=4,1,0)</f>
        <v>2026</v>
      </c>
      <c r="C92" s="177">
        <f>YEAR(Table13[[#This Row],[Date]])</f>
        <v>2025</v>
      </c>
      <c r="D92" s="178">
        <f>Table13[[#This Row],[Date]]-DAY(Table13[[#This Row],[Date]])+1</f>
        <v>45809</v>
      </c>
      <c r="E92" s="177">
        <f t="shared" si="4"/>
        <v>30</v>
      </c>
      <c r="F92" s="179">
        <f>IFERROR(_xlfn.XLOOKUP($A92,Raw_Data!$B:$B,Raw_Data!$KG:$KG),"")</f>
        <v>12.883333333333333</v>
      </c>
      <c r="G92" s="180">
        <f>IFERROR(_xlfn.XLOOKUP($A92,Raw_Data!$B:$B,Raw_Data!KH:KH),"")</f>
        <v>6.01</v>
      </c>
      <c r="H92" s="180"/>
      <c r="I92" s="180">
        <f>IFERROR(_xlfn.XLOOKUP($A92,Raw_Data!$B:$B,Raw_Data!$KI:$KI),"")</f>
        <v>5.64</v>
      </c>
      <c r="J92" s="180"/>
      <c r="K92" s="180">
        <f>IFERROR(_xlfn.XLOOKUP($A92,Raw_Data!$B:$B,Raw_Data!KJ:KJ),"")</f>
        <v>31.5</v>
      </c>
      <c r="L92" s="180">
        <f>IFERROR(_xlfn.XLOOKUP($A92,Raw_Data!$B:$B,Raw_Data!KK:KK),"")</f>
        <v>41.46</v>
      </c>
      <c r="M92" s="180">
        <f>IFERROR(_xlfn.XLOOKUP($A92,Raw_Data!$B:$B,Raw_Data!KL:KL),"")</f>
        <v>2.0099999999999998</v>
      </c>
      <c r="N92" s="180">
        <f>IFERROR(_xlfn.XLOOKUP($A92,Raw_Data!$B:$B,Raw_Data!KM:KM),"")</f>
        <v>6.7</v>
      </c>
      <c r="O92" s="181">
        <f>IFERROR(1-SUMIF(PA!$B:$B,$A92,PA!AJ:AJ)/($AA92+SUMIF(PA!$B:$B,$A92,PA!AJ:AJ)),"")</f>
        <v>0.99373378607214768</v>
      </c>
      <c r="P92" s="181"/>
      <c r="Q92" s="182"/>
      <c r="R92" s="181">
        <f>IFERROR(1-SUMIF(GA!$C:$C,$A92,GA!$X:$X)/($AA92+SUMIF(GA!$C:$C,$A92,GA!$X:$X)),"")</f>
        <v>1</v>
      </c>
      <c r="S92" s="177"/>
      <c r="T92" s="182"/>
      <c r="U92" s="183">
        <f t="shared" si="5"/>
        <v>0.76062428081914701</v>
      </c>
      <c r="V92" s="183" t="str">
        <f>IFERROR(_xlfn.XLOOKUP($A92,Raw_Data!$B:$B,Raw_Data!$KQ:$KQ),"")</f>
        <v/>
      </c>
      <c r="W92" s="184">
        <f t="shared" si="6"/>
        <v>0.17874670599249956</v>
      </c>
      <c r="X92" s="176">
        <f>IFERROR(_xlfn.XLOOKUP($A92,Raw_Data!$B:$B,Raw_Data!$KN:$KN),"")</f>
        <v>287351.88</v>
      </c>
      <c r="Y92" s="176">
        <f>IFERROR(_xlfn.XLOOKUP($A92,Raw_Data!$B:$B,Raw_Data!$KC:$KC),"")</f>
        <v>286457.90399998426</v>
      </c>
      <c r="Z92" s="176">
        <f>IFERROR(_xlfn.XLOOKUP($A92,Raw_Data!$B:$B,Raw_Data!$KD:$KD),"")</f>
        <v>105.68099999999686</v>
      </c>
      <c r="AA92" s="176">
        <f>IFERROR(_xlfn.XLOOKUP($A92,Raw_Data!$B:$B,Raw_Data!$KF:$KF),"")</f>
        <v>286352.22299998428</v>
      </c>
      <c r="AB92" s="176">
        <f>IFERROR(_xlfn.XLOOKUP($A92,Raw_Data!$B:$B,Raw_Data!I:I)/1000,"")</f>
        <v>66.75</v>
      </c>
      <c r="AC92" s="185">
        <f>IFERROR(_xlfn.XLOOKUP($D92,'Modelling New'!$D:$D,'Modelling New'!$P:$P),"")</f>
        <v>5.2366666666666664</v>
      </c>
      <c r="AD92" s="176">
        <f>IFERROR(_xlfn.XLOOKUP($D92,'Modelling New'!$D:$D,'Modelling New'!$T:$T)*1000,"")</f>
        <v>265725.83324908343</v>
      </c>
      <c r="AE92" s="186">
        <f>IFERROR(_xlfn.XLOOKUP($D92,'Modelling New'!$D:$D,'Modelling New'!$O:$O),"")</f>
        <v>0.7601425562567381</v>
      </c>
      <c r="AF92" s="186">
        <f>IFERROR(_xlfn.XLOOKUP($D92,'Modelling New'!$D:$D,'Modelling New'!$W:$W),"")</f>
        <v>0.16585888276101882</v>
      </c>
      <c r="AG92" s="186">
        <f>IFERROR(_xlfn.XLOOKUP($D92,'Modelling New'!$D:$D,'Modelling New'!$AE:$AE),"")</f>
        <v>0.995</v>
      </c>
      <c r="AH92" s="186">
        <f>IFERROR(_xlfn.XLOOKUP($D92,'Modelling New'!$D:$D,'Modelling New'!$AF:$AF),"")</f>
        <v>0.995</v>
      </c>
      <c r="AI92" s="177"/>
      <c r="AJ92" s="177"/>
      <c r="AK92" s="238"/>
      <c r="AL92" s="238"/>
      <c r="AM92" s="238"/>
      <c r="AN92" s="187"/>
      <c r="AO92" s="184"/>
      <c r="AP92" s="184"/>
      <c r="AQ92" s="184"/>
      <c r="AR92" s="176">
        <f>IFERROR(_xlfn.XLOOKUP($D91,'Modelling New'!$D:$D,'Modelling New'!$N:$N),"")</f>
        <v>66.754999999999995</v>
      </c>
      <c r="AS92" s="176"/>
    </row>
    <row r="93" spans="1:45" x14ac:dyDescent="0.25">
      <c r="A93" s="175">
        <f t="shared" si="7"/>
        <v>45836</v>
      </c>
      <c r="B93" s="176">
        <f>YEAR(Table13[[#This Row],[Date]])+IF(MONTH(Table13[[#This Row],[Date]])&gt;=4,1,0)</f>
        <v>2026</v>
      </c>
      <c r="C93" s="177">
        <f>YEAR(Table13[[#This Row],[Date]])</f>
        <v>2025</v>
      </c>
      <c r="D93" s="178">
        <f>Table13[[#This Row],[Date]]-DAY(Table13[[#This Row],[Date]])+1</f>
        <v>45809</v>
      </c>
      <c r="E93" s="177">
        <f t="shared" si="4"/>
        <v>30</v>
      </c>
      <c r="F93" s="179">
        <f>IFERROR(_xlfn.XLOOKUP($A93,Raw_Data!$B:$B,Raw_Data!$KG:$KG),"")</f>
        <v>13.05</v>
      </c>
      <c r="G93" s="180">
        <f>IFERROR(_xlfn.XLOOKUP($A93,Raw_Data!$B:$B,Raw_Data!KH:KH),"")</f>
        <v>5.07</v>
      </c>
      <c r="H93" s="180"/>
      <c r="I93" s="180">
        <f>IFERROR(_xlfn.XLOOKUP($A93,Raw_Data!$B:$B,Raw_Data!$KI:$KI),"")</f>
        <v>4.6500000000000004</v>
      </c>
      <c r="J93" s="180"/>
      <c r="K93" s="180">
        <f>IFERROR(_xlfn.XLOOKUP($A93,Raw_Data!$B:$B,Raw_Data!KJ:KJ),"")</f>
        <v>30.91</v>
      </c>
      <c r="L93" s="180">
        <f>IFERROR(_xlfn.XLOOKUP($A93,Raw_Data!$B:$B,Raw_Data!KK:KK),"")</f>
        <v>41.13</v>
      </c>
      <c r="M93" s="180">
        <f>IFERROR(_xlfn.XLOOKUP($A93,Raw_Data!$B:$B,Raw_Data!KL:KL),"")</f>
        <v>1.51</v>
      </c>
      <c r="N93" s="180">
        <f>IFERROR(_xlfn.XLOOKUP($A93,Raw_Data!$B:$B,Raw_Data!KM:KM),"")</f>
        <v>9.6999999999999993</v>
      </c>
      <c r="O93" s="181">
        <f>IFERROR(1-SUMIF(PA!$B:$B,$A93,PA!AJ:AJ)/($AA93+SUMIF(PA!$B:$B,$A93,PA!AJ:AJ)),"")</f>
        <v>0.99056003156291905</v>
      </c>
      <c r="P93" s="181"/>
      <c r="Q93" s="182"/>
      <c r="R93" s="181">
        <f>IFERROR(1-SUMIF(GA!$C:$C,$A93,GA!$X:$X)/($AA93+SUMIF(GA!$C:$C,$A93,GA!$X:$X)),"")</f>
        <v>1</v>
      </c>
      <c r="S93" s="177"/>
      <c r="T93" s="182"/>
      <c r="U93" s="183">
        <f t="shared" si="5"/>
        <v>0.76143119165569173</v>
      </c>
      <c r="V93" s="183" t="str">
        <f>IFERROR(_xlfn.XLOOKUP($A93,Raw_Data!$B:$B,Raw_Data!$KQ:$KQ),"")</f>
        <v/>
      </c>
      <c r="W93" s="184">
        <f t="shared" si="6"/>
        <v>0.14752729338329026</v>
      </c>
      <c r="X93" s="176">
        <f>IFERROR(_xlfn.XLOOKUP($A93,Raw_Data!$B:$B,Raw_Data!$KN:$KN),"")</f>
        <v>238197.70000000004</v>
      </c>
      <c r="Y93" s="176">
        <f>IFERROR(_xlfn.XLOOKUP($A93,Raw_Data!$B:$B,Raw_Data!$KC:$KC),"")</f>
        <v>236444.40500003099</v>
      </c>
      <c r="Z93" s="176">
        <f>IFERROR(_xlfn.XLOOKUP($A93,Raw_Data!$B:$B,Raw_Data!$KD:$KD),"")</f>
        <v>105.68099999999686</v>
      </c>
      <c r="AA93" s="176">
        <f>IFERROR(_xlfn.XLOOKUP($A93,Raw_Data!$B:$B,Raw_Data!$KF:$KF),"")</f>
        <v>236338.72400003101</v>
      </c>
      <c r="AB93" s="176">
        <f>IFERROR(_xlfn.XLOOKUP($A93,Raw_Data!$B:$B,Raw_Data!I:I)/1000,"")</f>
        <v>66.75</v>
      </c>
      <c r="AC93" s="185">
        <f>IFERROR(_xlfn.XLOOKUP($D93,'Modelling New'!$D:$D,'Modelling New'!$P:$P),"")</f>
        <v>5.2366666666666664</v>
      </c>
      <c r="AD93" s="176">
        <f>IFERROR(_xlfn.XLOOKUP($D93,'Modelling New'!$D:$D,'Modelling New'!$T:$T)*1000,"")</f>
        <v>265725.83324908343</v>
      </c>
      <c r="AE93" s="186">
        <f>IFERROR(_xlfn.XLOOKUP($D93,'Modelling New'!$D:$D,'Modelling New'!$O:$O),"")</f>
        <v>0.7601425562567381</v>
      </c>
      <c r="AF93" s="186">
        <f>IFERROR(_xlfn.XLOOKUP($D93,'Modelling New'!$D:$D,'Modelling New'!$W:$W),"")</f>
        <v>0.16585888276101882</v>
      </c>
      <c r="AG93" s="186">
        <f>IFERROR(_xlfn.XLOOKUP($D93,'Modelling New'!$D:$D,'Modelling New'!$AE:$AE),"")</f>
        <v>0.995</v>
      </c>
      <c r="AH93" s="186">
        <f>IFERROR(_xlfn.XLOOKUP($D93,'Modelling New'!$D:$D,'Modelling New'!$AF:$AF),"")</f>
        <v>0.995</v>
      </c>
      <c r="AI93" s="177"/>
      <c r="AJ93" s="177"/>
      <c r="AK93" s="238"/>
      <c r="AL93" s="238"/>
      <c r="AM93" s="238"/>
      <c r="AN93" s="187"/>
      <c r="AO93" s="184"/>
      <c r="AP93" s="184"/>
      <c r="AQ93" s="184"/>
      <c r="AR93" s="176">
        <f>IFERROR(_xlfn.XLOOKUP($D92,'Modelling New'!$D:$D,'Modelling New'!$N:$N),"")</f>
        <v>66.754999999999995</v>
      </c>
      <c r="AS93" s="176"/>
    </row>
    <row r="94" spans="1:45" x14ac:dyDescent="0.25">
      <c r="A94" s="175">
        <f t="shared" si="7"/>
        <v>45837</v>
      </c>
      <c r="B94" s="176">
        <f>YEAR(Table13[[#This Row],[Date]])+IF(MONTH(Table13[[#This Row],[Date]])&gt;=4,1,0)</f>
        <v>2026</v>
      </c>
      <c r="C94" s="177">
        <f>YEAR(Table13[[#This Row],[Date]])</f>
        <v>2025</v>
      </c>
      <c r="D94" s="178">
        <f>Table13[[#This Row],[Date]]-DAY(Table13[[#This Row],[Date]])+1</f>
        <v>45809</v>
      </c>
      <c r="E94" s="177">
        <f t="shared" si="4"/>
        <v>30</v>
      </c>
      <c r="F94" s="179">
        <f>IFERROR(_xlfn.XLOOKUP($A94,Raw_Data!$B:$B,Raw_Data!$KG:$KG),"")</f>
        <v>13.183333333333334</v>
      </c>
      <c r="G94" s="180">
        <f>IFERROR(_xlfn.XLOOKUP($A94,Raw_Data!$B:$B,Raw_Data!KH:KH),"")</f>
        <v>4.1900000000000004</v>
      </c>
      <c r="H94" s="180"/>
      <c r="I94" s="180">
        <f>IFERROR(_xlfn.XLOOKUP($A94,Raw_Data!$B:$B,Raw_Data!$KI:$KI),"")</f>
        <v>3.89</v>
      </c>
      <c r="J94" s="180"/>
      <c r="K94" s="180">
        <f>IFERROR(_xlfn.XLOOKUP($A94,Raw_Data!$B:$B,Raw_Data!KJ:KJ),"")</f>
        <v>30.09</v>
      </c>
      <c r="L94" s="180">
        <f>IFERROR(_xlfn.XLOOKUP($A94,Raw_Data!$B:$B,Raw_Data!KK:KK),"")</f>
        <v>37.22</v>
      </c>
      <c r="M94" s="180">
        <f>IFERROR(_xlfn.XLOOKUP($A94,Raw_Data!$B:$B,Raw_Data!KL:KL),"")</f>
        <v>2.4300000000000002</v>
      </c>
      <c r="N94" s="180">
        <f>IFERROR(_xlfn.XLOOKUP($A94,Raw_Data!$B:$B,Raw_Data!KM:KM),"")</f>
        <v>9.3000000000000007</v>
      </c>
      <c r="O94" s="181">
        <f>IFERROR(1-SUMIF(PA!$B:$B,$A94,PA!AJ:AJ)/($AA94+SUMIF(PA!$B:$B,$A94,PA!AJ:AJ)),"")</f>
        <v>0.99294194895883692</v>
      </c>
      <c r="P94" s="181"/>
      <c r="Q94" s="182"/>
      <c r="R94" s="181">
        <f>IFERROR(1-SUMIF(GA!$C:$C,$A94,GA!$X:$X)/($AA94+SUMIF(GA!$C:$C,$A94,GA!$X:$X)),"")</f>
        <v>1</v>
      </c>
      <c r="S94" s="177"/>
      <c r="T94" s="182"/>
      <c r="U94" s="183">
        <f t="shared" si="5"/>
        <v>0.80508788307669765</v>
      </c>
      <c r="V94" s="183" t="str">
        <f>IFERROR(_xlfn.XLOOKUP($A94,Raw_Data!$B:$B,Raw_Data!$KQ:$KQ),"")</f>
        <v/>
      </c>
      <c r="W94" s="184">
        <f t="shared" si="6"/>
        <v>0.13049132771534808</v>
      </c>
      <c r="X94" s="176">
        <f>IFERROR(_xlfn.XLOOKUP($A94,Raw_Data!$B:$B,Raw_Data!$KN:$KN),"")</f>
        <v>210024.20000000022</v>
      </c>
      <c r="Y94" s="176">
        <f>IFERROR(_xlfn.XLOOKUP($A94,Raw_Data!$B:$B,Raw_Data!$KC:$KC),"")</f>
        <v>209152.7879999876</v>
      </c>
      <c r="Z94" s="176">
        <f>IFERROR(_xlfn.XLOOKUP($A94,Raw_Data!$B:$B,Raw_Data!$KD:$KD),"")</f>
        <v>105.68099999999686</v>
      </c>
      <c r="AA94" s="176">
        <f>IFERROR(_xlfn.XLOOKUP($A94,Raw_Data!$B:$B,Raw_Data!$KF:$KF),"")</f>
        <v>209047.10699998762</v>
      </c>
      <c r="AB94" s="176">
        <f>IFERROR(_xlfn.XLOOKUP($A94,Raw_Data!$B:$B,Raw_Data!I:I)/1000,"")</f>
        <v>66.75</v>
      </c>
      <c r="AC94" s="185">
        <f>IFERROR(_xlfn.XLOOKUP($D94,'Modelling New'!$D:$D,'Modelling New'!$P:$P),"")</f>
        <v>5.2366666666666664</v>
      </c>
      <c r="AD94" s="176">
        <f>IFERROR(_xlfn.XLOOKUP($D94,'Modelling New'!$D:$D,'Modelling New'!$T:$T)*1000,"")</f>
        <v>265725.83324908343</v>
      </c>
      <c r="AE94" s="186">
        <f>IFERROR(_xlfn.XLOOKUP($D94,'Modelling New'!$D:$D,'Modelling New'!$O:$O),"")</f>
        <v>0.7601425562567381</v>
      </c>
      <c r="AF94" s="186">
        <f>IFERROR(_xlfn.XLOOKUP($D94,'Modelling New'!$D:$D,'Modelling New'!$W:$W),"")</f>
        <v>0.16585888276101882</v>
      </c>
      <c r="AG94" s="186">
        <f>IFERROR(_xlfn.XLOOKUP($D94,'Modelling New'!$D:$D,'Modelling New'!$AE:$AE),"")</f>
        <v>0.995</v>
      </c>
      <c r="AH94" s="186">
        <f>IFERROR(_xlfn.XLOOKUP($D94,'Modelling New'!$D:$D,'Modelling New'!$AF:$AF),"")</f>
        <v>0.995</v>
      </c>
      <c r="AI94" s="177"/>
      <c r="AJ94" s="177"/>
      <c r="AK94" s="238"/>
      <c r="AL94" s="238"/>
      <c r="AM94" s="238"/>
      <c r="AN94" s="187"/>
      <c r="AO94" s="184"/>
      <c r="AP94" s="184"/>
      <c r="AQ94" s="184"/>
      <c r="AR94" s="176">
        <f>IFERROR(_xlfn.XLOOKUP($D93,'Modelling New'!$D:$D,'Modelling New'!$N:$N),"")</f>
        <v>66.754999999999995</v>
      </c>
      <c r="AS94" s="176"/>
    </row>
    <row r="95" spans="1:45" x14ac:dyDescent="0.25">
      <c r="A95" s="175">
        <f t="shared" si="7"/>
        <v>45838</v>
      </c>
      <c r="B95" s="176">
        <f>YEAR(Table13[[#This Row],[Date]])+IF(MONTH(Table13[[#This Row],[Date]])&gt;=4,1,0)</f>
        <v>2026</v>
      </c>
      <c r="C95" s="177">
        <f>YEAR(Table13[[#This Row],[Date]])</f>
        <v>2025</v>
      </c>
      <c r="D95" s="178">
        <f>Table13[[#This Row],[Date]]-DAY(Table13[[#This Row],[Date]])+1</f>
        <v>45809</v>
      </c>
      <c r="E95" s="177">
        <f t="shared" ref="E95:E158" si="8">DAY(EOMONTH(A95,0))</f>
        <v>30</v>
      </c>
      <c r="F95" s="179">
        <f>IFERROR(_xlfn.XLOOKUP($A95,Raw_Data!$B:$B,Raw_Data!$KG:$KG),"")</f>
        <v>13.049999999999999</v>
      </c>
      <c r="G95" s="180">
        <f>IFERROR(_xlfn.XLOOKUP($A95,Raw_Data!$B:$B,Raw_Data!KH:KH),"")</f>
        <v>3.23</v>
      </c>
      <c r="H95" s="180"/>
      <c r="I95" s="180">
        <f>IFERROR(_xlfn.XLOOKUP($A95,Raw_Data!$B:$B,Raw_Data!$KI:$KI),"")</f>
        <v>3.03</v>
      </c>
      <c r="J95" s="180"/>
      <c r="K95" s="180">
        <f>IFERROR(_xlfn.XLOOKUP($A95,Raw_Data!$B:$B,Raw_Data!KJ:KJ),"")</f>
        <v>29.64</v>
      </c>
      <c r="L95" s="180">
        <f>IFERROR(_xlfn.XLOOKUP($A95,Raw_Data!$B:$B,Raw_Data!KK:KK),"")</f>
        <v>35.33</v>
      </c>
      <c r="M95" s="180">
        <f>IFERROR(_xlfn.XLOOKUP($A95,Raw_Data!$B:$B,Raw_Data!KL:KL),"")</f>
        <v>1.69</v>
      </c>
      <c r="N95" s="180">
        <f>IFERROR(_xlfn.XLOOKUP($A95,Raw_Data!$B:$B,Raw_Data!KM:KM),"")</f>
        <v>4.3</v>
      </c>
      <c r="O95" s="181">
        <f>IFERROR(1-SUMIF(PA!$B:$B,$A95,PA!AJ:AJ)/($AA95+SUMIF(PA!$B:$B,$A95,PA!AJ:AJ)),"")</f>
        <v>0.99315047357596165</v>
      </c>
      <c r="P95" s="181"/>
      <c r="Q95" s="182"/>
      <c r="R95" s="181">
        <f>IFERROR(1-SUMIF(GA!$C:$C,$A95,GA!$X:$X)/($AA95+SUMIF(GA!$C:$C,$A95,GA!$X:$X)),"")</f>
        <v>1</v>
      </c>
      <c r="S95" s="177"/>
      <c r="T95" s="182"/>
      <c r="U95" s="183">
        <f t="shared" ref="U95:U158" si="9">IFERROR(AA95/I95/AB95/1000,"")</f>
        <v>0.81732230256717042</v>
      </c>
      <c r="V95" s="183" t="str">
        <f>IFERROR(_xlfn.XLOOKUP($A95,Raw_Data!$B:$B,Raw_Data!$KQ:$KQ),"")</f>
        <v/>
      </c>
      <c r="W95" s="184">
        <f t="shared" ref="W95:W158" si="10">IFERROR(AA95/(24*AB95*1000),"")</f>
        <v>0.10318694069910525</v>
      </c>
      <c r="X95" s="176">
        <f>IFERROR(_xlfn.XLOOKUP($A95,Raw_Data!$B:$B,Raw_Data!$KN:$KN),"")</f>
        <v>166212.4</v>
      </c>
      <c r="Y95" s="176">
        <f>IFERROR(_xlfn.XLOOKUP($A95,Raw_Data!$B:$B,Raw_Data!$KC:$KC),"")</f>
        <v>165401.15999996662</v>
      </c>
      <c r="Z95" s="176">
        <f>IFERROR(_xlfn.XLOOKUP($A95,Raw_Data!$B:$B,Raw_Data!$KD:$KD),"")</f>
        <v>95.681000000011409</v>
      </c>
      <c r="AA95" s="176">
        <f>IFERROR(_xlfn.XLOOKUP($A95,Raw_Data!$B:$B,Raw_Data!$KF:$KF),"")</f>
        <v>165305.47899996661</v>
      </c>
      <c r="AB95" s="176">
        <f>IFERROR(_xlfn.XLOOKUP($A95,Raw_Data!$B:$B,Raw_Data!I:I)/1000,"")</f>
        <v>66.75</v>
      </c>
      <c r="AC95" s="185">
        <f>IFERROR(_xlfn.XLOOKUP($D95,'Modelling New'!$D:$D,'Modelling New'!$P:$P),"")</f>
        <v>5.2366666666666664</v>
      </c>
      <c r="AD95" s="176">
        <f>IFERROR(_xlfn.XLOOKUP($D95,'Modelling New'!$D:$D,'Modelling New'!$T:$T)*1000,"")</f>
        <v>265725.83324908343</v>
      </c>
      <c r="AE95" s="186">
        <f>IFERROR(_xlfn.XLOOKUP($D95,'Modelling New'!$D:$D,'Modelling New'!$O:$O),"")</f>
        <v>0.7601425562567381</v>
      </c>
      <c r="AF95" s="186">
        <f>IFERROR(_xlfn.XLOOKUP($D95,'Modelling New'!$D:$D,'Modelling New'!$W:$W),"")</f>
        <v>0.16585888276101882</v>
      </c>
      <c r="AG95" s="186">
        <f>IFERROR(_xlfn.XLOOKUP($D95,'Modelling New'!$D:$D,'Modelling New'!$AE:$AE),"")</f>
        <v>0.995</v>
      </c>
      <c r="AH95" s="186">
        <f>IFERROR(_xlfn.XLOOKUP($D95,'Modelling New'!$D:$D,'Modelling New'!$AF:$AF),"")</f>
        <v>0.995</v>
      </c>
      <c r="AI95" s="177"/>
      <c r="AJ95" s="177"/>
      <c r="AK95" s="238"/>
      <c r="AL95" s="238"/>
      <c r="AM95" s="238"/>
      <c r="AN95" s="187"/>
      <c r="AO95" s="184"/>
      <c r="AP95" s="184"/>
      <c r="AQ95" s="184"/>
      <c r="AR95" s="176">
        <f>IFERROR(_xlfn.XLOOKUP($D94,'Modelling New'!$D:$D,'Modelling New'!$N:$N),"")</f>
        <v>66.754999999999995</v>
      </c>
      <c r="AS95" s="176"/>
    </row>
    <row r="96" spans="1:45" x14ac:dyDescent="0.25">
      <c r="A96" s="175">
        <f t="shared" si="7"/>
        <v>45839</v>
      </c>
      <c r="B96" s="176">
        <f>YEAR(Table13[[#This Row],[Date]])+IF(MONTH(Table13[[#This Row],[Date]])&gt;=4,1,0)</f>
        <v>2026</v>
      </c>
      <c r="C96" s="177">
        <f>YEAR(Table13[[#This Row],[Date]])</f>
        <v>2025</v>
      </c>
      <c r="D96" s="178">
        <f>Table13[[#This Row],[Date]]-DAY(Table13[[#This Row],[Date]])+1</f>
        <v>45839</v>
      </c>
      <c r="E96" s="177">
        <f t="shared" si="8"/>
        <v>31</v>
      </c>
      <c r="F96" s="179">
        <f>IFERROR(_xlfn.XLOOKUP($A96,Raw_Data!$B:$B,Raw_Data!$KG:$KG),"")</f>
        <v>13.149999999999999</v>
      </c>
      <c r="G96" s="180">
        <f>IFERROR(_xlfn.XLOOKUP($A96,Raw_Data!$B:$B,Raw_Data!KH:KH),"")</f>
        <v>2.61</v>
      </c>
      <c r="H96" s="180"/>
      <c r="I96" s="180">
        <f>IFERROR(_xlfn.XLOOKUP($A96,Raw_Data!$B:$B,Raw_Data!$KI:$KI),"")</f>
        <v>2.41</v>
      </c>
      <c r="J96" s="180"/>
      <c r="K96" s="180">
        <f>IFERROR(_xlfn.XLOOKUP($A96,Raw_Data!$B:$B,Raw_Data!KJ:KJ),"")</f>
        <v>27.91</v>
      </c>
      <c r="L96" s="180">
        <f>IFERROR(_xlfn.XLOOKUP($A96,Raw_Data!$B:$B,Raw_Data!KK:KK),"")</f>
        <v>32.270000000000003</v>
      </c>
      <c r="M96" s="180">
        <f>IFERROR(_xlfn.XLOOKUP($A96,Raw_Data!$B:$B,Raw_Data!KL:KL),"")</f>
        <v>0.185</v>
      </c>
      <c r="N96" s="180">
        <f>IFERROR(_xlfn.XLOOKUP($A96,Raw_Data!$B:$B,Raw_Data!KM:KM),"")</f>
        <v>4.7</v>
      </c>
      <c r="O96" s="181">
        <f>IFERROR(1-SUMIF(PA!$B:$B,$A96,PA!AJ:AJ)/($AA96+SUMIF(PA!$B:$B,$A96,PA!AJ:AJ)),"")</f>
        <v>0.98738382930035207</v>
      </c>
      <c r="P96" s="181"/>
      <c r="Q96" s="182"/>
      <c r="R96" s="181">
        <f>IFERROR(1-SUMIF(GA!$C:$C,$A96,GA!$X:$X)/($AA96+SUMIF(GA!$C:$C,$A96,GA!$X:$X)),"")</f>
        <v>1</v>
      </c>
      <c r="S96" s="177"/>
      <c r="T96" s="182"/>
      <c r="U96" s="183">
        <f t="shared" si="9"/>
        <v>0.81562550546276591</v>
      </c>
      <c r="V96" s="183" t="str">
        <f>IFERROR(_xlfn.XLOOKUP($A96,Raw_Data!$B:$B,Raw_Data!$KQ:$KQ),"")</f>
        <v/>
      </c>
      <c r="W96" s="184">
        <f t="shared" si="10"/>
        <v>8.1902394506886078E-2</v>
      </c>
      <c r="X96" s="176">
        <f>IFERROR(_xlfn.XLOOKUP($A96,Raw_Data!$B:$B,Raw_Data!$KN:$KN),"")</f>
        <v>132770.99999999997</v>
      </c>
      <c r="Y96" s="176">
        <f>IFERROR(_xlfn.XLOOKUP($A96,Raw_Data!$B:$B,Raw_Data!$KC:$KC),"")</f>
        <v>131303.31700003147</v>
      </c>
      <c r="Z96" s="176">
        <f>IFERROR(_xlfn.XLOOKUP($A96,Raw_Data!$B:$B,Raw_Data!$KD:$KD),"")</f>
        <v>95.680999999996857</v>
      </c>
      <c r="AA96" s="176">
        <f>IFERROR(_xlfn.XLOOKUP($A96,Raw_Data!$B:$B,Raw_Data!$KF:$KF),"")</f>
        <v>131207.63600003149</v>
      </c>
      <c r="AB96" s="176">
        <f>IFERROR(_xlfn.XLOOKUP($A96,Raw_Data!$B:$B,Raw_Data!I:I)/1000,"")</f>
        <v>66.75</v>
      </c>
      <c r="AC96" s="185">
        <f>IFERROR(_xlfn.XLOOKUP($D96,'Modelling New'!$D:$D,'Modelling New'!$P:$P),"")</f>
        <v>4.354838709677419</v>
      </c>
      <c r="AD96" s="176">
        <f>IFERROR(_xlfn.XLOOKUP($D96,'Modelling New'!$D:$D,'Modelling New'!$T:$T)*1000,"")</f>
        <v>224112.06615792483</v>
      </c>
      <c r="AE96" s="186">
        <f>IFERROR(_xlfn.XLOOKUP($D96,'Modelling New'!$D:$D,'Modelling New'!$O:$O),"")</f>
        <v>0.77092009208861256</v>
      </c>
      <c r="AF96" s="186">
        <f>IFERROR(_xlfn.XLOOKUP($D96,'Modelling New'!$D:$D,'Modelling New'!$W:$W),"")</f>
        <v>0.13988469412898213</v>
      </c>
      <c r="AG96" s="186">
        <f>IFERROR(_xlfn.XLOOKUP($D96,'Modelling New'!$D:$D,'Modelling New'!$AE:$AE),"")</f>
        <v>0.995</v>
      </c>
      <c r="AH96" s="186">
        <f>IFERROR(_xlfn.XLOOKUP($D96,'Modelling New'!$D:$D,'Modelling New'!$AF:$AF),"")</f>
        <v>0.995</v>
      </c>
      <c r="AI96" s="177"/>
      <c r="AJ96" s="177"/>
      <c r="AK96" s="238"/>
      <c r="AL96" s="238"/>
      <c r="AM96" s="238"/>
      <c r="AN96" s="187"/>
      <c r="AO96" s="184"/>
      <c r="AP96" s="184"/>
      <c r="AQ96" s="184"/>
      <c r="AR96" s="176">
        <f>IFERROR(_xlfn.XLOOKUP($D95,'Modelling New'!$D:$D,'Modelling New'!$N:$N),"")</f>
        <v>66.754999999999995</v>
      </c>
      <c r="AS96" s="176"/>
    </row>
    <row r="97" spans="1:45" x14ac:dyDescent="0.25">
      <c r="A97" s="175">
        <f t="shared" si="7"/>
        <v>45840</v>
      </c>
      <c r="B97" s="176">
        <f>YEAR(Table13[[#This Row],[Date]])+IF(MONTH(Table13[[#This Row],[Date]])&gt;=4,1,0)</f>
        <v>2026</v>
      </c>
      <c r="C97" s="177">
        <f>YEAR(Table13[[#This Row],[Date]])</f>
        <v>2025</v>
      </c>
      <c r="D97" s="178">
        <f>Table13[[#This Row],[Date]]-DAY(Table13[[#This Row],[Date]])+1</f>
        <v>45839</v>
      </c>
      <c r="E97" s="177">
        <f t="shared" si="8"/>
        <v>31</v>
      </c>
      <c r="F97" s="179">
        <f>IFERROR(_xlfn.XLOOKUP($A97,Raw_Data!$B:$B,Raw_Data!$KG:$KG),"")</f>
        <v>13.4</v>
      </c>
      <c r="G97" s="180">
        <f>IFERROR(_xlfn.XLOOKUP($A97,Raw_Data!$B:$B,Raw_Data!KH:KH),"")</f>
        <v>4.34</v>
      </c>
      <c r="H97" s="180"/>
      <c r="I97" s="180">
        <f>IFERROR(_xlfn.XLOOKUP($A97,Raw_Data!$B:$B,Raw_Data!$KI:$KI),"")</f>
        <v>4.07</v>
      </c>
      <c r="J97" s="180"/>
      <c r="K97" s="180">
        <f>IFERROR(_xlfn.XLOOKUP($A97,Raw_Data!$B:$B,Raw_Data!KJ:KJ),"")</f>
        <v>30.38</v>
      </c>
      <c r="L97" s="180">
        <f>IFERROR(_xlfn.XLOOKUP($A97,Raw_Data!$B:$B,Raw_Data!KK:KK),"")</f>
        <v>37.35</v>
      </c>
      <c r="M97" s="180">
        <f>IFERROR(_xlfn.XLOOKUP($A97,Raw_Data!$B:$B,Raw_Data!KL:KL),"")</f>
        <v>1.48</v>
      </c>
      <c r="N97" s="180">
        <f>IFERROR(_xlfn.XLOOKUP($A97,Raw_Data!$B:$B,Raw_Data!KM:KM),"")</f>
        <v>7.1</v>
      </c>
      <c r="O97" s="181">
        <f>IFERROR(1-SUMIF(PA!$B:$B,$A97,PA!AJ:AJ)/($AA97+SUMIF(PA!$B:$B,$A97,PA!AJ:AJ)),"")</f>
        <v>0.99496819926082947</v>
      </c>
      <c r="P97" s="181"/>
      <c r="Q97" s="182"/>
      <c r="R97" s="181">
        <f>IFERROR(1-SUMIF(GA!$C:$C,$A97,GA!$X:$X)/($AA97+SUMIF(GA!$C:$C,$A97,GA!$X:$X)),"")</f>
        <v>1</v>
      </c>
      <c r="S97" s="177"/>
      <c r="T97" s="182"/>
      <c r="U97" s="183">
        <f t="shared" si="9"/>
        <v>0.78270264380816523</v>
      </c>
      <c r="V97" s="183" t="str">
        <f>IFERROR(_xlfn.XLOOKUP($A97,Raw_Data!$B:$B,Raw_Data!$KQ:$KQ),"")</f>
        <v/>
      </c>
      <c r="W97" s="184">
        <f t="shared" si="10"/>
        <v>0.13273332334580137</v>
      </c>
      <c r="X97" s="176">
        <f>IFERROR(_xlfn.XLOOKUP($A97,Raw_Data!$B:$B,Raw_Data!$KN:$KN),"")</f>
        <v>213894.3</v>
      </c>
      <c r="Y97" s="176">
        <f>IFERROR(_xlfn.XLOOKUP($A97,Raw_Data!$B:$B,Raw_Data!$KC:$KC),"")</f>
        <v>212734.46499997377</v>
      </c>
      <c r="Z97" s="176">
        <f>IFERROR(_xlfn.XLOOKUP($A97,Raw_Data!$B:$B,Raw_Data!$KD:$KD),"")</f>
        <v>95.680999999996857</v>
      </c>
      <c r="AA97" s="176">
        <f>IFERROR(_xlfn.XLOOKUP($A97,Raw_Data!$B:$B,Raw_Data!$KF:$KF),"")</f>
        <v>212638.78399997379</v>
      </c>
      <c r="AB97" s="176">
        <f>IFERROR(_xlfn.XLOOKUP($A97,Raw_Data!$B:$B,Raw_Data!I:I)/1000,"")</f>
        <v>66.75</v>
      </c>
      <c r="AC97" s="185">
        <f>IFERROR(_xlfn.XLOOKUP($D97,'Modelling New'!$D:$D,'Modelling New'!$P:$P),"")</f>
        <v>4.354838709677419</v>
      </c>
      <c r="AD97" s="176">
        <f>IFERROR(_xlfn.XLOOKUP($D97,'Modelling New'!$D:$D,'Modelling New'!$T:$T)*1000,"")</f>
        <v>224112.06615792483</v>
      </c>
      <c r="AE97" s="186">
        <f>IFERROR(_xlfn.XLOOKUP($D97,'Modelling New'!$D:$D,'Modelling New'!$O:$O),"")</f>
        <v>0.77092009208861256</v>
      </c>
      <c r="AF97" s="186">
        <f>IFERROR(_xlfn.XLOOKUP($D97,'Modelling New'!$D:$D,'Modelling New'!$W:$W),"")</f>
        <v>0.13988469412898213</v>
      </c>
      <c r="AG97" s="186">
        <f>IFERROR(_xlfn.XLOOKUP($D97,'Modelling New'!$D:$D,'Modelling New'!$AE:$AE),"")</f>
        <v>0.995</v>
      </c>
      <c r="AH97" s="186">
        <f>IFERROR(_xlfn.XLOOKUP($D97,'Modelling New'!$D:$D,'Modelling New'!$AF:$AF),"")</f>
        <v>0.995</v>
      </c>
      <c r="AI97" s="177"/>
      <c r="AJ97" s="177"/>
      <c r="AK97" s="238"/>
      <c r="AL97" s="238"/>
      <c r="AM97" s="238"/>
      <c r="AN97" s="187"/>
      <c r="AO97" s="184"/>
      <c r="AP97" s="184"/>
      <c r="AQ97" s="184"/>
      <c r="AR97" s="176">
        <f>IFERROR(_xlfn.XLOOKUP($D96,'Modelling New'!$D:$D,'Modelling New'!$N:$N),"")</f>
        <v>66.754999999999995</v>
      </c>
      <c r="AS97" s="176"/>
    </row>
    <row r="98" spans="1:45" x14ac:dyDescent="0.25">
      <c r="A98" s="175">
        <f t="shared" si="7"/>
        <v>45841</v>
      </c>
      <c r="B98" s="176">
        <f>YEAR(Table13[[#This Row],[Date]])+IF(MONTH(Table13[[#This Row],[Date]])&gt;=4,1,0)</f>
        <v>2026</v>
      </c>
      <c r="C98" s="177">
        <f>YEAR(Table13[[#This Row],[Date]])</f>
        <v>2025</v>
      </c>
      <c r="D98" s="178">
        <f>Table13[[#This Row],[Date]]-DAY(Table13[[#This Row],[Date]])+1</f>
        <v>45839</v>
      </c>
      <c r="E98" s="177">
        <f t="shared" si="8"/>
        <v>31</v>
      </c>
      <c r="F98" s="179">
        <f>IFERROR(_xlfn.XLOOKUP($A98,Raw_Data!$B:$B,Raw_Data!$KG:$KG),"")</f>
        <v>13.366666666666667</v>
      </c>
      <c r="G98" s="180">
        <f>IFERROR(_xlfn.XLOOKUP($A98,Raw_Data!$B:$B,Raw_Data!KH:KH),"")</f>
        <v>4.7699999999999996</v>
      </c>
      <c r="H98" s="180"/>
      <c r="I98" s="180">
        <f>IFERROR(_xlfn.XLOOKUP($A98,Raw_Data!$B:$B,Raw_Data!$KI:$KI),"")</f>
        <v>4.5599999999999996</v>
      </c>
      <c r="J98" s="180"/>
      <c r="K98" s="180">
        <f>IFERROR(_xlfn.XLOOKUP($A98,Raw_Data!$B:$B,Raw_Data!KJ:KJ),"")</f>
        <v>31.07</v>
      </c>
      <c r="L98" s="180">
        <f>IFERROR(_xlfn.XLOOKUP($A98,Raw_Data!$B:$B,Raw_Data!KK:KK),"")</f>
        <v>39.159999999999997</v>
      </c>
      <c r="M98" s="180">
        <f>IFERROR(_xlfn.XLOOKUP($A98,Raw_Data!$B:$B,Raw_Data!KL:KL),"")</f>
        <v>2.3199999999999998</v>
      </c>
      <c r="N98" s="180">
        <f>IFERROR(_xlfn.XLOOKUP($A98,Raw_Data!$B:$B,Raw_Data!KM:KM),"")</f>
        <v>5.7</v>
      </c>
      <c r="O98" s="181">
        <f>IFERROR(1-SUMIF(PA!$B:$B,$A98,PA!AJ:AJ)/($AA98+SUMIF(PA!$B:$B,$A98,PA!AJ:AJ)),"")</f>
        <v>0.99779518764825048</v>
      </c>
      <c r="P98" s="181"/>
      <c r="Q98" s="182"/>
      <c r="R98" s="181">
        <f>IFERROR(1-SUMIF(GA!$C:$C,$A98,GA!$X:$X)/($AA98+SUMIF(GA!$C:$C,$A98,GA!$X:$X)),"")</f>
        <v>1</v>
      </c>
      <c r="S98" s="177"/>
      <c r="T98" s="182"/>
      <c r="U98" s="183">
        <f t="shared" si="9"/>
        <v>0.776493527827118</v>
      </c>
      <c r="V98" s="183" t="str">
        <f>IFERROR(_xlfn.XLOOKUP($A98,Raw_Data!$B:$B,Raw_Data!$KQ:$KQ),"")</f>
        <v/>
      </c>
      <c r="W98" s="184">
        <f t="shared" si="10"/>
        <v>0.14753377028715239</v>
      </c>
      <c r="X98" s="176">
        <f>IFERROR(_xlfn.XLOOKUP($A98,Raw_Data!$B:$B,Raw_Data!$KN:$KN),"")</f>
        <v>237266.10000000006</v>
      </c>
      <c r="Y98" s="176">
        <f>IFERROR(_xlfn.XLOOKUP($A98,Raw_Data!$B:$B,Raw_Data!$KC:$KC),"")</f>
        <v>236444.78100001812</v>
      </c>
      <c r="Z98" s="176">
        <f>IFERROR(_xlfn.XLOOKUP($A98,Raw_Data!$B:$B,Raw_Data!$KD:$KD),"")</f>
        <v>95.680999999996857</v>
      </c>
      <c r="AA98" s="176">
        <f>IFERROR(_xlfn.XLOOKUP($A98,Raw_Data!$B:$B,Raw_Data!$KF:$KF),"")</f>
        <v>236349.10000001814</v>
      </c>
      <c r="AB98" s="176">
        <f>IFERROR(_xlfn.XLOOKUP($A98,Raw_Data!$B:$B,Raw_Data!I:I)/1000,"")</f>
        <v>66.75</v>
      </c>
      <c r="AC98" s="185">
        <f>IFERROR(_xlfn.XLOOKUP($D98,'Modelling New'!$D:$D,'Modelling New'!$P:$P),"")</f>
        <v>4.354838709677419</v>
      </c>
      <c r="AD98" s="176">
        <f>IFERROR(_xlfn.XLOOKUP($D98,'Modelling New'!$D:$D,'Modelling New'!$T:$T)*1000,"")</f>
        <v>224112.06615792483</v>
      </c>
      <c r="AE98" s="186">
        <f>IFERROR(_xlfn.XLOOKUP($D98,'Modelling New'!$D:$D,'Modelling New'!$O:$O),"")</f>
        <v>0.77092009208861256</v>
      </c>
      <c r="AF98" s="186">
        <f>IFERROR(_xlfn.XLOOKUP($D98,'Modelling New'!$D:$D,'Modelling New'!$W:$W),"")</f>
        <v>0.13988469412898213</v>
      </c>
      <c r="AG98" s="186">
        <f>IFERROR(_xlfn.XLOOKUP($D98,'Modelling New'!$D:$D,'Modelling New'!$AE:$AE),"")</f>
        <v>0.995</v>
      </c>
      <c r="AH98" s="186">
        <f>IFERROR(_xlfn.XLOOKUP($D98,'Modelling New'!$D:$D,'Modelling New'!$AF:$AF),"")</f>
        <v>0.995</v>
      </c>
      <c r="AI98" s="177"/>
      <c r="AJ98" s="177"/>
      <c r="AK98" s="238"/>
      <c r="AL98" s="238"/>
      <c r="AM98" s="238"/>
      <c r="AN98" s="187"/>
      <c r="AO98" s="184"/>
      <c r="AP98" s="184"/>
      <c r="AQ98" s="184"/>
      <c r="AR98" s="176">
        <f>IFERROR(_xlfn.XLOOKUP($D97,'Modelling New'!$D:$D,'Modelling New'!$N:$N),"")</f>
        <v>66.754999999999995</v>
      </c>
      <c r="AS98" s="176"/>
    </row>
    <row r="99" spans="1:45" x14ac:dyDescent="0.25">
      <c r="A99" s="175">
        <f t="shared" si="7"/>
        <v>45842</v>
      </c>
      <c r="B99" s="176">
        <f>YEAR(Table13[[#This Row],[Date]])+IF(MONTH(Table13[[#This Row],[Date]])&gt;=4,1,0)</f>
        <v>2026</v>
      </c>
      <c r="C99" s="177">
        <f>YEAR(Table13[[#This Row],[Date]])</f>
        <v>2025</v>
      </c>
      <c r="D99" s="178">
        <f>Table13[[#This Row],[Date]]-DAY(Table13[[#This Row],[Date]])+1</f>
        <v>45839</v>
      </c>
      <c r="E99" s="177">
        <f t="shared" si="8"/>
        <v>31</v>
      </c>
      <c r="F99" s="179">
        <f>IFERROR(_xlfn.XLOOKUP($A99,Raw_Data!$B:$B,Raw_Data!$KG:$KG),"")</f>
        <v>13.350000000000001</v>
      </c>
      <c r="G99" s="180">
        <f>IFERROR(_xlfn.XLOOKUP($A99,Raw_Data!$B:$B,Raw_Data!KH:KH),"")</f>
        <v>4.55</v>
      </c>
      <c r="H99" s="180"/>
      <c r="I99" s="180">
        <f>IFERROR(_xlfn.XLOOKUP($A99,Raw_Data!$B:$B,Raw_Data!$KI:$KI),"")</f>
        <v>4.1500000000000004</v>
      </c>
      <c r="J99" s="180"/>
      <c r="K99" s="180">
        <f>IFERROR(_xlfn.XLOOKUP($A99,Raw_Data!$B:$B,Raw_Data!KJ:KJ),"")</f>
        <v>30.97</v>
      </c>
      <c r="L99" s="180">
        <f>IFERROR(_xlfn.XLOOKUP($A99,Raw_Data!$B:$B,Raw_Data!KK:KK),"")</f>
        <v>40.04</v>
      </c>
      <c r="M99" s="180">
        <f>IFERROR(_xlfn.XLOOKUP($A99,Raw_Data!$B:$B,Raw_Data!KL:KL),"")</f>
        <v>1.49</v>
      </c>
      <c r="N99" s="180">
        <f>IFERROR(_xlfn.XLOOKUP($A99,Raw_Data!$B:$B,Raw_Data!KM:KM),"")</f>
        <v>7.5</v>
      </c>
      <c r="O99" s="181">
        <f>IFERROR(1-SUMIF(PA!$B:$B,$A99,PA!AJ:AJ)/($AA99+SUMIF(PA!$B:$B,$A99,PA!AJ:AJ)),"")</f>
        <v>0.99927532807269914</v>
      </c>
      <c r="P99" s="181"/>
      <c r="Q99" s="182"/>
      <c r="R99" s="181">
        <f>IFERROR(1-SUMIF(GA!$C:$C,$A99,GA!$X:$X)/($AA99+SUMIF(GA!$C:$C,$A99,GA!$X:$X)),"")</f>
        <v>1</v>
      </c>
      <c r="S99" s="177"/>
      <c r="T99" s="182"/>
      <c r="U99" s="183">
        <f t="shared" si="9"/>
        <v>0.77566879472953831</v>
      </c>
      <c r="V99" s="183" t="str">
        <f>IFERROR(_xlfn.XLOOKUP($A99,Raw_Data!$B:$B,Raw_Data!$KQ:$KQ),"")</f>
        <v/>
      </c>
      <c r="W99" s="184">
        <f t="shared" si="10"/>
        <v>0.13412606242198266</v>
      </c>
      <c r="X99" s="176">
        <f>IFERROR(_xlfn.XLOOKUP($A99,Raw_Data!$B:$B,Raw_Data!$KN:$KN),"")</f>
        <v>216167.60000000003</v>
      </c>
      <c r="Y99" s="176">
        <f>IFERROR(_xlfn.XLOOKUP($A99,Raw_Data!$B:$B,Raw_Data!$KC:$KC),"")</f>
        <v>214965.63300001621</v>
      </c>
      <c r="Z99" s="176">
        <f>IFERROR(_xlfn.XLOOKUP($A99,Raw_Data!$B:$B,Raw_Data!$KD:$KD),"")</f>
        <v>95.680999999996857</v>
      </c>
      <c r="AA99" s="176">
        <f>IFERROR(_xlfn.XLOOKUP($A99,Raw_Data!$B:$B,Raw_Data!$KF:$KF),"")</f>
        <v>214869.95200001623</v>
      </c>
      <c r="AB99" s="176">
        <f>IFERROR(_xlfn.XLOOKUP($A99,Raw_Data!$B:$B,Raw_Data!I:I)/1000,"")</f>
        <v>66.75</v>
      </c>
      <c r="AC99" s="185">
        <f>IFERROR(_xlfn.XLOOKUP($D99,'Modelling New'!$D:$D,'Modelling New'!$P:$P),"")</f>
        <v>4.354838709677419</v>
      </c>
      <c r="AD99" s="176">
        <f>IFERROR(_xlfn.XLOOKUP($D99,'Modelling New'!$D:$D,'Modelling New'!$T:$T)*1000,"")</f>
        <v>224112.06615792483</v>
      </c>
      <c r="AE99" s="186">
        <f>IFERROR(_xlfn.XLOOKUP($D99,'Modelling New'!$D:$D,'Modelling New'!$O:$O),"")</f>
        <v>0.77092009208861256</v>
      </c>
      <c r="AF99" s="186">
        <f>IFERROR(_xlfn.XLOOKUP($D99,'Modelling New'!$D:$D,'Modelling New'!$W:$W),"")</f>
        <v>0.13988469412898213</v>
      </c>
      <c r="AG99" s="186">
        <f>IFERROR(_xlfn.XLOOKUP($D99,'Modelling New'!$D:$D,'Modelling New'!$AE:$AE),"")</f>
        <v>0.995</v>
      </c>
      <c r="AH99" s="186">
        <f>IFERROR(_xlfn.XLOOKUP($D99,'Modelling New'!$D:$D,'Modelling New'!$AF:$AF),"")</f>
        <v>0.995</v>
      </c>
      <c r="AI99" s="177"/>
      <c r="AJ99" s="177"/>
      <c r="AK99" s="238"/>
      <c r="AL99" s="238"/>
      <c r="AM99" s="238"/>
      <c r="AN99" s="187"/>
      <c r="AO99" s="184"/>
      <c r="AP99" s="184"/>
      <c r="AQ99" s="184"/>
      <c r="AR99" s="176">
        <f>IFERROR(_xlfn.XLOOKUP($D98,'Modelling New'!$D:$D,'Modelling New'!$N:$N),"")</f>
        <v>66.754999999999995</v>
      </c>
      <c r="AS99" s="176"/>
    </row>
    <row r="100" spans="1:45" x14ac:dyDescent="0.25">
      <c r="A100" s="175">
        <f t="shared" si="7"/>
        <v>45843</v>
      </c>
      <c r="B100" s="176">
        <f>YEAR(Table13[[#This Row],[Date]])+IF(MONTH(Table13[[#This Row],[Date]])&gt;=4,1,0)</f>
        <v>2026</v>
      </c>
      <c r="C100" s="177">
        <f>YEAR(Table13[[#This Row],[Date]])</f>
        <v>2025</v>
      </c>
      <c r="D100" s="178">
        <f>Table13[[#This Row],[Date]]-DAY(Table13[[#This Row],[Date]])+1</f>
        <v>45839</v>
      </c>
      <c r="E100" s="177">
        <f t="shared" si="8"/>
        <v>31</v>
      </c>
      <c r="F100" s="179">
        <f>IFERROR(_xlfn.XLOOKUP($A100,Raw_Data!$B:$B,Raw_Data!$KG:$KG),"")</f>
        <v>13.216666666666669</v>
      </c>
      <c r="G100" s="180">
        <f>IFERROR(_xlfn.XLOOKUP($A100,Raw_Data!$B:$B,Raw_Data!KH:KH),"")</f>
        <v>5.37</v>
      </c>
      <c r="H100" s="180"/>
      <c r="I100" s="180">
        <f>IFERROR(_xlfn.XLOOKUP($A100,Raw_Data!$B:$B,Raw_Data!$KI:$KI),"")</f>
        <v>5.13</v>
      </c>
      <c r="J100" s="180"/>
      <c r="K100" s="180">
        <f>IFERROR(_xlfn.XLOOKUP($A100,Raw_Data!$B:$B,Raw_Data!KJ:KJ),"")</f>
        <v>31.55</v>
      </c>
      <c r="L100" s="180">
        <f>IFERROR(_xlfn.XLOOKUP($A100,Raw_Data!$B:$B,Raw_Data!KK:KK),"")</f>
        <v>42.78</v>
      </c>
      <c r="M100" s="180">
        <f>IFERROR(_xlfn.XLOOKUP($A100,Raw_Data!$B:$B,Raw_Data!KL:KL),"")</f>
        <v>1.29</v>
      </c>
      <c r="N100" s="180">
        <f>IFERROR(_xlfn.XLOOKUP($A100,Raw_Data!$B:$B,Raw_Data!KM:KM),"")</f>
        <v>4.3</v>
      </c>
      <c r="O100" s="181">
        <f>IFERROR(1-SUMIF(PA!$B:$B,$A100,PA!AJ:AJ)/($AA100+SUMIF(PA!$B:$B,$A100,PA!AJ:AJ)),"")</f>
        <v>0.98877370512744567</v>
      </c>
      <c r="P100" s="181"/>
      <c r="Q100" s="182"/>
      <c r="R100" s="181">
        <f>IFERROR(1-SUMIF(GA!$C:$C,$A100,GA!$X:$X)/($AA100+SUMIF(GA!$C:$C,$A100,GA!$X:$X)),"")</f>
        <v>1</v>
      </c>
      <c r="S100" s="177"/>
      <c r="T100" s="182"/>
      <c r="U100" s="183">
        <f t="shared" si="9"/>
        <v>0.77688376955699545</v>
      </c>
      <c r="V100" s="183" t="str">
        <f>IFERROR(_xlfn.XLOOKUP($A100,Raw_Data!$B:$B,Raw_Data!$KQ:$KQ),"")</f>
        <v/>
      </c>
      <c r="W100" s="184">
        <f t="shared" si="10"/>
        <v>0.16605890574280779</v>
      </c>
      <c r="X100" s="176">
        <f>IFERROR(_xlfn.XLOOKUP($A100,Raw_Data!$B:$B,Raw_Data!$KN:$KN),"")</f>
        <v>267586.69999999995</v>
      </c>
      <c r="Y100" s="176">
        <f>IFERROR(_xlfn.XLOOKUP($A100,Raw_Data!$B:$B,Raw_Data!$KC:$KC),"")</f>
        <v>266122.04799997807</v>
      </c>
      <c r="Z100" s="176">
        <f>IFERROR(_xlfn.XLOOKUP($A100,Raw_Data!$B:$B,Raw_Data!$KD:$KD),"")</f>
        <v>95.681000000011409</v>
      </c>
      <c r="AA100" s="176">
        <f>IFERROR(_xlfn.XLOOKUP($A100,Raw_Data!$B:$B,Raw_Data!$KF:$KF),"")</f>
        <v>266026.36699997808</v>
      </c>
      <c r="AB100" s="176">
        <f>IFERROR(_xlfn.XLOOKUP($A100,Raw_Data!$B:$B,Raw_Data!I:I)/1000,"")</f>
        <v>66.75</v>
      </c>
      <c r="AC100" s="185">
        <f>IFERROR(_xlfn.XLOOKUP($D100,'Modelling New'!$D:$D,'Modelling New'!$P:$P),"")</f>
        <v>4.354838709677419</v>
      </c>
      <c r="AD100" s="176">
        <f>IFERROR(_xlfn.XLOOKUP($D100,'Modelling New'!$D:$D,'Modelling New'!$T:$T)*1000,"")</f>
        <v>224112.06615792483</v>
      </c>
      <c r="AE100" s="186">
        <f>IFERROR(_xlfn.XLOOKUP($D100,'Modelling New'!$D:$D,'Modelling New'!$O:$O),"")</f>
        <v>0.77092009208861256</v>
      </c>
      <c r="AF100" s="186">
        <f>IFERROR(_xlfn.XLOOKUP($D100,'Modelling New'!$D:$D,'Modelling New'!$W:$W),"")</f>
        <v>0.13988469412898213</v>
      </c>
      <c r="AG100" s="186">
        <f>IFERROR(_xlfn.XLOOKUP($D100,'Modelling New'!$D:$D,'Modelling New'!$AE:$AE),"")</f>
        <v>0.995</v>
      </c>
      <c r="AH100" s="186">
        <f>IFERROR(_xlfn.XLOOKUP($D100,'Modelling New'!$D:$D,'Modelling New'!$AF:$AF),"")</f>
        <v>0.995</v>
      </c>
      <c r="AI100" s="177"/>
      <c r="AJ100" s="177"/>
      <c r="AK100" s="238"/>
      <c r="AL100" s="238"/>
      <c r="AM100" s="238"/>
      <c r="AN100" s="187"/>
      <c r="AO100" s="184"/>
      <c r="AP100" s="184"/>
      <c r="AQ100" s="184"/>
      <c r="AR100" s="176">
        <f>IFERROR(_xlfn.XLOOKUP($D99,'Modelling New'!$D:$D,'Modelling New'!$N:$N),"")</f>
        <v>66.754999999999995</v>
      </c>
      <c r="AS100" s="176"/>
    </row>
    <row r="101" spans="1:45" x14ac:dyDescent="0.25">
      <c r="A101" s="175">
        <f t="shared" si="7"/>
        <v>45844</v>
      </c>
      <c r="B101" s="176">
        <f>YEAR(Table13[[#This Row],[Date]])+IF(MONTH(Table13[[#This Row],[Date]])&gt;=4,1,0)</f>
        <v>2026</v>
      </c>
      <c r="C101" s="177">
        <f>YEAR(Table13[[#This Row],[Date]])</f>
        <v>2025</v>
      </c>
      <c r="D101" s="178">
        <f>Table13[[#This Row],[Date]]-DAY(Table13[[#This Row],[Date]])+1</f>
        <v>45839</v>
      </c>
      <c r="E101" s="177">
        <f t="shared" si="8"/>
        <v>31</v>
      </c>
      <c r="F101" s="179">
        <f>IFERROR(_xlfn.XLOOKUP($A101,Raw_Data!$B:$B,Raw_Data!$KG:$KG),"")</f>
        <v>13.2</v>
      </c>
      <c r="G101" s="180">
        <f>IFERROR(_xlfn.XLOOKUP($A101,Raw_Data!$B:$B,Raw_Data!KH:KH),"")</f>
        <v>4.72</v>
      </c>
      <c r="H101" s="180"/>
      <c r="I101" s="180">
        <f>IFERROR(_xlfn.XLOOKUP($A101,Raw_Data!$B:$B,Raw_Data!$KI:$KI),"")</f>
        <v>4.5</v>
      </c>
      <c r="J101" s="180"/>
      <c r="K101" s="180">
        <f>IFERROR(_xlfn.XLOOKUP($A101,Raw_Data!$B:$B,Raw_Data!KJ:KJ),"")</f>
        <v>32.64</v>
      </c>
      <c r="L101" s="180">
        <f>IFERROR(_xlfn.XLOOKUP($A101,Raw_Data!$B:$B,Raw_Data!KK:KK),"")</f>
        <v>41.48</v>
      </c>
      <c r="M101" s="180">
        <f>IFERROR(_xlfn.XLOOKUP($A101,Raw_Data!$B:$B,Raw_Data!KL:KL),"")</f>
        <v>1.41</v>
      </c>
      <c r="N101" s="180">
        <f>IFERROR(_xlfn.XLOOKUP($A101,Raw_Data!$B:$B,Raw_Data!KM:KM),"")</f>
        <v>3.9</v>
      </c>
      <c r="O101" s="181">
        <f>IFERROR(1-SUMIF(PA!$B:$B,$A101,PA!AJ:AJ)/($AA101+SUMIF(PA!$B:$B,$A101,PA!AJ:AJ)),"")</f>
        <v>0.999688809750921</v>
      </c>
      <c r="P101" s="181"/>
      <c r="Q101" s="182"/>
      <c r="R101" s="181">
        <f>IFERROR(1-SUMIF(GA!$C:$C,$A101,GA!$X:$X)/($AA101+SUMIF(GA!$C:$C,$A101,GA!$X:$X)),"")</f>
        <v>1</v>
      </c>
      <c r="S101" s="177"/>
      <c r="T101" s="182"/>
      <c r="U101" s="183">
        <f t="shared" si="9"/>
        <v>0.77293558052444467</v>
      </c>
      <c r="V101" s="183" t="str">
        <f>IFERROR(_xlfn.XLOOKUP($A101,Raw_Data!$B:$B,Raw_Data!$KQ:$KQ),"")</f>
        <v/>
      </c>
      <c r="W101" s="184">
        <f t="shared" si="10"/>
        <v>0.14492542134833336</v>
      </c>
      <c r="X101" s="176">
        <f>IFERROR(_xlfn.XLOOKUP($A101,Raw_Data!$B:$B,Raw_Data!$KN:$KN),"")</f>
        <v>233878.07300000012</v>
      </c>
      <c r="Y101" s="176">
        <f>IFERROR(_xlfn.XLOOKUP($A101,Raw_Data!$B:$B,Raw_Data!$KC:$KC),"")</f>
        <v>232266.20600003004</v>
      </c>
      <c r="Z101" s="176">
        <f>IFERROR(_xlfn.XLOOKUP($A101,Raw_Data!$B:$B,Raw_Data!$KD:$KD),"")</f>
        <v>95.680999999996857</v>
      </c>
      <c r="AA101" s="176">
        <f>IFERROR(_xlfn.XLOOKUP($A101,Raw_Data!$B:$B,Raw_Data!$KF:$KF),"")</f>
        <v>232170.52500003006</v>
      </c>
      <c r="AB101" s="176">
        <f>IFERROR(_xlfn.XLOOKUP($A101,Raw_Data!$B:$B,Raw_Data!I:I)/1000,"")</f>
        <v>66.75</v>
      </c>
      <c r="AC101" s="185">
        <f>IFERROR(_xlfn.XLOOKUP($D101,'Modelling New'!$D:$D,'Modelling New'!$P:$P),"")</f>
        <v>4.354838709677419</v>
      </c>
      <c r="AD101" s="176">
        <f>IFERROR(_xlfn.XLOOKUP($D101,'Modelling New'!$D:$D,'Modelling New'!$T:$T)*1000,"")</f>
        <v>224112.06615792483</v>
      </c>
      <c r="AE101" s="186">
        <f>IFERROR(_xlfn.XLOOKUP($D101,'Modelling New'!$D:$D,'Modelling New'!$O:$O),"")</f>
        <v>0.77092009208861256</v>
      </c>
      <c r="AF101" s="186">
        <f>IFERROR(_xlfn.XLOOKUP($D101,'Modelling New'!$D:$D,'Modelling New'!$W:$W),"")</f>
        <v>0.13988469412898213</v>
      </c>
      <c r="AG101" s="186">
        <f>IFERROR(_xlfn.XLOOKUP($D101,'Modelling New'!$D:$D,'Modelling New'!$AE:$AE),"")</f>
        <v>0.995</v>
      </c>
      <c r="AH101" s="186">
        <f>IFERROR(_xlfn.XLOOKUP($D101,'Modelling New'!$D:$D,'Modelling New'!$AF:$AF),"")</f>
        <v>0.995</v>
      </c>
      <c r="AI101" s="177"/>
      <c r="AJ101" s="177"/>
      <c r="AK101" s="238"/>
      <c r="AL101" s="238"/>
      <c r="AM101" s="238"/>
      <c r="AN101" s="187"/>
      <c r="AO101" s="184"/>
      <c r="AP101" s="184"/>
      <c r="AQ101" s="184"/>
      <c r="AR101" s="176">
        <f>IFERROR(_xlfn.XLOOKUP($D100,'Modelling New'!$D:$D,'Modelling New'!$N:$N),"")</f>
        <v>66.754999999999995</v>
      </c>
      <c r="AS101" s="176"/>
    </row>
    <row r="102" spans="1:45" x14ac:dyDescent="0.25">
      <c r="A102" s="175">
        <f t="shared" si="7"/>
        <v>45845</v>
      </c>
      <c r="B102" s="176">
        <f>YEAR(Table13[[#This Row],[Date]])+IF(MONTH(Table13[[#This Row],[Date]])&gt;=4,1,0)</f>
        <v>2026</v>
      </c>
      <c r="C102" s="177">
        <f>YEAR(Table13[[#This Row],[Date]])</f>
        <v>2025</v>
      </c>
      <c r="D102" s="178">
        <f>Table13[[#This Row],[Date]]-DAY(Table13[[#This Row],[Date]])+1</f>
        <v>45839</v>
      </c>
      <c r="E102" s="177">
        <f t="shared" si="8"/>
        <v>31</v>
      </c>
      <c r="F102" s="179">
        <f>IFERROR(_xlfn.XLOOKUP($A102,Raw_Data!$B:$B,Raw_Data!$KG:$KG),"")</f>
        <v>13.483333333333334</v>
      </c>
      <c r="G102" s="180">
        <f>IFERROR(_xlfn.XLOOKUP($A102,Raw_Data!$B:$B,Raw_Data!KH:KH),"")</f>
        <v>4.55</v>
      </c>
      <c r="H102" s="180"/>
      <c r="I102" s="180">
        <f>IFERROR(_xlfn.XLOOKUP($A102,Raw_Data!$B:$B,Raw_Data!$KI:$KI),"")</f>
        <v>4.4400000000000004</v>
      </c>
      <c r="J102" s="180"/>
      <c r="K102" s="180">
        <f>IFERROR(_xlfn.XLOOKUP($A102,Raw_Data!$B:$B,Raw_Data!KJ:KJ),"")</f>
        <v>30.51</v>
      </c>
      <c r="L102" s="180">
        <f>IFERROR(_xlfn.XLOOKUP($A102,Raw_Data!$B:$B,Raw_Data!KK:KK),"")</f>
        <v>37.51</v>
      </c>
      <c r="M102" s="180">
        <f>IFERROR(_xlfn.XLOOKUP($A102,Raw_Data!$B:$B,Raw_Data!KL:KL),"")</f>
        <v>1.91</v>
      </c>
      <c r="N102" s="180">
        <f>IFERROR(_xlfn.XLOOKUP($A102,Raw_Data!$B:$B,Raw_Data!KM:KM),"")</f>
        <v>4.3</v>
      </c>
      <c r="O102" s="181">
        <f>IFERROR(1-SUMIF(PA!$B:$B,$A102,PA!AJ:AJ)/($AA102+SUMIF(PA!$B:$B,$A102,PA!AJ:AJ)),"")</f>
        <v>0.99758304766433314</v>
      </c>
      <c r="P102" s="181"/>
      <c r="Q102" s="182"/>
      <c r="R102" s="181">
        <f>IFERROR(1-SUMIF(GA!$C:$C,$A102,GA!$X:$X)/($AA102+SUMIF(GA!$C:$C,$A102,GA!$X:$X)),"")</f>
        <v>1</v>
      </c>
      <c r="S102" s="177"/>
      <c r="T102" s="182"/>
      <c r="U102" s="183">
        <f t="shared" si="9"/>
        <v>0.79767723791200029</v>
      </c>
      <c r="V102" s="183" t="str">
        <f>IFERROR(_xlfn.XLOOKUP($A102,Raw_Data!$B:$B,Raw_Data!$KQ:$KQ),"")</f>
        <v/>
      </c>
      <c r="W102" s="184">
        <f t="shared" si="10"/>
        <v>0.14757028901372005</v>
      </c>
      <c r="X102" s="176">
        <f>IFERROR(_xlfn.XLOOKUP($A102,Raw_Data!$B:$B,Raw_Data!$KN:$KN),"")</f>
        <v>238029.5</v>
      </c>
      <c r="Y102" s="176">
        <f>IFERROR(_xlfn.XLOOKUP($A102,Raw_Data!$B:$B,Raw_Data!$KC:$KC),"")</f>
        <v>236503.2839999795</v>
      </c>
      <c r="Z102" s="176">
        <f>IFERROR(_xlfn.XLOOKUP($A102,Raw_Data!$B:$B,Raw_Data!$KD:$KD),"")</f>
        <v>95.680999999996857</v>
      </c>
      <c r="AA102" s="176">
        <f>IFERROR(_xlfn.XLOOKUP($A102,Raw_Data!$B:$B,Raw_Data!$KF:$KF),"")</f>
        <v>236407.60299997951</v>
      </c>
      <c r="AB102" s="176">
        <f>IFERROR(_xlfn.XLOOKUP($A102,Raw_Data!$B:$B,Raw_Data!I:I)/1000,"")</f>
        <v>66.75</v>
      </c>
      <c r="AC102" s="185">
        <f>IFERROR(_xlfn.XLOOKUP($D102,'Modelling New'!$D:$D,'Modelling New'!$P:$P),"")</f>
        <v>4.354838709677419</v>
      </c>
      <c r="AD102" s="176">
        <f>IFERROR(_xlfn.XLOOKUP($D102,'Modelling New'!$D:$D,'Modelling New'!$T:$T)*1000,"")</f>
        <v>224112.06615792483</v>
      </c>
      <c r="AE102" s="186">
        <f>IFERROR(_xlfn.XLOOKUP($D102,'Modelling New'!$D:$D,'Modelling New'!$O:$O),"")</f>
        <v>0.77092009208861256</v>
      </c>
      <c r="AF102" s="186">
        <f>IFERROR(_xlfn.XLOOKUP($D102,'Modelling New'!$D:$D,'Modelling New'!$W:$W),"")</f>
        <v>0.13988469412898213</v>
      </c>
      <c r="AG102" s="186">
        <f>IFERROR(_xlfn.XLOOKUP($D102,'Modelling New'!$D:$D,'Modelling New'!$AE:$AE),"")</f>
        <v>0.995</v>
      </c>
      <c r="AH102" s="186">
        <f>IFERROR(_xlfn.XLOOKUP($D102,'Modelling New'!$D:$D,'Modelling New'!$AF:$AF),"")</f>
        <v>0.995</v>
      </c>
      <c r="AI102" s="177"/>
      <c r="AJ102" s="177"/>
      <c r="AK102" s="238"/>
      <c r="AL102" s="238"/>
      <c r="AM102" s="238"/>
      <c r="AN102" s="187"/>
      <c r="AO102" s="184"/>
      <c r="AP102" s="184"/>
      <c r="AQ102" s="184"/>
      <c r="AR102" s="176">
        <f>IFERROR(_xlfn.XLOOKUP($D101,'Modelling New'!$D:$D,'Modelling New'!$N:$N),"")</f>
        <v>66.754999999999995</v>
      </c>
      <c r="AS102" s="176"/>
    </row>
    <row r="103" spans="1:45" x14ac:dyDescent="0.25">
      <c r="A103" s="175">
        <f t="shared" si="7"/>
        <v>45846</v>
      </c>
      <c r="B103" s="176">
        <f>YEAR(Table13[[#This Row],[Date]])+IF(MONTH(Table13[[#This Row],[Date]])&gt;=4,1,0)</f>
        <v>2026</v>
      </c>
      <c r="C103" s="177">
        <f>YEAR(Table13[[#This Row],[Date]])</f>
        <v>2025</v>
      </c>
      <c r="D103" s="178">
        <f>Table13[[#This Row],[Date]]-DAY(Table13[[#This Row],[Date]])+1</f>
        <v>45839</v>
      </c>
      <c r="E103" s="177">
        <f t="shared" si="8"/>
        <v>31</v>
      </c>
      <c r="F103" s="179">
        <f>IFERROR(_xlfn.XLOOKUP($A103,Raw_Data!$B:$B,Raw_Data!$KG:$KG),"")</f>
        <v>13.416666666666668</v>
      </c>
      <c r="G103" s="180">
        <f>IFERROR(_xlfn.XLOOKUP($A103,Raw_Data!$B:$B,Raw_Data!KH:KH),"")</f>
        <v>6.66</v>
      </c>
      <c r="H103" s="180"/>
      <c r="I103" s="180">
        <f>IFERROR(_xlfn.XLOOKUP($A103,Raw_Data!$B:$B,Raw_Data!$KI:$KI),"")</f>
        <v>6.3</v>
      </c>
      <c r="J103" s="180"/>
      <c r="K103" s="180">
        <f>IFERROR(_xlfn.XLOOKUP($A103,Raw_Data!$B:$B,Raw_Data!KJ:KJ),"")</f>
        <v>34.049999999999997</v>
      </c>
      <c r="L103" s="180">
        <f>IFERROR(_xlfn.XLOOKUP($A103,Raw_Data!$B:$B,Raw_Data!KK:KK),"")</f>
        <v>43.94</v>
      </c>
      <c r="M103" s="180">
        <f>IFERROR(_xlfn.XLOOKUP($A103,Raw_Data!$B:$B,Raw_Data!KL:KL),"")</f>
        <v>1.76</v>
      </c>
      <c r="N103" s="180">
        <f>IFERROR(_xlfn.XLOOKUP($A103,Raw_Data!$B:$B,Raw_Data!KM:KM),"")</f>
        <v>6.5</v>
      </c>
      <c r="O103" s="181">
        <f>IFERROR(1-SUMIF(PA!$B:$B,$A103,PA!AJ:AJ)/($AA103+SUMIF(PA!$B:$B,$A103,PA!AJ:AJ)),"")</f>
        <v>1</v>
      </c>
      <c r="P103" s="181"/>
      <c r="Q103" s="182"/>
      <c r="R103" s="181">
        <f>IFERROR(1-SUMIF(GA!$C:$C,$A103,GA!$X:$X)/($AA103+SUMIF(GA!$C:$C,$A103,GA!$X:$X)),"")</f>
        <v>1</v>
      </c>
      <c r="S103" s="177"/>
      <c r="T103" s="182"/>
      <c r="U103" s="183">
        <f t="shared" si="9"/>
        <v>0.7703458629094585</v>
      </c>
      <c r="V103" s="183" t="str">
        <f>IFERROR(_xlfn.XLOOKUP($A103,Raw_Data!$B:$B,Raw_Data!$KQ:$KQ),"")</f>
        <v/>
      </c>
      <c r="W103" s="184">
        <f t="shared" si="10"/>
        <v>0.20221578901373286</v>
      </c>
      <c r="X103" s="176">
        <f>IFERROR(_xlfn.XLOOKUP($A103,Raw_Data!$B:$B,Raw_Data!$KN:$KN),"")</f>
        <v>325117.39999999997</v>
      </c>
      <c r="Y103" s="176">
        <f>IFERROR(_xlfn.XLOOKUP($A103,Raw_Data!$B:$B,Raw_Data!$KC:$KC),"")</f>
        <v>324045.375</v>
      </c>
      <c r="Z103" s="176">
        <f>IFERROR(_xlfn.XLOOKUP($A103,Raw_Data!$B:$B,Raw_Data!$KD:$KD),"")</f>
        <v>95.680999999996857</v>
      </c>
      <c r="AA103" s="176">
        <f>IFERROR(_xlfn.XLOOKUP($A103,Raw_Data!$B:$B,Raw_Data!$KF:$KF),"")</f>
        <v>323949.69400000002</v>
      </c>
      <c r="AB103" s="176">
        <f>IFERROR(_xlfn.XLOOKUP($A103,Raw_Data!$B:$B,Raw_Data!I:I)/1000,"")</f>
        <v>66.75</v>
      </c>
      <c r="AC103" s="185">
        <f>IFERROR(_xlfn.XLOOKUP($D103,'Modelling New'!$D:$D,'Modelling New'!$P:$P),"")</f>
        <v>4.354838709677419</v>
      </c>
      <c r="AD103" s="176">
        <f>IFERROR(_xlfn.XLOOKUP($D103,'Modelling New'!$D:$D,'Modelling New'!$T:$T)*1000,"")</f>
        <v>224112.06615792483</v>
      </c>
      <c r="AE103" s="186">
        <f>IFERROR(_xlfn.XLOOKUP($D103,'Modelling New'!$D:$D,'Modelling New'!$O:$O),"")</f>
        <v>0.77092009208861256</v>
      </c>
      <c r="AF103" s="186">
        <f>IFERROR(_xlfn.XLOOKUP($D103,'Modelling New'!$D:$D,'Modelling New'!$W:$W),"")</f>
        <v>0.13988469412898213</v>
      </c>
      <c r="AG103" s="186">
        <f>IFERROR(_xlfn.XLOOKUP($D103,'Modelling New'!$D:$D,'Modelling New'!$AE:$AE),"")</f>
        <v>0.995</v>
      </c>
      <c r="AH103" s="186">
        <f>IFERROR(_xlfn.XLOOKUP($D103,'Modelling New'!$D:$D,'Modelling New'!$AF:$AF),"")</f>
        <v>0.995</v>
      </c>
      <c r="AI103" s="177"/>
      <c r="AJ103" s="177"/>
      <c r="AK103" s="238"/>
      <c r="AL103" s="238"/>
      <c r="AM103" s="238"/>
      <c r="AN103" s="187"/>
      <c r="AO103" s="184"/>
      <c r="AP103" s="184"/>
      <c r="AQ103" s="184"/>
      <c r="AR103" s="176">
        <f>IFERROR(_xlfn.XLOOKUP($D102,'Modelling New'!$D:$D,'Modelling New'!$N:$N),"")</f>
        <v>66.754999999999995</v>
      </c>
      <c r="AS103" s="176"/>
    </row>
    <row r="104" spans="1:45" x14ac:dyDescent="0.25">
      <c r="A104" s="175">
        <f t="shared" si="7"/>
        <v>45847</v>
      </c>
      <c r="B104" s="176">
        <f>YEAR(Table13[[#This Row],[Date]])+IF(MONTH(Table13[[#This Row],[Date]])&gt;=4,1,0)</f>
        <v>2026</v>
      </c>
      <c r="C104" s="177">
        <f>YEAR(Table13[[#This Row],[Date]])</f>
        <v>2025</v>
      </c>
      <c r="D104" s="178">
        <f>Table13[[#This Row],[Date]]-DAY(Table13[[#This Row],[Date]])+1</f>
        <v>45839</v>
      </c>
      <c r="E104" s="177">
        <f t="shared" si="8"/>
        <v>31</v>
      </c>
      <c r="F104" s="179">
        <f>IFERROR(_xlfn.XLOOKUP($A104,Raw_Data!$B:$B,Raw_Data!$KG:$KG),"")</f>
        <v>12.183333333333335</v>
      </c>
      <c r="G104" s="180">
        <f>IFERROR(_xlfn.XLOOKUP($A104,Raw_Data!$B:$B,Raw_Data!KH:KH),"")</f>
        <v>4.07</v>
      </c>
      <c r="H104" s="180"/>
      <c r="I104" s="180">
        <f>IFERROR(_xlfn.XLOOKUP($A104,Raw_Data!$B:$B,Raw_Data!$KI:$KI),"")</f>
        <v>3.86</v>
      </c>
      <c r="J104" s="180"/>
      <c r="K104" s="180">
        <f>IFERROR(_xlfn.XLOOKUP($A104,Raw_Data!$B:$B,Raw_Data!KJ:KJ),"")</f>
        <v>31.93</v>
      </c>
      <c r="L104" s="180">
        <f>IFERROR(_xlfn.XLOOKUP($A104,Raw_Data!$B:$B,Raw_Data!KK:KK),"")</f>
        <v>39.1</v>
      </c>
      <c r="M104" s="180">
        <f>IFERROR(_xlfn.XLOOKUP($A104,Raw_Data!$B:$B,Raw_Data!KL:KL),"")</f>
        <v>2.2400000000000002</v>
      </c>
      <c r="N104" s="180">
        <f>IFERROR(_xlfn.XLOOKUP($A104,Raw_Data!$B:$B,Raw_Data!KM:KM),"")</f>
        <v>7.1</v>
      </c>
      <c r="O104" s="181">
        <f>IFERROR(1-SUMIF(PA!$B:$B,$A104,PA!AJ:AJ)/($AA104+SUMIF(PA!$B:$B,$A104,PA!AJ:AJ)),"")</f>
        <v>1</v>
      </c>
      <c r="P104" s="181"/>
      <c r="Q104" s="182"/>
      <c r="R104" s="181">
        <f>IFERROR(1-SUMIF(GA!$C:$C,$A104,GA!$X:$X)/($AA104+SUMIF(GA!$C:$C,$A104,GA!$X:$X)),"")</f>
        <v>1</v>
      </c>
      <c r="S104" s="177"/>
      <c r="T104" s="182"/>
      <c r="U104" s="183">
        <f t="shared" si="9"/>
        <v>0.80302579806323504</v>
      </c>
      <c r="V104" s="183" t="str">
        <f>IFERROR(_xlfn.XLOOKUP($A104,Raw_Data!$B:$B,Raw_Data!$KQ:$KQ),"")</f>
        <v/>
      </c>
      <c r="W104" s="184">
        <f t="shared" si="10"/>
        <v>0.12915331585517031</v>
      </c>
      <c r="X104" s="176">
        <f>IFERROR(_xlfn.XLOOKUP($A104,Raw_Data!$B:$B,Raw_Data!$KN:$KN),"")</f>
        <v>208916.29999999996</v>
      </c>
      <c r="Y104" s="176">
        <f>IFERROR(_xlfn.XLOOKUP($A104,Raw_Data!$B:$B,Raw_Data!$KC:$KC),"")</f>
        <v>206999.29299998283</v>
      </c>
      <c r="Z104" s="176">
        <f>IFERROR(_xlfn.XLOOKUP($A104,Raw_Data!$B:$B,Raw_Data!$KD:$KD),"")</f>
        <v>95.681000000011409</v>
      </c>
      <c r="AA104" s="176">
        <f>IFERROR(_xlfn.XLOOKUP($A104,Raw_Data!$B:$B,Raw_Data!$KF:$KF),"")</f>
        <v>206903.61199998282</v>
      </c>
      <c r="AB104" s="176">
        <f>IFERROR(_xlfn.XLOOKUP($A104,Raw_Data!$B:$B,Raw_Data!I:I)/1000,"")</f>
        <v>66.75</v>
      </c>
      <c r="AC104" s="185">
        <f>IFERROR(_xlfn.XLOOKUP($D104,'Modelling New'!$D:$D,'Modelling New'!$P:$P),"")</f>
        <v>4.354838709677419</v>
      </c>
      <c r="AD104" s="176">
        <f>IFERROR(_xlfn.XLOOKUP($D104,'Modelling New'!$D:$D,'Modelling New'!$T:$T)*1000,"")</f>
        <v>224112.06615792483</v>
      </c>
      <c r="AE104" s="186">
        <f>IFERROR(_xlfn.XLOOKUP($D104,'Modelling New'!$D:$D,'Modelling New'!$O:$O),"")</f>
        <v>0.77092009208861256</v>
      </c>
      <c r="AF104" s="186">
        <f>IFERROR(_xlfn.XLOOKUP($D104,'Modelling New'!$D:$D,'Modelling New'!$W:$W),"")</f>
        <v>0.13988469412898213</v>
      </c>
      <c r="AG104" s="186">
        <f>IFERROR(_xlfn.XLOOKUP($D104,'Modelling New'!$D:$D,'Modelling New'!$AE:$AE),"")</f>
        <v>0.995</v>
      </c>
      <c r="AH104" s="186">
        <f>IFERROR(_xlfn.XLOOKUP($D104,'Modelling New'!$D:$D,'Modelling New'!$AF:$AF),"")</f>
        <v>0.995</v>
      </c>
      <c r="AI104" s="177"/>
      <c r="AJ104" s="177"/>
      <c r="AK104" s="238"/>
      <c r="AL104" s="238"/>
      <c r="AM104" s="238"/>
      <c r="AN104" s="187"/>
      <c r="AO104" s="184"/>
      <c r="AP104" s="184"/>
      <c r="AQ104" s="184"/>
      <c r="AR104" s="176">
        <f>IFERROR(_xlfn.XLOOKUP($D103,'Modelling New'!$D:$D,'Modelling New'!$N:$N),"")</f>
        <v>66.754999999999995</v>
      </c>
      <c r="AS104" s="176"/>
    </row>
    <row r="105" spans="1:45" x14ac:dyDescent="0.25">
      <c r="A105" s="175">
        <f t="shared" si="7"/>
        <v>45848</v>
      </c>
      <c r="B105" s="176">
        <f>YEAR(Table13[[#This Row],[Date]])+IF(MONTH(Table13[[#This Row],[Date]])&gt;=4,1,0)</f>
        <v>2026</v>
      </c>
      <c r="C105" s="177">
        <f>YEAR(Table13[[#This Row],[Date]])</f>
        <v>2025</v>
      </c>
      <c r="D105" s="178">
        <f>Table13[[#This Row],[Date]]-DAY(Table13[[#This Row],[Date]])+1</f>
        <v>45839</v>
      </c>
      <c r="E105" s="177">
        <f t="shared" si="8"/>
        <v>31</v>
      </c>
      <c r="F105" s="179">
        <f>IFERROR(_xlfn.XLOOKUP($A105,Raw_Data!$B:$B,Raw_Data!$KG:$KG),"")</f>
        <v>13.066666666666666</v>
      </c>
      <c r="G105" s="180">
        <f>IFERROR(_xlfn.XLOOKUP($A105,Raw_Data!$B:$B,Raw_Data!KH:KH),"")</f>
        <v>2.41</v>
      </c>
      <c r="H105" s="180"/>
      <c r="I105" s="180">
        <f>IFERROR(_xlfn.XLOOKUP($A105,Raw_Data!$B:$B,Raw_Data!$KI:$KI),"")</f>
        <v>2.21</v>
      </c>
      <c r="J105" s="180"/>
      <c r="K105" s="180">
        <f>IFERROR(_xlfn.XLOOKUP($A105,Raw_Data!$B:$B,Raw_Data!KJ:KJ),"")</f>
        <v>27.48</v>
      </c>
      <c r="L105" s="180">
        <f>IFERROR(_xlfn.XLOOKUP($A105,Raw_Data!$B:$B,Raw_Data!KK:KK),"")</f>
        <v>31.37</v>
      </c>
      <c r="M105" s="180">
        <f>IFERROR(_xlfn.XLOOKUP($A105,Raw_Data!$B:$B,Raw_Data!KL:KL),"")</f>
        <v>1.28</v>
      </c>
      <c r="N105" s="180">
        <f>IFERROR(_xlfn.XLOOKUP($A105,Raw_Data!$B:$B,Raw_Data!KM:KM),"")</f>
        <v>6.1</v>
      </c>
      <c r="O105" s="181">
        <f>IFERROR(1-SUMIF(PA!$B:$B,$A105,PA!AJ:AJ)/($AA105+SUMIF(PA!$B:$B,$A105,PA!AJ:AJ)),"")</f>
        <v>0.99996207598672238</v>
      </c>
      <c r="P105" s="181"/>
      <c r="Q105" s="182"/>
      <c r="R105" s="181">
        <f>IFERROR(1-SUMIF(GA!$C:$C,$A105,GA!$X:$X)/($AA105+SUMIF(GA!$C:$C,$A105,GA!$X:$X)),"")</f>
        <v>1</v>
      </c>
      <c r="S105" s="177"/>
      <c r="T105" s="182"/>
      <c r="U105" s="183">
        <f t="shared" si="9"/>
        <v>0.78314957208476177</v>
      </c>
      <c r="V105" s="183" t="str">
        <f>IFERROR(_xlfn.XLOOKUP($A105,Raw_Data!$B:$B,Raw_Data!$KQ:$KQ),"")</f>
        <v/>
      </c>
      <c r="W105" s="184">
        <f t="shared" si="10"/>
        <v>7.2115023096138473E-2</v>
      </c>
      <c r="X105" s="176">
        <f>IFERROR(_xlfn.XLOOKUP($A105,Raw_Data!$B:$B,Raw_Data!$KN:$KN),"")</f>
        <v>117443.29999999994</v>
      </c>
      <c r="Y105" s="176">
        <f>IFERROR(_xlfn.XLOOKUP($A105,Raw_Data!$B:$B,Raw_Data!$KC:$KC),"")</f>
        <v>115623.94800001383</v>
      </c>
      <c r="Z105" s="176">
        <f>IFERROR(_xlfn.XLOOKUP($A105,Raw_Data!$B:$B,Raw_Data!$KD:$KD),"")</f>
        <v>95.680999999996857</v>
      </c>
      <c r="AA105" s="176">
        <f>IFERROR(_xlfn.XLOOKUP($A105,Raw_Data!$B:$B,Raw_Data!$KF:$KF),"")</f>
        <v>115528.26700001383</v>
      </c>
      <c r="AB105" s="176">
        <f>IFERROR(_xlfn.XLOOKUP($A105,Raw_Data!$B:$B,Raw_Data!I:I)/1000,"")</f>
        <v>66.75</v>
      </c>
      <c r="AC105" s="185">
        <f>IFERROR(_xlfn.XLOOKUP($D105,'Modelling New'!$D:$D,'Modelling New'!$P:$P),"")</f>
        <v>4.354838709677419</v>
      </c>
      <c r="AD105" s="176">
        <f>IFERROR(_xlfn.XLOOKUP($D105,'Modelling New'!$D:$D,'Modelling New'!$T:$T)*1000,"")</f>
        <v>224112.06615792483</v>
      </c>
      <c r="AE105" s="186">
        <f>IFERROR(_xlfn.XLOOKUP($D105,'Modelling New'!$D:$D,'Modelling New'!$O:$O),"")</f>
        <v>0.77092009208861256</v>
      </c>
      <c r="AF105" s="186">
        <f>IFERROR(_xlfn.XLOOKUP($D105,'Modelling New'!$D:$D,'Modelling New'!$W:$W),"")</f>
        <v>0.13988469412898213</v>
      </c>
      <c r="AG105" s="186">
        <f>IFERROR(_xlfn.XLOOKUP($D105,'Modelling New'!$D:$D,'Modelling New'!$AE:$AE),"")</f>
        <v>0.995</v>
      </c>
      <c r="AH105" s="186">
        <f>IFERROR(_xlfn.XLOOKUP($D105,'Modelling New'!$D:$D,'Modelling New'!$AF:$AF),"")</f>
        <v>0.995</v>
      </c>
      <c r="AI105" s="177"/>
      <c r="AJ105" s="177"/>
      <c r="AK105" s="238"/>
      <c r="AL105" s="238"/>
      <c r="AM105" s="238"/>
      <c r="AN105" s="187"/>
      <c r="AO105" s="184"/>
      <c r="AP105" s="184"/>
      <c r="AQ105" s="184"/>
      <c r="AR105" s="176">
        <f>IFERROR(_xlfn.XLOOKUP($D104,'Modelling New'!$D:$D,'Modelling New'!$N:$N),"")</f>
        <v>66.754999999999995</v>
      </c>
      <c r="AS105" s="176"/>
    </row>
    <row r="106" spans="1:45" x14ac:dyDescent="0.25">
      <c r="A106" s="175">
        <f t="shared" si="7"/>
        <v>45849</v>
      </c>
      <c r="B106" s="176">
        <f>YEAR(Table13[[#This Row],[Date]])+IF(MONTH(Table13[[#This Row],[Date]])&gt;=4,1,0)</f>
        <v>2026</v>
      </c>
      <c r="C106" s="177">
        <f>YEAR(Table13[[#This Row],[Date]])</f>
        <v>2025</v>
      </c>
      <c r="D106" s="178">
        <f>Table13[[#This Row],[Date]]-DAY(Table13[[#This Row],[Date]])+1</f>
        <v>45839</v>
      </c>
      <c r="E106" s="177">
        <f t="shared" si="8"/>
        <v>31</v>
      </c>
      <c r="F106" s="179">
        <f>IFERROR(_xlfn.XLOOKUP($A106,Raw_Data!$B:$B,Raw_Data!$KG:$KG),"")</f>
        <v>13.533333333333333</v>
      </c>
      <c r="G106" s="180">
        <f>IFERROR(_xlfn.XLOOKUP($A106,Raw_Data!$B:$B,Raw_Data!KH:KH),"")</f>
        <v>6.47</v>
      </c>
      <c r="H106" s="180"/>
      <c r="I106" s="180">
        <f>IFERROR(_xlfn.XLOOKUP($A106,Raw_Data!$B:$B,Raw_Data!$KI:$KI),"")</f>
        <v>6.17</v>
      </c>
      <c r="J106" s="180"/>
      <c r="K106" s="180">
        <f>IFERROR(_xlfn.XLOOKUP($A106,Raw_Data!$B:$B,Raw_Data!KJ:KJ),"")</f>
        <v>30.53</v>
      </c>
      <c r="L106" s="180">
        <f>IFERROR(_xlfn.XLOOKUP($A106,Raw_Data!$B:$B,Raw_Data!KK:KK),"")</f>
        <v>43.25</v>
      </c>
      <c r="M106" s="180">
        <f>IFERROR(_xlfn.XLOOKUP($A106,Raw_Data!$B:$B,Raw_Data!KL:KL),"")</f>
        <v>1.6</v>
      </c>
      <c r="N106" s="180">
        <f>IFERROR(_xlfn.XLOOKUP($A106,Raw_Data!$B:$B,Raw_Data!KM:KM),"")</f>
        <v>7.7</v>
      </c>
      <c r="O106" s="181">
        <f>IFERROR(1-SUMIF(PA!$B:$B,$A106,PA!AJ:AJ)/($AA106+SUMIF(PA!$B:$B,$A106,PA!AJ:AJ)),"")</f>
        <v>0.98586998362553757</v>
      </c>
      <c r="P106" s="181"/>
      <c r="Q106" s="182"/>
      <c r="R106" s="181">
        <f>IFERROR(1-SUMIF(GA!$C:$C,$A106,GA!$X:$X)/($AA106+SUMIF(GA!$C:$C,$A106,GA!$X:$X)),"")</f>
        <v>1</v>
      </c>
      <c r="S106" s="177"/>
      <c r="T106" s="182"/>
      <c r="U106" s="183">
        <f t="shared" si="9"/>
        <v>0.73198398679130039</v>
      </c>
      <c r="V106" s="183" t="str">
        <f>IFERROR(_xlfn.XLOOKUP($A106,Raw_Data!$B:$B,Raw_Data!$KQ:$KQ),"")</f>
        <v/>
      </c>
      <c r="W106" s="184">
        <f t="shared" si="10"/>
        <v>0.18818088327093013</v>
      </c>
      <c r="X106" s="176">
        <f>IFERROR(_xlfn.XLOOKUP($A106,Raw_Data!$B:$B,Raw_Data!$KN:$KN),"")</f>
        <v>302424.36999999994</v>
      </c>
      <c r="Y106" s="176">
        <f>IFERROR(_xlfn.XLOOKUP($A106,Raw_Data!$B:$B,Raw_Data!$KC:$KC),"")</f>
        <v>301561.45600003004</v>
      </c>
      <c r="Z106" s="176">
        <f>IFERROR(_xlfn.XLOOKUP($A106,Raw_Data!$B:$B,Raw_Data!$KD:$KD),"")</f>
        <v>95.680999999996857</v>
      </c>
      <c r="AA106" s="176">
        <f>IFERROR(_xlfn.XLOOKUP($A106,Raw_Data!$B:$B,Raw_Data!$KF:$KF),"")</f>
        <v>301465.77500003006</v>
      </c>
      <c r="AB106" s="176">
        <f>IFERROR(_xlfn.XLOOKUP($A106,Raw_Data!$B:$B,Raw_Data!I:I)/1000,"")</f>
        <v>66.75</v>
      </c>
      <c r="AC106" s="185">
        <f>IFERROR(_xlfn.XLOOKUP($D106,'Modelling New'!$D:$D,'Modelling New'!$P:$P),"")</f>
        <v>4.354838709677419</v>
      </c>
      <c r="AD106" s="176">
        <f>IFERROR(_xlfn.XLOOKUP($D106,'Modelling New'!$D:$D,'Modelling New'!$T:$T)*1000,"")</f>
        <v>224112.06615792483</v>
      </c>
      <c r="AE106" s="186">
        <f>IFERROR(_xlfn.XLOOKUP($D106,'Modelling New'!$D:$D,'Modelling New'!$O:$O),"")</f>
        <v>0.77092009208861256</v>
      </c>
      <c r="AF106" s="186">
        <f>IFERROR(_xlfn.XLOOKUP($D106,'Modelling New'!$D:$D,'Modelling New'!$W:$W),"")</f>
        <v>0.13988469412898213</v>
      </c>
      <c r="AG106" s="186">
        <f>IFERROR(_xlfn.XLOOKUP($D106,'Modelling New'!$D:$D,'Modelling New'!$AE:$AE),"")</f>
        <v>0.995</v>
      </c>
      <c r="AH106" s="186">
        <f>IFERROR(_xlfn.XLOOKUP($D106,'Modelling New'!$D:$D,'Modelling New'!$AF:$AF),"")</f>
        <v>0.995</v>
      </c>
      <c r="AI106" s="177"/>
      <c r="AJ106" s="177"/>
      <c r="AK106" s="238"/>
      <c r="AL106" s="238"/>
      <c r="AM106" s="238"/>
      <c r="AN106" s="187"/>
      <c r="AO106" s="184"/>
      <c r="AP106" s="184"/>
      <c r="AQ106" s="184"/>
      <c r="AR106" s="176">
        <f>IFERROR(_xlfn.XLOOKUP($D105,'Modelling New'!$D:$D,'Modelling New'!$N:$N),"")</f>
        <v>66.754999999999995</v>
      </c>
      <c r="AS106" s="176"/>
    </row>
    <row r="107" spans="1:45" x14ac:dyDescent="0.25">
      <c r="A107" s="175">
        <f t="shared" si="7"/>
        <v>45850</v>
      </c>
      <c r="B107" s="176">
        <f>YEAR(Table13[[#This Row],[Date]])+IF(MONTH(Table13[[#This Row],[Date]])&gt;=4,1,0)</f>
        <v>2026</v>
      </c>
      <c r="C107" s="177">
        <f>YEAR(Table13[[#This Row],[Date]])</f>
        <v>2025</v>
      </c>
      <c r="D107" s="178">
        <f>Table13[[#This Row],[Date]]-DAY(Table13[[#This Row],[Date]])+1</f>
        <v>45839</v>
      </c>
      <c r="E107" s="177">
        <f t="shared" si="8"/>
        <v>31</v>
      </c>
      <c r="F107" s="179">
        <f>IFERROR(_xlfn.XLOOKUP($A107,Raw_Data!$B:$B,Raw_Data!$KG:$KG),"")</f>
        <v>13.183333333333332</v>
      </c>
      <c r="G107" s="180">
        <f>IFERROR(_xlfn.XLOOKUP($A107,Raw_Data!$B:$B,Raw_Data!KH:KH),"")</f>
        <v>4.09</v>
      </c>
      <c r="H107" s="180"/>
      <c r="I107" s="180">
        <f>IFERROR(_xlfn.XLOOKUP($A107,Raw_Data!$B:$B,Raw_Data!$KI:$KI),"")</f>
        <v>3.83</v>
      </c>
      <c r="J107" s="180"/>
      <c r="K107" s="180">
        <f>IFERROR(_xlfn.XLOOKUP($A107,Raw_Data!$B:$B,Raw_Data!KJ:KJ),"")</f>
        <v>29.65</v>
      </c>
      <c r="L107" s="180">
        <f>IFERROR(_xlfn.XLOOKUP($A107,Raw_Data!$B:$B,Raw_Data!KK:KK),"")</f>
        <v>36.39</v>
      </c>
      <c r="M107" s="180">
        <f>IFERROR(_xlfn.XLOOKUP($A107,Raw_Data!$B:$B,Raw_Data!KL:KL),"")</f>
        <v>1.47</v>
      </c>
      <c r="N107" s="180">
        <f>IFERROR(_xlfn.XLOOKUP($A107,Raw_Data!$B:$B,Raw_Data!KM:KM),"")</f>
        <v>11.3</v>
      </c>
      <c r="O107" s="181">
        <f>IFERROR(1-SUMIF(PA!$B:$B,$A107,PA!AJ:AJ)/($AA107+SUMIF(PA!$B:$B,$A107,PA!AJ:AJ)),"")</f>
        <v>0.99807084086892794</v>
      </c>
      <c r="P107" s="181"/>
      <c r="Q107" s="182"/>
      <c r="R107" s="181">
        <f>IFERROR(1-SUMIF(GA!$C:$C,$A107,GA!$X:$X)/($AA107+SUMIF(GA!$C:$C,$A107,GA!$X:$X)),"")</f>
        <v>1</v>
      </c>
      <c r="S107" s="177"/>
      <c r="T107" s="182"/>
      <c r="U107" s="183">
        <f t="shared" si="9"/>
        <v>0.76093205425323707</v>
      </c>
      <c r="V107" s="183" t="str">
        <f>IFERROR(_xlfn.XLOOKUP($A107,Raw_Data!$B:$B,Raw_Data!$KQ:$KQ),"")</f>
        <v/>
      </c>
      <c r="W107" s="184">
        <f t="shared" si="10"/>
        <v>0.12143207365791242</v>
      </c>
      <c r="X107" s="176">
        <f>IFERROR(_xlfn.XLOOKUP($A107,Raw_Data!$B:$B,Raw_Data!$KN:$KN),"")</f>
        <v>196348.49000000002</v>
      </c>
      <c r="Y107" s="176">
        <f>IFERROR(_xlfn.XLOOKUP($A107,Raw_Data!$B:$B,Raw_Data!$KC:$KC),"")</f>
        <v>194629.86299997568</v>
      </c>
      <c r="Z107" s="176">
        <f>IFERROR(_xlfn.XLOOKUP($A107,Raw_Data!$B:$B,Raw_Data!$KD:$KD),"")</f>
        <v>95.680999999996857</v>
      </c>
      <c r="AA107" s="176">
        <f>IFERROR(_xlfn.XLOOKUP($A107,Raw_Data!$B:$B,Raw_Data!$KF:$KF),"")</f>
        <v>194534.1819999757</v>
      </c>
      <c r="AB107" s="176">
        <f>IFERROR(_xlfn.XLOOKUP($A107,Raw_Data!$B:$B,Raw_Data!I:I)/1000,"")</f>
        <v>66.75</v>
      </c>
      <c r="AC107" s="185">
        <f>IFERROR(_xlfn.XLOOKUP($D107,'Modelling New'!$D:$D,'Modelling New'!$P:$P),"")</f>
        <v>4.354838709677419</v>
      </c>
      <c r="AD107" s="176">
        <f>IFERROR(_xlfn.XLOOKUP($D107,'Modelling New'!$D:$D,'Modelling New'!$T:$T)*1000,"")</f>
        <v>224112.06615792483</v>
      </c>
      <c r="AE107" s="186">
        <f>IFERROR(_xlfn.XLOOKUP($D107,'Modelling New'!$D:$D,'Modelling New'!$O:$O),"")</f>
        <v>0.77092009208861256</v>
      </c>
      <c r="AF107" s="186">
        <f>IFERROR(_xlfn.XLOOKUP($D107,'Modelling New'!$D:$D,'Modelling New'!$W:$W),"")</f>
        <v>0.13988469412898213</v>
      </c>
      <c r="AG107" s="186">
        <f>IFERROR(_xlfn.XLOOKUP($D107,'Modelling New'!$D:$D,'Modelling New'!$AE:$AE),"")</f>
        <v>0.995</v>
      </c>
      <c r="AH107" s="186">
        <f>IFERROR(_xlfn.XLOOKUP($D107,'Modelling New'!$D:$D,'Modelling New'!$AF:$AF),"")</f>
        <v>0.995</v>
      </c>
      <c r="AI107" s="177"/>
      <c r="AJ107" s="177"/>
      <c r="AK107" s="238"/>
      <c r="AL107" s="238"/>
      <c r="AM107" s="238"/>
      <c r="AN107" s="187"/>
      <c r="AO107" s="184"/>
      <c r="AP107" s="184"/>
      <c r="AQ107" s="184"/>
      <c r="AR107" s="176">
        <f>IFERROR(_xlfn.XLOOKUP($D106,'Modelling New'!$D:$D,'Modelling New'!$N:$N),"")</f>
        <v>66.754999999999995</v>
      </c>
      <c r="AS107" s="176"/>
    </row>
    <row r="108" spans="1:45" x14ac:dyDescent="0.25">
      <c r="A108" s="175">
        <f t="shared" si="7"/>
        <v>45851</v>
      </c>
      <c r="B108" s="176">
        <f>YEAR(Table13[[#This Row],[Date]])+IF(MONTH(Table13[[#This Row],[Date]])&gt;=4,1,0)</f>
        <v>2026</v>
      </c>
      <c r="C108" s="177">
        <f>YEAR(Table13[[#This Row],[Date]])</f>
        <v>2025</v>
      </c>
      <c r="D108" s="178">
        <f>Table13[[#This Row],[Date]]-DAY(Table13[[#This Row],[Date]])+1</f>
        <v>45839</v>
      </c>
      <c r="E108" s="177">
        <f t="shared" si="8"/>
        <v>31</v>
      </c>
      <c r="F108" s="179">
        <f>IFERROR(_xlfn.XLOOKUP($A108,Raw_Data!$B:$B,Raw_Data!$KG:$KG),"")</f>
        <v>12.966666666666669</v>
      </c>
      <c r="G108" s="180">
        <f>IFERROR(_xlfn.XLOOKUP($A108,Raw_Data!$B:$B,Raw_Data!KH:KH),"")</f>
        <v>3.56</v>
      </c>
      <c r="H108" s="180"/>
      <c r="I108" s="180">
        <f>IFERROR(_xlfn.XLOOKUP($A108,Raw_Data!$B:$B,Raw_Data!$KI:$KI),"")</f>
        <v>3.52</v>
      </c>
      <c r="J108" s="180"/>
      <c r="K108" s="180">
        <f>IFERROR(_xlfn.XLOOKUP($A108,Raw_Data!$B:$B,Raw_Data!KJ:KJ),"")</f>
        <v>29.58</v>
      </c>
      <c r="L108" s="180">
        <f>IFERROR(_xlfn.XLOOKUP($A108,Raw_Data!$B:$B,Raw_Data!KK:KK),"")</f>
        <v>34.35</v>
      </c>
      <c r="M108" s="180">
        <f>IFERROR(_xlfn.XLOOKUP($A108,Raw_Data!$B:$B,Raw_Data!KL:KL),"")</f>
        <v>1.1399999999999999</v>
      </c>
      <c r="N108" s="180">
        <f>IFERROR(_xlfn.XLOOKUP($A108,Raw_Data!$B:$B,Raw_Data!KM:KM),"")</f>
        <v>4.0999999999999996</v>
      </c>
      <c r="O108" s="181">
        <f>IFERROR(1-SUMIF(PA!$B:$B,$A108,PA!AJ:AJ)/($AA108+SUMIF(PA!$B:$B,$A108,PA!AJ:AJ)),"")</f>
        <v>1</v>
      </c>
      <c r="P108" s="181"/>
      <c r="Q108" s="182"/>
      <c r="R108" s="181">
        <f>IFERROR(1-SUMIF(GA!$C:$C,$A108,GA!$X:$X)/($AA108+SUMIF(GA!$C:$C,$A108,GA!$X:$X)),"")</f>
        <v>1</v>
      </c>
      <c r="S108" s="177"/>
      <c r="T108" s="182"/>
      <c r="U108" s="183">
        <f t="shared" si="9"/>
        <v>0.77425572437859325</v>
      </c>
      <c r="V108" s="183" t="str">
        <f>IFERROR(_xlfn.XLOOKUP($A108,Raw_Data!$B:$B,Raw_Data!$KQ:$KQ),"")</f>
        <v/>
      </c>
      <c r="W108" s="184">
        <f t="shared" si="10"/>
        <v>0.1135575062421937</v>
      </c>
      <c r="X108" s="176">
        <f>IFERROR(_xlfn.XLOOKUP($A108,Raw_Data!$B:$B,Raw_Data!$KN:$KN),"")</f>
        <v>182953.60000000003</v>
      </c>
      <c r="Y108" s="176">
        <f>IFERROR(_xlfn.XLOOKUP($A108,Raw_Data!$B:$B,Raw_Data!$KC:$KC),"")</f>
        <v>182014.80599999428</v>
      </c>
      <c r="Z108" s="176">
        <f>IFERROR(_xlfn.XLOOKUP($A108,Raw_Data!$B:$B,Raw_Data!$KD:$KD),"")</f>
        <v>95.680999999996857</v>
      </c>
      <c r="AA108" s="176">
        <f>IFERROR(_xlfn.XLOOKUP($A108,Raw_Data!$B:$B,Raw_Data!$KF:$KF),"")</f>
        <v>181919.1249999943</v>
      </c>
      <c r="AB108" s="176">
        <f>IFERROR(_xlfn.XLOOKUP($A108,Raw_Data!$B:$B,Raw_Data!I:I)/1000,"")</f>
        <v>66.75</v>
      </c>
      <c r="AC108" s="185">
        <f>IFERROR(_xlfn.XLOOKUP($D108,'Modelling New'!$D:$D,'Modelling New'!$P:$P),"")</f>
        <v>4.354838709677419</v>
      </c>
      <c r="AD108" s="176">
        <f>IFERROR(_xlfn.XLOOKUP($D108,'Modelling New'!$D:$D,'Modelling New'!$T:$T)*1000,"")</f>
        <v>224112.06615792483</v>
      </c>
      <c r="AE108" s="186">
        <f>IFERROR(_xlfn.XLOOKUP($D108,'Modelling New'!$D:$D,'Modelling New'!$O:$O),"")</f>
        <v>0.77092009208861256</v>
      </c>
      <c r="AF108" s="186">
        <f>IFERROR(_xlfn.XLOOKUP($D108,'Modelling New'!$D:$D,'Modelling New'!$W:$W),"")</f>
        <v>0.13988469412898213</v>
      </c>
      <c r="AG108" s="186">
        <f>IFERROR(_xlfn.XLOOKUP($D108,'Modelling New'!$D:$D,'Modelling New'!$AE:$AE),"")</f>
        <v>0.995</v>
      </c>
      <c r="AH108" s="186">
        <f>IFERROR(_xlfn.XLOOKUP($D108,'Modelling New'!$D:$D,'Modelling New'!$AF:$AF),"")</f>
        <v>0.995</v>
      </c>
      <c r="AI108" s="177"/>
      <c r="AJ108" s="177"/>
      <c r="AK108" s="238"/>
      <c r="AL108" s="238"/>
      <c r="AM108" s="238"/>
      <c r="AN108" s="187"/>
      <c r="AO108" s="184"/>
      <c r="AP108" s="184"/>
      <c r="AQ108" s="184"/>
      <c r="AR108" s="176">
        <f>IFERROR(_xlfn.XLOOKUP($D107,'Modelling New'!$D:$D,'Modelling New'!$N:$N),"")</f>
        <v>66.754999999999995</v>
      </c>
      <c r="AS108" s="176"/>
    </row>
    <row r="109" spans="1:45" x14ac:dyDescent="0.25">
      <c r="A109" s="175">
        <f t="shared" si="7"/>
        <v>45852</v>
      </c>
      <c r="B109" s="176">
        <f>YEAR(Table13[[#This Row],[Date]])+IF(MONTH(Table13[[#This Row],[Date]])&gt;=4,1,0)</f>
        <v>2026</v>
      </c>
      <c r="C109" s="177">
        <f>YEAR(Table13[[#This Row],[Date]])</f>
        <v>2025</v>
      </c>
      <c r="D109" s="178">
        <f>Table13[[#This Row],[Date]]-DAY(Table13[[#This Row],[Date]])+1</f>
        <v>45839</v>
      </c>
      <c r="E109" s="177">
        <f t="shared" si="8"/>
        <v>31</v>
      </c>
      <c r="F109" s="179">
        <f>IFERROR(_xlfn.XLOOKUP($A109,Raw_Data!$B:$B,Raw_Data!$KG:$KG),"")</f>
        <v>13.249999999999998</v>
      </c>
      <c r="G109" s="180">
        <f>IFERROR(_xlfn.XLOOKUP($A109,Raw_Data!$B:$B,Raw_Data!KH:KH),"")</f>
        <v>4.9800000000000004</v>
      </c>
      <c r="H109" s="180"/>
      <c r="I109" s="180">
        <f>IFERROR(_xlfn.XLOOKUP($A109,Raw_Data!$B:$B,Raw_Data!$KI:$KI),"")</f>
        <v>4.91</v>
      </c>
      <c r="J109" s="180"/>
      <c r="K109" s="180">
        <f>IFERROR(_xlfn.XLOOKUP($A109,Raw_Data!$B:$B,Raw_Data!KJ:KJ),"")</f>
        <v>29.93</v>
      </c>
      <c r="L109" s="180">
        <f>IFERROR(_xlfn.XLOOKUP($A109,Raw_Data!$B:$B,Raw_Data!KK:KK),"")</f>
        <v>37.700000000000003</v>
      </c>
      <c r="M109" s="180">
        <f>IFERROR(_xlfn.XLOOKUP($A109,Raw_Data!$B:$B,Raw_Data!KL:KL),"")</f>
        <v>4.92</v>
      </c>
      <c r="N109" s="180">
        <f>IFERROR(_xlfn.XLOOKUP($A109,Raw_Data!$B:$B,Raw_Data!KM:KM),"")</f>
        <v>9.3000000000000007</v>
      </c>
      <c r="O109" s="181">
        <f>IFERROR(1-SUMIF(PA!$B:$B,$A109,PA!AJ:AJ)/($AA109+SUMIF(PA!$B:$B,$A109,PA!AJ:AJ)),"")</f>
        <v>1</v>
      </c>
      <c r="P109" s="181"/>
      <c r="Q109" s="182"/>
      <c r="R109" s="181">
        <f>IFERROR(1-SUMIF(GA!$C:$C,$A109,GA!$X:$X)/($AA109+SUMIF(GA!$C:$C,$A109,GA!$X:$X)),"")</f>
        <v>1</v>
      </c>
      <c r="S109" s="177"/>
      <c r="T109" s="182"/>
      <c r="U109" s="183">
        <f t="shared" si="9"/>
        <v>0.76064987299481401</v>
      </c>
      <c r="V109" s="183" t="str">
        <f>IFERROR(_xlfn.XLOOKUP($A109,Raw_Data!$B:$B,Raw_Data!$KQ:$KQ),"")</f>
        <v/>
      </c>
      <c r="W109" s="184">
        <f t="shared" si="10"/>
        <v>0.15561628651685572</v>
      </c>
      <c r="X109" s="176">
        <f>IFERROR(_xlfn.XLOOKUP($A109,Raw_Data!$B:$B,Raw_Data!$KN:$KN),"")</f>
        <v>250120.87999999989</v>
      </c>
      <c r="Y109" s="176">
        <f>IFERROR(_xlfn.XLOOKUP($A109,Raw_Data!$B:$B,Raw_Data!$KC:$KC),"")</f>
        <v>249392.97200000286</v>
      </c>
      <c r="Z109" s="176">
        <f>IFERROR(_xlfn.XLOOKUP($A109,Raw_Data!$B:$B,Raw_Data!$KD:$KD),"")</f>
        <v>95.681000000011409</v>
      </c>
      <c r="AA109" s="176">
        <f>IFERROR(_xlfn.XLOOKUP($A109,Raw_Data!$B:$B,Raw_Data!$KF:$KF),"")</f>
        <v>249297.29100000285</v>
      </c>
      <c r="AB109" s="176">
        <f>IFERROR(_xlfn.XLOOKUP($A109,Raw_Data!$B:$B,Raw_Data!I:I)/1000,"")</f>
        <v>66.75</v>
      </c>
      <c r="AC109" s="185">
        <f>IFERROR(_xlfn.XLOOKUP($D109,'Modelling New'!$D:$D,'Modelling New'!$P:$P),"")</f>
        <v>4.354838709677419</v>
      </c>
      <c r="AD109" s="176">
        <f>IFERROR(_xlfn.XLOOKUP($D109,'Modelling New'!$D:$D,'Modelling New'!$T:$T)*1000,"")</f>
        <v>224112.06615792483</v>
      </c>
      <c r="AE109" s="186">
        <f>IFERROR(_xlfn.XLOOKUP($D109,'Modelling New'!$D:$D,'Modelling New'!$O:$O),"")</f>
        <v>0.77092009208861256</v>
      </c>
      <c r="AF109" s="186">
        <f>IFERROR(_xlfn.XLOOKUP($D109,'Modelling New'!$D:$D,'Modelling New'!$W:$W),"")</f>
        <v>0.13988469412898213</v>
      </c>
      <c r="AG109" s="186">
        <f>IFERROR(_xlfn.XLOOKUP($D109,'Modelling New'!$D:$D,'Modelling New'!$AE:$AE),"")</f>
        <v>0.995</v>
      </c>
      <c r="AH109" s="186">
        <f>IFERROR(_xlfn.XLOOKUP($D109,'Modelling New'!$D:$D,'Modelling New'!$AF:$AF),"")</f>
        <v>0.995</v>
      </c>
      <c r="AI109" s="177"/>
      <c r="AJ109" s="177"/>
      <c r="AK109" s="238"/>
      <c r="AL109" s="238"/>
      <c r="AM109" s="238"/>
      <c r="AN109" s="187"/>
      <c r="AO109" s="184"/>
      <c r="AP109" s="184"/>
      <c r="AQ109" s="184"/>
      <c r="AR109" s="176">
        <f>IFERROR(_xlfn.XLOOKUP($D108,'Modelling New'!$D:$D,'Modelling New'!$N:$N),"")</f>
        <v>66.754999999999995</v>
      </c>
      <c r="AS109" s="176"/>
    </row>
    <row r="110" spans="1:45" x14ac:dyDescent="0.25">
      <c r="A110" s="175">
        <f t="shared" si="7"/>
        <v>45853</v>
      </c>
      <c r="B110" s="176">
        <f>YEAR(Table13[[#This Row],[Date]])+IF(MONTH(Table13[[#This Row],[Date]])&gt;=4,1,0)</f>
        <v>2026</v>
      </c>
      <c r="C110" s="177">
        <f>YEAR(Table13[[#This Row],[Date]])</f>
        <v>2025</v>
      </c>
      <c r="D110" s="178">
        <f>Table13[[#This Row],[Date]]-DAY(Table13[[#This Row],[Date]])+1</f>
        <v>45839</v>
      </c>
      <c r="E110" s="177">
        <f t="shared" si="8"/>
        <v>31</v>
      </c>
      <c r="F110" s="179">
        <f>IFERROR(_xlfn.XLOOKUP($A110,Raw_Data!$B:$B,Raw_Data!$KG:$KG),"")</f>
        <v>13.499999999999996</v>
      </c>
      <c r="G110" s="180">
        <f>IFERROR(_xlfn.XLOOKUP($A110,Raw_Data!$B:$B,Raw_Data!KH:KH),"")</f>
        <v>4.41</v>
      </c>
      <c r="H110" s="180"/>
      <c r="I110" s="180">
        <f>IFERROR(_xlfn.XLOOKUP($A110,Raw_Data!$B:$B,Raw_Data!$KI:$KI),"")</f>
        <v>4.21</v>
      </c>
      <c r="J110" s="180"/>
      <c r="K110" s="180">
        <f>IFERROR(_xlfn.XLOOKUP($A110,Raw_Data!$B:$B,Raw_Data!KJ:KJ),"")</f>
        <v>30.41</v>
      </c>
      <c r="L110" s="180">
        <f>IFERROR(_xlfn.XLOOKUP($A110,Raw_Data!$B:$B,Raw_Data!KK:KK),"")</f>
        <v>39.15</v>
      </c>
      <c r="M110" s="180">
        <f>IFERROR(_xlfn.XLOOKUP($A110,Raw_Data!$B:$B,Raw_Data!KL:KL),"")</f>
        <v>2.63</v>
      </c>
      <c r="N110" s="180">
        <f>IFERROR(_xlfn.XLOOKUP($A110,Raw_Data!$B:$B,Raw_Data!KM:KM),"")</f>
        <v>6.1</v>
      </c>
      <c r="O110" s="181">
        <f>IFERROR(1-SUMIF(PA!$B:$B,$A110,PA!AJ:AJ)/($AA110+SUMIF(PA!$B:$B,$A110,PA!AJ:AJ)),"")</f>
        <v>0.99957341293603519</v>
      </c>
      <c r="P110" s="181"/>
      <c r="Q110" s="182"/>
      <c r="R110" s="181">
        <f>IFERROR(1-SUMIF(GA!$C:$C,$A110,GA!$X:$X)/($AA110+SUMIF(GA!$C:$C,$A110,GA!$X:$X)),"")</f>
        <v>1</v>
      </c>
      <c r="S110" s="177"/>
      <c r="T110" s="182"/>
      <c r="U110" s="183">
        <f t="shared" si="9"/>
        <v>0.77967960714196338</v>
      </c>
      <c r="V110" s="183" t="str">
        <f>IFERROR(_xlfn.XLOOKUP($A110,Raw_Data!$B:$B,Raw_Data!$KQ:$KQ),"")</f>
        <v/>
      </c>
      <c r="W110" s="184">
        <f t="shared" si="10"/>
        <v>0.13676879775281942</v>
      </c>
      <c r="X110" s="176">
        <f>IFERROR(_xlfn.XLOOKUP($A110,Raw_Data!$B:$B,Raw_Data!$KN:$KN),"")</f>
        <v>220029.49999999994</v>
      </c>
      <c r="Y110" s="176">
        <f>IFERROR(_xlfn.XLOOKUP($A110,Raw_Data!$B:$B,Raw_Data!$KC:$KC),"")</f>
        <v>219199.29500001669</v>
      </c>
      <c r="Z110" s="176">
        <f>IFERROR(_xlfn.XLOOKUP($A110,Raw_Data!$B:$B,Raw_Data!$KD:$KD),"")</f>
        <v>95.680999999996857</v>
      </c>
      <c r="AA110" s="176">
        <f>IFERROR(_xlfn.XLOOKUP($A110,Raw_Data!$B:$B,Raw_Data!$KF:$KF),"")</f>
        <v>219103.61400001671</v>
      </c>
      <c r="AB110" s="176">
        <f>IFERROR(_xlfn.XLOOKUP($A110,Raw_Data!$B:$B,Raw_Data!I:I)/1000,"")</f>
        <v>66.75</v>
      </c>
      <c r="AC110" s="185">
        <f>IFERROR(_xlfn.XLOOKUP($D110,'Modelling New'!$D:$D,'Modelling New'!$P:$P),"")</f>
        <v>4.354838709677419</v>
      </c>
      <c r="AD110" s="176">
        <f>IFERROR(_xlfn.XLOOKUP($D110,'Modelling New'!$D:$D,'Modelling New'!$T:$T)*1000,"")</f>
        <v>224112.06615792483</v>
      </c>
      <c r="AE110" s="186">
        <f>IFERROR(_xlfn.XLOOKUP($D110,'Modelling New'!$D:$D,'Modelling New'!$O:$O),"")</f>
        <v>0.77092009208861256</v>
      </c>
      <c r="AF110" s="186">
        <f>IFERROR(_xlfn.XLOOKUP($D110,'Modelling New'!$D:$D,'Modelling New'!$W:$W),"")</f>
        <v>0.13988469412898213</v>
      </c>
      <c r="AG110" s="186">
        <f>IFERROR(_xlfn.XLOOKUP($D110,'Modelling New'!$D:$D,'Modelling New'!$AE:$AE),"")</f>
        <v>0.995</v>
      </c>
      <c r="AH110" s="186">
        <f>IFERROR(_xlfn.XLOOKUP($D110,'Modelling New'!$D:$D,'Modelling New'!$AF:$AF),"")</f>
        <v>0.995</v>
      </c>
      <c r="AI110" s="177"/>
      <c r="AJ110" s="177"/>
      <c r="AK110" s="238"/>
      <c r="AL110" s="238"/>
      <c r="AM110" s="238"/>
      <c r="AN110" s="187"/>
      <c r="AO110" s="184"/>
      <c r="AP110" s="184"/>
      <c r="AQ110" s="184"/>
      <c r="AR110" s="176">
        <f>IFERROR(_xlfn.XLOOKUP($D109,'Modelling New'!$D:$D,'Modelling New'!$N:$N),"")</f>
        <v>66.754999999999995</v>
      </c>
      <c r="AS110" s="176"/>
    </row>
    <row r="111" spans="1:45" x14ac:dyDescent="0.25">
      <c r="A111" s="175">
        <f t="shared" si="7"/>
        <v>45854</v>
      </c>
      <c r="B111" s="176">
        <f>YEAR(Table13[[#This Row],[Date]])+IF(MONTH(Table13[[#This Row],[Date]])&gt;=4,1,0)</f>
        <v>2026</v>
      </c>
      <c r="C111" s="177">
        <f>YEAR(Table13[[#This Row],[Date]])</f>
        <v>2025</v>
      </c>
      <c r="D111" s="178">
        <f>Table13[[#This Row],[Date]]-DAY(Table13[[#This Row],[Date]])+1</f>
        <v>45839</v>
      </c>
      <c r="E111" s="177">
        <f t="shared" si="8"/>
        <v>31</v>
      </c>
      <c r="F111" s="179">
        <f>IFERROR(_xlfn.XLOOKUP($A111,Raw_Data!$B:$B,Raw_Data!$KG:$KG),"")</f>
        <v>13.316666666666666</v>
      </c>
      <c r="G111" s="180">
        <f>IFERROR(_xlfn.XLOOKUP($A111,Raw_Data!$B:$B,Raw_Data!KH:KH),"")</f>
        <v>3.65</v>
      </c>
      <c r="H111" s="180"/>
      <c r="I111" s="180">
        <f>IFERROR(_xlfn.XLOOKUP($A111,Raw_Data!$B:$B,Raw_Data!$KI:$KI),"")</f>
        <v>3.55</v>
      </c>
      <c r="J111" s="180"/>
      <c r="K111" s="180">
        <f>IFERROR(_xlfn.XLOOKUP($A111,Raw_Data!$B:$B,Raw_Data!KJ:KJ),"")</f>
        <v>29.38</v>
      </c>
      <c r="L111" s="180">
        <f>IFERROR(_xlfn.XLOOKUP($A111,Raw_Data!$B:$B,Raw_Data!KK:KK),"")</f>
        <v>36.950000000000003</v>
      </c>
      <c r="M111" s="180">
        <f>IFERROR(_xlfn.XLOOKUP($A111,Raw_Data!$B:$B,Raw_Data!KL:KL),"")</f>
        <v>1.39</v>
      </c>
      <c r="N111" s="180">
        <f>IFERROR(_xlfn.XLOOKUP($A111,Raw_Data!$B:$B,Raw_Data!KM:KM),"")</f>
        <v>6.5</v>
      </c>
      <c r="O111" s="181">
        <f>IFERROR(1-SUMIF(PA!$B:$B,$A111,PA!AJ:AJ)/($AA111+SUMIF(PA!$B:$B,$A111,PA!AJ:AJ)),"")</f>
        <v>0.99940822624510528</v>
      </c>
      <c r="P111" s="181"/>
      <c r="Q111" s="182"/>
      <c r="R111" s="181">
        <f>IFERROR(1-SUMIF(GA!$C:$C,$A111,GA!$X:$X)/($AA111+SUMIF(GA!$C:$C,$A111,GA!$X:$X)),"")</f>
        <v>1</v>
      </c>
      <c r="S111" s="177"/>
      <c r="T111" s="182"/>
      <c r="U111" s="183">
        <f t="shared" si="9"/>
        <v>0.77313805348949838</v>
      </c>
      <c r="V111" s="183" t="str">
        <f>IFERROR(_xlfn.XLOOKUP($A111,Raw_Data!$B:$B,Raw_Data!$KQ:$KQ),"")</f>
        <v/>
      </c>
      <c r="W111" s="184">
        <f t="shared" si="10"/>
        <v>0.11436000374532164</v>
      </c>
      <c r="X111" s="176">
        <f>IFERROR(_xlfn.XLOOKUP($A111,Raw_Data!$B:$B,Raw_Data!$KN:$KN),"")</f>
        <v>184352.80000000005</v>
      </c>
      <c r="Y111" s="176">
        <f>IFERROR(_xlfn.XLOOKUP($A111,Raw_Data!$B:$B,Raw_Data!$KC:$KC),"")</f>
        <v>183300.40700000525</v>
      </c>
      <c r="Z111" s="176">
        <f>IFERROR(_xlfn.XLOOKUP($A111,Raw_Data!$B:$B,Raw_Data!$KD:$KD),"")</f>
        <v>95.680999999996857</v>
      </c>
      <c r="AA111" s="176">
        <f>IFERROR(_xlfn.XLOOKUP($A111,Raw_Data!$B:$B,Raw_Data!$KF:$KF),"")</f>
        <v>183204.72600000526</v>
      </c>
      <c r="AB111" s="176">
        <f>IFERROR(_xlfn.XLOOKUP($A111,Raw_Data!$B:$B,Raw_Data!I:I)/1000,"")</f>
        <v>66.75</v>
      </c>
      <c r="AC111" s="185">
        <f>IFERROR(_xlfn.XLOOKUP($D111,'Modelling New'!$D:$D,'Modelling New'!$P:$P),"")</f>
        <v>4.354838709677419</v>
      </c>
      <c r="AD111" s="176">
        <f>IFERROR(_xlfn.XLOOKUP($D111,'Modelling New'!$D:$D,'Modelling New'!$T:$T)*1000,"")</f>
        <v>224112.06615792483</v>
      </c>
      <c r="AE111" s="186">
        <f>IFERROR(_xlfn.XLOOKUP($D111,'Modelling New'!$D:$D,'Modelling New'!$O:$O),"")</f>
        <v>0.77092009208861256</v>
      </c>
      <c r="AF111" s="186">
        <f>IFERROR(_xlfn.XLOOKUP($D111,'Modelling New'!$D:$D,'Modelling New'!$W:$W),"")</f>
        <v>0.13988469412898213</v>
      </c>
      <c r="AG111" s="186">
        <f>IFERROR(_xlfn.XLOOKUP($D111,'Modelling New'!$D:$D,'Modelling New'!$AE:$AE),"")</f>
        <v>0.995</v>
      </c>
      <c r="AH111" s="186">
        <f>IFERROR(_xlfn.XLOOKUP($D111,'Modelling New'!$D:$D,'Modelling New'!$AF:$AF),"")</f>
        <v>0.995</v>
      </c>
      <c r="AI111" s="177"/>
      <c r="AJ111" s="177"/>
      <c r="AK111" s="238"/>
      <c r="AL111" s="238"/>
      <c r="AM111" s="238"/>
      <c r="AN111" s="187"/>
      <c r="AO111" s="184"/>
      <c r="AP111" s="184"/>
      <c r="AQ111" s="184"/>
      <c r="AR111" s="176">
        <f>IFERROR(_xlfn.XLOOKUP($D110,'Modelling New'!$D:$D,'Modelling New'!$N:$N),"")</f>
        <v>66.754999999999995</v>
      </c>
      <c r="AS111" s="176"/>
    </row>
    <row r="112" spans="1:45" x14ac:dyDescent="0.25">
      <c r="A112" s="175">
        <f t="shared" si="7"/>
        <v>45855</v>
      </c>
      <c r="B112" s="176">
        <f>YEAR(Table13[[#This Row],[Date]])+IF(MONTH(Table13[[#This Row],[Date]])&gt;=4,1,0)</f>
        <v>2026</v>
      </c>
      <c r="C112" s="177">
        <f>YEAR(Table13[[#This Row],[Date]])</f>
        <v>2025</v>
      </c>
      <c r="D112" s="178">
        <f>Table13[[#This Row],[Date]]-DAY(Table13[[#This Row],[Date]])+1</f>
        <v>45839</v>
      </c>
      <c r="E112" s="177">
        <f t="shared" si="8"/>
        <v>31</v>
      </c>
      <c r="F112" s="179">
        <f>IFERROR(_xlfn.XLOOKUP($A112,Raw_Data!$B:$B,Raw_Data!$KG:$KG),"")</f>
        <v>13.016666666666669</v>
      </c>
      <c r="G112" s="180">
        <f>IFERROR(_xlfn.XLOOKUP($A112,Raw_Data!$B:$B,Raw_Data!KH:KH),"")</f>
        <v>3.67</v>
      </c>
      <c r="H112" s="180"/>
      <c r="I112" s="180">
        <f>IFERROR(_xlfn.XLOOKUP($A112,Raw_Data!$B:$B,Raw_Data!$KI:$KI),"")</f>
        <v>3.55</v>
      </c>
      <c r="J112" s="180"/>
      <c r="K112" s="180">
        <f>IFERROR(_xlfn.XLOOKUP($A112,Raw_Data!$B:$B,Raw_Data!KJ:KJ),"")</f>
        <v>29.54</v>
      </c>
      <c r="L112" s="180">
        <f>IFERROR(_xlfn.XLOOKUP($A112,Raw_Data!$B:$B,Raw_Data!KK:KK),"")</f>
        <v>38.29</v>
      </c>
      <c r="M112" s="180">
        <f>IFERROR(_xlfn.XLOOKUP($A112,Raw_Data!$B:$B,Raw_Data!KL:KL),"")</f>
        <v>0.78</v>
      </c>
      <c r="N112" s="180">
        <f>IFERROR(_xlfn.XLOOKUP($A112,Raw_Data!$B:$B,Raw_Data!KM:KM),"")</f>
        <v>4.9000000000000004</v>
      </c>
      <c r="O112" s="181">
        <f>IFERROR(1-SUMIF(PA!$B:$B,$A112,PA!AJ:AJ)/($AA112+SUMIF(PA!$B:$B,$A112,PA!AJ:AJ)),"")</f>
        <v>0.9994177791467399</v>
      </c>
      <c r="P112" s="181"/>
      <c r="Q112" s="182"/>
      <c r="R112" s="181">
        <f>IFERROR(1-SUMIF(GA!$C:$C,$A112,GA!$X:$X)/($AA112+SUMIF(GA!$C:$C,$A112,GA!$X:$X)),"")</f>
        <v>1</v>
      </c>
      <c r="S112" s="177"/>
      <c r="T112" s="182"/>
      <c r="U112" s="183">
        <f t="shared" si="9"/>
        <v>0.78583097747527253</v>
      </c>
      <c r="V112" s="183" t="str">
        <f>IFERROR(_xlfn.XLOOKUP($A112,Raw_Data!$B:$B,Raw_Data!$KQ:$KQ),"")</f>
        <v/>
      </c>
      <c r="W112" s="184">
        <f t="shared" si="10"/>
        <v>0.11623749875155073</v>
      </c>
      <c r="X112" s="176">
        <f>IFERROR(_xlfn.XLOOKUP($A112,Raw_Data!$B:$B,Raw_Data!$KN:$KN),"")</f>
        <v>187729.2000000001</v>
      </c>
      <c r="Y112" s="176">
        <f>IFERROR(_xlfn.XLOOKUP($A112,Raw_Data!$B:$B,Raw_Data!$KC:$KC),"")</f>
        <v>186308.15399998426</v>
      </c>
      <c r="Z112" s="176">
        <f>IFERROR(_xlfn.XLOOKUP($A112,Raw_Data!$B:$B,Raw_Data!$KD:$KD),"")</f>
        <v>95.680999999996857</v>
      </c>
      <c r="AA112" s="176">
        <f>IFERROR(_xlfn.XLOOKUP($A112,Raw_Data!$B:$B,Raw_Data!$KF:$KF),"")</f>
        <v>186212.47299998428</v>
      </c>
      <c r="AB112" s="176">
        <f>IFERROR(_xlfn.XLOOKUP($A112,Raw_Data!$B:$B,Raw_Data!I:I)/1000,"")</f>
        <v>66.75</v>
      </c>
      <c r="AC112" s="185">
        <f>IFERROR(_xlfn.XLOOKUP($D112,'Modelling New'!$D:$D,'Modelling New'!$P:$P),"")</f>
        <v>4.354838709677419</v>
      </c>
      <c r="AD112" s="176">
        <f>IFERROR(_xlfn.XLOOKUP($D112,'Modelling New'!$D:$D,'Modelling New'!$T:$T)*1000,"")</f>
        <v>224112.06615792483</v>
      </c>
      <c r="AE112" s="186">
        <f>IFERROR(_xlfn.XLOOKUP($D112,'Modelling New'!$D:$D,'Modelling New'!$O:$O),"")</f>
        <v>0.77092009208861256</v>
      </c>
      <c r="AF112" s="186">
        <f>IFERROR(_xlfn.XLOOKUP($D112,'Modelling New'!$D:$D,'Modelling New'!$W:$W),"")</f>
        <v>0.13988469412898213</v>
      </c>
      <c r="AG112" s="186">
        <f>IFERROR(_xlfn.XLOOKUP($D112,'Modelling New'!$D:$D,'Modelling New'!$AE:$AE),"")</f>
        <v>0.995</v>
      </c>
      <c r="AH112" s="186">
        <f>IFERROR(_xlfn.XLOOKUP($D112,'Modelling New'!$D:$D,'Modelling New'!$AF:$AF),"")</f>
        <v>0.995</v>
      </c>
      <c r="AI112" s="177"/>
      <c r="AJ112" s="177"/>
      <c r="AK112" s="238"/>
      <c r="AL112" s="238"/>
      <c r="AM112" s="238"/>
      <c r="AN112" s="187"/>
      <c r="AO112" s="184"/>
      <c r="AP112" s="184"/>
      <c r="AQ112" s="184"/>
      <c r="AR112" s="176">
        <f>IFERROR(_xlfn.XLOOKUP($D111,'Modelling New'!$D:$D,'Modelling New'!$N:$N),"")</f>
        <v>66.754999999999995</v>
      </c>
      <c r="AS112" s="176"/>
    </row>
    <row r="113" spans="1:45" x14ac:dyDescent="0.25">
      <c r="A113" s="175">
        <f t="shared" si="7"/>
        <v>45856</v>
      </c>
      <c r="B113" s="176">
        <f>YEAR(Table13[[#This Row],[Date]])+IF(MONTH(Table13[[#This Row],[Date]])&gt;=4,1,0)</f>
        <v>2026</v>
      </c>
      <c r="C113" s="177">
        <f>YEAR(Table13[[#This Row],[Date]])</f>
        <v>2025</v>
      </c>
      <c r="D113" s="178">
        <f>Table13[[#This Row],[Date]]-DAY(Table13[[#This Row],[Date]])+1</f>
        <v>45839</v>
      </c>
      <c r="E113" s="177">
        <f t="shared" si="8"/>
        <v>31</v>
      </c>
      <c r="F113" s="179">
        <f>IFERROR(_xlfn.XLOOKUP($A113,Raw_Data!$B:$B,Raw_Data!$KG:$KG),"")</f>
        <v>12.866666666666669</v>
      </c>
      <c r="G113" s="180">
        <f>IFERROR(_xlfn.XLOOKUP($A113,Raw_Data!$B:$B,Raw_Data!KH:KH),"")</f>
        <v>1.57</v>
      </c>
      <c r="H113" s="180"/>
      <c r="I113" s="180">
        <f>IFERROR(_xlfn.XLOOKUP($A113,Raw_Data!$B:$B,Raw_Data!$KI:$KI),"")</f>
        <v>1.41</v>
      </c>
      <c r="J113" s="180"/>
      <c r="K113" s="180">
        <f>IFERROR(_xlfn.XLOOKUP($A113,Raw_Data!$B:$B,Raw_Data!KJ:KJ),"")</f>
        <v>26.7</v>
      </c>
      <c r="L113" s="180">
        <f>IFERROR(_xlfn.XLOOKUP($A113,Raw_Data!$B:$B,Raw_Data!KK:KK),"")</f>
        <v>35.9</v>
      </c>
      <c r="M113" s="180">
        <f>IFERROR(_xlfn.XLOOKUP($A113,Raw_Data!$B:$B,Raw_Data!KL:KL),"")</f>
        <v>1.21</v>
      </c>
      <c r="N113" s="180">
        <f>IFERROR(_xlfn.XLOOKUP($A113,Raw_Data!$B:$B,Raw_Data!KM:KM),"")</f>
        <v>7.8</v>
      </c>
      <c r="O113" s="181">
        <f>IFERROR(1-SUMIF(PA!$B:$B,$A113,PA!AJ:AJ)/($AA113+SUMIF(PA!$B:$B,$A113,PA!AJ:AJ)),"")</f>
        <v>0.99944826490229111</v>
      </c>
      <c r="P113" s="181"/>
      <c r="Q113" s="182"/>
      <c r="R113" s="181">
        <f>IFERROR(1-SUMIF(GA!$C:$C,$A113,GA!$X:$X)/($AA113+SUMIF(GA!$C:$C,$A113,GA!$X:$X)),"")</f>
        <v>1</v>
      </c>
      <c r="S113" s="177"/>
      <c r="T113" s="182"/>
      <c r="U113" s="183">
        <f t="shared" si="9"/>
        <v>0.82927684011999692</v>
      </c>
      <c r="V113" s="183" t="str">
        <f>IFERROR(_xlfn.XLOOKUP($A113,Raw_Data!$B:$B,Raw_Data!$KQ:$KQ),"")</f>
        <v/>
      </c>
      <c r="W113" s="184">
        <f t="shared" si="10"/>
        <v>4.8720014357049812E-2</v>
      </c>
      <c r="X113" s="176">
        <f>IFERROR(_xlfn.XLOOKUP($A113,Raw_Data!$B:$B,Raw_Data!$KN:$KN),"")</f>
        <v>78405.799999999945</v>
      </c>
      <c r="Y113" s="176">
        <f>IFERROR(_xlfn.XLOOKUP($A113,Raw_Data!$B:$B,Raw_Data!$KC:$KC),"")</f>
        <v>78145.143999993801</v>
      </c>
      <c r="Z113" s="176">
        <f>IFERROR(_xlfn.XLOOKUP($A113,Raw_Data!$B:$B,Raw_Data!$KD:$KD),"")</f>
        <v>95.680999999996857</v>
      </c>
      <c r="AA113" s="176">
        <f>IFERROR(_xlfn.XLOOKUP($A113,Raw_Data!$B:$B,Raw_Data!$KF:$KF),"")</f>
        <v>78049.462999993804</v>
      </c>
      <c r="AB113" s="176">
        <f>IFERROR(_xlfn.XLOOKUP($A113,Raw_Data!$B:$B,Raw_Data!I:I)/1000,"")</f>
        <v>66.75</v>
      </c>
      <c r="AC113" s="185">
        <f>IFERROR(_xlfn.XLOOKUP($D113,'Modelling New'!$D:$D,'Modelling New'!$P:$P),"")</f>
        <v>4.354838709677419</v>
      </c>
      <c r="AD113" s="176">
        <f>IFERROR(_xlfn.XLOOKUP($D113,'Modelling New'!$D:$D,'Modelling New'!$T:$T)*1000,"")</f>
        <v>224112.06615792483</v>
      </c>
      <c r="AE113" s="186">
        <f>IFERROR(_xlfn.XLOOKUP($D113,'Modelling New'!$D:$D,'Modelling New'!$O:$O),"")</f>
        <v>0.77092009208861256</v>
      </c>
      <c r="AF113" s="186">
        <f>IFERROR(_xlfn.XLOOKUP($D113,'Modelling New'!$D:$D,'Modelling New'!$W:$W),"")</f>
        <v>0.13988469412898213</v>
      </c>
      <c r="AG113" s="186">
        <f>IFERROR(_xlfn.XLOOKUP($D113,'Modelling New'!$D:$D,'Modelling New'!$AE:$AE),"")</f>
        <v>0.995</v>
      </c>
      <c r="AH113" s="186">
        <f>IFERROR(_xlfn.XLOOKUP($D113,'Modelling New'!$D:$D,'Modelling New'!$AF:$AF),"")</f>
        <v>0.995</v>
      </c>
      <c r="AI113" s="177"/>
      <c r="AJ113" s="177"/>
      <c r="AK113" s="238"/>
      <c r="AL113" s="238"/>
      <c r="AM113" s="238"/>
      <c r="AN113" s="187"/>
      <c r="AO113" s="184"/>
      <c r="AP113" s="184"/>
      <c r="AQ113" s="184"/>
      <c r="AR113" s="176">
        <f>IFERROR(_xlfn.XLOOKUP($D112,'Modelling New'!$D:$D,'Modelling New'!$N:$N),"")</f>
        <v>66.754999999999995</v>
      </c>
      <c r="AS113" s="176"/>
    </row>
    <row r="114" spans="1:45" x14ac:dyDescent="0.25">
      <c r="A114" s="175">
        <f t="shared" si="7"/>
        <v>45857</v>
      </c>
      <c r="B114" s="176">
        <f>YEAR(Table13[[#This Row],[Date]])+IF(MONTH(Table13[[#This Row],[Date]])&gt;=4,1,0)</f>
        <v>2026</v>
      </c>
      <c r="C114" s="177">
        <f>YEAR(Table13[[#This Row],[Date]])</f>
        <v>2025</v>
      </c>
      <c r="D114" s="178">
        <f>Table13[[#This Row],[Date]]-DAY(Table13[[#This Row],[Date]])+1</f>
        <v>45839</v>
      </c>
      <c r="E114" s="177">
        <f t="shared" si="8"/>
        <v>31</v>
      </c>
      <c r="F114" s="179">
        <f>IFERROR(_xlfn.XLOOKUP($A114,Raw_Data!$B:$B,Raw_Data!$KG:$KG),"")</f>
        <v>13.383333333333333</v>
      </c>
      <c r="G114" s="180">
        <f>IFERROR(_xlfn.XLOOKUP($A114,Raw_Data!$B:$B,Raw_Data!KH:KH),"")</f>
        <v>0</v>
      </c>
      <c r="H114" s="180"/>
      <c r="I114" s="180">
        <f>IFERROR(_xlfn.XLOOKUP($A114,Raw_Data!$B:$B,Raw_Data!$KI:$KI),"")</f>
        <v>5.81</v>
      </c>
      <c r="J114" s="180"/>
      <c r="K114" s="180">
        <f>IFERROR(_xlfn.XLOOKUP($A114,Raw_Data!$B:$B,Raw_Data!KJ:KJ),"")</f>
        <v>30.63</v>
      </c>
      <c r="L114" s="180">
        <f>IFERROR(_xlfn.XLOOKUP($A114,Raw_Data!$B:$B,Raw_Data!KK:KK),"")</f>
        <v>42.45</v>
      </c>
      <c r="M114" s="180">
        <f>IFERROR(_xlfn.XLOOKUP($A114,Raw_Data!$B:$B,Raw_Data!KL:KL),"")</f>
        <v>2.31</v>
      </c>
      <c r="N114" s="180">
        <f>IFERROR(_xlfn.XLOOKUP($A114,Raw_Data!$B:$B,Raw_Data!KM:KM),"")</f>
        <v>5.7</v>
      </c>
      <c r="O114" s="181">
        <f>IFERROR(1-SUMIF(PA!$B:$B,$A114,PA!AJ:AJ)/($AA114+SUMIF(PA!$B:$B,$A114,PA!AJ:AJ)),"")</f>
        <v>0.99778047076008158</v>
      </c>
      <c r="P114" s="181"/>
      <c r="Q114" s="182"/>
      <c r="R114" s="181">
        <f>IFERROR(1-SUMIF(GA!$C:$C,$A114,GA!$X:$X)/($AA114+SUMIF(GA!$C:$C,$A114,GA!$X:$X)),"")</f>
        <v>1</v>
      </c>
      <c r="S114" s="177"/>
      <c r="T114" s="182"/>
      <c r="U114" s="183">
        <f t="shared" si="9"/>
        <v>0.75157915772239836</v>
      </c>
      <c r="V114" s="183" t="str">
        <f>IFERROR(_xlfn.XLOOKUP($A114,Raw_Data!$B:$B,Raw_Data!$KQ:$KQ),"")</f>
        <v/>
      </c>
      <c r="W114" s="184">
        <f t="shared" si="10"/>
        <v>0.18194478776529727</v>
      </c>
      <c r="X114" s="176">
        <f>IFERROR(_xlfn.XLOOKUP($A114,Raw_Data!$B:$B,Raw_Data!$KN:$KN),"")</f>
        <v>292631.9000000002</v>
      </c>
      <c r="Y114" s="176">
        <f>IFERROR(_xlfn.XLOOKUP($A114,Raw_Data!$B:$B,Raw_Data!$KC:$KC),"")</f>
        <v>291571.2310000062</v>
      </c>
      <c r="Z114" s="176">
        <f>IFERROR(_xlfn.XLOOKUP($A114,Raw_Data!$B:$B,Raw_Data!$KD:$KD),"")</f>
        <v>95.681000000011409</v>
      </c>
      <c r="AA114" s="176">
        <f>IFERROR(_xlfn.XLOOKUP($A114,Raw_Data!$B:$B,Raw_Data!$KF:$KF),"")</f>
        <v>291475.55000000622</v>
      </c>
      <c r="AB114" s="176">
        <f>IFERROR(_xlfn.XLOOKUP($A114,Raw_Data!$B:$B,Raw_Data!I:I)/1000,"")</f>
        <v>66.75</v>
      </c>
      <c r="AC114" s="185">
        <f>IFERROR(_xlfn.XLOOKUP($D114,'Modelling New'!$D:$D,'Modelling New'!$P:$P),"")</f>
        <v>4.354838709677419</v>
      </c>
      <c r="AD114" s="176">
        <f>IFERROR(_xlfn.XLOOKUP($D114,'Modelling New'!$D:$D,'Modelling New'!$T:$T)*1000,"")</f>
        <v>224112.06615792483</v>
      </c>
      <c r="AE114" s="186">
        <f>IFERROR(_xlfn.XLOOKUP($D114,'Modelling New'!$D:$D,'Modelling New'!$O:$O),"")</f>
        <v>0.77092009208861256</v>
      </c>
      <c r="AF114" s="186">
        <f>IFERROR(_xlfn.XLOOKUP($D114,'Modelling New'!$D:$D,'Modelling New'!$W:$W),"")</f>
        <v>0.13988469412898213</v>
      </c>
      <c r="AG114" s="186">
        <f>IFERROR(_xlfn.XLOOKUP($D114,'Modelling New'!$D:$D,'Modelling New'!$AE:$AE),"")</f>
        <v>0.995</v>
      </c>
      <c r="AH114" s="186">
        <f>IFERROR(_xlfn.XLOOKUP($D114,'Modelling New'!$D:$D,'Modelling New'!$AF:$AF),"")</f>
        <v>0.995</v>
      </c>
      <c r="AI114" s="177"/>
      <c r="AJ114" s="177"/>
      <c r="AK114" s="238"/>
      <c r="AL114" s="238"/>
      <c r="AM114" s="238"/>
      <c r="AN114" s="187"/>
      <c r="AO114" s="184"/>
      <c r="AP114" s="184"/>
      <c r="AQ114" s="184"/>
      <c r="AR114" s="176">
        <f>IFERROR(_xlfn.XLOOKUP($D113,'Modelling New'!$D:$D,'Modelling New'!$N:$N),"")</f>
        <v>66.754999999999995</v>
      </c>
      <c r="AS114" s="176"/>
    </row>
    <row r="115" spans="1:45" x14ac:dyDescent="0.25">
      <c r="A115" s="175">
        <f t="shared" si="7"/>
        <v>45858</v>
      </c>
      <c r="B115" s="176">
        <f>YEAR(Table13[[#This Row],[Date]])+IF(MONTH(Table13[[#This Row],[Date]])&gt;=4,1,0)</f>
        <v>2026</v>
      </c>
      <c r="C115" s="177">
        <f>YEAR(Table13[[#This Row],[Date]])</f>
        <v>2025</v>
      </c>
      <c r="D115" s="178">
        <f>Table13[[#This Row],[Date]]-DAY(Table13[[#This Row],[Date]])+1</f>
        <v>45839</v>
      </c>
      <c r="E115" s="177">
        <f t="shared" si="8"/>
        <v>31</v>
      </c>
      <c r="F115" s="179">
        <f>IFERROR(_xlfn.XLOOKUP($A115,Raw_Data!$B:$B,Raw_Data!$KG:$KG),"")</f>
        <v>13.200000000000001</v>
      </c>
      <c r="G115" s="180">
        <f>IFERROR(_xlfn.XLOOKUP($A115,Raw_Data!$B:$B,Raw_Data!KH:KH),"")</f>
        <v>0</v>
      </c>
      <c r="H115" s="180"/>
      <c r="I115" s="180">
        <f>IFERROR(_xlfn.XLOOKUP($A115,Raw_Data!$B:$B,Raw_Data!$KI:$KI),"")</f>
        <v>6.19</v>
      </c>
      <c r="J115" s="180"/>
      <c r="K115" s="180">
        <f>IFERROR(_xlfn.XLOOKUP($A115,Raw_Data!$B:$B,Raw_Data!KJ:KJ),"")</f>
        <v>31.33</v>
      </c>
      <c r="L115" s="180">
        <f>IFERROR(_xlfn.XLOOKUP($A115,Raw_Data!$B:$B,Raw_Data!KK:KK),"")</f>
        <v>44.09</v>
      </c>
      <c r="M115" s="180">
        <f>IFERROR(_xlfn.XLOOKUP($A115,Raw_Data!$B:$B,Raw_Data!KL:KL),"")</f>
        <v>2.44</v>
      </c>
      <c r="N115" s="180">
        <f>IFERROR(_xlfn.XLOOKUP($A115,Raw_Data!$B:$B,Raw_Data!KM:KM),"")</f>
        <v>5.7</v>
      </c>
      <c r="O115" s="181">
        <f>IFERROR(1-SUMIF(PA!$B:$B,$A115,PA!AJ:AJ)/($AA115+SUMIF(PA!$B:$B,$A115,PA!AJ:AJ)),"")</f>
        <v>0.99897076641808058</v>
      </c>
      <c r="P115" s="181"/>
      <c r="Q115" s="182"/>
      <c r="R115" s="181">
        <f>IFERROR(1-SUMIF(GA!$C:$C,$A115,GA!$X:$X)/($AA115+SUMIF(GA!$C:$C,$A115,GA!$X:$X)),"")</f>
        <v>1</v>
      </c>
      <c r="S115" s="177"/>
      <c r="T115" s="182"/>
      <c r="U115" s="183">
        <f t="shared" si="9"/>
        <v>0.77955693186424768</v>
      </c>
      <c r="V115" s="183" t="str">
        <f>IFERROR(_xlfn.XLOOKUP($A115,Raw_Data!$B:$B,Raw_Data!$KQ:$KQ),"")</f>
        <v/>
      </c>
      <c r="W115" s="184">
        <f t="shared" si="10"/>
        <v>0.20106072534332056</v>
      </c>
      <c r="X115" s="176">
        <f>IFERROR(_xlfn.XLOOKUP($A115,Raw_Data!$B:$B,Raw_Data!$KN:$KN),"")</f>
        <v>323299.89999999997</v>
      </c>
      <c r="Y115" s="176">
        <f>IFERROR(_xlfn.XLOOKUP($A115,Raw_Data!$B:$B,Raw_Data!$KC:$KC),"")</f>
        <v>322194.96299999952</v>
      </c>
      <c r="Z115" s="176">
        <f>IFERROR(_xlfn.XLOOKUP($A115,Raw_Data!$B:$B,Raw_Data!$KD:$KD),"")</f>
        <v>95.680999999996857</v>
      </c>
      <c r="AA115" s="176">
        <f>IFERROR(_xlfn.XLOOKUP($A115,Raw_Data!$B:$B,Raw_Data!$KF:$KF),"")</f>
        <v>322099.28199999954</v>
      </c>
      <c r="AB115" s="176">
        <f>IFERROR(_xlfn.XLOOKUP($A115,Raw_Data!$B:$B,Raw_Data!I:I)/1000,"")</f>
        <v>66.75</v>
      </c>
      <c r="AC115" s="185">
        <f>IFERROR(_xlfn.XLOOKUP($D115,'Modelling New'!$D:$D,'Modelling New'!$P:$P),"")</f>
        <v>4.354838709677419</v>
      </c>
      <c r="AD115" s="176">
        <f>IFERROR(_xlfn.XLOOKUP($D115,'Modelling New'!$D:$D,'Modelling New'!$T:$T)*1000,"")</f>
        <v>224112.06615792483</v>
      </c>
      <c r="AE115" s="186">
        <f>IFERROR(_xlfn.XLOOKUP($D115,'Modelling New'!$D:$D,'Modelling New'!$O:$O),"")</f>
        <v>0.77092009208861256</v>
      </c>
      <c r="AF115" s="186">
        <f>IFERROR(_xlfn.XLOOKUP($D115,'Modelling New'!$D:$D,'Modelling New'!$W:$W),"")</f>
        <v>0.13988469412898213</v>
      </c>
      <c r="AG115" s="186">
        <f>IFERROR(_xlfn.XLOOKUP($D115,'Modelling New'!$D:$D,'Modelling New'!$AE:$AE),"")</f>
        <v>0.995</v>
      </c>
      <c r="AH115" s="186">
        <f>IFERROR(_xlfn.XLOOKUP($D115,'Modelling New'!$D:$D,'Modelling New'!$AF:$AF),"")</f>
        <v>0.995</v>
      </c>
      <c r="AI115" s="177"/>
      <c r="AJ115" s="177"/>
      <c r="AK115" s="238"/>
      <c r="AL115" s="238"/>
      <c r="AM115" s="238"/>
      <c r="AN115" s="187"/>
      <c r="AO115" s="184"/>
      <c r="AP115" s="184"/>
      <c r="AQ115" s="184"/>
      <c r="AR115" s="176">
        <f>IFERROR(_xlfn.XLOOKUP($D114,'Modelling New'!$D:$D,'Modelling New'!$N:$N),"")</f>
        <v>66.754999999999995</v>
      </c>
      <c r="AS115" s="176"/>
    </row>
    <row r="116" spans="1:45" x14ac:dyDescent="0.25">
      <c r="A116" s="175">
        <f t="shared" si="7"/>
        <v>45859</v>
      </c>
      <c r="B116" s="176">
        <f>YEAR(Table13[[#This Row],[Date]])+IF(MONTH(Table13[[#This Row],[Date]])&gt;=4,1,0)</f>
        <v>2026</v>
      </c>
      <c r="C116" s="177">
        <f>YEAR(Table13[[#This Row],[Date]])</f>
        <v>2025</v>
      </c>
      <c r="D116" s="178">
        <f>Table13[[#This Row],[Date]]-DAY(Table13[[#This Row],[Date]])+1</f>
        <v>45839</v>
      </c>
      <c r="E116" s="177">
        <f t="shared" si="8"/>
        <v>31</v>
      </c>
      <c r="F116" s="179">
        <f>IFERROR(_xlfn.XLOOKUP($A116,Raw_Data!$B:$B,Raw_Data!$KG:$KG),"")</f>
        <v>12.766666666666666</v>
      </c>
      <c r="G116" s="180">
        <f>IFERROR(_xlfn.XLOOKUP($A116,Raw_Data!$B:$B,Raw_Data!KH:KH),"")</f>
        <v>0</v>
      </c>
      <c r="H116" s="180"/>
      <c r="I116" s="180">
        <f>IFERROR(_xlfn.XLOOKUP($A116,Raw_Data!$B:$B,Raw_Data!$KI:$KI),"")</f>
        <v>3.4</v>
      </c>
      <c r="J116" s="180"/>
      <c r="K116" s="180">
        <f>IFERROR(_xlfn.XLOOKUP($A116,Raw_Data!$B:$B,Raw_Data!KJ:KJ),"")</f>
        <v>31.33</v>
      </c>
      <c r="L116" s="180">
        <f>IFERROR(_xlfn.XLOOKUP($A116,Raw_Data!$B:$B,Raw_Data!KK:KK),"")</f>
        <v>38.57</v>
      </c>
      <c r="M116" s="180">
        <f>IFERROR(_xlfn.XLOOKUP($A116,Raw_Data!$B:$B,Raw_Data!KL:KL),"")</f>
        <v>1.33</v>
      </c>
      <c r="N116" s="180">
        <f>IFERROR(_xlfn.XLOOKUP($A116,Raw_Data!$B:$B,Raw_Data!KM:KM),"")</f>
        <v>3.9</v>
      </c>
      <c r="O116" s="181">
        <f>IFERROR(1-SUMIF(PA!$B:$B,$A116,PA!AJ:AJ)/($AA116+SUMIF(PA!$B:$B,$A116,PA!AJ:AJ)),"")</f>
        <v>0.99888404258493713</v>
      </c>
      <c r="P116" s="181"/>
      <c r="Q116" s="182"/>
      <c r="R116" s="181">
        <f>IFERROR(1-SUMIF(GA!$C:$C,$A116,GA!$X:$X)/($AA116+SUMIF(GA!$C:$C,$A116,GA!$X:$X)),"")</f>
        <v>1</v>
      </c>
      <c r="S116" s="177"/>
      <c r="T116" s="182"/>
      <c r="U116" s="183">
        <f t="shared" si="9"/>
        <v>0.81953457149145703</v>
      </c>
      <c r="V116" s="183" t="str">
        <f>IFERROR(_xlfn.XLOOKUP($A116,Raw_Data!$B:$B,Raw_Data!$KQ:$KQ),"")</f>
        <v/>
      </c>
      <c r="W116" s="184">
        <f t="shared" si="10"/>
        <v>0.11610073096128976</v>
      </c>
      <c r="X116" s="176">
        <f>IFERROR(_xlfn.XLOOKUP($A116,Raw_Data!$B:$B,Raw_Data!$KN:$KN),"")</f>
        <v>187263.7</v>
      </c>
      <c r="Y116" s="176">
        <f>IFERROR(_xlfn.XLOOKUP($A116,Raw_Data!$B:$B,Raw_Data!$KC:$KC),"")</f>
        <v>186089.05199998617</v>
      </c>
      <c r="Z116" s="176">
        <f>IFERROR(_xlfn.XLOOKUP($A116,Raw_Data!$B:$B,Raw_Data!$KD:$KD),"")</f>
        <v>95.680999999996857</v>
      </c>
      <c r="AA116" s="176">
        <f>IFERROR(_xlfn.XLOOKUP($A116,Raw_Data!$B:$B,Raw_Data!$KF:$KF),"")</f>
        <v>185993.37099998619</v>
      </c>
      <c r="AB116" s="176">
        <f>IFERROR(_xlfn.XLOOKUP($A116,Raw_Data!$B:$B,Raw_Data!I:I)/1000,"")</f>
        <v>66.75</v>
      </c>
      <c r="AC116" s="185">
        <f>IFERROR(_xlfn.XLOOKUP($D116,'Modelling New'!$D:$D,'Modelling New'!$P:$P),"")</f>
        <v>4.354838709677419</v>
      </c>
      <c r="AD116" s="176">
        <f>IFERROR(_xlfn.XLOOKUP($D116,'Modelling New'!$D:$D,'Modelling New'!$T:$T)*1000,"")</f>
        <v>224112.06615792483</v>
      </c>
      <c r="AE116" s="186">
        <f>IFERROR(_xlfn.XLOOKUP($D116,'Modelling New'!$D:$D,'Modelling New'!$O:$O),"")</f>
        <v>0.77092009208861256</v>
      </c>
      <c r="AF116" s="186">
        <f>IFERROR(_xlfn.XLOOKUP($D116,'Modelling New'!$D:$D,'Modelling New'!$W:$W),"")</f>
        <v>0.13988469412898213</v>
      </c>
      <c r="AG116" s="186">
        <f>IFERROR(_xlfn.XLOOKUP($D116,'Modelling New'!$D:$D,'Modelling New'!$AE:$AE),"")</f>
        <v>0.995</v>
      </c>
      <c r="AH116" s="186">
        <f>IFERROR(_xlfn.XLOOKUP($D116,'Modelling New'!$D:$D,'Modelling New'!$AF:$AF),"")</f>
        <v>0.995</v>
      </c>
      <c r="AI116" s="177"/>
      <c r="AJ116" s="177"/>
      <c r="AK116" s="238"/>
      <c r="AL116" s="238"/>
      <c r="AM116" s="238"/>
      <c r="AN116" s="187"/>
      <c r="AO116" s="184"/>
      <c r="AP116" s="184"/>
      <c r="AQ116" s="184"/>
      <c r="AR116" s="176">
        <f>IFERROR(_xlfn.XLOOKUP($D115,'Modelling New'!$D:$D,'Modelling New'!$N:$N),"")</f>
        <v>66.754999999999995</v>
      </c>
      <c r="AS116" s="176"/>
    </row>
    <row r="117" spans="1:45" x14ac:dyDescent="0.25">
      <c r="A117" s="175">
        <f t="shared" si="7"/>
        <v>45860</v>
      </c>
      <c r="B117" s="176">
        <f>YEAR(Table13[[#This Row],[Date]])+IF(MONTH(Table13[[#This Row],[Date]])&gt;=4,1,0)</f>
        <v>2026</v>
      </c>
      <c r="C117" s="177">
        <f>YEAR(Table13[[#This Row],[Date]])</f>
        <v>2025</v>
      </c>
      <c r="D117" s="178">
        <f>Table13[[#This Row],[Date]]-DAY(Table13[[#This Row],[Date]])+1</f>
        <v>45839</v>
      </c>
      <c r="E117" s="177">
        <f t="shared" si="8"/>
        <v>31</v>
      </c>
      <c r="F117" s="179">
        <f>IFERROR(_xlfn.XLOOKUP($A117,Raw_Data!$B:$B,Raw_Data!$KG:$KG),"")</f>
        <v>13.100000000000001</v>
      </c>
      <c r="G117" s="180">
        <f>IFERROR(_xlfn.XLOOKUP($A117,Raw_Data!$B:$B,Raw_Data!KH:KH),"")</f>
        <v>0</v>
      </c>
      <c r="H117" s="180"/>
      <c r="I117" s="180">
        <f>IFERROR(_xlfn.XLOOKUP($A117,Raw_Data!$B:$B,Raw_Data!$KI:$KI),"")</f>
        <v>5.81</v>
      </c>
      <c r="J117" s="180"/>
      <c r="K117" s="180">
        <f>IFERROR(_xlfn.XLOOKUP($A117,Raw_Data!$B:$B,Raw_Data!KJ:KJ),"")</f>
        <v>32.950000000000003</v>
      </c>
      <c r="L117" s="180">
        <f>IFERROR(_xlfn.XLOOKUP($A117,Raw_Data!$B:$B,Raw_Data!KK:KK),"")</f>
        <v>48.46</v>
      </c>
      <c r="M117" s="180">
        <f>IFERROR(_xlfn.XLOOKUP($A117,Raw_Data!$B:$B,Raw_Data!KL:KL),"")</f>
        <v>1.66</v>
      </c>
      <c r="N117" s="180">
        <f>IFERROR(_xlfn.XLOOKUP($A117,Raw_Data!$B:$B,Raw_Data!KM:KM),"")</f>
        <v>6.9</v>
      </c>
      <c r="O117" s="181">
        <f>IFERROR(1-SUMIF(PA!$B:$B,$A117,PA!AJ:AJ)/($AA117+SUMIF(PA!$B:$B,$A117,PA!AJ:AJ)),"")</f>
        <v>0.99864889406043011</v>
      </c>
      <c r="P117" s="181"/>
      <c r="Q117" s="182"/>
      <c r="R117" s="181">
        <f>IFERROR(1-SUMIF(GA!$C:$C,$A117,GA!$X:$X)/($AA117+SUMIF(GA!$C:$C,$A117,GA!$X:$X)),"")</f>
        <v>1</v>
      </c>
      <c r="S117" s="177"/>
      <c r="T117" s="182"/>
      <c r="U117" s="183">
        <f t="shared" si="9"/>
        <v>0.77576949725059563</v>
      </c>
      <c r="V117" s="183" t="str">
        <f>IFERROR(_xlfn.XLOOKUP($A117,Raw_Data!$B:$B,Raw_Data!$KQ:$KQ),"")</f>
        <v/>
      </c>
      <c r="W117" s="184">
        <f t="shared" si="10"/>
        <v>0.18780086579274835</v>
      </c>
      <c r="X117" s="176">
        <f>IFERROR(_xlfn.XLOOKUP($A117,Raw_Data!$B:$B,Raw_Data!$KN:$KN),"")</f>
        <v>302267.00999999989</v>
      </c>
      <c r="Y117" s="176">
        <f>IFERROR(_xlfn.XLOOKUP($A117,Raw_Data!$B:$B,Raw_Data!$KC:$KC),"")</f>
        <v>300952.66799998283</v>
      </c>
      <c r="Z117" s="176">
        <f>IFERROR(_xlfn.XLOOKUP($A117,Raw_Data!$B:$B,Raw_Data!$KD:$KD),"")</f>
        <v>95.680999999996857</v>
      </c>
      <c r="AA117" s="176">
        <f>IFERROR(_xlfn.XLOOKUP($A117,Raw_Data!$B:$B,Raw_Data!$KF:$KF),"")</f>
        <v>300856.98699998285</v>
      </c>
      <c r="AB117" s="176">
        <f>IFERROR(_xlfn.XLOOKUP($A117,Raw_Data!$B:$B,Raw_Data!I:I)/1000,"")</f>
        <v>66.75</v>
      </c>
      <c r="AC117" s="185">
        <f>IFERROR(_xlfn.XLOOKUP($D117,'Modelling New'!$D:$D,'Modelling New'!$P:$P),"")</f>
        <v>4.354838709677419</v>
      </c>
      <c r="AD117" s="176">
        <f>IFERROR(_xlfn.XLOOKUP($D117,'Modelling New'!$D:$D,'Modelling New'!$T:$T)*1000,"")</f>
        <v>224112.06615792483</v>
      </c>
      <c r="AE117" s="186">
        <f>IFERROR(_xlfn.XLOOKUP($D117,'Modelling New'!$D:$D,'Modelling New'!$O:$O),"")</f>
        <v>0.77092009208861256</v>
      </c>
      <c r="AF117" s="186">
        <f>IFERROR(_xlfn.XLOOKUP($D117,'Modelling New'!$D:$D,'Modelling New'!$W:$W),"")</f>
        <v>0.13988469412898213</v>
      </c>
      <c r="AG117" s="186">
        <f>IFERROR(_xlfn.XLOOKUP($D117,'Modelling New'!$D:$D,'Modelling New'!$AE:$AE),"")</f>
        <v>0.995</v>
      </c>
      <c r="AH117" s="186">
        <f>IFERROR(_xlfn.XLOOKUP($D117,'Modelling New'!$D:$D,'Modelling New'!$AF:$AF),"")</f>
        <v>0.995</v>
      </c>
      <c r="AI117" s="177"/>
      <c r="AJ117" s="177"/>
      <c r="AK117" s="238"/>
      <c r="AL117" s="238"/>
      <c r="AM117" s="238"/>
      <c r="AN117" s="187"/>
      <c r="AO117" s="184"/>
      <c r="AP117" s="184"/>
      <c r="AQ117" s="184"/>
      <c r="AR117" s="176">
        <f>IFERROR(_xlfn.XLOOKUP($D116,'Modelling New'!$D:$D,'Modelling New'!$N:$N),"")</f>
        <v>66.754999999999995</v>
      </c>
      <c r="AS117" s="176"/>
    </row>
    <row r="118" spans="1:45" x14ac:dyDescent="0.25">
      <c r="A118" s="175">
        <f t="shared" si="7"/>
        <v>45861</v>
      </c>
      <c r="B118" s="176">
        <f>YEAR(Table13[[#This Row],[Date]])+IF(MONTH(Table13[[#This Row],[Date]])&gt;=4,1,0)</f>
        <v>2026</v>
      </c>
      <c r="C118" s="177">
        <f>YEAR(Table13[[#This Row],[Date]])</f>
        <v>2025</v>
      </c>
      <c r="D118" s="178">
        <f>Table13[[#This Row],[Date]]-DAY(Table13[[#This Row],[Date]])+1</f>
        <v>45839</v>
      </c>
      <c r="E118" s="177">
        <f t="shared" si="8"/>
        <v>31</v>
      </c>
      <c r="F118" s="179">
        <f>IFERROR(_xlfn.XLOOKUP($A118,Raw_Data!$B:$B,Raw_Data!$KG:$KG),"")</f>
        <v>13.100000000000001</v>
      </c>
      <c r="G118" s="180">
        <f>IFERROR(_xlfn.XLOOKUP($A118,Raw_Data!$B:$B,Raw_Data!KH:KH),"")</f>
        <v>0</v>
      </c>
      <c r="H118" s="180"/>
      <c r="I118" s="180">
        <f>IFERROR(_xlfn.XLOOKUP($A118,Raw_Data!$B:$B,Raw_Data!$KI:$KI),"")</f>
        <v>2.1</v>
      </c>
      <c r="J118" s="180"/>
      <c r="K118" s="180">
        <f>IFERROR(_xlfn.XLOOKUP($A118,Raw_Data!$B:$B,Raw_Data!KJ:KJ),"")</f>
        <v>29.49</v>
      </c>
      <c r="L118" s="180">
        <f>IFERROR(_xlfn.XLOOKUP($A118,Raw_Data!$B:$B,Raw_Data!KK:KK),"")</f>
        <v>32.130000000000003</v>
      </c>
      <c r="M118" s="180">
        <f>IFERROR(_xlfn.XLOOKUP($A118,Raw_Data!$B:$B,Raw_Data!KL:KL),"")</f>
        <v>1.64</v>
      </c>
      <c r="N118" s="180">
        <f>IFERROR(_xlfn.XLOOKUP($A118,Raw_Data!$B:$B,Raw_Data!KM:KM),"")</f>
        <v>5.3</v>
      </c>
      <c r="O118" s="181">
        <f>IFERROR(1-SUMIF(PA!$B:$B,$A118,PA!AJ:AJ)/($AA118+SUMIF(PA!$B:$B,$A118,PA!AJ:AJ)),"")</f>
        <v>0.99866902663646762</v>
      </c>
      <c r="P118" s="181"/>
      <c r="Q118" s="182"/>
      <c r="R118" s="181">
        <f>IFERROR(1-SUMIF(GA!$C:$C,$A118,GA!$X:$X)/($AA118+SUMIF(GA!$C:$C,$A118,GA!$X:$X)),"")</f>
        <v>1</v>
      </c>
      <c r="S118" s="177"/>
      <c r="T118" s="182"/>
      <c r="U118" s="183">
        <f t="shared" si="9"/>
        <v>0.7901146994828131</v>
      </c>
      <c r="V118" s="183" t="str">
        <f>IFERROR(_xlfn.XLOOKUP($A118,Raw_Data!$B:$B,Raw_Data!$KQ:$KQ),"")</f>
        <v/>
      </c>
      <c r="W118" s="184">
        <f t="shared" si="10"/>
        <v>6.9135036204746148E-2</v>
      </c>
      <c r="X118" s="176">
        <f>IFERROR(_xlfn.XLOOKUP($A118,Raw_Data!$B:$B,Raw_Data!$KN:$KN),"")</f>
        <v>112397.24</v>
      </c>
      <c r="Y118" s="176">
        <f>IFERROR(_xlfn.XLOOKUP($A118,Raw_Data!$B:$B,Raw_Data!$KC:$KC),"")</f>
        <v>110850.00900000334</v>
      </c>
      <c r="Z118" s="176">
        <f>IFERROR(_xlfn.XLOOKUP($A118,Raw_Data!$B:$B,Raw_Data!$KD:$KD),"")</f>
        <v>95.681000000011409</v>
      </c>
      <c r="AA118" s="176">
        <f>IFERROR(_xlfn.XLOOKUP($A118,Raw_Data!$B:$B,Raw_Data!$KF:$KF),"")</f>
        <v>110754.32800000333</v>
      </c>
      <c r="AB118" s="176">
        <f>IFERROR(_xlfn.XLOOKUP($A118,Raw_Data!$B:$B,Raw_Data!I:I)/1000,"")</f>
        <v>66.75</v>
      </c>
      <c r="AC118" s="185">
        <f>IFERROR(_xlfn.XLOOKUP($D118,'Modelling New'!$D:$D,'Modelling New'!$P:$P),"")</f>
        <v>4.354838709677419</v>
      </c>
      <c r="AD118" s="176">
        <f>IFERROR(_xlfn.XLOOKUP($D118,'Modelling New'!$D:$D,'Modelling New'!$T:$T)*1000,"")</f>
        <v>224112.06615792483</v>
      </c>
      <c r="AE118" s="186">
        <f>IFERROR(_xlfn.XLOOKUP($D118,'Modelling New'!$D:$D,'Modelling New'!$O:$O),"")</f>
        <v>0.77092009208861256</v>
      </c>
      <c r="AF118" s="186">
        <f>IFERROR(_xlfn.XLOOKUP($D118,'Modelling New'!$D:$D,'Modelling New'!$W:$W),"")</f>
        <v>0.13988469412898213</v>
      </c>
      <c r="AG118" s="186">
        <f>IFERROR(_xlfn.XLOOKUP($D118,'Modelling New'!$D:$D,'Modelling New'!$AE:$AE),"")</f>
        <v>0.995</v>
      </c>
      <c r="AH118" s="186">
        <f>IFERROR(_xlfn.XLOOKUP($D118,'Modelling New'!$D:$D,'Modelling New'!$AF:$AF),"")</f>
        <v>0.995</v>
      </c>
      <c r="AI118" s="177"/>
      <c r="AJ118" s="177"/>
      <c r="AK118" s="238"/>
      <c r="AL118" s="238"/>
      <c r="AM118" s="238"/>
      <c r="AN118" s="187"/>
      <c r="AO118" s="184"/>
      <c r="AP118" s="184"/>
      <c r="AQ118" s="184"/>
      <c r="AR118" s="176">
        <f>IFERROR(_xlfn.XLOOKUP($D117,'Modelling New'!$D:$D,'Modelling New'!$N:$N),"")</f>
        <v>66.754999999999995</v>
      </c>
      <c r="AS118" s="176"/>
    </row>
    <row r="119" spans="1:45" x14ac:dyDescent="0.25">
      <c r="A119" s="175">
        <f t="shared" si="7"/>
        <v>45862</v>
      </c>
      <c r="B119" s="176">
        <f>YEAR(Table13[[#This Row],[Date]])+IF(MONTH(Table13[[#This Row],[Date]])&gt;=4,1,0)</f>
        <v>2026</v>
      </c>
      <c r="C119" s="177">
        <f>YEAR(Table13[[#This Row],[Date]])</f>
        <v>2025</v>
      </c>
      <c r="D119" s="178">
        <f>Table13[[#This Row],[Date]]-DAY(Table13[[#This Row],[Date]])+1</f>
        <v>45839</v>
      </c>
      <c r="E119" s="177">
        <f t="shared" si="8"/>
        <v>31</v>
      </c>
      <c r="F119" s="179">
        <f>IFERROR(_xlfn.XLOOKUP($A119,Raw_Data!$B:$B,Raw_Data!$KG:$KG),"")</f>
        <v>0</v>
      </c>
      <c r="G119" s="180">
        <f>IFERROR(_xlfn.XLOOKUP($A119,Raw_Data!$B:$B,Raw_Data!KH:KH),"")</f>
        <v>0</v>
      </c>
      <c r="H119" s="180"/>
      <c r="I119" s="180">
        <f>IFERROR(_xlfn.XLOOKUP($A119,Raw_Data!$B:$B,Raw_Data!$KI:$KI),"")</f>
        <v>0</v>
      </c>
      <c r="J119" s="180"/>
      <c r="K119" s="180">
        <f>IFERROR(_xlfn.XLOOKUP($A119,Raw_Data!$B:$B,Raw_Data!KJ:KJ),"")</f>
        <v>0</v>
      </c>
      <c r="L119" s="180">
        <f>IFERROR(_xlfn.XLOOKUP($A119,Raw_Data!$B:$B,Raw_Data!KK:KK),"")</f>
        <v>0</v>
      </c>
      <c r="M119" s="180">
        <f>IFERROR(_xlfn.XLOOKUP($A119,Raw_Data!$B:$B,Raw_Data!KL:KL),"")</f>
        <v>0</v>
      </c>
      <c r="N119" s="180">
        <f>IFERROR(_xlfn.XLOOKUP($A119,Raw_Data!$B:$B,Raw_Data!KM:KM),"")</f>
        <v>0</v>
      </c>
      <c r="O119" s="181" t="str">
        <f>IFERROR(1-SUMIF(PA!$B:$B,$A119,PA!AJ:AJ)/($AA119+SUMIF(PA!$B:$B,$A119,PA!AJ:AJ)),"")</f>
        <v/>
      </c>
      <c r="P119" s="181"/>
      <c r="Q119" s="182"/>
      <c r="R119" s="181" t="str">
        <f>IFERROR(1-SUMIF(GA!$C:$C,$A119,GA!$X:$X)/($AA119+SUMIF(GA!$C:$C,$A119,GA!$X:$X)),"")</f>
        <v/>
      </c>
      <c r="S119" s="177"/>
      <c r="T119" s="182"/>
      <c r="U119" s="183" t="str">
        <f t="shared" si="9"/>
        <v/>
      </c>
      <c r="V119" s="183" t="str">
        <f>IFERROR(_xlfn.XLOOKUP($A119,Raw_Data!$B:$B,Raw_Data!$KQ:$KQ),"")</f>
        <v/>
      </c>
      <c r="W119" s="184">
        <f t="shared" si="10"/>
        <v>0</v>
      </c>
      <c r="X119" s="176">
        <f>IFERROR(_xlfn.XLOOKUP($A119,Raw_Data!$B:$B,Raw_Data!$KN:$KN),"")</f>
        <v>0</v>
      </c>
      <c r="Y119" s="176">
        <f>IFERROR(_xlfn.XLOOKUP($A119,Raw_Data!$B:$B,Raw_Data!$KC:$KC),"")</f>
        <v>0</v>
      </c>
      <c r="Z119" s="176">
        <f>IFERROR(_xlfn.XLOOKUP($A119,Raw_Data!$B:$B,Raw_Data!$KD:$KD),"")</f>
        <v>0</v>
      </c>
      <c r="AA119" s="176">
        <f>IFERROR(_xlfn.XLOOKUP($A119,Raw_Data!$B:$B,Raw_Data!$KF:$KF),"")</f>
        <v>0</v>
      </c>
      <c r="AB119" s="176">
        <f>IFERROR(_xlfn.XLOOKUP($A119,Raw_Data!$B:$B,Raw_Data!I:I)/1000,"")</f>
        <v>66.75</v>
      </c>
      <c r="AC119" s="185">
        <f>IFERROR(_xlfn.XLOOKUP($D119,'Modelling New'!$D:$D,'Modelling New'!$P:$P),"")</f>
        <v>4.354838709677419</v>
      </c>
      <c r="AD119" s="176">
        <f>IFERROR(_xlfn.XLOOKUP($D119,'Modelling New'!$D:$D,'Modelling New'!$T:$T)*1000,"")</f>
        <v>224112.06615792483</v>
      </c>
      <c r="AE119" s="186">
        <f>IFERROR(_xlfn.XLOOKUP($D119,'Modelling New'!$D:$D,'Modelling New'!$O:$O),"")</f>
        <v>0.77092009208861256</v>
      </c>
      <c r="AF119" s="186">
        <f>IFERROR(_xlfn.XLOOKUP($D119,'Modelling New'!$D:$D,'Modelling New'!$W:$W),"")</f>
        <v>0.13988469412898213</v>
      </c>
      <c r="AG119" s="186">
        <f>IFERROR(_xlfn.XLOOKUP($D119,'Modelling New'!$D:$D,'Modelling New'!$AE:$AE),"")</f>
        <v>0.995</v>
      </c>
      <c r="AH119" s="186">
        <f>IFERROR(_xlfn.XLOOKUP($D119,'Modelling New'!$D:$D,'Modelling New'!$AF:$AF),"")</f>
        <v>0.995</v>
      </c>
      <c r="AI119" s="177"/>
      <c r="AJ119" s="177"/>
      <c r="AK119" s="238"/>
      <c r="AL119" s="238"/>
      <c r="AM119" s="238"/>
      <c r="AN119" s="187"/>
      <c r="AO119" s="184"/>
      <c r="AP119" s="184"/>
      <c r="AQ119" s="184"/>
      <c r="AR119" s="176">
        <f>IFERROR(_xlfn.XLOOKUP($D118,'Modelling New'!$D:$D,'Modelling New'!$N:$N),"")</f>
        <v>66.754999999999995</v>
      </c>
      <c r="AS119" s="176"/>
    </row>
    <row r="120" spans="1:45" x14ac:dyDescent="0.25">
      <c r="A120" s="175">
        <f t="shared" si="7"/>
        <v>45863</v>
      </c>
      <c r="B120" s="176">
        <f>YEAR(Table13[[#This Row],[Date]])+IF(MONTH(Table13[[#This Row],[Date]])&gt;=4,1,0)</f>
        <v>2026</v>
      </c>
      <c r="C120" s="177">
        <f>YEAR(Table13[[#This Row],[Date]])</f>
        <v>2025</v>
      </c>
      <c r="D120" s="178">
        <f>Table13[[#This Row],[Date]]-DAY(Table13[[#This Row],[Date]])+1</f>
        <v>45839</v>
      </c>
      <c r="E120" s="177">
        <f t="shared" si="8"/>
        <v>31</v>
      </c>
      <c r="F120" s="179">
        <f>IFERROR(_xlfn.XLOOKUP($A120,Raw_Data!$B:$B,Raw_Data!$KG:$KG),"")</f>
        <v>0</v>
      </c>
      <c r="G120" s="180">
        <f>IFERROR(_xlfn.XLOOKUP($A120,Raw_Data!$B:$B,Raw_Data!KH:KH),"")</f>
        <v>0</v>
      </c>
      <c r="H120" s="180"/>
      <c r="I120" s="180">
        <f>IFERROR(_xlfn.XLOOKUP($A120,Raw_Data!$B:$B,Raw_Data!$KI:$KI),"")</f>
        <v>0</v>
      </c>
      <c r="J120" s="180"/>
      <c r="K120" s="180">
        <f>IFERROR(_xlfn.XLOOKUP($A120,Raw_Data!$B:$B,Raw_Data!KJ:KJ),"")</f>
        <v>0</v>
      </c>
      <c r="L120" s="180">
        <f>IFERROR(_xlfn.XLOOKUP($A120,Raw_Data!$B:$B,Raw_Data!KK:KK),"")</f>
        <v>0</v>
      </c>
      <c r="M120" s="180">
        <f>IFERROR(_xlfn.XLOOKUP($A120,Raw_Data!$B:$B,Raw_Data!KL:KL),"")</f>
        <v>0</v>
      </c>
      <c r="N120" s="180">
        <f>IFERROR(_xlfn.XLOOKUP($A120,Raw_Data!$B:$B,Raw_Data!KM:KM),"")</f>
        <v>0</v>
      </c>
      <c r="O120" s="181" t="str">
        <f>IFERROR(1-SUMIF(PA!$B:$B,$A120,PA!AJ:AJ)/($AA120+SUMIF(PA!$B:$B,$A120,PA!AJ:AJ)),"")</f>
        <v/>
      </c>
      <c r="P120" s="181"/>
      <c r="Q120" s="182"/>
      <c r="R120" s="181" t="str">
        <f>IFERROR(1-SUMIF(GA!$C:$C,$A120,GA!$X:$X)/($AA120+SUMIF(GA!$C:$C,$A120,GA!$X:$X)),"")</f>
        <v/>
      </c>
      <c r="S120" s="177"/>
      <c r="T120" s="182"/>
      <c r="U120" s="183" t="str">
        <f t="shared" si="9"/>
        <v/>
      </c>
      <c r="V120" s="183" t="str">
        <f>IFERROR(_xlfn.XLOOKUP($A120,Raw_Data!$B:$B,Raw_Data!$KQ:$KQ),"")</f>
        <v/>
      </c>
      <c r="W120" s="184">
        <f t="shared" si="10"/>
        <v>0</v>
      </c>
      <c r="X120" s="176">
        <f>IFERROR(_xlfn.XLOOKUP($A120,Raw_Data!$B:$B,Raw_Data!$KN:$KN),"")</f>
        <v>0</v>
      </c>
      <c r="Y120" s="176">
        <f>IFERROR(_xlfn.XLOOKUP($A120,Raw_Data!$B:$B,Raw_Data!$KC:$KC),"")</f>
        <v>0</v>
      </c>
      <c r="Z120" s="176">
        <f>IFERROR(_xlfn.XLOOKUP($A120,Raw_Data!$B:$B,Raw_Data!$KD:$KD),"")</f>
        <v>0</v>
      </c>
      <c r="AA120" s="176">
        <f>IFERROR(_xlfn.XLOOKUP($A120,Raw_Data!$B:$B,Raw_Data!$KF:$KF),"")</f>
        <v>0</v>
      </c>
      <c r="AB120" s="176">
        <f>IFERROR(_xlfn.XLOOKUP($A120,Raw_Data!$B:$B,Raw_Data!I:I)/1000,"")</f>
        <v>66.75</v>
      </c>
      <c r="AC120" s="185">
        <f>IFERROR(_xlfn.XLOOKUP($D120,'Modelling New'!$D:$D,'Modelling New'!$P:$P),"")</f>
        <v>4.354838709677419</v>
      </c>
      <c r="AD120" s="176">
        <f>IFERROR(_xlfn.XLOOKUP($D120,'Modelling New'!$D:$D,'Modelling New'!$T:$T)*1000,"")</f>
        <v>224112.06615792483</v>
      </c>
      <c r="AE120" s="186">
        <f>IFERROR(_xlfn.XLOOKUP($D120,'Modelling New'!$D:$D,'Modelling New'!$O:$O),"")</f>
        <v>0.77092009208861256</v>
      </c>
      <c r="AF120" s="186">
        <f>IFERROR(_xlfn.XLOOKUP($D120,'Modelling New'!$D:$D,'Modelling New'!$W:$W),"")</f>
        <v>0.13988469412898213</v>
      </c>
      <c r="AG120" s="186">
        <f>IFERROR(_xlfn.XLOOKUP($D120,'Modelling New'!$D:$D,'Modelling New'!$AE:$AE),"")</f>
        <v>0.995</v>
      </c>
      <c r="AH120" s="186">
        <f>IFERROR(_xlfn.XLOOKUP($D120,'Modelling New'!$D:$D,'Modelling New'!$AF:$AF),"")</f>
        <v>0.995</v>
      </c>
      <c r="AI120" s="177"/>
      <c r="AJ120" s="177"/>
      <c r="AK120" s="238"/>
      <c r="AL120" s="238"/>
      <c r="AM120" s="238"/>
      <c r="AN120" s="187"/>
      <c r="AO120" s="184"/>
      <c r="AP120" s="184"/>
      <c r="AQ120" s="184"/>
      <c r="AR120" s="176">
        <f>IFERROR(_xlfn.XLOOKUP($D119,'Modelling New'!$D:$D,'Modelling New'!$N:$N),"")</f>
        <v>66.754999999999995</v>
      </c>
      <c r="AS120" s="176"/>
    </row>
    <row r="121" spans="1:45" x14ac:dyDescent="0.25">
      <c r="A121" s="175">
        <f t="shared" ref="A121:A184" si="11">A120+1</f>
        <v>45864</v>
      </c>
      <c r="B121" s="176">
        <f>YEAR(Table13[[#This Row],[Date]])+IF(MONTH(Table13[[#This Row],[Date]])&gt;=4,1,0)</f>
        <v>2026</v>
      </c>
      <c r="C121" s="177">
        <f>YEAR(Table13[[#This Row],[Date]])</f>
        <v>2025</v>
      </c>
      <c r="D121" s="178">
        <f>Table13[[#This Row],[Date]]-DAY(Table13[[#This Row],[Date]])+1</f>
        <v>45839</v>
      </c>
      <c r="E121" s="177">
        <f t="shared" si="8"/>
        <v>31</v>
      </c>
      <c r="F121" s="179">
        <f>IFERROR(_xlfn.XLOOKUP($A121,Raw_Data!$B:$B,Raw_Data!$KG:$KG),"")</f>
        <v>0</v>
      </c>
      <c r="G121" s="180">
        <f>IFERROR(_xlfn.XLOOKUP($A121,Raw_Data!$B:$B,Raw_Data!KH:KH),"")</f>
        <v>0</v>
      </c>
      <c r="H121" s="180"/>
      <c r="I121" s="180">
        <f>IFERROR(_xlfn.XLOOKUP($A121,Raw_Data!$B:$B,Raw_Data!$KI:$KI),"")</f>
        <v>0</v>
      </c>
      <c r="J121" s="180"/>
      <c r="K121" s="180">
        <f>IFERROR(_xlfn.XLOOKUP($A121,Raw_Data!$B:$B,Raw_Data!KJ:KJ),"")</f>
        <v>0</v>
      </c>
      <c r="L121" s="180">
        <f>IFERROR(_xlfn.XLOOKUP($A121,Raw_Data!$B:$B,Raw_Data!KK:KK),"")</f>
        <v>0</v>
      </c>
      <c r="M121" s="180">
        <f>IFERROR(_xlfn.XLOOKUP($A121,Raw_Data!$B:$B,Raw_Data!KL:KL),"")</f>
        <v>0</v>
      </c>
      <c r="N121" s="180">
        <f>IFERROR(_xlfn.XLOOKUP($A121,Raw_Data!$B:$B,Raw_Data!KM:KM),"")</f>
        <v>0</v>
      </c>
      <c r="O121" s="181" t="str">
        <f>IFERROR(1-SUMIF(PA!$B:$B,$A121,PA!AJ:AJ)/($AA121+SUMIF(PA!$B:$B,$A121,PA!AJ:AJ)),"")</f>
        <v/>
      </c>
      <c r="P121" s="181"/>
      <c r="Q121" s="182"/>
      <c r="R121" s="181" t="str">
        <f>IFERROR(1-SUMIF(GA!$C:$C,$A121,GA!$X:$X)/($AA121+SUMIF(GA!$C:$C,$A121,GA!$X:$X)),"")</f>
        <v/>
      </c>
      <c r="S121" s="177"/>
      <c r="T121" s="182"/>
      <c r="U121" s="183" t="str">
        <f t="shared" si="9"/>
        <v/>
      </c>
      <c r="V121" s="183" t="str">
        <f>IFERROR(_xlfn.XLOOKUP($A121,Raw_Data!$B:$B,Raw_Data!$KQ:$KQ),"")</f>
        <v/>
      </c>
      <c r="W121" s="184">
        <f t="shared" si="10"/>
        <v>0</v>
      </c>
      <c r="X121" s="176">
        <f>IFERROR(_xlfn.XLOOKUP($A121,Raw_Data!$B:$B,Raw_Data!$KN:$KN),"")</f>
        <v>0</v>
      </c>
      <c r="Y121" s="176">
        <f>IFERROR(_xlfn.XLOOKUP($A121,Raw_Data!$B:$B,Raw_Data!$KC:$KC),"")</f>
        <v>0</v>
      </c>
      <c r="Z121" s="176">
        <f>IFERROR(_xlfn.XLOOKUP($A121,Raw_Data!$B:$B,Raw_Data!$KD:$KD),"")</f>
        <v>0</v>
      </c>
      <c r="AA121" s="176">
        <f>IFERROR(_xlfn.XLOOKUP($A121,Raw_Data!$B:$B,Raw_Data!$KF:$KF),"")</f>
        <v>0</v>
      </c>
      <c r="AB121" s="176">
        <f>IFERROR(_xlfn.XLOOKUP($A121,Raw_Data!$B:$B,Raw_Data!I:I)/1000,"")</f>
        <v>66.75</v>
      </c>
      <c r="AC121" s="185">
        <f>IFERROR(_xlfn.XLOOKUP($D121,'Modelling New'!$D:$D,'Modelling New'!$P:$P),"")</f>
        <v>4.354838709677419</v>
      </c>
      <c r="AD121" s="176">
        <f>IFERROR(_xlfn.XLOOKUP($D121,'Modelling New'!$D:$D,'Modelling New'!$T:$T)*1000,"")</f>
        <v>224112.06615792483</v>
      </c>
      <c r="AE121" s="186">
        <f>IFERROR(_xlfn.XLOOKUP($D121,'Modelling New'!$D:$D,'Modelling New'!$O:$O),"")</f>
        <v>0.77092009208861256</v>
      </c>
      <c r="AF121" s="186">
        <f>IFERROR(_xlfn.XLOOKUP($D121,'Modelling New'!$D:$D,'Modelling New'!$W:$W),"")</f>
        <v>0.13988469412898213</v>
      </c>
      <c r="AG121" s="186">
        <f>IFERROR(_xlfn.XLOOKUP($D121,'Modelling New'!$D:$D,'Modelling New'!$AE:$AE),"")</f>
        <v>0.995</v>
      </c>
      <c r="AH121" s="186">
        <f>IFERROR(_xlfn.XLOOKUP($D121,'Modelling New'!$D:$D,'Modelling New'!$AF:$AF),"")</f>
        <v>0.995</v>
      </c>
      <c r="AI121" s="177"/>
      <c r="AJ121" s="177"/>
      <c r="AK121" s="238"/>
      <c r="AL121" s="238"/>
      <c r="AM121" s="238"/>
      <c r="AN121" s="187"/>
      <c r="AO121" s="184"/>
      <c r="AP121" s="184"/>
      <c r="AQ121" s="184"/>
      <c r="AR121" s="176">
        <f>IFERROR(_xlfn.XLOOKUP($D120,'Modelling New'!$D:$D,'Modelling New'!$N:$N),"")</f>
        <v>66.754999999999995</v>
      </c>
      <c r="AS121" s="176"/>
    </row>
    <row r="122" spans="1:45" x14ac:dyDescent="0.25">
      <c r="A122" s="175">
        <f t="shared" si="11"/>
        <v>45865</v>
      </c>
      <c r="B122" s="176">
        <f>YEAR(Table13[[#This Row],[Date]])+IF(MONTH(Table13[[#This Row],[Date]])&gt;=4,1,0)</f>
        <v>2026</v>
      </c>
      <c r="C122" s="177">
        <f>YEAR(Table13[[#This Row],[Date]])</f>
        <v>2025</v>
      </c>
      <c r="D122" s="178">
        <f>Table13[[#This Row],[Date]]-DAY(Table13[[#This Row],[Date]])+1</f>
        <v>45839</v>
      </c>
      <c r="E122" s="177">
        <f t="shared" si="8"/>
        <v>31</v>
      </c>
      <c r="F122" s="179">
        <f>IFERROR(_xlfn.XLOOKUP($A122,Raw_Data!$B:$B,Raw_Data!$KG:$KG),"")</f>
        <v>0</v>
      </c>
      <c r="G122" s="180">
        <f>IFERROR(_xlfn.XLOOKUP($A122,Raw_Data!$B:$B,Raw_Data!KH:KH),"")</f>
        <v>0</v>
      </c>
      <c r="H122" s="180"/>
      <c r="I122" s="180">
        <f>IFERROR(_xlfn.XLOOKUP($A122,Raw_Data!$B:$B,Raw_Data!$KI:$KI),"")</f>
        <v>0</v>
      </c>
      <c r="J122" s="180"/>
      <c r="K122" s="180">
        <f>IFERROR(_xlfn.XLOOKUP($A122,Raw_Data!$B:$B,Raw_Data!KJ:KJ),"")</f>
        <v>0</v>
      </c>
      <c r="L122" s="180">
        <f>IFERROR(_xlfn.XLOOKUP($A122,Raw_Data!$B:$B,Raw_Data!KK:KK),"")</f>
        <v>0</v>
      </c>
      <c r="M122" s="180">
        <f>IFERROR(_xlfn.XLOOKUP($A122,Raw_Data!$B:$B,Raw_Data!KL:KL),"")</f>
        <v>0</v>
      </c>
      <c r="N122" s="180">
        <f>IFERROR(_xlfn.XLOOKUP($A122,Raw_Data!$B:$B,Raw_Data!KM:KM),"")</f>
        <v>0</v>
      </c>
      <c r="O122" s="181" t="str">
        <f>IFERROR(1-SUMIF(PA!$B:$B,$A122,PA!AJ:AJ)/($AA122+SUMIF(PA!$B:$B,$A122,PA!AJ:AJ)),"")</f>
        <v/>
      </c>
      <c r="P122" s="181"/>
      <c r="Q122" s="182"/>
      <c r="R122" s="181" t="str">
        <f>IFERROR(1-SUMIF(GA!$C:$C,$A122,GA!$X:$X)/($AA122+SUMIF(GA!$C:$C,$A122,GA!$X:$X)),"")</f>
        <v/>
      </c>
      <c r="S122" s="177"/>
      <c r="T122" s="182"/>
      <c r="U122" s="183" t="str">
        <f t="shared" si="9"/>
        <v/>
      </c>
      <c r="V122" s="183" t="str">
        <f>IFERROR(_xlfn.XLOOKUP($A122,Raw_Data!$B:$B,Raw_Data!$KQ:$KQ),"")</f>
        <v/>
      </c>
      <c r="W122" s="184">
        <f t="shared" si="10"/>
        <v>0</v>
      </c>
      <c r="X122" s="176">
        <f>IFERROR(_xlfn.XLOOKUP($A122,Raw_Data!$B:$B,Raw_Data!$KN:$KN),"")</f>
        <v>0</v>
      </c>
      <c r="Y122" s="176">
        <f>IFERROR(_xlfn.XLOOKUP($A122,Raw_Data!$B:$B,Raw_Data!$KC:$KC),"")</f>
        <v>0</v>
      </c>
      <c r="Z122" s="176">
        <f>IFERROR(_xlfn.XLOOKUP($A122,Raw_Data!$B:$B,Raw_Data!$KD:$KD),"")</f>
        <v>0</v>
      </c>
      <c r="AA122" s="176">
        <f>IFERROR(_xlfn.XLOOKUP($A122,Raw_Data!$B:$B,Raw_Data!$KF:$KF),"")</f>
        <v>0</v>
      </c>
      <c r="AB122" s="176">
        <f>IFERROR(_xlfn.XLOOKUP($A122,Raw_Data!$B:$B,Raw_Data!I:I)/1000,"")</f>
        <v>66.75</v>
      </c>
      <c r="AC122" s="185">
        <f>IFERROR(_xlfn.XLOOKUP($D122,'Modelling New'!$D:$D,'Modelling New'!$P:$P),"")</f>
        <v>4.354838709677419</v>
      </c>
      <c r="AD122" s="176">
        <f>IFERROR(_xlfn.XLOOKUP($D122,'Modelling New'!$D:$D,'Modelling New'!$T:$T)*1000,"")</f>
        <v>224112.06615792483</v>
      </c>
      <c r="AE122" s="186">
        <f>IFERROR(_xlfn.XLOOKUP($D122,'Modelling New'!$D:$D,'Modelling New'!$O:$O),"")</f>
        <v>0.77092009208861256</v>
      </c>
      <c r="AF122" s="186">
        <f>IFERROR(_xlfn.XLOOKUP($D122,'Modelling New'!$D:$D,'Modelling New'!$W:$W),"")</f>
        <v>0.13988469412898213</v>
      </c>
      <c r="AG122" s="186">
        <f>IFERROR(_xlfn.XLOOKUP($D122,'Modelling New'!$D:$D,'Modelling New'!$AE:$AE),"")</f>
        <v>0.995</v>
      </c>
      <c r="AH122" s="186">
        <f>IFERROR(_xlfn.XLOOKUP($D122,'Modelling New'!$D:$D,'Modelling New'!$AF:$AF),"")</f>
        <v>0.995</v>
      </c>
      <c r="AI122" s="177"/>
      <c r="AJ122" s="177"/>
      <c r="AK122" s="238"/>
      <c r="AL122" s="238"/>
      <c r="AM122" s="238"/>
      <c r="AN122" s="187"/>
      <c r="AO122" s="184"/>
      <c r="AP122" s="184"/>
      <c r="AQ122" s="184"/>
      <c r="AR122" s="176">
        <f>IFERROR(_xlfn.XLOOKUP($D121,'Modelling New'!$D:$D,'Modelling New'!$N:$N),"")</f>
        <v>66.754999999999995</v>
      </c>
      <c r="AS122" s="176"/>
    </row>
    <row r="123" spans="1:45" x14ac:dyDescent="0.25">
      <c r="A123" s="175">
        <f t="shared" si="11"/>
        <v>45866</v>
      </c>
      <c r="B123" s="176">
        <f>YEAR(Table13[[#This Row],[Date]])+IF(MONTH(Table13[[#This Row],[Date]])&gt;=4,1,0)</f>
        <v>2026</v>
      </c>
      <c r="C123" s="177">
        <f>YEAR(Table13[[#This Row],[Date]])</f>
        <v>2025</v>
      </c>
      <c r="D123" s="178">
        <f>Table13[[#This Row],[Date]]-DAY(Table13[[#This Row],[Date]])+1</f>
        <v>45839</v>
      </c>
      <c r="E123" s="177">
        <f t="shared" si="8"/>
        <v>31</v>
      </c>
      <c r="F123" s="179">
        <f>IFERROR(_xlfn.XLOOKUP($A123,Raw_Data!$B:$B,Raw_Data!$KG:$KG),"")</f>
        <v>0</v>
      </c>
      <c r="G123" s="180">
        <f>IFERROR(_xlfn.XLOOKUP($A123,Raw_Data!$B:$B,Raw_Data!KH:KH),"")</f>
        <v>0</v>
      </c>
      <c r="H123" s="180"/>
      <c r="I123" s="180">
        <f>IFERROR(_xlfn.XLOOKUP($A123,Raw_Data!$B:$B,Raw_Data!$KI:$KI),"")</f>
        <v>0</v>
      </c>
      <c r="J123" s="180"/>
      <c r="K123" s="180">
        <f>IFERROR(_xlfn.XLOOKUP($A123,Raw_Data!$B:$B,Raw_Data!KJ:KJ),"")</f>
        <v>0</v>
      </c>
      <c r="L123" s="180">
        <f>IFERROR(_xlfn.XLOOKUP($A123,Raw_Data!$B:$B,Raw_Data!KK:KK),"")</f>
        <v>0</v>
      </c>
      <c r="M123" s="180">
        <f>IFERROR(_xlfn.XLOOKUP($A123,Raw_Data!$B:$B,Raw_Data!KL:KL),"")</f>
        <v>0</v>
      </c>
      <c r="N123" s="180">
        <f>IFERROR(_xlfn.XLOOKUP($A123,Raw_Data!$B:$B,Raw_Data!KM:KM),"")</f>
        <v>0</v>
      </c>
      <c r="O123" s="181" t="str">
        <f>IFERROR(1-SUMIF(PA!$B:$B,$A123,PA!AJ:AJ)/($AA123+SUMIF(PA!$B:$B,$A123,PA!AJ:AJ)),"")</f>
        <v/>
      </c>
      <c r="P123" s="181"/>
      <c r="Q123" s="182"/>
      <c r="R123" s="181" t="str">
        <f>IFERROR(1-SUMIF(GA!$C:$C,$A123,GA!$X:$X)/($AA123+SUMIF(GA!$C:$C,$A123,GA!$X:$X)),"")</f>
        <v/>
      </c>
      <c r="S123" s="177"/>
      <c r="T123" s="182"/>
      <c r="U123" s="183" t="str">
        <f t="shared" si="9"/>
        <v/>
      </c>
      <c r="V123" s="183" t="str">
        <f>IFERROR(_xlfn.XLOOKUP($A123,Raw_Data!$B:$B,Raw_Data!$KQ:$KQ),"")</f>
        <v/>
      </c>
      <c r="W123" s="184">
        <f t="shared" si="10"/>
        <v>0</v>
      </c>
      <c r="X123" s="176">
        <f>IFERROR(_xlfn.XLOOKUP($A123,Raw_Data!$B:$B,Raw_Data!$KN:$KN),"")</f>
        <v>0</v>
      </c>
      <c r="Y123" s="176">
        <f>IFERROR(_xlfn.XLOOKUP($A123,Raw_Data!$B:$B,Raw_Data!$KC:$KC),"")</f>
        <v>0</v>
      </c>
      <c r="Z123" s="176">
        <f>IFERROR(_xlfn.XLOOKUP($A123,Raw_Data!$B:$B,Raw_Data!$KD:$KD),"")</f>
        <v>0</v>
      </c>
      <c r="AA123" s="176">
        <f>IFERROR(_xlfn.XLOOKUP($A123,Raw_Data!$B:$B,Raw_Data!$KF:$KF),"")</f>
        <v>0</v>
      </c>
      <c r="AB123" s="176">
        <f>IFERROR(_xlfn.XLOOKUP($A123,Raw_Data!$B:$B,Raw_Data!I:I)/1000,"")</f>
        <v>66.75</v>
      </c>
      <c r="AC123" s="185">
        <f>IFERROR(_xlfn.XLOOKUP($D123,'Modelling New'!$D:$D,'Modelling New'!$P:$P),"")</f>
        <v>4.354838709677419</v>
      </c>
      <c r="AD123" s="176">
        <f>IFERROR(_xlfn.XLOOKUP($D123,'Modelling New'!$D:$D,'Modelling New'!$T:$T)*1000,"")</f>
        <v>224112.06615792483</v>
      </c>
      <c r="AE123" s="186">
        <f>IFERROR(_xlfn.XLOOKUP($D123,'Modelling New'!$D:$D,'Modelling New'!$O:$O),"")</f>
        <v>0.77092009208861256</v>
      </c>
      <c r="AF123" s="186">
        <f>IFERROR(_xlfn.XLOOKUP($D123,'Modelling New'!$D:$D,'Modelling New'!$W:$W),"")</f>
        <v>0.13988469412898213</v>
      </c>
      <c r="AG123" s="186">
        <f>IFERROR(_xlfn.XLOOKUP($D123,'Modelling New'!$D:$D,'Modelling New'!$AE:$AE),"")</f>
        <v>0.995</v>
      </c>
      <c r="AH123" s="186">
        <f>IFERROR(_xlfn.XLOOKUP($D123,'Modelling New'!$D:$D,'Modelling New'!$AF:$AF),"")</f>
        <v>0.995</v>
      </c>
      <c r="AI123" s="177"/>
      <c r="AJ123" s="177"/>
      <c r="AK123" s="238"/>
      <c r="AL123" s="238"/>
      <c r="AM123" s="238"/>
      <c r="AN123" s="187"/>
      <c r="AO123" s="184"/>
      <c r="AP123" s="184"/>
      <c r="AQ123" s="184"/>
      <c r="AR123" s="176">
        <f>IFERROR(_xlfn.XLOOKUP($D122,'Modelling New'!$D:$D,'Modelling New'!$N:$N),"")</f>
        <v>66.754999999999995</v>
      </c>
      <c r="AS123" s="176"/>
    </row>
    <row r="124" spans="1:45" x14ac:dyDescent="0.25">
      <c r="A124" s="175">
        <f t="shared" si="11"/>
        <v>45867</v>
      </c>
      <c r="B124" s="176">
        <f>YEAR(Table13[[#This Row],[Date]])+IF(MONTH(Table13[[#This Row],[Date]])&gt;=4,1,0)</f>
        <v>2026</v>
      </c>
      <c r="C124" s="177">
        <f>YEAR(Table13[[#This Row],[Date]])</f>
        <v>2025</v>
      </c>
      <c r="D124" s="178">
        <f>Table13[[#This Row],[Date]]-DAY(Table13[[#This Row],[Date]])+1</f>
        <v>45839</v>
      </c>
      <c r="E124" s="177">
        <f t="shared" si="8"/>
        <v>31</v>
      </c>
      <c r="F124" s="179">
        <f>IFERROR(_xlfn.XLOOKUP($A124,Raw_Data!$B:$B,Raw_Data!$KG:$KG),"")</f>
        <v>0</v>
      </c>
      <c r="G124" s="180">
        <f>IFERROR(_xlfn.XLOOKUP($A124,Raw_Data!$B:$B,Raw_Data!KH:KH),"")</f>
        <v>0</v>
      </c>
      <c r="H124" s="180"/>
      <c r="I124" s="180">
        <f>IFERROR(_xlfn.XLOOKUP($A124,Raw_Data!$B:$B,Raw_Data!$KI:$KI),"")</f>
        <v>0</v>
      </c>
      <c r="J124" s="180"/>
      <c r="K124" s="180">
        <f>IFERROR(_xlfn.XLOOKUP($A124,Raw_Data!$B:$B,Raw_Data!KJ:KJ),"")</f>
        <v>0</v>
      </c>
      <c r="L124" s="180">
        <f>IFERROR(_xlfn.XLOOKUP($A124,Raw_Data!$B:$B,Raw_Data!KK:KK),"")</f>
        <v>0</v>
      </c>
      <c r="M124" s="180">
        <f>IFERROR(_xlfn.XLOOKUP($A124,Raw_Data!$B:$B,Raw_Data!KL:KL),"")</f>
        <v>0</v>
      </c>
      <c r="N124" s="180">
        <f>IFERROR(_xlfn.XLOOKUP($A124,Raw_Data!$B:$B,Raw_Data!KM:KM),"")</f>
        <v>0</v>
      </c>
      <c r="O124" s="181" t="str">
        <f>IFERROR(1-SUMIF(PA!$B:$B,$A124,PA!AJ:AJ)/($AA124+SUMIF(PA!$B:$B,$A124,PA!AJ:AJ)),"")</f>
        <v/>
      </c>
      <c r="P124" s="181"/>
      <c r="Q124" s="182"/>
      <c r="R124" s="181" t="str">
        <f>IFERROR(1-SUMIF(GA!$C:$C,$A124,GA!$X:$X)/($AA124+SUMIF(GA!$C:$C,$A124,GA!$X:$X)),"")</f>
        <v/>
      </c>
      <c r="S124" s="177"/>
      <c r="T124" s="182"/>
      <c r="U124" s="183" t="str">
        <f t="shared" si="9"/>
        <v/>
      </c>
      <c r="V124" s="183" t="str">
        <f>IFERROR(_xlfn.XLOOKUP($A124,Raw_Data!$B:$B,Raw_Data!$KQ:$KQ),"")</f>
        <v/>
      </c>
      <c r="W124" s="184">
        <f t="shared" si="10"/>
        <v>0</v>
      </c>
      <c r="X124" s="176">
        <f>IFERROR(_xlfn.XLOOKUP($A124,Raw_Data!$B:$B,Raw_Data!$KN:$KN),"")</f>
        <v>0</v>
      </c>
      <c r="Y124" s="176">
        <f>IFERROR(_xlfn.XLOOKUP($A124,Raw_Data!$B:$B,Raw_Data!$KC:$KC),"")</f>
        <v>0</v>
      </c>
      <c r="Z124" s="176">
        <f>IFERROR(_xlfn.XLOOKUP($A124,Raw_Data!$B:$B,Raw_Data!$KD:$KD),"")</f>
        <v>0</v>
      </c>
      <c r="AA124" s="176">
        <f>IFERROR(_xlfn.XLOOKUP($A124,Raw_Data!$B:$B,Raw_Data!$KF:$KF),"")</f>
        <v>0</v>
      </c>
      <c r="AB124" s="176">
        <f>IFERROR(_xlfn.XLOOKUP($A124,Raw_Data!$B:$B,Raw_Data!I:I)/1000,"")</f>
        <v>66.75</v>
      </c>
      <c r="AC124" s="185">
        <f>IFERROR(_xlfn.XLOOKUP($D124,'Modelling New'!$D:$D,'Modelling New'!$P:$P),"")</f>
        <v>4.354838709677419</v>
      </c>
      <c r="AD124" s="176">
        <f>IFERROR(_xlfn.XLOOKUP($D124,'Modelling New'!$D:$D,'Modelling New'!$T:$T)*1000,"")</f>
        <v>224112.06615792483</v>
      </c>
      <c r="AE124" s="186">
        <f>IFERROR(_xlfn.XLOOKUP($D124,'Modelling New'!$D:$D,'Modelling New'!$O:$O),"")</f>
        <v>0.77092009208861256</v>
      </c>
      <c r="AF124" s="186">
        <f>IFERROR(_xlfn.XLOOKUP($D124,'Modelling New'!$D:$D,'Modelling New'!$W:$W),"")</f>
        <v>0.13988469412898213</v>
      </c>
      <c r="AG124" s="186">
        <f>IFERROR(_xlfn.XLOOKUP($D124,'Modelling New'!$D:$D,'Modelling New'!$AE:$AE),"")</f>
        <v>0.995</v>
      </c>
      <c r="AH124" s="186">
        <f>IFERROR(_xlfn.XLOOKUP($D124,'Modelling New'!$D:$D,'Modelling New'!$AF:$AF),"")</f>
        <v>0.995</v>
      </c>
      <c r="AI124" s="177"/>
      <c r="AJ124" s="177"/>
      <c r="AK124" s="238"/>
      <c r="AL124" s="238"/>
      <c r="AM124" s="238"/>
      <c r="AN124" s="187"/>
      <c r="AO124" s="184"/>
      <c r="AP124" s="184"/>
      <c r="AQ124" s="184"/>
      <c r="AR124" s="176">
        <f>IFERROR(_xlfn.XLOOKUP($D123,'Modelling New'!$D:$D,'Modelling New'!$N:$N),"")</f>
        <v>66.754999999999995</v>
      </c>
      <c r="AS124" s="176"/>
    </row>
    <row r="125" spans="1:45" x14ac:dyDescent="0.25">
      <c r="A125" s="175">
        <f t="shared" si="11"/>
        <v>45868</v>
      </c>
      <c r="B125" s="176">
        <f>YEAR(Table13[[#This Row],[Date]])+IF(MONTH(Table13[[#This Row],[Date]])&gt;=4,1,0)</f>
        <v>2026</v>
      </c>
      <c r="C125" s="177">
        <f>YEAR(Table13[[#This Row],[Date]])</f>
        <v>2025</v>
      </c>
      <c r="D125" s="178">
        <f>Table13[[#This Row],[Date]]-DAY(Table13[[#This Row],[Date]])+1</f>
        <v>45839</v>
      </c>
      <c r="E125" s="177">
        <f t="shared" si="8"/>
        <v>31</v>
      </c>
      <c r="F125" s="179">
        <f>IFERROR(_xlfn.XLOOKUP($A125,Raw_Data!$B:$B,Raw_Data!$KG:$KG),"")</f>
        <v>0</v>
      </c>
      <c r="G125" s="180">
        <f>IFERROR(_xlfn.XLOOKUP($A125,Raw_Data!$B:$B,Raw_Data!KH:KH),"")</f>
        <v>0</v>
      </c>
      <c r="H125" s="180"/>
      <c r="I125" s="180">
        <f>IFERROR(_xlfn.XLOOKUP($A125,Raw_Data!$B:$B,Raw_Data!$KI:$KI),"")</f>
        <v>0</v>
      </c>
      <c r="J125" s="180"/>
      <c r="K125" s="180">
        <f>IFERROR(_xlfn.XLOOKUP($A125,Raw_Data!$B:$B,Raw_Data!KJ:KJ),"")</f>
        <v>0</v>
      </c>
      <c r="L125" s="180">
        <f>IFERROR(_xlfn.XLOOKUP($A125,Raw_Data!$B:$B,Raw_Data!KK:KK),"")</f>
        <v>0</v>
      </c>
      <c r="M125" s="180">
        <f>IFERROR(_xlfn.XLOOKUP($A125,Raw_Data!$B:$B,Raw_Data!KL:KL),"")</f>
        <v>0</v>
      </c>
      <c r="N125" s="180">
        <f>IFERROR(_xlfn.XLOOKUP($A125,Raw_Data!$B:$B,Raw_Data!KM:KM),"")</f>
        <v>0</v>
      </c>
      <c r="O125" s="181" t="str">
        <f>IFERROR(1-SUMIF(PA!$B:$B,$A125,PA!AJ:AJ)/($AA125+SUMIF(PA!$B:$B,$A125,PA!AJ:AJ)),"")</f>
        <v/>
      </c>
      <c r="P125" s="181"/>
      <c r="Q125" s="182"/>
      <c r="R125" s="181" t="str">
        <f>IFERROR(1-SUMIF(GA!$C:$C,$A125,GA!$X:$X)/($AA125+SUMIF(GA!$C:$C,$A125,GA!$X:$X)),"")</f>
        <v/>
      </c>
      <c r="S125" s="177"/>
      <c r="T125" s="182"/>
      <c r="U125" s="183" t="str">
        <f t="shared" si="9"/>
        <v/>
      </c>
      <c r="V125" s="183" t="str">
        <f>IFERROR(_xlfn.XLOOKUP($A125,Raw_Data!$B:$B,Raw_Data!$KQ:$KQ),"")</f>
        <v/>
      </c>
      <c r="W125" s="184">
        <f t="shared" si="10"/>
        <v>0</v>
      </c>
      <c r="X125" s="176">
        <f>IFERROR(_xlfn.XLOOKUP($A125,Raw_Data!$B:$B,Raw_Data!$KN:$KN),"")</f>
        <v>0</v>
      </c>
      <c r="Y125" s="176">
        <f>IFERROR(_xlfn.XLOOKUP($A125,Raw_Data!$B:$B,Raw_Data!$KC:$KC),"")</f>
        <v>0</v>
      </c>
      <c r="Z125" s="176">
        <f>IFERROR(_xlfn.XLOOKUP($A125,Raw_Data!$B:$B,Raw_Data!$KD:$KD),"")</f>
        <v>0</v>
      </c>
      <c r="AA125" s="176">
        <f>IFERROR(_xlfn.XLOOKUP($A125,Raw_Data!$B:$B,Raw_Data!$KF:$KF),"")</f>
        <v>0</v>
      </c>
      <c r="AB125" s="176">
        <f>IFERROR(_xlfn.XLOOKUP($A125,Raw_Data!$B:$B,Raw_Data!I:I)/1000,"")</f>
        <v>66.75</v>
      </c>
      <c r="AC125" s="185">
        <f>IFERROR(_xlfn.XLOOKUP($D125,'Modelling New'!$D:$D,'Modelling New'!$P:$P),"")</f>
        <v>4.354838709677419</v>
      </c>
      <c r="AD125" s="176">
        <f>IFERROR(_xlfn.XLOOKUP($D125,'Modelling New'!$D:$D,'Modelling New'!$T:$T)*1000,"")</f>
        <v>224112.06615792483</v>
      </c>
      <c r="AE125" s="186">
        <f>IFERROR(_xlfn.XLOOKUP($D125,'Modelling New'!$D:$D,'Modelling New'!$O:$O),"")</f>
        <v>0.77092009208861256</v>
      </c>
      <c r="AF125" s="186">
        <f>IFERROR(_xlfn.XLOOKUP($D125,'Modelling New'!$D:$D,'Modelling New'!$W:$W),"")</f>
        <v>0.13988469412898213</v>
      </c>
      <c r="AG125" s="186">
        <f>IFERROR(_xlfn.XLOOKUP($D125,'Modelling New'!$D:$D,'Modelling New'!$AE:$AE),"")</f>
        <v>0.995</v>
      </c>
      <c r="AH125" s="186">
        <f>IFERROR(_xlfn.XLOOKUP($D125,'Modelling New'!$D:$D,'Modelling New'!$AF:$AF),"")</f>
        <v>0.995</v>
      </c>
      <c r="AI125" s="177"/>
      <c r="AJ125" s="177"/>
      <c r="AK125" s="238"/>
      <c r="AL125" s="238"/>
      <c r="AM125" s="238"/>
      <c r="AN125" s="187"/>
      <c r="AO125" s="184"/>
      <c r="AP125" s="184"/>
      <c r="AQ125" s="184"/>
      <c r="AR125" s="176">
        <f>IFERROR(_xlfn.XLOOKUP($D124,'Modelling New'!$D:$D,'Modelling New'!$N:$N),"")</f>
        <v>66.754999999999995</v>
      </c>
      <c r="AS125" s="176"/>
    </row>
    <row r="126" spans="1:45" x14ac:dyDescent="0.25">
      <c r="A126" s="175">
        <f t="shared" si="11"/>
        <v>45869</v>
      </c>
      <c r="B126" s="176">
        <f>YEAR(Table13[[#This Row],[Date]])+IF(MONTH(Table13[[#This Row],[Date]])&gt;=4,1,0)</f>
        <v>2026</v>
      </c>
      <c r="C126" s="177">
        <f>YEAR(Table13[[#This Row],[Date]])</f>
        <v>2025</v>
      </c>
      <c r="D126" s="178">
        <f>Table13[[#This Row],[Date]]-DAY(Table13[[#This Row],[Date]])+1</f>
        <v>45839</v>
      </c>
      <c r="E126" s="177">
        <f t="shared" si="8"/>
        <v>31</v>
      </c>
      <c r="F126" s="179">
        <f>IFERROR(_xlfn.XLOOKUP($A126,Raw_Data!$B:$B,Raw_Data!$KG:$KG),"")</f>
        <v>0</v>
      </c>
      <c r="G126" s="180">
        <f>IFERROR(_xlfn.XLOOKUP($A126,Raw_Data!$B:$B,Raw_Data!KH:KH),"")</f>
        <v>0</v>
      </c>
      <c r="H126" s="180"/>
      <c r="I126" s="180">
        <f>IFERROR(_xlfn.XLOOKUP($A126,Raw_Data!$B:$B,Raw_Data!$KI:$KI),"")</f>
        <v>0</v>
      </c>
      <c r="J126" s="180"/>
      <c r="K126" s="180">
        <f>IFERROR(_xlfn.XLOOKUP($A126,Raw_Data!$B:$B,Raw_Data!KJ:KJ),"")</f>
        <v>0</v>
      </c>
      <c r="L126" s="180">
        <f>IFERROR(_xlfn.XLOOKUP($A126,Raw_Data!$B:$B,Raw_Data!KK:KK),"")</f>
        <v>0</v>
      </c>
      <c r="M126" s="180">
        <f>IFERROR(_xlfn.XLOOKUP($A126,Raw_Data!$B:$B,Raw_Data!KL:KL),"")</f>
        <v>0</v>
      </c>
      <c r="N126" s="180">
        <f>IFERROR(_xlfn.XLOOKUP($A126,Raw_Data!$B:$B,Raw_Data!KM:KM),"")</f>
        <v>0</v>
      </c>
      <c r="O126" s="181" t="str">
        <f>IFERROR(1-SUMIF(PA!$B:$B,$A126,PA!AJ:AJ)/($AA126+SUMIF(PA!$B:$B,$A126,PA!AJ:AJ)),"")</f>
        <v/>
      </c>
      <c r="P126" s="181"/>
      <c r="Q126" s="182"/>
      <c r="R126" s="181" t="str">
        <f>IFERROR(1-SUMIF(GA!$C:$C,$A126,GA!$X:$X)/($AA126+SUMIF(GA!$C:$C,$A126,GA!$X:$X)),"")</f>
        <v/>
      </c>
      <c r="S126" s="177"/>
      <c r="T126" s="182"/>
      <c r="U126" s="183" t="str">
        <f t="shared" si="9"/>
        <v/>
      </c>
      <c r="V126" s="183" t="str">
        <f>IFERROR(_xlfn.XLOOKUP($A126,Raw_Data!$B:$B,Raw_Data!$KQ:$KQ),"")</f>
        <v/>
      </c>
      <c r="W126" s="184">
        <f t="shared" si="10"/>
        <v>0</v>
      </c>
      <c r="X126" s="176">
        <f>IFERROR(_xlfn.XLOOKUP($A126,Raw_Data!$B:$B,Raw_Data!$KN:$KN),"")</f>
        <v>0</v>
      </c>
      <c r="Y126" s="176">
        <f>IFERROR(_xlfn.XLOOKUP($A126,Raw_Data!$B:$B,Raw_Data!$KC:$KC),"")</f>
        <v>0</v>
      </c>
      <c r="Z126" s="176">
        <f>IFERROR(_xlfn.XLOOKUP($A126,Raw_Data!$B:$B,Raw_Data!$KD:$KD),"")</f>
        <v>0</v>
      </c>
      <c r="AA126" s="176">
        <f>IFERROR(_xlfn.XLOOKUP($A126,Raw_Data!$B:$B,Raw_Data!$KF:$KF),"")</f>
        <v>0</v>
      </c>
      <c r="AB126" s="176">
        <f>IFERROR(_xlfn.XLOOKUP($A126,Raw_Data!$B:$B,Raw_Data!I:I)/1000,"")</f>
        <v>66.75</v>
      </c>
      <c r="AC126" s="185">
        <f>IFERROR(_xlfn.XLOOKUP($D126,'Modelling New'!$D:$D,'Modelling New'!$P:$P),"")</f>
        <v>4.354838709677419</v>
      </c>
      <c r="AD126" s="176">
        <f>IFERROR(_xlfn.XLOOKUP($D126,'Modelling New'!$D:$D,'Modelling New'!$T:$T)*1000,"")</f>
        <v>224112.06615792483</v>
      </c>
      <c r="AE126" s="186">
        <f>IFERROR(_xlfn.XLOOKUP($D126,'Modelling New'!$D:$D,'Modelling New'!$O:$O),"")</f>
        <v>0.77092009208861256</v>
      </c>
      <c r="AF126" s="186">
        <f>IFERROR(_xlfn.XLOOKUP($D126,'Modelling New'!$D:$D,'Modelling New'!$W:$W),"")</f>
        <v>0.13988469412898213</v>
      </c>
      <c r="AG126" s="186">
        <f>IFERROR(_xlfn.XLOOKUP($D126,'Modelling New'!$D:$D,'Modelling New'!$AE:$AE),"")</f>
        <v>0.995</v>
      </c>
      <c r="AH126" s="186">
        <f>IFERROR(_xlfn.XLOOKUP($D126,'Modelling New'!$D:$D,'Modelling New'!$AF:$AF),"")</f>
        <v>0.995</v>
      </c>
      <c r="AI126" s="177"/>
      <c r="AJ126" s="177"/>
      <c r="AK126" s="238"/>
      <c r="AL126" s="238"/>
      <c r="AM126" s="238"/>
      <c r="AN126" s="187"/>
      <c r="AO126" s="184"/>
      <c r="AP126" s="184"/>
      <c r="AQ126" s="184"/>
      <c r="AR126" s="176">
        <f>IFERROR(_xlfn.XLOOKUP($D125,'Modelling New'!$D:$D,'Modelling New'!$N:$N),"")</f>
        <v>66.754999999999995</v>
      </c>
      <c r="AS126" s="176"/>
    </row>
    <row r="127" spans="1:45" x14ac:dyDescent="0.25">
      <c r="A127" s="175">
        <f t="shared" si="11"/>
        <v>45870</v>
      </c>
      <c r="B127" s="176">
        <f>YEAR(Table13[[#This Row],[Date]])+IF(MONTH(Table13[[#This Row],[Date]])&gt;=4,1,0)</f>
        <v>2026</v>
      </c>
      <c r="C127" s="177">
        <f>YEAR(Table13[[#This Row],[Date]])</f>
        <v>2025</v>
      </c>
      <c r="D127" s="178">
        <f>Table13[[#This Row],[Date]]-DAY(Table13[[#This Row],[Date]])+1</f>
        <v>45870</v>
      </c>
      <c r="E127" s="177">
        <f t="shared" si="8"/>
        <v>31</v>
      </c>
      <c r="F127" s="179">
        <f>IFERROR(_xlfn.XLOOKUP($A127,Raw_Data!$B:$B,Raw_Data!$KG:$KG),"")</f>
        <v>0</v>
      </c>
      <c r="G127" s="180">
        <f>IFERROR(_xlfn.XLOOKUP($A127,Raw_Data!$B:$B,Raw_Data!KH:KH),"")</f>
        <v>0</v>
      </c>
      <c r="H127" s="180"/>
      <c r="I127" s="180">
        <f>IFERROR(_xlfn.XLOOKUP($A127,Raw_Data!$B:$B,Raw_Data!$KI:$KI),"")</f>
        <v>0</v>
      </c>
      <c r="J127" s="180"/>
      <c r="K127" s="180">
        <f>IFERROR(_xlfn.XLOOKUP($A127,Raw_Data!$B:$B,Raw_Data!KJ:KJ),"")</f>
        <v>0</v>
      </c>
      <c r="L127" s="180">
        <f>IFERROR(_xlfn.XLOOKUP($A127,Raw_Data!$B:$B,Raw_Data!KK:KK),"")</f>
        <v>0</v>
      </c>
      <c r="M127" s="180">
        <f>IFERROR(_xlfn.XLOOKUP($A127,Raw_Data!$B:$B,Raw_Data!KL:KL),"")</f>
        <v>0</v>
      </c>
      <c r="N127" s="180">
        <f>IFERROR(_xlfn.XLOOKUP($A127,Raw_Data!$B:$B,Raw_Data!KM:KM),"")</f>
        <v>0</v>
      </c>
      <c r="O127" s="181" t="str">
        <f>IFERROR(1-SUMIF(PA!$B:$B,$A127,PA!AJ:AJ)/($AA127+SUMIF(PA!$B:$B,$A127,PA!AJ:AJ)),"")</f>
        <v/>
      </c>
      <c r="P127" s="181"/>
      <c r="Q127" s="182"/>
      <c r="R127" s="181" t="str">
        <f>IFERROR(1-SUMIF(GA!$C:$C,$A127,GA!$X:$X)/($AA127+SUMIF(GA!$C:$C,$A127,GA!$X:$X)),"")</f>
        <v/>
      </c>
      <c r="S127" s="177"/>
      <c r="T127" s="182"/>
      <c r="U127" s="183" t="str">
        <f t="shared" si="9"/>
        <v/>
      </c>
      <c r="V127" s="183" t="str">
        <f>IFERROR(_xlfn.XLOOKUP($A127,Raw_Data!$B:$B,Raw_Data!$KQ:$KQ),"")</f>
        <v/>
      </c>
      <c r="W127" s="184">
        <f t="shared" si="10"/>
        <v>0</v>
      </c>
      <c r="X127" s="176">
        <f>IFERROR(_xlfn.XLOOKUP($A127,Raw_Data!$B:$B,Raw_Data!$KN:$KN),"")</f>
        <v>0</v>
      </c>
      <c r="Y127" s="176">
        <f>IFERROR(_xlfn.XLOOKUP($A127,Raw_Data!$B:$B,Raw_Data!$KC:$KC),"")</f>
        <v>0</v>
      </c>
      <c r="Z127" s="176">
        <f>IFERROR(_xlfn.XLOOKUP($A127,Raw_Data!$B:$B,Raw_Data!$KD:$KD),"")</f>
        <v>0</v>
      </c>
      <c r="AA127" s="176">
        <f>IFERROR(_xlfn.XLOOKUP($A127,Raw_Data!$B:$B,Raw_Data!$KF:$KF),"")</f>
        <v>0</v>
      </c>
      <c r="AB127" s="176">
        <f>IFERROR(_xlfn.XLOOKUP($A127,Raw_Data!$B:$B,Raw_Data!I:I)/1000,"")</f>
        <v>66.75</v>
      </c>
      <c r="AC127" s="185">
        <f>IFERROR(_xlfn.XLOOKUP($D127,'Modelling New'!$D:$D,'Modelling New'!$P:$P),"")</f>
        <v>4.6419354838709683</v>
      </c>
      <c r="AD127" s="176">
        <f>IFERROR(_xlfn.XLOOKUP($D127,'Modelling New'!$D:$D,'Modelling New'!$T:$T)*1000,"")</f>
        <v>240509.75824924873</v>
      </c>
      <c r="AE127" s="186">
        <f>IFERROR(_xlfn.XLOOKUP($D127,'Modelling New'!$D:$D,'Modelling New'!$O:$O),"")</f>
        <v>0.77615739815974316</v>
      </c>
      <c r="AF127" s="186">
        <f>IFERROR(_xlfn.XLOOKUP($D127,'Modelling New'!$D:$D,'Modelling New'!$W:$W),"")</f>
        <v>0.15011969031611161</v>
      </c>
      <c r="AG127" s="186">
        <f>IFERROR(_xlfn.XLOOKUP($D127,'Modelling New'!$D:$D,'Modelling New'!$AE:$AE),"")</f>
        <v>0.995</v>
      </c>
      <c r="AH127" s="186">
        <f>IFERROR(_xlfn.XLOOKUP($D127,'Modelling New'!$D:$D,'Modelling New'!$AF:$AF),"")</f>
        <v>0.995</v>
      </c>
      <c r="AI127" s="177"/>
      <c r="AJ127" s="177"/>
      <c r="AK127" s="238"/>
      <c r="AL127" s="238"/>
      <c r="AM127" s="238"/>
      <c r="AN127" s="187"/>
      <c r="AO127" s="184"/>
      <c r="AP127" s="184"/>
      <c r="AQ127" s="184"/>
      <c r="AR127" s="176">
        <f>IFERROR(_xlfn.XLOOKUP($D126,'Modelling New'!$D:$D,'Modelling New'!$N:$N),"")</f>
        <v>66.754999999999995</v>
      </c>
      <c r="AS127" s="176"/>
    </row>
    <row r="128" spans="1:45" x14ac:dyDescent="0.25">
      <c r="A128" s="175">
        <f t="shared" si="11"/>
        <v>45871</v>
      </c>
      <c r="B128" s="176">
        <f>YEAR(Table13[[#This Row],[Date]])+IF(MONTH(Table13[[#This Row],[Date]])&gt;=4,1,0)</f>
        <v>2026</v>
      </c>
      <c r="C128" s="177">
        <f>YEAR(Table13[[#This Row],[Date]])</f>
        <v>2025</v>
      </c>
      <c r="D128" s="178">
        <f>Table13[[#This Row],[Date]]-DAY(Table13[[#This Row],[Date]])+1</f>
        <v>45870</v>
      </c>
      <c r="E128" s="177">
        <f t="shared" si="8"/>
        <v>31</v>
      </c>
      <c r="F128" s="179">
        <f>IFERROR(_xlfn.XLOOKUP($A128,Raw_Data!$B:$B,Raw_Data!$KG:$KG),"")</f>
        <v>0</v>
      </c>
      <c r="G128" s="180">
        <f>IFERROR(_xlfn.XLOOKUP($A128,Raw_Data!$B:$B,Raw_Data!KH:KH),"")</f>
        <v>0</v>
      </c>
      <c r="H128" s="180"/>
      <c r="I128" s="180">
        <f>IFERROR(_xlfn.XLOOKUP($A128,Raw_Data!$B:$B,Raw_Data!$KI:$KI),"")</f>
        <v>0</v>
      </c>
      <c r="J128" s="180"/>
      <c r="K128" s="180">
        <f>IFERROR(_xlfn.XLOOKUP($A128,Raw_Data!$B:$B,Raw_Data!KJ:KJ),"")</f>
        <v>0</v>
      </c>
      <c r="L128" s="180">
        <f>IFERROR(_xlfn.XLOOKUP($A128,Raw_Data!$B:$B,Raw_Data!KK:KK),"")</f>
        <v>0</v>
      </c>
      <c r="M128" s="180">
        <f>IFERROR(_xlfn.XLOOKUP($A128,Raw_Data!$B:$B,Raw_Data!KL:KL),"")</f>
        <v>0</v>
      </c>
      <c r="N128" s="180">
        <f>IFERROR(_xlfn.XLOOKUP($A128,Raw_Data!$B:$B,Raw_Data!KM:KM),"")</f>
        <v>0</v>
      </c>
      <c r="O128" s="181" t="str">
        <f>IFERROR(1-SUMIF(PA!$B:$B,$A128,PA!AJ:AJ)/($AA128+SUMIF(PA!$B:$B,$A128,PA!AJ:AJ)),"")</f>
        <v/>
      </c>
      <c r="P128" s="181"/>
      <c r="Q128" s="182"/>
      <c r="R128" s="181" t="str">
        <f>IFERROR(1-SUMIF(GA!$C:$C,$A128,GA!$X:$X)/($AA128+SUMIF(GA!$C:$C,$A128,GA!$X:$X)),"")</f>
        <v/>
      </c>
      <c r="S128" s="177"/>
      <c r="T128" s="182"/>
      <c r="U128" s="183" t="str">
        <f t="shared" si="9"/>
        <v/>
      </c>
      <c r="V128" s="183" t="str">
        <f>IFERROR(_xlfn.XLOOKUP($A128,Raw_Data!$B:$B,Raw_Data!$KQ:$KQ),"")</f>
        <v/>
      </c>
      <c r="W128" s="184">
        <f t="shared" si="10"/>
        <v>0</v>
      </c>
      <c r="X128" s="176">
        <f>IFERROR(_xlfn.XLOOKUP($A128,Raw_Data!$B:$B,Raw_Data!$KN:$KN),"")</f>
        <v>0</v>
      </c>
      <c r="Y128" s="176">
        <f>IFERROR(_xlfn.XLOOKUP($A128,Raw_Data!$B:$B,Raw_Data!$KC:$KC),"")</f>
        <v>0</v>
      </c>
      <c r="Z128" s="176">
        <f>IFERROR(_xlfn.XLOOKUP($A128,Raw_Data!$B:$B,Raw_Data!$KD:$KD),"")</f>
        <v>0</v>
      </c>
      <c r="AA128" s="176">
        <f>IFERROR(_xlfn.XLOOKUP($A128,Raw_Data!$B:$B,Raw_Data!$KF:$KF),"")</f>
        <v>0</v>
      </c>
      <c r="AB128" s="176">
        <f>IFERROR(_xlfn.XLOOKUP($A128,Raw_Data!$B:$B,Raw_Data!I:I)/1000,"")</f>
        <v>66.75</v>
      </c>
      <c r="AC128" s="185">
        <f>IFERROR(_xlfn.XLOOKUP($D128,'Modelling New'!$D:$D,'Modelling New'!$P:$P),"")</f>
        <v>4.6419354838709683</v>
      </c>
      <c r="AD128" s="176">
        <f>IFERROR(_xlfn.XLOOKUP($D128,'Modelling New'!$D:$D,'Modelling New'!$T:$T)*1000,"")</f>
        <v>240509.75824924873</v>
      </c>
      <c r="AE128" s="186">
        <f>IFERROR(_xlfn.XLOOKUP($D128,'Modelling New'!$D:$D,'Modelling New'!$O:$O),"")</f>
        <v>0.77615739815974316</v>
      </c>
      <c r="AF128" s="186">
        <f>IFERROR(_xlfn.XLOOKUP($D128,'Modelling New'!$D:$D,'Modelling New'!$W:$W),"")</f>
        <v>0.15011969031611161</v>
      </c>
      <c r="AG128" s="186">
        <f>IFERROR(_xlfn.XLOOKUP($D128,'Modelling New'!$D:$D,'Modelling New'!$AE:$AE),"")</f>
        <v>0.995</v>
      </c>
      <c r="AH128" s="186">
        <f>IFERROR(_xlfn.XLOOKUP($D128,'Modelling New'!$D:$D,'Modelling New'!$AF:$AF),"")</f>
        <v>0.995</v>
      </c>
      <c r="AI128" s="177"/>
      <c r="AJ128" s="177"/>
      <c r="AK128" s="238"/>
      <c r="AL128" s="238"/>
      <c r="AM128" s="238"/>
      <c r="AN128" s="187"/>
      <c r="AO128" s="184"/>
      <c r="AP128" s="184"/>
      <c r="AQ128" s="184"/>
      <c r="AR128" s="176">
        <f>IFERROR(_xlfn.XLOOKUP($D127,'Modelling New'!$D:$D,'Modelling New'!$N:$N),"")</f>
        <v>66.754999999999995</v>
      </c>
      <c r="AS128" s="176"/>
    </row>
    <row r="129" spans="1:45" x14ac:dyDescent="0.25">
      <c r="A129" s="175">
        <f t="shared" si="11"/>
        <v>45872</v>
      </c>
      <c r="B129" s="176">
        <f>YEAR(Table13[[#This Row],[Date]])+IF(MONTH(Table13[[#This Row],[Date]])&gt;=4,1,0)</f>
        <v>2026</v>
      </c>
      <c r="C129" s="177">
        <f>YEAR(Table13[[#This Row],[Date]])</f>
        <v>2025</v>
      </c>
      <c r="D129" s="178">
        <f>Table13[[#This Row],[Date]]-DAY(Table13[[#This Row],[Date]])+1</f>
        <v>45870</v>
      </c>
      <c r="E129" s="177">
        <f t="shared" si="8"/>
        <v>31</v>
      </c>
      <c r="F129" s="179">
        <f>IFERROR(_xlfn.XLOOKUP($A129,Raw_Data!$B:$B,Raw_Data!$KG:$KG),"")</f>
        <v>0</v>
      </c>
      <c r="G129" s="180">
        <f>IFERROR(_xlfn.XLOOKUP($A129,Raw_Data!$B:$B,Raw_Data!KH:KH),"")</f>
        <v>0</v>
      </c>
      <c r="H129" s="180"/>
      <c r="I129" s="180">
        <f>IFERROR(_xlfn.XLOOKUP($A129,Raw_Data!$B:$B,Raw_Data!$KI:$KI),"")</f>
        <v>0</v>
      </c>
      <c r="J129" s="180"/>
      <c r="K129" s="180">
        <f>IFERROR(_xlfn.XLOOKUP($A129,Raw_Data!$B:$B,Raw_Data!KJ:KJ),"")</f>
        <v>0</v>
      </c>
      <c r="L129" s="180">
        <f>IFERROR(_xlfn.XLOOKUP($A129,Raw_Data!$B:$B,Raw_Data!KK:KK),"")</f>
        <v>0</v>
      </c>
      <c r="M129" s="180">
        <f>IFERROR(_xlfn.XLOOKUP($A129,Raw_Data!$B:$B,Raw_Data!KL:KL),"")</f>
        <v>0</v>
      </c>
      <c r="N129" s="180">
        <f>IFERROR(_xlfn.XLOOKUP($A129,Raw_Data!$B:$B,Raw_Data!KM:KM),"")</f>
        <v>0</v>
      </c>
      <c r="O129" s="181" t="str">
        <f>IFERROR(1-SUMIF(PA!$B:$B,$A129,PA!AJ:AJ)/($AA129+SUMIF(PA!$B:$B,$A129,PA!AJ:AJ)),"")</f>
        <v/>
      </c>
      <c r="P129" s="181"/>
      <c r="Q129" s="182"/>
      <c r="R129" s="181" t="str">
        <f>IFERROR(1-SUMIF(GA!$C:$C,$A129,GA!$X:$X)/($AA129+SUMIF(GA!$C:$C,$A129,GA!$X:$X)),"")</f>
        <v/>
      </c>
      <c r="S129" s="177"/>
      <c r="T129" s="182"/>
      <c r="U129" s="183" t="str">
        <f t="shared" si="9"/>
        <v/>
      </c>
      <c r="V129" s="183" t="str">
        <f>IFERROR(_xlfn.XLOOKUP($A129,Raw_Data!$B:$B,Raw_Data!$KQ:$KQ),"")</f>
        <v/>
      </c>
      <c r="W129" s="184">
        <f t="shared" si="10"/>
        <v>0</v>
      </c>
      <c r="X129" s="176">
        <f>IFERROR(_xlfn.XLOOKUP($A129,Raw_Data!$B:$B,Raw_Data!$KN:$KN),"")</f>
        <v>0</v>
      </c>
      <c r="Y129" s="176">
        <f>IFERROR(_xlfn.XLOOKUP($A129,Raw_Data!$B:$B,Raw_Data!$KC:$KC),"")</f>
        <v>0</v>
      </c>
      <c r="Z129" s="176">
        <f>IFERROR(_xlfn.XLOOKUP($A129,Raw_Data!$B:$B,Raw_Data!$KD:$KD),"")</f>
        <v>0</v>
      </c>
      <c r="AA129" s="176">
        <f>IFERROR(_xlfn.XLOOKUP($A129,Raw_Data!$B:$B,Raw_Data!$KF:$KF),"")</f>
        <v>0</v>
      </c>
      <c r="AB129" s="176">
        <f>IFERROR(_xlfn.XLOOKUP($A129,Raw_Data!$B:$B,Raw_Data!I:I)/1000,"")</f>
        <v>66.75</v>
      </c>
      <c r="AC129" s="185">
        <f>IFERROR(_xlfn.XLOOKUP($D129,'Modelling New'!$D:$D,'Modelling New'!$P:$P),"")</f>
        <v>4.6419354838709683</v>
      </c>
      <c r="AD129" s="176">
        <f>IFERROR(_xlfn.XLOOKUP($D129,'Modelling New'!$D:$D,'Modelling New'!$T:$T)*1000,"")</f>
        <v>240509.75824924873</v>
      </c>
      <c r="AE129" s="186">
        <f>IFERROR(_xlfn.XLOOKUP($D129,'Modelling New'!$D:$D,'Modelling New'!$O:$O),"")</f>
        <v>0.77615739815974316</v>
      </c>
      <c r="AF129" s="186">
        <f>IFERROR(_xlfn.XLOOKUP($D129,'Modelling New'!$D:$D,'Modelling New'!$W:$W),"")</f>
        <v>0.15011969031611161</v>
      </c>
      <c r="AG129" s="186">
        <f>IFERROR(_xlfn.XLOOKUP($D129,'Modelling New'!$D:$D,'Modelling New'!$AE:$AE),"")</f>
        <v>0.995</v>
      </c>
      <c r="AH129" s="186">
        <f>IFERROR(_xlfn.XLOOKUP($D129,'Modelling New'!$D:$D,'Modelling New'!$AF:$AF),"")</f>
        <v>0.995</v>
      </c>
      <c r="AI129" s="177"/>
      <c r="AJ129" s="177"/>
      <c r="AK129" s="238"/>
      <c r="AL129" s="238"/>
      <c r="AM129" s="238"/>
      <c r="AN129" s="187"/>
      <c r="AO129" s="184"/>
      <c r="AP129" s="184"/>
      <c r="AQ129" s="184"/>
      <c r="AR129" s="176">
        <f>IFERROR(_xlfn.XLOOKUP($D128,'Modelling New'!$D:$D,'Modelling New'!$N:$N),"")</f>
        <v>66.754999999999995</v>
      </c>
      <c r="AS129" s="176"/>
    </row>
    <row r="130" spans="1:45" x14ac:dyDescent="0.25">
      <c r="A130" s="175">
        <f t="shared" si="11"/>
        <v>45873</v>
      </c>
      <c r="B130" s="176">
        <f>YEAR(Table13[[#This Row],[Date]])+IF(MONTH(Table13[[#This Row],[Date]])&gt;=4,1,0)</f>
        <v>2026</v>
      </c>
      <c r="C130" s="177">
        <f>YEAR(Table13[[#This Row],[Date]])</f>
        <v>2025</v>
      </c>
      <c r="D130" s="178">
        <f>Table13[[#This Row],[Date]]-DAY(Table13[[#This Row],[Date]])+1</f>
        <v>45870</v>
      </c>
      <c r="E130" s="177">
        <f t="shared" si="8"/>
        <v>31</v>
      </c>
      <c r="F130" s="179" t="str">
        <f>IFERROR(_xlfn.XLOOKUP($A130,Raw_Data!$B:$B,Raw_Data!$KG:$KG),"")</f>
        <v/>
      </c>
      <c r="G130" s="180" t="str">
        <f>IFERROR(_xlfn.XLOOKUP($A130,Raw_Data!$B:$B,Raw_Data!KH:KH),"")</f>
        <v/>
      </c>
      <c r="H130" s="180"/>
      <c r="I130" s="180" t="str">
        <f>IFERROR(_xlfn.XLOOKUP($A130,Raw_Data!$B:$B,Raw_Data!$KI:$KI),"")</f>
        <v/>
      </c>
      <c r="J130" s="180"/>
      <c r="K130" s="180" t="str">
        <f>IFERROR(_xlfn.XLOOKUP($A130,Raw_Data!$B:$B,Raw_Data!KJ:KJ),"")</f>
        <v/>
      </c>
      <c r="L130" s="180" t="str">
        <f>IFERROR(_xlfn.XLOOKUP($A130,Raw_Data!$B:$B,Raw_Data!KK:KK),"")</f>
        <v/>
      </c>
      <c r="M130" s="180" t="str">
        <f>IFERROR(_xlfn.XLOOKUP($A130,Raw_Data!$B:$B,Raw_Data!KL:KL),"")</f>
        <v/>
      </c>
      <c r="N130" s="180" t="str">
        <f>IFERROR(_xlfn.XLOOKUP($A130,Raw_Data!$B:$B,Raw_Data!KM:KM),"")</f>
        <v/>
      </c>
      <c r="O130" s="181" t="str">
        <f>IFERROR(1-SUMIF(PA!$B:$B,$A130,PA!AJ:AJ)/($AA130+SUMIF(PA!$B:$B,$A130,PA!AJ:AJ)),"")</f>
        <v/>
      </c>
      <c r="P130" s="181"/>
      <c r="Q130" s="182"/>
      <c r="R130" s="181" t="str">
        <f>IFERROR(1-SUMIF(GA!$C:$C,$A130,GA!$X:$X)/($AA130+SUMIF(GA!$C:$C,$A130,GA!$X:$X)),"")</f>
        <v/>
      </c>
      <c r="S130" s="177"/>
      <c r="T130" s="182"/>
      <c r="U130" s="183" t="str">
        <f t="shared" si="9"/>
        <v/>
      </c>
      <c r="V130" s="183" t="str">
        <f>IFERROR(_xlfn.XLOOKUP($A130,Raw_Data!$B:$B,Raw_Data!$KQ:$KQ),"")</f>
        <v/>
      </c>
      <c r="W130" s="184" t="str">
        <f t="shared" si="10"/>
        <v/>
      </c>
      <c r="X130" s="176" t="str">
        <f>IFERROR(_xlfn.XLOOKUP($A130,Raw_Data!$B:$B,Raw_Data!$KN:$KN),"")</f>
        <v/>
      </c>
      <c r="Y130" s="176" t="str">
        <f>IFERROR(_xlfn.XLOOKUP($A130,Raw_Data!$B:$B,Raw_Data!$KC:$KC),"")</f>
        <v/>
      </c>
      <c r="Z130" s="176" t="str">
        <f>IFERROR(_xlfn.XLOOKUP($A130,Raw_Data!$B:$B,Raw_Data!$KD:$KD),"")</f>
        <v/>
      </c>
      <c r="AA130" s="176" t="str">
        <f>IFERROR(_xlfn.XLOOKUP($A130,Raw_Data!$B:$B,Raw_Data!$KF:$KF),"")</f>
        <v/>
      </c>
      <c r="AB130" s="176" t="str">
        <f>IFERROR(_xlfn.XLOOKUP($A130,Raw_Data!$B:$B,Raw_Data!I:I)/1000,"")</f>
        <v/>
      </c>
      <c r="AC130" s="185">
        <f>IFERROR(_xlfn.XLOOKUP($D130,'Modelling New'!$D:$D,'Modelling New'!$P:$P),"")</f>
        <v>4.6419354838709683</v>
      </c>
      <c r="AD130" s="176">
        <f>IFERROR(_xlfn.XLOOKUP($D130,'Modelling New'!$D:$D,'Modelling New'!$T:$T)*1000,"")</f>
        <v>240509.75824924873</v>
      </c>
      <c r="AE130" s="186">
        <f>IFERROR(_xlfn.XLOOKUP($D130,'Modelling New'!$D:$D,'Modelling New'!$O:$O),"")</f>
        <v>0.77615739815974316</v>
      </c>
      <c r="AF130" s="186">
        <f>IFERROR(_xlfn.XLOOKUP($D130,'Modelling New'!$D:$D,'Modelling New'!$W:$W),"")</f>
        <v>0.15011969031611161</v>
      </c>
      <c r="AG130" s="186">
        <f>IFERROR(_xlfn.XLOOKUP($D130,'Modelling New'!$D:$D,'Modelling New'!$AE:$AE),"")</f>
        <v>0.995</v>
      </c>
      <c r="AH130" s="186">
        <f>IFERROR(_xlfn.XLOOKUP($D130,'Modelling New'!$D:$D,'Modelling New'!$AF:$AF),"")</f>
        <v>0.995</v>
      </c>
      <c r="AI130" s="177"/>
      <c r="AJ130" s="177"/>
      <c r="AK130" s="238"/>
      <c r="AL130" s="238"/>
      <c r="AM130" s="238"/>
      <c r="AN130" s="187"/>
      <c r="AO130" s="184"/>
      <c r="AP130" s="184"/>
      <c r="AQ130" s="184"/>
      <c r="AR130" s="176">
        <f>IFERROR(_xlfn.XLOOKUP($D129,'Modelling New'!$D:$D,'Modelling New'!$N:$N),"")</f>
        <v>66.754999999999995</v>
      </c>
      <c r="AS130" s="176"/>
    </row>
    <row r="131" spans="1:45" x14ac:dyDescent="0.25">
      <c r="A131" s="175">
        <f t="shared" si="11"/>
        <v>45874</v>
      </c>
      <c r="B131" s="176">
        <f>YEAR(Table13[[#This Row],[Date]])+IF(MONTH(Table13[[#This Row],[Date]])&gt;=4,1,0)</f>
        <v>2026</v>
      </c>
      <c r="C131" s="177">
        <f>YEAR(Table13[[#This Row],[Date]])</f>
        <v>2025</v>
      </c>
      <c r="D131" s="178">
        <f>Table13[[#This Row],[Date]]-DAY(Table13[[#This Row],[Date]])+1</f>
        <v>45870</v>
      </c>
      <c r="E131" s="177">
        <f t="shared" si="8"/>
        <v>31</v>
      </c>
      <c r="F131" s="179" t="str">
        <f>IFERROR(_xlfn.XLOOKUP($A131,Raw_Data!$B:$B,Raw_Data!$KG:$KG),"")</f>
        <v/>
      </c>
      <c r="G131" s="180" t="str">
        <f>IFERROR(_xlfn.XLOOKUP($A131,Raw_Data!$B:$B,Raw_Data!KH:KH),"")</f>
        <v/>
      </c>
      <c r="H131" s="180"/>
      <c r="I131" s="180" t="str">
        <f>IFERROR(_xlfn.XLOOKUP($A131,Raw_Data!$B:$B,Raw_Data!$KI:$KI),"")</f>
        <v/>
      </c>
      <c r="J131" s="180"/>
      <c r="K131" s="180" t="str">
        <f>IFERROR(_xlfn.XLOOKUP($A131,Raw_Data!$B:$B,Raw_Data!KJ:KJ),"")</f>
        <v/>
      </c>
      <c r="L131" s="180" t="str">
        <f>IFERROR(_xlfn.XLOOKUP($A131,Raw_Data!$B:$B,Raw_Data!KK:KK),"")</f>
        <v/>
      </c>
      <c r="M131" s="180" t="str">
        <f>IFERROR(_xlfn.XLOOKUP($A131,Raw_Data!$B:$B,Raw_Data!KL:KL),"")</f>
        <v/>
      </c>
      <c r="N131" s="180" t="str">
        <f>IFERROR(_xlfn.XLOOKUP($A131,Raw_Data!$B:$B,Raw_Data!KM:KM),"")</f>
        <v/>
      </c>
      <c r="O131" s="181" t="str">
        <f>IFERROR(1-SUMIF(PA!$B:$B,$A131,PA!AJ:AJ)/($AA131+SUMIF(PA!$B:$B,$A131,PA!AJ:AJ)),"")</f>
        <v/>
      </c>
      <c r="P131" s="181"/>
      <c r="Q131" s="182"/>
      <c r="R131" s="181" t="str">
        <f>IFERROR(1-SUMIF(GA!$C:$C,$A131,GA!$X:$X)/($AA131+SUMIF(GA!$C:$C,$A131,GA!$X:$X)),"")</f>
        <v/>
      </c>
      <c r="S131" s="177"/>
      <c r="T131" s="182"/>
      <c r="U131" s="183" t="str">
        <f t="shared" si="9"/>
        <v/>
      </c>
      <c r="V131" s="183" t="str">
        <f>IFERROR(_xlfn.XLOOKUP($A131,Raw_Data!$B:$B,Raw_Data!$KQ:$KQ),"")</f>
        <v/>
      </c>
      <c r="W131" s="184" t="str">
        <f t="shared" si="10"/>
        <v/>
      </c>
      <c r="X131" s="176" t="str">
        <f>IFERROR(_xlfn.XLOOKUP($A131,Raw_Data!$B:$B,Raw_Data!$KN:$KN),"")</f>
        <v/>
      </c>
      <c r="Y131" s="176" t="str">
        <f>IFERROR(_xlfn.XLOOKUP($A131,Raw_Data!$B:$B,Raw_Data!$KC:$KC),"")</f>
        <v/>
      </c>
      <c r="Z131" s="176" t="str">
        <f>IFERROR(_xlfn.XLOOKUP($A131,Raw_Data!$B:$B,Raw_Data!$KD:$KD),"")</f>
        <v/>
      </c>
      <c r="AA131" s="176" t="str">
        <f>IFERROR(_xlfn.XLOOKUP($A131,Raw_Data!$B:$B,Raw_Data!$KF:$KF),"")</f>
        <v/>
      </c>
      <c r="AB131" s="176" t="str">
        <f>IFERROR(_xlfn.XLOOKUP($A131,Raw_Data!$B:$B,Raw_Data!I:I)/1000,"")</f>
        <v/>
      </c>
      <c r="AC131" s="185">
        <f>IFERROR(_xlfn.XLOOKUP($D131,'Modelling New'!$D:$D,'Modelling New'!$P:$P),"")</f>
        <v>4.6419354838709683</v>
      </c>
      <c r="AD131" s="176">
        <f>IFERROR(_xlfn.XLOOKUP($D131,'Modelling New'!$D:$D,'Modelling New'!$T:$T)*1000,"")</f>
        <v>240509.75824924873</v>
      </c>
      <c r="AE131" s="186">
        <f>IFERROR(_xlfn.XLOOKUP($D131,'Modelling New'!$D:$D,'Modelling New'!$O:$O),"")</f>
        <v>0.77615739815974316</v>
      </c>
      <c r="AF131" s="186">
        <f>IFERROR(_xlfn.XLOOKUP($D131,'Modelling New'!$D:$D,'Modelling New'!$W:$W),"")</f>
        <v>0.15011969031611161</v>
      </c>
      <c r="AG131" s="186">
        <f>IFERROR(_xlfn.XLOOKUP($D131,'Modelling New'!$D:$D,'Modelling New'!$AE:$AE),"")</f>
        <v>0.995</v>
      </c>
      <c r="AH131" s="186">
        <f>IFERROR(_xlfn.XLOOKUP($D131,'Modelling New'!$D:$D,'Modelling New'!$AF:$AF),"")</f>
        <v>0.995</v>
      </c>
      <c r="AI131" s="177"/>
      <c r="AJ131" s="177"/>
      <c r="AK131" s="238"/>
      <c r="AL131" s="238"/>
      <c r="AM131" s="238"/>
      <c r="AN131" s="187"/>
      <c r="AO131" s="184"/>
      <c r="AP131" s="184"/>
      <c r="AQ131" s="184"/>
      <c r="AR131" s="176">
        <f>IFERROR(_xlfn.XLOOKUP($D130,'Modelling New'!$D:$D,'Modelling New'!$N:$N),"")</f>
        <v>66.754999999999995</v>
      </c>
      <c r="AS131" s="176"/>
    </row>
    <row r="132" spans="1:45" x14ac:dyDescent="0.25">
      <c r="A132" s="175">
        <f t="shared" si="11"/>
        <v>45875</v>
      </c>
      <c r="B132" s="176">
        <f>YEAR(Table13[[#This Row],[Date]])+IF(MONTH(Table13[[#This Row],[Date]])&gt;=4,1,0)</f>
        <v>2026</v>
      </c>
      <c r="C132" s="177">
        <f>YEAR(Table13[[#This Row],[Date]])</f>
        <v>2025</v>
      </c>
      <c r="D132" s="178">
        <f>Table13[[#This Row],[Date]]-DAY(Table13[[#This Row],[Date]])+1</f>
        <v>45870</v>
      </c>
      <c r="E132" s="177">
        <f t="shared" si="8"/>
        <v>31</v>
      </c>
      <c r="F132" s="179" t="str">
        <f>IFERROR(_xlfn.XLOOKUP($A132,Raw_Data!$B:$B,Raw_Data!$KG:$KG),"")</f>
        <v/>
      </c>
      <c r="G132" s="180" t="str">
        <f>IFERROR(_xlfn.XLOOKUP($A132,Raw_Data!$B:$B,Raw_Data!KH:KH),"")</f>
        <v/>
      </c>
      <c r="H132" s="180"/>
      <c r="I132" s="180" t="str">
        <f>IFERROR(_xlfn.XLOOKUP($A132,Raw_Data!$B:$B,Raw_Data!$KI:$KI),"")</f>
        <v/>
      </c>
      <c r="J132" s="180"/>
      <c r="K132" s="180" t="str">
        <f>IFERROR(_xlfn.XLOOKUP($A132,Raw_Data!$B:$B,Raw_Data!KJ:KJ),"")</f>
        <v/>
      </c>
      <c r="L132" s="180" t="str">
        <f>IFERROR(_xlfn.XLOOKUP($A132,Raw_Data!$B:$B,Raw_Data!KK:KK),"")</f>
        <v/>
      </c>
      <c r="M132" s="180" t="str">
        <f>IFERROR(_xlfn.XLOOKUP($A132,Raw_Data!$B:$B,Raw_Data!KL:KL),"")</f>
        <v/>
      </c>
      <c r="N132" s="180" t="str">
        <f>IFERROR(_xlfn.XLOOKUP($A132,Raw_Data!$B:$B,Raw_Data!KM:KM),"")</f>
        <v/>
      </c>
      <c r="O132" s="181" t="str">
        <f>IFERROR(1-SUMIF(PA!$B:$B,$A132,PA!AJ:AJ)/($AA132+SUMIF(PA!$B:$B,$A132,PA!AJ:AJ)),"")</f>
        <v/>
      </c>
      <c r="P132" s="181"/>
      <c r="Q132" s="182"/>
      <c r="R132" s="181" t="str">
        <f>IFERROR(1-SUMIF(GA!$C:$C,$A132,GA!$X:$X)/($AA132+SUMIF(GA!$C:$C,$A132,GA!$X:$X)),"")</f>
        <v/>
      </c>
      <c r="S132" s="177"/>
      <c r="T132" s="182"/>
      <c r="U132" s="183" t="str">
        <f t="shared" si="9"/>
        <v/>
      </c>
      <c r="V132" s="183" t="str">
        <f>IFERROR(_xlfn.XLOOKUP($A132,Raw_Data!$B:$B,Raw_Data!$KQ:$KQ),"")</f>
        <v/>
      </c>
      <c r="W132" s="184" t="str">
        <f t="shared" si="10"/>
        <v/>
      </c>
      <c r="X132" s="176" t="str">
        <f>IFERROR(_xlfn.XLOOKUP($A132,Raw_Data!$B:$B,Raw_Data!$KN:$KN),"")</f>
        <v/>
      </c>
      <c r="Y132" s="176" t="str">
        <f>IFERROR(_xlfn.XLOOKUP($A132,Raw_Data!$B:$B,Raw_Data!$KC:$KC),"")</f>
        <v/>
      </c>
      <c r="Z132" s="176" t="str">
        <f>IFERROR(_xlfn.XLOOKUP($A132,Raw_Data!$B:$B,Raw_Data!$KD:$KD),"")</f>
        <v/>
      </c>
      <c r="AA132" s="176" t="str">
        <f>IFERROR(_xlfn.XLOOKUP($A132,Raw_Data!$B:$B,Raw_Data!$KF:$KF),"")</f>
        <v/>
      </c>
      <c r="AB132" s="176" t="str">
        <f>IFERROR(_xlfn.XLOOKUP($A132,Raw_Data!$B:$B,Raw_Data!I:I)/1000,"")</f>
        <v/>
      </c>
      <c r="AC132" s="185">
        <f>IFERROR(_xlfn.XLOOKUP($D132,'Modelling New'!$D:$D,'Modelling New'!$P:$P),"")</f>
        <v>4.6419354838709683</v>
      </c>
      <c r="AD132" s="176">
        <f>IFERROR(_xlfn.XLOOKUP($D132,'Modelling New'!$D:$D,'Modelling New'!$T:$T)*1000,"")</f>
        <v>240509.75824924873</v>
      </c>
      <c r="AE132" s="186">
        <f>IFERROR(_xlfn.XLOOKUP($D132,'Modelling New'!$D:$D,'Modelling New'!$O:$O),"")</f>
        <v>0.77615739815974316</v>
      </c>
      <c r="AF132" s="186">
        <f>IFERROR(_xlfn.XLOOKUP($D132,'Modelling New'!$D:$D,'Modelling New'!$W:$W),"")</f>
        <v>0.15011969031611161</v>
      </c>
      <c r="AG132" s="186">
        <f>IFERROR(_xlfn.XLOOKUP($D132,'Modelling New'!$D:$D,'Modelling New'!$AE:$AE),"")</f>
        <v>0.995</v>
      </c>
      <c r="AH132" s="186">
        <f>IFERROR(_xlfn.XLOOKUP($D132,'Modelling New'!$D:$D,'Modelling New'!$AF:$AF),"")</f>
        <v>0.995</v>
      </c>
      <c r="AI132" s="177"/>
      <c r="AJ132" s="177"/>
      <c r="AK132" s="238"/>
      <c r="AL132" s="238"/>
      <c r="AM132" s="238"/>
      <c r="AN132" s="187"/>
      <c r="AO132" s="184"/>
      <c r="AP132" s="184"/>
      <c r="AQ132" s="184"/>
      <c r="AR132" s="176">
        <f>IFERROR(_xlfn.XLOOKUP($D131,'Modelling New'!$D:$D,'Modelling New'!$N:$N),"")</f>
        <v>66.754999999999995</v>
      </c>
      <c r="AS132" s="176"/>
    </row>
    <row r="133" spans="1:45" x14ac:dyDescent="0.25">
      <c r="A133" s="175">
        <f t="shared" si="11"/>
        <v>45876</v>
      </c>
      <c r="B133" s="176">
        <f>YEAR(Table13[[#This Row],[Date]])+IF(MONTH(Table13[[#This Row],[Date]])&gt;=4,1,0)</f>
        <v>2026</v>
      </c>
      <c r="C133" s="177">
        <f>YEAR(Table13[[#This Row],[Date]])</f>
        <v>2025</v>
      </c>
      <c r="D133" s="178">
        <f>Table13[[#This Row],[Date]]-DAY(Table13[[#This Row],[Date]])+1</f>
        <v>45870</v>
      </c>
      <c r="E133" s="177">
        <f t="shared" si="8"/>
        <v>31</v>
      </c>
      <c r="F133" s="179" t="str">
        <f>IFERROR(_xlfn.XLOOKUP($A133,Raw_Data!$B:$B,Raw_Data!$KG:$KG),"")</f>
        <v/>
      </c>
      <c r="G133" s="180" t="str">
        <f>IFERROR(_xlfn.XLOOKUP($A133,Raw_Data!$B:$B,Raw_Data!KH:KH),"")</f>
        <v/>
      </c>
      <c r="H133" s="180"/>
      <c r="I133" s="180" t="str">
        <f>IFERROR(_xlfn.XLOOKUP($A133,Raw_Data!$B:$B,Raw_Data!$KI:$KI),"")</f>
        <v/>
      </c>
      <c r="J133" s="180"/>
      <c r="K133" s="180" t="str">
        <f>IFERROR(_xlfn.XLOOKUP($A133,Raw_Data!$B:$B,Raw_Data!KJ:KJ),"")</f>
        <v/>
      </c>
      <c r="L133" s="180" t="str">
        <f>IFERROR(_xlfn.XLOOKUP($A133,Raw_Data!$B:$B,Raw_Data!KK:KK),"")</f>
        <v/>
      </c>
      <c r="M133" s="180" t="str">
        <f>IFERROR(_xlfn.XLOOKUP($A133,Raw_Data!$B:$B,Raw_Data!KL:KL),"")</f>
        <v/>
      </c>
      <c r="N133" s="180" t="str">
        <f>IFERROR(_xlfn.XLOOKUP($A133,Raw_Data!$B:$B,Raw_Data!KM:KM),"")</f>
        <v/>
      </c>
      <c r="O133" s="181" t="str">
        <f>IFERROR(1-SUMIF(PA!$B:$B,$A133,PA!AJ:AJ)/($AA133+SUMIF(PA!$B:$B,$A133,PA!AJ:AJ)),"")</f>
        <v/>
      </c>
      <c r="P133" s="181"/>
      <c r="Q133" s="182"/>
      <c r="R133" s="181" t="str">
        <f>IFERROR(1-SUMIF(GA!$C:$C,$A133,GA!$X:$X)/($AA133+SUMIF(GA!$C:$C,$A133,GA!$X:$X)),"")</f>
        <v/>
      </c>
      <c r="S133" s="177"/>
      <c r="T133" s="182"/>
      <c r="U133" s="183" t="str">
        <f t="shared" si="9"/>
        <v/>
      </c>
      <c r="V133" s="183" t="str">
        <f>IFERROR(_xlfn.XLOOKUP($A133,Raw_Data!$B:$B,Raw_Data!$KQ:$KQ),"")</f>
        <v/>
      </c>
      <c r="W133" s="184" t="str">
        <f t="shared" si="10"/>
        <v/>
      </c>
      <c r="X133" s="176" t="str">
        <f>IFERROR(_xlfn.XLOOKUP($A133,Raw_Data!$B:$B,Raw_Data!$KN:$KN),"")</f>
        <v/>
      </c>
      <c r="Y133" s="176" t="str">
        <f>IFERROR(_xlfn.XLOOKUP($A133,Raw_Data!$B:$B,Raw_Data!$KC:$KC),"")</f>
        <v/>
      </c>
      <c r="Z133" s="176" t="str">
        <f>IFERROR(_xlfn.XLOOKUP($A133,Raw_Data!$B:$B,Raw_Data!$KD:$KD),"")</f>
        <v/>
      </c>
      <c r="AA133" s="176" t="str">
        <f>IFERROR(_xlfn.XLOOKUP($A133,Raw_Data!$B:$B,Raw_Data!$KF:$KF),"")</f>
        <v/>
      </c>
      <c r="AB133" s="176" t="str">
        <f>IFERROR(_xlfn.XLOOKUP($A133,Raw_Data!$B:$B,Raw_Data!I:I)/1000,"")</f>
        <v/>
      </c>
      <c r="AC133" s="185">
        <f>IFERROR(_xlfn.XLOOKUP($D133,'Modelling New'!$D:$D,'Modelling New'!$P:$P),"")</f>
        <v>4.6419354838709683</v>
      </c>
      <c r="AD133" s="176">
        <f>IFERROR(_xlfn.XLOOKUP($D133,'Modelling New'!$D:$D,'Modelling New'!$T:$T)*1000,"")</f>
        <v>240509.75824924873</v>
      </c>
      <c r="AE133" s="186">
        <f>IFERROR(_xlfn.XLOOKUP($D133,'Modelling New'!$D:$D,'Modelling New'!$O:$O),"")</f>
        <v>0.77615739815974316</v>
      </c>
      <c r="AF133" s="186">
        <f>IFERROR(_xlfn.XLOOKUP($D133,'Modelling New'!$D:$D,'Modelling New'!$W:$W),"")</f>
        <v>0.15011969031611161</v>
      </c>
      <c r="AG133" s="186">
        <f>IFERROR(_xlfn.XLOOKUP($D133,'Modelling New'!$D:$D,'Modelling New'!$AE:$AE),"")</f>
        <v>0.995</v>
      </c>
      <c r="AH133" s="186">
        <f>IFERROR(_xlfn.XLOOKUP($D133,'Modelling New'!$D:$D,'Modelling New'!$AF:$AF),"")</f>
        <v>0.995</v>
      </c>
      <c r="AI133" s="177"/>
      <c r="AJ133" s="177"/>
      <c r="AK133" s="238"/>
      <c r="AL133" s="238"/>
      <c r="AM133" s="238"/>
      <c r="AN133" s="187"/>
      <c r="AO133" s="184"/>
      <c r="AP133" s="184"/>
      <c r="AQ133" s="184"/>
      <c r="AR133" s="176">
        <f>IFERROR(_xlfn.XLOOKUP($D132,'Modelling New'!$D:$D,'Modelling New'!$N:$N),"")</f>
        <v>66.754999999999995</v>
      </c>
      <c r="AS133" s="176"/>
    </row>
    <row r="134" spans="1:45" x14ac:dyDescent="0.25">
      <c r="A134" s="175">
        <f t="shared" si="11"/>
        <v>45877</v>
      </c>
      <c r="B134" s="176">
        <f>YEAR(Table13[[#This Row],[Date]])+IF(MONTH(Table13[[#This Row],[Date]])&gt;=4,1,0)</f>
        <v>2026</v>
      </c>
      <c r="C134" s="177">
        <f>YEAR(Table13[[#This Row],[Date]])</f>
        <v>2025</v>
      </c>
      <c r="D134" s="178">
        <f>Table13[[#This Row],[Date]]-DAY(Table13[[#This Row],[Date]])+1</f>
        <v>45870</v>
      </c>
      <c r="E134" s="177">
        <f t="shared" si="8"/>
        <v>31</v>
      </c>
      <c r="F134" s="179" t="str">
        <f>IFERROR(_xlfn.XLOOKUP($A134,Raw_Data!$B:$B,Raw_Data!$KG:$KG),"")</f>
        <v/>
      </c>
      <c r="G134" s="180" t="str">
        <f>IFERROR(_xlfn.XLOOKUP($A134,Raw_Data!$B:$B,Raw_Data!KH:KH),"")</f>
        <v/>
      </c>
      <c r="H134" s="180"/>
      <c r="I134" s="180" t="str">
        <f>IFERROR(_xlfn.XLOOKUP($A134,Raw_Data!$B:$B,Raw_Data!$KI:$KI),"")</f>
        <v/>
      </c>
      <c r="J134" s="180"/>
      <c r="K134" s="180" t="str">
        <f>IFERROR(_xlfn.XLOOKUP($A134,Raw_Data!$B:$B,Raw_Data!KJ:KJ),"")</f>
        <v/>
      </c>
      <c r="L134" s="180" t="str">
        <f>IFERROR(_xlfn.XLOOKUP($A134,Raw_Data!$B:$B,Raw_Data!KK:KK),"")</f>
        <v/>
      </c>
      <c r="M134" s="180" t="str">
        <f>IFERROR(_xlfn.XLOOKUP($A134,Raw_Data!$B:$B,Raw_Data!KL:KL),"")</f>
        <v/>
      </c>
      <c r="N134" s="180" t="str">
        <f>IFERROR(_xlfn.XLOOKUP($A134,Raw_Data!$B:$B,Raw_Data!KM:KM),"")</f>
        <v/>
      </c>
      <c r="O134" s="181" t="str">
        <f>IFERROR(1-SUMIF(PA!$B:$B,$A134,PA!AJ:AJ)/($AA134+SUMIF(PA!$B:$B,$A134,PA!AJ:AJ)),"")</f>
        <v/>
      </c>
      <c r="P134" s="181"/>
      <c r="Q134" s="182"/>
      <c r="R134" s="181" t="str">
        <f>IFERROR(1-SUMIF(GA!$C:$C,$A134,GA!$X:$X)/($AA134+SUMIF(GA!$C:$C,$A134,GA!$X:$X)),"")</f>
        <v/>
      </c>
      <c r="S134" s="177"/>
      <c r="T134" s="182"/>
      <c r="U134" s="183" t="str">
        <f t="shared" si="9"/>
        <v/>
      </c>
      <c r="V134" s="183" t="str">
        <f>IFERROR(_xlfn.XLOOKUP($A134,Raw_Data!$B:$B,Raw_Data!$KQ:$KQ),"")</f>
        <v/>
      </c>
      <c r="W134" s="184" t="str">
        <f t="shared" si="10"/>
        <v/>
      </c>
      <c r="X134" s="176" t="str">
        <f>IFERROR(_xlfn.XLOOKUP($A134,Raw_Data!$B:$B,Raw_Data!$KN:$KN),"")</f>
        <v/>
      </c>
      <c r="Y134" s="176" t="str">
        <f>IFERROR(_xlfn.XLOOKUP($A134,Raw_Data!$B:$B,Raw_Data!$KC:$KC),"")</f>
        <v/>
      </c>
      <c r="Z134" s="176" t="str">
        <f>IFERROR(_xlfn.XLOOKUP($A134,Raw_Data!$B:$B,Raw_Data!$KD:$KD),"")</f>
        <v/>
      </c>
      <c r="AA134" s="176" t="str">
        <f>IFERROR(_xlfn.XLOOKUP($A134,Raw_Data!$B:$B,Raw_Data!$KF:$KF),"")</f>
        <v/>
      </c>
      <c r="AB134" s="176" t="str">
        <f>IFERROR(_xlfn.XLOOKUP($A134,Raw_Data!$B:$B,Raw_Data!I:I)/1000,"")</f>
        <v/>
      </c>
      <c r="AC134" s="185">
        <f>IFERROR(_xlfn.XLOOKUP($D134,'Modelling New'!$D:$D,'Modelling New'!$P:$P),"")</f>
        <v>4.6419354838709683</v>
      </c>
      <c r="AD134" s="176">
        <f>IFERROR(_xlfn.XLOOKUP($D134,'Modelling New'!$D:$D,'Modelling New'!$T:$T)*1000,"")</f>
        <v>240509.75824924873</v>
      </c>
      <c r="AE134" s="186">
        <f>IFERROR(_xlfn.XLOOKUP($D134,'Modelling New'!$D:$D,'Modelling New'!$O:$O),"")</f>
        <v>0.77615739815974316</v>
      </c>
      <c r="AF134" s="186">
        <f>IFERROR(_xlfn.XLOOKUP($D134,'Modelling New'!$D:$D,'Modelling New'!$W:$W),"")</f>
        <v>0.15011969031611161</v>
      </c>
      <c r="AG134" s="186">
        <f>IFERROR(_xlfn.XLOOKUP($D134,'Modelling New'!$D:$D,'Modelling New'!$AE:$AE),"")</f>
        <v>0.995</v>
      </c>
      <c r="AH134" s="186">
        <f>IFERROR(_xlfn.XLOOKUP($D134,'Modelling New'!$D:$D,'Modelling New'!$AF:$AF),"")</f>
        <v>0.995</v>
      </c>
      <c r="AI134" s="177"/>
      <c r="AJ134" s="177"/>
      <c r="AK134" s="238"/>
      <c r="AL134" s="238"/>
      <c r="AM134" s="238"/>
      <c r="AN134" s="187"/>
      <c r="AO134" s="184"/>
      <c r="AP134" s="184"/>
      <c r="AQ134" s="184"/>
      <c r="AR134" s="176">
        <f>IFERROR(_xlfn.XLOOKUP($D133,'Modelling New'!$D:$D,'Modelling New'!$N:$N),"")</f>
        <v>66.754999999999995</v>
      </c>
      <c r="AS134" s="176"/>
    </row>
    <row r="135" spans="1:45" x14ac:dyDescent="0.25">
      <c r="A135" s="175">
        <f t="shared" si="11"/>
        <v>45878</v>
      </c>
      <c r="B135" s="176">
        <f>YEAR(Table13[[#This Row],[Date]])+IF(MONTH(Table13[[#This Row],[Date]])&gt;=4,1,0)</f>
        <v>2026</v>
      </c>
      <c r="C135" s="177">
        <f>YEAR(Table13[[#This Row],[Date]])</f>
        <v>2025</v>
      </c>
      <c r="D135" s="178">
        <f>Table13[[#This Row],[Date]]-DAY(Table13[[#This Row],[Date]])+1</f>
        <v>45870</v>
      </c>
      <c r="E135" s="177">
        <f t="shared" si="8"/>
        <v>31</v>
      </c>
      <c r="F135" s="179" t="str">
        <f>IFERROR(_xlfn.XLOOKUP($A135,Raw_Data!$B:$B,Raw_Data!$KG:$KG),"")</f>
        <v/>
      </c>
      <c r="G135" s="180" t="str">
        <f>IFERROR(_xlfn.XLOOKUP($A135,Raw_Data!$B:$B,Raw_Data!KH:KH),"")</f>
        <v/>
      </c>
      <c r="H135" s="180"/>
      <c r="I135" s="180" t="str">
        <f>IFERROR(_xlfn.XLOOKUP($A135,Raw_Data!$B:$B,Raw_Data!$KI:$KI),"")</f>
        <v/>
      </c>
      <c r="J135" s="180"/>
      <c r="K135" s="180" t="str">
        <f>IFERROR(_xlfn.XLOOKUP($A135,Raw_Data!$B:$B,Raw_Data!KJ:KJ),"")</f>
        <v/>
      </c>
      <c r="L135" s="180" t="str">
        <f>IFERROR(_xlfn.XLOOKUP($A135,Raw_Data!$B:$B,Raw_Data!KK:KK),"")</f>
        <v/>
      </c>
      <c r="M135" s="180" t="str">
        <f>IFERROR(_xlfn.XLOOKUP($A135,Raw_Data!$B:$B,Raw_Data!KL:KL),"")</f>
        <v/>
      </c>
      <c r="N135" s="180" t="str">
        <f>IFERROR(_xlfn.XLOOKUP($A135,Raw_Data!$B:$B,Raw_Data!KM:KM),"")</f>
        <v/>
      </c>
      <c r="O135" s="181" t="str">
        <f>IFERROR(1-SUMIF(PA!$B:$B,$A135,PA!AJ:AJ)/($AA135+SUMIF(PA!$B:$B,$A135,PA!AJ:AJ)),"")</f>
        <v/>
      </c>
      <c r="P135" s="181"/>
      <c r="Q135" s="182"/>
      <c r="R135" s="181" t="str">
        <f>IFERROR(1-SUMIF(GA!$C:$C,$A135,GA!$X:$X)/($AA135+SUMIF(GA!$C:$C,$A135,GA!$X:$X)),"")</f>
        <v/>
      </c>
      <c r="S135" s="177"/>
      <c r="T135" s="182"/>
      <c r="U135" s="183" t="str">
        <f t="shared" si="9"/>
        <v/>
      </c>
      <c r="V135" s="183" t="str">
        <f>IFERROR(_xlfn.XLOOKUP($A135,Raw_Data!$B:$B,Raw_Data!$KQ:$KQ),"")</f>
        <v/>
      </c>
      <c r="W135" s="184" t="str">
        <f t="shared" si="10"/>
        <v/>
      </c>
      <c r="X135" s="176" t="str">
        <f>IFERROR(_xlfn.XLOOKUP($A135,Raw_Data!$B:$B,Raw_Data!$KN:$KN),"")</f>
        <v/>
      </c>
      <c r="Y135" s="176" t="str">
        <f>IFERROR(_xlfn.XLOOKUP($A135,Raw_Data!$B:$B,Raw_Data!$KC:$KC),"")</f>
        <v/>
      </c>
      <c r="Z135" s="176" t="str">
        <f>IFERROR(_xlfn.XLOOKUP($A135,Raw_Data!$B:$B,Raw_Data!$KD:$KD),"")</f>
        <v/>
      </c>
      <c r="AA135" s="176" t="str">
        <f>IFERROR(_xlfn.XLOOKUP($A135,Raw_Data!$B:$B,Raw_Data!$KF:$KF),"")</f>
        <v/>
      </c>
      <c r="AB135" s="176" t="str">
        <f>IFERROR(_xlfn.XLOOKUP($A135,Raw_Data!$B:$B,Raw_Data!I:I)/1000,"")</f>
        <v/>
      </c>
      <c r="AC135" s="185">
        <f>IFERROR(_xlfn.XLOOKUP($D135,'Modelling New'!$D:$D,'Modelling New'!$P:$P),"")</f>
        <v>4.6419354838709683</v>
      </c>
      <c r="AD135" s="176">
        <f>IFERROR(_xlfn.XLOOKUP($D135,'Modelling New'!$D:$D,'Modelling New'!$T:$T)*1000,"")</f>
        <v>240509.75824924873</v>
      </c>
      <c r="AE135" s="186">
        <f>IFERROR(_xlfn.XLOOKUP($D135,'Modelling New'!$D:$D,'Modelling New'!$O:$O),"")</f>
        <v>0.77615739815974316</v>
      </c>
      <c r="AF135" s="186">
        <f>IFERROR(_xlfn.XLOOKUP($D135,'Modelling New'!$D:$D,'Modelling New'!$W:$W),"")</f>
        <v>0.15011969031611161</v>
      </c>
      <c r="AG135" s="186">
        <f>IFERROR(_xlfn.XLOOKUP($D135,'Modelling New'!$D:$D,'Modelling New'!$AE:$AE),"")</f>
        <v>0.995</v>
      </c>
      <c r="AH135" s="186">
        <f>IFERROR(_xlfn.XLOOKUP($D135,'Modelling New'!$D:$D,'Modelling New'!$AF:$AF),"")</f>
        <v>0.995</v>
      </c>
      <c r="AI135" s="177"/>
      <c r="AJ135" s="177"/>
      <c r="AK135" s="238"/>
      <c r="AL135" s="238"/>
      <c r="AM135" s="238"/>
      <c r="AN135" s="187"/>
      <c r="AO135" s="184"/>
      <c r="AP135" s="184"/>
      <c r="AQ135" s="184"/>
      <c r="AR135" s="176">
        <f>IFERROR(_xlfn.XLOOKUP($D134,'Modelling New'!$D:$D,'Modelling New'!$N:$N),"")</f>
        <v>66.754999999999995</v>
      </c>
      <c r="AS135" s="176"/>
    </row>
    <row r="136" spans="1:45" x14ac:dyDescent="0.25">
      <c r="A136" s="175">
        <f t="shared" si="11"/>
        <v>45879</v>
      </c>
      <c r="B136" s="176">
        <f>YEAR(Table13[[#This Row],[Date]])+IF(MONTH(Table13[[#This Row],[Date]])&gt;=4,1,0)</f>
        <v>2026</v>
      </c>
      <c r="C136" s="177">
        <f>YEAR(Table13[[#This Row],[Date]])</f>
        <v>2025</v>
      </c>
      <c r="D136" s="178">
        <f>Table13[[#This Row],[Date]]-DAY(Table13[[#This Row],[Date]])+1</f>
        <v>45870</v>
      </c>
      <c r="E136" s="177">
        <f t="shared" si="8"/>
        <v>31</v>
      </c>
      <c r="F136" s="179" t="str">
        <f>IFERROR(_xlfn.XLOOKUP($A136,Raw_Data!$B:$B,Raw_Data!$KG:$KG),"")</f>
        <v/>
      </c>
      <c r="G136" s="180" t="str">
        <f>IFERROR(_xlfn.XLOOKUP($A136,Raw_Data!$B:$B,Raw_Data!KH:KH),"")</f>
        <v/>
      </c>
      <c r="H136" s="180"/>
      <c r="I136" s="180" t="str">
        <f>IFERROR(_xlfn.XLOOKUP($A136,Raw_Data!$B:$B,Raw_Data!$KI:$KI),"")</f>
        <v/>
      </c>
      <c r="J136" s="180"/>
      <c r="K136" s="180" t="str">
        <f>IFERROR(_xlfn.XLOOKUP($A136,Raw_Data!$B:$B,Raw_Data!KJ:KJ),"")</f>
        <v/>
      </c>
      <c r="L136" s="180" t="str">
        <f>IFERROR(_xlfn.XLOOKUP($A136,Raw_Data!$B:$B,Raw_Data!KK:KK),"")</f>
        <v/>
      </c>
      <c r="M136" s="180" t="str">
        <f>IFERROR(_xlfn.XLOOKUP($A136,Raw_Data!$B:$B,Raw_Data!KL:KL),"")</f>
        <v/>
      </c>
      <c r="N136" s="180" t="str">
        <f>IFERROR(_xlfn.XLOOKUP($A136,Raw_Data!$B:$B,Raw_Data!KM:KM),"")</f>
        <v/>
      </c>
      <c r="O136" s="181" t="str">
        <f>IFERROR(1-SUMIF(PA!$B:$B,$A136,PA!AJ:AJ)/($AA136+SUMIF(PA!$B:$B,$A136,PA!AJ:AJ)),"")</f>
        <v/>
      </c>
      <c r="P136" s="181"/>
      <c r="Q136" s="182"/>
      <c r="R136" s="181" t="str">
        <f>IFERROR(1-SUMIF(GA!$C:$C,$A136,GA!$X:$X)/($AA136+SUMIF(GA!$C:$C,$A136,GA!$X:$X)),"")</f>
        <v/>
      </c>
      <c r="S136" s="177"/>
      <c r="T136" s="182"/>
      <c r="U136" s="183" t="str">
        <f t="shared" si="9"/>
        <v/>
      </c>
      <c r="V136" s="183" t="str">
        <f>IFERROR(_xlfn.XLOOKUP($A136,Raw_Data!$B:$B,Raw_Data!$KQ:$KQ),"")</f>
        <v/>
      </c>
      <c r="W136" s="184" t="str">
        <f t="shared" si="10"/>
        <v/>
      </c>
      <c r="X136" s="176" t="str">
        <f>IFERROR(_xlfn.XLOOKUP($A136,Raw_Data!$B:$B,Raw_Data!$KN:$KN),"")</f>
        <v/>
      </c>
      <c r="Y136" s="176" t="str">
        <f>IFERROR(_xlfn.XLOOKUP($A136,Raw_Data!$B:$B,Raw_Data!$KC:$KC),"")</f>
        <v/>
      </c>
      <c r="Z136" s="176" t="str">
        <f>IFERROR(_xlfn.XLOOKUP($A136,Raw_Data!$B:$B,Raw_Data!$KD:$KD),"")</f>
        <v/>
      </c>
      <c r="AA136" s="176" t="str">
        <f>IFERROR(_xlfn.XLOOKUP($A136,Raw_Data!$B:$B,Raw_Data!$KF:$KF),"")</f>
        <v/>
      </c>
      <c r="AB136" s="176" t="str">
        <f>IFERROR(_xlfn.XLOOKUP($A136,Raw_Data!$B:$B,Raw_Data!I:I)/1000,"")</f>
        <v/>
      </c>
      <c r="AC136" s="185">
        <f>IFERROR(_xlfn.XLOOKUP($D136,'Modelling New'!$D:$D,'Modelling New'!$P:$P),"")</f>
        <v>4.6419354838709683</v>
      </c>
      <c r="AD136" s="176">
        <f>IFERROR(_xlfn.XLOOKUP($D136,'Modelling New'!$D:$D,'Modelling New'!$T:$T)*1000,"")</f>
        <v>240509.75824924873</v>
      </c>
      <c r="AE136" s="186">
        <f>IFERROR(_xlfn.XLOOKUP($D136,'Modelling New'!$D:$D,'Modelling New'!$O:$O),"")</f>
        <v>0.77615739815974316</v>
      </c>
      <c r="AF136" s="186">
        <f>IFERROR(_xlfn.XLOOKUP($D136,'Modelling New'!$D:$D,'Modelling New'!$W:$W),"")</f>
        <v>0.15011969031611161</v>
      </c>
      <c r="AG136" s="186">
        <f>IFERROR(_xlfn.XLOOKUP($D136,'Modelling New'!$D:$D,'Modelling New'!$AE:$AE),"")</f>
        <v>0.995</v>
      </c>
      <c r="AH136" s="186">
        <f>IFERROR(_xlfn.XLOOKUP($D136,'Modelling New'!$D:$D,'Modelling New'!$AF:$AF),"")</f>
        <v>0.995</v>
      </c>
      <c r="AI136" s="177"/>
      <c r="AJ136" s="177"/>
      <c r="AK136" s="238"/>
      <c r="AL136" s="238"/>
      <c r="AM136" s="238"/>
      <c r="AN136" s="187"/>
      <c r="AO136" s="184"/>
      <c r="AP136" s="184"/>
      <c r="AQ136" s="184"/>
      <c r="AR136" s="176">
        <f>IFERROR(_xlfn.XLOOKUP($D135,'Modelling New'!$D:$D,'Modelling New'!$N:$N),"")</f>
        <v>66.754999999999995</v>
      </c>
      <c r="AS136" s="176"/>
    </row>
    <row r="137" spans="1:45" x14ac:dyDescent="0.25">
      <c r="A137" s="175">
        <f t="shared" si="11"/>
        <v>45880</v>
      </c>
      <c r="B137" s="176">
        <f>YEAR(Table13[[#This Row],[Date]])+IF(MONTH(Table13[[#This Row],[Date]])&gt;=4,1,0)</f>
        <v>2026</v>
      </c>
      <c r="C137" s="177">
        <f>YEAR(Table13[[#This Row],[Date]])</f>
        <v>2025</v>
      </c>
      <c r="D137" s="178">
        <f>Table13[[#This Row],[Date]]-DAY(Table13[[#This Row],[Date]])+1</f>
        <v>45870</v>
      </c>
      <c r="E137" s="177">
        <f t="shared" si="8"/>
        <v>31</v>
      </c>
      <c r="F137" s="179" t="str">
        <f>IFERROR(_xlfn.XLOOKUP($A137,Raw_Data!$B:$B,Raw_Data!$KG:$KG),"")</f>
        <v/>
      </c>
      <c r="G137" s="180" t="str">
        <f>IFERROR(_xlfn.XLOOKUP($A137,Raw_Data!$B:$B,Raw_Data!KH:KH),"")</f>
        <v/>
      </c>
      <c r="H137" s="180"/>
      <c r="I137" s="180" t="str">
        <f>IFERROR(_xlfn.XLOOKUP($A137,Raw_Data!$B:$B,Raw_Data!$KI:$KI),"")</f>
        <v/>
      </c>
      <c r="J137" s="180"/>
      <c r="K137" s="180" t="str">
        <f>IFERROR(_xlfn.XLOOKUP($A137,Raw_Data!$B:$B,Raw_Data!KJ:KJ),"")</f>
        <v/>
      </c>
      <c r="L137" s="180" t="str">
        <f>IFERROR(_xlfn.XLOOKUP($A137,Raw_Data!$B:$B,Raw_Data!KK:KK),"")</f>
        <v/>
      </c>
      <c r="M137" s="180" t="str">
        <f>IFERROR(_xlfn.XLOOKUP($A137,Raw_Data!$B:$B,Raw_Data!KL:KL),"")</f>
        <v/>
      </c>
      <c r="N137" s="180" t="str">
        <f>IFERROR(_xlfn.XLOOKUP($A137,Raw_Data!$B:$B,Raw_Data!KM:KM),"")</f>
        <v/>
      </c>
      <c r="O137" s="181" t="str">
        <f>IFERROR(1-SUMIF(PA!$B:$B,$A137,PA!AJ:AJ)/($AA137+SUMIF(PA!$B:$B,$A137,PA!AJ:AJ)),"")</f>
        <v/>
      </c>
      <c r="P137" s="181"/>
      <c r="Q137" s="182"/>
      <c r="R137" s="181" t="str">
        <f>IFERROR(1-SUMIF(GA!$C:$C,$A137,GA!$X:$X)/($AA137+SUMIF(GA!$C:$C,$A137,GA!$X:$X)),"")</f>
        <v/>
      </c>
      <c r="S137" s="177"/>
      <c r="T137" s="182"/>
      <c r="U137" s="183" t="str">
        <f t="shared" si="9"/>
        <v/>
      </c>
      <c r="V137" s="183" t="str">
        <f>IFERROR(_xlfn.XLOOKUP($A137,Raw_Data!$B:$B,Raw_Data!$KQ:$KQ),"")</f>
        <v/>
      </c>
      <c r="W137" s="184" t="str">
        <f t="shared" si="10"/>
        <v/>
      </c>
      <c r="X137" s="176" t="str">
        <f>IFERROR(_xlfn.XLOOKUP($A137,Raw_Data!$B:$B,Raw_Data!$KN:$KN),"")</f>
        <v/>
      </c>
      <c r="Y137" s="176" t="str">
        <f>IFERROR(_xlfn.XLOOKUP($A137,Raw_Data!$B:$B,Raw_Data!$KC:$KC),"")</f>
        <v/>
      </c>
      <c r="Z137" s="176" t="str">
        <f>IFERROR(_xlfn.XLOOKUP($A137,Raw_Data!$B:$B,Raw_Data!$KD:$KD),"")</f>
        <v/>
      </c>
      <c r="AA137" s="176" t="str">
        <f>IFERROR(_xlfn.XLOOKUP($A137,Raw_Data!$B:$B,Raw_Data!$KF:$KF),"")</f>
        <v/>
      </c>
      <c r="AB137" s="176" t="str">
        <f>IFERROR(_xlfn.XLOOKUP($A137,Raw_Data!$B:$B,Raw_Data!I:I)/1000,"")</f>
        <v/>
      </c>
      <c r="AC137" s="185">
        <f>IFERROR(_xlfn.XLOOKUP($D137,'Modelling New'!$D:$D,'Modelling New'!$P:$P),"")</f>
        <v>4.6419354838709683</v>
      </c>
      <c r="AD137" s="176">
        <f>IFERROR(_xlfn.XLOOKUP($D137,'Modelling New'!$D:$D,'Modelling New'!$T:$T)*1000,"")</f>
        <v>240509.75824924873</v>
      </c>
      <c r="AE137" s="186">
        <f>IFERROR(_xlfn.XLOOKUP($D137,'Modelling New'!$D:$D,'Modelling New'!$O:$O),"")</f>
        <v>0.77615739815974316</v>
      </c>
      <c r="AF137" s="186">
        <f>IFERROR(_xlfn.XLOOKUP($D137,'Modelling New'!$D:$D,'Modelling New'!$W:$W),"")</f>
        <v>0.15011969031611161</v>
      </c>
      <c r="AG137" s="186">
        <f>IFERROR(_xlfn.XLOOKUP($D137,'Modelling New'!$D:$D,'Modelling New'!$AE:$AE),"")</f>
        <v>0.995</v>
      </c>
      <c r="AH137" s="186">
        <f>IFERROR(_xlfn.XLOOKUP($D137,'Modelling New'!$D:$D,'Modelling New'!$AF:$AF),"")</f>
        <v>0.995</v>
      </c>
      <c r="AI137" s="177"/>
      <c r="AJ137" s="177"/>
      <c r="AK137" s="238"/>
      <c r="AL137" s="238"/>
      <c r="AM137" s="238"/>
      <c r="AN137" s="187"/>
      <c r="AO137" s="184"/>
      <c r="AP137" s="184"/>
      <c r="AQ137" s="184"/>
      <c r="AR137" s="176">
        <f>IFERROR(_xlfn.XLOOKUP($D136,'Modelling New'!$D:$D,'Modelling New'!$N:$N),"")</f>
        <v>66.754999999999995</v>
      </c>
      <c r="AS137" s="176"/>
    </row>
    <row r="138" spans="1:45" x14ac:dyDescent="0.25">
      <c r="A138" s="175">
        <f t="shared" si="11"/>
        <v>45881</v>
      </c>
      <c r="B138" s="176">
        <f>YEAR(Table13[[#This Row],[Date]])+IF(MONTH(Table13[[#This Row],[Date]])&gt;=4,1,0)</f>
        <v>2026</v>
      </c>
      <c r="C138" s="177">
        <f>YEAR(Table13[[#This Row],[Date]])</f>
        <v>2025</v>
      </c>
      <c r="D138" s="178">
        <f>Table13[[#This Row],[Date]]-DAY(Table13[[#This Row],[Date]])+1</f>
        <v>45870</v>
      </c>
      <c r="E138" s="177">
        <f t="shared" si="8"/>
        <v>31</v>
      </c>
      <c r="F138" s="179" t="str">
        <f>IFERROR(_xlfn.XLOOKUP($A138,Raw_Data!$B:$B,Raw_Data!$KG:$KG),"")</f>
        <v/>
      </c>
      <c r="G138" s="180" t="str">
        <f>IFERROR(_xlfn.XLOOKUP($A138,Raw_Data!$B:$B,Raw_Data!KH:KH),"")</f>
        <v/>
      </c>
      <c r="H138" s="180"/>
      <c r="I138" s="180" t="str">
        <f>IFERROR(_xlfn.XLOOKUP($A138,Raw_Data!$B:$B,Raw_Data!$KI:$KI),"")</f>
        <v/>
      </c>
      <c r="J138" s="180"/>
      <c r="K138" s="180" t="str">
        <f>IFERROR(_xlfn.XLOOKUP($A138,Raw_Data!$B:$B,Raw_Data!KJ:KJ),"")</f>
        <v/>
      </c>
      <c r="L138" s="180" t="str">
        <f>IFERROR(_xlfn.XLOOKUP($A138,Raw_Data!$B:$B,Raw_Data!KK:KK),"")</f>
        <v/>
      </c>
      <c r="M138" s="180" t="str">
        <f>IFERROR(_xlfn.XLOOKUP($A138,Raw_Data!$B:$B,Raw_Data!KL:KL),"")</f>
        <v/>
      </c>
      <c r="N138" s="180" t="str">
        <f>IFERROR(_xlfn.XLOOKUP($A138,Raw_Data!$B:$B,Raw_Data!KM:KM),"")</f>
        <v/>
      </c>
      <c r="O138" s="181" t="str">
        <f>IFERROR(1-SUMIF(PA!$B:$B,$A138,PA!AJ:AJ)/($AA138+SUMIF(PA!$B:$B,$A138,PA!AJ:AJ)),"")</f>
        <v/>
      </c>
      <c r="P138" s="181"/>
      <c r="Q138" s="182"/>
      <c r="R138" s="181" t="str">
        <f>IFERROR(1-SUMIF(GA!$C:$C,$A138,GA!$X:$X)/($AA138+SUMIF(GA!$C:$C,$A138,GA!$X:$X)),"")</f>
        <v/>
      </c>
      <c r="S138" s="177"/>
      <c r="T138" s="182"/>
      <c r="U138" s="183" t="str">
        <f t="shared" si="9"/>
        <v/>
      </c>
      <c r="V138" s="183" t="str">
        <f>IFERROR(_xlfn.XLOOKUP($A138,Raw_Data!$B:$B,Raw_Data!$KQ:$KQ),"")</f>
        <v/>
      </c>
      <c r="W138" s="184" t="str">
        <f t="shared" si="10"/>
        <v/>
      </c>
      <c r="X138" s="176" t="str">
        <f>IFERROR(_xlfn.XLOOKUP($A138,Raw_Data!$B:$B,Raw_Data!$KN:$KN),"")</f>
        <v/>
      </c>
      <c r="Y138" s="176" t="str">
        <f>IFERROR(_xlfn.XLOOKUP($A138,Raw_Data!$B:$B,Raw_Data!$KC:$KC),"")</f>
        <v/>
      </c>
      <c r="Z138" s="176" t="str">
        <f>IFERROR(_xlfn.XLOOKUP($A138,Raw_Data!$B:$B,Raw_Data!$KD:$KD),"")</f>
        <v/>
      </c>
      <c r="AA138" s="176" t="str">
        <f>IFERROR(_xlfn.XLOOKUP($A138,Raw_Data!$B:$B,Raw_Data!$KF:$KF),"")</f>
        <v/>
      </c>
      <c r="AB138" s="176" t="str">
        <f>IFERROR(_xlfn.XLOOKUP($A138,Raw_Data!$B:$B,Raw_Data!I:I)/1000,"")</f>
        <v/>
      </c>
      <c r="AC138" s="185">
        <f>IFERROR(_xlfn.XLOOKUP($D138,'Modelling New'!$D:$D,'Modelling New'!$P:$P),"")</f>
        <v>4.6419354838709683</v>
      </c>
      <c r="AD138" s="176">
        <f>IFERROR(_xlfn.XLOOKUP($D138,'Modelling New'!$D:$D,'Modelling New'!$T:$T)*1000,"")</f>
        <v>240509.75824924873</v>
      </c>
      <c r="AE138" s="186">
        <f>IFERROR(_xlfn.XLOOKUP($D138,'Modelling New'!$D:$D,'Modelling New'!$O:$O),"")</f>
        <v>0.77615739815974316</v>
      </c>
      <c r="AF138" s="186">
        <f>IFERROR(_xlfn.XLOOKUP($D138,'Modelling New'!$D:$D,'Modelling New'!$W:$W),"")</f>
        <v>0.15011969031611161</v>
      </c>
      <c r="AG138" s="186">
        <f>IFERROR(_xlfn.XLOOKUP($D138,'Modelling New'!$D:$D,'Modelling New'!$AE:$AE),"")</f>
        <v>0.995</v>
      </c>
      <c r="AH138" s="186">
        <f>IFERROR(_xlfn.XLOOKUP($D138,'Modelling New'!$D:$D,'Modelling New'!$AF:$AF),"")</f>
        <v>0.995</v>
      </c>
      <c r="AI138" s="177"/>
      <c r="AJ138" s="177"/>
      <c r="AK138" s="238"/>
      <c r="AL138" s="238"/>
      <c r="AM138" s="238"/>
      <c r="AN138" s="187"/>
      <c r="AO138" s="184"/>
      <c r="AP138" s="184"/>
      <c r="AQ138" s="184"/>
      <c r="AR138" s="176">
        <f>IFERROR(_xlfn.XLOOKUP($D137,'Modelling New'!$D:$D,'Modelling New'!$N:$N),"")</f>
        <v>66.754999999999995</v>
      </c>
      <c r="AS138" s="176"/>
    </row>
    <row r="139" spans="1:45" x14ac:dyDescent="0.25">
      <c r="A139" s="175">
        <f t="shared" si="11"/>
        <v>45882</v>
      </c>
      <c r="B139" s="176">
        <f>YEAR(Table13[[#This Row],[Date]])+IF(MONTH(Table13[[#This Row],[Date]])&gt;=4,1,0)</f>
        <v>2026</v>
      </c>
      <c r="C139" s="177">
        <f>YEAR(Table13[[#This Row],[Date]])</f>
        <v>2025</v>
      </c>
      <c r="D139" s="178">
        <f>Table13[[#This Row],[Date]]-DAY(Table13[[#This Row],[Date]])+1</f>
        <v>45870</v>
      </c>
      <c r="E139" s="177">
        <f t="shared" si="8"/>
        <v>31</v>
      </c>
      <c r="F139" s="179" t="str">
        <f>IFERROR(_xlfn.XLOOKUP($A139,Raw_Data!$B:$B,Raw_Data!$KG:$KG),"")</f>
        <v/>
      </c>
      <c r="G139" s="180" t="str">
        <f>IFERROR(_xlfn.XLOOKUP($A139,Raw_Data!$B:$B,Raw_Data!KH:KH),"")</f>
        <v/>
      </c>
      <c r="H139" s="180"/>
      <c r="I139" s="180" t="str">
        <f>IFERROR(_xlfn.XLOOKUP($A139,Raw_Data!$B:$B,Raw_Data!$KI:$KI),"")</f>
        <v/>
      </c>
      <c r="J139" s="180"/>
      <c r="K139" s="180" t="str">
        <f>IFERROR(_xlfn.XLOOKUP($A139,Raw_Data!$B:$B,Raw_Data!KJ:KJ),"")</f>
        <v/>
      </c>
      <c r="L139" s="180" t="str">
        <f>IFERROR(_xlfn.XLOOKUP($A139,Raw_Data!$B:$B,Raw_Data!KK:KK),"")</f>
        <v/>
      </c>
      <c r="M139" s="180" t="str">
        <f>IFERROR(_xlfn.XLOOKUP($A139,Raw_Data!$B:$B,Raw_Data!KL:KL),"")</f>
        <v/>
      </c>
      <c r="N139" s="180" t="str">
        <f>IFERROR(_xlfn.XLOOKUP($A139,Raw_Data!$B:$B,Raw_Data!KM:KM),"")</f>
        <v/>
      </c>
      <c r="O139" s="181" t="str">
        <f>IFERROR(1-SUMIF(PA!$B:$B,$A139,PA!AJ:AJ)/($AA139+SUMIF(PA!$B:$B,$A139,PA!AJ:AJ)),"")</f>
        <v/>
      </c>
      <c r="P139" s="181"/>
      <c r="Q139" s="182"/>
      <c r="R139" s="181" t="str">
        <f>IFERROR(1-SUMIF(GA!$C:$C,$A139,GA!$X:$X)/($AA139+SUMIF(GA!$C:$C,$A139,GA!$X:$X)),"")</f>
        <v/>
      </c>
      <c r="S139" s="177"/>
      <c r="T139" s="182"/>
      <c r="U139" s="183" t="str">
        <f t="shared" si="9"/>
        <v/>
      </c>
      <c r="V139" s="183" t="str">
        <f>IFERROR(_xlfn.XLOOKUP($A139,Raw_Data!$B:$B,Raw_Data!$KQ:$KQ),"")</f>
        <v/>
      </c>
      <c r="W139" s="184" t="str">
        <f t="shared" si="10"/>
        <v/>
      </c>
      <c r="X139" s="176" t="str">
        <f>IFERROR(_xlfn.XLOOKUP($A139,Raw_Data!$B:$B,Raw_Data!$KN:$KN),"")</f>
        <v/>
      </c>
      <c r="Y139" s="176" t="str">
        <f>IFERROR(_xlfn.XLOOKUP($A139,Raw_Data!$B:$B,Raw_Data!$KC:$KC),"")</f>
        <v/>
      </c>
      <c r="Z139" s="176" t="str">
        <f>IFERROR(_xlfn.XLOOKUP($A139,Raw_Data!$B:$B,Raw_Data!$KD:$KD),"")</f>
        <v/>
      </c>
      <c r="AA139" s="176" t="str">
        <f>IFERROR(_xlfn.XLOOKUP($A139,Raw_Data!$B:$B,Raw_Data!$KF:$KF),"")</f>
        <v/>
      </c>
      <c r="AB139" s="176" t="str">
        <f>IFERROR(_xlfn.XLOOKUP($A139,Raw_Data!$B:$B,Raw_Data!I:I)/1000,"")</f>
        <v/>
      </c>
      <c r="AC139" s="185">
        <f>IFERROR(_xlfn.XLOOKUP($D139,'Modelling New'!$D:$D,'Modelling New'!$P:$P),"")</f>
        <v>4.6419354838709683</v>
      </c>
      <c r="AD139" s="176">
        <f>IFERROR(_xlfn.XLOOKUP($D139,'Modelling New'!$D:$D,'Modelling New'!$T:$T)*1000,"")</f>
        <v>240509.75824924873</v>
      </c>
      <c r="AE139" s="186">
        <f>IFERROR(_xlfn.XLOOKUP($D139,'Modelling New'!$D:$D,'Modelling New'!$O:$O),"")</f>
        <v>0.77615739815974316</v>
      </c>
      <c r="AF139" s="186">
        <f>IFERROR(_xlfn.XLOOKUP($D139,'Modelling New'!$D:$D,'Modelling New'!$W:$W),"")</f>
        <v>0.15011969031611161</v>
      </c>
      <c r="AG139" s="186">
        <f>IFERROR(_xlfn.XLOOKUP($D139,'Modelling New'!$D:$D,'Modelling New'!$AE:$AE),"")</f>
        <v>0.995</v>
      </c>
      <c r="AH139" s="186">
        <f>IFERROR(_xlfn.XLOOKUP($D139,'Modelling New'!$D:$D,'Modelling New'!$AF:$AF),"")</f>
        <v>0.995</v>
      </c>
      <c r="AI139" s="177"/>
      <c r="AJ139" s="177"/>
      <c r="AK139" s="238"/>
      <c r="AL139" s="238"/>
      <c r="AM139" s="238"/>
      <c r="AN139" s="187"/>
      <c r="AO139" s="184"/>
      <c r="AP139" s="184"/>
      <c r="AQ139" s="184"/>
      <c r="AR139" s="176">
        <f>IFERROR(_xlfn.XLOOKUP($D138,'Modelling New'!$D:$D,'Modelling New'!$N:$N),"")</f>
        <v>66.754999999999995</v>
      </c>
      <c r="AS139" s="176"/>
    </row>
    <row r="140" spans="1:45" x14ac:dyDescent="0.25">
      <c r="A140" s="175">
        <f t="shared" si="11"/>
        <v>45883</v>
      </c>
      <c r="B140" s="176">
        <f>YEAR(Table13[[#This Row],[Date]])+IF(MONTH(Table13[[#This Row],[Date]])&gt;=4,1,0)</f>
        <v>2026</v>
      </c>
      <c r="C140" s="177">
        <f>YEAR(Table13[[#This Row],[Date]])</f>
        <v>2025</v>
      </c>
      <c r="D140" s="178">
        <f>Table13[[#This Row],[Date]]-DAY(Table13[[#This Row],[Date]])+1</f>
        <v>45870</v>
      </c>
      <c r="E140" s="177">
        <f t="shared" si="8"/>
        <v>31</v>
      </c>
      <c r="F140" s="179" t="str">
        <f>IFERROR(_xlfn.XLOOKUP($A140,Raw_Data!$B:$B,Raw_Data!$KG:$KG),"")</f>
        <v/>
      </c>
      <c r="G140" s="180" t="str">
        <f>IFERROR(_xlfn.XLOOKUP($A140,Raw_Data!$B:$B,Raw_Data!KH:KH),"")</f>
        <v/>
      </c>
      <c r="H140" s="180"/>
      <c r="I140" s="180" t="str">
        <f>IFERROR(_xlfn.XLOOKUP($A140,Raw_Data!$B:$B,Raw_Data!$KI:$KI),"")</f>
        <v/>
      </c>
      <c r="J140" s="180"/>
      <c r="K140" s="180" t="str">
        <f>IFERROR(_xlfn.XLOOKUP($A140,Raw_Data!$B:$B,Raw_Data!KJ:KJ),"")</f>
        <v/>
      </c>
      <c r="L140" s="180" t="str">
        <f>IFERROR(_xlfn.XLOOKUP($A140,Raw_Data!$B:$B,Raw_Data!KK:KK),"")</f>
        <v/>
      </c>
      <c r="M140" s="180" t="str">
        <f>IFERROR(_xlfn.XLOOKUP($A140,Raw_Data!$B:$B,Raw_Data!KL:KL),"")</f>
        <v/>
      </c>
      <c r="N140" s="180" t="str">
        <f>IFERROR(_xlfn.XLOOKUP($A140,Raw_Data!$B:$B,Raw_Data!KM:KM),"")</f>
        <v/>
      </c>
      <c r="O140" s="181" t="str">
        <f>IFERROR(1-SUMIF(PA!$B:$B,$A140,PA!AJ:AJ)/($AA140+SUMIF(PA!$B:$B,$A140,PA!AJ:AJ)),"")</f>
        <v/>
      </c>
      <c r="P140" s="181"/>
      <c r="Q140" s="182"/>
      <c r="R140" s="181" t="str">
        <f>IFERROR(1-SUMIF(GA!$C:$C,$A140,GA!$X:$X)/($AA140+SUMIF(GA!$C:$C,$A140,GA!$X:$X)),"")</f>
        <v/>
      </c>
      <c r="S140" s="177"/>
      <c r="T140" s="182"/>
      <c r="U140" s="183" t="str">
        <f t="shared" si="9"/>
        <v/>
      </c>
      <c r="V140" s="183" t="str">
        <f>IFERROR(_xlfn.XLOOKUP($A140,Raw_Data!$B:$B,Raw_Data!$KQ:$KQ),"")</f>
        <v/>
      </c>
      <c r="W140" s="184" t="str">
        <f t="shared" si="10"/>
        <v/>
      </c>
      <c r="X140" s="176" t="str">
        <f>IFERROR(_xlfn.XLOOKUP($A140,Raw_Data!$B:$B,Raw_Data!$KN:$KN),"")</f>
        <v/>
      </c>
      <c r="Y140" s="176" t="str">
        <f>IFERROR(_xlfn.XLOOKUP($A140,Raw_Data!$B:$B,Raw_Data!$KC:$KC),"")</f>
        <v/>
      </c>
      <c r="Z140" s="176" t="str">
        <f>IFERROR(_xlfn.XLOOKUP($A140,Raw_Data!$B:$B,Raw_Data!$KD:$KD),"")</f>
        <v/>
      </c>
      <c r="AA140" s="176" t="str">
        <f>IFERROR(_xlfn.XLOOKUP($A140,Raw_Data!$B:$B,Raw_Data!$KF:$KF),"")</f>
        <v/>
      </c>
      <c r="AB140" s="176" t="str">
        <f>IFERROR(_xlfn.XLOOKUP($A140,Raw_Data!$B:$B,Raw_Data!I:I)/1000,"")</f>
        <v/>
      </c>
      <c r="AC140" s="185">
        <f>IFERROR(_xlfn.XLOOKUP($D140,'Modelling New'!$D:$D,'Modelling New'!$P:$P),"")</f>
        <v>4.6419354838709683</v>
      </c>
      <c r="AD140" s="176">
        <f>IFERROR(_xlfn.XLOOKUP($D140,'Modelling New'!$D:$D,'Modelling New'!$T:$T)*1000,"")</f>
        <v>240509.75824924873</v>
      </c>
      <c r="AE140" s="186">
        <f>IFERROR(_xlfn.XLOOKUP($D140,'Modelling New'!$D:$D,'Modelling New'!$O:$O),"")</f>
        <v>0.77615739815974316</v>
      </c>
      <c r="AF140" s="186">
        <f>IFERROR(_xlfn.XLOOKUP($D140,'Modelling New'!$D:$D,'Modelling New'!$W:$W),"")</f>
        <v>0.15011969031611161</v>
      </c>
      <c r="AG140" s="186">
        <f>IFERROR(_xlfn.XLOOKUP($D140,'Modelling New'!$D:$D,'Modelling New'!$AE:$AE),"")</f>
        <v>0.995</v>
      </c>
      <c r="AH140" s="186">
        <f>IFERROR(_xlfn.XLOOKUP($D140,'Modelling New'!$D:$D,'Modelling New'!$AF:$AF),"")</f>
        <v>0.995</v>
      </c>
      <c r="AI140" s="177"/>
      <c r="AJ140" s="177"/>
      <c r="AK140" s="238"/>
      <c r="AL140" s="238"/>
      <c r="AM140" s="238"/>
      <c r="AN140" s="187"/>
      <c r="AO140" s="184"/>
      <c r="AP140" s="184"/>
      <c r="AQ140" s="184"/>
      <c r="AR140" s="176">
        <f>IFERROR(_xlfn.XLOOKUP($D139,'Modelling New'!$D:$D,'Modelling New'!$N:$N),"")</f>
        <v>66.754999999999995</v>
      </c>
      <c r="AS140" s="176"/>
    </row>
    <row r="141" spans="1:45" x14ac:dyDescent="0.25">
      <c r="A141" s="175">
        <f t="shared" si="11"/>
        <v>45884</v>
      </c>
      <c r="B141" s="176">
        <f>YEAR(Table13[[#This Row],[Date]])+IF(MONTH(Table13[[#This Row],[Date]])&gt;=4,1,0)</f>
        <v>2026</v>
      </c>
      <c r="C141" s="177">
        <f>YEAR(Table13[[#This Row],[Date]])</f>
        <v>2025</v>
      </c>
      <c r="D141" s="178">
        <f>Table13[[#This Row],[Date]]-DAY(Table13[[#This Row],[Date]])+1</f>
        <v>45870</v>
      </c>
      <c r="E141" s="177">
        <f t="shared" si="8"/>
        <v>31</v>
      </c>
      <c r="F141" s="179" t="str">
        <f>IFERROR(_xlfn.XLOOKUP($A141,Raw_Data!$B:$B,Raw_Data!$KG:$KG),"")</f>
        <v/>
      </c>
      <c r="G141" s="180" t="str">
        <f>IFERROR(_xlfn.XLOOKUP($A141,Raw_Data!$B:$B,Raw_Data!KH:KH),"")</f>
        <v/>
      </c>
      <c r="H141" s="180"/>
      <c r="I141" s="180" t="str">
        <f>IFERROR(_xlfn.XLOOKUP($A141,Raw_Data!$B:$B,Raw_Data!$KI:$KI),"")</f>
        <v/>
      </c>
      <c r="J141" s="180"/>
      <c r="K141" s="180" t="str">
        <f>IFERROR(_xlfn.XLOOKUP($A141,Raw_Data!$B:$B,Raw_Data!KJ:KJ),"")</f>
        <v/>
      </c>
      <c r="L141" s="180" t="str">
        <f>IFERROR(_xlfn.XLOOKUP($A141,Raw_Data!$B:$B,Raw_Data!KK:KK),"")</f>
        <v/>
      </c>
      <c r="M141" s="180" t="str">
        <f>IFERROR(_xlfn.XLOOKUP($A141,Raw_Data!$B:$B,Raw_Data!KL:KL),"")</f>
        <v/>
      </c>
      <c r="N141" s="180" t="str">
        <f>IFERROR(_xlfn.XLOOKUP($A141,Raw_Data!$B:$B,Raw_Data!KM:KM),"")</f>
        <v/>
      </c>
      <c r="O141" s="181" t="str">
        <f>IFERROR(1-SUMIF(PA!$B:$B,$A141,PA!AJ:AJ)/($AA141+SUMIF(PA!$B:$B,$A141,PA!AJ:AJ)),"")</f>
        <v/>
      </c>
      <c r="P141" s="181"/>
      <c r="Q141" s="182"/>
      <c r="R141" s="181" t="str">
        <f>IFERROR(1-SUMIF(GA!$C:$C,$A141,GA!$X:$X)/($AA141+SUMIF(GA!$C:$C,$A141,GA!$X:$X)),"")</f>
        <v/>
      </c>
      <c r="S141" s="177"/>
      <c r="T141" s="182"/>
      <c r="U141" s="183" t="str">
        <f t="shared" si="9"/>
        <v/>
      </c>
      <c r="V141" s="183" t="str">
        <f>IFERROR(_xlfn.XLOOKUP($A141,Raw_Data!$B:$B,Raw_Data!$KQ:$KQ),"")</f>
        <v/>
      </c>
      <c r="W141" s="184" t="str">
        <f t="shared" si="10"/>
        <v/>
      </c>
      <c r="X141" s="176" t="str">
        <f>IFERROR(_xlfn.XLOOKUP($A141,Raw_Data!$B:$B,Raw_Data!$KN:$KN),"")</f>
        <v/>
      </c>
      <c r="Y141" s="176" t="str">
        <f>IFERROR(_xlfn.XLOOKUP($A141,Raw_Data!$B:$B,Raw_Data!$KC:$KC),"")</f>
        <v/>
      </c>
      <c r="Z141" s="176" t="str">
        <f>IFERROR(_xlfn.XLOOKUP($A141,Raw_Data!$B:$B,Raw_Data!$KD:$KD),"")</f>
        <v/>
      </c>
      <c r="AA141" s="176" t="str">
        <f>IFERROR(_xlfn.XLOOKUP($A141,Raw_Data!$B:$B,Raw_Data!$KF:$KF),"")</f>
        <v/>
      </c>
      <c r="AB141" s="176" t="str">
        <f>IFERROR(_xlfn.XLOOKUP($A141,Raw_Data!$B:$B,Raw_Data!I:I)/1000,"")</f>
        <v/>
      </c>
      <c r="AC141" s="185">
        <f>IFERROR(_xlfn.XLOOKUP($D141,'Modelling New'!$D:$D,'Modelling New'!$P:$P),"")</f>
        <v>4.6419354838709683</v>
      </c>
      <c r="AD141" s="176">
        <f>IFERROR(_xlfn.XLOOKUP($D141,'Modelling New'!$D:$D,'Modelling New'!$T:$T)*1000,"")</f>
        <v>240509.75824924873</v>
      </c>
      <c r="AE141" s="186">
        <f>IFERROR(_xlfn.XLOOKUP($D141,'Modelling New'!$D:$D,'Modelling New'!$O:$O),"")</f>
        <v>0.77615739815974316</v>
      </c>
      <c r="AF141" s="186">
        <f>IFERROR(_xlfn.XLOOKUP($D141,'Modelling New'!$D:$D,'Modelling New'!$W:$W),"")</f>
        <v>0.15011969031611161</v>
      </c>
      <c r="AG141" s="186">
        <f>IFERROR(_xlfn.XLOOKUP($D141,'Modelling New'!$D:$D,'Modelling New'!$AE:$AE),"")</f>
        <v>0.995</v>
      </c>
      <c r="AH141" s="186">
        <f>IFERROR(_xlfn.XLOOKUP($D141,'Modelling New'!$D:$D,'Modelling New'!$AF:$AF),"")</f>
        <v>0.995</v>
      </c>
      <c r="AI141" s="177"/>
      <c r="AJ141" s="177"/>
      <c r="AK141" s="238"/>
      <c r="AL141" s="238"/>
      <c r="AM141" s="238"/>
      <c r="AN141" s="187"/>
      <c r="AO141" s="184"/>
      <c r="AP141" s="184"/>
      <c r="AQ141" s="184"/>
      <c r="AR141" s="176">
        <f>IFERROR(_xlfn.XLOOKUP($D140,'Modelling New'!$D:$D,'Modelling New'!$N:$N),"")</f>
        <v>66.754999999999995</v>
      </c>
      <c r="AS141" s="176"/>
    </row>
    <row r="142" spans="1:45" x14ac:dyDescent="0.25">
      <c r="A142" s="175">
        <f t="shared" si="11"/>
        <v>45885</v>
      </c>
      <c r="B142" s="176">
        <f>YEAR(Table13[[#This Row],[Date]])+IF(MONTH(Table13[[#This Row],[Date]])&gt;=4,1,0)</f>
        <v>2026</v>
      </c>
      <c r="C142" s="177">
        <f>YEAR(Table13[[#This Row],[Date]])</f>
        <v>2025</v>
      </c>
      <c r="D142" s="178">
        <f>Table13[[#This Row],[Date]]-DAY(Table13[[#This Row],[Date]])+1</f>
        <v>45870</v>
      </c>
      <c r="E142" s="177">
        <f t="shared" si="8"/>
        <v>31</v>
      </c>
      <c r="F142" s="179" t="str">
        <f>IFERROR(_xlfn.XLOOKUP($A142,Raw_Data!$B:$B,Raw_Data!$KG:$KG),"")</f>
        <v/>
      </c>
      <c r="G142" s="180" t="str">
        <f>IFERROR(_xlfn.XLOOKUP($A142,Raw_Data!$B:$B,Raw_Data!KH:KH),"")</f>
        <v/>
      </c>
      <c r="H142" s="180"/>
      <c r="I142" s="180" t="str">
        <f>IFERROR(_xlfn.XLOOKUP($A142,Raw_Data!$B:$B,Raw_Data!$KI:$KI),"")</f>
        <v/>
      </c>
      <c r="J142" s="180"/>
      <c r="K142" s="180" t="str">
        <f>IFERROR(_xlfn.XLOOKUP($A142,Raw_Data!$B:$B,Raw_Data!KJ:KJ),"")</f>
        <v/>
      </c>
      <c r="L142" s="180" t="str">
        <f>IFERROR(_xlfn.XLOOKUP($A142,Raw_Data!$B:$B,Raw_Data!KK:KK),"")</f>
        <v/>
      </c>
      <c r="M142" s="180" t="str">
        <f>IFERROR(_xlfn.XLOOKUP($A142,Raw_Data!$B:$B,Raw_Data!KL:KL),"")</f>
        <v/>
      </c>
      <c r="N142" s="180" t="str">
        <f>IFERROR(_xlfn.XLOOKUP($A142,Raw_Data!$B:$B,Raw_Data!KM:KM),"")</f>
        <v/>
      </c>
      <c r="O142" s="181" t="str">
        <f>IFERROR(1-SUMIF(PA!$B:$B,$A142,PA!AJ:AJ)/($AA142+SUMIF(PA!$B:$B,$A142,PA!AJ:AJ)),"")</f>
        <v/>
      </c>
      <c r="P142" s="181"/>
      <c r="Q142" s="182"/>
      <c r="R142" s="181" t="str">
        <f>IFERROR(1-SUMIF(GA!$C:$C,$A142,GA!$X:$X)/($AA142+SUMIF(GA!$C:$C,$A142,GA!$X:$X)),"")</f>
        <v/>
      </c>
      <c r="S142" s="177"/>
      <c r="T142" s="182"/>
      <c r="U142" s="183" t="str">
        <f t="shared" si="9"/>
        <v/>
      </c>
      <c r="V142" s="183" t="str">
        <f>IFERROR(_xlfn.XLOOKUP($A142,Raw_Data!$B:$B,Raw_Data!$KQ:$KQ),"")</f>
        <v/>
      </c>
      <c r="W142" s="184" t="str">
        <f t="shared" si="10"/>
        <v/>
      </c>
      <c r="X142" s="176" t="str">
        <f>IFERROR(_xlfn.XLOOKUP($A142,Raw_Data!$B:$B,Raw_Data!$KN:$KN),"")</f>
        <v/>
      </c>
      <c r="Y142" s="176" t="str">
        <f>IFERROR(_xlfn.XLOOKUP($A142,Raw_Data!$B:$B,Raw_Data!$KC:$KC),"")</f>
        <v/>
      </c>
      <c r="Z142" s="176" t="str">
        <f>IFERROR(_xlfn.XLOOKUP($A142,Raw_Data!$B:$B,Raw_Data!$KD:$KD),"")</f>
        <v/>
      </c>
      <c r="AA142" s="176" t="str">
        <f>IFERROR(_xlfn.XLOOKUP($A142,Raw_Data!$B:$B,Raw_Data!$KF:$KF),"")</f>
        <v/>
      </c>
      <c r="AB142" s="176" t="str">
        <f>IFERROR(_xlfn.XLOOKUP($A142,Raw_Data!$B:$B,Raw_Data!I:I)/1000,"")</f>
        <v/>
      </c>
      <c r="AC142" s="185">
        <f>IFERROR(_xlfn.XLOOKUP($D142,'Modelling New'!$D:$D,'Modelling New'!$P:$P),"")</f>
        <v>4.6419354838709683</v>
      </c>
      <c r="AD142" s="176">
        <f>IFERROR(_xlfn.XLOOKUP($D142,'Modelling New'!$D:$D,'Modelling New'!$T:$T)*1000,"")</f>
        <v>240509.75824924873</v>
      </c>
      <c r="AE142" s="186">
        <f>IFERROR(_xlfn.XLOOKUP($D142,'Modelling New'!$D:$D,'Modelling New'!$O:$O),"")</f>
        <v>0.77615739815974316</v>
      </c>
      <c r="AF142" s="186">
        <f>IFERROR(_xlfn.XLOOKUP($D142,'Modelling New'!$D:$D,'Modelling New'!$W:$W),"")</f>
        <v>0.15011969031611161</v>
      </c>
      <c r="AG142" s="186">
        <f>IFERROR(_xlfn.XLOOKUP($D142,'Modelling New'!$D:$D,'Modelling New'!$AE:$AE),"")</f>
        <v>0.995</v>
      </c>
      <c r="AH142" s="186">
        <f>IFERROR(_xlfn.XLOOKUP($D142,'Modelling New'!$D:$D,'Modelling New'!$AF:$AF),"")</f>
        <v>0.995</v>
      </c>
      <c r="AI142" s="177"/>
      <c r="AJ142" s="177"/>
      <c r="AK142" s="238"/>
      <c r="AL142" s="238"/>
      <c r="AM142" s="238"/>
      <c r="AN142" s="187"/>
      <c r="AO142" s="184"/>
      <c r="AP142" s="184"/>
      <c r="AQ142" s="184"/>
      <c r="AR142" s="176">
        <f>IFERROR(_xlfn.XLOOKUP($D141,'Modelling New'!$D:$D,'Modelling New'!$N:$N),"")</f>
        <v>66.754999999999995</v>
      </c>
      <c r="AS142" s="176"/>
    </row>
    <row r="143" spans="1:45" x14ac:dyDescent="0.25">
      <c r="A143" s="175">
        <f t="shared" si="11"/>
        <v>45886</v>
      </c>
      <c r="B143" s="176">
        <f>YEAR(Table13[[#This Row],[Date]])+IF(MONTH(Table13[[#This Row],[Date]])&gt;=4,1,0)</f>
        <v>2026</v>
      </c>
      <c r="C143" s="177">
        <f>YEAR(Table13[[#This Row],[Date]])</f>
        <v>2025</v>
      </c>
      <c r="D143" s="178">
        <f>Table13[[#This Row],[Date]]-DAY(Table13[[#This Row],[Date]])+1</f>
        <v>45870</v>
      </c>
      <c r="E143" s="177">
        <f t="shared" si="8"/>
        <v>31</v>
      </c>
      <c r="F143" s="179" t="str">
        <f>IFERROR(_xlfn.XLOOKUP($A143,Raw_Data!$B:$B,Raw_Data!$KG:$KG),"")</f>
        <v/>
      </c>
      <c r="G143" s="180" t="str">
        <f>IFERROR(_xlfn.XLOOKUP($A143,Raw_Data!$B:$B,Raw_Data!KH:KH),"")</f>
        <v/>
      </c>
      <c r="H143" s="180"/>
      <c r="I143" s="180" t="str">
        <f>IFERROR(_xlfn.XLOOKUP($A143,Raw_Data!$B:$B,Raw_Data!$KI:$KI),"")</f>
        <v/>
      </c>
      <c r="J143" s="180"/>
      <c r="K143" s="180" t="str">
        <f>IFERROR(_xlfn.XLOOKUP($A143,Raw_Data!$B:$B,Raw_Data!KJ:KJ),"")</f>
        <v/>
      </c>
      <c r="L143" s="180" t="str">
        <f>IFERROR(_xlfn.XLOOKUP($A143,Raw_Data!$B:$B,Raw_Data!KK:KK),"")</f>
        <v/>
      </c>
      <c r="M143" s="180" t="str">
        <f>IFERROR(_xlfn.XLOOKUP($A143,Raw_Data!$B:$B,Raw_Data!KL:KL),"")</f>
        <v/>
      </c>
      <c r="N143" s="180" t="str">
        <f>IFERROR(_xlfn.XLOOKUP($A143,Raw_Data!$B:$B,Raw_Data!KM:KM),"")</f>
        <v/>
      </c>
      <c r="O143" s="181" t="str">
        <f>IFERROR(1-SUMIF(PA!$B:$B,$A143,PA!AJ:AJ)/($AA143+SUMIF(PA!$B:$B,$A143,PA!AJ:AJ)),"")</f>
        <v/>
      </c>
      <c r="P143" s="181"/>
      <c r="Q143" s="182"/>
      <c r="R143" s="181" t="str">
        <f>IFERROR(1-SUMIF(GA!$C:$C,$A143,GA!$X:$X)/($AA143+SUMIF(GA!$C:$C,$A143,GA!$X:$X)),"")</f>
        <v/>
      </c>
      <c r="S143" s="177"/>
      <c r="T143" s="182"/>
      <c r="U143" s="183" t="str">
        <f t="shared" si="9"/>
        <v/>
      </c>
      <c r="V143" s="183" t="str">
        <f>IFERROR(_xlfn.XLOOKUP($A143,Raw_Data!$B:$B,Raw_Data!$KQ:$KQ),"")</f>
        <v/>
      </c>
      <c r="W143" s="184" t="str">
        <f t="shared" si="10"/>
        <v/>
      </c>
      <c r="X143" s="176" t="str">
        <f>IFERROR(_xlfn.XLOOKUP($A143,Raw_Data!$B:$B,Raw_Data!$KN:$KN),"")</f>
        <v/>
      </c>
      <c r="Y143" s="176" t="str">
        <f>IFERROR(_xlfn.XLOOKUP($A143,Raw_Data!$B:$B,Raw_Data!$KC:$KC),"")</f>
        <v/>
      </c>
      <c r="Z143" s="176" t="str">
        <f>IFERROR(_xlfn.XLOOKUP($A143,Raw_Data!$B:$B,Raw_Data!$KD:$KD),"")</f>
        <v/>
      </c>
      <c r="AA143" s="176" t="str">
        <f>IFERROR(_xlfn.XLOOKUP($A143,Raw_Data!$B:$B,Raw_Data!$KF:$KF),"")</f>
        <v/>
      </c>
      <c r="AB143" s="176" t="str">
        <f>IFERROR(_xlfn.XLOOKUP($A143,Raw_Data!$B:$B,Raw_Data!I:I)/1000,"")</f>
        <v/>
      </c>
      <c r="AC143" s="185">
        <f>IFERROR(_xlfn.XLOOKUP($D143,'Modelling New'!$D:$D,'Modelling New'!$P:$P),"")</f>
        <v>4.6419354838709683</v>
      </c>
      <c r="AD143" s="176">
        <f>IFERROR(_xlfn.XLOOKUP($D143,'Modelling New'!$D:$D,'Modelling New'!$T:$T)*1000,"")</f>
        <v>240509.75824924873</v>
      </c>
      <c r="AE143" s="186">
        <f>IFERROR(_xlfn.XLOOKUP($D143,'Modelling New'!$D:$D,'Modelling New'!$O:$O),"")</f>
        <v>0.77615739815974316</v>
      </c>
      <c r="AF143" s="186">
        <f>IFERROR(_xlfn.XLOOKUP($D143,'Modelling New'!$D:$D,'Modelling New'!$W:$W),"")</f>
        <v>0.15011969031611161</v>
      </c>
      <c r="AG143" s="186">
        <f>IFERROR(_xlfn.XLOOKUP($D143,'Modelling New'!$D:$D,'Modelling New'!$AE:$AE),"")</f>
        <v>0.995</v>
      </c>
      <c r="AH143" s="186">
        <f>IFERROR(_xlfn.XLOOKUP($D143,'Modelling New'!$D:$D,'Modelling New'!$AF:$AF),"")</f>
        <v>0.995</v>
      </c>
      <c r="AI143" s="177"/>
      <c r="AJ143" s="177"/>
      <c r="AK143" s="238"/>
      <c r="AL143" s="238"/>
      <c r="AM143" s="238"/>
      <c r="AN143" s="187"/>
      <c r="AO143" s="184"/>
      <c r="AP143" s="184"/>
      <c r="AQ143" s="184"/>
      <c r="AR143" s="176">
        <f>IFERROR(_xlfn.XLOOKUP($D142,'Modelling New'!$D:$D,'Modelling New'!$N:$N),"")</f>
        <v>66.754999999999995</v>
      </c>
      <c r="AS143" s="176"/>
    </row>
    <row r="144" spans="1:45" x14ac:dyDescent="0.25">
      <c r="A144" s="175">
        <f t="shared" si="11"/>
        <v>45887</v>
      </c>
      <c r="B144" s="176">
        <f>YEAR(Table13[[#This Row],[Date]])+IF(MONTH(Table13[[#This Row],[Date]])&gt;=4,1,0)</f>
        <v>2026</v>
      </c>
      <c r="C144" s="177">
        <f>YEAR(Table13[[#This Row],[Date]])</f>
        <v>2025</v>
      </c>
      <c r="D144" s="178">
        <f>Table13[[#This Row],[Date]]-DAY(Table13[[#This Row],[Date]])+1</f>
        <v>45870</v>
      </c>
      <c r="E144" s="177">
        <f t="shared" si="8"/>
        <v>31</v>
      </c>
      <c r="F144" s="179" t="str">
        <f>IFERROR(_xlfn.XLOOKUP($A144,Raw_Data!$B:$B,Raw_Data!$KG:$KG),"")</f>
        <v/>
      </c>
      <c r="G144" s="180" t="str">
        <f>IFERROR(_xlfn.XLOOKUP($A144,Raw_Data!$B:$B,Raw_Data!KH:KH),"")</f>
        <v/>
      </c>
      <c r="H144" s="180"/>
      <c r="I144" s="180" t="str">
        <f>IFERROR(_xlfn.XLOOKUP($A144,Raw_Data!$B:$B,Raw_Data!$KI:$KI),"")</f>
        <v/>
      </c>
      <c r="J144" s="180"/>
      <c r="K144" s="180" t="str">
        <f>IFERROR(_xlfn.XLOOKUP($A144,Raw_Data!$B:$B,Raw_Data!KJ:KJ),"")</f>
        <v/>
      </c>
      <c r="L144" s="180" t="str">
        <f>IFERROR(_xlfn.XLOOKUP($A144,Raw_Data!$B:$B,Raw_Data!KK:KK),"")</f>
        <v/>
      </c>
      <c r="M144" s="180" t="str">
        <f>IFERROR(_xlfn.XLOOKUP($A144,Raw_Data!$B:$B,Raw_Data!KL:KL),"")</f>
        <v/>
      </c>
      <c r="N144" s="180" t="str">
        <f>IFERROR(_xlfn.XLOOKUP($A144,Raw_Data!$B:$B,Raw_Data!KM:KM),"")</f>
        <v/>
      </c>
      <c r="O144" s="181" t="str">
        <f>IFERROR(1-SUMIF(PA!$B:$B,$A144,PA!AJ:AJ)/($AA144+SUMIF(PA!$B:$B,$A144,PA!AJ:AJ)),"")</f>
        <v/>
      </c>
      <c r="P144" s="181"/>
      <c r="Q144" s="182"/>
      <c r="R144" s="181" t="str">
        <f>IFERROR(1-SUMIF(GA!$C:$C,$A144,GA!$X:$X)/($AA144+SUMIF(GA!$C:$C,$A144,GA!$X:$X)),"")</f>
        <v/>
      </c>
      <c r="S144" s="177"/>
      <c r="T144" s="182"/>
      <c r="U144" s="183" t="str">
        <f t="shared" si="9"/>
        <v/>
      </c>
      <c r="V144" s="183" t="str">
        <f>IFERROR(_xlfn.XLOOKUP($A144,Raw_Data!$B:$B,Raw_Data!$KQ:$KQ),"")</f>
        <v/>
      </c>
      <c r="W144" s="184" t="str">
        <f t="shared" si="10"/>
        <v/>
      </c>
      <c r="X144" s="176" t="str">
        <f>IFERROR(_xlfn.XLOOKUP($A144,Raw_Data!$B:$B,Raw_Data!$KN:$KN),"")</f>
        <v/>
      </c>
      <c r="Y144" s="176" t="str">
        <f>IFERROR(_xlfn.XLOOKUP($A144,Raw_Data!$B:$B,Raw_Data!$KC:$KC),"")</f>
        <v/>
      </c>
      <c r="Z144" s="176" t="str">
        <f>IFERROR(_xlfn.XLOOKUP($A144,Raw_Data!$B:$B,Raw_Data!$KD:$KD),"")</f>
        <v/>
      </c>
      <c r="AA144" s="176" t="str">
        <f>IFERROR(_xlfn.XLOOKUP($A144,Raw_Data!$B:$B,Raw_Data!$KF:$KF),"")</f>
        <v/>
      </c>
      <c r="AB144" s="176" t="str">
        <f>IFERROR(_xlfn.XLOOKUP($A144,Raw_Data!$B:$B,Raw_Data!I:I)/1000,"")</f>
        <v/>
      </c>
      <c r="AC144" s="185">
        <f>IFERROR(_xlfn.XLOOKUP($D144,'Modelling New'!$D:$D,'Modelling New'!$P:$P),"")</f>
        <v>4.6419354838709683</v>
      </c>
      <c r="AD144" s="176">
        <f>IFERROR(_xlfn.XLOOKUP($D144,'Modelling New'!$D:$D,'Modelling New'!$T:$T)*1000,"")</f>
        <v>240509.75824924873</v>
      </c>
      <c r="AE144" s="186">
        <f>IFERROR(_xlfn.XLOOKUP($D144,'Modelling New'!$D:$D,'Modelling New'!$O:$O),"")</f>
        <v>0.77615739815974316</v>
      </c>
      <c r="AF144" s="186">
        <f>IFERROR(_xlfn.XLOOKUP($D144,'Modelling New'!$D:$D,'Modelling New'!$W:$W),"")</f>
        <v>0.15011969031611161</v>
      </c>
      <c r="AG144" s="186">
        <f>IFERROR(_xlfn.XLOOKUP($D144,'Modelling New'!$D:$D,'Modelling New'!$AE:$AE),"")</f>
        <v>0.995</v>
      </c>
      <c r="AH144" s="186">
        <f>IFERROR(_xlfn.XLOOKUP($D144,'Modelling New'!$D:$D,'Modelling New'!$AF:$AF),"")</f>
        <v>0.995</v>
      </c>
      <c r="AI144" s="177"/>
      <c r="AJ144" s="177"/>
      <c r="AK144" s="238"/>
      <c r="AL144" s="238"/>
      <c r="AM144" s="238"/>
      <c r="AN144" s="187"/>
      <c r="AO144" s="184"/>
      <c r="AP144" s="184"/>
      <c r="AQ144" s="184"/>
      <c r="AR144" s="176">
        <f>IFERROR(_xlfn.XLOOKUP($D143,'Modelling New'!$D:$D,'Modelling New'!$N:$N),"")</f>
        <v>66.754999999999995</v>
      </c>
      <c r="AS144" s="176"/>
    </row>
    <row r="145" spans="1:45" x14ac:dyDescent="0.25">
      <c r="A145" s="175">
        <f t="shared" si="11"/>
        <v>45888</v>
      </c>
      <c r="B145" s="176">
        <f>YEAR(Table13[[#This Row],[Date]])+IF(MONTH(Table13[[#This Row],[Date]])&gt;=4,1,0)</f>
        <v>2026</v>
      </c>
      <c r="C145" s="177">
        <f>YEAR(Table13[[#This Row],[Date]])</f>
        <v>2025</v>
      </c>
      <c r="D145" s="178">
        <f>Table13[[#This Row],[Date]]-DAY(Table13[[#This Row],[Date]])+1</f>
        <v>45870</v>
      </c>
      <c r="E145" s="177">
        <f t="shared" si="8"/>
        <v>31</v>
      </c>
      <c r="F145" s="179" t="str">
        <f>IFERROR(_xlfn.XLOOKUP($A145,Raw_Data!$B:$B,Raw_Data!$KG:$KG),"")</f>
        <v/>
      </c>
      <c r="G145" s="180" t="str">
        <f>IFERROR(_xlfn.XLOOKUP($A145,Raw_Data!$B:$B,Raw_Data!KH:KH),"")</f>
        <v/>
      </c>
      <c r="H145" s="180"/>
      <c r="I145" s="180" t="str">
        <f>IFERROR(_xlfn.XLOOKUP($A145,Raw_Data!$B:$B,Raw_Data!$KI:$KI),"")</f>
        <v/>
      </c>
      <c r="J145" s="180"/>
      <c r="K145" s="180" t="str">
        <f>IFERROR(_xlfn.XLOOKUP($A145,Raw_Data!$B:$B,Raw_Data!KJ:KJ),"")</f>
        <v/>
      </c>
      <c r="L145" s="180" t="str">
        <f>IFERROR(_xlfn.XLOOKUP($A145,Raw_Data!$B:$B,Raw_Data!KK:KK),"")</f>
        <v/>
      </c>
      <c r="M145" s="180" t="str">
        <f>IFERROR(_xlfn.XLOOKUP($A145,Raw_Data!$B:$B,Raw_Data!KL:KL),"")</f>
        <v/>
      </c>
      <c r="N145" s="180" t="str">
        <f>IFERROR(_xlfn.XLOOKUP($A145,Raw_Data!$B:$B,Raw_Data!KM:KM),"")</f>
        <v/>
      </c>
      <c r="O145" s="181" t="str">
        <f>IFERROR(1-SUMIF(PA!$B:$B,$A145,PA!AJ:AJ)/($AA145+SUMIF(PA!$B:$B,$A145,PA!AJ:AJ)),"")</f>
        <v/>
      </c>
      <c r="P145" s="181"/>
      <c r="Q145" s="182"/>
      <c r="R145" s="181" t="str">
        <f>IFERROR(1-SUMIF(GA!$C:$C,$A145,GA!$X:$X)/($AA145+SUMIF(GA!$C:$C,$A145,GA!$X:$X)),"")</f>
        <v/>
      </c>
      <c r="S145" s="177"/>
      <c r="T145" s="182"/>
      <c r="U145" s="183" t="str">
        <f t="shared" si="9"/>
        <v/>
      </c>
      <c r="V145" s="183" t="str">
        <f>IFERROR(_xlfn.XLOOKUP($A145,Raw_Data!$B:$B,Raw_Data!$KQ:$KQ),"")</f>
        <v/>
      </c>
      <c r="W145" s="184" t="str">
        <f t="shared" si="10"/>
        <v/>
      </c>
      <c r="X145" s="176" t="str">
        <f>IFERROR(_xlfn.XLOOKUP($A145,Raw_Data!$B:$B,Raw_Data!$KN:$KN),"")</f>
        <v/>
      </c>
      <c r="Y145" s="176" t="str">
        <f>IFERROR(_xlfn.XLOOKUP($A145,Raw_Data!$B:$B,Raw_Data!$KC:$KC),"")</f>
        <v/>
      </c>
      <c r="Z145" s="176" t="str">
        <f>IFERROR(_xlfn.XLOOKUP($A145,Raw_Data!$B:$B,Raw_Data!$KD:$KD),"")</f>
        <v/>
      </c>
      <c r="AA145" s="176" t="str">
        <f>IFERROR(_xlfn.XLOOKUP($A145,Raw_Data!$B:$B,Raw_Data!$KF:$KF),"")</f>
        <v/>
      </c>
      <c r="AB145" s="176" t="str">
        <f>IFERROR(_xlfn.XLOOKUP($A145,Raw_Data!$B:$B,Raw_Data!I:I)/1000,"")</f>
        <v/>
      </c>
      <c r="AC145" s="185">
        <f>IFERROR(_xlfn.XLOOKUP($D145,'Modelling New'!$D:$D,'Modelling New'!$P:$P),"")</f>
        <v>4.6419354838709683</v>
      </c>
      <c r="AD145" s="176">
        <f>IFERROR(_xlfn.XLOOKUP($D145,'Modelling New'!$D:$D,'Modelling New'!$T:$T)*1000,"")</f>
        <v>240509.75824924873</v>
      </c>
      <c r="AE145" s="186">
        <f>IFERROR(_xlfn.XLOOKUP($D145,'Modelling New'!$D:$D,'Modelling New'!$O:$O),"")</f>
        <v>0.77615739815974316</v>
      </c>
      <c r="AF145" s="186">
        <f>IFERROR(_xlfn.XLOOKUP($D145,'Modelling New'!$D:$D,'Modelling New'!$W:$W),"")</f>
        <v>0.15011969031611161</v>
      </c>
      <c r="AG145" s="186">
        <f>IFERROR(_xlfn.XLOOKUP($D145,'Modelling New'!$D:$D,'Modelling New'!$AE:$AE),"")</f>
        <v>0.995</v>
      </c>
      <c r="AH145" s="186">
        <f>IFERROR(_xlfn.XLOOKUP($D145,'Modelling New'!$D:$D,'Modelling New'!$AF:$AF),"")</f>
        <v>0.995</v>
      </c>
      <c r="AI145" s="177"/>
      <c r="AJ145" s="177"/>
      <c r="AK145" s="238"/>
      <c r="AL145" s="238"/>
      <c r="AM145" s="238"/>
      <c r="AN145" s="187"/>
      <c r="AO145" s="184"/>
      <c r="AP145" s="184"/>
      <c r="AQ145" s="184"/>
      <c r="AR145" s="176">
        <f>IFERROR(_xlfn.XLOOKUP($D144,'Modelling New'!$D:$D,'Modelling New'!$N:$N),"")</f>
        <v>66.754999999999995</v>
      </c>
      <c r="AS145" s="176"/>
    </row>
    <row r="146" spans="1:45" x14ac:dyDescent="0.25">
      <c r="A146" s="175">
        <f t="shared" si="11"/>
        <v>45889</v>
      </c>
      <c r="B146" s="176">
        <f>YEAR(Table13[[#This Row],[Date]])+IF(MONTH(Table13[[#This Row],[Date]])&gt;=4,1,0)</f>
        <v>2026</v>
      </c>
      <c r="C146" s="177">
        <f>YEAR(Table13[[#This Row],[Date]])</f>
        <v>2025</v>
      </c>
      <c r="D146" s="178">
        <f>Table13[[#This Row],[Date]]-DAY(Table13[[#This Row],[Date]])+1</f>
        <v>45870</v>
      </c>
      <c r="E146" s="177">
        <f t="shared" si="8"/>
        <v>31</v>
      </c>
      <c r="F146" s="179" t="str">
        <f>IFERROR(_xlfn.XLOOKUP($A146,Raw_Data!$B:$B,Raw_Data!$KG:$KG),"")</f>
        <v/>
      </c>
      <c r="G146" s="180" t="str">
        <f>IFERROR(_xlfn.XLOOKUP($A146,Raw_Data!$B:$B,Raw_Data!KH:KH),"")</f>
        <v/>
      </c>
      <c r="H146" s="180"/>
      <c r="I146" s="180" t="str">
        <f>IFERROR(_xlfn.XLOOKUP($A146,Raw_Data!$B:$B,Raw_Data!$KI:$KI),"")</f>
        <v/>
      </c>
      <c r="J146" s="180"/>
      <c r="K146" s="180" t="str">
        <f>IFERROR(_xlfn.XLOOKUP($A146,Raw_Data!$B:$B,Raw_Data!KJ:KJ),"")</f>
        <v/>
      </c>
      <c r="L146" s="180" t="str">
        <f>IFERROR(_xlfn.XLOOKUP($A146,Raw_Data!$B:$B,Raw_Data!KK:KK),"")</f>
        <v/>
      </c>
      <c r="M146" s="180" t="str">
        <f>IFERROR(_xlfn.XLOOKUP($A146,Raw_Data!$B:$B,Raw_Data!KL:KL),"")</f>
        <v/>
      </c>
      <c r="N146" s="180" t="str">
        <f>IFERROR(_xlfn.XLOOKUP($A146,Raw_Data!$B:$B,Raw_Data!KM:KM),"")</f>
        <v/>
      </c>
      <c r="O146" s="181" t="str">
        <f>IFERROR(1-SUMIF(PA!$B:$B,$A146,PA!AJ:AJ)/($AA146+SUMIF(PA!$B:$B,$A146,PA!AJ:AJ)),"")</f>
        <v/>
      </c>
      <c r="P146" s="181"/>
      <c r="Q146" s="182"/>
      <c r="R146" s="181" t="str">
        <f>IFERROR(1-SUMIF(GA!$C:$C,$A146,GA!$X:$X)/($AA146+SUMIF(GA!$C:$C,$A146,GA!$X:$X)),"")</f>
        <v/>
      </c>
      <c r="S146" s="177"/>
      <c r="T146" s="182"/>
      <c r="U146" s="183" t="str">
        <f t="shared" si="9"/>
        <v/>
      </c>
      <c r="V146" s="183" t="str">
        <f>IFERROR(_xlfn.XLOOKUP($A146,Raw_Data!$B:$B,Raw_Data!$KQ:$KQ),"")</f>
        <v/>
      </c>
      <c r="W146" s="184" t="str">
        <f t="shared" si="10"/>
        <v/>
      </c>
      <c r="X146" s="176" t="str">
        <f>IFERROR(_xlfn.XLOOKUP($A146,Raw_Data!$B:$B,Raw_Data!$KN:$KN),"")</f>
        <v/>
      </c>
      <c r="Y146" s="176" t="str">
        <f>IFERROR(_xlfn.XLOOKUP($A146,Raw_Data!$B:$B,Raw_Data!$KC:$KC),"")</f>
        <v/>
      </c>
      <c r="Z146" s="176" t="str">
        <f>IFERROR(_xlfn.XLOOKUP($A146,Raw_Data!$B:$B,Raw_Data!$KD:$KD),"")</f>
        <v/>
      </c>
      <c r="AA146" s="176" t="str">
        <f>IFERROR(_xlfn.XLOOKUP($A146,Raw_Data!$B:$B,Raw_Data!$KF:$KF),"")</f>
        <v/>
      </c>
      <c r="AB146" s="176" t="str">
        <f>IFERROR(_xlfn.XLOOKUP($A146,Raw_Data!$B:$B,Raw_Data!I:I)/1000,"")</f>
        <v/>
      </c>
      <c r="AC146" s="185">
        <f>IFERROR(_xlfn.XLOOKUP($D146,'Modelling New'!$D:$D,'Modelling New'!$P:$P),"")</f>
        <v>4.6419354838709683</v>
      </c>
      <c r="AD146" s="176">
        <f>IFERROR(_xlfn.XLOOKUP($D146,'Modelling New'!$D:$D,'Modelling New'!$T:$T)*1000,"")</f>
        <v>240509.75824924873</v>
      </c>
      <c r="AE146" s="186">
        <f>IFERROR(_xlfn.XLOOKUP($D146,'Modelling New'!$D:$D,'Modelling New'!$O:$O),"")</f>
        <v>0.77615739815974316</v>
      </c>
      <c r="AF146" s="186">
        <f>IFERROR(_xlfn.XLOOKUP($D146,'Modelling New'!$D:$D,'Modelling New'!$W:$W),"")</f>
        <v>0.15011969031611161</v>
      </c>
      <c r="AG146" s="186">
        <f>IFERROR(_xlfn.XLOOKUP($D146,'Modelling New'!$D:$D,'Modelling New'!$AE:$AE),"")</f>
        <v>0.995</v>
      </c>
      <c r="AH146" s="186">
        <f>IFERROR(_xlfn.XLOOKUP($D146,'Modelling New'!$D:$D,'Modelling New'!$AF:$AF),"")</f>
        <v>0.995</v>
      </c>
      <c r="AI146" s="177"/>
      <c r="AJ146" s="177"/>
      <c r="AK146" s="238"/>
      <c r="AL146" s="238"/>
      <c r="AM146" s="238"/>
      <c r="AN146" s="187"/>
      <c r="AO146" s="184"/>
      <c r="AP146" s="184"/>
      <c r="AQ146" s="184"/>
      <c r="AR146" s="176">
        <f>IFERROR(_xlfn.XLOOKUP($D145,'Modelling New'!$D:$D,'Modelling New'!$N:$N),"")</f>
        <v>66.754999999999995</v>
      </c>
      <c r="AS146" s="176"/>
    </row>
    <row r="147" spans="1:45" x14ac:dyDescent="0.25">
      <c r="A147" s="175">
        <f t="shared" si="11"/>
        <v>45890</v>
      </c>
      <c r="B147" s="176">
        <f>YEAR(Table13[[#This Row],[Date]])+IF(MONTH(Table13[[#This Row],[Date]])&gt;=4,1,0)</f>
        <v>2026</v>
      </c>
      <c r="C147" s="177">
        <f>YEAR(Table13[[#This Row],[Date]])</f>
        <v>2025</v>
      </c>
      <c r="D147" s="178">
        <f>Table13[[#This Row],[Date]]-DAY(Table13[[#This Row],[Date]])+1</f>
        <v>45870</v>
      </c>
      <c r="E147" s="177">
        <f t="shared" si="8"/>
        <v>31</v>
      </c>
      <c r="F147" s="179" t="str">
        <f>IFERROR(_xlfn.XLOOKUP($A147,Raw_Data!$B:$B,Raw_Data!$KG:$KG),"")</f>
        <v/>
      </c>
      <c r="G147" s="180" t="str">
        <f>IFERROR(_xlfn.XLOOKUP($A147,Raw_Data!$B:$B,Raw_Data!KH:KH),"")</f>
        <v/>
      </c>
      <c r="H147" s="180"/>
      <c r="I147" s="180" t="str">
        <f>IFERROR(_xlfn.XLOOKUP($A147,Raw_Data!$B:$B,Raw_Data!$KI:$KI),"")</f>
        <v/>
      </c>
      <c r="J147" s="180"/>
      <c r="K147" s="180" t="str">
        <f>IFERROR(_xlfn.XLOOKUP($A147,Raw_Data!$B:$B,Raw_Data!KJ:KJ),"")</f>
        <v/>
      </c>
      <c r="L147" s="180" t="str">
        <f>IFERROR(_xlfn.XLOOKUP($A147,Raw_Data!$B:$B,Raw_Data!KK:KK),"")</f>
        <v/>
      </c>
      <c r="M147" s="180" t="str">
        <f>IFERROR(_xlfn.XLOOKUP($A147,Raw_Data!$B:$B,Raw_Data!KL:KL),"")</f>
        <v/>
      </c>
      <c r="N147" s="180" t="str">
        <f>IFERROR(_xlfn.XLOOKUP($A147,Raw_Data!$B:$B,Raw_Data!KM:KM),"")</f>
        <v/>
      </c>
      <c r="O147" s="181" t="str">
        <f>IFERROR(1-SUMIF(PA!$B:$B,$A147,PA!AJ:AJ)/($AA147+SUMIF(PA!$B:$B,$A147,PA!AJ:AJ)),"")</f>
        <v/>
      </c>
      <c r="P147" s="181"/>
      <c r="Q147" s="182"/>
      <c r="R147" s="181" t="str">
        <f>IFERROR(1-SUMIF(GA!$C:$C,$A147,GA!$X:$X)/($AA147+SUMIF(GA!$C:$C,$A147,GA!$X:$X)),"")</f>
        <v/>
      </c>
      <c r="S147" s="177"/>
      <c r="T147" s="182"/>
      <c r="U147" s="183" t="str">
        <f t="shared" si="9"/>
        <v/>
      </c>
      <c r="V147" s="183" t="str">
        <f>IFERROR(_xlfn.XLOOKUP($A147,Raw_Data!$B:$B,Raw_Data!$KQ:$KQ),"")</f>
        <v/>
      </c>
      <c r="W147" s="184" t="str">
        <f t="shared" si="10"/>
        <v/>
      </c>
      <c r="X147" s="176" t="str">
        <f>IFERROR(_xlfn.XLOOKUP($A147,Raw_Data!$B:$B,Raw_Data!$KN:$KN),"")</f>
        <v/>
      </c>
      <c r="Y147" s="176" t="str">
        <f>IFERROR(_xlfn.XLOOKUP($A147,Raw_Data!$B:$B,Raw_Data!$KC:$KC),"")</f>
        <v/>
      </c>
      <c r="Z147" s="176" t="str">
        <f>IFERROR(_xlfn.XLOOKUP($A147,Raw_Data!$B:$B,Raw_Data!$KD:$KD),"")</f>
        <v/>
      </c>
      <c r="AA147" s="176" t="str">
        <f>IFERROR(_xlfn.XLOOKUP($A147,Raw_Data!$B:$B,Raw_Data!$KF:$KF),"")</f>
        <v/>
      </c>
      <c r="AB147" s="176" t="str">
        <f>IFERROR(_xlfn.XLOOKUP($A147,Raw_Data!$B:$B,Raw_Data!I:I)/1000,"")</f>
        <v/>
      </c>
      <c r="AC147" s="185">
        <f>IFERROR(_xlfn.XLOOKUP($D147,'Modelling New'!$D:$D,'Modelling New'!$P:$P),"")</f>
        <v>4.6419354838709683</v>
      </c>
      <c r="AD147" s="176">
        <f>IFERROR(_xlfn.XLOOKUP($D147,'Modelling New'!$D:$D,'Modelling New'!$T:$T)*1000,"")</f>
        <v>240509.75824924873</v>
      </c>
      <c r="AE147" s="186">
        <f>IFERROR(_xlfn.XLOOKUP($D147,'Modelling New'!$D:$D,'Modelling New'!$O:$O),"")</f>
        <v>0.77615739815974316</v>
      </c>
      <c r="AF147" s="186">
        <f>IFERROR(_xlfn.XLOOKUP($D147,'Modelling New'!$D:$D,'Modelling New'!$W:$W),"")</f>
        <v>0.15011969031611161</v>
      </c>
      <c r="AG147" s="186">
        <f>IFERROR(_xlfn.XLOOKUP($D147,'Modelling New'!$D:$D,'Modelling New'!$AE:$AE),"")</f>
        <v>0.995</v>
      </c>
      <c r="AH147" s="186">
        <f>IFERROR(_xlfn.XLOOKUP($D147,'Modelling New'!$D:$D,'Modelling New'!$AF:$AF),"")</f>
        <v>0.995</v>
      </c>
      <c r="AI147" s="177"/>
      <c r="AJ147" s="177"/>
      <c r="AK147" s="238"/>
      <c r="AL147" s="238"/>
      <c r="AM147" s="238"/>
      <c r="AN147" s="187"/>
      <c r="AO147" s="184"/>
      <c r="AP147" s="184"/>
      <c r="AQ147" s="184"/>
      <c r="AR147" s="176">
        <f>IFERROR(_xlfn.XLOOKUP($D146,'Modelling New'!$D:$D,'Modelling New'!$N:$N),"")</f>
        <v>66.754999999999995</v>
      </c>
      <c r="AS147" s="176"/>
    </row>
    <row r="148" spans="1:45" x14ac:dyDescent="0.25">
      <c r="A148" s="175">
        <f t="shared" si="11"/>
        <v>45891</v>
      </c>
      <c r="B148" s="176">
        <f>YEAR(Table13[[#This Row],[Date]])+IF(MONTH(Table13[[#This Row],[Date]])&gt;=4,1,0)</f>
        <v>2026</v>
      </c>
      <c r="C148" s="177">
        <f>YEAR(Table13[[#This Row],[Date]])</f>
        <v>2025</v>
      </c>
      <c r="D148" s="178">
        <f>Table13[[#This Row],[Date]]-DAY(Table13[[#This Row],[Date]])+1</f>
        <v>45870</v>
      </c>
      <c r="E148" s="177">
        <f t="shared" si="8"/>
        <v>31</v>
      </c>
      <c r="F148" s="179" t="str">
        <f>IFERROR(_xlfn.XLOOKUP($A148,Raw_Data!$B:$B,Raw_Data!$KG:$KG),"")</f>
        <v/>
      </c>
      <c r="G148" s="180" t="str">
        <f>IFERROR(_xlfn.XLOOKUP($A148,Raw_Data!$B:$B,Raw_Data!KH:KH),"")</f>
        <v/>
      </c>
      <c r="H148" s="180"/>
      <c r="I148" s="180" t="str">
        <f>IFERROR(_xlfn.XLOOKUP($A148,Raw_Data!$B:$B,Raw_Data!$KI:$KI),"")</f>
        <v/>
      </c>
      <c r="J148" s="180"/>
      <c r="K148" s="180" t="str">
        <f>IFERROR(_xlfn.XLOOKUP($A148,Raw_Data!$B:$B,Raw_Data!KJ:KJ),"")</f>
        <v/>
      </c>
      <c r="L148" s="180" t="str">
        <f>IFERROR(_xlfn.XLOOKUP($A148,Raw_Data!$B:$B,Raw_Data!KK:KK),"")</f>
        <v/>
      </c>
      <c r="M148" s="180" t="str">
        <f>IFERROR(_xlfn.XLOOKUP($A148,Raw_Data!$B:$B,Raw_Data!KL:KL),"")</f>
        <v/>
      </c>
      <c r="N148" s="180" t="str">
        <f>IFERROR(_xlfn.XLOOKUP($A148,Raw_Data!$B:$B,Raw_Data!KM:KM),"")</f>
        <v/>
      </c>
      <c r="O148" s="181" t="str">
        <f>IFERROR(1-SUMIF(PA!$B:$B,$A148,PA!AJ:AJ)/($AA148+SUMIF(PA!$B:$B,$A148,PA!AJ:AJ)),"")</f>
        <v/>
      </c>
      <c r="P148" s="181"/>
      <c r="Q148" s="182"/>
      <c r="R148" s="181" t="str">
        <f>IFERROR(1-SUMIF(GA!$C:$C,$A148,GA!$X:$X)/($AA148+SUMIF(GA!$C:$C,$A148,GA!$X:$X)),"")</f>
        <v/>
      </c>
      <c r="S148" s="177"/>
      <c r="T148" s="182"/>
      <c r="U148" s="183" t="str">
        <f t="shared" si="9"/>
        <v/>
      </c>
      <c r="V148" s="183" t="str">
        <f>IFERROR(_xlfn.XLOOKUP($A148,Raw_Data!$B:$B,Raw_Data!$KQ:$KQ),"")</f>
        <v/>
      </c>
      <c r="W148" s="184" t="str">
        <f t="shared" si="10"/>
        <v/>
      </c>
      <c r="X148" s="176" t="str">
        <f>IFERROR(_xlfn.XLOOKUP($A148,Raw_Data!$B:$B,Raw_Data!$KN:$KN),"")</f>
        <v/>
      </c>
      <c r="Y148" s="176" t="str">
        <f>IFERROR(_xlfn.XLOOKUP($A148,Raw_Data!$B:$B,Raw_Data!$KC:$KC),"")</f>
        <v/>
      </c>
      <c r="Z148" s="176" t="str">
        <f>IFERROR(_xlfn.XLOOKUP($A148,Raw_Data!$B:$B,Raw_Data!$KD:$KD),"")</f>
        <v/>
      </c>
      <c r="AA148" s="176" t="str">
        <f>IFERROR(_xlfn.XLOOKUP($A148,Raw_Data!$B:$B,Raw_Data!$KF:$KF),"")</f>
        <v/>
      </c>
      <c r="AB148" s="176" t="str">
        <f>IFERROR(_xlfn.XLOOKUP($A148,Raw_Data!$B:$B,Raw_Data!I:I)/1000,"")</f>
        <v/>
      </c>
      <c r="AC148" s="185">
        <f>IFERROR(_xlfn.XLOOKUP($D148,'Modelling New'!$D:$D,'Modelling New'!$P:$P),"")</f>
        <v>4.6419354838709683</v>
      </c>
      <c r="AD148" s="176">
        <f>IFERROR(_xlfn.XLOOKUP($D148,'Modelling New'!$D:$D,'Modelling New'!$T:$T)*1000,"")</f>
        <v>240509.75824924873</v>
      </c>
      <c r="AE148" s="186">
        <f>IFERROR(_xlfn.XLOOKUP($D148,'Modelling New'!$D:$D,'Modelling New'!$O:$O),"")</f>
        <v>0.77615739815974316</v>
      </c>
      <c r="AF148" s="186">
        <f>IFERROR(_xlfn.XLOOKUP($D148,'Modelling New'!$D:$D,'Modelling New'!$W:$W),"")</f>
        <v>0.15011969031611161</v>
      </c>
      <c r="AG148" s="186">
        <f>IFERROR(_xlfn.XLOOKUP($D148,'Modelling New'!$D:$D,'Modelling New'!$AE:$AE),"")</f>
        <v>0.995</v>
      </c>
      <c r="AH148" s="186">
        <f>IFERROR(_xlfn.XLOOKUP($D148,'Modelling New'!$D:$D,'Modelling New'!$AF:$AF),"")</f>
        <v>0.995</v>
      </c>
      <c r="AI148" s="177"/>
      <c r="AJ148" s="177"/>
      <c r="AK148" s="238"/>
      <c r="AL148" s="238"/>
      <c r="AM148" s="238"/>
      <c r="AN148" s="187"/>
      <c r="AO148" s="184"/>
      <c r="AP148" s="184"/>
      <c r="AQ148" s="184"/>
      <c r="AR148" s="176">
        <f>IFERROR(_xlfn.XLOOKUP($D147,'Modelling New'!$D:$D,'Modelling New'!$N:$N),"")</f>
        <v>66.754999999999995</v>
      </c>
      <c r="AS148" s="176"/>
    </row>
    <row r="149" spans="1:45" x14ac:dyDescent="0.25">
      <c r="A149" s="175">
        <f t="shared" si="11"/>
        <v>45892</v>
      </c>
      <c r="B149" s="176">
        <f>YEAR(Table13[[#This Row],[Date]])+IF(MONTH(Table13[[#This Row],[Date]])&gt;=4,1,0)</f>
        <v>2026</v>
      </c>
      <c r="C149" s="177">
        <f>YEAR(Table13[[#This Row],[Date]])</f>
        <v>2025</v>
      </c>
      <c r="D149" s="178">
        <f>Table13[[#This Row],[Date]]-DAY(Table13[[#This Row],[Date]])+1</f>
        <v>45870</v>
      </c>
      <c r="E149" s="177">
        <f t="shared" si="8"/>
        <v>31</v>
      </c>
      <c r="F149" s="179" t="str">
        <f>IFERROR(_xlfn.XLOOKUP($A149,Raw_Data!$B:$B,Raw_Data!$KG:$KG),"")</f>
        <v/>
      </c>
      <c r="G149" s="180" t="str">
        <f>IFERROR(_xlfn.XLOOKUP($A149,Raw_Data!$B:$B,Raw_Data!KH:KH),"")</f>
        <v/>
      </c>
      <c r="H149" s="180"/>
      <c r="I149" s="180" t="str">
        <f>IFERROR(_xlfn.XLOOKUP($A149,Raw_Data!$B:$B,Raw_Data!$KI:$KI),"")</f>
        <v/>
      </c>
      <c r="J149" s="180"/>
      <c r="K149" s="180" t="str">
        <f>IFERROR(_xlfn.XLOOKUP($A149,Raw_Data!$B:$B,Raw_Data!KJ:KJ),"")</f>
        <v/>
      </c>
      <c r="L149" s="180" t="str">
        <f>IFERROR(_xlfn.XLOOKUP($A149,Raw_Data!$B:$B,Raw_Data!KK:KK),"")</f>
        <v/>
      </c>
      <c r="M149" s="180" t="str">
        <f>IFERROR(_xlfn.XLOOKUP($A149,Raw_Data!$B:$B,Raw_Data!KL:KL),"")</f>
        <v/>
      </c>
      <c r="N149" s="180" t="str">
        <f>IFERROR(_xlfn.XLOOKUP($A149,Raw_Data!$B:$B,Raw_Data!KM:KM),"")</f>
        <v/>
      </c>
      <c r="O149" s="181" t="str">
        <f>IFERROR(1-SUMIF(PA!$B:$B,$A149,PA!AJ:AJ)/($AA149+SUMIF(PA!$B:$B,$A149,PA!AJ:AJ)),"")</f>
        <v/>
      </c>
      <c r="P149" s="181"/>
      <c r="Q149" s="182"/>
      <c r="R149" s="181" t="str">
        <f>IFERROR(1-SUMIF(GA!$C:$C,$A149,GA!$X:$X)/($AA149+SUMIF(GA!$C:$C,$A149,GA!$X:$X)),"")</f>
        <v/>
      </c>
      <c r="S149" s="177"/>
      <c r="T149" s="182"/>
      <c r="U149" s="183" t="str">
        <f t="shared" si="9"/>
        <v/>
      </c>
      <c r="V149" s="183" t="str">
        <f>IFERROR(_xlfn.XLOOKUP($A149,Raw_Data!$B:$B,Raw_Data!$KQ:$KQ),"")</f>
        <v/>
      </c>
      <c r="W149" s="184" t="str">
        <f t="shared" si="10"/>
        <v/>
      </c>
      <c r="X149" s="176" t="str">
        <f>IFERROR(_xlfn.XLOOKUP($A149,Raw_Data!$B:$B,Raw_Data!$KN:$KN),"")</f>
        <v/>
      </c>
      <c r="Y149" s="176" t="str">
        <f>IFERROR(_xlfn.XLOOKUP($A149,Raw_Data!$B:$B,Raw_Data!$KC:$KC),"")</f>
        <v/>
      </c>
      <c r="Z149" s="176" t="str">
        <f>IFERROR(_xlfn.XLOOKUP($A149,Raw_Data!$B:$B,Raw_Data!$KD:$KD),"")</f>
        <v/>
      </c>
      <c r="AA149" s="176" t="str">
        <f>IFERROR(_xlfn.XLOOKUP($A149,Raw_Data!$B:$B,Raw_Data!$KF:$KF),"")</f>
        <v/>
      </c>
      <c r="AB149" s="176" t="str">
        <f>IFERROR(_xlfn.XLOOKUP($A149,Raw_Data!$B:$B,Raw_Data!I:I)/1000,"")</f>
        <v/>
      </c>
      <c r="AC149" s="185">
        <f>IFERROR(_xlfn.XLOOKUP($D149,'Modelling New'!$D:$D,'Modelling New'!$P:$P),"")</f>
        <v>4.6419354838709683</v>
      </c>
      <c r="AD149" s="176">
        <f>IFERROR(_xlfn.XLOOKUP($D149,'Modelling New'!$D:$D,'Modelling New'!$T:$T)*1000,"")</f>
        <v>240509.75824924873</v>
      </c>
      <c r="AE149" s="186">
        <f>IFERROR(_xlfn.XLOOKUP($D149,'Modelling New'!$D:$D,'Modelling New'!$O:$O),"")</f>
        <v>0.77615739815974316</v>
      </c>
      <c r="AF149" s="186">
        <f>IFERROR(_xlfn.XLOOKUP($D149,'Modelling New'!$D:$D,'Modelling New'!$W:$W),"")</f>
        <v>0.15011969031611161</v>
      </c>
      <c r="AG149" s="186">
        <f>IFERROR(_xlfn.XLOOKUP($D149,'Modelling New'!$D:$D,'Modelling New'!$AE:$AE),"")</f>
        <v>0.995</v>
      </c>
      <c r="AH149" s="186">
        <f>IFERROR(_xlfn.XLOOKUP($D149,'Modelling New'!$D:$D,'Modelling New'!$AF:$AF),"")</f>
        <v>0.995</v>
      </c>
      <c r="AI149" s="177"/>
      <c r="AJ149" s="177"/>
      <c r="AK149" s="238"/>
      <c r="AL149" s="238"/>
      <c r="AM149" s="238"/>
      <c r="AN149" s="187"/>
      <c r="AO149" s="184"/>
      <c r="AP149" s="184"/>
      <c r="AQ149" s="184"/>
      <c r="AR149" s="176">
        <f>IFERROR(_xlfn.XLOOKUP($D148,'Modelling New'!$D:$D,'Modelling New'!$N:$N),"")</f>
        <v>66.754999999999995</v>
      </c>
      <c r="AS149" s="176"/>
    </row>
    <row r="150" spans="1:45" x14ac:dyDescent="0.25">
      <c r="A150" s="175">
        <f t="shared" si="11"/>
        <v>45893</v>
      </c>
      <c r="B150" s="176">
        <f>YEAR(Table13[[#This Row],[Date]])+IF(MONTH(Table13[[#This Row],[Date]])&gt;=4,1,0)</f>
        <v>2026</v>
      </c>
      <c r="C150" s="177">
        <f>YEAR(Table13[[#This Row],[Date]])</f>
        <v>2025</v>
      </c>
      <c r="D150" s="178">
        <f>Table13[[#This Row],[Date]]-DAY(Table13[[#This Row],[Date]])+1</f>
        <v>45870</v>
      </c>
      <c r="E150" s="177">
        <f t="shared" si="8"/>
        <v>31</v>
      </c>
      <c r="F150" s="179" t="str">
        <f>IFERROR(_xlfn.XLOOKUP($A150,Raw_Data!$B:$B,Raw_Data!$KG:$KG),"")</f>
        <v/>
      </c>
      <c r="G150" s="180" t="str">
        <f>IFERROR(_xlfn.XLOOKUP($A150,Raw_Data!$B:$B,Raw_Data!KH:KH),"")</f>
        <v/>
      </c>
      <c r="H150" s="180"/>
      <c r="I150" s="180" t="str">
        <f>IFERROR(_xlfn.XLOOKUP($A150,Raw_Data!$B:$B,Raw_Data!$KI:$KI),"")</f>
        <v/>
      </c>
      <c r="J150" s="180"/>
      <c r="K150" s="180" t="str">
        <f>IFERROR(_xlfn.XLOOKUP($A150,Raw_Data!$B:$B,Raw_Data!KJ:KJ),"")</f>
        <v/>
      </c>
      <c r="L150" s="180" t="str">
        <f>IFERROR(_xlfn.XLOOKUP($A150,Raw_Data!$B:$B,Raw_Data!KK:KK),"")</f>
        <v/>
      </c>
      <c r="M150" s="180" t="str">
        <f>IFERROR(_xlfn.XLOOKUP($A150,Raw_Data!$B:$B,Raw_Data!KL:KL),"")</f>
        <v/>
      </c>
      <c r="N150" s="180" t="str">
        <f>IFERROR(_xlfn.XLOOKUP($A150,Raw_Data!$B:$B,Raw_Data!KM:KM),"")</f>
        <v/>
      </c>
      <c r="O150" s="181" t="str">
        <f>IFERROR(1-SUMIF(PA!$B:$B,$A150,PA!AJ:AJ)/($AA150+SUMIF(PA!$B:$B,$A150,PA!AJ:AJ)),"")</f>
        <v/>
      </c>
      <c r="P150" s="181"/>
      <c r="Q150" s="182"/>
      <c r="R150" s="181" t="str">
        <f>IFERROR(1-SUMIF(GA!$C:$C,$A150,GA!$X:$X)/($AA150+SUMIF(GA!$C:$C,$A150,GA!$X:$X)),"")</f>
        <v/>
      </c>
      <c r="S150" s="177"/>
      <c r="T150" s="182"/>
      <c r="U150" s="183" t="str">
        <f t="shared" si="9"/>
        <v/>
      </c>
      <c r="V150" s="183" t="str">
        <f>IFERROR(_xlfn.XLOOKUP($A150,Raw_Data!$B:$B,Raw_Data!$KQ:$KQ),"")</f>
        <v/>
      </c>
      <c r="W150" s="184" t="str">
        <f t="shared" si="10"/>
        <v/>
      </c>
      <c r="X150" s="176" t="str">
        <f>IFERROR(_xlfn.XLOOKUP($A150,Raw_Data!$B:$B,Raw_Data!$KN:$KN),"")</f>
        <v/>
      </c>
      <c r="Y150" s="176" t="str">
        <f>IFERROR(_xlfn.XLOOKUP($A150,Raw_Data!$B:$B,Raw_Data!$KC:$KC),"")</f>
        <v/>
      </c>
      <c r="Z150" s="176" t="str">
        <f>IFERROR(_xlfn.XLOOKUP($A150,Raw_Data!$B:$B,Raw_Data!$KD:$KD),"")</f>
        <v/>
      </c>
      <c r="AA150" s="176" t="str">
        <f>IFERROR(_xlfn.XLOOKUP($A150,Raw_Data!$B:$B,Raw_Data!$KF:$KF),"")</f>
        <v/>
      </c>
      <c r="AB150" s="176" t="str">
        <f>IFERROR(_xlfn.XLOOKUP($A150,Raw_Data!$B:$B,Raw_Data!I:I)/1000,"")</f>
        <v/>
      </c>
      <c r="AC150" s="185">
        <f>IFERROR(_xlfn.XLOOKUP($D150,'Modelling New'!$D:$D,'Modelling New'!$P:$P),"")</f>
        <v>4.6419354838709683</v>
      </c>
      <c r="AD150" s="176">
        <f>IFERROR(_xlfn.XLOOKUP($D150,'Modelling New'!$D:$D,'Modelling New'!$T:$T)*1000,"")</f>
        <v>240509.75824924873</v>
      </c>
      <c r="AE150" s="186">
        <f>IFERROR(_xlfn.XLOOKUP($D150,'Modelling New'!$D:$D,'Modelling New'!$O:$O),"")</f>
        <v>0.77615739815974316</v>
      </c>
      <c r="AF150" s="186">
        <f>IFERROR(_xlfn.XLOOKUP($D150,'Modelling New'!$D:$D,'Modelling New'!$W:$W),"")</f>
        <v>0.15011969031611161</v>
      </c>
      <c r="AG150" s="186">
        <f>IFERROR(_xlfn.XLOOKUP($D150,'Modelling New'!$D:$D,'Modelling New'!$AE:$AE),"")</f>
        <v>0.995</v>
      </c>
      <c r="AH150" s="186">
        <f>IFERROR(_xlfn.XLOOKUP($D150,'Modelling New'!$D:$D,'Modelling New'!$AF:$AF),"")</f>
        <v>0.995</v>
      </c>
      <c r="AI150" s="177"/>
      <c r="AJ150" s="177"/>
      <c r="AK150" s="238"/>
      <c r="AL150" s="238"/>
      <c r="AM150" s="238"/>
      <c r="AN150" s="187"/>
      <c r="AO150" s="184"/>
      <c r="AP150" s="184"/>
      <c r="AQ150" s="184"/>
      <c r="AR150" s="176">
        <f>IFERROR(_xlfn.XLOOKUP($D149,'Modelling New'!$D:$D,'Modelling New'!$N:$N),"")</f>
        <v>66.754999999999995</v>
      </c>
      <c r="AS150" s="176"/>
    </row>
    <row r="151" spans="1:45" x14ac:dyDescent="0.25">
      <c r="A151" s="175">
        <f t="shared" si="11"/>
        <v>45894</v>
      </c>
      <c r="B151" s="176">
        <f>YEAR(Table13[[#This Row],[Date]])+IF(MONTH(Table13[[#This Row],[Date]])&gt;=4,1,0)</f>
        <v>2026</v>
      </c>
      <c r="C151" s="177">
        <f>YEAR(Table13[[#This Row],[Date]])</f>
        <v>2025</v>
      </c>
      <c r="D151" s="178">
        <f>Table13[[#This Row],[Date]]-DAY(Table13[[#This Row],[Date]])+1</f>
        <v>45870</v>
      </c>
      <c r="E151" s="177">
        <f t="shared" si="8"/>
        <v>31</v>
      </c>
      <c r="F151" s="179" t="str">
        <f>IFERROR(_xlfn.XLOOKUP($A151,Raw_Data!$B:$B,Raw_Data!$KG:$KG),"")</f>
        <v/>
      </c>
      <c r="G151" s="180" t="str">
        <f>IFERROR(_xlfn.XLOOKUP($A151,Raw_Data!$B:$B,Raw_Data!KH:KH),"")</f>
        <v/>
      </c>
      <c r="H151" s="180"/>
      <c r="I151" s="180" t="str">
        <f>IFERROR(_xlfn.XLOOKUP($A151,Raw_Data!$B:$B,Raw_Data!$KI:$KI),"")</f>
        <v/>
      </c>
      <c r="J151" s="180"/>
      <c r="K151" s="180" t="str">
        <f>IFERROR(_xlfn.XLOOKUP($A151,Raw_Data!$B:$B,Raw_Data!KJ:KJ),"")</f>
        <v/>
      </c>
      <c r="L151" s="180" t="str">
        <f>IFERROR(_xlfn.XLOOKUP($A151,Raw_Data!$B:$B,Raw_Data!KK:KK),"")</f>
        <v/>
      </c>
      <c r="M151" s="180" t="str">
        <f>IFERROR(_xlfn.XLOOKUP($A151,Raw_Data!$B:$B,Raw_Data!KL:KL),"")</f>
        <v/>
      </c>
      <c r="N151" s="180" t="str">
        <f>IFERROR(_xlfn.XLOOKUP($A151,Raw_Data!$B:$B,Raw_Data!KM:KM),"")</f>
        <v/>
      </c>
      <c r="O151" s="181" t="str">
        <f>IFERROR(1-SUMIF(PA!$B:$B,$A151,PA!AJ:AJ)/($AA151+SUMIF(PA!$B:$B,$A151,PA!AJ:AJ)),"")</f>
        <v/>
      </c>
      <c r="P151" s="181"/>
      <c r="Q151" s="182"/>
      <c r="R151" s="181" t="str">
        <f>IFERROR(1-SUMIF(GA!$C:$C,$A151,GA!$X:$X)/($AA151+SUMIF(GA!$C:$C,$A151,GA!$X:$X)),"")</f>
        <v/>
      </c>
      <c r="S151" s="177"/>
      <c r="T151" s="182"/>
      <c r="U151" s="183" t="str">
        <f t="shared" si="9"/>
        <v/>
      </c>
      <c r="V151" s="183" t="str">
        <f>IFERROR(_xlfn.XLOOKUP($A151,Raw_Data!$B:$B,Raw_Data!$KQ:$KQ),"")</f>
        <v/>
      </c>
      <c r="W151" s="184" t="str">
        <f t="shared" si="10"/>
        <v/>
      </c>
      <c r="X151" s="176" t="str">
        <f>IFERROR(_xlfn.XLOOKUP($A151,Raw_Data!$B:$B,Raw_Data!$KN:$KN),"")</f>
        <v/>
      </c>
      <c r="Y151" s="176" t="str">
        <f>IFERROR(_xlfn.XLOOKUP($A151,Raw_Data!$B:$B,Raw_Data!$KC:$KC),"")</f>
        <v/>
      </c>
      <c r="Z151" s="176" t="str">
        <f>IFERROR(_xlfn.XLOOKUP($A151,Raw_Data!$B:$B,Raw_Data!$KD:$KD),"")</f>
        <v/>
      </c>
      <c r="AA151" s="176" t="str">
        <f>IFERROR(_xlfn.XLOOKUP($A151,Raw_Data!$B:$B,Raw_Data!$KF:$KF),"")</f>
        <v/>
      </c>
      <c r="AB151" s="176" t="str">
        <f>IFERROR(_xlfn.XLOOKUP($A151,Raw_Data!$B:$B,Raw_Data!I:I)/1000,"")</f>
        <v/>
      </c>
      <c r="AC151" s="185">
        <f>IFERROR(_xlfn.XLOOKUP($D151,'Modelling New'!$D:$D,'Modelling New'!$P:$P),"")</f>
        <v>4.6419354838709683</v>
      </c>
      <c r="AD151" s="176">
        <f>IFERROR(_xlfn.XLOOKUP($D151,'Modelling New'!$D:$D,'Modelling New'!$T:$T)*1000,"")</f>
        <v>240509.75824924873</v>
      </c>
      <c r="AE151" s="186">
        <f>IFERROR(_xlfn.XLOOKUP($D151,'Modelling New'!$D:$D,'Modelling New'!$O:$O),"")</f>
        <v>0.77615739815974316</v>
      </c>
      <c r="AF151" s="186">
        <f>IFERROR(_xlfn.XLOOKUP($D151,'Modelling New'!$D:$D,'Modelling New'!$W:$W),"")</f>
        <v>0.15011969031611161</v>
      </c>
      <c r="AG151" s="186">
        <f>IFERROR(_xlfn.XLOOKUP($D151,'Modelling New'!$D:$D,'Modelling New'!$AE:$AE),"")</f>
        <v>0.995</v>
      </c>
      <c r="AH151" s="186">
        <f>IFERROR(_xlfn.XLOOKUP($D151,'Modelling New'!$D:$D,'Modelling New'!$AF:$AF),"")</f>
        <v>0.995</v>
      </c>
      <c r="AI151" s="177"/>
      <c r="AJ151" s="177"/>
      <c r="AK151" s="238"/>
      <c r="AL151" s="238"/>
      <c r="AM151" s="238"/>
      <c r="AN151" s="187"/>
      <c r="AO151" s="184"/>
      <c r="AP151" s="184"/>
      <c r="AQ151" s="184"/>
      <c r="AR151" s="176">
        <f>IFERROR(_xlfn.XLOOKUP($D150,'Modelling New'!$D:$D,'Modelling New'!$N:$N),"")</f>
        <v>66.754999999999995</v>
      </c>
      <c r="AS151" s="176"/>
    </row>
    <row r="152" spans="1:45" x14ac:dyDescent="0.25">
      <c r="A152" s="175">
        <f t="shared" si="11"/>
        <v>45895</v>
      </c>
      <c r="B152" s="176">
        <f>YEAR(Table13[[#This Row],[Date]])+IF(MONTH(Table13[[#This Row],[Date]])&gt;=4,1,0)</f>
        <v>2026</v>
      </c>
      <c r="C152" s="177">
        <f>YEAR(Table13[[#This Row],[Date]])</f>
        <v>2025</v>
      </c>
      <c r="D152" s="178">
        <f>Table13[[#This Row],[Date]]-DAY(Table13[[#This Row],[Date]])+1</f>
        <v>45870</v>
      </c>
      <c r="E152" s="177">
        <f t="shared" si="8"/>
        <v>31</v>
      </c>
      <c r="F152" s="179" t="str">
        <f>IFERROR(_xlfn.XLOOKUP($A152,Raw_Data!$B:$B,Raw_Data!$KG:$KG),"")</f>
        <v/>
      </c>
      <c r="G152" s="180" t="str">
        <f>IFERROR(_xlfn.XLOOKUP($A152,Raw_Data!$B:$B,Raw_Data!KH:KH),"")</f>
        <v/>
      </c>
      <c r="H152" s="180"/>
      <c r="I152" s="180" t="str">
        <f>IFERROR(_xlfn.XLOOKUP($A152,Raw_Data!$B:$B,Raw_Data!$KI:$KI),"")</f>
        <v/>
      </c>
      <c r="J152" s="180"/>
      <c r="K152" s="180" t="str">
        <f>IFERROR(_xlfn.XLOOKUP($A152,Raw_Data!$B:$B,Raw_Data!KJ:KJ),"")</f>
        <v/>
      </c>
      <c r="L152" s="180" t="str">
        <f>IFERROR(_xlfn.XLOOKUP($A152,Raw_Data!$B:$B,Raw_Data!KK:KK),"")</f>
        <v/>
      </c>
      <c r="M152" s="180" t="str">
        <f>IFERROR(_xlfn.XLOOKUP($A152,Raw_Data!$B:$B,Raw_Data!KL:KL),"")</f>
        <v/>
      </c>
      <c r="N152" s="180" t="str">
        <f>IFERROR(_xlfn.XLOOKUP($A152,Raw_Data!$B:$B,Raw_Data!KM:KM),"")</f>
        <v/>
      </c>
      <c r="O152" s="181" t="str">
        <f>IFERROR(1-SUMIF(PA!$B:$B,$A152,PA!AJ:AJ)/($AA152+SUMIF(PA!$B:$B,$A152,PA!AJ:AJ)),"")</f>
        <v/>
      </c>
      <c r="P152" s="181"/>
      <c r="Q152" s="182"/>
      <c r="R152" s="181" t="str">
        <f>IFERROR(1-SUMIF(GA!$C:$C,$A152,GA!$X:$X)/($AA152+SUMIF(GA!$C:$C,$A152,GA!$X:$X)),"")</f>
        <v/>
      </c>
      <c r="S152" s="177"/>
      <c r="T152" s="182"/>
      <c r="U152" s="183" t="str">
        <f t="shared" si="9"/>
        <v/>
      </c>
      <c r="V152" s="183" t="str">
        <f>IFERROR(_xlfn.XLOOKUP($A152,Raw_Data!$B:$B,Raw_Data!$KQ:$KQ),"")</f>
        <v/>
      </c>
      <c r="W152" s="184" t="str">
        <f t="shared" si="10"/>
        <v/>
      </c>
      <c r="X152" s="176" t="str">
        <f>IFERROR(_xlfn.XLOOKUP($A152,Raw_Data!$B:$B,Raw_Data!$KN:$KN),"")</f>
        <v/>
      </c>
      <c r="Y152" s="176" t="str">
        <f>IFERROR(_xlfn.XLOOKUP($A152,Raw_Data!$B:$B,Raw_Data!$KC:$KC),"")</f>
        <v/>
      </c>
      <c r="Z152" s="176" t="str">
        <f>IFERROR(_xlfn.XLOOKUP($A152,Raw_Data!$B:$B,Raw_Data!$KD:$KD),"")</f>
        <v/>
      </c>
      <c r="AA152" s="176" t="str">
        <f>IFERROR(_xlfn.XLOOKUP($A152,Raw_Data!$B:$B,Raw_Data!$KF:$KF),"")</f>
        <v/>
      </c>
      <c r="AB152" s="176" t="str">
        <f>IFERROR(_xlfn.XLOOKUP($A152,Raw_Data!$B:$B,Raw_Data!I:I)/1000,"")</f>
        <v/>
      </c>
      <c r="AC152" s="185">
        <f>IFERROR(_xlfn.XLOOKUP($D152,'Modelling New'!$D:$D,'Modelling New'!$P:$P),"")</f>
        <v>4.6419354838709683</v>
      </c>
      <c r="AD152" s="176">
        <f>IFERROR(_xlfn.XLOOKUP($D152,'Modelling New'!$D:$D,'Modelling New'!$T:$T)*1000,"")</f>
        <v>240509.75824924873</v>
      </c>
      <c r="AE152" s="186">
        <f>IFERROR(_xlfn.XLOOKUP($D152,'Modelling New'!$D:$D,'Modelling New'!$O:$O),"")</f>
        <v>0.77615739815974316</v>
      </c>
      <c r="AF152" s="186">
        <f>IFERROR(_xlfn.XLOOKUP($D152,'Modelling New'!$D:$D,'Modelling New'!$W:$W),"")</f>
        <v>0.15011969031611161</v>
      </c>
      <c r="AG152" s="186">
        <f>IFERROR(_xlfn.XLOOKUP($D152,'Modelling New'!$D:$D,'Modelling New'!$AE:$AE),"")</f>
        <v>0.995</v>
      </c>
      <c r="AH152" s="186">
        <f>IFERROR(_xlfn.XLOOKUP($D152,'Modelling New'!$D:$D,'Modelling New'!$AF:$AF),"")</f>
        <v>0.995</v>
      </c>
      <c r="AI152" s="177"/>
      <c r="AJ152" s="177"/>
      <c r="AK152" s="238"/>
      <c r="AL152" s="238"/>
      <c r="AM152" s="238"/>
      <c r="AN152" s="187"/>
      <c r="AO152" s="184"/>
      <c r="AP152" s="184"/>
      <c r="AQ152" s="184"/>
      <c r="AR152" s="176">
        <f>IFERROR(_xlfn.XLOOKUP($D151,'Modelling New'!$D:$D,'Modelling New'!$N:$N),"")</f>
        <v>66.754999999999995</v>
      </c>
      <c r="AS152" s="176"/>
    </row>
    <row r="153" spans="1:45" x14ac:dyDescent="0.25">
      <c r="A153" s="175">
        <f t="shared" si="11"/>
        <v>45896</v>
      </c>
      <c r="B153" s="176">
        <f>YEAR(Table13[[#This Row],[Date]])+IF(MONTH(Table13[[#This Row],[Date]])&gt;=4,1,0)</f>
        <v>2026</v>
      </c>
      <c r="C153" s="177">
        <f>YEAR(Table13[[#This Row],[Date]])</f>
        <v>2025</v>
      </c>
      <c r="D153" s="178">
        <f>Table13[[#This Row],[Date]]-DAY(Table13[[#This Row],[Date]])+1</f>
        <v>45870</v>
      </c>
      <c r="E153" s="177">
        <f t="shared" si="8"/>
        <v>31</v>
      </c>
      <c r="F153" s="179" t="str">
        <f>IFERROR(_xlfn.XLOOKUP($A153,Raw_Data!$B:$B,Raw_Data!$KG:$KG),"")</f>
        <v/>
      </c>
      <c r="G153" s="180" t="str">
        <f>IFERROR(_xlfn.XLOOKUP($A153,Raw_Data!$B:$B,Raw_Data!KH:KH),"")</f>
        <v/>
      </c>
      <c r="H153" s="180"/>
      <c r="I153" s="180" t="str">
        <f>IFERROR(_xlfn.XLOOKUP($A153,Raw_Data!$B:$B,Raw_Data!$KI:$KI),"")</f>
        <v/>
      </c>
      <c r="J153" s="180"/>
      <c r="K153" s="180" t="str">
        <f>IFERROR(_xlfn.XLOOKUP($A153,Raw_Data!$B:$B,Raw_Data!KJ:KJ),"")</f>
        <v/>
      </c>
      <c r="L153" s="180" t="str">
        <f>IFERROR(_xlfn.XLOOKUP($A153,Raw_Data!$B:$B,Raw_Data!KK:KK),"")</f>
        <v/>
      </c>
      <c r="M153" s="180" t="str">
        <f>IFERROR(_xlfn.XLOOKUP($A153,Raw_Data!$B:$B,Raw_Data!KL:KL),"")</f>
        <v/>
      </c>
      <c r="N153" s="180" t="str">
        <f>IFERROR(_xlfn.XLOOKUP($A153,Raw_Data!$B:$B,Raw_Data!KM:KM),"")</f>
        <v/>
      </c>
      <c r="O153" s="181" t="str">
        <f>IFERROR(1-SUMIF(PA!$B:$B,$A153,PA!AJ:AJ)/($AA153+SUMIF(PA!$B:$B,$A153,PA!AJ:AJ)),"")</f>
        <v/>
      </c>
      <c r="P153" s="181"/>
      <c r="Q153" s="182"/>
      <c r="R153" s="181" t="str">
        <f>IFERROR(1-SUMIF(GA!$C:$C,$A153,GA!$X:$X)/($AA153+SUMIF(GA!$C:$C,$A153,GA!$X:$X)),"")</f>
        <v/>
      </c>
      <c r="S153" s="177"/>
      <c r="T153" s="182"/>
      <c r="U153" s="183" t="str">
        <f t="shared" si="9"/>
        <v/>
      </c>
      <c r="V153" s="183" t="str">
        <f>IFERROR(_xlfn.XLOOKUP($A153,Raw_Data!$B:$B,Raw_Data!$KQ:$KQ),"")</f>
        <v/>
      </c>
      <c r="W153" s="184" t="str">
        <f t="shared" si="10"/>
        <v/>
      </c>
      <c r="X153" s="176" t="str">
        <f>IFERROR(_xlfn.XLOOKUP($A153,Raw_Data!$B:$B,Raw_Data!$KN:$KN),"")</f>
        <v/>
      </c>
      <c r="Y153" s="176" t="str">
        <f>IFERROR(_xlfn.XLOOKUP($A153,Raw_Data!$B:$B,Raw_Data!$KC:$KC),"")</f>
        <v/>
      </c>
      <c r="Z153" s="176" t="str">
        <f>IFERROR(_xlfn.XLOOKUP($A153,Raw_Data!$B:$B,Raw_Data!$KD:$KD),"")</f>
        <v/>
      </c>
      <c r="AA153" s="176" t="str">
        <f>IFERROR(_xlfn.XLOOKUP($A153,Raw_Data!$B:$B,Raw_Data!$KF:$KF),"")</f>
        <v/>
      </c>
      <c r="AB153" s="176" t="str">
        <f>IFERROR(_xlfn.XLOOKUP($A153,Raw_Data!$B:$B,Raw_Data!I:I)/1000,"")</f>
        <v/>
      </c>
      <c r="AC153" s="185">
        <f>IFERROR(_xlfn.XLOOKUP($D153,'Modelling New'!$D:$D,'Modelling New'!$P:$P),"")</f>
        <v>4.6419354838709683</v>
      </c>
      <c r="AD153" s="176">
        <f>IFERROR(_xlfn.XLOOKUP($D153,'Modelling New'!$D:$D,'Modelling New'!$T:$T)*1000,"")</f>
        <v>240509.75824924873</v>
      </c>
      <c r="AE153" s="186">
        <f>IFERROR(_xlfn.XLOOKUP($D153,'Modelling New'!$D:$D,'Modelling New'!$O:$O),"")</f>
        <v>0.77615739815974316</v>
      </c>
      <c r="AF153" s="186">
        <f>IFERROR(_xlfn.XLOOKUP($D153,'Modelling New'!$D:$D,'Modelling New'!$W:$W),"")</f>
        <v>0.15011969031611161</v>
      </c>
      <c r="AG153" s="186">
        <f>IFERROR(_xlfn.XLOOKUP($D153,'Modelling New'!$D:$D,'Modelling New'!$AE:$AE),"")</f>
        <v>0.995</v>
      </c>
      <c r="AH153" s="186">
        <f>IFERROR(_xlfn.XLOOKUP($D153,'Modelling New'!$D:$D,'Modelling New'!$AF:$AF),"")</f>
        <v>0.995</v>
      </c>
      <c r="AI153" s="177"/>
      <c r="AJ153" s="177"/>
      <c r="AK153" s="238"/>
      <c r="AL153" s="238"/>
      <c r="AM153" s="238"/>
      <c r="AN153" s="187"/>
      <c r="AO153" s="184"/>
      <c r="AP153" s="184"/>
      <c r="AQ153" s="184"/>
      <c r="AR153" s="176">
        <f>IFERROR(_xlfn.XLOOKUP($D152,'Modelling New'!$D:$D,'Modelling New'!$N:$N),"")</f>
        <v>66.754999999999995</v>
      </c>
      <c r="AS153" s="176"/>
    </row>
    <row r="154" spans="1:45" x14ac:dyDescent="0.25">
      <c r="A154" s="175">
        <f t="shared" si="11"/>
        <v>45897</v>
      </c>
      <c r="B154" s="176">
        <f>YEAR(Table13[[#This Row],[Date]])+IF(MONTH(Table13[[#This Row],[Date]])&gt;=4,1,0)</f>
        <v>2026</v>
      </c>
      <c r="C154" s="177">
        <f>YEAR(Table13[[#This Row],[Date]])</f>
        <v>2025</v>
      </c>
      <c r="D154" s="178">
        <f>Table13[[#This Row],[Date]]-DAY(Table13[[#This Row],[Date]])+1</f>
        <v>45870</v>
      </c>
      <c r="E154" s="177">
        <f t="shared" si="8"/>
        <v>31</v>
      </c>
      <c r="F154" s="179" t="str">
        <f>IFERROR(_xlfn.XLOOKUP($A154,Raw_Data!$B:$B,Raw_Data!$KG:$KG),"")</f>
        <v/>
      </c>
      <c r="G154" s="180" t="str">
        <f>IFERROR(_xlfn.XLOOKUP($A154,Raw_Data!$B:$B,Raw_Data!KH:KH),"")</f>
        <v/>
      </c>
      <c r="H154" s="180"/>
      <c r="I154" s="180" t="str">
        <f>IFERROR(_xlfn.XLOOKUP($A154,Raw_Data!$B:$B,Raw_Data!$KI:$KI),"")</f>
        <v/>
      </c>
      <c r="J154" s="180"/>
      <c r="K154" s="180" t="str">
        <f>IFERROR(_xlfn.XLOOKUP($A154,Raw_Data!$B:$B,Raw_Data!KJ:KJ),"")</f>
        <v/>
      </c>
      <c r="L154" s="180" t="str">
        <f>IFERROR(_xlfn.XLOOKUP($A154,Raw_Data!$B:$B,Raw_Data!KK:KK),"")</f>
        <v/>
      </c>
      <c r="M154" s="180" t="str">
        <f>IFERROR(_xlfn.XLOOKUP($A154,Raw_Data!$B:$B,Raw_Data!KL:KL),"")</f>
        <v/>
      </c>
      <c r="N154" s="180" t="str">
        <f>IFERROR(_xlfn.XLOOKUP($A154,Raw_Data!$B:$B,Raw_Data!KM:KM),"")</f>
        <v/>
      </c>
      <c r="O154" s="181" t="str">
        <f>IFERROR(1-SUMIF(PA!$B:$B,$A154,PA!AJ:AJ)/($AA154+SUMIF(PA!$B:$B,$A154,PA!AJ:AJ)),"")</f>
        <v/>
      </c>
      <c r="P154" s="181"/>
      <c r="Q154" s="182"/>
      <c r="R154" s="181" t="str">
        <f>IFERROR(1-SUMIF(GA!$C:$C,$A154,GA!$X:$X)/($AA154+SUMIF(GA!$C:$C,$A154,GA!$X:$X)),"")</f>
        <v/>
      </c>
      <c r="S154" s="177"/>
      <c r="T154" s="182"/>
      <c r="U154" s="183" t="str">
        <f t="shared" si="9"/>
        <v/>
      </c>
      <c r="V154" s="183" t="str">
        <f>IFERROR(_xlfn.XLOOKUP($A154,Raw_Data!$B:$B,Raw_Data!$KQ:$KQ),"")</f>
        <v/>
      </c>
      <c r="W154" s="184" t="str">
        <f t="shared" si="10"/>
        <v/>
      </c>
      <c r="X154" s="176" t="str">
        <f>IFERROR(_xlfn.XLOOKUP($A154,Raw_Data!$B:$B,Raw_Data!$KN:$KN),"")</f>
        <v/>
      </c>
      <c r="Y154" s="176" t="str">
        <f>IFERROR(_xlfn.XLOOKUP($A154,Raw_Data!$B:$B,Raw_Data!$KC:$KC),"")</f>
        <v/>
      </c>
      <c r="Z154" s="176" t="str">
        <f>IFERROR(_xlfn.XLOOKUP($A154,Raw_Data!$B:$B,Raw_Data!$KD:$KD),"")</f>
        <v/>
      </c>
      <c r="AA154" s="176" t="str">
        <f>IFERROR(_xlfn.XLOOKUP($A154,Raw_Data!$B:$B,Raw_Data!$KF:$KF),"")</f>
        <v/>
      </c>
      <c r="AB154" s="176" t="str">
        <f>IFERROR(_xlfn.XLOOKUP($A154,Raw_Data!$B:$B,Raw_Data!I:I)/1000,"")</f>
        <v/>
      </c>
      <c r="AC154" s="185">
        <f>IFERROR(_xlfn.XLOOKUP($D154,'Modelling New'!$D:$D,'Modelling New'!$P:$P),"")</f>
        <v>4.6419354838709683</v>
      </c>
      <c r="AD154" s="176">
        <f>IFERROR(_xlfn.XLOOKUP($D154,'Modelling New'!$D:$D,'Modelling New'!$T:$T)*1000,"")</f>
        <v>240509.75824924873</v>
      </c>
      <c r="AE154" s="186">
        <f>IFERROR(_xlfn.XLOOKUP($D154,'Modelling New'!$D:$D,'Modelling New'!$O:$O),"")</f>
        <v>0.77615739815974316</v>
      </c>
      <c r="AF154" s="186">
        <f>IFERROR(_xlfn.XLOOKUP($D154,'Modelling New'!$D:$D,'Modelling New'!$W:$W),"")</f>
        <v>0.15011969031611161</v>
      </c>
      <c r="AG154" s="186">
        <f>IFERROR(_xlfn.XLOOKUP($D154,'Modelling New'!$D:$D,'Modelling New'!$AE:$AE),"")</f>
        <v>0.995</v>
      </c>
      <c r="AH154" s="186">
        <f>IFERROR(_xlfn.XLOOKUP($D154,'Modelling New'!$D:$D,'Modelling New'!$AF:$AF),"")</f>
        <v>0.995</v>
      </c>
      <c r="AI154" s="177"/>
      <c r="AJ154" s="177"/>
      <c r="AK154" s="238"/>
      <c r="AL154" s="238"/>
      <c r="AM154" s="238"/>
      <c r="AN154" s="187"/>
      <c r="AO154" s="184"/>
      <c r="AP154" s="184"/>
      <c r="AQ154" s="184"/>
      <c r="AR154" s="176">
        <f>IFERROR(_xlfn.XLOOKUP($D153,'Modelling New'!$D:$D,'Modelling New'!$N:$N),"")</f>
        <v>66.754999999999995</v>
      </c>
      <c r="AS154" s="176"/>
    </row>
    <row r="155" spans="1:45" x14ac:dyDescent="0.25">
      <c r="A155" s="175">
        <f t="shared" si="11"/>
        <v>45898</v>
      </c>
      <c r="B155" s="176">
        <f>YEAR(Table13[[#This Row],[Date]])+IF(MONTH(Table13[[#This Row],[Date]])&gt;=4,1,0)</f>
        <v>2026</v>
      </c>
      <c r="C155" s="177">
        <f>YEAR(Table13[[#This Row],[Date]])</f>
        <v>2025</v>
      </c>
      <c r="D155" s="178">
        <f>Table13[[#This Row],[Date]]-DAY(Table13[[#This Row],[Date]])+1</f>
        <v>45870</v>
      </c>
      <c r="E155" s="177">
        <f t="shared" si="8"/>
        <v>31</v>
      </c>
      <c r="F155" s="179" t="str">
        <f>IFERROR(_xlfn.XLOOKUP($A155,Raw_Data!$B:$B,Raw_Data!$KG:$KG),"")</f>
        <v/>
      </c>
      <c r="G155" s="180" t="str">
        <f>IFERROR(_xlfn.XLOOKUP($A155,Raw_Data!$B:$B,Raw_Data!KH:KH),"")</f>
        <v/>
      </c>
      <c r="H155" s="180"/>
      <c r="I155" s="180" t="str">
        <f>IFERROR(_xlfn.XLOOKUP($A155,Raw_Data!$B:$B,Raw_Data!$KI:$KI),"")</f>
        <v/>
      </c>
      <c r="J155" s="180"/>
      <c r="K155" s="180" t="str">
        <f>IFERROR(_xlfn.XLOOKUP($A155,Raw_Data!$B:$B,Raw_Data!KJ:KJ),"")</f>
        <v/>
      </c>
      <c r="L155" s="180" t="str">
        <f>IFERROR(_xlfn.XLOOKUP($A155,Raw_Data!$B:$B,Raw_Data!KK:KK),"")</f>
        <v/>
      </c>
      <c r="M155" s="180" t="str">
        <f>IFERROR(_xlfn.XLOOKUP($A155,Raw_Data!$B:$B,Raw_Data!KL:KL),"")</f>
        <v/>
      </c>
      <c r="N155" s="180" t="str">
        <f>IFERROR(_xlfn.XLOOKUP($A155,Raw_Data!$B:$B,Raw_Data!KM:KM),"")</f>
        <v/>
      </c>
      <c r="O155" s="181" t="str">
        <f>IFERROR(1-SUMIF(PA!$B:$B,$A155,PA!AJ:AJ)/($AA155+SUMIF(PA!$B:$B,$A155,PA!AJ:AJ)),"")</f>
        <v/>
      </c>
      <c r="P155" s="181"/>
      <c r="Q155" s="182"/>
      <c r="R155" s="181" t="str">
        <f>IFERROR(1-SUMIF(GA!$C:$C,$A155,GA!$X:$X)/($AA155+SUMIF(GA!$C:$C,$A155,GA!$X:$X)),"")</f>
        <v/>
      </c>
      <c r="S155" s="177"/>
      <c r="T155" s="182"/>
      <c r="U155" s="183" t="str">
        <f t="shared" si="9"/>
        <v/>
      </c>
      <c r="V155" s="183" t="str">
        <f>IFERROR(_xlfn.XLOOKUP($A155,Raw_Data!$B:$B,Raw_Data!$KQ:$KQ),"")</f>
        <v/>
      </c>
      <c r="W155" s="184" t="str">
        <f t="shared" si="10"/>
        <v/>
      </c>
      <c r="X155" s="176" t="str">
        <f>IFERROR(_xlfn.XLOOKUP($A155,Raw_Data!$B:$B,Raw_Data!$KN:$KN),"")</f>
        <v/>
      </c>
      <c r="Y155" s="176" t="str">
        <f>IFERROR(_xlfn.XLOOKUP($A155,Raw_Data!$B:$B,Raw_Data!$KC:$KC),"")</f>
        <v/>
      </c>
      <c r="Z155" s="176" t="str">
        <f>IFERROR(_xlfn.XLOOKUP($A155,Raw_Data!$B:$B,Raw_Data!$KD:$KD),"")</f>
        <v/>
      </c>
      <c r="AA155" s="176" t="str">
        <f>IFERROR(_xlfn.XLOOKUP($A155,Raw_Data!$B:$B,Raw_Data!$KF:$KF),"")</f>
        <v/>
      </c>
      <c r="AB155" s="176" t="str">
        <f>IFERROR(_xlfn.XLOOKUP($A155,Raw_Data!$B:$B,Raw_Data!I:I)/1000,"")</f>
        <v/>
      </c>
      <c r="AC155" s="185">
        <f>IFERROR(_xlfn.XLOOKUP($D155,'Modelling New'!$D:$D,'Modelling New'!$P:$P),"")</f>
        <v>4.6419354838709683</v>
      </c>
      <c r="AD155" s="176">
        <f>IFERROR(_xlfn.XLOOKUP($D155,'Modelling New'!$D:$D,'Modelling New'!$T:$T)*1000,"")</f>
        <v>240509.75824924873</v>
      </c>
      <c r="AE155" s="186">
        <f>IFERROR(_xlfn.XLOOKUP($D155,'Modelling New'!$D:$D,'Modelling New'!$O:$O),"")</f>
        <v>0.77615739815974316</v>
      </c>
      <c r="AF155" s="186">
        <f>IFERROR(_xlfn.XLOOKUP($D155,'Modelling New'!$D:$D,'Modelling New'!$W:$W),"")</f>
        <v>0.15011969031611161</v>
      </c>
      <c r="AG155" s="186">
        <f>IFERROR(_xlfn.XLOOKUP($D155,'Modelling New'!$D:$D,'Modelling New'!$AE:$AE),"")</f>
        <v>0.995</v>
      </c>
      <c r="AH155" s="186">
        <f>IFERROR(_xlfn.XLOOKUP($D155,'Modelling New'!$D:$D,'Modelling New'!$AF:$AF),"")</f>
        <v>0.995</v>
      </c>
      <c r="AI155" s="177"/>
      <c r="AJ155" s="177"/>
      <c r="AK155" s="238"/>
      <c r="AL155" s="238"/>
      <c r="AM155" s="238"/>
      <c r="AN155" s="187"/>
      <c r="AO155" s="184"/>
      <c r="AP155" s="184"/>
      <c r="AQ155" s="184"/>
      <c r="AR155" s="176">
        <f>IFERROR(_xlfn.XLOOKUP($D154,'Modelling New'!$D:$D,'Modelling New'!$N:$N),"")</f>
        <v>66.754999999999995</v>
      </c>
      <c r="AS155" s="176"/>
    </row>
    <row r="156" spans="1:45" x14ac:dyDescent="0.25">
      <c r="A156" s="175">
        <f t="shared" si="11"/>
        <v>45899</v>
      </c>
      <c r="B156" s="176">
        <f>YEAR(Table13[[#This Row],[Date]])+IF(MONTH(Table13[[#This Row],[Date]])&gt;=4,1,0)</f>
        <v>2026</v>
      </c>
      <c r="C156" s="177">
        <f>YEAR(Table13[[#This Row],[Date]])</f>
        <v>2025</v>
      </c>
      <c r="D156" s="178">
        <f>Table13[[#This Row],[Date]]-DAY(Table13[[#This Row],[Date]])+1</f>
        <v>45870</v>
      </c>
      <c r="E156" s="177">
        <f t="shared" si="8"/>
        <v>31</v>
      </c>
      <c r="F156" s="179" t="str">
        <f>IFERROR(_xlfn.XLOOKUP($A156,Raw_Data!$B:$B,Raw_Data!$KG:$KG),"")</f>
        <v/>
      </c>
      <c r="G156" s="180" t="str">
        <f>IFERROR(_xlfn.XLOOKUP($A156,Raw_Data!$B:$B,Raw_Data!KH:KH),"")</f>
        <v/>
      </c>
      <c r="H156" s="180"/>
      <c r="I156" s="180" t="str">
        <f>IFERROR(_xlfn.XLOOKUP($A156,Raw_Data!$B:$B,Raw_Data!$KI:$KI),"")</f>
        <v/>
      </c>
      <c r="J156" s="180"/>
      <c r="K156" s="180" t="str">
        <f>IFERROR(_xlfn.XLOOKUP($A156,Raw_Data!$B:$B,Raw_Data!KJ:KJ),"")</f>
        <v/>
      </c>
      <c r="L156" s="180" t="str">
        <f>IFERROR(_xlfn.XLOOKUP($A156,Raw_Data!$B:$B,Raw_Data!KK:KK),"")</f>
        <v/>
      </c>
      <c r="M156" s="180" t="str">
        <f>IFERROR(_xlfn.XLOOKUP($A156,Raw_Data!$B:$B,Raw_Data!KL:KL),"")</f>
        <v/>
      </c>
      <c r="N156" s="180" t="str">
        <f>IFERROR(_xlfn.XLOOKUP($A156,Raw_Data!$B:$B,Raw_Data!KM:KM),"")</f>
        <v/>
      </c>
      <c r="O156" s="181" t="str">
        <f>IFERROR(1-SUMIF(PA!$B:$B,$A156,PA!AJ:AJ)/($AA156+SUMIF(PA!$B:$B,$A156,PA!AJ:AJ)),"")</f>
        <v/>
      </c>
      <c r="P156" s="181"/>
      <c r="Q156" s="182"/>
      <c r="R156" s="181" t="str">
        <f>IFERROR(1-SUMIF(GA!$C:$C,$A156,GA!$X:$X)/($AA156+SUMIF(GA!$C:$C,$A156,GA!$X:$X)),"")</f>
        <v/>
      </c>
      <c r="S156" s="177"/>
      <c r="T156" s="182"/>
      <c r="U156" s="183" t="str">
        <f t="shared" si="9"/>
        <v/>
      </c>
      <c r="V156" s="183" t="str">
        <f>IFERROR(_xlfn.XLOOKUP($A156,Raw_Data!$B:$B,Raw_Data!$KQ:$KQ),"")</f>
        <v/>
      </c>
      <c r="W156" s="184" t="str">
        <f t="shared" si="10"/>
        <v/>
      </c>
      <c r="X156" s="176" t="str">
        <f>IFERROR(_xlfn.XLOOKUP($A156,Raw_Data!$B:$B,Raw_Data!$KN:$KN),"")</f>
        <v/>
      </c>
      <c r="Y156" s="176" t="str">
        <f>IFERROR(_xlfn.XLOOKUP($A156,Raw_Data!$B:$B,Raw_Data!$KC:$KC),"")</f>
        <v/>
      </c>
      <c r="Z156" s="176" t="str">
        <f>IFERROR(_xlfn.XLOOKUP($A156,Raw_Data!$B:$B,Raw_Data!$KD:$KD),"")</f>
        <v/>
      </c>
      <c r="AA156" s="176" t="str">
        <f>IFERROR(_xlfn.XLOOKUP($A156,Raw_Data!$B:$B,Raw_Data!$KF:$KF),"")</f>
        <v/>
      </c>
      <c r="AB156" s="176" t="str">
        <f>IFERROR(_xlfn.XLOOKUP($A156,Raw_Data!$B:$B,Raw_Data!I:I)/1000,"")</f>
        <v/>
      </c>
      <c r="AC156" s="185">
        <f>IFERROR(_xlfn.XLOOKUP($D156,'Modelling New'!$D:$D,'Modelling New'!$P:$P),"")</f>
        <v>4.6419354838709683</v>
      </c>
      <c r="AD156" s="176">
        <f>IFERROR(_xlfn.XLOOKUP($D156,'Modelling New'!$D:$D,'Modelling New'!$T:$T)*1000,"")</f>
        <v>240509.75824924873</v>
      </c>
      <c r="AE156" s="186">
        <f>IFERROR(_xlfn.XLOOKUP($D156,'Modelling New'!$D:$D,'Modelling New'!$O:$O),"")</f>
        <v>0.77615739815974316</v>
      </c>
      <c r="AF156" s="186">
        <f>IFERROR(_xlfn.XLOOKUP($D156,'Modelling New'!$D:$D,'Modelling New'!$W:$W),"")</f>
        <v>0.15011969031611161</v>
      </c>
      <c r="AG156" s="186">
        <f>IFERROR(_xlfn.XLOOKUP($D156,'Modelling New'!$D:$D,'Modelling New'!$AE:$AE),"")</f>
        <v>0.995</v>
      </c>
      <c r="AH156" s="186">
        <f>IFERROR(_xlfn.XLOOKUP($D156,'Modelling New'!$D:$D,'Modelling New'!$AF:$AF),"")</f>
        <v>0.995</v>
      </c>
      <c r="AI156" s="177"/>
      <c r="AJ156" s="177"/>
      <c r="AK156" s="238"/>
      <c r="AL156" s="238"/>
      <c r="AM156" s="238"/>
      <c r="AN156" s="187"/>
      <c r="AO156" s="184"/>
      <c r="AP156" s="184"/>
      <c r="AQ156" s="184"/>
      <c r="AR156" s="176">
        <f>IFERROR(_xlfn.XLOOKUP($D155,'Modelling New'!$D:$D,'Modelling New'!$N:$N),"")</f>
        <v>66.754999999999995</v>
      </c>
      <c r="AS156" s="176"/>
    </row>
    <row r="157" spans="1:45" x14ac:dyDescent="0.25">
      <c r="A157" s="175">
        <f t="shared" si="11"/>
        <v>45900</v>
      </c>
      <c r="B157" s="176">
        <f>YEAR(Table13[[#This Row],[Date]])+IF(MONTH(Table13[[#This Row],[Date]])&gt;=4,1,0)</f>
        <v>2026</v>
      </c>
      <c r="C157" s="177">
        <f>YEAR(Table13[[#This Row],[Date]])</f>
        <v>2025</v>
      </c>
      <c r="D157" s="178">
        <f>Table13[[#This Row],[Date]]-DAY(Table13[[#This Row],[Date]])+1</f>
        <v>45870</v>
      </c>
      <c r="E157" s="177">
        <f t="shared" si="8"/>
        <v>31</v>
      </c>
      <c r="F157" s="179" t="str">
        <f>IFERROR(_xlfn.XLOOKUP($A157,Raw_Data!$B:$B,Raw_Data!$KG:$KG),"")</f>
        <v/>
      </c>
      <c r="G157" s="180" t="str">
        <f>IFERROR(_xlfn.XLOOKUP($A157,Raw_Data!$B:$B,Raw_Data!KH:KH),"")</f>
        <v/>
      </c>
      <c r="H157" s="180"/>
      <c r="I157" s="180" t="str">
        <f>IFERROR(_xlfn.XLOOKUP($A157,Raw_Data!$B:$B,Raw_Data!$KI:$KI),"")</f>
        <v/>
      </c>
      <c r="J157" s="180"/>
      <c r="K157" s="180" t="str">
        <f>IFERROR(_xlfn.XLOOKUP($A157,Raw_Data!$B:$B,Raw_Data!KJ:KJ),"")</f>
        <v/>
      </c>
      <c r="L157" s="180" t="str">
        <f>IFERROR(_xlfn.XLOOKUP($A157,Raw_Data!$B:$B,Raw_Data!KK:KK),"")</f>
        <v/>
      </c>
      <c r="M157" s="180" t="str">
        <f>IFERROR(_xlfn.XLOOKUP($A157,Raw_Data!$B:$B,Raw_Data!KL:KL),"")</f>
        <v/>
      </c>
      <c r="N157" s="180" t="str">
        <f>IFERROR(_xlfn.XLOOKUP($A157,Raw_Data!$B:$B,Raw_Data!KM:KM),"")</f>
        <v/>
      </c>
      <c r="O157" s="181" t="str">
        <f>IFERROR(1-SUMIF(PA!$B:$B,$A157,PA!AJ:AJ)/($AA157+SUMIF(PA!$B:$B,$A157,PA!AJ:AJ)),"")</f>
        <v/>
      </c>
      <c r="P157" s="181"/>
      <c r="Q157" s="182"/>
      <c r="R157" s="181" t="str">
        <f>IFERROR(1-SUMIF(GA!$C:$C,$A157,GA!$X:$X)/($AA157+SUMIF(GA!$C:$C,$A157,GA!$X:$X)),"")</f>
        <v/>
      </c>
      <c r="S157" s="177"/>
      <c r="T157" s="182"/>
      <c r="U157" s="183" t="str">
        <f t="shared" si="9"/>
        <v/>
      </c>
      <c r="V157" s="183" t="str">
        <f>IFERROR(_xlfn.XLOOKUP($A157,Raw_Data!$B:$B,Raw_Data!$KQ:$KQ),"")</f>
        <v/>
      </c>
      <c r="W157" s="184" t="str">
        <f t="shared" si="10"/>
        <v/>
      </c>
      <c r="X157" s="176" t="str">
        <f>IFERROR(_xlfn.XLOOKUP($A157,Raw_Data!$B:$B,Raw_Data!$KN:$KN),"")</f>
        <v/>
      </c>
      <c r="Y157" s="176" t="str">
        <f>IFERROR(_xlfn.XLOOKUP($A157,Raw_Data!$B:$B,Raw_Data!$KC:$KC),"")</f>
        <v/>
      </c>
      <c r="Z157" s="176" t="str">
        <f>IFERROR(_xlfn.XLOOKUP($A157,Raw_Data!$B:$B,Raw_Data!$KD:$KD),"")</f>
        <v/>
      </c>
      <c r="AA157" s="176" t="str">
        <f>IFERROR(_xlfn.XLOOKUP($A157,Raw_Data!$B:$B,Raw_Data!$KF:$KF),"")</f>
        <v/>
      </c>
      <c r="AB157" s="176" t="str">
        <f>IFERROR(_xlfn.XLOOKUP($A157,Raw_Data!$B:$B,Raw_Data!I:I)/1000,"")</f>
        <v/>
      </c>
      <c r="AC157" s="185">
        <f>IFERROR(_xlfn.XLOOKUP($D157,'Modelling New'!$D:$D,'Modelling New'!$P:$P),"")</f>
        <v>4.6419354838709683</v>
      </c>
      <c r="AD157" s="176">
        <f>IFERROR(_xlfn.XLOOKUP($D157,'Modelling New'!$D:$D,'Modelling New'!$T:$T)*1000,"")</f>
        <v>240509.75824924873</v>
      </c>
      <c r="AE157" s="186">
        <f>IFERROR(_xlfn.XLOOKUP($D157,'Modelling New'!$D:$D,'Modelling New'!$O:$O),"")</f>
        <v>0.77615739815974316</v>
      </c>
      <c r="AF157" s="186">
        <f>IFERROR(_xlfn.XLOOKUP($D157,'Modelling New'!$D:$D,'Modelling New'!$W:$W),"")</f>
        <v>0.15011969031611161</v>
      </c>
      <c r="AG157" s="186">
        <f>IFERROR(_xlfn.XLOOKUP($D157,'Modelling New'!$D:$D,'Modelling New'!$AE:$AE),"")</f>
        <v>0.995</v>
      </c>
      <c r="AH157" s="186">
        <f>IFERROR(_xlfn.XLOOKUP($D157,'Modelling New'!$D:$D,'Modelling New'!$AF:$AF),"")</f>
        <v>0.995</v>
      </c>
      <c r="AI157" s="177"/>
      <c r="AJ157" s="177"/>
      <c r="AK157" s="238"/>
      <c r="AL157" s="238"/>
      <c r="AM157" s="238"/>
      <c r="AN157" s="187"/>
      <c r="AO157" s="184"/>
      <c r="AP157" s="184"/>
      <c r="AQ157" s="184"/>
      <c r="AR157" s="176">
        <f>IFERROR(_xlfn.XLOOKUP($D156,'Modelling New'!$D:$D,'Modelling New'!$N:$N),"")</f>
        <v>66.754999999999995</v>
      </c>
      <c r="AS157" s="176"/>
    </row>
    <row r="158" spans="1:45" x14ac:dyDescent="0.25">
      <c r="A158" s="175">
        <f t="shared" si="11"/>
        <v>45901</v>
      </c>
      <c r="B158" s="176">
        <f>YEAR(Table13[[#This Row],[Date]])+IF(MONTH(Table13[[#This Row],[Date]])&gt;=4,1,0)</f>
        <v>2026</v>
      </c>
      <c r="C158" s="177">
        <f>YEAR(Table13[[#This Row],[Date]])</f>
        <v>2025</v>
      </c>
      <c r="D158" s="178">
        <f>Table13[[#This Row],[Date]]-DAY(Table13[[#This Row],[Date]])+1</f>
        <v>45901</v>
      </c>
      <c r="E158" s="177">
        <f t="shared" si="8"/>
        <v>30</v>
      </c>
      <c r="F158" s="179" t="str">
        <f>IFERROR(_xlfn.XLOOKUP($A158,Raw_Data!$B:$B,Raw_Data!$KG:$KG),"")</f>
        <v/>
      </c>
      <c r="G158" s="180" t="str">
        <f>IFERROR(_xlfn.XLOOKUP($A158,Raw_Data!$B:$B,Raw_Data!KH:KH),"")</f>
        <v/>
      </c>
      <c r="H158" s="180"/>
      <c r="I158" s="180" t="str">
        <f>IFERROR(_xlfn.XLOOKUP($A158,Raw_Data!$B:$B,Raw_Data!$KI:$KI),"")</f>
        <v/>
      </c>
      <c r="J158" s="180"/>
      <c r="K158" s="180" t="str">
        <f>IFERROR(_xlfn.XLOOKUP($A158,Raw_Data!$B:$B,Raw_Data!KJ:KJ),"")</f>
        <v/>
      </c>
      <c r="L158" s="180" t="str">
        <f>IFERROR(_xlfn.XLOOKUP($A158,Raw_Data!$B:$B,Raw_Data!KK:KK),"")</f>
        <v/>
      </c>
      <c r="M158" s="180" t="str">
        <f>IFERROR(_xlfn.XLOOKUP($A158,Raw_Data!$B:$B,Raw_Data!KL:KL),"")</f>
        <v/>
      </c>
      <c r="N158" s="180" t="str">
        <f>IFERROR(_xlfn.XLOOKUP($A158,Raw_Data!$B:$B,Raw_Data!KM:KM),"")</f>
        <v/>
      </c>
      <c r="O158" s="181" t="str">
        <f>IFERROR(1-SUMIF(PA!$B:$B,$A158,PA!AJ:AJ)/($AA158+SUMIF(PA!$B:$B,$A158,PA!AJ:AJ)),"")</f>
        <v/>
      </c>
      <c r="P158" s="181"/>
      <c r="Q158" s="182"/>
      <c r="R158" s="181" t="str">
        <f>IFERROR(1-SUMIF(GA!$C:$C,$A158,GA!$X:$X)/($AA158+SUMIF(GA!$C:$C,$A158,GA!$X:$X)),"")</f>
        <v/>
      </c>
      <c r="S158" s="177"/>
      <c r="T158" s="182"/>
      <c r="U158" s="183" t="str">
        <f t="shared" si="9"/>
        <v/>
      </c>
      <c r="V158" s="183" t="str">
        <f>IFERROR(_xlfn.XLOOKUP($A158,Raw_Data!$B:$B,Raw_Data!$KQ:$KQ),"")</f>
        <v/>
      </c>
      <c r="W158" s="184" t="str">
        <f t="shared" si="10"/>
        <v/>
      </c>
      <c r="X158" s="176" t="str">
        <f>IFERROR(_xlfn.XLOOKUP($A158,Raw_Data!$B:$B,Raw_Data!$KN:$KN),"")</f>
        <v/>
      </c>
      <c r="Y158" s="176" t="str">
        <f>IFERROR(_xlfn.XLOOKUP($A158,Raw_Data!$B:$B,Raw_Data!$KC:$KC),"")</f>
        <v/>
      </c>
      <c r="Z158" s="176" t="str">
        <f>IFERROR(_xlfn.XLOOKUP($A158,Raw_Data!$B:$B,Raw_Data!$KD:$KD),"")</f>
        <v/>
      </c>
      <c r="AA158" s="176" t="str">
        <f>IFERROR(_xlfn.XLOOKUP($A158,Raw_Data!$B:$B,Raw_Data!$KF:$KF),"")</f>
        <v/>
      </c>
      <c r="AB158" s="176" t="str">
        <f>IFERROR(_xlfn.XLOOKUP($A158,Raw_Data!$B:$B,Raw_Data!I:I)/1000,"")</f>
        <v/>
      </c>
      <c r="AC158" s="185">
        <f>IFERROR(_xlfn.XLOOKUP($D158,'Modelling New'!$D:$D,'Modelling New'!$P:$P),"")</f>
        <v>5.4433333333333334</v>
      </c>
      <c r="AD158" s="176">
        <f>IFERROR(_xlfn.XLOOKUP($D158,'Modelling New'!$D:$D,'Modelling New'!$T:$T)*1000,"")</f>
        <v>280472.45446379349</v>
      </c>
      <c r="AE158" s="186">
        <f>IFERROR(_xlfn.XLOOKUP($D158,'Modelling New'!$D:$D,'Modelling New'!$O:$O),"")</f>
        <v>0.77186524247721466</v>
      </c>
      <c r="AF158" s="186">
        <f>IFERROR(_xlfn.XLOOKUP($D158,'Modelling New'!$D:$D,'Modelling New'!$W:$W),"")</f>
        <v>0.1750633251340683</v>
      </c>
      <c r="AG158" s="186">
        <f>IFERROR(_xlfn.XLOOKUP($D158,'Modelling New'!$D:$D,'Modelling New'!$AE:$AE),"")</f>
        <v>0.995</v>
      </c>
      <c r="AH158" s="186">
        <f>IFERROR(_xlfn.XLOOKUP($D158,'Modelling New'!$D:$D,'Modelling New'!$AF:$AF),"")</f>
        <v>0.995</v>
      </c>
      <c r="AI158" s="177"/>
      <c r="AJ158" s="177"/>
      <c r="AK158" s="238"/>
      <c r="AL158" s="238"/>
      <c r="AM158" s="238"/>
      <c r="AN158" s="187"/>
      <c r="AO158" s="184"/>
      <c r="AP158" s="184"/>
      <c r="AQ158" s="184"/>
      <c r="AR158" s="176">
        <f>IFERROR(_xlfn.XLOOKUP($D157,'Modelling New'!$D:$D,'Modelling New'!$N:$N),"")</f>
        <v>66.754999999999995</v>
      </c>
      <c r="AS158" s="176"/>
    </row>
    <row r="159" spans="1:45" x14ac:dyDescent="0.25">
      <c r="A159" s="175">
        <f t="shared" si="11"/>
        <v>45902</v>
      </c>
      <c r="B159" s="176">
        <f>YEAR(Table13[[#This Row],[Date]])+IF(MONTH(Table13[[#This Row],[Date]])&gt;=4,1,0)</f>
        <v>2026</v>
      </c>
      <c r="C159" s="177">
        <f>YEAR(Table13[[#This Row],[Date]])</f>
        <v>2025</v>
      </c>
      <c r="D159" s="178">
        <f>Table13[[#This Row],[Date]]-DAY(Table13[[#This Row],[Date]])+1</f>
        <v>45901</v>
      </c>
      <c r="E159" s="177">
        <f t="shared" ref="E159:E222" si="12">DAY(EOMONTH(A159,0))</f>
        <v>30</v>
      </c>
      <c r="F159" s="179" t="str">
        <f>IFERROR(_xlfn.XLOOKUP($A159,Raw_Data!$B:$B,Raw_Data!$KG:$KG),"")</f>
        <v/>
      </c>
      <c r="G159" s="180" t="str">
        <f>IFERROR(_xlfn.XLOOKUP($A159,Raw_Data!$B:$B,Raw_Data!KH:KH),"")</f>
        <v/>
      </c>
      <c r="H159" s="180"/>
      <c r="I159" s="180" t="str">
        <f>IFERROR(_xlfn.XLOOKUP($A159,Raw_Data!$B:$B,Raw_Data!$KI:$KI),"")</f>
        <v/>
      </c>
      <c r="J159" s="180"/>
      <c r="K159" s="180" t="str">
        <f>IFERROR(_xlfn.XLOOKUP($A159,Raw_Data!$B:$B,Raw_Data!KJ:KJ),"")</f>
        <v/>
      </c>
      <c r="L159" s="180" t="str">
        <f>IFERROR(_xlfn.XLOOKUP($A159,Raw_Data!$B:$B,Raw_Data!KK:KK),"")</f>
        <v/>
      </c>
      <c r="M159" s="180" t="str">
        <f>IFERROR(_xlfn.XLOOKUP($A159,Raw_Data!$B:$B,Raw_Data!KL:KL),"")</f>
        <v/>
      </c>
      <c r="N159" s="180" t="str">
        <f>IFERROR(_xlfn.XLOOKUP($A159,Raw_Data!$B:$B,Raw_Data!KM:KM),"")</f>
        <v/>
      </c>
      <c r="O159" s="181" t="str">
        <f>IFERROR(1-SUMIF(PA!$B:$B,$A159,PA!AJ:AJ)/($AA159+SUMIF(PA!$B:$B,$A159,PA!AJ:AJ)),"")</f>
        <v/>
      </c>
      <c r="P159" s="181"/>
      <c r="Q159" s="182"/>
      <c r="R159" s="181" t="str">
        <f>IFERROR(1-SUMIF(GA!$C:$C,$A159,GA!$X:$X)/($AA159+SUMIF(GA!$C:$C,$A159,GA!$X:$X)),"")</f>
        <v/>
      </c>
      <c r="S159" s="177"/>
      <c r="T159" s="182"/>
      <c r="U159" s="183" t="str">
        <f t="shared" ref="U159:U222" si="13">IFERROR(AA159/I159/AB159/1000,"")</f>
        <v/>
      </c>
      <c r="V159" s="183" t="str">
        <f>IFERROR(_xlfn.XLOOKUP($A159,Raw_Data!$B:$B,Raw_Data!$KQ:$KQ),"")</f>
        <v/>
      </c>
      <c r="W159" s="184" t="str">
        <f t="shared" ref="W159:W222" si="14">IFERROR(AA159/(24*AB159*1000),"")</f>
        <v/>
      </c>
      <c r="X159" s="176" t="str">
        <f>IFERROR(_xlfn.XLOOKUP($A159,Raw_Data!$B:$B,Raw_Data!$KN:$KN),"")</f>
        <v/>
      </c>
      <c r="Y159" s="176" t="str">
        <f>IFERROR(_xlfn.XLOOKUP($A159,Raw_Data!$B:$B,Raw_Data!$KC:$KC),"")</f>
        <v/>
      </c>
      <c r="Z159" s="176" t="str">
        <f>IFERROR(_xlfn.XLOOKUP($A159,Raw_Data!$B:$B,Raw_Data!$KD:$KD),"")</f>
        <v/>
      </c>
      <c r="AA159" s="176" t="str">
        <f>IFERROR(_xlfn.XLOOKUP($A159,Raw_Data!$B:$B,Raw_Data!$KF:$KF),"")</f>
        <v/>
      </c>
      <c r="AB159" s="176" t="str">
        <f>IFERROR(_xlfn.XLOOKUP($A159,Raw_Data!$B:$B,Raw_Data!I:I)/1000,"")</f>
        <v/>
      </c>
      <c r="AC159" s="185">
        <f>IFERROR(_xlfn.XLOOKUP($D159,'Modelling New'!$D:$D,'Modelling New'!$P:$P),"")</f>
        <v>5.4433333333333334</v>
      </c>
      <c r="AD159" s="176">
        <f>IFERROR(_xlfn.XLOOKUP($D159,'Modelling New'!$D:$D,'Modelling New'!$T:$T)*1000,"")</f>
        <v>280472.45446379349</v>
      </c>
      <c r="AE159" s="186">
        <f>IFERROR(_xlfn.XLOOKUP($D159,'Modelling New'!$D:$D,'Modelling New'!$O:$O),"")</f>
        <v>0.77186524247721466</v>
      </c>
      <c r="AF159" s="186">
        <f>IFERROR(_xlfn.XLOOKUP($D159,'Modelling New'!$D:$D,'Modelling New'!$W:$W),"")</f>
        <v>0.1750633251340683</v>
      </c>
      <c r="AG159" s="186">
        <f>IFERROR(_xlfn.XLOOKUP($D159,'Modelling New'!$D:$D,'Modelling New'!$AE:$AE),"")</f>
        <v>0.995</v>
      </c>
      <c r="AH159" s="186">
        <f>IFERROR(_xlfn.XLOOKUP($D159,'Modelling New'!$D:$D,'Modelling New'!$AF:$AF),"")</f>
        <v>0.995</v>
      </c>
      <c r="AI159" s="177"/>
      <c r="AJ159" s="177"/>
      <c r="AK159" s="238"/>
      <c r="AL159" s="238"/>
      <c r="AM159" s="238"/>
      <c r="AN159" s="187"/>
      <c r="AO159" s="184"/>
      <c r="AP159" s="184"/>
      <c r="AQ159" s="184"/>
      <c r="AR159" s="176">
        <f>IFERROR(_xlfn.XLOOKUP($D158,'Modelling New'!$D:$D,'Modelling New'!$N:$N),"")</f>
        <v>66.754999999999995</v>
      </c>
      <c r="AS159" s="176"/>
    </row>
    <row r="160" spans="1:45" x14ac:dyDescent="0.25">
      <c r="A160" s="175">
        <f t="shared" si="11"/>
        <v>45903</v>
      </c>
      <c r="B160" s="176">
        <f>YEAR(Table13[[#This Row],[Date]])+IF(MONTH(Table13[[#This Row],[Date]])&gt;=4,1,0)</f>
        <v>2026</v>
      </c>
      <c r="C160" s="177">
        <f>YEAR(Table13[[#This Row],[Date]])</f>
        <v>2025</v>
      </c>
      <c r="D160" s="178">
        <f>Table13[[#This Row],[Date]]-DAY(Table13[[#This Row],[Date]])+1</f>
        <v>45901</v>
      </c>
      <c r="E160" s="177">
        <f t="shared" si="12"/>
        <v>30</v>
      </c>
      <c r="F160" s="179" t="str">
        <f>IFERROR(_xlfn.XLOOKUP($A160,Raw_Data!$B:$B,Raw_Data!$KG:$KG),"")</f>
        <v/>
      </c>
      <c r="G160" s="180" t="str">
        <f>IFERROR(_xlfn.XLOOKUP($A160,Raw_Data!$B:$B,Raw_Data!KH:KH),"")</f>
        <v/>
      </c>
      <c r="H160" s="180"/>
      <c r="I160" s="180" t="str">
        <f>IFERROR(_xlfn.XLOOKUP($A160,Raw_Data!$B:$B,Raw_Data!$KI:$KI),"")</f>
        <v/>
      </c>
      <c r="J160" s="180"/>
      <c r="K160" s="180" t="str">
        <f>IFERROR(_xlfn.XLOOKUP($A160,Raw_Data!$B:$B,Raw_Data!KJ:KJ),"")</f>
        <v/>
      </c>
      <c r="L160" s="180" t="str">
        <f>IFERROR(_xlfn.XLOOKUP($A160,Raw_Data!$B:$B,Raw_Data!KK:KK),"")</f>
        <v/>
      </c>
      <c r="M160" s="180" t="str">
        <f>IFERROR(_xlfn.XLOOKUP($A160,Raw_Data!$B:$B,Raw_Data!KL:KL),"")</f>
        <v/>
      </c>
      <c r="N160" s="180" t="str">
        <f>IFERROR(_xlfn.XLOOKUP($A160,Raw_Data!$B:$B,Raw_Data!KM:KM),"")</f>
        <v/>
      </c>
      <c r="O160" s="181" t="str">
        <f>IFERROR(1-SUMIF(PA!$B:$B,$A160,PA!AJ:AJ)/($AA160+SUMIF(PA!$B:$B,$A160,PA!AJ:AJ)),"")</f>
        <v/>
      </c>
      <c r="P160" s="181"/>
      <c r="Q160" s="182"/>
      <c r="R160" s="181" t="str">
        <f>IFERROR(1-SUMIF(GA!$C:$C,$A160,GA!$X:$X)/($AA160+SUMIF(GA!$C:$C,$A160,GA!$X:$X)),"")</f>
        <v/>
      </c>
      <c r="S160" s="177"/>
      <c r="T160" s="182"/>
      <c r="U160" s="183" t="str">
        <f t="shared" si="13"/>
        <v/>
      </c>
      <c r="V160" s="183" t="str">
        <f>IFERROR(_xlfn.XLOOKUP($A160,Raw_Data!$B:$B,Raw_Data!$KQ:$KQ),"")</f>
        <v/>
      </c>
      <c r="W160" s="184" t="str">
        <f t="shared" si="14"/>
        <v/>
      </c>
      <c r="X160" s="176" t="str">
        <f>IFERROR(_xlfn.XLOOKUP($A160,Raw_Data!$B:$B,Raw_Data!$KN:$KN),"")</f>
        <v/>
      </c>
      <c r="Y160" s="176" t="str">
        <f>IFERROR(_xlfn.XLOOKUP($A160,Raw_Data!$B:$B,Raw_Data!$KC:$KC),"")</f>
        <v/>
      </c>
      <c r="Z160" s="176" t="str">
        <f>IFERROR(_xlfn.XLOOKUP($A160,Raw_Data!$B:$B,Raw_Data!$KD:$KD),"")</f>
        <v/>
      </c>
      <c r="AA160" s="176" t="str">
        <f>IFERROR(_xlfn.XLOOKUP($A160,Raw_Data!$B:$B,Raw_Data!$KF:$KF),"")</f>
        <v/>
      </c>
      <c r="AB160" s="176" t="str">
        <f>IFERROR(_xlfn.XLOOKUP($A160,Raw_Data!$B:$B,Raw_Data!I:I)/1000,"")</f>
        <v/>
      </c>
      <c r="AC160" s="185">
        <f>IFERROR(_xlfn.XLOOKUP($D160,'Modelling New'!$D:$D,'Modelling New'!$P:$P),"")</f>
        <v>5.4433333333333334</v>
      </c>
      <c r="AD160" s="176">
        <f>IFERROR(_xlfn.XLOOKUP($D160,'Modelling New'!$D:$D,'Modelling New'!$T:$T)*1000,"")</f>
        <v>280472.45446379349</v>
      </c>
      <c r="AE160" s="186">
        <f>IFERROR(_xlfn.XLOOKUP($D160,'Modelling New'!$D:$D,'Modelling New'!$O:$O),"")</f>
        <v>0.77186524247721466</v>
      </c>
      <c r="AF160" s="186">
        <f>IFERROR(_xlfn.XLOOKUP($D160,'Modelling New'!$D:$D,'Modelling New'!$W:$W),"")</f>
        <v>0.1750633251340683</v>
      </c>
      <c r="AG160" s="186">
        <f>IFERROR(_xlfn.XLOOKUP($D160,'Modelling New'!$D:$D,'Modelling New'!$AE:$AE),"")</f>
        <v>0.995</v>
      </c>
      <c r="AH160" s="186">
        <f>IFERROR(_xlfn.XLOOKUP($D160,'Modelling New'!$D:$D,'Modelling New'!$AF:$AF),"")</f>
        <v>0.995</v>
      </c>
      <c r="AI160" s="177"/>
      <c r="AJ160" s="177"/>
      <c r="AK160" s="238"/>
      <c r="AL160" s="238"/>
      <c r="AM160" s="238"/>
      <c r="AN160" s="187"/>
      <c r="AO160" s="184"/>
      <c r="AP160" s="184"/>
      <c r="AQ160" s="184"/>
      <c r="AR160" s="176">
        <f>IFERROR(_xlfn.XLOOKUP($D159,'Modelling New'!$D:$D,'Modelling New'!$N:$N),"")</f>
        <v>66.754999999999995</v>
      </c>
      <c r="AS160" s="176"/>
    </row>
    <row r="161" spans="1:45" x14ac:dyDescent="0.25">
      <c r="A161" s="175">
        <f t="shared" si="11"/>
        <v>45904</v>
      </c>
      <c r="B161" s="176">
        <f>YEAR(Table13[[#This Row],[Date]])+IF(MONTH(Table13[[#This Row],[Date]])&gt;=4,1,0)</f>
        <v>2026</v>
      </c>
      <c r="C161" s="177">
        <f>YEAR(Table13[[#This Row],[Date]])</f>
        <v>2025</v>
      </c>
      <c r="D161" s="178">
        <f>Table13[[#This Row],[Date]]-DAY(Table13[[#This Row],[Date]])+1</f>
        <v>45901</v>
      </c>
      <c r="E161" s="177">
        <f t="shared" si="12"/>
        <v>30</v>
      </c>
      <c r="F161" s="179" t="str">
        <f>IFERROR(_xlfn.XLOOKUP($A161,Raw_Data!$B:$B,Raw_Data!$KG:$KG),"")</f>
        <v/>
      </c>
      <c r="G161" s="180" t="str">
        <f>IFERROR(_xlfn.XLOOKUP($A161,Raw_Data!$B:$B,Raw_Data!KH:KH),"")</f>
        <v/>
      </c>
      <c r="H161" s="180"/>
      <c r="I161" s="180" t="str">
        <f>IFERROR(_xlfn.XLOOKUP($A161,Raw_Data!$B:$B,Raw_Data!$KI:$KI),"")</f>
        <v/>
      </c>
      <c r="J161" s="180"/>
      <c r="K161" s="180" t="str">
        <f>IFERROR(_xlfn.XLOOKUP($A161,Raw_Data!$B:$B,Raw_Data!KJ:KJ),"")</f>
        <v/>
      </c>
      <c r="L161" s="180" t="str">
        <f>IFERROR(_xlfn.XLOOKUP($A161,Raw_Data!$B:$B,Raw_Data!KK:KK),"")</f>
        <v/>
      </c>
      <c r="M161" s="180" t="str">
        <f>IFERROR(_xlfn.XLOOKUP($A161,Raw_Data!$B:$B,Raw_Data!KL:KL),"")</f>
        <v/>
      </c>
      <c r="N161" s="180" t="str">
        <f>IFERROR(_xlfn.XLOOKUP($A161,Raw_Data!$B:$B,Raw_Data!KM:KM),"")</f>
        <v/>
      </c>
      <c r="O161" s="181" t="str">
        <f>IFERROR(1-SUMIF(PA!$B:$B,$A161,PA!AJ:AJ)/($AA161+SUMIF(PA!$B:$B,$A161,PA!AJ:AJ)),"")</f>
        <v/>
      </c>
      <c r="P161" s="181"/>
      <c r="Q161" s="182"/>
      <c r="R161" s="181" t="str">
        <f>IFERROR(1-SUMIF(GA!$C:$C,$A161,GA!$X:$X)/($AA161+SUMIF(GA!$C:$C,$A161,GA!$X:$X)),"")</f>
        <v/>
      </c>
      <c r="S161" s="177"/>
      <c r="T161" s="182"/>
      <c r="U161" s="183" t="str">
        <f t="shared" si="13"/>
        <v/>
      </c>
      <c r="V161" s="183" t="str">
        <f>IFERROR(_xlfn.XLOOKUP($A161,Raw_Data!$B:$B,Raw_Data!$KQ:$KQ),"")</f>
        <v/>
      </c>
      <c r="W161" s="184" t="str">
        <f t="shared" si="14"/>
        <v/>
      </c>
      <c r="X161" s="176" t="str">
        <f>IFERROR(_xlfn.XLOOKUP($A161,Raw_Data!$B:$B,Raw_Data!$KN:$KN),"")</f>
        <v/>
      </c>
      <c r="Y161" s="176" t="str">
        <f>IFERROR(_xlfn.XLOOKUP($A161,Raw_Data!$B:$B,Raw_Data!$KC:$KC),"")</f>
        <v/>
      </c>
      <c r="Z161" s="176" t="str">
        <f>IFERROR(_xlfn.XLOOKUP($A161,Raw_Data!$B:$B,Raw_Data!$KD:$KD),"")</f>
        <v/>
      </c>
      <c r="AA161" s="176" t="str">
        <f>IFERROR(_xlfn.XLOOKUP($A161,Raw_Data!$B:$B,Raw_Data!$KF:$KF),"")</f>
        <v/>
      </c>
      <c r="AB161" s="176" t="str">
        <f>IFERROR(_xlfn.XLOOKUP($A161,Raw_Data!$B:$B,Raw_Data!I:I)/1000,"")</f>
        <v/>
      </c>
      <c r="AC161" s="185">
        <f>IFERROR(_xlfn.XLOOKUP($D161,'Modelling New'!$D:$D,'Modelling New'!$P:$P),"")</f>
        <v>5.4433333333333334</v>
      </c>
      <c r="AD161" s="176">
        <f>IFERROR(_xlfn.XLOOKUP($D161,'Modelling New'!$D:$D,'Modelling New'!$T:$T)*1000,"")</f>
        <v>280472.45446379349</v>
      </c>
      <c r="AE161" s="186">
        <f>IFERROR(_xlfn.XLOOKUP($D161,'Modelling New'!$D:$D,'Modelling New'!$O:$O),"")</f>
        <v>0.77186524247721466</v>
      </c>
      <c r="AF161" s="186">
        <f>IFERROR(_xlfn.XLOOKUP($D161,'Modelling New'!$D:$D,'Modelling New'!$W:$W),"")</f>
        <v>0.1750633251340683</v>
      </c>
      <c r="AG161" s="186">
        <f>IFERROR(_xlfn.XLOOKUP($D161,'Modelling New'!$D:$D,'Modelling New'!$AE:$AE),"")</f>
        <v>0.995</v>
      </c>
      <c r="AH161" s="186">
        <f>IFERROR(_xlfn.XLOOKUP($D161,'Modelling New'!$D:$D,'Modelling New'!$AF:$AF),"")</f>
        <v>0.995</v>
      </c>
      <c r="AI161" s="177"/>
      <c r="AJ161" s="177"/>
      <c r="AK161" s="238"/>
      <c r="AL161" s="238"/>
      <c r="AM161" s="238"/>
      <c r="AN161" s="187"/>
      <c r="AO161" s="184"/>
      <c r="AP161" s="184"/>
      <c r="AQ161" s="184"/>
      <c r="AR161" s="176">
        <f>IFERROR(_xlfn.XLOOKUP($D160,'Modelling New'!$D:$D,'Modelling New'!$N:$N),"")</f>
        <v>66.754999999999995</v>
      </c>
      <c r="AS161" s="176"/>
    </row>
    <row r="162" spans="1:45" x14ac:dyDescent="0.25">
      <c r="A162" s="175">
        <f t="shared" si="11"/>
        <v>45905</v>
      </c>
      <c r="B162" s="176">
        <f>YEAR(Table13[[#This Row],[Date]])+IF(MONTH(Table13[[#This Row],[Date]])&gt;=4,1,0)</f>
        <v>2026</v>
      </c>
      <c r="C162" s="177">
        <f>YEAR(Table13[[#This Row],[Date]])</f>
        <v>2025</v>
      </c>
      <c r="D162" s="178">
        <f>Table13[[#This Row],[Date]]-DAY(Table13[[#This Row],[Date]])+1</f>
        <v>45901</v>
      </c>
      <c r="E162" s="177">
        <f t="shared" si="12"/>
        <v>30</v>
      </c>
      <c r="F162" s="179" t="str">
        <f>IFERROR(_xlfn.XLOOKUP($A162,Raw_Data!$B:$B,Raw_Data!$KG:$KG),"")</f>
        <v/>
      </c>
      <c r="G162" s="180" t="str">
        <f>IFERROR(_xlfn.XLOOKUP($A162,Raw_Data!$B:$B,Raw_Data!KH:KH),"")</f>
        <v/>
      </c>
      <c r="H162" s="180"/>
      <c r="I162" s="180" t="str">
        <f>IFERROR(_xlfn.XLOOKUP($A162,Raw_Data!$B:$B,Raw_Data!$KI:$KI),"")</f>
        <v/>
      </c>
      <c r="J162" s="180"/>
      <c r="K162" s="180" t="str">
        <f>IFERROR(_xlfn.XLOOKUP($A162,Raw_Data!$B:$B,Raw_Data!KJ:KJ),"")</f>
        <v/>
      </c>
      <c r="L162" s="180" t="str">
        <f>IFERROR(_xlfn.XLOOKUP($A162,Raw_Data!$B:$B,Raw_Data!KK:KK),"")</f>
        <v/>
      </c>
      <c r="M162" s="180" t="str">
        <f>IFERROR(_xlfn.XLOOKUP($A162,Raw_Data!$B:$B,Raw_Data!KL:KL),"")</f>
        <v/>
      </c>
      <c r="N162" s="180" t="str">
        <f>IFERROR(_xlfn.XLOOKUP($A162,Raw_Data!$B:$B,Raw_Data!KM:KM),"")</f>
        <v/>
      </c>
      <c r="O162" s="181" t="str">
        <f>IFERROR(1-SUMIF(PA!$B:$B,$A162,PA!AJ:AJ)/($AA162+SUMIF(PA!$B:$B,$A162,PA!AJ:AJ)),"")</f>
        <v/>
      </c>
      <c r="P162" s="181"/>
      <c r="Q162" s="182"/>
      <c r="R162" s="181" t="str">
        <f>IFERROR(1-SUMIF(GA!$C:$C,$A162,GA!$X:$X)/($AA162+SUMIF(GA!$C:$C,$A162,GA!$X:$X)),"")</f>
        <v/>
      </c>
      <c r="S162" s="177"/>
      <c r="T162" s="182"/>
      <c r="U162" s="183" t="str">
        <f t="shared" si="13"/>
        <v/>
      </c>
      <c r="V162" s="183" t="str">
        <f>IFERROR(_xlfn.XLOOKUP($A162,Raw_Data!$B:$B,Raw_Data!$KQ:$KQ),"")</f>
        <v/>
      </c>
      <c r="W162" s="184" t="str">
        <f t="shared" si="14"/>
        <v/>
      </c>
      <c r="X162" s="176" t="str">
        <f>IFERROR(_xlfn.XLOOKUP($A162,Raw_Data!$B:$B,Raw_Data!$KN:$KN),"")</f>
        <v/>
      </c>
      <c r="Y162" s="176" t="str">
        <f>IFERROR(_xlfn.XLOOKUP($A162,Raw_Data!$B:$B,Raw_Data!$KC:$KC),"")</f>
        <v/>
      </c>
      <c r="Z162" s="176" t="str">
        <f>IFERROR(_xlfn.XLOOKUP($A162,Raw_Data!$B:$B,Raw_Data!$KD:$KD),"")</f>
        <v/>
      </c>
      <c r="AA162" s="176" t="str">
        <f>IFERROR(_xlfn.XLOOKUP($A162,Raw_Data!$B:$B,Raw_Data!$KF:$KF),"")</f>
        <v/>
      </c>
      <c r="AB162" s="176" t="str">
        <f>IFERROR(_xlfn.XLOOKUP($A162,Raw_Data!$B:$B,Raw_Data!I:I)/1000,"")</f>
        <v/>
      </c>
      <c r="AC162" s="185">
        <f>IFERROR(_xlfn.XLOOKUP($D162,'Modelling New'!$D:$D,'Modelling New'!$P:$P),"")</f>
        <v>5.4433333333333334</v>
      </c>
      <c r="AD162" s="176">
        <f>IFERROR(_xlfn.XLOOKUP($D162,'Modelling New'!$D:$D,'Modelling New'!$T:$T)*1000,"")</f>
        <v>280472.45446379349</v>
      </c>
      <c r="AE162" s="186">
        <f>IFERROR(_xlfn.XLOOKUP($D162,'Modelling New'!$D:$D,'Modelling New'!$O:$O),"")</f>
        <v>0.77186524247721466</v>
      </c>
      <c r="AF162" s="186">
        <f>IFERROR(_xlfn.XLOOKUP($D162,'Modelling New'!$D:$D,'Modelling New'!$W:$W),"")</f>
        <v>0.1750633251340683</v>
      </c>
      <c r="AG162" s="186">
        <f>IFERROR(_xlfn.XLOOKUP($D162,'Modelling New'!$D:$D,'Modelling New'!$AE:$AE),"")</f>
        <v>0.995</v>
      </c>
      <c r="AH162" s="186">
        <f>IFERROR(_xlfn.XLOOKUP($D162,'Modelling New'!$D:$D,'Modelling New'!$AF:$AF),"")</f>
        <v>0.995</v>
      </c>
      <c r="AI162" s="177"/>
      <c r="AJ162" s="177"/>
      <c r="AK162" s="238"/>
      <c r="AL162" s="238"/>
      <c r="AM162" s="238"/>
      <c r="AN162" s="187"/>
      <c r="AO162" s="184"/>
      <c r="AP162" s="184"/>
      <c r="AQ162" s="184"/>
      <c r="AR162" s="176">
        <f>IFERROR(_xlfn.XLOOKUP($D161,'Modelling New'!$D:$D,'Modelling New'!$N:$N),"")</f>
        <v>66.754999999999995</v>
      </c>
      <c r="AS162" s="176"/>
    </row>
    <row r="163" spans="1:45" x14ac:dyDescent="0.25">
      <c r="A163" s="175">
        <f t="shared" si="11"/>
        <v>45906</v>
      </c>
      <c r="B163" s="176">
        <f>YEAR(Table13[[#This Row],[Date]])+IF(MONTH(Table13[[#This Row],[Date]])&gt;=4,1,0)</f>
        <v>2026</v>
      </c>
      <c r="C163" s="177">
        <f>YEAR(Table13[[#This Row],[Date]])</f>
        <v>2025</v>
      </c>
      <c r="D163" s="178">
        <f>Table13[[#This Row],[Date]]-DAY(Table13[[#This Row],[Date]])+1</f>
        <v>45901</v>
      </c>
      <c r="E163" s="177">
        <f t="shared" si="12"/>
        <v>30</v>
      </c>
      <c r="F163" s="179" t="str">
        <f>IFERROR(_xlfn.XLOOKUP($A163,Raw_Data!$B:$B,Raw_Data!$KG:$KG),"")</f>
        <v/>
      </c>
      <c r="G163" s="180" t="str">
        <f>IFERROR(_xlfn.XLOOKUP($A163,Raw_Data!$B:$B,Raw_Data!KH:KH),"")</f>
        <v/>
      </c>
      <c r="H163" s="180"/>
      <c r="I163" s="180" t="str">
        <f>IFERROR(_xlfn.XLOOKUP($A163,Raw_Data!$B:$B,Raw_Data!$KI:$KI),"")</f>
        <v/>
      </c>
      <c r="J163" s="180"/>
      <c r="K163" s="180" t="str">
        <f>IFERROR(_xlfn.XLOOKUP($A163,Raw_Data!$B:$B,Raw_Data!KJ:KJ),"")</f>
        <v/>
      </c>
      <c r="L163" s="180" t="str">
        <f>IFERROR(_xlfn.XLOOKUP($A163,Raw_Data!$B:$B,Raw_Data!KK:KK),"")</f>
        <v/>
      </c>
      <c r="M163" s="180" t="str">
        <f>IFERROR(_xlfn.XLOOKUP($A163,Raw_Data!$B:$B,Raw_Data!KL:KL),"")</f>
        <v/>
      </c>
      <c r="N163" s="180" t="str">
        <f>IFERROR(_xlfn.XLOOKUP($A163,Raw_Data!$B:$B,Raw_Data!KM:KM),"")</f>
        <v/>
      </c>
      <c r="O163" s="181" t="str">
        <f>IFERROR(1-SUMIF(PA!$B:$B,$A163,PA!AJ:AJ)/($AA163+SUMIF(PA!$B:$B,$A163,PA!AJ:AJ)),"")</f>
        <v/>
      </c>
      <c r="P163" s="181"/>
      <c r="Q163" s="182"/>
      <c r="R163" s="181" t="str">
        <f>IFERROR(1-SUMIF(GA!$C:$C,$A163,GA!$X:$X)/($AA163+SUMIF(GA!$C:$C,$A163,GA!$X:$X)),"")</f>
        <v/>
      </c>
      <c r="S163" s="177"/>
      <c r="T163" s="182"/>
      <c r="U163" s="183" t="str">
        <f t="shared" si="13"/>
        <v/>
      </c>
      <c r="V163" s="183" t="str">
        <f>IFERROR(_xlfn.XLOOKUP($A163,Raw_Data!$B:$B,Raw_Data!$KQ:$KQ),"")</f>
        <v/>
      </c>
      <c r="W163" s="184" t="str">
        <f t="shared" si="14"/>
        <v/>
      </c>
      <c r="X163" s="176" t="str">
        <f>IFERROR(_xlfn.XLOOKUP($A163,Raw_Data!$B:$B,Raw_Data!$KN:$KN),"")</f>
        <v/>
      </c>
      <c r="Y163" s="176" t="str">
        <f>IFERROR(_xlfn.XLOOKUP($A163,Raw_Data!$B:$B,Raw_Data!$KC:$KC),"")</f>
        <v/>
      </c>
      <c r="Z163" s="176" t="str">
        <f>IFERROR(_xlfn.XLOOKUP($A163,Raw_Data!$B:$B,Raw_Data!$KD:$KD),"")</f>
        <v/>
      </c>
      <c r="AA163" s="176" t="str">
        <f>IFERROR(_xlfn.XLOOKUP($A163,Raw_Data!$B:$B,Raw_Data!$KF:$KF),"")</f>
        <v/>
      </c>
      <c r="AB163" s="176" t="str">
        <f>IFERROR(_xlfn.XLOOKUP($A163,Raw_Data!$B:$B,Raw_Data!I:I)/1000,"")</f>
        <v/>
      </c>
      <c r="AC163" s="185">
        <f>IFERROR(_xlfn.XLOOKUP($D163,'Modelling New'!$D:$D,'Modelling New'!$P:$P),"")</f>
        <v>5.4433333333333334</v>
      </c>
      <c r="AD163" s="176">
        <f>IFERROR(_xlfn.XLOOKUP($D163,'Modelling New'!$D:$D,'Modelling New'!$T:$T)*1000,"")</f>
        <v>280472.45446379349</v>
      </c>
      <c r="AE163" s="186">
        <f>IFERROR(_xlfn.XLOOKUP($D163,'Modelling New'!$D:$D,'Modelling New'!$O:$O),"")</f>
        <v>0.77186524247721466</v>
      </c>
      <c r="AF163" s="186">
        <f>IFERROR(_xlfn.XLOOKUP($D163,'Modelling New'!$D:$D,'Modelling New'!$W:$W),"")</f>
        <v>0.1750633251340683</v>
      </c>
      <c r="AG163" s="186">
        <f>IFERROR(_xlfn.XLOOKUP($D163,'Modelling New'!$D:$D,'Modelling New'!$AE:$AE),"")</f>
        <v>0.995</v>
      </c>
      <c r="AH163" s="186">
        <f>IFERROR(_xlfn.XLOOKUP($D163,'Modelling New'!$D:$D,'Modelling New'!$AF:$AF),"")</f>
        <v>0.995</v>
      </c>
      <c r="AI163" s="177"/>
      <c r="AJ163" s="177"/>
      <c r="AK163" s="238"/>
      <c r="AL163" s="238"/>
      <c r="AM163" s="238"/>
      <c r="AN163" s="187"/>
      <c r="AO163" s="184"/>
      <c r="AP163" s="184"/>
      <c r="AQ163" s="184"/>
      <c r="AR163" s="176">
        <f>IFERROR(_xlfn.XLOOKUP($D162,'Modelling New'!$D:$D,'Modelling New'!$N:$N),"")</f>
        <v>66.754999999999995</v>
      </c>
      <c r="AS163" s="176"/>
    </row>
    <row r="164" spans="1:45" x14ac:dyDescent="0.25">
      <c r="A164" s="175">
        <f t="shared" si="11"/>
        <v>45907</v>
      </c>
      <c r="B164" s="176">
        <f>YEAR(Table13[[#This Row],[Date]])+IF(MONTH(Table13[[#This Row],[Date]])&gt;=4,1,0)</f>
        <v>2026</v>
      </c>
      <c r="C164" s="177">
        <f>YEAR(Table13[[#This Row],[Date]])</f>
        <v>2025</v>
      </c>
      <c r="D164" s="178">
        <f>Table13[[#This Row],[Date]]-DAY(Table13[[#This Row],[Date]])+1</f>
        <v>45901</v>
      </c>
      <c r="E164" s="177">
        <f t="shared" si="12"/>
        <v>30</v>
      </c>
      <c r="F164" s="179" t="str">
        <f>IFERROR(_xlfn.XLOOKUP($A164,Raw_Data!$B:$B,Raw_Data!$KG:$KG),"")</f>
        <v/>
      </c>
      <c r="G164" s="180" t="str">
        <f>IFERROR(_xlfn.XLOOKUP($A164,Raw_Data!$B:$B,Raw_Data!KH:KH),"")</f>
        <v/>
      </c>
      <c r="H164" s="180"/>
      <c r="I164" s="180" t="str">
        <f>IFERROR(_xlfn.XLOOKUP($A164,Raw_Data!$B:$B,Raw_Data!$KI:$KI),"")</f>
        <v/>
      </c>
      <c r="J164" s="180"/>
      <c r="K164" s="180" t="str">
        <f>IFERROR(_xlfn.XLOOKUP($A164,Raw_Data!$B:$B,Raw_Data!KJ:KJ),"")</f>
        <v/>
      </c>
      <c r="L164" s="180" t="str">
        <f>IFERROR(_xlfn.XLOOKUP($A164,Raw_Data!$B:$B,Raw_Data!KK:KK),"")</f>
        <v/>
      </c>
      <c r="M164" s="180" t="str">
        <f>IFERROR(_xlfn.XLOOKUP($A164,Raw_Data!$B:$B,Raw_Data!KL:KL),"")</f>
        <v/>
      </c>
      <c r="N164" s="180" t="str">
        <f>IFERROR(_xlfn.XLOOKUP($A164,Raw_Data!$B:$B,Raw_Data!KM:KM),"")</f>
        <v/>
      </c>
      <c r="O164" s="181" t="str">
        <f>IFERROR(1-SUMIF(PA!$B:$B,$A164,PA!AJ:AJ)/($AA164+SUMIF(PA!$B:$B,$A164,PA!AJ:AJ)),"")</f>
        <v/>
      </c>
      <c r="P164" s="181"/>
      <c r="Q164" s="182"/>
      <c r="R164" s="181" t="str">
        <f>IFERROR(1-SUMIF(GA!$C:$C,$A164,GA!$X:$X)/($AA164+SUMIF(GA!$C:$C,$A164,GA!$X:$X)),"")</f>
        <v/>
      </c>
      <c r="S164" s="177"/>
      <c r="T164" s="182"/>
      <c r="U164" s="183" t="str">
        <f t="shared" si="13"/>
        <v/>
      </c>
      <c r="V164" s="183" t="str">
        <f>IFERROR(_xlfn.XLOOKUP($A164,Raw_Data!$B:$B,Raw_Data!$KQ:$KQ),"")</f>
        <v/>
      </c>
      <c r="W164" s="184" t="str">
        <f t="shared" si="14"/>
        <v/>
      </c>
      <c r="X164" s="176" t="str">
        <f>IFERROR(_xlfn.XLOOKUP($A164,Raw_Data!$B:$B,Raw_Data!$KN:$KN),"")</f>
        <v/>
      </c>
      <c r="Y164" s="176" t="str">
        <f>IFERROR(_xlfn.XLOOKUP($A164,Raw_Data!$B:$B,Raw_Data!$KC:$KC),"")</f>
        <v/>
      </c>
      <c r="Z164" s="176" t="str">
        <f>IFERROR(_xlfn.XLOOKUP($A164,Raw_Data!$B:$B,Raw_Data!$KD:$KD),"")</f>
        <v/>
      </c>
      <c r="AA164" s="176" t="str">
        <f>IFERROR(_xlfn.XLOOKUP($A164,Raw_Data!$B:$B,Raw_Data!$KF:$KF),"")</f>
        <v/>
      </c>
      <c r="AB164" s="176" t="str">
        <f>IFERROR(_xlfn.XLOOKUP($A164,Raw_Data!$B:$B,Raw_Data!I:I)/1000,"")</f>
        <v/>
      </c>
      <c r="AC164" s="185">
        <f>IFERROR(_xlfn.XLOOKUP($D164,'Modelling New'!$D:$D,'Modelling New'!$P:$P),"")</f>
        <v>5.4433333333333334</v>
      </c>
      <c r="AD164" s="176">
        <f>IFERROR(_xlfn.XLOOKUP($D164,'Modelling New'!$D:$D,'Modelling New'!$T:$T)*1000,"")</f>
        <v>280472.45446379349</v>
      </c>
      <c r="AE164" s="186">
        <f>IFERROR(_xlfn.XLOOKUP($D164,'Modelling New'!$D:$D,'Modelling New'!$O:$O),"")</f>
        <v>0.77186524247721466</v>
      </c>
      <c r="AF164" s="186">
        <f>IFERROR(_xlfn.XLOOKUP($D164,'Modelling New'!$D:$D,'Modelling New'!$W:$W),"")</f>
        <v>0.1750633251340683</v>
      </c>
      <c r="AG164" s="186">
        <f>IFERROR(_xlfn.XLOOKUP($D164,'Modelling New'!$D:$D,'Modelling New'!$AE:$AE),"")</f>
        <v>0.995</v>
      </c>
      <c r="AH164" s="186">
        <f>IFERROR(_xlfn.XLOOKUP($D164,'Modelling New'!$D:$D,'Modelling New'!$AF:$AF),"")</f>
        <v>0.995</v>
      </c>
      <c r="AI164" s="177"/>
      <c r="AJ164" s="177"/>
      <c r="AK164" s="238"/>
      <c r="AL164" s="238"/>
      <c r="AM164" s="238"/>
      <c r="AN164" s="187"/>
      <c r="AO164" s="184"/>
      <c r="AP164" s="184"/>
      <c r="AQ164" s="184"/>
      <c r="AR164" s="176">
        <f>IFERROR(_xlfn.XLOOKUP($D163,'Modelling New'!$D:$D,'Modelling New'!$N:$N),"")</f>
        <v>66.754999999999995</v>
      </c>
      <c r="AS164" s="176"/>
    </row>
    <row r="165" spans="1:45" x14ac:dyDescent="0.25">
      <c r="A165" s="175">
        <f t="shared" si="11"/>
        <v>45908</v>
      </c>
      <c r="B165" s="176">
        <f>YEAR(Table13[[#This Row],[Date]])+IF(MONTH(Table13[[#This Row],[Date]])&gt;=4,1,0)</f>
        <v>2026</v>
      </c>
      <c r="C165" s="177">
        <f>YEAR(Table13[[#This Row],[Date]])</f>
        <v>2025</v>
      </c>
      <c r="D165" s="178">
        <f>Table13[[#This Row],[Date]]-DAY(Table13[[#This Row],[Date]])+1</f>
        <v>45901</v>
      </c>
      <c r="E165" s="177">
        <f t="shared" si="12"/>
        <v>30</v>
      </c>
      <c r="F165" s="179" t="str">
        <f>IFERROR(_xlfn.XLOOKUP($A165,Raw_Data!$B:$B,Raw_Data!$KG:$KG),"")</f>
        <v/>
      </c>
      <c r="G165" s="180" t="str">
        <f>IFERROR(_xlfn.XLOOKUP($A165,Raw_Data!$B:$B,Raw_Data!KH:KH),"")</f>
        <v/>
      </c>
      <c r="H165" s="180"/>
      <c r="I165" s="180" t="str">
        <f>IFERROR(_xlfn.XLOOKUP($A165,Raw_Data!$B:$B,Raw_Data!$KI:$KI),"")</f>
        <v/>
      </c>
      <c r="J165" s="180"/>
      <c r="K165" s="180" t="str">
        <f>IFERROR(_xlfn.XLOOKUP($A165,Raw_Data!$B:$B,Raw_Data!KJ:KJ),"")</f>
        <v/>
      </c>
      <c r="L165" s="180" t="str">
        <f>IFERROR(_xlfn.XLOOKUP($A165,Raw_Data!$B:$B,Raw_Data!KK:KK),"")</f>
        <v/>
      </c>
      <c r="M165" s="180" t="str">
        <f>IFERROR(_xlfn.XLOOKUP($A165,Raw_Data!$B:$B,Raw_Data!KL:KL),"")</f>
        <v/>
      </c>
      <c r="N165" s="180" t="str">
        <f>IFERROR(_xlfn.XLOOKUP($A165,Raw_Data!$B:$B,Raw_Data!KM:KM),"")</f>
        <v/>
      </c>
      <c r="O165" s="181" t="str">
        <f>IFERROR(1-SUMIF(PA!$B:$B,$A165,PA!AJ:AJ)/($AA165+SUMIF(PA!$B:$B,$A165,PA!AJ:AJ)),"")</f>
        <v/>
      </c>
      <c r="P165" s="181"/>
      <c r="Q165" s="182"/>
      <c r="R165" s="181" t="str">
        <f>IFERROR(1-SUMIF(GA!$C:$C,$A165,GA!$X:$X)/($AA165+SUMIF(GA!$C:$C,$A165,GA!$X:$X)),"")</f>
        <v/>
      </c>
      <c r="S165" s="177"/>
      <c r="T165" s="182"/>
      <c r="U165" s="183" t="str">
        <f t="shared" si="13"/>
        <v/>
      </c>
      <c r="V165" s="183" t="str">
        <f>IFERROR(_xlfn.XLOOKUP($A165,Raw_Data!$B:$B,Raw_Data!$KQ:$KQ),"")</f>
        <v/>
      </c>
      <c r="W165" s="184" t="str">
        <f t="shared" si="14"/>
        <v/>
      </c>
      <c r="X165" s="176" t="str">
        <f>IFERROR(_xlfn.XLOOKUP($A165,Raw_Data!$B:$B,Raw_Data!$KN:$KN),"")</f>
        <v/>
      </c>
      <c r="Y165" s="176" t="str">
        <f>IFERROR(_xlfn.XLOOKUP($A165,Raw_Data!$B:$B,Raw_Data!$KC:$KC),"")</f>
        <v/>
      </c>
      <c r="Z165" s="176" t="str">
        <f>IFERROR(_xlfn.XLOOKUP($A165,Raw_Data!$B:$B,Raw_Data!$KD:$KD),"")</f>
        <v/>
      </c>
      <c r="AA165" s="176" t="str">
        <f>IFERROR(_xlfn.XLOOKUP($A165,Raw_Data!$B:$B,Raw_Data!$KF:$KF),"")</f>
        <v/>
      </c>
      <c r="AB165" s="176" t="str">
        <f>IFERROR(_xlfn.XLOOKUP($A165,Raw_Data!$B:$B,Raw_Data!I:I)/1000,"")</f>
        <v/>
      </c>
      <c r="AC165" s="185">
        <f>IFERROR(_xlfn.XLOOKUP($D165,'Modelling New'!$D:$D,'Modelling New'!$P:$P),"")</f>
        <v>5.4433333333333334</v>
      </c>
      <c r="AD165" s="176">
        <f>IFERROR(_xlfn.XLOOKUP($D165,'Modelling New'!$D:$D,'Modelling New'!$T:$T)*1000,"")</f>
        <v>280472.45446379349</v>
      </c>
      <c r="AE165" s="186">
        <f>IFERROR(_xlfn.XLOOKUP($D165,'Modelling New'!$D:$D,'Modelling New'!$O:$O),"")</f>
        <v>0.77186524247721466</v>
      </c>
      <c r="AF165" s="186">
        <f>IFERROR(_xlfn.XLOOKUP($D165,'Modelling New'!$D:$D,'Modelling New'!$W:$W),"")</f>
        <v>0.1750633251340683</v>
      </c>
      <c r="AG165" s="186">
        <f>IFERROR(_xlfn.XLOOKUP($D165,'Modelling New'!$D:$D,'Modelling New'!$AE:$AE),"")</f>
        <v>0.995</v>
      </c>
      <c r="AH165" s="186">
        <f>IFERROR(_xlfn.XLOOKUP($D165,'Modelling New'!$D:$D,'Modelling New'!$AF:$AF),"")</f>
        <v>0.995</v>
      </c>
      <c r="AI165" s="177"/>
      <c r="AJ165" s="177"/>
      <c r="AK165" s="238"/>
      <c r="AL165" s="238"/>
      <c r="AM165" s="238"/>
      <c r="AN165" s="187"/>
      <c r="AO165" s="184"/>
      <c r="AP165" s="184"/>
      <c r="AQ165" s="184"/>
      <c r="AR165" s="176">
        <f>IFERROR(_xlfn.XLOOKUP($D164,'Modelling New'!$D:$D,'Modelling New'!$N:$N),"")</f>
        <v>66.754999999999995</v>
      </c>
      <c r="AS165" s="176"/>
    </row>
    <row r="166" spans="1:45" x14ac:dyDescent="0.25">
      <c r="A166" s="175">
        <f t="shared" si="11"/>
        <v>45909</v>
      </c>
      <c r="B166" s="176">
        <f>YEAR(Table13[[#This Row],[Date]])+IF(MONTH(Table13[[#This Row],[Date]])&gt;=4,1,0)</f>
        <v>2026</v>
      </c>
      <c r="C166" s="177">
        <f>YEAR(Table13[[#This Row],[Date]])</f>
        <v>2025</v>
      </c>
      <c r="D166" s="178">
        <f>Table13[[#This Row],[Date]]-DAY(Table13[[#This Row],[Date]])+1</f>
        <v>45901</v>
      </c>
      <c r="E166" s="177">
        <f t="shared" si="12"/>
        <v>30</v>
      </c>
      <c r="F166" s="179" t="str">
        <f>IFERROR(_xlfn.XLOOKUP($A166,Raw_Data!$B:$B,Raw_Data!$KG:$KG),"")</f>
        <v/>
      </c>
      <c r="G166" s="180" t="str">
        <f>IFERROR(_xlfn.XLOOKUP($A166,Raw_Data!$B:$B,Raw_Data!KH:KH),"")</f>
        <v/>
      </c>
      <c r="H166" s="180"/>
      <c r="I166" s="180" t="str">
        <f>IFERROR(_xlfn.XLOOKUP($A166,Raw_Data!$B:$B,Raw_Data!$KI:$KI),"")</f>
        <v/>
      </c>
      <c r="J166" s="180"/>
      <c r="K166" s="180" t="str">
        <f>IFERROR(_xlfn.XLOOKUP($A166,Raw_Data!$B:$B,Raw_Data!KJ:KJ),"")</f>
        <v/>
      </c>
      <c r="L166" s="180" t="str">
        <f>IFERROR(_xlfn.XLOOKUP($A166,Raw_Data!$B:$B,Raw_Data!KK:KK),"")</f>
        <v/>
      </c>
      <c r="M166" s="180" t="str">
        <f>IFERROR(_xlfn.XLOOKUP($A166,Raw_Data!$B:$B,Raw_Data!KL:KL),"")</f>
        <v/>
      </c>
      <c r="N166" s="180" t="str">
        <f>IFERROR(_xlfn.XLOOKUP($A166,Raw_Data!$B:$B,Raw_Data!KM:KM),"")</f>
        <v/>
      </c>
      <c r="O166" s="181" t="str">
        <f>IFERROR(1-SUMIF(PA!$B:$B,$A166,PA!AJ:AJ)/($AA166+SUMIF(PA!$B:$B,$A166,PA!AJ:AJ)),"")</f>
        <v/>
      </c>
      <c r="P166" s="181"/>
      <c r="Q166" s="182"/>
      <c r="R166" s="181" t="str">
        <f>IFERROR(1-SUMIF(GA!$C:$C,$A166,GA!$X:$X)/($AA166+SUMIF(GA!$C:$C,$A166,GA!$X:$X)),"")</f>
        <v/>
      </c>
      <c r="S166" s="177"/>
      <c r="T166" s="182"/>
      <c r="U166" s="183" t="str">
        <f t="shared" si="13"/>
        <v/>
      </c>
      <c r="V166" s="183" t="str">
        <f>IFERROR(_xlfn.XLOOKUP($A166,Raw_Data!$B:$B,Raw_Data!$KQ:$KQ),"")</f>
        <v/>
      </c>
      <c r="W166" s="184" t="str">
        <f t="shared" si="14"/>
        <v/>
      </c>
      <c r="X166" s="176" t="str">
        <f>IFERROR(_xlfn.XLOOKUP($A166,Raw_Data!$B:$B,Raw_Data!$KN:$KN),"")</f>
        <v/>
      </c>
      <c r="Y166" s="176" t="str">
        <f>IFERROR(_xlfn.XLOOKUP($A166,Raw_Data!$B:$B,Raw_Data!$KC:$KC),"")</f>
        <v/>
      </c>
      <c r="Z166" s="176" t="str">
        <f>IFERROR(_xlfn.XLOOKUP($A166,Raw_Data!$B:$B,Raw_Data!$KD:$KD),"")</f>
        <v/>
      </c>
      <c r="AA166" s="176" t="str">
        <f>IFERROR(_xlfn.XLOOKUP($A166,Raw_Data!$B:$B,Raw_Data!$KF:$KF),"")</f>
        <v/>
      </c>
      <c r="AB166" s="176" t="str">
        <f>IFERROR(_xlfn.XLOOKUP($A166,Raw_Data!$B:$B,Raw_Data!I:I)/1000,"")</f>
        <v/>
      </c>
      <c r="AC166" s="185">
        <f>IFERROR(_xlfn.XLOOKUP($D166,'Modelling New'!$D:$D,'Modelling New'!$P:$P),"")</f>
        <v>5.4433333333333334</v>
      </c>
      <c r="AD166" s="176">
        <f>IFERROR(_xlfn.XLOOKUP($D166,'Modelling New'!$D:$D,'Modelling New'!$T:$T)*1000,"")</f>
        <v>280472.45446379349</v>
      </c>
      <c r="AE166" s="186">
        <f>IFERROR(_xlfn.XLOOKUP($D166,'Modelling New'!$D:$D,'Modelling New'!$O:$O),"")</f>
        <v>0.77186524247721466</v>
      </c>
      <c r="AF166" s="186">
        <f>IFERROR(_xlfn.XLOOKUP($D166,'Modelling New'!$D:$D,'Modelling New'!$W:$W),"")</f>
        <v>0.1750633251340683</v>
      </c>
      <c r="AG166" s="186">
        <f>IFERROR(_xlfn.XLOOKUP($D166,'Modelling New'!$D:$D,'Modelling New'!$AE:$AE),"")</f>
        <v>0.995</v>
      </c>
      <c r="AH166" s="186">
        <f>IFERROR(_xlfn.XLOOKUP($D166,'Modelling New'!$D:$D,'Modelling New'!$AF:$AF),"")</f>
        <v>0.995</v>
      </c>
      <c r="AI166" s="177"/>
      <c r="AJ166" s="177"/>
      <c r="AK166" s="238"/>
      <c r="AL166" s="238"/>
      <c r="AM166" s="238"/>
      <c r="AN166" s="187"/>
      <c r="AO166" s="184"/>
      <c r="AP166" s="184"/>
      <c r="AQ166" s="184"/>
      <c r="AR166" s="176">
        <f>IFERROR(_xlfn.XLOOKUP($D165,'Modelling New'!$D:$D,'Modelling New'!$N:$N),"")</f>
        <v>66.754999999999995</v>
      </c>
      <c r="AS166" s="176"/>
    </row>
    <row r="167" spans="1:45" x14ac:dyDescent="0.25">
      <c r="A167" s="175">
        <f t="shared" si="11"/>
        <v>45910</v>
      </c>
      <c r="B167" s="176">
        <f>YEAR(Table13[[#This Row],[Date]])+IF(MONTH(Table13[[#This Row],[Date]])&gt;=4,1,0)</f>
        <v>2026</v>
      </c>
      <c r="C167" s="177">
        <f>YEAR(Table13[[#This Row],[Date]])</f>
        <v>2025</v>
      </c>
      <c r="D167" s="178">
        <f>Table13[[#This Row],[Date]]-DAY(Table13[[#This Row],[Date]])+1</f>
        <v>45901</v>
      </c>
      <c r="E167" s="177">
        <f t="shared" si="12"/>
        <v>30</v>
      </c>
      <c r="F167" s="179" t="str">
        <f>IFERROR(_xlfn.XLOOKUP($A167,Raw_Data!$B:$B,Raw_Data!$KG:$KG),"")</f>
        <v/>
      </c>
      <c r="G167" s="180" t="str">
        <f>IFERROR(_xlfn.XLOOKUP($A167,Raw_Data!$B:$B,Raw_Data!KH:KH),"")</f>
        <v/>
      </c>
      <c r="H167" s="180"/>
      <c r="I167" s="180" t="str">
        <f>IFERROR(_xlfn.XLOOKUP($A167,Raw_Data!$B:$B,Raw_Data!$KI:$KI),"")</f>
        <v/>
      </c>
      <c r="J167" s="180"/>
      <c r="K167" s="180" t="str">
        <f>IFERROR(_xlfn.XLOOKUP($A167,Raw_Data!$B:$B,Raw_Data!KJ:KJ),"")</f>
        <v/>
      </c>
      <c r="L167" s="180" t="str">
        <f>IFERROR(_xlfn.XLOOKUP($A167,Raw_Data!$B:$B,Raw_Data!KK:KK),"")</f>
        <v/>
      </c>
      <c r="M167" s="180" t="str">
        <f>IFERROR(_xlfn.XLOOKUP($A167,Raw_Data!$B:$B,Raw_Data!KL:KL),"")</f>
        <v/>
      </c>
      <c r="N167" s="180" t="str">
        <f>IFERROR(_xlfn.XLOOKUP($A167,Raw_Data!$B:$B,Raw_Data!KM:KM),"")</f>
        <v/>
      </c>
      <c r="O167" s="181" t="str">
        <f>IFERROR(1-SUMIF(PA!$B:$B,$A167,PA!AJ:AJ)/($AA167+SUMIF(PA!$B:$B,$A167,PA!AJ:AJ)),"")</f>
        <v/>
      </c>
      <c r="P167" s="181"/>
      <c r="Q167" s="182"/>
      <c r="R167" s="181" t="str">
        <f>IFERROR(1-SUMIF(GA!$C:$C,$A167,GA!$X:$X)/($AA167+SUMIF(GA!$C:$C,$A167,GA!$X:$X)),"")</f>
        <v/>
      </c>
      <c r="S167" s="177"/>
      <c r="T167" s="182"/>
      <c r="U167" s="183" t="str">
        <f t="shared" si="13"/>
        <v/>
      </c>
      <c r="V167" s="183" t="str">
        <f>IFERROR(_xlfn.XLOOKUP($A167,Raw_Data!$B:$B,Raw_Data!$KQ:$KQ),"")</f>
        <v/>
      </c>
      <c r="W167" s="184" t="str">
        <f t="shared" si="14"/>
        <v/>
      </c>
      <c r="X167" s="176" t="str">
        <f>IFERROR(_xlfn.XLOOKUP($A167,Raw_Data!$B:$B,Raw_Data!$KN:$KN),"")</f>
        <v/>
      </c>
      <c r="Y167" s="176" t="str">
        <f>IFERROR(_xlfn.XLOOKUP($A167,Raw_Data!$B:$B,Raw_Data!$KC:$KC),"")</f>
        <v/>
      </c>
      <c r="Z167" s="176" t="str">
        <f>IFERROR(_xlfn.XLOOKUP($A167,Raw_Data!$B:$B,Raw_Data!$KD:$KD),"")</f>
        <v/>
      </c>
      <c r="AA167" s="176" t="str">
        <f>IFERROR(_xlfn.XLOOKUP($A167,Raw_Data!$B:$B,Raw_Data!$KF:$KF),"")</f>
        <v/>
      </c>
      <c r="AB167" s="176" t="str">
        <f>IFERROR(_xlfn.XLOOKUP($A167,Raw_Data!$B:$B,Raw_Data!I:I)/1000,"")</f>
        <v/>
      </c>
      <c r="AC167" s="185">
        <f>IFERROR(_xlfn.XLOOKUP($D167,'Modelling New'!$D:$D,'Modelling New'!$P:$P),"")</f>
        <v>5.4433333333333334</v>
      </c>
      <c r="AD167" s="176">
        <f>IFERROR(_xlfn.XLOOKUP($D167,'Modelling New'!$D:$D,'Modelling New'!$T:$T)*1000,"")</f>
        <v>280472.45446379349</v>
      </c>
      <c r="AE167" s="186">
        <f>IFERROR(_xlfn.XLOOKUP($D167,'Modelling New'!$D:$D,'Modelling New'!$O:$O),"")</f>
        <v>0.77186524247721466</v>
      </c>
      <c r="AF167" s="186">
        <f>IFERROR(_xlfn.XLOOKUP($D167,'Modelling New'!$D:$D,'Modelling New'!$W:$W),"")</f>
        <v>0.1750633251340683</v>
      </c>
      <c r="AG167" s="186">
        <f>IFERROR(_xlfn.XLOOKUP($D167,'Modelling New'!$D:$D,'Modelling New'!$AE:$AE),"")</f>
        <v>0.995</v>
      </c>
      <c r="AH167" s="186">
        <f>IFERROR(_xlfn.XLOOKUP($D167,'Modelling New'!$D:$D,'Modelling New'!$AF:$AF),"")</f>
        <v>0.995</v>
      </c>
      <c r="AI167" s="177"/>
      <c r="AJ167" s="177"/>
      <c r="AK167" s="238"/>
      <c r="AL167" s="238"/>
      <c r="AM167" s="238"/>
      <c r="AN167" s="187"/>
      <c r="AO167" s="184"/>
      <c r="AP167" s="184"/>
      <c r="AQ167" s="184"/>
      <c r="AR167" s="176">
        <f>IFERROR(_xlfn.XLOOKUP($D166,'Modelling New'!$D:$D,'Modelling New'!$N:$N),"")</f>
        <v>66.754999999999995</v>
      </c>
      <c r="AS167" s="176"/>
    </row>
    <row r="168" spans="1:45" x14ac:dyDescent="0.25">
      <c r="A168" s="175">
        <f t="shared" si="11"/>
        <v>45911</v>
      </c>
      <c r="B168" s="176">
        <f>YEAR(Table13[[#This Row],[Date]])+IF(MONTH(Table13[[#This Row],[Date]])&gt;=4,1,0)</f>
        <v>2026</v>
      </c>
      <c r="C168" s="177">
        <f>YEAR(Table13[[#This Row],[Date]])</f>
        <v>2025</v>
      </c>
      <c r="D168" s="178">
        <f>Table13[[#This Row],[Date]]-DAY(Table13[[#This Row],[Date]])+1</f>
        <v>45901</v>
      </c>
      <c r="E168" s="177">
        <f t="shared" si="12"/>
        <v>30</v>
      </c>
      <c r="F168" s="179" t="str">
        <f>IFERROR(_xlfn.XLOOKUP($A168,Raw_Data!$B:$B,Raw_Data!$KG:$KG),"")</f>
        <v/>
      </c>
      <c r="G168" s="180" t="str">
        <f>IFERROR(_xlfn.XLOOKUP($A168,Raw_Data!$B:$B,Raw_Data!KH:KH),"")</f>
        <v/>
      </c>
      <c r="H168" s="180"/>
      <c r="I168" s="180" t="str">
        <f>IFERROR(_xlfn.XLOOKUP($A168,Raw_Data!$B:$B,Raw_Data!$KI:$KI),"")</f>
        <v/>
      </c>
      <c r="J168" s="180"/>
      <c r="K168" s="180" t="str">
        <f>IFERROR(_xlfn.XLOOKUP($A168,Raw_Data!$B:$B,Raw_Data!KJ:KJ),"")</f>
        <v/>
      </c>
      <c r="L168" s="180" t="str">
        <f>IFERROR(_xlfn.XLOOKUP($A168,Raw_Data!$B:$B,Raw_Data!KK:KK),"")</f>
        <v/>
      </c>
      <c r="M168" s="180" t="str">
        <f>IFERROR(_xlfn.XLOOKUP($A168,Raw_Data!$B:$B,Raw_Data!KL:KL),"")</f>
        <v/>
      </c>
      <c r="N168" s="180" t="str">
        <f>IFERROR(_xlfn.XLOOKUP($A168,Raw_Data!$B:$B,Raw_Data!KM:KM),"")</f>
        <v/>
      </c>
      <c r="O168" s="181" t="str">
        <f>IFERROR(1-SUMIF(PA!$B:$B,$A168,PA!AJ:AJ)/($AA168+SUMIF(PA!$B:$B,$A168,PA!AJ:AJ)),"")</f>
        <v/>
      </c>
      <c r="P168" s="181"/>
      <c r="Q168" s="182"/>
      <c r="R168" s="181" t="str">
        <f>IFERROR(1-SUMIF(GA!$C:$C,$A168,GA!$X:$X)/($AA168+SUMIF(GA!$C:$C,$A168,GA!$X:$X)),"")</f>
        <v/>
      </c>
      <c r="S168" s="177"/>
      <c r="T168" s="182"/>
      <c r="U168" s="183" t="str">
        <f t="shared" si="13"/>
        <v/>
      </c>
      <c r="V168" s="183" t="str">
        <f>IFERROR(_xlfn.XLOOKUP($A168,Raw_Data!$B:$B,Raw_Data!$KQ:$KQ),"")</f>
        <v/>
      </c>
      <c r="W168" s="184" t="str">
        <f t="shared" si="14"/>
        <v/>
      </c>
      <c r="X168" s="176" t="str">
        <f>IFERROR(_xlfn.XLOOKUP($A168,Raw_Data!$B:$B,Raw_Data!$KN:$KN),"")</f>
        <v/>
      </c>
      <c r="Y168" s="176" t="str">
        <f>IFERROR(_xlfn.XLOOKUP($A168,Raw_Data!$B:$B,Raw_Data!$KC:$KC),"")</f>
        <v/>
      </c>
      <c r="Z168" s="176" t="str">
        <f>IFERROR(_xlfn.XLOOKUP($A168,Raw_Data!$B:$B,Raw_Data!$KD:$KD),"")</f>
        <v/>
      </c>
      <c r="AA168" s="176" t="str">
        <f>IFERROR(_xlfn.XLOOKUP($A168,Raw_Data!$B:$B,Raw_Data!$KF:$KF),"")</f>
        <v/>
      </c>
      <c r="AB168" s="176" t="str">
        <f>IFERROR(_xlfn.XLOOKUP($A168,Raw_Data!$B:$B,Raw_Data!I:I)/1000,"")</f>
        <v/>
      </c>
      <c r="AC168" s="185">
        <f>IFERROR(_xlfn.XLOOKUP($D168,'Modelling New'!$D:$D,'Modelling New'!$P:$P),"")</f>
        <v>5.4433333333333334</v>
      </c>
      <c r="AD168" s="176">
        <f>IFERROR(_xlfn.XLOOKUP($D168,'Modelling New'!$D:$D,'Modelling New'!$T:$T)*1000,"")</f>
        <v>280472.45446379349</v>
      </c>
      <c r="AE168" s="186">
        <f>IFERROR(_xlfn.XLOOKUP($D168,'Modelling New'!$D:$D,'Modelling New'!$O:$O),"")</f>
        <v>0.77186524247721466</v>
      </c>
      <c r="AF168" s="186">
        <f>IFERROR(_xlfn.XLOOKUP($D168,'Modelling New'!$D:$D,'Modelling New'!$W:$W),"")</f>
        <v>0.1750633251340683</v>
      </c>
      <c r="AG168" s="186">
        <f>IFERROR(_xlfn.XLOOKUP($D168,'Modelling New'!$D:$D,'Modelling New'!$AE:$AE),"")</f>
        <v>0.995</v>
      </c>
      <c r="AH168" s="186">
        <f>IFERROR(_xlfn.XLOOKUP($D168,'Modelling New'!$D:$D,'Modelling New'!$AF:$AF),"")</f>
        <v>0.995</v>
      </c>
      <c r="AI168" s="177"/>
      <c r="AJ168" s="177"/>
      <c r="AK168" s="238"/>
      <c r="AL168" s="238"/>
      <c r="AM168" s="238"/>
      <c r="AN168" s="187"/>
      <c r="AO168" s="184"/>
      <c r="AP168" s="184"/>
      <c r="AQ168" s="184"/>
      <c r="AR168" s="176">
        <f>IFERROR(_xlfn.XLOOKUP($D167,'Modelling New'!$D:$D,'Modelling New'!$N:$N),"")</f>
        <v>66.754999999999995</v>
      </c>
      <c r="AS168" s="176"/>
    </row>
    <row r="169" spans="1:45" x14ac:dyDescent="0.25">
      <c r="A169" s="175">
        <f t="shared" si="11"/>
        <v>45912</v>
      </c>
      <c r="B169" s="176">
        <f>YEAR(Table13[[#This Row],[Date]])+IF(MONTH(Table13[[#This Row],[Date]])&gt;=4,1,0)</f>
        <v>2026</v>
      </c>
      <c r="C169" s="177">
        <f>YEAR(Table13[[#This Row],[Date]])</f>
        <v>2025</v>
      </c>
      <c r="D169" s="178">
        <f>Table13[[#This Row],[Date]]-DAY(Table13[[#This Row],[Date]])+1</f>
        <v>45901</v>
      </c>
      <c r="E169" s="177">
        <f t="shared" si="12"/>
        <v>30</v>
      </c>
      <c r="F169" s="179" t="str">
        <f>IFERROR(_xlfn.XLOOKUP($A169,Raw_Data!$B:$B,Raw_Data!$KG:$KG),"")</f>
        <v/>
      </c>
      <c r="G169" s="180" t="str">
        <f>IFERROR(_xlfn.XLOOKUP($A169,Raw_Data!$B:$B,Raw_Data!KH:KH),"")</f>
        <v/>
      </c>
      <c r="H169" s="180"/>
      <c r="I169" s="180" t="str">
        <f>IFERROR(_xlfn.XLOOKUP($A169,Raw_Data!$B:$B,Raw_Data!$KI:$KI),"")</f>
        <v/>
      </c>
      <c r="J169" s="180"/>
      <c r="K169" s="180" t="str">
        <f>IFERROR(_xlfn.XLOOKUP($A169,Raw_Data!$B:$B,Raw_Data!KJ:KJ),"")</f>
        <v/>
      </c>
      <c r="L169" s="180" t="str">
        <f>IFERROR(_xlfn.XLOOKUP($A169,Raw_Data!$B:$B,Raw_Data!KK:KK),"")</f>
        <v/>
      </c>
      <c r="M169" s="180" t="str">
        <f>IFERROR(_xlfn.XLOOKUP($A169,Raw_Data!$B:$B,Raw_Data!KL:KL),"")</f>
        <v/>
      </c>
      <c r="N169" s="180" t="str">
        <f>IFERROR(_xlfn.XLOOKUP($A169,Raw_Data!$B:$B,Raw_Data!KM:KM),"")</f>
        <v/>
      </c>
      <c r="O169" s="181" t="str">
        <f>IFERROR(1-SUMIF(PA!$B:$B,$A169,PA!AJ:AJ)/($AA169+SUMIF(PA!$B:$B,$A169,PA!AJ:AJ)),"")</f>
        <v/>
      </c>
      <c r="P169" s="181"/>
      <c r="Q169" s="182"/>
      <c r="R169" s="181" t="str">
        <f>IFERROR(1-SUMIF(GA!$C:$C,$A169,GA!$X:$X)/($AA169+SUMIF(GA!$C:$C,$A169,GA!$X:$X)),"")</f>
        <v/>
      </c>
      <c r="S169" s="177"/>
      <c r="T169" s="182"/>
      <c r="U169" s="183" t="str">
        <f t="shared" si="13"/>
        <v/>
      </c>
      <c r="V169" s="183" t="str">
        <f>IFERROR(_xlfn.XLOOKUP($A169,Raw_Data!$B:$B,Raw_Data!$KQ:$KQ),"")</f>
        <v/>
      </c>
      <c r="W169" s="184" t="str">
        <f t="shared" si="14"/>
        <v/>
      </c>
      <c r="X169" s="176" t="str">
        <f>IFERROR(_xlfn.XLOOKUP($A169,Raw_Data!$B:$B,Raw_Data!$KN:$KN),"")</f>
        <v/>
      </c>
      <c r="Y169" s="176" t="str">
        <f>IFERROR(_xlfn.XLOOKUP($A169,Raw_Data!$B:$B,Raw_Data!$KC:$KC),"")</f>
        <v/>
      </c>
      <c r="Z169" s="176" t="str">
        <f>IFERROR(_xlfn.XLOOKUP($A169,Raw_Data!$B:$B,Raw_Data!$KD:$KD),"")</f>
        <v/>
      </c>
      <c r="AA169" s="176" t="str">
        <f>IFERROR(_xlfn.XLOOKUP($A169,Raw_Data!$B:$B,Raw_Data!$KF:$KF),"")</f>
        <v/>
      </c>
      <c r="AB169" s="176" t="str">
        <f>IFERROR(_xlfn.XLOOKUP($A169,Raw_Data!$B:$B,Raw_Data!I:I)/1000,"")</f>
        <v/>
      </c>
      <c r="AC169" s="185">
        <f>IFERROR(_xlfn.XLOOKUP($D169,'Modelling New'!$D:$D,'Modelling New'!$P:$P),"")</f>
        <v>5.4433333333333334</v>
      </c>
      <c r="AD169" s="176">
        <f>IFERROR(_xlfn.XLOOKUP($D169,'Modelling New'!$D:$D,'Modelling New'!$T:$T)*1000,"")</f>
        <v>280472.45446379349</v>
      </c>
      <c r="AE169" s="186">
        <f>IFERROR(_xlfn.XLOOKUP($D169,'Modelling New'!$D:$D,'Modelling New'!$O:$O),"")</f>
        <v>0.77186524247721466</v>
      </c>
      <c r="AF169" s="186">
        <f>IFERROR(_xlfn.XLOOKUP($D169,'Modelling New'!$D:$D,'Modelling New'!$W:$W),"")</f>
        <v>0.1750633251340683</v>
      </c>
      <c r="AG169" s="186">
        <f>IFERROR(_xlfn.XLOOKUP($D169,'Modelling New'!$D:$D,'Modelling New'!$AE:$AE),"")</f>
        <v>0.995</v>
      </c>
      <c r="AH169" s="186">
        <f>IFERROR(_xlfn.XLOOKUP($D169,'Modelling New'!$D:$D,'Modelling New'!$AF:$AF),"")</f>
        <v>0.995</v>
      </c>
      <c r="AI169" s="177"/>
      <c r="AJ169" s="177"/>
      <c r="AK169" s="238"/>
      <c r="AL169" s="238"/>
      <c r="AM169" s="238"/>
      <c r="AN169" s="187"/>
      <c r="AO169" s="184"/>
      <c r="AP169" s="184"/>
      <c r="AQ169" s="184"/>
      <c r="AR169" s="176">
        <f>IFERROR(_xlfn.XLOOKUP($D168,'Modelling New'!$D:$D,'Modelling New'!$N:$N),"")</f>
        <v>66.754999999999995</v>
      </c>
      <c r="AS169" s="176"/>
    </row>
    <row r="170" spans="1:45" x14ac:dyDescent="0.25">
      <c r="A170" s="175">
        <f t="shared" si="11"/>
        <v>45913</v>
      </c>
      <c r="B170" s="176">
        <f>YEAR(Table13[[#This Row],[Date]])+IF(MONTH(Table13[[#This Row],[Date]])&gt;=4,1,0)</f>
        <v>2026</v>
      </c>
      <c r="C170" s="177">
        <f>YEAR(Table13[[#This Row],[Date]])</f>
        <v>2025</v>
      </c>
      <c r="D170" s="178">
        <f>Table13[[#This Row],[Date]]-DAY(Table13[[#This Row],[Date]])+1</f>
        <v>45901</v>
      </c>
      <c r="E170" s="177">
        <f t="shared" si="12"/>
        <v>30</v>
      </c>
      <c r="F170" s="179" t="str">
        <f>IFERROR(_xlfn.XLOOKUP($A170,Raw_Data!$B:$B,Raw_Data!$KG:$KG),"")</f>
        <v/>
      </c>
      <c r="G170" s="180" t="str">
        <f>IFERROR(_xlfn.XLOOKUP($A170,Raw_Data!$B:$B,Raw_Data!KH:KH),"")</f>
        <v/>
      </c>
      <c r="H170" s="180"/>
      <c r="I170" s="180" t="str">
        <f>IFERROR(_xlfn.XLOOKUP($A170,Raw_Data!$B:$B,Raw_Data!$KI:$KI),"")</f>
        <v/>
      </c>
      <c r="J170" s="180"/>
      <c r="K170" s="180" t="str">
        <f>IFERROR(_xlfn.XLOOKUP($A170,Raw_Data!$B:$B,Raw_Data!KJ:KJ),"")</f>
        <v/>
      </c>
      <c r="L170" s="180" t="str">
        <f>IFERROR(_xlfn.XLOOKUP($A170,Raw_Data!$B:$B,Raw_Data!KK:KK),"")</f>
        <v/>
      </c>
      <c r="M170" s="180" t="str">
        <f>IFERROR(_xlfn.XLOOKUP($A170,Raw_Data!$B:$B,Raw_Data!KL:KL),"")</f>
        <v/>
      </c>
      <c r="N170" s="180" t="str">
        <f>IFERROR(_xlfn.XLOOKUP($A170,Raw_Data!$B:$B,Raw_Data!KM:KM),"")</f>
        <v/>
      </c>
      <c r="O170" s="181" t="str">
        <f>IFERROR(1-SUMIF(PA!$B:$B,$A170,PA!AJ:AJ)/($AA170+SUMIF(PA!$B:$B,$A170,PA!AJ:AJ)),"")</f>
        <v/>
      </c>
      <c r="P170" s="181"/>
      <c r="Q170" s="182"/>
      <c r="R170" s="181" t="str">
        <f>IFERROR(1-SUMIF(GA!$C:$C,$A170,GA!$X:$X)/($AA170+SUMIF(GA!$C:$C,$A170,GA!$X:$X)),"")</f>
        <v/>
      </c>
      <c r="S170" s="177"/>
      <c r="T170" s="182"/>
      <c r="U170" s="183" t="str">
        <f t="shared" si="13"/>
        <v/>
      </c>
      <c r="V170" s="183" t="str">
        <f>IFERROR(_xlfn.XLOOKUP($A170,Raw_Data!$B:$B,Raw_Data!$KQ:$KQ),"")</f>
        <v/>
      </c>
      <c r="W170" s="184" t="str">
        <f t="shared" si="14"/>
        <v/>
      </c>
      <c r="X170" s="176" t="str">
        <f>IFERROR(_xlfn.XLOOKUP($A170,Raw_Data!$B:$B,Raw_Data!$KN:$KN),"")</f>
        <v/>
      </c>
      <c r="Y170" s="176" t="str">
        <f>IFERROR(_xlfn.XLOOKUP($A170,Raw_Data!$B:$B,Raw_Data!$KC:$KC),"")</f>
        <v/>
      </c>
      <c r="Z170" s="176" t="str">
        <f>IFERROR(_xlfn.XLOOKUP($A170,Raw_Data!$B:$B,Raw_Data!$KD:$KD),"")</f>
        <v/>
      </c>
      <c r="AA170" s="176" t="str">
        <f>IFERROR(_xlfn.XLOOKUP($A170,Raw_Data!$B:$B,Raw_Data!$KF:$KF),"")</f>
        <v/>
      </c>
      <c r="AB170" s="176" t="str">
        <f>IFERROR(_xlfn.XLOOKUP($A170,Raw_Data!$B:$B,Raw_Data!I:I)/1000,"")</f>
        <v/>
      </c>
      <c r="AC170" s="185">
        <f>IFERROR(_xlfn.XLOOKUP($D170,'Modelling New'!$D:$D,'Modelling New'!$P:$P),"")</f>
        <v>5.4433333333333334</v>
      </c>
      <c r="AD170" s="176">
        <f>IFERROR(_xlfn.XLOOKUP($D170,'Modelling New'!$D:$D,'Modelling New'!$T:$T)*1000,"")</f>
        <v>280472.45446379349</v>
      </c>
      <c r="AE170" s="186">
        <f>IFERROR(_xlfn.XLOOKUP($D170,'Modelling New'!$D:$D,'Modelling New'!$O:$O),"")</f>
        <v>0.77186524247721466</v>
      </c>
      <c r="AF170" s="186">
        <f>IFERROR(_xlfn.XLOOKUP($D170,'Modelling New'!$D:$D,'Modelling New'!$W:$W),"")</f>
        <v>0.1750633251340683</v>
      </c>
      <c r="AG170" s="186">
        <f>IFERROR(_xlfn.XLOOKUP($D170,'Modelling New'!$D:$D,'Modelling New'!$AE:$AE),"")</f>
        <v>0.995</v>
      </c>
      <c r="AH170" s="186">
        <f>IFERROR(_xlfn.XLOOKUP($D170,'Modelling New'!$D:$D,'Modelling New'!$AF:$AF),"")</f>
        <v>0.995</v>
      </c>
      <c r="AI170" s="177"/>
      <c r="AJ170" s="177"/>
      <c r="AK170" s="238"/>
      <c r="AL170" s="238"/>
      <c r="AM170" s="238"/>
      <c r="AN170" s="187"/>
      <c r="AO170" s="184"/>
      <c r="AP170" s="184"/>
      <c r="AQ170" s="184"/>
      <c r="AR170" s="176">
        <f>IFERROR(_xlfn.XLOOKUP($D169,'Modelling New'!$D:$D,'Modelling New'!$N:$N),"")</f>
        <v>66.754999999999995</v>
      </c>
      <c r="AS170" s="176"/>
    </row>
    <row r="171" spans="1:45" x14ac:dyDescent="0.25">
      <c r="A171" s="175">
        <f t="shared" si="11"/>
        <v>45914</v>
      </c>
      <c r="B171" s="176">
        <f>YEAR(Table13[[#This Row],[Date]])+IF(MONTH(Table13[[#This Row],[Date]])&gt;=4,1,0)</f>
        <v>2026</v>
      </c>
      <c r="C171" s="177">
        <f>YEAR(Table13[[#This Row],[Date]])</f>
        <v>2025</v>
      </c>
      <c r="D171" s="178">
        <f>Table13[[#This Row],[Date]]-DAY(Table13[[#This Row],[Date]])+1</f>
        <v>45901</v>
      </c>
      <c r="E171" s="177">
        <f t="shared" si="12"/>
        <v>30</v>
      </c>
      <c r="F171" s="179" t="str">
        <f>IFERROR(_xlfn.XLOOKUP($A171,Raw_Data!$B:$B,Raw_Data!$KG:$KG),"")</f>
        <v/>
      </c>
      <c r="G171" s="180" t="str">
        <f>IFERROR(_xlfn.XLOOKUP($A171,Raw_Data!$B:$B,Raw_Data!KH:KH),"")</f>
        <v/>
      </c>
      <c r="H171" s="180"/>
      <c r="I171" s="180" t="str">
        <f>IFERROR(_xlfn.XLOOKUP($A171,Raw_Data!$B:$B,Raw_Data!$KI:$KI),"")</f>
        <v/>
      </c>
      <c r="J171" s="180"/>
      <c r="K171" s="180" t="str">
        <f>IFERROR(_xlfn.XLOOKUP($A171,Raw_Data!$B:$B,Raw_Data!KJ:KJ),"")</f>
        <v/>
      </c>
      <c r="L171" s="180" t="str">
        <f>IFERROR(_xlfn.XLOOKUP($A171,Raw_Data!$B:$B,Raw_Data!KK:KK),"")</f>
        <v/>
      </c>
      <c r="M171" s="180" t="str">
        <f>IFERROR(_xlfn.XLOOKUP($A171,Raw_Data!$B:$B,Raw_Data!KL:KL),"")</f>
        <v/>
      </c>
      <c r="N171" s="180" t="str">
        <f>IFERROR(_xlfn.XLOOKUP($A171,Raw_Data!$B:$B,Raw_Data!KM:KM),"")</f>
        <v/>
      </c>
      <c r="O171" s="181" t="str">
        <f>IFERROR(1-SUMIF(PA!$B:$B,$A171,PA!AJ:AJ)/($AA171+SUMIF(PA!$B:$B,$A171,PA!AJ:AJ)),"")</f>
        <v/>
      </c>
      <c r="P171" s="181"/>
      <c r="Q171" s="182"/>
      <c r="R171" s="181" t="str">
        <f>IFERROR(1-SUMIF(GA!$C:$C,$A171,GA!$X:$X)/($AA171+SUMIF(GA!$C:$C,$A171,GA!$X:$X)),"")</f>
        <v/>
      </c>
      <c r="S171" s="177"/>
      <c r="T171" s="182"/>
      <c r="U171" s="183" t="str">
        <f t="shared" si="13"/>
        <v/>
      </c>
      <c r="V171" s="183" t="str">
        <f>IFERROR(_xlfn.XLOOKUP($A171,Raw_Data!$B:$B,Raw_Data!$KQ:$KQ),"")</f>
        <v/>
      </c>
      <c r="W171" s="184" t="str">
        <f t="shared" si="14"/>
        <v/>
      </c>
      <c r="X171" s="176" t="str">
        <f>IFERROR(_xlfn.XLOOKUP($A171,Raw_Data!$B:$B,Raw_Data!$KN:$KN),"")</f>
        <v/>
      </c>
      <c r="Y171" s="176" t="str">
        <f>IFERROR(_xlfn.XLOOKUP($A171,Raw_Data!$B:$B,Raw_Data!$KC:$KC),"")</f>
        <v/>
      </c>
      <c r="Z171" s="176" t="str">
        <f>IFERROR(_xlfn.XLOOKUP($A171,Raw_Data!$B:$B,Raw_Data!$KD:$KD),"")</f>
        <v/>
      </c>
      <c r="AA171" s="176" t="str">
        <f>IFERROR(_xlfn.XLOOKUP($A171,Raw_Data!$B:$B,Raw_Data!$KF:$KF),"")</f>
        <v/>
      </c>
      <c r="AB171" s="176" t="str">
        <f>IFERROR(_xlfn.XLOOKUP($A171,Raw_Data!$B:$B,Raw_Data!I:I)/1000,"")</f>
        <v/>
      </c>
      <c r="AC171" s="185">
        <f>IFERROR(_xlfn.XLOOKUP($D171,'Modelling New'!$D:$D,'Modelling New'!$P:$P),"")</f>
        <v>5.4433333333333334</v>
      </c>
      <c r="AD171" s="176">
        <f>IFERROR(_xlfn.XLOOKUP($D171,'Modelling New'!$D:$D,'Modelling New'!$T:$T)*1000,"")</f>
        <v>280472.45446379349</v>
      </c>
      <c r="AE171" s="186">
        <f>IFERROR(_xlfn.XLOOKUP($D171,'Modelling New'!$D:$D,'Modelling New'!$O:$O),"")</f>
        <v>0.77186524247721466</v>
      </c>
      <c r="AF171" s="186">
        <f>IFERROR(_xlfn.XLOOKUP($D171,'Modelling New'!$D:$D,'Modelling New'!$W:$W),"")</f>
        <v>0.1750633251340683</v>
      </c>
      <c r="AG171" s="186">
        <f>IFERROR(_xlfn.XLOOKUP($D171,'Modelling New'!$D:$D,'Modelling New'!$AE:$AE),"")</f>
        <v>0.995</v>
      </c>
      <c r="AH171" s="186">
        <f>IFERROR(_xlfn.XLOOKUP($D171,'Modelling New'!$D:$D,'Modelling New'!$AF:$AF),"")</f>
        <v>0.995</v>
      </c>
      <c r="AI171" s="177"/>
      <c r="AJ171" s="177"/>
      <c r="AK171" s="238"/>
      <c r="AL171" s="238"/>
      <c r="AM171" s="238"/>
      <c r="AN171" s="187"/>
      <c r="AO171" s="184"/>
      <c r="AP171" s="184"/>
      <c r="AQ171" s="184"/>
      <c r="AR171" s="176">
        <f>IFERROR(_xlfn.XLOOKUP($D170,'Modelling New'!$D:$D,'Modelling New'!$N:$N),"")</f>
        <v>66.754999999999995</v>
      </c>
      <c r="AS171" s="176"/>
    </row>
    <row r="172" spans="1:45" x14ac:dyDescent="0.25">
      <c r="A172" s="175">
        <f t="shared" si="11"/>
        <v>45915</v>
      </c>
      <c r="B172" s="176">
        <f>YEAR(Table13[[#This Row],[Date]])+IF(MONTH(Table13[[#This Row],[Date]])&gt;=4,1,0)</f>
        <v>2026</v>
      </c>
      <c r="C172" s="177">
        <f>YEAR(Table13[[#This Row],[Date]])</f>
        <v>2025</v>
      </c>
      <c r="D172" s="178">
        <f>Table13[[#This Row],[Date]]-DAY(Table13[[#This Row],[Date]])+1</f>
        <v>45901</v>
      </c>
      <c r="E172" s="177">
        <f t="shared" si="12"/>
        <v>30</v>
      </c>
      <c r="F172" s="179" t="str">
        <f>IFERROR(_xlfn.XLOOKUP($A172,Raw_Data!$B:$B,Raw_Data!$KG:$KG),"")</f>
        <v/>
      </c>
      <c r="G172" s="180" t="str">
        <f>IFERROR(_xlfn.XLOOKUP($A172,Raw_Data!$B:$B,Raw_Data!KH:KH),"")</f>
        <v/>
      </c>
      <c r="H172" s="180"/>
      <c r="I172" s="180" t="str">
        <f>IFERROR(_xlfn.XLOOKUP($A172,Raw_Data!$B:$B,Raw_Data!$KI:$KI),"")</f>
        <v/>
      </c>
      <c r="J172" s="180"/>
      <c r="K172" s="180" t="str">
        <f>IFERROR(_xlfn.XLOOKUP($A172,Raw_Data!$B:$B,Raw_Data!KJ:KJ),"")</f>
        <v/>
      </c>
      <c r="L172" s="180" t="str">
        <f>IFERROR(_xlfn.XLOOKUP($A172,Raw_Data!$B:$B,Raw_Data!KK:KK),"")</f>
        <v/>
      </c>
      <c r="M172" s="180" t="str">
        <f>IFERROR(_xlfn.XLOOKUP($A172,Raw_Data!$B:$B,Raw_Data!KL:KL),"")</f>
        <v/>
      </c>
      <c r="N172" s="180" t="str">
        <f>IFERROR(_xlfn.XLOOKUP($A172,Raw_Data!$B:$B,Raw_Data!KM:KM),"")</f>
        <v/>
      </c>
      <c r="O172" s="181" t="str">
        <f>IFERROR(1-SUMIF(PA!$B:$B,$A172,PA!AJ:AJ)/($AA172+SUMIF(PA!$B:$B,$A172,PA!AJ:AJ)),"")</f>
        <v/>
      </c>
      <c r="P172" s="181"/>
      <c r="Q172" s="182"/>
      <c r="R172" s="181" t="str">
        <f>IFERROR(1-SUMIF(GA!$C:$C,$A172,GA!$X:$X)/($AA172+SUMIF(GA!$C:$C,$A172,GA!$X:$X)),"")</f>
        <v/>
      </c>
      <c r="S172" s="177"/>
      <c r="T172" s="182"/>
      <c r="U172" s="183" t="str">
        <f t="shared" si="13"/>
        <v/>
      </c>
      <c r="V172" s="183" t="str">
        <f>IFERROR(_xlfn.XLOOKUP($A172,Raw_Data!$B:$B,Raw_Data!$KQ:$KQ),"")</f>
        <v/>
      </c>
      <c r="W172" s="184" t="str">
        <f t="shared" si="14"/>
        <v/>
      </c>
      <c r="X172" s="176" t="str">
        <f>IFERROR(_xlfn.XLOOKUP($A172,Raw_Data!$B:$B,Raw_Data!$KN:$KN),"")</f>
        <v/>
      </c>
      <c r="Y172" s="176" t="str">
        <f>IFERROR(_xlfn.XLOOKUP($A172,Raw_Data!$B:$B,Raw_Data!$KC:$KC),"")</f>
        <v/>
      </c>
      <c r="Z172" s="176" t="str">
        <f>IFERROR(_xlfn.XLOOKUP($A172,Raw_Data!$B:$B,Raw_Data!$KD:$KD),"")</f>
        <v/>
      </c>
      <c r="AA172" s="176" t="str">
        <f>IFERROR(_xlfn.XLOOKUP($A172,Raw_Data!$B:$B,Raw_Data!$KF:$KF),"")</f>
        <v/>
      </c>
      <c r="AB172" s="176" t="str">
        <f>IFERROR(_xlfn.XLOOKUP($A172,Raw_Data!$B:$B,Raw_Data!I:I)/1000,"")</f>
        <v/>
      </c>
      <c r="AC172" s="185">
        <f>IFERROR(_xlfn.XLOOKUP($D172,'Modelling New'!$D:$D,'Modelling New'!$P:$P),"")</f>
        <v>5.4433333333333334</v>
      </c>
      <c r="AD172" s="176">
        <f>IFERROR(_xlfn.XLOOKUP($D172,'Modelling New'!$D:$D,'Modelling New'!$T:$T)*1000,"")</f>
        <v>280472.45446379349</v>
      </c>
      <c r="AE172" s="186">
        <f>IFERROR(_xlfn.XLOOKUP($D172,'Modelling New'!$D:$D,'Modelling New'!$O:$O),"")</f>
        <v>0.77186524247721466</v>
      </c>
      <c r="AF172" s="186">
        <f>IFERROR(_xlfn.XLOOKUP($D172,'Modelling New'!$D:$D,'Modelling New'!$W:$W),"")</f>
        <v>0.1750633251340683</v>
      </c>
      <c r="AG172" s="186">
        <f>IFERROR(_xlfn.XLOOKUP($D172,'Modelling New'!$D:$D,'Modelling New'!$AE:$AE),"")</f>
        <v>0.995</v>
      </c>
      <c r="AH172" s="186">
        <f>IFERROR(_xlfn.XLOOKUP($D172,'Modelling New'!$D:$D,'Modelling New'!$AF:$AF),"")</f>
        <v>0.995</v>
      </c>
      <c r="AI172" s="177"/>
      <c r="AJ172" s="177"/>
      <c r="AK172" s="238"/>
      <c r="AL172" s="238"/>
      <c r="AM172" s="238"/>
      <c r="AN172" s="187"/>
      <c r="AO172" s="184"/>
      <c r="AP172" s="184"/>
      <c r="AQ172" s="184"/>
      <c r="AR172" s="176">
        <f>IFERROR(_xlfn.XLOOKUP($D171,'Modelling New'!$D:$D,'Modelling New'!$N:$N),"")</f>
        <v>66.754999999999995</v>
      </c>
      <c r="AS172" s="176"/>
    </row>
    <row r="173" spans="1:45" x14ac:dyDescent="0.25">
      <c r="A173" s="175">
        <f t="shared" si="11"/>
        <v>45916</v>
      </c>
      <c r="B173" s="176">
        <f>YEAR(Table13[[#This Row],[Date]])+IF(MONTH(Table13[[#This Row],[Date]])&gt;=4,1,0)</f>
        <v>2026</v>
      </c>
      <c r="C173" s="177">
        <f>YEAR(Table13[[#This Row],[Date]])</f>
        <v>2025</v>
      </c>
      <c r="D173" s="178">
        <f>Table13[[#This Row],[Date]]-DAY(Table13[[#This Row],[Date]])+1</f>
        <v>45901</v>
      </c>
      <c r="E173" s="177">
        <f t="shared" si="12"/>
        <v>30</v>
      </c>
      <c r="F173" s="179" t="str">
        <f>IFERROR(_xlfn.XLOOKUP($A173,Raw_Data!$B:$B,Raw_Data!$KG:$KG),"")</f>
        <v/>
      </c>
      <c r="G173" s="180" t="str">
        <f>IFERROR(_xlfn.XLOOKUP($A173,Raw_Data!$B:$B,Raw_Data!KH:KH),"")</f>
        <v/>
      </c>
      <c r="H173" s="180"/>
      <c r="I173" s="180" t="str">
        <f>IFERROR(_xlfn.XLOOKUP($A173,Raw_Data!$B:$B,Raw_Data!$KI:$KI),"")</f>
        <v/>
      </c>
      <c r="J173" s="180"/>
      <c r="K173" s="180" t="str">
        <f>IFERROR(_xlfn.XLOOKUP($A173,Raw_Data!$B:$B,Raw_Data!KJ:KJ),"")</f>
        <v/>
      </c>
      <c r="L173" s="180" t="str">
        <f>IFERROR(_xlfn.XLOOKUP($A173,Raw_Data!$B:$B,Raw_Data!KK:KK),"")</f>
        <v/>
      </c>
      <c r="M173" s="180" t="str">
        <f>IFERROR(_xlfn.XLOOKUP($A173,Raw_Data!$B:$B,Raw_Data!KL:KL),"")</f>
        <v/>
      </c>
      <c r="N173" s="180" t="str">
        <f>IFERROR(_xlfn.XLOOKUP($A173,Raw_Data!$B:$B,Raw_Data!KM:KM),"")</f>
        <v/>
      </c>
      <c r="O173" s="181" t="str">
        <f>IFERROR(1-SUMIF(PA!$B:$B,$A173,PA!AJ:AJ)/($AA173+SUMIF(PA!$B:$B,$A173,PA!AJ:AJ)),"")</f>
        <v/>
      </c>
      <c r="P173" s="181"/>
      <c r="Q173" s="182"/>
      <c r="R173" s="181" t="str">
        <f>IFERROR(1-SUMIF(GA!$C:$C,$A173,GA!$X:$X)/($AA173+SUMIF(GA!$C:$C,$A173,GA!$X:$X)),"")</f>
        <v/>
      </c>
      <c r="S173" s="177"/>
      <c r="T173" s="182"/>
      <c r="U173" s="183" t="str">
        <f t="shared" si="13"/>
        <v/>
      </c>
      <c r="V173" s="183" t="str">
        <f>IFERROR(_xlfn.XLOOKUP($A173,Raw_Data!$B:$B,Raw_Data!$KQ:$KQ),"")</f>
        <v/>
      </c>
      <c r="W173" s="184" t="str">
        <f t="shared" si="14"/>
        <v/>
      </c>
      <c r="X173" s="176" t="str">
        <f>IFERROR(_xlfn.XLOOKUP($A173,Raw_Data!$B:$B,Raw_Data!$KN:$KN),"")</f>
        <v/>
      </c>
      <c r="Y173" s="176" t="str">
        <f>IFERROR(_xlfn.XLOOKUP($A173,Raw_Data!$B:$B,Raw_Data!$KC:$KC),"")</f>
        <v/>
      </c>
      <c r="Z173" s="176" t="str">
        <f>IFERROR(_xlfn.XLOOKUP($A173,Raw_Data!$B:$B,Raw_Data!$KD:$KD),"")</f>
        <v/>
      </c>
      <c r="AA173" s="176" t="str">
        <f>IFERROR(_xlfn.XLOOKUP($A173,Raw_Data!$B:$B,Raw_Data!$KF:$KF),"")</f>
        <v/>
      </c>
      <c r="AB173" s="176" t="str">
        <f>IFERROR(_xlfn.XLOOKUP($A173,Raw_Data!$B:$B,Raw_Data!I:I)/1000,"")</f>
        <v/>
      </c>
      <c r="AC173" s="185">
        <f>IFERROR(_xlfn.XLOOKUP($D173,'Modelling New'!$D:$D,'Modelling New'!$P:$P),"")</f>
        <v>5.4433333333333334</v>
      </c>
      <c r="AD173" s="176">
        <f>IFERROR(_xlfn.XLOOKUP($D173,'Modelling New'!$D:$D,'Modelling New'!$T:$T)*1000,"")</f>
        <v>280472.45446379349</v>
      </c>
      <c r="AE173" s="186">
        <f>IFERROR(_xlfn.XLOOKUP($D173,'Modelling New'!$D:$D,'Modelling New'!$O:$O),"")</f>
        <v>0.77186524247721466</v>
      </c>
      <c r="AF173" s="186">
        <f>IFERROR(_xlfn.XLOOKUP($D173,'Modelling New'!$D:$D,'Modelling New'!$W:$W),"")</f>
        <v>0.1750633251340683</v>
      </c>
      <c r="AG173" s="186">
        <f>IFERROR(_xlfn.XLOOKUP($D173,'Modelling New'!$D:$D,'Modelling New'!$AE:$AE),"")</f>
        <v>0.995</v>
      </c>
      <c r="AH173" s="186">
        <f>IFERROR(_xlfn.XLOOKUP($D173,'Modelling New'!$D:$D,'Modelling New'!$AF:$AF),"")</f>
        <v>0.995</v>
      </c>
      <c r="AI173" s="177"/>
      <c r="AJ173" s="177"/>
      <c r="AK173" s="238"/>
      <c r="AL173" s="238"/>
      <c r="AM173" s="238"/>
      <c r="AN173" s="187"/>
      <c r="AO173" s="184"/>
      <c r="AP173" s="184"/>
      <c r="AQ173" s="184"/>
      <c r="AR173" s="176">
        <f>IFERROR(_xlfn.XLOOKUP($D172,'Modelling New'!$D:$D,'Modelling New'!$N:$N),"")</f>
        <v>66.754999999999995</v>
      </c>
      <c r="AS173" s="176"/>
    </row>
    <row r="174" spans="1:45" x14ac:dyDescent="0.25">
      <c r="A174" s="175">
        <f t="shared" si="11"/>
        <v>45917</v>
      </c>
      <c r="B174" s="176">
        <f>YEAR(Table13[[#This Row],[Date]])+IF(MONTH(Table13[[#This Row],[Date]])&gt;=4,1,0)</f>
        <v>2026</v>
      </c>
      <c r="C174" s="177">
        <f>YEAR(Table13[[#This Row],[Date]])</f>
        <v>2025</v>
      </c>
      <c r="D174" s="178">
        <f>Table13[[#This Row],[Date]]-DAY(Table13[[#This Row],[Date]])+1</f>
        <v>45901</v>
      </c>
      <c r="E174" s="177">
        <f t="shared" si="12"/>
        <v>30</v>
      </c>
      <c r="F174" s="179" t="str">
        <f>IFERROR(_xlfn.XLOOKUP($A174,Raw_Data!$B:$B,Raw_Data!$KG:$KG),"")</f>
        <v/>
      </c>
      <c r="G174" s="180" t="str">
        <f>IFERROR(_xlfn.XLOOKUP($A174,Raw_Data!$B:$B,Raw_Data!KH:KH),"")</f>
        <v/>
      </c>
      <c r="H174" s="180"/>
      <c r="I174" s="180" t="str">
        <f>IFERROR(_xlfn.XLOOKUP($A174,Raw_Data!$B:$B,Raw_Data!$KI:$KI),"")</f>
        <v/>
      </c>
      <c r="J174" s="180"/>
      <c r="K174" s="180" t="str">
        <f>IFERROR(_xlfn.XLOOKUP($A174,Raw_Data!$B:$B,Raw_Data!KJ:KJ),"")</f>
        <v/>
      </c>
      <c r="L174" s="180" t="str">
        <f>IFERROR(_xlfn.XLOOKUP($A174,Raw_Data!$B:$B,Raw_Data!KK:KK),"")</f>
        <v/>
      </c>
      <c r="M174" s="180" t="str">
        <f>IFERROR(_xlfn.XLOOKUP($A174,Raw_Data!$B:$B,Raw_Data!KL:KL),"")</f>
        <v/>
      </c>
      <c r="N174" s="180" t="str">
        <f>IFERROR(_xlfn.XLOOKUP($A174,Raw_Data!$B:$B,Raw_Data!KM:KM),"")</f>
        <v/>
      </c>
      <c r="O174" s="181" t="str">
        <f>IFERROR(1-SUMIF(PA!$B:$B,$A174,PA!AJ:AJ)/($AA174+SUMIF(PA!$B:$B,$A174,PA!AJ:AJ)),"")</f>
        <v/>
      </c>
      <c r="P174" s="181"/>
      <c r="Q174" s="182"/>
      <c r="R174" s="181" t="str">
        <f>IFERROR(1-SUMIF(GA!$C:$C,$A174,GA!$X:$X)/($AA174+SUMIF(GA!$C:$C,$A174,GA!$X:$X)),"")</f>
        <v/>
      </c>
      <c r="S174" s="177"/>
      <c r="T174" s="182"/>
      <c r="U174" s="183" t="str">
        <f t="shared" si="13"/>
        <v/>
      </c>
      <c r="V174" s="183" t="str">
        <f>IFERROR(_xlfn.XLOOKUP($A174,Raw_Data!$B:$B,Raw_Data!$KQ:$KQ),"")</f>
        <v/>
      </c>
      <c r="W174" s="184" t="str">
        <f t="shared" si="14"/>
        <v/>
      </c>
      <c r="X174" s="176" t="str">
        <f>IFERROR(_xlfn.XLOOKUP($A174,Raw_Data!$B:$B,Raw_Data!$KN:$KN),"")</f>
        <v/>
      </c>
      <c r="Y174" s="176" t="str">
        <f>IFERROR(_xlfn.XLOOKUP($A174,Raw_Data!$B:$B,Raw_Data!$KC:$KC),"")</f>
        <v/>
      </c>
      <c r="Z174" s="176" t="str">
        <f>IFERROR(_xlfn.XLOOKUP($A174,Raw_Data!$B:$B,Raw_Data!$KD:$KD),"")</f>
        <v/>
      </c>
      <c r="AA174" s="176" t="str">
        <f>IFERROR(_xlfn.XLOOKUP($A174,Raw_Data!$B:$B,Raw_Data!$KF:$KF),"")</f>
        <v/>
      </c>
      <c r="AB174" s="176" t="str">
        <f>IFERROR(_xlfn.XLOOKUP($A174,Raw_Data!$B:$B,Raw_Data!I:I)/1000,"")</f>
        <v/>
      </c>
      <c r="AC174" s="185">
        <f>IFERROR(_xlfn.XLOOKUP($D174,'Modelling New'!$D:$D,'Modelling New'!$P:$P),"")</f>
        <v>5.4433333333333334</v>
      </c>
      <c r="AD174" s="176">
        <f>IFERROR(_xlfn.XLOOKUP($D174,'Modelling New'!$D:$D,'Modelling New'!$T:$T)*1000,"")</f>
        <v>280472.45446379349</v>
      </c>
      <c r="AE174" s="186">
        <f>IFERROR(_xlfn.XLOOKUP($D174,'Modelling New'!$D:$D,'Modelling New'!$O:$O),"")</f>
        <v>0.77186524247721466</v>
      </c>
      <c r="AF174" s="186">
        <f>IFERROR(_xlfn.XLOOKUP($D174,'Modelling New'!$D:$D,'Modelling New'!$W:$W),"")</f>
        <v>0.1750633251340683</v>
      </c>
      <c r="AG174" s="186">
        <f>IFERROR(_xlfn.XLOOKUP($D174,'Modelling New'!$D:$D,'Modelling New'!$AE:$AE),"")</f>
        <v>0.995</v>
      </c>
      <c r="AH174" s="186">
        <f>IFERROR(_xlfn.XLOOKUP($D174,'Modelling New'!$D:$D,'Modelling New'!$AF:$AF),"")</f>
        <v>0.995</v>
      </c>
      <c r="AI174" s="177"/>
      <c r="AJ174" s="177"/>
      <c r="AK174" s="238"/>
      <c r="AL174" s="238"/>
      <c r="AM174" s="238"/>
      <c r="AN174" s="187"/>
      <c r="AO174" s="184"/>
      <c r="AP174" s="184"/>
      <c r="AQ174" s="184"/>
      <c r="AR174" s="176">
        <f>IFERROR(_xlfn.XLOOKUP($D173,'Modelling New'!$D:$D,'Modelling New'!$N:$N),"")</f>
        <v>66.754999999999995</v>
      </c>
      <c r="AS174" s="176"/>
    </row>
    <row r="175" spans="1:45" x14ac:dyDescent="0.25">
      <c r="A175" s="175">
        <f t="shared" si="11"/>
        <v>45918</v>
      </c>
      <c r="B175" s="176">
        <f>YEAR(Table13[[#This Row],[Date]])+IF(MONTH(Table13[[#This Row],[Date]])&gt;=4,1,0)</f>
        <v>2026</v>
      </c>
      <c r="C175" s="177">
        <f>YEAR(Table13[[#This Row],[Date]])</f>
        <v>2025</v>
      </c>
      <c r="D175" s="178">
        <f>Table13[[#This Row],[Date]]-DAY(Table13[[#This Row],[Date]])+1</f>
        <v>45901</v>
      </c>
      <c r="E175" s="177">
        <f t="shared" si="12"/>
        <v>30</v>
      </c>
      <c r="F175" s="179" t="str">
        <f>IFERROR(_xlfn.XLOOKUP($A175,Raw_Data!$B:$B,Raw_Data!$KG:$KG),"")</f>
        <v/>
      </c>
      <c r="G175" s="180" t="str">
        <f>IFERROR(_xlfn.XLOOKUP($A175,Raw_Data!$B:$B,Raw_Data!KH:KH),"")</f>
        <v/>
      </c>
      <c r="H175" s="180"/>
      <c r="I175" s="180" t="str">
        <f>IFERROR(_xlfn.XLOOKUP($A175,Raw_Data!$B:$B,Raw_Data!$KI:$KI),"")</f>
        <v/>
      </c>
      <c r="J175" s="180"/>
      <c r="K175" s="180" t="str">
        <f>IFERROR(_xlfn.XLOOKUP($A175,Raw_Data!$B:$B,Raw_Data!KJ:KJ),"")</f>
        <v/>
      </c>
      <c r="L175" s="180" t="str">
        <f>IFERROR(_xlfn.XLOOKUP($A175,Raw_Data!$B:$B,Raw_Data!KK:KK),"")</f>
        <v/>
      </c>
      <c r="M175" s="180" t="str">
        <f>IFERROR(_xlfn.XLOOKUP($A175,Raw_Data!$B:$B,Raw_Data!KL:KL),"")</f>
        <v/>
      </c>
      <c r="N175" s="180" t="str">
        <f>IFERROR(_xlfn.XLOOKUP($A175,Raw_Data!$B:$B,Raw_Data!KM:KM),"")</f>
        <v/>
      </c>
      <c r="O175" s="181" t="str">
        <f>IFERROR(1-SUMIF(PA!$B:$B,$A175,PA!AJ:AJ)/($AA175+SUMIF(PA!$B:$B,$A175,PA!AJ:AJ)),"")</f>
        <v/>
      </c>
      <c r="P175" s="181"/>
      <c r="Q175" s="182"/>
      <c r="R175" s="181" t="str">
        <f>IFERROR(1-SUMIF(GA!$C:$C,$A175,GA!$X:$X)/($AA175+SUMIF(GA!$C:$C,$A175,GA!$X:$X)),"")</f>
        <v/>
      </c>
      <c r="S175" s="177"/>
      <c r="T175" s="182"/>
      <c r="U175" s="183" t="str">
        <f t="shared" si="13"/>
        <v/>
      </c>
      <c r="V175" s="183" t="str">
        <f>IFERROR(_xlfn.XLOOKUP($A175,Raw_Data!$B:$B,Raw_Data!$KQ:$KQ),"")</f>
        <v/>
      </c>
      <c r="W175" s="184" t="str">
        <f t="shared" si="14"/>
        <v/>
      </c>
      <c r="X175" s="176" t="str">
        <f>IFERROR(_xlfn.XLOOKUP($A175,Raw_Data!$B:$B,Raw_Data!$KN:$KN),"")</f>
        <v/>
      </c>
      <c r="Y175" s="176" t="str">
        <f>IFERROR(_xlfn.XLOOKUP($A175,Raw_Data!$B:$B,Raw_Data!$KC:$KC),"")</f>
        <v/>
      </c>
      <c r="Z175" s="176" t="str">
        <f>IFERROR(_xlfn.XLOOKUP($A175,Raw_Data!$B:$B,Raw_Data!$KD:$KD),"")</f>
        <v/>
      </c>
      <c r="AA175" s="176" t="str">
        <f>IFERROR(_xlfn.XLOOKUP($A175,Raw_Data!$B:$B,Raw_Data!$KF:$KF),"")</f>
        <v/>
      </c>
      <c r="AB175" s="176" t="str">
        <f>IFERROR(_xlfn.XLOOKUP($A175,Raw_Data!$B:$B,Raw_Data!I:I)/1000,"")</f>
        <v/>
      </c>
      <c r="AC175" s="185">
        <f>IFERROR(_xlfn.XLOOKUP($D175,'Modelling New'!$D:$D,'Modelling New'!$P:$P),"")</f>
        <v>5.4433333333333334</v>
      </c>
      <c r="AD175" s="176">
        <f>IFERROR(_xlfn.XLOOKUP($D175,'Modelling New'!$D:$D,'Modelling New'!$T:$T)*1000,"")</f>
        <v>280472.45446379349</v>
      </c>
      <c r="AE175" s="186">
        <f>IFERROR(_xlfn.XLOOKUP($D175,'Modelling New'!$D:$D,'Modelling New'!$O:$O),"")</f>
        <v>0.77186524247721466</v>
      </c>
      <c r="AF175" s="186">
        <f>IFERROR(_xlfn.XLOOKUP($D175,'Modelling New'!$D:$D,'Modelling New'!$W:$W),"")</f>
        <v>0.1750633251340683</v>
      </c>
      <c r="AG175" s="186">
        <f>IFERROR(_xlfn.XLOOKUP($D175,'Modelling New'!$D:$D,'Modelling New'!$AE:$AE),"")</f>
        <v>0.995</v>
      </c>
      <c r="AH175" s="186">
        <f>IFERROR(_xlfn.XLOOKUP($D175,'Modelling New'!$D:$D,'Modelling New'!$AF:$AF),"")</f>
        <v>0.995</v>
      </c>
      <c r="AI175" s="177"/>
      <c r="AJ175" s="177"/>
      <c r="AK175" s="238"/>
      <c r="AL175" s="238"/>
      <c r="AM175" s="238"/>
      <c r="AN175" s="187"/>
      <c r="AO175" s="184"/>
      <c r="AP175" s="184"/>
      <c r="AQ175" s="184"/>
      <c r="AR175" s="176">
        <f>IFERROR(_xlfn.XLOOKUP($D174,'Modelling New'!$D:$D,'Modelling New'!$N:$N),"")</f>
        <v>66.754999999999995</v>
      </c>
      <c r="AS175" s="176"/>
    </row>
    <row r="176" spans="1:45" x14ac:dyDescent="0.25">
      <c r="A176" s="175">
        <f t="shared" si="11"/>
        <v>45919</v>
      </c>
      <c r="B176" s="176">
        <f>YEAR(Table13[[#This Row],[Date]])+IF(MONTH(Table13[[#This Row],[Date]])&gt;=4,1,0)</f>
        <v>2026</v>
      </c>
      <c r="C176" s="177">
        <f>YEAR(Table13[[#This Row],[Date]])</f>
        <v>2025</v>
      </c>
      <c r="D176" s="178">
        <f>Table13[[#This Row],[Date]]-DAY(Table13[[#This Row],[Date]])+1</f>
        <v>45901</v>
      </c>
      <c r="E176" s="177">
        <f t="shared" si="12"/>
        <v>30</v>
      </c>
      <c r="F176" s="179" t="str">
        <f>IFERROR(_xlfn.XLOOKUP($A176,Raw_Data!$B:$B,Raw_Data!$KG:$KG),"")</f>
        <v/>
      </c>
      <c r="G176" s="180" t="str">
        <f>IFERROR(_xlfn.XLOOKUP($A176,Raw_Data!$B:$B,Raw_Data!KH:KH),"")</f>
        <v/>
      </c>
      <c r="H176" s="180"/>
      <c r="I176" s="180" t="str">
        <f>IFERROR(_xlfn.XLOOKUP($A176,Raw_Data!$B:$B,Raw_Data!$KI:$KI),"")</f>
        <v/>
      </c>
      <c r="J176" s="180"/>
      <c r="K176" s="180" t="str">
        <f>IFERROR(_xlfn.XLOOKUP($A176,Raw_Data!$B:$B,Raw_Data!KJ:KJ),"")</f>
        <v/>
      </c>
      <c r="L176" s="180" t="str">
        <f>IFERROR(_xlfn.XLOOKUP($A176,Raw_Data!$B:$B,Raw_Data!KK:KK),"")</f>
        <v/>
      </c>
      <c r="M176" s="180" t="str">
        <f>IFERROR(_xlfn.XLOOKUP($A176,Raw_Data!$B:$B,Raw_Data!KL:KL),"")</f>
        <v/>
      </c>
      <c r="N176" s="180" t="str">
        <f>IFERROR(_xlfn.XLOOKUP($A176,Raw_Data!$B:$B,Raw_Data!KM:KM),"")</f>
        <v/>
      </c>
      <c r="O176" s="181" t="str">
        <f>IFERROR(1-SUMIF(PA!$B:$B,$A176,PA!AJ:AJ)/($AA176+SUMIF(PA!$B:$B,$A176,PA!AJ:AJ)),"")</f>
        <v/>
      </c>
      <c r="P176" s="181"/>
      <c r="Q176" s="182"/>
      <c r="R176" s="181" t="str">
        <f>IFERROR(1-SUMIF(GA!$C:$C,$A176,GA!$X:$X)/($AA176+SUMIF(GA!$C:$C,$A176,GA!$X:$X)),"")</f>
        <v/>
      </c>
      <c r="S176" s="177"/>
      <c r="T176" s="182"/>
      <c r="U176" s="183" t="str">
        <f t="shared" si="13"/>
        <v/>
      </c>
      <c r="V176" s="183" t="str">
        <f>IFERROR(_xlfn.XLOOKUP($A176,Raw_Data!$B:$B,Raw_Data!$KQ:$KQ),"")</f>
        <v/>
      </c>
      <c r="W176" s="184" t="str">
        <f t="shared" si="14"/>
        <v/>
      </c>
      <c r="X176" s="176" t="str">
        <f>IFERROR(_xlfn.XLOOKUP($A176,Raw_Data!$B:$B,Raw_Data!$KN:$KN),"")</f>
        <v/>
      </c>
      <c r="Y176" s="176" t="str">
        <f>IFERROR(_xlfn.XLOOKUP($A176,Raw_Data!$B:$B,Raw_Data!$KC:$KC),"")</f>
        <v/>
      </c>
      <c r="Z176" s="176" t="str">
        <f>IFERROR(_xlfn.XLOOKUP($A176,Raw_Data!$B:$B,Raw_Data!$KD:$KD),"")</f>
        <v/>
      </c>
      <c r="AA176" s="176" t="str">
        <f>IFERROR(_xlfn.XLOOKUP($A176,Raw_Data!$B:$B,Raw_Data!$KF:$KF),"")</f>
        <v/>
      </c>
      <c r="AB176" s="176" t="str">
        <f>IFERROR(_xlfn.XLOOKUP($A176,Raw_Data!$B:$B,Raw_Data!I:I)/1000,"")</f>
        <v/>
      </c>
      <c r="AC176" s="185">
        <f>IFERROR(_xlfn.XLOOKUP($D176,'Modelling New'!$D:$D,'Modelling New'!$P:$P),"")</f>
        <v>5.4433333333333334</v>
      </c>
      <c r="AD176" s="176">
        <f>IFERROR(_xlfn.XLOOKUP($D176,'Modelling New'!$D:$D,'Modelling New'!$T:$T)*1000,"")</f>
        <v>280472.45446379349</v>
      </c>
      <c r="AE176" s="186">
        <f>IFERROR(_xlfn.XLOOKUP($D176,'Modelling New'!$D:$D,'Modelling New'!$O:$O),"")</f>
        <v>0.77186524247721466</v>
      </c>
      <c r="AF176" s="186">
        <f>IFERROR(_xlfn.XLOOKUP($D176,'Modelling New'!$D:$D,'Modelling New'!$W:$W),"")</f>
        <v>0.1750633251340683</v>
      </c>
      <c r="AG176" s="186">
        <f>IFERROR(_xlfn.XLOOKUP($D176,'Modelling New'!$D:$D,'Modelling New'!$AE:$AE),"")</f>
        <v>0.995</v>
      </c>
      <c r="AH176" s="186">
        <f>IFERROR(_xlfn.XLOOKUP($D176,'Modelling New'!$D:$D,'Modelling New'!$AF:$AF),"")</f>
        <v>0.995</v>
      </c>
      <c r="AI176" s="177"/>
      <c r="AJ176" s="177"/>
      <c r="AK176" s="238"/>
      <c r="AL176" s="238"/>
      <c r="AM176" s="238"/>
      <c r="AN176" s="187"/>
      <c r="AO176" s="184"/>
      <c r="AP176" s="184"/>
      <c r="AQ176" s="184"/>
      <c r="AR176" s="176">
        <f>IFERROR(_xlfn.XLOOKUP($D175,'Modelling New'!$D:$D,'Modelling New'!$N:$N),"")</f>
        <v>66.754999999999995</v>
      </c>
      <c r="AS176" s="176"/>
    </row>
    <row r="177" spans="1:45" x14ac:dyDescent="0.25">
      <c r="A177" s="175">
        <f t="shared" si="11"/>
        <v>45920</v>
      </c>
      <c r="B177" s="176">
        <f>YEAR(Table13[[#This Row],[Date]])+IF(MONTH(Table13[[#This Row],[Date]])&gt;=4,1,0)</f>
        <v>2026</v>
      </c>
      <c r="C177" s="177">
        <f>YEAR(Table13[[#This Row],[Date]])</f>
        <v>2025</v>
      </c>
      <c r="D177" s="178">
        <f>Table13[[#This Row],[Date]]-DAY(Table13[[#This Row],[Date]])+1</f>
        <v>45901</v>
      </c>
      <c r="E177" s="177">
        <f t="shared" si="12"/>
        <v>30</v>
      </c>
      <c r="F177" s="179" t="str">
        <f>IFERROR(_xlfn.XLOOKUP($A177,Raw_Data!$B:$B,Raw_Data!$KG:$KG),"")</f>
        <v/>
      </c>
      <c r="G177" s="180" t="str">
        <f>IFERROR(_xlfn.XLOOKUP($A177,Raw_Data!$B:$B,Raw_Data!KH:KH),"")</f>
        <v/>
      </c>
      <c r="H177" s="180"/>
      <c r="I177" s="180" t="str">
        <f>IFERROR(_xlfn.XLOOKUP($A177,Raw_Data!$B:$B,Raw_Data!$KI:$KI),"")</f>
        <v/>
      </c>
      <c r="J177" s="180"/>
      <c r="K177" s="180" t="str">
        <f>IFERROR(_xlfn.XLOOKUP($A177,Raw_Data!$B:$B,Raw_Data!KJ:KJ),"")</f>
        <v/>
      </c>
      <c r="L177" s="180" t="str">
        <f>IFERROR(_xlfn.XLOOKUP($A177,Raw_Data!$B:$B,Raw_Data!KK:KK),"")</f>
        <v/>
      </c>
      <c r="M177" s="180" t="str">
        <f>IFERROR(_xlfn.XLOOKUP($A177,Raw_Data!$B:$B,Raw_Data!KL:KL),"")</f>
        <v/>
      </c>
      <c r="N177" s="180" t="str">
        <f>IFERROR(_xlfn.XLOOKUP($A177,Raw_Data!$B:$B,Raw_Data!KM:KM),"")</f>
        <v/>
      </c>
      <c r="O177" s="181" t="str">
        <f>IFERROR(1-SUMIF(PA!$B:$B,$A177,PA!AJ:AJ)/($AA177+SUMIF(PA!$B:$B,$A177,PA!AJ:AJ)),"")</f>
        <v/>
      </c>
      <c r="P177" s="181"/>
      <c r="Q177" s="182"/>
      <c r="R177" s="181" t="str">
        <f>IFERROR(1-SUMIF(GA!$C:$C,$A177,GA!$X:$X)/($AA177+SUMIF(GA!$C:$C,$A177,GA!$X:$X)),"")</f>
        <v/>
      </c>
      <c r="S177" s="177"/>
      <c r="T177" s="182"/>
      <c r="U177" s="183" t="str">
        <f t="shared" si="13"/>
        <v/>
      </c>
      <c r="V177" s="183" t="str">
        <f>IFERROR(_xlfn.XLOOKUP($A177,Raw_Data!$B:$B,Raw_Data!$KQ:$KQ),"")</f>
        <v/>
      </c>
      <c r="W177" s="184" t="str">
        <f t="shared" si="14"/>
        <v/>
      </c>
      <c r="X177" s="176" t="str">
        <f>IFERROR(_xlfn.XLOOKUP($A177,Raw_Data!$B:$B,Raw_Data!$KN:$KN),"")</f>
        <v/>
      </c>
      <c r="Y177" s="176" t="str">
        <f>IFERROR(_xlfn.XLOOKUP($A177,Raw_Data!$B:$B,Raw_Data!$KC:$KC),"")</f>
        <v/>
      </c>
      <c r="Z177" s="176" t="str">
        <f>IFERROR(_xlfn.XLOOKUP($A177,Raw_Data!$B:$B,Raw_Data!$KD:$KD),"")</f>
        <v/>
      </c>
      <c r="AA177" s="176" t="str">
        <f>IFERROR(_xlfn.XLOOKUP($A177,Raw_Data!$B:$B,Raw_Data!$KF:$KF),"")</f>
        <v/>
      </c>
      <c r="AB177" s="176" t="str">
        <f>IFERROR(_xlfn.XLOOKUP($A177,Raw_Data!$B:$B,Raw_Data!I:I)/1000,"")</f>
        <v/>
      </c>
      <c r="AC177" s="185">
        <f>IFERROR(_xlfn.XLOOKUP($D177,'Modelling New'!$D:$D,'Modelling New'!$P:$P),"")</f>
        <v>5.4433333333333334</v>
      </c>
      <c r="AD177" s="176">
        <f>IFERROR(_xlfn.XLOOKUP($D177,'Modelling New'!$D:$D,'Modelling New'!$T:$T)*1000,"")</f>
        <v>280472.45446379349</v>
      </c>
      <c r="AE177" s="186">
        <f>IFERROR(_xlfn.XLOOKUP($D177,'Modelling New'!$D:$D,'Modelling New'!$O:$O),"")</f>
        <v>0.77186524247721466</v>
      </c>
      <c r="AF177" s="186">
        <f>IFERROR(_xlfn.XLOOKUP($D177,'Modelling New'!$D:$D,'Modelling New'!$W:$W),"")</f>
        <v>0.1750633251340683</v>
      </c>
      <c r="AG177" s="186">
        <f>IFERROR(_xlfn.XLOOKUP($D177,'Modelling New'!$D:$D,'Modelling New'!$AE:$AE),"")</f>
        <v>0.995</v>
      </c>
      <c r="AH177" s="186">
        <f>IFERROR(_xlfn.XLOOKUP($D177,'Modelling New'!$D:$D,'Modelling New'!$AF:$AF),"")</f>
        <v>0.995</v>
      </c>
      <c r="AI177" s="177"/>
      <c r="AJ177" s="177"/>
      <c r="AK177" s="238"/>
      <c r="AL177" s="238"/>
      <c r="AM177" s="238"/>
      <c r="AN177" s="187"/>
      <c r="AO177" s="184"/>
      <c r="AP177" s="184"/>
      <c r="AQ177" s="184"/>
      <c r="AR177" s="176">
        <f>IFERROR(_xlfn.XLOOKUP($D176,'Modelling New'!$D:$D,'Modelling New'!$N:$N),"")</f>
        <v>66.754999999999995</v>
      </c>
      <c r="AS177" s="176"/>
    </row>
    <row r="178" spans="1:45" x14ac:dyDescent="0.25">
      <c r="A178" s="175">
        <f t="shared" si="11"/>
        <v>45921</v>
      </c>
      <c r="B178" s="176">
        <f>YEAR(Table13[[#This Row],[Date]])+IF(MONTH(Table13[[#This Row],[Date]])&gt;=4,1,0)</f>
        <v>2026</v>
      </c>
      <c r="C178" s="177">
        <f>YEAR(Table13[[#This Row],[Date]])</f>
        <v>2025</v>
      </c>
      <c r="D178" s="178">
        <f>Table13[[#This Row],[Date]]-DAY(Table13[[#This Row],[Date]])+1</f>
        <v>45901</v>
      </c>
      <c r="E178" s="177">
        <f t="shared" si="12"/>
        <v>30</v>
      </c>
      <c r="F178" s="179" t="str">
        <f>IFERROR(_xlfn.XLOOKUP($A178,Raw_Data!$B:$B,Raw_Data!$KG:$KG),"")</f>
        <v/>
      </c>
      <c r="G178" s="180" t="str">
        <f>IFERROR(_xlfn.XLOOKUP($A178,Raw_Data!$B:$B,Raw_Data!KH:KH),"")</f>
        <v/>
      </c>
      <c r="H178" s="180"/>
      <c r="I178" s="180" t="str">
        <f>IFERROR(_xlfn.XLOOKUP($A178,Raw_Data!$B:$B,Raw_Data!$KI:$KI),"")</f>
        <v/>
      </c>
      <c r="J178" s="180"/>
      <c r="K178" s="180" t="str">
        <f>IFERROR(_xlfn.XLOOKUP($A178,Raw_Data!$B:$B,Raw_Data!KJ:KJ),"")</f>
        <v/>
      </c>
      <c r="L178" s="180" t="str">
        <f>IFERROR(_xlfn.XLOOKUP($A178,Raw_Data!$B:$B,Raw_Data!KK:KK),"")</f>
        <v/>
      </c>
      <c r="M178" s="180" t="str">
        <f>IFERROR(_xlfn.XLOOKUP($A178,Raw_Data!$B:$B,Raw_Data!KL:KL),"")</f>
        <v/>
      </c>
      <c r="N178" s="180" t="str">
        <f>IFERROR(_xlfn.XLOOKUP($A178,Raw_Data!$B:$B,Raw_Data!KM:KM),"")</f>
        <v/>
      </c>
      <c r="O178" s="181" t="str">
        <f>IFERROR(1-SUMIF(PA!$B:$B,$A178,PA!AJ:AJ)/($AA178+SUMIF(PA!$B:$B,$A178,PA!AJ:AJ)),"")</f>
        <v/>
      </c>
      <c r="P178" s="181"/>
      <c r="Q178" s="182"/>
      <c r="R178" s="181" t="str">
        <f>IFERROR(1-SUMIF(GA!$C:$C,$A178,GA!$X:$X)/($AA178+SUMIF(GA!$C:$C,$A178,GA!$X:$X)),"")</f>
        <v/>
      </c>
      <c r="S178" s="177"/>
      <c r="T178" s="182"/>
      <c r="U178" s="183" t="str">
        <f t="shared" si="13"/>
        <v/>
      </c>
      <c r="V178" s="183" t="str">
        <f>IFERROR(_xlfn.XLOOKUP($A178,Raw_Data!$B:$B,Raw_Data!$KQ:$KQ),"")</f>
        <v/>
      </c>
      <c r="W178" s="184" t="str">
        <f t="shared" si="14"/>
        <v/>
      </c>
      <c r="X178" s="176" t="str">
        <f>IFERROR(_xlfn.XLOOKUP($A178,Raw_Data!$B:$B,Raw_Data!$KN:$KN),"")</f>
        <v/>
      </c>
      <c r="Y178" s="176" t="str">
        <f>IFERROR(_xlfn.XLOOKUP($A178,Raw_Data!$B:$B,Raw_Data!$KC:$KC),"")</f>
        <v/>
      </c>
      <c r="Z178" s="176" t="str">
        <f>IFERROR(_xlfn.XLOOKUP($A178,Raw_Data!$B:$B,Raw_Data!$KD:$KD),"")</f>
        <v/>
      </c>
      <c r="AA178" s="176" t="str">
        <f>IFERROR(_xlfn.XLOOKUP($A178,Raw_Data!$B:$B,Raw_Data!$KF:$KF),"")</f>
        <v/>
      </c>
      <c r="AB178" s="176" t="str">
        <f>IFERROR(_xlfn.XLOOKUP($A178,Raw_Data!$B:$B,Raw_Data!I:I)/1000,"")</f>
        <v/>
      </c>
      <c r="AC178" s="185">
        <f>IFERROR(_xlfn.XLOOKUP($D178,'Modelling New'!$D:$D,'Modelling New'!$P:$P),"")</f>
        <v>5.4433333333333334</v>
      </c>
      <c r="AD178" s="176">
        <f>IFERROR(_xlfn.XLOOKUP($D178,'Modelling New'!$D:$D,'Modelling New'!$T:$T)*1000,"")</f>
        <v>280472.45446379349</v>
      </c>
      <c r="AE178" s="186">
        <f>IFERROR(_xlfn.XLOOKUP($D178,'Modelling New'!$D:$D,'Modelling New'!$O:$O),"")</f>
        <v>0.77186524247721466</v>
      </c>
      <c r="AF178" s="186">
        <f>IFERROR(_xlfn.XLOOKUP($D178,'Modelling New'!$D:$D,'Modelling New'!$W:$W),"")</f>
        <v>0.1750633251340683</v>
      </c>
      <c r="AG178" s="186">
        <f>IFERROR(_xlfn.XLOOKUP($D178,'Modelling New'!$D:$D,'Modelling New'!$AE:$AE),"")</f>
        <v>0.995</v>
      </c>
      <c r="AH178" s="186">
        <f>IFERROR(_xlfn.XLOOKUP($D178,'Modelling New'!$D:$D,'Modelling New'!$AF:$AF),"")</f>
        <v>0.995</v>
      </c>
      <c r="AI178" s="177"/>
      <c r="AJ178" s="177"/>
      <c r="AK178" s="238"/>
      <c r="AL178" s="238"/>
      <c r="AM178" s="238"/>
      <c r="AN178" s="187"/>
      <c r="AO178" s="184"/>
      <c r="AP178" s="184"/>
      <c r="AQ178" s="184"/>
      <c r="AR178" s="176">
        <f>IFERROR(_xlfn.XLOOKUP($D177,'Modelling New'!$D:$D,'Modelling New'!$N:$N),"")</f>
        <v>66.754999999999995</v>
      </c>
      <c r="AS178" s="176"/>
    </row>
    <row r="179" spans="1:45" x14ac:dyDescent="0.25">
      <c r="A179" s="175">
        <f t="shared" si="11"/>
        <v>45922</v>
      </c>
      <c r="B179" s="176">
        <f>YEAR(Table13[[#This Row],[Date]])+IF(MONTH(Table13[[#This Row],[Date]])&gt;=4,1,0)</f>
        <v>2026</v>
      </c>
      <c r="C179" s="177">
        <f>YEAR(Table13[[#This Row],[Date]])</f>
        <v>2025</v>
      </c>
      <c r="D179" s="178">
        <f>Table13[[#This Row],[Date]]-DAY(Table13[[#This Row],[Date]])+1</f>
        <v>45901</v>
      </c>
      <c r="E179" s="177">
        <f t="shared" si="12"/>
        <v>30</v>
      </c>
      <c r="F179" s="179" t="str">
        <f>IFERROR(_xlfn.XLOOKUP($A179,Raw_Data!$B:$B,Raw_Data!$KG:$KG),"")</f>
        <v/>
      </c>
      <c r="G179" s="180" t="str">
        <f>IFERROR(_xlfn.XLOOKUP($A179,Raw_Data!$B:$B,Raw_Data!KH:KH),"")</f>
        <v/>
      </c>
      <c r="H179" s="180"/>
      <c r="I179" s="180" t="str">
        <f>IFERROR(_xlfn.XLOOKUP($A179,Raw_Data!$B:$B,Raw_Data!$KI:$KI),"")</f>
        <v/>
      </c>
      <c r="J179" s="180"/>
      <c r="K179" s="180" t="str">
        <f>IFERROR(_xlfn.XLOOKUP($A179,Raw_Data!$B:$B,Raw_Data!KJ:KJ),"")</f>
        <v/>
      </c>
      <c r="L179" s="180" t="str">
        <f>IFERROR(_xlfn.XLOOKUP($A179,Raw_Data!$B:$B,Raw_Data!KK:KK),"")</f>
        <v/>
      </c>
      <c r="M179" s="180" t="str">
        <f>IFERROR(_xlfn.XLOOKUP($A179,Raw_Data!$B:$B,Raw_Data!KL:KL),"")</f>
        <v/>
      </c>
      <c r="N179" s="180" t="str">
        <f>IFERROR(_xlfn.XLOOKUP($A179,Raw_Data!$B:$B,Raw_Data!KM:KM),"")</f>
        <v/>
      </c>
      <c r="O179" s="181" t="str">
        <f>IFERROR(1-SUMIF(PA!$B:$B,$A179,PA!AJ:AJ)/($AA179+SUMIF(PA!$B:$B,$A179,PA!AJ:AJ)),"")</f>
        <v/>
      </c>
      <c r="P179" s="181"/>
      <c r="Q179" s="182"/>
      <c r="R179" s="181" t="str">
        <f>IFERROR(1-SUMIF(GA!$C:$C,$A179,GA!$X:$X)/($AA179+SUMIF(GA!$C:$C,$A179,GA!$X:$X)),"")</f>
        <v/>
      </c>
      <c r="S179" s="177"/>
      <c r="T179" s="182"/>
      <c r="U179" s="183" t="str">
        <f t="shared" si="13"/>
        <v/>
      </c>
      <c r="V179" s="183" t="str">
        <f>IFERROR(_xlfn.XLOOKUP($A179,Raw_Data!$B:$B,Raw_Data!$KQ:$KQ),"")</f>
        <v/>
      </c>
      <c r="W179" s="184" t="str">
        <f t="shared" si="14"/>
        <v/>
      </c>
      <c r="X179" s="176" t="str">
        <f>IFERROR(_xlfn.XLOOKUP($A179,Raw_Data!$B:$B,Raw_Data!$KN:$KN),"")</f>
        <v/>
      </c>
      <c r="Y179" s="176" t="str">
        <f>IFERROR(_xlfn.XLOOKUP($A179,Raw_Data!$B:$B,Raw_Data!$KC:$KC),"")</f>
        <v/>
      </c>
      <c r="Z179" s="176" t="str">
        <f>IFERROR(_xlfn.XLOOKUP($A179,Raw_Data!$B:$B,Raw_Data!$KD:$KD),"")</f>
        <v/>
      </c>
      <c r="AA179" s="176" t="str">
        <f>IFERROR(_xlfn.XLOOKUP($A179,Raw_Data!$B:$B,Raw_Data!$KF:$KF),"")</f>
        <v/>
      </c>
      <c r="AB179" s="176" t="str">
        <f>IFERROR(_xlfn.XLOOKUP($A179,Raw_Data!$B:$B,Raw_Data!I:I)/1000,"")</f>
        <v/>
      </c>
      <c r="AC179" s="185">
        <f>IFERROR(_xlfn.XLOOKUP($D179,'Modelling New'!$D:$D,'Modelling New'!$P:$P),"")</f>
        <v>5.4433333333333334</v>
      </c>
      <c r="AD179" s="176">
        <f>IFERROR(_xlfn.XLOOKUP($D179,'Modelling New'!$D:$D,'Modelling New'!$T:$T)*1000,"")</f>
        <v>280472.45446379349</v>
      </c>
      <c r="AE179" s="186">
        <f>IFERROR(_xlfn.XLOOKUP($D179,'Modelling New'!$D:$D,'Modelling New'!$O:$O),"")</f>
        <v>0.77186524247721466</v>
      </c>
      <c r="AF179" s="186">
        <f>IFERROR(_xlfn.XLOOKUP($D179,'Modelling New'!$D:$D,'Modelling New'!$W:$W),"")</f>
        <v>0.1750633251340683</v>
      </c>
      <c r="AG179" s="186">
        <f>IFERROR(_xlfn.XLOOKUP($D179,'Modelling New'!$D:$D,'Modelling New'!$AE:$AE),"")</f>
        <v>0.995</v>
      </c>
      <c r="AH179" s="186">
        <f>IFERROR(_xlfn.XLOOKUP($D179,'Modelling New'!$D:$D,'Modelling New'!$AF:$AF),"")</f>
        <v>0.995</v>
      </c>
      <c r="AI179" s="177"/>
      <c r="AJ179" s="177"/>
      <c r="AK179" s="238"/>
      <c r="AL179" s="238"/>
      <c r="AM179" s="238"/>
      <c r="AN179" s="187"/>
      <c r="AO179" s="184"/>
      <c r="AP179" s="184"/>
      <c r="AQ179" s="184"/>
      <c r="AR179" s="176">
        <f>IFERROR(_xlfn.XLOOKUP($D178,'Modelling New'!$D:$D,'Modelling New'!$N:$N),"")</f>
        <v>66.754999999999995</v>
      </c>
      <c r="AS179" s="176"/>
    </row>
    <row r="180" spans="1:45" x14ac:dyDescent="0.25">
      <c r="A180" s="175">
        <f t="shared" si="11"/>
        <v>45923</v>
      </c>
      <c r="B180" s="176">
        <f>YEAR(Table13[[#This Row],[Date]])+IF(MONTH(Table13[[#This Row],[Date]])&gt;=4,1,0)</f>
        <v>2026</v>
      </c>
      <c r="C180" s="177">
        <f>YEAR(Table13[[#This Row],[Date]])</f>
        <v>2025</v>
      </c>
      <c r="D180" s="178">
        <f>Table13[[#This Row],[Date]]-DAY(Table13[[#This Row],[Date]])+1</f>
        <v>45901</v>
      </c>
      <c r="E180" s="177">
        <f t="shared" si="12"/>
        <v>30</v>
      </c>
      <c r="F180" s="179" t="str">
        <f>IFERROR(_xlfn.XLOOKUP($A180,Raw_Data!$B:$B,Raw_Data!$KG:$KG),"")</f>
        <v/>
      </c>
      <c r="G180" s="180" t="str">
        <f>IFERROR(_xlfn.XLOOKUP($A180,Raw_Data!$B:$B,Raw_Data!KH:KH),"")</f>
        <v/>
      </c>
      <c r="H180" s="180"/>
      <c r="I180" s="180" t="str">
        <f>IFERROR(_xlfn.XLOOKUP($A180,Raw_Data!$B:$B,Raw_Data!$KI:$KI),"")</f>
        <v/>
      </c>
      <c r="J180" s="180"/>
      <c r="K180" s="180" t="str">
        <f>IFERROR(_xlfn.XLOOKUP($A180,Raw_Data!$B:$B,Raw_Data!KJ:KJ),"")</f>
        <v/>
      </c>
      <c r="L180" s="180" t="str">
        <f>IFERROR(_xlfn.XLOOKUP($A180,Raw_Data!$B:$B,Raw_Data!KK:KK),"")</f>
        <v/>
      </c>
      <c r="M180" s="180" t="str">
        <f>IFERROR(_xlfn.XLOOKUP($A180,Raw_Data!$B:$B,Raw_Data!KL:KL),"")</f>
        <v/>
      </c>
      <c r="N180" s="180" t="str">
        <f>IFERROR(_xlfn.XLOOKUP($A180,Raw_Data!$B:$B,Raw_Data!KM:KM),"")</f>
        <v/>
      </c>
      <c r="O180" s="181" t="str">
        <f>IFERROR(1-SUMIF(PA!$B:$B,$A180,PA!AJ:AJ)/($AA180+SUMIF(PA!$B:$B,$A180,PA!AJ:AJ)),"")</f>
        <v/>
      </c>
      <c r="P180" s="181"/>
      <c r="Q180" s="182"/>
      <c r="R180" s="181" t="str">
        <f>IFERROR(1-SUMIF(GA!$C:$C,$A180,GA!$X:$X)/($AA180+SUMIF(GA!$C:$C,$A180,GA!$X:$X)),"")</f>
        <v/>
      </c>
      <c r="S180" s="177"/>
      <c r="T180" s="182"/>
      <c r="U180" s="183" t="str">
        <f t="shared" si="13"/>
        <v/>
      </c>
      <c r="V180" s="183" t="str">
        <f>IFERROR(_xlfn.XLOOKUP($A180,Raw_Data!$B:$B,Raw_Data!$KQ:$KQ),"")</f>
        <v/>
      </c>
      <c r="W180" s="184" t="str">
        <f t="shared" si="14"/>
        <v/>
      </c>
      <c r="X180" s="176" t="str">
        <f>IFERROR(_xlfn.XLOOKUP($A180,Raw_Data!$B:$B,Raw_Data!$KN:$KN),"")</f>
        <v/>
      </c>
      <c r="Y180" s="176" t="str">
        <f>IFERROR(_xlfn.XLOOKUP($A180,Raw_Data!$B:$B,Raw_Data!$KC:$KC),"")</f>
        <v/>
      </c>
      <c r="Z180" s="176" t="str">
        <f>IFERROR(_xlfn.XLOOKUP($A180,Raw_Data!$B:$B,Raw_Data!$KD:$KD),"")</f>
        <v/>
      </c>
      <c r="AA180" s="176" t="str">
        <f>IFERROR(_xlfn.XLOOKUP($A180,Raw_Data!$B:$B,Raw_Data!$KF:$KF),"")</f>
        <v/>
      </c>
      <c r="AB180" s="176" t="str">
        <f>IFERROR(_xlfn.XLOOKUP($A180,Raw_Data!$B:$B,Raw_Data!I:I)/1000,"")</f>
        <v/>
      </c>
      <c r="AC180" s="185">
        <f>IFERROR(_xlfn.XLOOKUP($D180,'Modelling New'!$D:$D,'Modelling New'!$P:$P),"")</f>
        <v>5.4433333333333334</v>
      </c>
      <c r="AD180" s="176">
        <f>IFERROR(_xlfn.XLOOKUP($D180,'Modelling New'!$D:$D,'Modelling New'!$T:$T)*1000,"")</f>
        <v>280472.45446379349</v>
      </c>
      <c r="AE180" s="186">
        <f>IFERROR(_xlfn.XLOOKUP($D180,'Modelling New'!$D:$D,'Modelling New'!$O:$O),"")</f>
        <v>0.77186524247721466</v>
      </c>
      <c r="AF180" s="186">
        <f>IFERROR(_xlfn.XLOOKUP($D180,'Modelling New'!$D:$D,'Modelling New'!$W:$W),"")</f>
        <v>0.1750633251340683</v>
      </c>
      <c r="AG180" s="186">
        <f>IFERROR(_xlfn.XLOOKUP($D180,'Modelling New'!$D:$D,'Modelling New'!$AE:$AE),"")</f>
        <v>0.995</v>
      </c>
      <c r="AH180" s="186">
        <f>IFERROR(_xlfn.XLOOKUP($D180,'Modelling New'!$D:$D,'Modelling New'!$AF:$AF),"")</f>
        <v>0.995</v>
      </c>
      <c r="AI180" s="177"/>
      <c r="AJ180" s="177"/>
      <c r="AK180" s="238"/>
      <c r="AL180" s="238"/>
      <c r="AM180" s="238"/>
      <c r="AN180" s="187"/>
      <c r="AO180" s="184"/>
      <c r="AP180" s="184"/>
      <c r="AQ180" s="184"/>
      <c r="AR180" s="176">
        <f>IFERROR(_xlfn.XLOOKUP($D179,'Modelling New'!$D:$D,'Modelling New'!$N:$N),"")</f>
        <v>66.754999999999995</v>
      </c>
      <c r="AS180" s="176"/>
    </row>
    <row r="181" spans="1:45" x14ac:dyDescent="0.25">
      <c r="A181" s="175">
        <f t="shared" si="11"/>
        <v>45924</v>
      </c>
      <c r="B181" s="176">
        <f>YEAR(Table13[[#This Row],[Date]])+IF(MONTH(Table13[[#This Row],[Date]])&gt;=4,1,0)</f>
        <v>2026</v>
      </c>
      <c r="C181" s="177">
        <f>YEAR(Table13[[#This Row],[Date]])</f>
        <v>2025</v>
      </c>
      <c r="D181" s="178">
        <f>Table13[[#This Row],[Date]]-DAY(Table13[[#This Row],[Date]])+1</f>
        <v>45901</v>
      </c>
      <c r="E181" s="177">
        <f t="shared" si="12"/>
        <v>30</v>
      </c>
      <c r="F181" s="179" t="str">
        <f>IFERROR(_xlfn.XLOOKUP($A181,Raw_Data!$B:$B,Raw_Data!$KG:$KG),"")</f>
        <v/>
      </c>
      <c r="G181" s="180" t="str">
        <f>IFERROR(_xlfn.XLOOKUP($A181,Raw_Data!$B:$B,Raw_Data!KH:KH),"")</f>
        <v/>
      </c>
      <c r="H181" s="180"/>
      <c r="I181" s="180" t="str">
        <f>IFERROR(_xlfn.XLOOKUP($A181,Raw_Data!$B:$B,Raw_Data!$KI:$KI),"")</f>
        <v/>
      </c>
      <c r="J181" s="180"/>
      <c r="K181" s="180" t="str">
        <f>IFERROR(_xlfn.XLOOKUP($A181,Raw_Data!$B:$B,Raw_Data!KJ:KJ),"")</f>
        <v/>
      </c>
      <c r="L181" s="180" t="str">
        <f>IFERROR(_xlfn.XLOOKUP($A181,Raw_Data!$B:$B,Raw_Data!KK:KK),"")</f>
        <v/>
      </c>
      <c r="M181" s="180" t="str">
        <f>IFERROR(_xlfn.XLOOKUP($A181,Raw_Data!$B:$B,Raw_Data!KL:KL),"")</f>
        <v/>
      </c>
      <c r="N181" s="180" t="str">
        <f>IFERROR(_xlfn.XLOOKUP($A181,Raw_Data!$B:$B,Raw_Data!KM:KM),"")</f>
        <v/>
      </c>
      <c r="O181" s="181" t="str">
        <f>IFERROR(1-SUMIF(PA!$B:$B,$A181,PA!AJ:AJ)/($AA181+SUMIF(PA!$B:$B,$A181,PA!AJ:AJ)),"")</f>
        <v/>
      </c>
      <c r="P181" s="181"/>
      <c r="Q181" s="182"/>
      <c r="R181" s="181" t="str">
        <f>IFERROR(1-SUMIF(GA!$C:$C,$A181,GA!$X:$X)/($AA181+SUMIF(GA!$C:$C,$A181,GA!$X:$X)),"")</f>
        <v/>
      </c>
      <c r="S181" s="177"/>
      <c r="T181" s="182"/>
      <c r="U181" s="183" t="str">
        <f t="shared" si="13"/>
        <v/>
      </c>
      <c r="V181" s="183" t="str">
        <f>IFERROR(_xlfn.XLOOKUP($A181,Raw_Data!$B:$B,Raw_Data!$KQ:$KQ),"")</f>
        <v/>
      </c>
      <c r="W181" s="184" t="str">
        <f t="shared" si="14"/>
        <v/>
      </c>
      <c r="X181" s="176" t="str">
        <f>IFERROR(_xlfn.XLOOKUP($A181,Raw_Data!$B:$B,Raw_Data!$KN:$KN),"")</f>
        <v/>
      </c>
      <c r="Y181" s="176" t="str">
        <f>IFERROR(_xlfn.XLOOKUP($A181,Raw_Data!$B:$B,Raw_Data!$KC:$KC),"")</f>
        <v/>
      </c>
      <c r="Z181" s="176" t="str">
        <f>IFERROR(_xlfn.XLOOKUP($A181,Raw_Data!$B:$B,Raw_Data!$KD:$KD),"")</f>
        <v/>
      </c>
      <c r="AA181" s="176" t="str">
        <f>IFERROR(_xlfn.XLOOKUP($A181,Raw_Data!$B:$B,Raw_Data!$KF:$KF),"")</f>
        <v/>
      </c>
      <c r="AB181" s="176" t="str">
        <f>IFERROR(_xlfn.XLOOKUP($A181,Raw_Data!$B:$B,Raw_Data!I:I)/1000,"")</f>
        <v/>
      </c>
      <c r="AC181" s="185">
        <f>IFERROR(_xlfn.XLOOKUP($D181,'Modelling New'!$D:$D,'Modelling New'!$P:$P),"")</f>
        <v>5.4433333333333334</v>
      </c>
      <c r="AD181" s="176">
        <f>IFERROR(_xlfn.XLOOKUP($D181,'Modelling New'!$D:$D,'Modelling New'!$T:$T)*1000,"")</f>
        <v>280472.45446379349</v>
      </c>
      <c r="AE181" s="186">
        <f>IFERROR(_xlfn.XLOOKUP($D181,'Modelling New'!$D:$D,'Modelling New'!$O:$O),"")</f>
        <v>0.77186524247721466</v>
      </c>
      <c r="AF181" s="186">
        <f>IFERROR(_xlfn.XLOOKUP($D181,'Modelling New'!$D:$D,'Modelling New'!$W:$W),"")</f>
        <v>0.1750633251340683</v>
      </c>
      <c r="AG181" s="186">
        <f>IFERROR(_xlfn.XLOOKUP($D181,'Modelling New'!$D:$D,'Modelling New'!$AE:$AE),"")</f>
        <v>0.995</v>
      </c>
      <c r="AH181" s="186">
        <f>IFERROR(_xlfn.XLOOKUP($D181,'Modelling New'!$D:$D,'Modelling New'!$AF:$AF),"")</f>
        <v>0.995</v>
      </c>
      <c r="AI181" s="177"/>
      <c r="AJ181" s="177"/>
      <c r="AK181" s="238"/>
      <c r="AL181" s="238"/>
      <c r="AM181" s="238"/>
      <c r="AN181" s="187"/>
      <c r="AO181" s="184"/>
      <c r="AP181" s="184"/>
      <c r="AQ181" s="184"/>
      <c r="AR181" s="176">
        <f>IFERROR(_xlfn.XLOOKUP($D180,'Modelling New'!$D:$D,'Modelling New'!$N:$N),"")</f>
        <v>66.754999999999995</v>
      </c>
      <c r="AS181" s="176"/>
    </row>
    <row r="182" spans="1:45" x14ac:dyDescent="0.25">
      <c r="A182" s="175">
        <f t="shared" si="11"/>
        <v>45925</v>
      </c>
      <c r="B182" s="176">
        <f>YEAR(Table13[[#This Row],[Date]])+IF(MONTH(Table13[[#This Row],[Date]])&gt;=4,1,0)</f>
        <v>2026</v>
      </c>
      <c r="C182" s="177">
        <f>YEAR(Table13[[#This Row],[Date]])</f>
        <v>2025</v>
      </c>
      <c r="D182" s="178">
        <f>Table13[[#This Row],[Date]]-DAY(Table13[[#This Row],[Date]])+1</f>
        <v>45901</v>
      </c>
      <c r="E182" s="177">
        <f t="shared" si="12"/>
        <v>30</v>
      </c>
      <c r="F182" s="179" t="str">
        <f>IFERROR(_xlfn.XLOOKUP($A182,Raw_Data!$B:$B,Raw_Data!$KG:$KG),"")</f>
        <v/>
      </c>
      <c r="G182" s="180" t="str">
        <f>IFERROR(_xlfn.XLOOKUP($A182,Raw_Data!$B:$B,Raw_Data!KH:KH),"")</f>
        <v/>
      </c>
      <c r="H182" s="180"/>
      <c r="I182" s="180" t="str">
        <f>IFERROR(_xlfn.XLOOKUP($A182,Raw_Data!$B:$B,Raw_Data!$KI:$KI),"")</f>
        <v/>
      </c>
      <c r="J182" s="180"/>
      <c r="K182" s="180" t="str">
        <f>IFERROR(_xlfn.XLOOKUP($A182,Raw_Data!$B:$B,Raw_Data!KJ:KJ),"")</f>
        <v/>
      </c>
      <c r="L182" s="180" t="str">
        <f>IFERROR(_xlfn.XLOOKUP($A182,Raw_Data!$B:$B,Raw_Data!KK:KK),"")</f>
        <v/>
      </c>
      <c r="M182" s="180" t="str">
        <f>IFERROR(_xlfn.XLOOKUP($A182,Raw_Data!$B:$B,Raw_Data!KL:KL),"")</f>
        <v/>
      </c>
      <c r="N182" s="180" t="str">
        <f>IFERROR(_xlfn.XLOOKUP($A182,Raw_Data!$B:$B,Raw_Data!KM:KM),"")</f>
        <v/>
      </c>
      <c r="O182" s="181" t="str">
        <f>IFERROR(1-SUMIF(PA!$B:$B,$A182,PA!AJ:AJ)/($AA182+SUMIF(PA!$B:$B,$A182,PA!AJ:AJ)),"")</f>
        <v/>
      </c>
      <c r="P182" s="181"/>
      <c r="Q182" s="182"/>
      <c r="R182" s="181" t="str">
        <f>IFERROR(1-SUMIF(GA!$C:$C,$A182,GA!$X:$X)/($AA182+SUMIF(GA!$C:$C,$A182,GA!$X:$X)),"")</f>
        <v/>
      </c>
      <c r="S182" s="177"/>
      <c r="T182" s="182"/>
      <c r="U182" s="183" t="str">
        <f t="shared" si="13"/>
        <v/>
      </c>
      <c r="V182" s="183" t="str">
        <f>IFERROR(_xlfn.XLOOKUP($A182,Raw_Data!$B:$B,Raw_Data!$KQ:$KQ),"")</f>
        <v/>
      </c>
      <c r="W182" s="184" t="str">
        <f t="shared" si="14"/>
        <v/>
      </c>
      <c r="X182" s="176" t="str">
        <f>IFERROR(_xlfn.XLOOKUP($A182,Raw_Data!$B:$B,Raw_Data!$KN:$KN),"")</f>
        <v/>
      </c>
      <c r="Y182" s="176" t="str">
        <f>IFERROR(_xlfn.XLOOKUP($A182,Raw_Data!$B:$B,Raw_Data!$KC:$KC),"")</f>
        <v/>
      </c>
      <c r="Z182" s="176" t="str">
        <f>IFERROR(_xlfn.XLOOKUP($A182,Raw_Data!$B:$B,Raw_Data!$KD:$KD),"")</f>
        <v/>
      </c>
      <c r="AA182" s="176" t="str">
        <f>IFERROR(_xlfn.XLOOKUP($A182,Raw_Data!$B:$B,Raw_Data!$KF:$KF),"")</f>
        <v/>
      </c>
      <c r="AB182" s="176" t="str">
        <f>IFERROR(_xlfn.XLOOKUP($A182,Raw_Data!$B:$B,Raw_Data!I:I)/1000,"")</f>
        <v/>
      </c>
      <c r="AC182" s="185">
        <f>IFERROR(_xlfn.XLOOKUP($D182,'Modelling New'!$D:$D,'Modelling New'!$P:$P),"")</f>
        <v>5.4433333333333334</v>
      </c>
      <c r="AD182" s="176">
        <f>IFERROR(_xlfn.XLOOKUP($D182,'Modelling New'!$D:$D,'Modelling New'!$T:$T)*1000,"")</f>
        <v>280472.45446379349</v>
      </c>
      <c r="AE182" s="186">
        <f>IFERROR(_xlfn.XLOOKUP($D182,'Modelling New'!$D:$D,'Modelling New'!$O:$O),"")</f>
        <v>0.77186524247721466</v>
      </c>
      <c r="AF182" s="186">
        <f>IFERROR(_xlfn.XLOOKUP($D182,'Modelling New'!$D:$D,'Modelling New'!$W:$W),"")</f>
        <v>0.1750633251340683</v>
      </c>
      <c r="AG182" s="186">
        <f>IFERROR(_xlfn.XLOOKUP($D182,'Modelling New'!$D:$D,'Modelling New'!$AE:$AE),"")</f>
        <v>0.995</v>
      </c>
      <c r="AH182" s="186">
        <f>IFERROR(_xlfn.XLOOKUP($D182,'Modelling New'!$D:$D,'Modelling New'!$AF:$AF),"")</f>
        <v>0.995</v>
      </c>
      <c r="AI182" s="177"/>
      <c r="AJ182" s="177"/>
      <c r="AK182" s="238"/>
      <c r="AL182" s="238"/>
      <c r="AM182" s="238"/>
      <c r="AN182" s="187"/>
      <c r="AO182" s="184"/>
      <c r="AP182" s="184"/>
      <c r="AQ182" s="184"/>
      <c r="AR182" s="176">
        <f>IFERROR(_xlfn.XLOOKUP($D181,'Modelling New'!$D:$D,'Modelling New'!$N:$N),"")</f>
        <v>66.754999999999995</v>
      </c>
      <c r="AS182" s="176"/>
    </row>
    <row r="183" spans="1:45" x14ac:dyDescent="0.25">
      <c r="A183" s="175">
        <f t="shared" si="11"/>
        <v>45926</v>
      </c>
      <c r="B183" s="176">
        <f>YEAR(Table13[[#This Row],[Date]])+IF(MONTH(Table13[[#This Row],[Date]])&gt;=4,1,0)</f>
        <v>2026</v>
      </c>
      <c r="C183" s="177">
        <f>YEAR(Table13[[#This Row],[Date]])</f>
        <v>2025</v>
      </c>
      <c r="D183" s="178">
        <f>Table13[[#This Row],[Date]]-DAY(Table13[[#This Row],[Date]])+1</f>
        <v>45901</v>
      </c>
      <c r="E183" s="177">
        <f t="shared" si="12"/>
        <v>30</v>
      </c>
      <c r="F183" s="179" t="str">
        <f>IFERROR(_xlfn.XLOOKUP($A183,Raw_Data!$B:$B,Raw_Data!$KG:$KG),"")</f>
        <v/>
      </c>
      <c r="G183" s="180" t="str">
        <f>IFERROR(_xlfn.XLOOKUP($A183,Raw_Data!$B:$B,Raw_Data!KH:KH),"")</f>
        <v/>
      </c>
      <c r="H183" s="180"/>
      <c r="I183" s="180" t="str">
        <f>IFERROR(_xlfn.XLOOKUP($A183,Raw_Data!$B:$B,Raw_Data!$KI:$KI),"")</f>
        <v/>
      </c>
      <c r="J183" s="180"/>
      <c r="K183" s="180" t="str">
        <f>IFERROR(_xlfn.XLOOKUP($A183,Raw_Data!$B:$B,Raw_Data!KJ:KJ),"")</f>
        <v/>
      </c>
      <c r="L183" s="180" t="str">
        <f>IFERROR(_xlfn.XLOOKUP($A183,Raw_Data!$B:$B,Raw_Data!KK:KK),"")</f>
        <v/>
      </c>
      <c r="M183" s="180" t="str">
        <f>IFERROR(_xlfn.XLOOKUP($A183,Raw_Data!$B:$B,Raw_Data!KL:KL),"")</f>
        <v/>
      </c>
      <c r="N183" s="180" t="str">
        <f>IFERROR(_xlfn.XLOOKUP($A183,Raw_Data!$B:$B,Raw_Data!KM:KM),"")</f>
        <v/>
      </c>
      <c r="O183" s="181" t="str">
        <f>IFERROR(1-SUMIF(PA!$B:$B,$A183,PA!AJ:AJ)/($AA183+SUMIF(PA!$B:$B,$A183,PA!AJ:AJ)),"")</f>
        <v/>
      </c>
      <c r="P183" s="181"/>
      <c r="Q183" s="182"/>
      <c r="R183" s="181" t="str">
        <f>IFERROR(1-SUMIF(GA!$C:$C,$A183,GA!$X:$X)/($AA183+SUMIF(GA!$C:$C,$A183,GA!$X:$X)),"")</f>
        <v/>
      </c>
      <c r="S183" s="177"/>
      <c r="T183" s="182"/>
      <c r="U183" s="183" t="str">
        <f t="shared" si="13"/>
        <v/>
      </c>
      <c r="V183" s="183" t="str">
        <f>IFERROR(_xlfn.XLOOKUP($A183,Raw_Data!$B:$B,Raw_Data!$KQ:$KQ),"")</f>
        <v/>
      </c>
      <c r="W183" s="184" t="str">
        <f t="shared" si="14"/>
        <v/>
      </c>
      <c r="X183" s="176" t="str">
        <f>IFERROR(_xlfn.XLOOKUP($A183,Raw_Data!$B:$B,Raw_Data!$KN:$KN),"")</f>
        <v/>
      </c>
      <c r="Y183" s="176" t="str">
        <f>IFERROR(_xlfn.XLOOKUP($A183,Raw_Data!$B:$B,Raw_Data!$KC:$KC),"")</f>
        <v/>
      </c>
      <c r="Z183" s="176" t="str">
        <f>IFERROR(_xlfn.XLOOKUP($A183,Raw_Data!$B:$B,Raw_Data!$KD:$KD),"")</f>
        <v/>
      </c>
      <c r="AA183" s="176" t="str">
        <f>IFERROR(_xlfn.XLOOKUP($A183,Raw_Data!$B:$B,Raw_Data!$KF:$KF),"")</f>
        <v/>
      </c>
      <c r="AB183" s="176" t="str">
        <f>IFERROR(_xlfn.XLOOKUP($A183,Raw_Data!$B:$B,Raw_Data!I:I)/1000,"")</f>
        <v/>
      </c>
      <c r="AC183" s="185">
        <f>IFERROR(_xlfn.XLOOKUP($D183,'Modelling New'!$D:$D,'Modelling New'!$P:$P),"")</f>
        <v>5.4433333333333334</v>
      </c>
      <c r="AD183" s="176">
        <f>IFERROR(_xlfn.XLOOKUP($D183,'Modelling New'!$D:$D,'Modelling New'!$T:$T)*1000,"")</f>
        <v>280472.45446379349</v>
      </c>
      <c r="AE183" s="186">
        <f>IFERROR(_xlfn.XLOOKUP($D183,'Modelling New'!$D:$D,'Modelling New'!$O:$O),"")</f>
        <v>0.77186524247721466</v>
      </c>
      <c r="AF183" s="186">
        <f>IFERROR(_xlfn.XLOOKUP($D183,'Modelling New'!$D:$D,'Modelling New'!$W:$W),"")</f>
        <v>0.1750633251340683</v>
      </c>
      <c r="AG183" s="186">
        <f>IFERROR(_xlfn.XLOOKUP($D183,'Modelling New'!$D:$D,'Modelling New'!$AE:$AE),"")</f>
        <v>0.995</v>
      </c>
      <c r="AH183" s="186">
        <f>IFERROR(_xlfn.XLOOKUP($D183,'Modelling New'!$D:$D,'Modelling New'!$AF:$AF),"")</f>
        <v>0.995</v>
      </c>
      <c r="AI183" s="177"/>
      <c r="AJ183" s="177"/>
      <c r="AK183" s="238"/>
      <c r="AL183" s="238"/>
      <c r="AM183" s="238"/>
      <c r="AN183" s="187"/>
      <c r="AO183" s="184"/>
      <c r="AP183" s="184"/>
      <c r="AQ183" s="184"/>
      <c r="AR183" s="176">
        <f>IFERROR(_xlfn.XLOOKUP($D182,'Modelling New'!$D:$D,'Modelling New'!$N:$N),"")</f>
        <v>66.754999999999995</v>
      </c>
      <c r="AS183" s="176"/>
    </row>
    <row r="184" spans="1:45" x14ac:dyDescent="0.25">
      <c r="A184" s="175">
        <f t="shared" si="11"/>
        <v>45927</v>
      </c>
      <c r="B184" s="176">
        <f>YEAR(Table13[[#This Row],[Date]])+IF(MONTH(Table13[[#This Row],[Date]])&gt;=4,1,0)</f>
        <v>2026</v>
      </c>
      <c r="C184" s="177">
        <f>YEAR(Table13[[#This Row],[Date]])</f>
        <v>2025</v>
      </c>
      <c r="D184" s="178">
        <f>Table13[[#This Row],[Date]]-DAY(Table13[[#This Row],[Date]])+1</f>
        <v>45901</v>
      </c>
      <c r="E184" s="177">
        <f t="shared" si="12"/>
        <v>30</v>
      </c>
      <c r="F184" s="179" t="str">
        <f>IFERROR(_xlfn.XLOOKUP($A184,Raw_Data!$B:$B,Raw_Data!$KG:$KG),"")</f>
        <v/>
      </c>
      <c r="G184" s="180" t="str">
        <f>IFERROR(_xlfn.XLOOKUP($A184,Raw_Data!$B:$B,Raw_Data!KH:KH),"")</f>
        <v/>
      </c>
      <c r="H184" s="180"/>
      <c r="I184" s="180" t="str">
        <f>IFERROR(_xlfn.XLOOKUP($A184,Raw_Data!$B:$B,Raw_Data!$KI:$KI),"")</f>
        <v/>
      </c>
      <c r="J184" s="180"/>
      <c r="K184" s="180" t="str">
        <f>IFERROR(_xlfn.XLOOKUP($A184,Raw_Data!$B:$B,Raw_Data!KJ:KJ),"")</f>
        <v/>
      </c>
      <c r="L184" s="180" t="str">
        <f>IFERROR(_xlfn.XLOOKUP($A184,Raw_Data!$B:$B,Raw_Data!KK:KK),"")</f>
        <v/>
      </c>
      <c r="M184" s="180" t="str">
        <f>IFERROR(_xlfn.XLOOKUP($A184,Raw_Data!$B:$B,Raw_Data!KL:KL),"")</f>
        <v/>
      </c>
      <c r="N184" s="180" t="str">
        <f>IFERROR(_xlfn.XLOOKUP($A184,Raw_Data!$B:$B,Raw_Data!KM:KM),"")</f>
        <v/>
      </c>
      <c r="O184" s="181" t="str">
        <f>IFERROR(1-SUMIF(PA!$B:$B,$A184,PA!AJ:AJ)/($AA184+SUMIF(PA!$B:$B,$A184,PA!AJ:AJ)),"")</f>
        <v/>
      </c>
      <c r="P184" s="181"/>
      <c r="Q184" s="182"/>
      <c r="R184" s="181" t="str">
        <f>IFERROR(1-SUMIF(GA!$C:$C,$A184,GA!$X:$X)/($AA184+SUMIF(GA!$C:$C,$A184,GA!$X:$X)),"")</f>
        <v/>
      </c>
      <c r="S184" s="177"/>
      <c r="T184" s="182"/>
      <c r="U184" s="183" t="str">
        <f t="shared" si="13"/>
        <v/>
      </c>
      <c r="V184" s="183" t="str">
        <f>IFERROR(_xlfn.XLOOKUP($A184,Raw_Data!$B:$B,Raw_Data!$KQ:$KQ),"")</f>
        <v/>
      </c>
      <c r="W184" s="184" t="str">
        <f t="shared" si="14"/>
        <v/>
      </c>
      <c r="X184" s="176" t="str">
        <f>IFERROR(_xlfn.XLOOKUP($A184,Raw_Data!$B:$B,Raw_Data!$KN:$KN),"")</f>
        <v/>
      </c>
      <c r="Y184" s="176" t="str">
        <f>IFERROR(_xlfn.XLOOKUP($A184,Raw_Data!$B:$B,Raw_Data!$KC:$KC),"")</f>
        <v/>
      </c>
      <c r="Z184" s="176" t="str">
        <f>IFERROR(_xlfn.XLOOKUP($A184,Raw_Data!$B:$B,Raw_Data!$KD:$KD),"")</f>
        <v/>
      </c>
      <c r="AA184" s="176" t="str">
        <f>IFERROR(_xlfn.XLOOKUP($A184,Raw_Data!$B:$B,Raw_Data!$KF:$KF),"")</f>
        <v/>
      </c>
      <c r="AB184" s="176" t="str">
        <f>IFERROR(_xlfn.XLOOKUP($A184,Raw_Data!$B:$B,Raw_Data!I:I)/1000,"")</f>
        <v/>
      </c>
      <c r="AC184" s="185">
        <f>IFERROR(_xlfn.XLOOKUP($D184,'Modelling New'!$D:$D,'Modelling New'!$P:$P),"")</f>
        <v>5.4433333333333334</v>
      </c>
      <c r="AD184" s="176">
        <f>IFERROR(_xlfn.XLOOKUP($D184,'Modelling New'!$D:$D,'Modelling New'!$T:$T)*1000,"")</f>
        <v>280472.45446379349</v>
      </c>
      <c r="AE184" s="186">
        <f>IFERROR(_xlfn.XLOOKUP($D184,'Modelling New'!$D:$D,'Modelling New'!$O:$O),"")</f>
        <v>0.77186524247721466</v>
      </c>
      <c r="AF184" s="186">
        <f>IFERROR(_xlfn.XLOOKUP($D184,'Modelling New'!$D:$D,'Modelling New'!$W:$W),"")</f>
        <v>0.1750633251340683</v>
      </c>
      <c r="AG184" s="186">
        <f>IFERROR(_xlfn.XLOOKUP($D184,'Modelling New'!$D:$D,'Modelling New'!$AE:$AE),"")</f>
        <v>0.995</v>
      </c>
      <c r="AH184" s="186">
        <f>IFERROR(_xlfn.XLOOKUP($D184,'Modelling New'!$D:$D,'Modelling New'!$AF:$AF),"")</f>
        <v>0.995</v>
      </c>
      <c r="AI184" s="177"/>
      <c r="AJ184" s="177"/>
      <c r="AK184" s="238"/>
      <c r="AL184" s="238"/>
      <c r="AM184" s="238"/>
      <c r="AN184" s="187"/>
      <c r="AO184" s="184"/>
      <c r="AP184" s="184"/>
      <c r="AQ184" s="184"/>
      <c r="AR184" s="176">
        <f>IFERROR(_xlfn.XLOOKUP($D183,'Modelling New'!$D:$D,'Modelling New'!$N:$N),"")</f>
        <v>66.754999999999995</v>
      </c>
      <c r="AS184" s="176"/>
    </row>
    <row r="185" spans="1:45" x14ac:dyDescent="0.25">
      <c r="A185" s="175">
        <f t="shared" ref="A185:A248" si="15">A184+1</f>
        <v>45928</v>
      </c>
      <c r="B185" s="176">
        <f>YEAR(Table13[[#This Row],[Date]])+IF(MONTH(Table13[[#This Row],[Date]])&gt;=4,1,0)</f>
        <v>2026</v>
      </c>
      <c r="C185" s="177">
        <f>YEAR(Table13[[#This Row],[Date]])</f>
        <v>2025</v>
      </c>
      <c r="D185" s="178">
        <f>Table13[[#This Row],[Date]]-DAY(Table13[[#This Row],[Date]])+1</f>
        <v>45901</v>
      </c>
      <c r="E185" s="177">
        <f t="shared" si="12"/>
        <v>30</v>
      </c>
      <c r="F185" s="179" t="str">
        <f>IFERROR(_xlfn.XLOOKUP($A185,Raw_Data!$B:$B,Raw_Data!$KG:$KG),"")</f>
        <v/>
      </c>
      <c r="G185" s="180" t="str">
        <f>IFERROR(_xlfn.XLOOKUP($A185,Raw_Data!$B:$B,Raw_Data!KH:KH),"")</f>
        <v/>
      </c>
      <c r="H185" s="180"/>
      <c r="I185" s="180" t="str">
        <f>IFERROR(_xlfn.XLOOKUP($A185,Raw_Data!$B:$B,Raw_Data!$KI:$KI),"")</f>
        <v/>
      </c>
      <c r="J185" s="180"/>
      <c r="K185" s="180" t="str">
        <f>IFERROR(_xlfn.XLOOKUP($A185,Raw_Data!$B:$B,Raw_Data!KJ:KJ),"")</f>
        <v/>
      </c>
      <c r="L185" s="180" t="str">
        <f>IFERROR(_xlfn.XLOOKUP($A185,Raw_Data!$B:$B,Raw_Data!KK:KK),"")</f>
        <v/>
      </c>
      <c r="M185" s="180" t="str">
        <f>IFERROR(_xlfn.XLOOKUP($A185,Raw_Data!$B:$B,Raw_Data!KL:KL),"")</f>
        <v/>
      </c>
      <c r="N185" s="180" t="str">
        <f>IFERROR(_xlfn.XLOOKUP($A185,Raw_Data!$B:$B,Raw_Data!KM:KM),"")</f>
        <v/>
      </c>
      <c r="O185" s="181" t="str">
        <f>IFERROR(1-SUMIF(PA!$B:$B,$A185,PA!AJ:AJ)/($AA185+SUMIF(PA!$B:$B,$A185,PA!AJ:AJ)),"")</f>
        <v/>
      </c>
      <c r="P185" s="181"/>
      <c r="Q185" s="182"/>
      <c r="R185" s="181" t="str">
        <f>IFERROR(1-SUMIF(GA!$C:$C,$A185,GA!$X:$X)/($AA185+SUMIF(GA!$C:$C,$A185,GA!$X:$X)),"")</f>
        <v/>
      </c>
      <c r="S185" s="177"/>
      <c r="T185" s="182"/>
      <c r="U185" s="183" t="str">
        <f t="shared" si="13"/>
        <v/>
      </c>
      <c r="V185" s="183" t="str">
        <f>IFERROR(_xlfn.XLOOKUP($A185,Raw_Data!$B:$B,Raw_Data!$KQ:$KQ),"")</f>
        <v/>
      </c>
      <c r="W185" s="184" t="str">
        <f t="shared" si="14"/>
        <v/>
      </c>
      <c r="X185" s="176" t="str">
        <f>IFERROR(_xlfn.XLOOKUP($A185,Raw_Data!$B:$B,Raw_Data!$KN:$KN),"")</f>
        <v/>
      </c>
      <c r="Y185" s="176" t="str">
        <f>IFERROR(_xlfn.XLOOKUP($A185,Raw_Data!$B:$B,Raw_Data!$KC:$KC),"")</f>
        <v/>
      </c>
      <c r="Z185" s="176" t="str">
        <f>IFERROR(_xlfn.XLOOKUP($A185,Raw_Data!$B:$B,Raw_Data!$KD:$KD),"")</f>
        <v/>
      </c>
      <c r="AA185" s="176" t="str">
        <f>IFERROR(_xlfn.XLOOKUP($A185,Raw_Data!$B:$B,Raw_Data!$KF:$KF),"")</f>
        <v/>
      </c>
      <c r="AB185" s="176" t="str">
        <f>IFERROR(_xlfn.XLOOKUP($A185,Raw_Data!$B:$B,Raw_Data!I:I)/1000,"")</f>
        <v/>
      </c>
      <c r="AC185" s="185">
        <f>IFERROR(_xlfn.XLOOKUP($D185,'Modelling New'!$D:$D,'Modelling New'!$P:$P),"")</f>
        <v>5.4433333333333334</v>
      </c>
      <c r="AD185" s="176">
        <f>IFERROR(_xlfn.XLOOKUP($D185,'Modelling New'!$D:$D,'Modelling New'!$T:$T)*1000,"")</f>
        <v>280472.45446379349</v>
      </c>
      <c r="AE185" s="186">
        <f>IFERROR(_xlfn.XLOOKUP($D185,'Modelling New'!$D:$D,'Modelling New'!$O:$O),"")</f>
        <v>0.77186524247721466</v>
      </c>
      <c r="AF185" s="186">
        <f>IFERROR(_xlfn.XLOOKUP($D185,'Modelling New'!$D:$D,'Modelling New'!$W:$W),"")</f>
        <v>0.1750633251340683</v>
      </c>
      <c r="AG185" s="186">
        <f>IFERROR(_xlfn.XLOOKUP($D185,'Modelling New'!$D:$D,'Modelling New'!$AE:$AE),"")</f>
        <v>0.995</v>
      </c>
      <c r="AH185" s="186">
        <f>IFERROR(_xlfn.XLOOKUP($D185,'Modelling New'!$D:$D,'Modelling New'!$AF:$AF),"")</f>
        <v>0.995</v>
      </c>
      <c r="AI185" s="177"/>
      <c r="AJ185" s="177"/>
      <c r="AK185" s="238"/>
      <c r="AL185" s="238"/>
      <c r="AM185" s="238"/>
      <c r="AN185" s="187"/>
      <c r="AO185" s="184"/>
      <c r="AP185" s="184"/>
      <c r="AQ185" s="184"/>
      <c r="AR185" s="176">
        <f>IFERROR(_xlfn.XLOOKUP($D184,'Modelling New'!$D:$D,'Modelling New'!$N:$N),"")</f>
        <v>66.754999999999995</v>
      </c>
      <c r="AS185" s="176"/>
    </row>
    <row r="186" spans="1:45" x14ac:dyDescent="0.25">
      <c r="A186" s="175">
        <f t="shared" si="15"/>
        <v>45929</v>
      </c>
      <c r="B186" s="176">
        <f>YEAR(Table13[[#This Row],[Date]])+IF(MONTH(Table13[[#This Row],[Date]])&gt;=4,1,0)</f>
        <v>2026</v>
      </c>
      <c r="C186" s="177">
        <f>YEAR(Table13[[#This Row],[Date]])</f>
        <v>2025</v>
      </c>
      <c r="D186" s="178">
        <f>Table13[[#This Row],[Date]]-DAY(Table13[[#This Row],[Date]])+1</f>
        <v>45901</v>
      </c>
      <c r="E186" s="177">
        <f t="shared" si="12"/>
        <v>30</v>
      </c>
      <c r="F186" s="179" t="str">
        <f>IFERROR(_xlfn.XLOOKUP($A186,Raw_Data!$B:$B,Raw_Data!$KG:$KG),"")</f>
        <v/>
      </c>
      <c r="G186" s="180" t="str">
        <f>IFERROR(_xlfn.XLOOKUP($A186,Raw_Data!$B:$B,Raw_Data!KH:KH),"")</f>
        <v/>
      </c>
      <c r="H186" s="180"/>
      <c r="I186" s="180" t="str">
        <f>IFERROR(_xlfn.XLOOKUP($A186,Raw_Data!$B:$B,Raw_Data!$KI:$KI),"")</f>
        <v/>
      </c>
      <c r="J186" s="180"/>
      <c r="K186" s="180" t="str">
        <f>IFERROR(_xlfn.XLOOKUP($A186,Raw_Data!$B:$B,Raw_Data!KJ:KJ),"")</f>
        <v/>
      </c>
      <c r="L186" s="180" t="str">
        <f>IFERROR(_xlfn.XLOOKUP($A186,Raw_Data!$B:$B,Raw_Data!KK:KK),"")</f>
        <v/>
      </c>
      <c r="M186" s="180" t="str">
        <f>IFERROR(_xlfn.XLOOKUP($A186,Raw_Data!$B:$B,Raw_Data!KL:KL),"")</f>
        <v/>
      </c>
      <c r="N186" s="180" t="str">
        <f>IFERROR(_xlfn.XLOOKUP($A186,Raw_Data!$B:$B,Raw_Data!KM:KM),"")</f>
        <v/>
      </c>
      <c r="O186" s="181" t="str">
        <f>IFERROR(1-SUMIF(PA!$B:$B,$A186,PA!AJ:AJ)/($AA186+SUMIF(PA!$B:$B,$A186,PA!AJ:AJ)),"")</f>
        <v/>
      </c>
      <c r="P186" s="181"/>
      <c r="Q186" s="182"/>
      <c r="R186" s="181" t="str">
        <f>IFERROR(1-SUMIF(GA!$C:$C,$A186,GA!$X:$X)/($AA186+SUMIF(GA!$C:$C,$A186,GA!$X:$X)),"")</f>
        <v/>
      </c>
      <c r="S186" s="177"/>
      <c r="T186" s="182"/>
      <c r="U186" s="183" t="str">
        <f t="shared" si="13"/>
        <v/>
      </c>
      <c r="V186" s="183" t="str">
        <f>IFERROR(_xlfn.XLOOKUP($A186,Raw_Data!$B:$B,Raw_Data!$KQ:$KQ),"")</f>
        <v/>
      </c>
      <c r="W186" s="184" t="str">
        <f t="shared" si="14"/>
        <v/>
      </c>
      <c r="X186" s="176" t="str">
        <f>IFERROR(_xlfn.XLOOKUP($A186,Raw_Data!$B:$B,Raw_Data!$KN:$KN),"")</f>
        <v/>
      </c>
      <c r="Y186" s="176" t="str">
        <f>IFERROR(_xlfn.XLOOKUP($A186,Raw_Data!$B:$B,Raw_Data!$KC:$KC),"")</f>
        <v/>
      </c>
      <c r="Z186" s="176" t="str">
        <f>IFERROR(_xlfn.XLOOKUP($A186,Raw_Data!$B:$B,Raw_Data!$KD:$KD),"")</f>
        <v/>
      </c>
      <c r="AA186" s="176" t="str">
        <f>IFERROR(_xlfn.XLOOKUP($A186,Raw_Data!$B:$B,Raw_Data!$KF:$KF),"")</f>
        <v/>
      </c>
      <c r="AB186" s="176" t="str">
        <f>IFERROR(_xlfn.XLOOKUP($A186,Raw_Data!$B:$B,Raw_Data!I:I)/1000,"")</f>
        <v/>
      </c>
      <c r="AC186" s="185">
        <f>IFERROR(_xlfn.XLOOKUP($D186,'Modelling New'!$D:$D,'Modelling New'!$P:$P),"")</f>
        <v>5.4433333333333334</v>
      </c>
      <c r="AD186" s="176">
        <f>IFERROR(_xlfn.XLOOKUP($D186,'Modelling New'!$D:$D,'Modelling New'!$T:$T)*1000,"")</f>
        <v>280472.45446379349</v>
      </c>
      <c r="AE186" s="186">
        <f>IFERROR(_xlfn.XLOOKUP($D186,'Modelling New'!$D:$D,'Modelling New'!$O:$O),"")</f>
        <v>0.77186524247721466</v>
      </c>
      <c r="AF186" s="186">
        <f>IFERROR(_xlfn.XLOOKUP($D186,'Modelling New'!$D:$D,'Modelling New'!$W:$W),"")</f>
        <v>0.1750633251340683</v>
      </c>
      <c r="AG186" s="186">
        <f>IFERROR(_xlfn.XLOOKUP($D186,'Modelling New'!$D:$D,'Modelling New'!$AE:$AE),"")</f>
        <v>0.995</v>
      </c>
      <c r="AH186" s="186">
        <f>IFERROR(_xlfn.XLOOKUP($D186,'Modelling New'!$D:$D,'Modelling New'!$AF:$AF),"")</f>
        <v>0.995</v>
      </c>
      <c r="AI186" s="177"/>
      <c r="AJ186" s="177"/>
      <c r="AK186" s="238"/>
      <c r="AL186" s="238"/>
      <c r="AM186" s="238"/>
      <c r="AN186" s="187"/>
      <c r="AO186" s="184"/>
      <c r="AP186" s="184"/>
      <c r="AQ186" s="184"/>
      <c r="AR186" s="176">
        <f>IFERROR(_xlfn.XLOOKUP($D185,'Modelling New'!$D:$D,'Modelling New'!$N:$N),"")</f>
        <v>66.754999999999995</v>
      </c>
      <c r="AS186" s="176"/>
    </row>
    <row r="187" spans="1:45" x14ac:dyDescent="0.25">
      <c r="A187" s="175">
        <f t="shared" si="15"/>
        <v>45930</v>
      </c>
      <c r="B187" s="176">
        <f>YEAR(Table13[[#This Row],[Date]])+IF(MONTH(Table13[[#This Row],[Date]])&gt;=4,1,0)</f>
        <v>2026</v>
      </c>
      <c r="C187" s="177">
        <f>YEAR(Table13[[#This Row],[Date]])</f>
        <v>2025</v>
      </c>
      <c r="D187" s="178">
        <f>Table13[[#This Row],[Date]]-DAY(Table13[[#This Row],[Date]])+1</f>
        <v>45901</v>
      </c>
      <c r="E187" s="177">
        <f t="shared" si="12"/>
        <v>30</v>
      </c>
      <c r="F187" s="179" t="str">
        <f>IFERROR(_xlfn.XLOOKUP($A187,Raw_Data!$B:$B,Raw_Data!$KG:$KG),"")</f>
        <v/>
      </c>
      <c r="G187" s="180" t="str">
        <f>IFERROR(_xlfn.XLOOKUP($A187,Raw_Data!$B:$B,Raw_Data!KH:KH),"")</f>
        <v/>
      </c>
      <c r="H187" s="180"/>
      <c r="I187" s="180" t="str">
        <f>IFERROR(_xlfn.XLOOKUP($A187,Raw_Data!$B:$B,Raw_Data!$KI:$KI),"")</f>
        <v/>
      </c>
      <c r="J187" s="180"/>
      <c r="K187" s="180" t="str">
        <f>IFERROR(_xlfn.XLOOKUP($A187,Raw_Data!$B:$B,Raw_Data!KJ:KJ),"")</f>
        <v/>
      </c>
      <c r="L187" s="180" t="str">
        <f>IFERROR(_xlfn.XLOOKUP($A187,Raw_Data!$B:$B,Raw_Data!KK:KK),"")</f>
        <v/>
      </c>
      <c r="M187" s="180" t="str">
        <f>IFERROR(_xlfn.XLOOKUP($A187,Raw_Data!$B:$B,Raw_Data!KL:KL),"")</f>
        <v/>
      </c>
      <c r="N187" s="180" t="str">
        <f>IFERROR(_xlfn.XLOOKUP($A187,Raw_Data!$B:$B,Raw_Data!KM:KM),"")</f>
        <v/>
      </c>
      <c r="O187" s="181" t="str">
        <f>IFERROR(1-SUMIF(PA!$B:$B,$A187,PA!AJ:AJ)/($AA187+SUMIF(PA!$B:$B,$A187,PA!AJ:AJ)),"")</f>
        <v/>
      </c>
      <c r="P187" s="181"/>
      <c r="Q187" s="182"/>
      <c r="R187" s="181" t="str">
        <f>IFERROR(1-SUMIF(GA!$C:$C,$A187,GA!$X:$X)/($AA187+SUMIF(GA!$C:$C,$A187,GA!$X:$X)),"")</f>
        <v/>
      </c>
      <c r="S187" s="177"/>
      <c r="T187" s="182"/>
      <c r="U187" s="183" t="str">
        <f t="shared" si="13"/>
        <v/>
      </c>
      <c r="V187" s="183" t="str">
        <f>IFERROR(_xlfn.XLOOKUP($A187,Raw_Data!$B:$B,Raw_Data!$KQ:$KQ),"")</f>
        <v/>
      </c>
      <c r="W187" s="184" t="str">
        <f t="shared" si="14"/>
        <v/>
      </c>
      <c r="X187" s="176" t="str">
        <f>IFERROR(_xlfn.XLOOKUP($A187,Raw_Data!$B:$B,Raw_Data!$KN:$KN),"")</f>
        <v/>
      </c>
      <c r="Y187" s="176" t="str">
        <f>IFERROR(_xlfn.XLOOKUP($A187,Raw_Data!$B:$B,Raw_Data!$KC:$KC),"")</f>
        <v/>
      </c>
      <c r="Z187" s="176" t="str">
        <f>IFERROR(_xlfn.XLOOKUP($A187,Raw_Data!$B:$B,Raw_Data!$KD:$KD),"")</f>
        <v/>
      </c>
      <c r="AA187" s="176" t="str">
        <f>IFERROR(_xlfn.XLOOKUP($A187,Raw_Data!$B:$B,Raw_Data!$KF:$KF),"")</f>
        <v/>
      </c>
      <c r="AB187" s="176" t="str">
        <f>IFERROR(_xlfn.XLOOKUP($A187,Raw_Data!$B:$B,Raw_Data!I:I)/1000,"")</f>
        <v/>
      </c>
      <c r="AC187" s="185">
        <f>IFERROR(_xlfn.XLOOKUP($D187,'Modelling New'!$D:$D,'Modelling New'!$P:$P),"")</f>
        <v>5.4433333333333334</v>
      </c>
      <c r="AD187" s="176">
        <f>IFERROR(_xlfn.XLOOKUP($D187,'Modelling New'!$D:$D,'Modelling New'!$T:$T)*1000,"")</f>
        <v>280472.45446379349</v>
      </c>
      <c r="AE187" s="186">
        <f>IFERROR(_xlfn.XLOOKUP($D187,'Modelling New'!$D:$D,'Modelling New'!$O:$O),"")</f>
        <v>0.77186524247721466</v>
      </c>
      <c r="AF187" s="186">
        <f>IFERROR(_xlfn.XLOOKUP($D187,'Modelling New'!$D:$D,'Modelling New'!$W:$W),"")</f>
        <v>0.1750633251340683</v>
      </c>
      <c r="AG187" s="186">
        <f>IFERROR(_xlfn.XLOOKUP($D187,'Modelling New'!$D:$D,'Modelling New'!$AE:$AE),"")</f>
        <v>0.995</v>
      </c>
      <c r="AH187" s="186">
        <f>IFERROR(_xlfn.XLOOKUP($D187,'Modelling New'!$D:$D,'Modelling New'!$AF:$AF),"")</f>
        <v>0.995</v>
      </c>
      <c r="AI187" s="177"/>
      <c r="AJ187" s="177"/>
      <c r="AK187" s="238"/>
      <c r="AL187" s="238"/>
      <c r="AM187" s="238"/>
      <c r="AN187" s="187"/>
      <c r="AO187" s="184"/>
      <c r="AP187" s="184"/>
      <c r="AQ187" s="184"/>
      <c r="AR187" s="176">
        <f>IFERROR(_xlfn.XLOOKUP($D186,'Modelling New'!$D:$D,'Modelling New'!$N:$N),"")</f>
        <v>66.754999999999995</v>
      </c>
      <c r="AS187" s="176"/>
    </row>
    <row r="188" spans="1:45" x14ac:dyDescent="0.25">
      <c r="A188" s="175">
        <f t="shared" si="15"/>
        <v>45931</v>
      </c>
      <c r="B188" s="176">
        <f>YEAR(Table13[[#This Row],[Date]])+IF(MONTH(Table13[[#This Row],[Date]])&gt;=4,1,0)</f>
        <v>2026</v>
      </c>
      <c r="C188" s="177">
        <f>YEAR(Table13[[#This Row],[Date]])</f>
        <v>2025</v>
      </c>
      <c r="D188" s="178">
        <f>Table13[[#This Row],[Date]]-DAY(Table13[[#This Row],[Date]])+1</f>
        <v>45931</v>
      </c>
      <c r="E188" s="177">
        <f t="shared" si="12"/>
        <v>31</v>
      </c>
      <c r="F188" s="179" t="str">
        <f>IFERROR(_xlfn.XLOOKUP($A188,Raw_Data!$B:$B,Raw_Data!$KG:$KG),"")</f>
        <v/>
      </c>
      <c r="G188" s="180" t="str">
        <f>IFERROR(_xlfn.XLOOKUP($A188,Raw_Data!$B:$B,Raw_Data!KH:KH),"")</f>
        <v/>
      </c>
      <c r="H188" s="180"/>
      <c r="I188" s="180" t="str">
        <f>IFERROR(_xlfn.XLOOKUP($A188,Raw_Data!$B:$B,Raw_Data!$KI:$KI),"")</f>
        <v/>
      </c>
      <c r="J188" s="180"/>
      <c r="K188" s="180" t="str">
        <f>IFERROR(_xlfn.XLOOKUP($A188,Raw_Data!$B:$B,Raw_Data!KJ:KJ),"")</f>
        <v/>
      </c>
      <c r="L188" s="180" t="str">
        <f>IFERROR(_xlfn.XLOOKUP($A188,Raw_Data!$B:$B,Raw_Data!KK:KK),"")</f>
        <v/>
      </c>
      <c r="M188" s="180" t="str">
        <f>IFERROR(_xlfn.XLOOKUP($A188,Raw_Data!$B:$B,Raw_Data!KL:KL),"")</f>
        <v/>
      </c>
      <c r="N188" s="180" t="str">
        <f>IFERROR(_xlfn.XLOOKUP($A188,Raw_Data!$B:$B,Raw_Data!KM:KM),"")</f>
        <v/>
      </c>
      <c r="O188" s="181" t="str">
        <f>IFERROR(1-SUMIF(PA!$B:$B,$A188,PA!AJ:AJ)/($AA188+SUMIF(PA!$B:$B,$A188,PA!AJ:AJ)),"")</f>
        <v/>
      </c>
      <c r="P188" s="181"/>
      <c r="Q188" s="182"/>
      <c r="R188" s="181" t="str">
        <f>IFERROR(1-SUMIF(GA!$C:$C,$A188,GA!$X:$X)/($AA188+SUMIF(GA!$C:$C,$A188,GA!$X:$X)),"")</f>
        <v/>
      </c>
      <c r="S188" s="177"/>
      <c r="T188" s="182"/>
      <c r="U188" s="183" t="str">
        <f t="shared" si="13"/>
        <v/>
      </c>
      <c r="V188" s="183" t="str">
        <f>IFERROR(_xlfn.XLOOKUP($A188,Raw_Data!$B:$B,Raw_Data!$KQ:$KQ),"")</f>
        <v/>
      </c>
      <c r="W188" s="184" t="str">
        <f t="shared" si="14"/>
        <v/>
      </c>
      <c r="X188" s="176" t="str">
        <f>IFERROR(_xlfn.XLOOKUP($A188,Raw_Data!$B:$B,Raw_Data!$KN:$KN),"")</f>
        <v/>
      </c>
      <c r="Y188" s="176" t="str">
        <f>IFERROR(_xlfn.XLOOKUP($A188,Raw_Data!$B:$B,Raw_Data!$KC:$KC),"")</f>
        <v/>
      </c>
      <c r="Z188" s="176" t="str">
        <f>IFERROR(_xlfn.XLOOKUP($A188,Raw_Data!$B:$B,Raw_Data!$KD:$KD),"")</f>
        <v/>
      </c>
      <c r="AA188" s="176" t="str">
        <f>IFERROR(_xlfn.XLOOKUP($A188,Raw_Data!$B:$B,Raw_Data!$KF:$KF),"")</f>
        <v/>
      </c>
      <c r="AB188" s="176" t="str">
        <f>IFERROR(_xlfn.XLOOKUP($A188,Raw_Data!$B:$B,Raw_Data!I:I)/1000,"")</f>
        <v/>
      </c>
      <c r="AC188" s="185">
        <f>IFERROR(_xlfn.XLOOKUP($D188,'Modelling New'!$D:$D,'Modelling New'!$P:$P),"")</f>
        <v>5.7129032258064516</v>
      </c>
      <c r="AD188" s="176">
        <f>IFERROR(_xlfn.XLOOKUP($D188,'Modelling New'!$D:$D,'Modelling New'!$T:$T)*1000,"")</f>
        <v>296607.12593009364</v>
      </c>
      <c r="AE188" s="186">
        <f>IFERROR(_xlfn.XLOOKUP($D188,'Modelling New'!$D:$D,'Modelling New'!$O:$O),"")</f>
        <v>0.77775159972603525</v>
      </c>
      <c r="AF188" s="186">
        <f>IFERROR(_xlfn.XLOOKUP($D188,'Modelling New'!$D:$D,'Modelling New'!$W:$W),"")</f>
        <v>0.18513415095629143</v>
      </c>
      <c r="AG188" s="186">
        <f>IFERROR(_xlfn.XLOOKUP($D188,'Modelling New'!$D:$D,'Modelling New'!$AE:$AE),"")</f>
        <v>0.995</v>
      </c>
      <c r="AH188" s="186">
        <f>IFERROR(_xlfn.XLOOKUP($D188,'Modelling New'!$D:$D,'Modelling New'!$AF:$AF),"")</f>
        <v>0.995</v>
      </c>
      <c r="AI188" s="177"/>
      <c r="AJ188" s="177"/>
      <c r="AK188" s="238"/>
      <c r="AL188" s="238"/>
      <c r="AM188" s="238"/>
      <c r="AN188" s="187"/>
      <c r="AO188" s="184"/>
      <c r="AP188" s="184"/>
      <c r="AQ188" s="184"/>
      <c r="AR188" s="176">
        <f>IFERROR(_xlfn.XLOOKUP($D187,'Modelling New'!$D:$D,'Modelling New'!$N:$N),"")</f>
        <v>66.754999999999995</v>
      </c>
      <c r="AS188" s="176"/>
    </row>
    <row r="189" spans="1:45" x14ac:dyDescent="0.25">
      <c r="A189" s="175">
        <f t="shared" si="15"/>
        <v>45932</v>
      </c>
      <c r="B189" s="176">
        <f>YEAR(Table13[[#This Row],[Date]])+IF(MONTH(Table13[[#This Row],[Date]])&gt;=4,1,0)</f>
        <v>2026</v>
      </c>
      <c r="C189" s="177">
        <f>YEAR(Table13[[#This Row],[Date]])</f>
        <v>2025</v>
      </c>
      <c r="D189" s="178">
        <f>Table13[[#This Row],[Date]]-DAY(Table13[[#This Row],[Date]])+1</f>
        <v>45931</v>
      </c>
      <c r="E189" s="177">
        <f t="shared" si="12"/>
        <v>31</v>
      </c>
      <c r="F189" s="179" t="str">
        <f>IFERROR(_xlfn.XLOOKUP($A189,Raw_Data!$B:$B,Raw_Data!$KG:$KG),"")</f>
        <v/>
      </c>
      <c r="G189" s="180" t="str">
        <f>IFERROR(_xlfn.XLOOKUP($A189,Raw_Data!$B:$B,Raw_Data!KH:KH),"")</f>
        <v/>
      </c>
      <c r="H189" s="180"/>
      <c r="I189" s="180" t="str">
        <f>IFERROR(_xlfn.XLOOKUP($A189,Raw_Data!$B:$B,Raw_Data!$KI:$KI),"")</f>
        <v/>
      </c>
      <c r="J189" s="180"/>
      <c r="K189" s="180" t="str">
        <f>IFERROR(_xlfn.XLOOKUP($A189,Raw_Data!$B:$B,Raw_Data!KJ:KJ),"")</f>
        <v/>
      </c>
      <c r="L189" s="180" t="str">
        <f>IFERROR(_xlfn.XLOOKUP($A189,Raw_Data!$B:$B,Raw_Data!KK:KK),"")</f>
        <v/>
      </c>
      <c r="M189" s="180" t="str">
        <f>IFERROR(_xlfn.XLOOKUP($A189,Raw_Data!$B:$B,Raw_Data!KL:KL),"")</f>
        <v/>
      </c>
      <c r="N189" s="180" t="str">
        <f>IFERROR(_xlfn.XLOOKUP($A189,Raw_Data!$B:$B,Raw_Data!KM:KM),"")</f>
        <v/>
      </c>
      <c r="O189" s="181" t="str">
        <f>IFERROR(1-SUMIF(PA!$B:$B,$A189,PA!AJ:AJ)/($AA189+SUMIF(PA!$B:$B,$A189,PA!AJ:AJ)),"")</f>
        <v/>
      </c>
      <c r="P189" s="181"/>
      <c r="Q189" s="182"/>
      <c r="R189" s="181" t="str">
        <f>IFERROR(1-SUMIF(GA!$C:$C,$A189,GA!$X:$X)/($AA189+SUMIF(GA!$C:$C,$A189,GA!$X:$X)),"")</f>
        <v/>
      </c>
      <c r="S189" s="177"/>
      <c r="T189" s="182"/>
      <c r="U189" s="183" t="str">
        <f t="shared" si="13"/>
        <v/>
      </c>
      <c r="V189" s="183" t="str">
        <f>IFERROR(_xlfn.XLOOKUP($A189,Raw_Data!$B:$B,Raw_Data!$KQ:$KQ),"")</f>
        <v/>
      </c>
      <c r="W189" s="184" t="str">
        <f t="shared" si="14"/>
        <v/>
      </c>
      <c r="X189" s="176" t="str">
        <f>IFERROR(_xlfn.XLOOKUP($A189,Raw_Data!$B:$B,Raw_Data!$KN:$KN),"")</f>
        <v/>
      </c>
      <c r="Y189" s="176" t="str">
        <f>IFERROR(_xlfn.XLOOKUP($A189,Raw_Data!$B:$B,Raw_Data!$KC:$KC),"")</f>
        <v/>
      </c>
      <c r="Z189" s="176" t="str">
        <f>IFERROR(_xlfn.XLOOKUP($A189,Raw_Data!$B:$B,Raw_Data!$KD:$KD),"")</f>
        <v/>
      </c>
      <c r="AA189" s="176" t="str">
        <f>IFERROR(_xlfn.XLOOKUP($A189,Raw_Data!$B:$B,Raw_Data!$KF:$KF),"")</f>
        <v/>
      </c>
      <c r="AB189" s="176" t="str">
        <f>IFERROR(_xlfn.XLOOKUP($A189,Raw_Data!$B:$B,Raw_Data!I:I)/1000,"")</f>
        <v/>
      </c>
      <c r="AC189" s="185">
        <f>IFERROR(_xlfn.XLOOKUP($D189,'Modelling New'!$D:$D,'Modelling New'!$P:$P),"")</f>
        <v>5.7129032258064516</v>
      </c>
      <c r="AD189" s="176">
        <f>IFERROR(_xlfn.XLOOKUP($D189,'Modelling New'!$D:$D,'Modelling New'!$T:$T)*1000,"")</f>
        <v>296607.12593009364</v>
      </c>
      <c r="AE189" s="186">
        <f>IFERROR(_xlfn.XLOOKUP($D189,'Modelling New'!$D:$D,'Modelling New'!$O:$O),"")</f>
        <v>0.77775159972603525</v>
      </c>
      <c r="AF189" s="186">
        <f>IFERROR(_xlfn.XLOOKUP($D189,'Modelling New'!$D:$D,'Modelling New'!$W:$W),"")</f>
        <v>0.18513415095629143</v>
      </c>
      <c r="AG189" s="186">
        <f>IFERROR(_xlfn.XLOOKUP($D189,'Modelling New'!$D:$D,'Modelling New'!$AE:$AE),"")</f>
        <v>0.995</v>
      </c>
      <c r="AH189" s="186">
        <f>IFERROR(_xlfn.XLOOKUP($D189,'Modelling New'!$D:$D,'Modelling New'!$AF:$AF),"")</f>
        <v>0.995</v>
      </c>
      <c r="AI189" s="177"/>
      <c r="AJ189" s="177"/>
      <c r="AK189" s="238"/>
      <c r="AL189" s="238"/>
      <c r="AM189" s="238"/>
      <c r="AN189" s="187"/>
      <c r="AO189" s="184"/>
      <c r="AP189" s="184"/>
      <c r="AQ189" s="184"/>
      <c r="AR189" s="176">
        <f>IFERROR(_xlfn.XLOOKUP($D188,'Modelling New'!$D:$D,'Modelling New'!$N:$N),"")</f>
        <v>66.754999999999995</v>
      </c>
      <c r="AS189" s="176"/>
    </row>
    <row r="190" spans="1:45" x14ac:dyDescent="0.25">
      <c r="A190" s="175">
        <f t="shared" si="15"/>
        <v>45933</v>
      </c>
      <c r="B190" s="176">
        <f>YEAR(Table13[[#This Row],[Date]])+IF(MONTH(Table13[[#This Row],[Date]])&gt;=4,1,0)</f>
        <v>2026</v>
      </c>
      <c r="C190" s="177">
        <f>YEAR(Table13[[#This Row],[Date]])</f>
        <v>2025</v>
      </c>
      <c r="D190" s="178">
        <f>Table13[[#This Row],[Date]]-DAY(Table13[[#This Row],[Date]])+1</f>
        <v>45931</v>
      </c>
      <c r="E190" s="177">
        <f t="shared" si="12"/>
        <v>31</v>
      </c>
      <c r="F190" s="179" t="str">
        <f>IFERROR(_xlfn.XLOOKUP($A190,Raw_Data!$B:$B,Raw_Data!$KG:$KG),"")</f>
        <v/>
      </c>
      <c r="G190" s="180" t="str">
        <f>IFERROR(_xlfn.XLOOKUP($A190,Raw_Data!$B:$B,Raw_Data!KH:KH),"")</f>
        <v/>
      </c>
      <c r="H190" s="180"/>
      <c r="I190" s="180" t="str">
        <f>IFERROR(_xlfn.XLOOKUP($A190,Raw_Data!$B:$B,Raw_Data!$KI:$KI),"")</f>
        <v/>
      </c>
      <c r="J190" s="180"/>
      <c r="K190" s="180" t="str">
        <f>IFERROR(_xlfn.XLOOKUP($A190,Raw_Data!$B:$B,Raw_Data!KJ:KJ),"")</f>
        <v/>
      </c>
      <c r="L190" s="180" t="str">
        <f>IFERROR(_xlfn.XLOOKUP($A190,Raw_Data!$B:$B,Raw_Data!KK:KK),"")</f>
        <v/>
      </c>
      <c r="M190" s="180" t="str">
        <f>IFERROR(_xlfn.XLOOKUP($A190,Raw_Data!$B:$B,Raw_Data!KL:KL),"")</f>
        <v/>
      </c>
      <c r="N190" s="180" t="str">
        <f>IFERROR(_xlfn.XLOOKUP($A190,Raw_Data!$B:$B,Raw_Data!KM:KM),"")</f>
        <v/>
      </c>
      <c r="O190" s="181" t="str">
        <f>IFERROR(1-SUMIF(PA!$B:$B,$A190,PA!AJ:AJ)/($AA190+SUMIF(PA!$B:$B,$A190,PA!AJ:AJ)),"")</f>
        <v/>
      </c>
      <c r="P190" s="181"/>
      <c r="Q190" s="182"/>
      <c r="R190" s="181" t="str">
        <f>IFERROR(1-SUMIF(GA!$C:$C,$A190,GA!$X:$X)/($AA190+SUMIF(GA!$C:$C,$A190,GA!$X:$X)),"")</f>
        <v/>
      </c>
      <c r="S190" s="177"/>
      <c r="T190" s="182"/>
      <c r="U190" s="183" t="str">
        <f t="shared" si="13"/>
        <v/>
      </c>
      <c r="V190" s="183" t="str">
        <f>IFERROR(_xlfn.XLOOKUP($A190,Raw_Data!$B:$B,Raw_Data!$KQ:$KQ),"")</f>
        <v/>
      </c>
      <c r="W190" s="184" t="str">
        <f t="shared" si="14"/>
        <v/>
      </c>
      <c r="X190" s="176" t="str">
        <f>IFERROR(_xlfn.XLOOKUP($A190,Raw_Data!$B:$B,Raw_Data!$KN:$KN),"")</f>
        <v/>
      </c>
      <c r="Y190" s="176" t="str">
        <f>IFERROR(_xlfn.XLOOKUP($A190,Raw_Data!$B:$B,Raw_Data!$KC:$KC),"")</f>
        <v/>
      </c>
      <c r="Z190" s="176" t="str">
        <f>IFERROR(_xlfn.XLOOKUP($A190,Raw_Data!$B:$B,Raw_Data!$KD:$KD),"")</f>
        <v/>
      </c>
      <c r="AA190" s="176" t="str">
        <f>IFERROR(_xlfn.XLOOKUP($A190,Raw_Data!$B:$B,Raw_Data!$KF:$KF),"")</f>
        <v/>
      </c>
      <c r="AB190" s="176" t="str">
        <f>IFERROR(_xlfn.XLOOKUP($A190,Raw_Data!$B:$B,Raw_Data!I:I)/1000,"")</f>
        <v/>
      </c>
      <c r="AC190" s="185">
        <f>IFERROR(_xlfn.XLOOKUP($D190,'Modelling New'!$D:$D,'Modelling New'!$P:$P),"")</f>
        <v>5.7129032258064516</v>
      </c>
      <c r="AD190" s="176">
        <f>IFERROR(_xlfn.XLOOKUP($D190,'Modelling New'!$D:$D,'Modelling New'!$T:$T)*1000,"")</f>
        <v>296607.12593009364</v>
      </c>
      <c r="AE190" s="186">
        <f>IFERROR(_xlfn.XLOOKUP($D190,'Modelling New'!$D:$D,'Modelling New'!$O:$O),"")</f>
        <v>0.77775159972603525</v>
      </c>
      <c r="AF190" s="186">
        <f>IFERROR(_xlfn.XLOOKUP($D190,'Modelling New'!$D:$D,'Modelling New'!$W:$W),"")</f>
        <v>0.18513415095629143</v>
      </c>
      <c r="AG190" s="186">
        <f>IFERROR(_xlfn.XLOOKUP($D190,'Modelling New'!$D:$D,'Modelling New'!$AE:$AE),"")</f>
        <v>0.995</v>
      </c>
      <c r="AH190" s="186">
        <f>IFERROR(_xlfn.XLOOKUP($D190,'Modelling New'!$D:$D,'Modelling New'!$AF:$AF),"")</f>
        <v>0.995</v>
      </c>
      <c r="AI190" s="177"/>
      <c r="AJ190" s="177"/>
      <c r="AK190" s="238"/>
      <c r="AL190" s="238"/>
      <c r="AM190" s="238"/>
      <c r="AN190" s="187"/>
      <c r="AO190" s="184"/>
      <c r="AP190" s="184"/>
      <c r="AQ190" s="184"/>
      <c r="AR190" s="176">
        <f>IFERROR(_xlfn.XLOOKUP($D189,'Modelling New'!$D:$D,'Modelling New'!$N:$N),"")</f>
        <v>66.754999999999995</v>
      </c>
      <c r="AS190" s="176"/>
    </row>
    <row r="191" spans="1:45" x14ac:dyDescent="0.25">
      <c r="A191" s="175">
        <f t="shared" si="15"/>
        <v>45934</v>
      </c>
      <c r="B191" s="176">
        <f>YEAR(Table13[[#This Row],[Date]])+IF(MONTH(Table13[[#This Row],[Date]])&gt;=4,1,0)</f>
        <v>2026</v>
      </c>
      <c r="C191" s="177">
        <f>YEAR(Table13[[#This Row],[Date]])</f>
        <v>2025</v>
      </c>
      <c r="D191" s="178">
        <f>Table13[[#This Row],[Date]]-DAY(Table13[[#This Row],[Date]])+1</f>
        <v>45931</v>
      </c>
      <c r="E191" s="177">
        <f t="shared" si="12"/>
        <v>31</v>
      </c>
      <c r="F191" s="179" t="str">
        <f>IFERROR(_xlfn.XLOOKUP($A191,Raw_Data!$B:$B,Raw_Data!$KG:$KG),"")</f>
        <v/>
      </c>
      <c r="G191" s="180" t="str">
        <f>IFERROR(_xlfn.XLOOKUP($A191,Raw_Data!$B:$B,Raw_Data!KH:KH),"")</f>
        <v/>
      </c>
      <c r="H191" s="180"/>
      <c r="I191" s="180" t="str">
        <f>IFERROR(_xlfn.XLOOKUP($A191,Raw_Data!$B:$B,Raw_Data!$KI:$KI),"")</f>
        <v/>
      </c>
      <c r="J191" s="180"/>
      <c r="K191" s="180" t="str">
        <f>IFERROR(_xlfn.XLOOKUP($A191,Raw_Data!$B:$B,Raw_Data!KJ:KJ),"")</f>
        <v/>
      </c>
      <c r="L191" s="180" t="str">
        <f>IFERROR(_xlfn.XLOOKUP($A191,Raw_Data!$B:$B,Raw_Data!KK:KK),"")</f>
        <v/>
      </c>
      <c r="M191" s="180" t="str">
        <f>IFERROR(_xlfn.XLOOKUP($A191,Raw_Data!$B:$B,Raw_Data!KL:KL),"")</f>
        <v/>
      </c>
      <c r="N191" s="180" t="str">
        <f>IFERROR(_xlfn.XLOOKUP($A191,Raw_Data!$B:$B,Raw_Data!KM:KM),"")</f>
        <v/>
      </c>
      <c r="O191" s="181" t="str">
        <f>IFERROR(1-SUMIF(PA!$B:$B,$A191,PA!AJ:AJ)/($AA191+SUMIF(PA!$B:$B,$A191,PA!AJ:AJ)),"")</f>
        <v/>
      </c>
      <c r="P191" s="181"/>
      <c r="Q191" s="182"/>
      <c r="R191" s="181" t="str">
        <f>IFERROR(1-SUMIF(GA!$C:$C,$A191,GA!$X:$X)/($AA191+SUMIF(GA!$C:$C,$A191,GA!$X:$X)),"")</f>
        <v/>
      </c>
      <c r="S191" s="177"/>
      <c r="T191" s="182"/>
      <c r="U191" s="183" t="str">
        <f t="shared" si="13"/>
        <v/>
      </c>
      <c r="V191" s="183" t="str">
        <f>IFERROR(_xlfn.XLOOKUP($A191,Raw_Data!$B:$B,Raw_Data!$KQ:$KQ),"")</f>
        <v/>
      </c>
      <c r="W191" s="184" t="str">
        <f t="shared" si="14"/>
        <v/>
      </c>
      <c r="X191" s="176" t="str">
        <f>IFERROR(_xlfn.XLOOKUP($A191,Raw_Data!$B:$B,Raw_Data!$KN:$KN),"")</f>
        <v/>
      </c>
      <c r="Y191" s="176" t="str">
        <f>IFERROR(_xlfn.XLOOKUP($A191,Raw_Data!$B:$B,Raw_Data!$KC:$KC),"")</f>
        <v/>
      </c>
      <c r="Z191" s="176" t="str">
        <f>IFERROR(_xlfn.XLOOKUP($A191,Raw_Data!$B:$B,Raw_Data!$KD:$KD),"")</f>
        <v/>
      </c>
      <c r="AA191" s="176" t="str">
        <f>IFERROR(_xlfn.XLOOKUP($A191,Raw_Data!$B:$B,Raw_Data!$KF:$KF),"")</f>
        <v/>
      </c>
      <c r="AB191" s="176" t="str">
        <f>IFERROR(_xlfn.XLOOKUP($A191,Raw_Data!$B:$B,Raw_Data!I:I)/1000,"")</f>
        <v/>
      </c>
      <c r="AC191" s="185">
        <f>IFERROR(_xlfn.XLOOKUP($D191,'Modelling New'!$D:$D,'Modelling New'!$P:$P),"")</f>
        <v>5.7129032258064516</v>
      </c>
      <c r="AD191" s="176">
        <f>IFERROR(_xlfn.XLOOKUP($D191,'Modelling New'!$D:$D,'Modelling New'!$T:$T)*1000,"")</f>
        <v>296607.12593009364</v>
      </c>
      <c r="AE191" s="186">
        <f>IFERROR(_xlfn.XLOOKUP($D191,'Modelling New'!$D:$D,'Modelling New'!$O:$O),"")</f>
        <v>0.77775159972603525</v>
      </c>
      <c r="AF191" s="186">
        <f>IFERROR(_xlfn.XLOOKUP($D191,'Modelling New'!$D:$D,'Modelling New'!$W:$W),"")</f>
        <v>0.18513415095629143</v>
      </c>
      <c r="AG191" s="186">
        <f>IFERROR(_xlfn.XLOOKUP($D191,'Modelling New'!$D:$D,'Modelling New'!$AE:$AE),"")</f>
        <v>0.995</v>
      </c>
      <c r="AH191" s="186">
        <f>IFERROR(_xlfn.XLOOKUP($D191,'Modelling New'!$D:$D,'Modelling New'!$AF:$AF),"")</f>
        <v>0.995</v>
      </c>
      <c r="AI191" s="177"/>
      <c r="AJ191" s="177"/>
      <c r="AK191" s="238"/>
      <c r="AL191" s="238"/>
      <c r="AM191" s="238"/>
      <c r="AN191" s="187"/>
      <c r="AO191" s="184"/>
      <c r="AP191" s="184"/>
      <c r="AQ191" s="184"/>
      <c r="AR191" s="176">
        <f>IFERROR(_xlfn.XLOOKUP($D190,'Modelling New'!$D:$D,'Modelling New'!$N:$N),"")</f>
        <v>66.754999999999995</v>
      </c>
      <c r="AS191" s="176"/>
    </row>
    <row r="192" spans="1:45" x14ac:dyDescent="0.25">
      <c r="A192" s="175">
        <f t="shared" si="15"/>
        <v>45935</v>
      </c>
      <c r="B192" s="176">
        <f>YEAR(Table13[[#This Row],[Date]])+IF(MONTH(Table13[[#This Row],[Date]])&gt;=4,1,0)</f>
        <v>2026</v>
      </c>
      <c r="C192" s="177">
        <f>YEAR(Table13[[#This Row],[Date]])</f>
        <v>2025</v>
      </c>
      <c r="D192" s="178">
        <f>Table13[[#This Row],[Date]]-DAY(Table13[[#This Row],[Date]])+1</f>
        <v>45931</v>
      </c>
      <c r="E192" s="177">
        <f t="shared" si="12"/>
        <v>31</v>
      </c>
      <c r="F192" s="179" t="str">
        <f>IFERROR(_xlfn.XLOOKUP($A192,Raw_Data!$B:$B,Raw_Data!$KG:$KG),"")</f>
        <v/>
      </c>
      <c r="G192" s="180" t="str">
        <f>IFERROR(_xlfn.XLOOKUP($A192,Raw_Data!$B:$B,Raw_Data!KH:KH),"")</f>
        <v/>
      </c>
      <c r="H192" s="180"/>
      <c r="I192" s="180" t="str">
        <f>IFERROR(_xlfn.XLOOKUP($A192,Raw_Data!$B:$B,Raw_Data!$KI:$KI),"")</f>
        <v/>
      </c>
      <c r="J192" s="180"/>
      <c r="K192" s="180" t="str">
        <f>IFERROR(_xlfn.XLOOKUP($A192,Raw_Data!$B:$B,Raw_Data!KJ:KJ),"")</f>
        <v/>
      </c>
      <c r="L192" s="180" t="str">
        <f>IFERROR(_xlfn.XLOOKUP($A192,Raw_Data!$B:$B,Raw_Data!KK:KK),"")</f>
        <v/>
      </c>
      <c r="M192" s="180" t="str">
        <f>IFERROR(_xlfn.XLOOKUP($A192,Raw_Data!$B:$B,Raw_Data!KL:KL),"")</f>
        <v/>
      </c>
      <c r="N192" s="180" t="str">
        <f>IFERROR(_xlfn.XLOOKUP($A192,Raw_Data!$B:$B,Raw_Data!KM:KM),"")</f>
        <v/>
      </c>
      <c r="O192" s="181" t="str">
        <f>IFERROR(1-SUMIF(PA!$B:$B,$A192,PA!AJ:AJ)/($AA192+SUMIF(PA!$B:$B,$A192,PA!AJ:AJ)),"")</f>
        <v/>
      </c>
      <c r="P192" s="181"/>
      <c r="Q192" s="182"/>
      <c r="R192" s="181" t="str">
        <f>IFERROR(1-SUMIF(GA!$C:$C,$A192,GA!$X:$X)/($AA192+SUMIF(GA!$C:$C,$A192,GA!$X:$X)),"")</f>
        <v/>
      </c>
      <c r="S192" s="177"/>
      <c r="T192" s="182"/>
      <c r="U192" s="183" t="str">
        <f t="shared" si="13"/>
        <v/>
      </c>
      <c r="V192" s="183" t="str">
        <f>IFERROR(_xlfn.XLOOKUP($A192,Raw_Data!$B:$B,Raw_Data!$KQ:$KQ),"")</f>
        <v/>
      </c>
      <c r="W192" s="184" t="str">
        <f t="shared" si="14"/>
        <v/>
      </c>
      <c r="X192" s="176" t="str">
        <f>IFERROR(_xlfn.XLOOKUP($A192,Raw_Data!$B:$B,Raw_Data!$KN:$KN),"")</f>
        <v/>
      </c>
      <c r="Y192" s="176" t="str">
        <f>IFERROR(_xlfn.XLOOKUP($A192,Raw_Data!$B:$B,Raw_Data!$KC:$KC),"")</f>
        <v/>
      </c>
      <c r="Z192" s="176" t="str">
        <f>IFERROR(_xlfn.XLOOKUP($A192,Raw_Data!$B:$B,Raw_Data!$KD:$KD),"")</f>
        <v/>
      </c>
      <c r="AA192" s="176" t="str">
        <f>IFERROR(_xlfn.XLOOKUP($A192,Raw_Data!$B:$B,Raw_Data!$KF:$KF),"")</f>
        <v/>
      </c>
      <c r="AB192" s="176" t="str">
        <f>IFERROR(_xlfn.XLOOKUP($A192,Raw_Data!$B:$B,Raw_Data!I:I)/1000,"")</f>
        <v/>
      </c>
      <c r="AC192" s="185">
        <f>IFERROR(_xlfn.XLOOKUP($D192,'Modelling New'!$D:$D,'Modelling New'!$P:$P),"")</f>
        <v>5.7129032258064516</v>
      </c>
      <c r="AD192" s="176">
        <f>IFERROR(_xlfn.XLOOKUP($D192,'Modelling New'!$D:$D,'Modelling New'!$T:$T)*1000,"")</f>
        <v>296607.12593009364</v>
      </c>
      <c r="AE192" s="186">
        <f>IFERROR(_xlfn.XLOOKUP($D192,'Modelling New'!$D:$D,'Modelling New'!$O:$O),"")</f>
        <v>0.77775159972603525</v>
      </c>
      <c r="AF192" s="186">
        <f>IFERROR(_xlfn.XLOOKUP($D192,'Modelling New'!$D:$D,'Modelling New'!$W:$W),"")</f>
        <v>0.18513415095629143</v>
      </c>
      <c r="AG192" s="186">
        <f>IFERROR(_xlfn.XLOOKUP($D192,'Modelling New'!$D:$D,'Modelling New'!$AE:$AE),"")</f>
        <v>0.995</v>
      </c>
      <c r="AH192" s="186">
        <f>IFERROR(_xlfn.XLOOKUP($D192,'Modelling New'!$D:$D,'Modelling New'!$AF:$AF),"")</f>
        <v>0.995</v>
      </c>
      <c r="AI192" s="177"/>
      <c r="AJ192" s="177"/>
      <c r="AK192" s="238"/>
      <c r="AL192" s="238"/>
      <c r="AM192" s="238"/>
      <c r="AN192" s="187"/>
      <c r="AO192" s="184"/>
      <c r="AP192" s="184"/>
      <c r="AQ192" s="184"/>
      <c r="AR192" s="176">
        <f>IFERROR(_xlfn.XLOOKUP($D191,'Modelling New'!$D:$D,'Modelling New'!$N:$N),"")</f>
        <v>66.754999999999995</v>
      </c>
      <c r="AS192" s="176"/>
    </row>
    <row r="193" spans="1:45" x14ac:dyDescent="0.25">
      <c r="A193" s="175">
        <f t="shared" si="15"/>
        <v>45936</v>
      </c>
      <c r="B193" s="176">
        <f>YEAR(Table13[[#This Row],[Date]])+IF(MONTH(Table13[[#This Row],[Date]])&gt;=4,1,0)</f>
        <v>2026</v>
      </c>
      <c r="C193" s="177">
        <f>YEAR(Table13[[#This Row],[Date]])</f>
        <v>2025</v>
      </c>
      <c r="D193" s="178">
        <f>Table13[[#This Row],[Date]]-DAY(Table13[[#This Row],[Date]])+1</f>
        <v>45931</v>
      </c>
      <c r="E193" s="177">
        <f t="shared" si="12"/>
        <v>31</v>
      </c>
      <c r="F193" s="179" t="str">
        <f>IFERROR(_xlfn.XLOOKUP($A193,Raw_Data!$B:$B,Raw_Data!$KG:$KG),"")</f>
        <v/>
      </c>
      <c r="G193" s="180" t="str">
        <f>IFERROR(_xlfn.XLOOKUP($A193,Raw_Data!$B:$B,Raw_Data!KH:KH),"")</f>
        <v/>
      </c>
      <c r="H193" s="180"/>
      <c r="I193" s="180" t="str">
        <f>IFERROR(_xlfn.XLOOKUP($A193,Raw_Data!$B:$B,Raw_Data!$KI:$KI),"")</f>
        <v/>
      </c>
      <c r="J193" s="180"/>
      <c r="K193" s="180" t="str">
        <f>IFERROR(_xlfn.XLOOKUP($A193,Raw_Data!$B:$B,Raw_Data!KJ:KJ),"")</f>
        <v/>
      </c>
      <c r="L193" s="180" t="str">
        <f>IFERROR(_xlfn.XLOOKUP($A193,Raw_Data!$B:$B,Raw_Data!KK:KK),"")</f>
        <v/>
      </c>
      <c r="M193" s="180" t="str">
        <f>IFERROR(_xlfn.XLOOKUP($A193,Raw_Data!$B:$B,Raw_Data!KL:KL),"")</f>
        <v/>
      </c>
      <c r="N193" s="180" t="str">
        <f>IFERROR(_xlfn.XLOOKUP($A193,Raw_Data!$B:$B,Raw_Data!KM:KM),"")</f>
        <v/>
      </c>
      <c r="O193" s="181" t="str">
        <f>IFERROR(1-SUMIF(PA!$B:$B,$A193,PA!AJ:AJ)/($AA193+SUMIF(PA!$B:$B,$A193,PA!AJ:AJ)),"")</f>
        <v/>
      </c>
      <c r="P193" s="181"/>
      <c r="Q193" s="182"/>
      <c r="R193" s="181" t="str">
        <f>IFERROR(1-SUMIF(GA!$C:$C,$A193,GA!$X:$X)/($AA193+SUMIF(GA!$C:$C,$A193,GA!$X:$X)),"")</f>
        <v/>
      </c>
      <c r="S193" s="177"/>
      <c r="T193" s="182"/>
      <c r="U193" s="183" t="str">
        <f t="shared" si="13"/>
        <v/>
      </c>
      <c r="V193" s="183" t="str">
        <f>IFERROR(_xlfn.XLOOKUP($A193,Raw_Data!$B:$B,Raw_Data!$KQ:$KQ),"")</f>
        <v/>
      </c>
      <c r="W193" s="184" t="str">
        <f t="shared" si="14"/>
        <v/>
      </c>
      <c r="X193" s="176" t="str">
        <f>IFERROR(_xlfn.XLOOKUP($A193,Raw_Data!$B:$B,Raw_Data!$KN:$KN),"")</f>
        <v/>
      </c>
      <c r="Y193" s="176" t="str">
        <f>IFERROR(_xlfn.XLOOKUP($A193,Raw_Data!$B:$B,Raw_Data!$KC:$KC),"")</f>
        <v/>
      </c>
      <c r="Z193" s="176" t="str">
        <f>IFERROR(_xlfn.XLOOKUP($A193,Raw_Data!$B:$B,Raw_Data!$KD:$KD),"")</f>
        <v/>
      </c>
      <c r="AA193" s="176" t="str">
        <f>IFERROR(_xlfn.XLOOKUP($A193,Raw_Data!$B:$B,Raw_Data!$KF:$KF),"")</f>
        <v/>
      </c>
      <c r="AB193" s="176" t="str">
        <f>IFERROR(_xlfn.XLOOKUP($A193,Raw_Data!$B:$B,Raw_Data!I:I)/1000,"")</f>
        <v/>
      </c>
      <c r="AC193" s="185">
        <f>IFERROR(_xlfn.XLOOKUP($D193,'Modelling New'!$D:$D,'Modelling New'!$P:$P),"")</f>
        <v>5.7129032258064516</v>
      </c>
      <c r="AD193" s="176">
        <f>IFERROR(_xlfn.XLOOKUP($D193,'Modelling New'!$D:$D,'Modelling New'!$T:$T)*1000,"")</f>
        <v>296607.12593009364</v>
      </c>
      <c r="AE193" s="186">
        <f>IFERROR(_xlfn.XLOOKUP($D193,'Modelling New'!$D:$D,'Modelling New'!$O:$O),"")</f>
        <v>0.77775159972603525</v>
      </c>
      <c r="AF193" s="186">
        <f>IFERROR(_xlfn.XLOOKUP($D193,'Modelling New'!$D:$D,'Modelling New'!$W:$W),"")</f>
        <v>0.18513415095629143</v>
      </c>
      <c r="AG193" s="186">
        <f>IFERROR(_xlfn.XLOOKUP($D193,'Modelling New'!$D:$D,'Modelling New'!$AE:$AE),"")</f>
        <v>0.995</v>
      </c>
      <c r="AH193" s="186">
        <f>IFERROR(_xlfn.XLOOKUP($D193,'Modelling New'!$D:$D,'Modelling New'!$AF:$AF),"")</f>
        <v>0.995</v>
      </c>
      <c r="AI193" s="177"/>
      <c r="AJ193" s="177"/>
      <c r="AK193" s="238"/>
      <c r="AL193" s="238"/>
      <c r="AM193" s="238"/>
      <c r="AN193" s="187"/>
      <c r="AO193" s="184"/>
      <c r="AP193" s="184"/>
      <c r="AQ193" s="184"/>
      <c r="AR193" s="176">
        <f>IFERROR(_xlfn.XLOOKUP($D192,'Modelling New'!$D:$D,'Modelling New'!$N:$N),"")</f>
        <v>66.754999999999995</v>
      </c>
      <c r="AS193" s="176"/>
    </row>
    <row r="194" spans="1:45" x14ac:dyDescent="0.25">
      <c r="A194" s="175">
        <f t="shared" si="15"/>
        <v>45937</v>
      </c>
      <c r="B194" s="176">
        <f>YEAR(Table13[[#This Row],[Date]])+IF(MONTH(Table13[[#This Row],[Date]])&gt;=4,1,0)</f>
        <v>2026</v>
      </c>
      <c r="C194" s="177">
        <f>YEAR(Table13[[#This Row],[Date]])</f>
        <v>2025</v>
      </c>
      <c r="D194" s="178">
        <f>Table13[[#This Row],[Date]]-DAY(Table13[[#This Row],[Date]])+1</f>
        <v>45931</v>
      </c>
      <c r="E194" s="177">
        <f t="shared" si="12"/>
        <v>31</v>
      </c>
      <c r="F194" s="179" t="str">
        <f>IFERROR(_xlfn.XLOOKUP($A194,Raw_Data!$B:$B,Raw_Data!$KG:$KG),"")</f>
        <v/>
      </c>
      <c r="G194" s="180" t="str">
        <f>IFERROR(_xlfn.XLOOKUP($A194,Raw_Data!$B:$B,Raw_Data!KH:KH),"")</f>
        <v/>
      </c>
      <c r="H194" s="180"/>
      <c r="I194" s="180" t="str">
        <f>IFERROR(_xlfn.XLOOKUP($A194,Raw_Data!$B:$B,Raw_Data!$KI:$KI),"")</f>
        <v/>
      </c>
      <c r="J194" s="180"/>
      <c r="K194" s="180" t="str">
        <f>IFERROR(_xlfn.XLOOKUP($A194,Raw_Data!$B:$B,Raw_Data!KJ:KJ),"")</f>
        <v/>
      </c>
      <c r="L194" s="180" t="str">
        <f>IFERROR(_xlfn.XLOOKUP($A194,Raw_Data!$B:$B,Raw_Data!KK:KK),"")</f>
        <v/>
      </c>
      <c r="M194" s="180" t="str">
        <f>IFERROR(_xlfn.XLOOKUP($A194,Raw_Data!$B:$B,Raw_Data!KL:KL),"")</f>
        <v/>
      </c>
      <c r="N194" s="180" t="str">
        <f>IFERROR(_xlfn.XLOOKUP($A194,Raw_Data!$B:$B,Raw_Data!KM:KM),"")</f>
        <v/>
      </c>
      <c r="O194" s="181" t="str">
        <f>IFERROR(1-SUMIF(PA!$B:$B,$A194,PA!AJ:AJ)/($AA194+SUMIF(PA!$B:$B,$A194,PA!AJ:AJ)),"")</f>
        <v/>
      </c>
      <c r="P194" s="181"/>
      <c r="Q194" s="182"/>
      <c r="R194" s="181" t="str">
        <f>IFERROR(1-SUMIF(GA!$C:$C,$A194,GA!$X:$X)/($AA194+SUMIF(GA!$C:$C,$A194,GA!$X:$X)),"")</f>
        <v/>
      </c>
      <c r="S194" s="177"/>
      <c r="T194" s="182"/>
      <c r="U194" s="183" t="str">
        <f t="shared" si="13"/>
        <v/>
      </c>
      <c r="V194" s="183" t="str">
        <f>IFERROR(_xlfn.XLOOKUP($A194,Raw_Data!$B:$B,Raw_Data!$KQ:$KQ),"")</f>
        <v/>
      </c>
      <c r="W194" s="184" t="str">
        <f t="shared" si="14"/>
        <v/>
      </c>
      <c r="X194" s="176" t="str">
        <f>IFERROR(_xlfn.XLOOKUP($A194,Raw_Data!$B:$B,Raw_Data!$KN:$KN),"")</f>
        <v/>
      </c>
      <c r="Y194" s="176" t="str">
        <f>IFERROR(_xlfn.XLOOKUP($A194,Raw_Data!$B:$B,Raw_Data!$KC:$KC),"")</f>
        <v/>
      </c>
      <c r="Z194" s="176" t="str">
        <f>IFERROR(_xlfn.XLOOKUP($A194,Raw_Data!$B:$B,Raw_Data!$KD:$KD),"")</f>
        <v/>
      </c>
      <c r="AA194" s="176" t="str">
        <f>IFERROR(_xlfn.XLOOKUP($A194,Raw_Data!$B:$B,Raw_Data!$KF:$KF),"")</f>
        <v/>
      </c>
      <c r="AB194" s="176" t="str">
        <f>IFERROR(_xlfn.XLOOKUP($A194,Raw_Data!$B:$B,Raw_Data!I:I)/1000,"")</f>
        <v/>
      </c>
      <c r="AC194" s="185">
        <f>IFERROR(_xlfn.XLOOKUP($D194,'Modelling New'!$D:$D,'Modelling New'!$P:$P),"")</f>
        <v>5.7129032258064516</v>
      </c>
      <c r="AD194" s="176">
        <f>IFERROR(_xlfn.XLOOKUP($D194,'Modelling New'!$D:$D,'Modelling New'!$T:$T)*1000,"")</f>
        <v>296607.12593009364</v>
      </c>
      <c r="AE194" s="186">
        <f>IFERROR(_xlfn.XLOOKUP($D194,'Modelling New'!$D:$D,'Modelling New'!$O:$O),"")</f>
        <v>0.77775159972603525</v>
      </c>
      <c r="AF194" s="186">
        <f>IFERROR(_xlfn.XLOOKUP($D194,'Modelling New'!$D:$D,'Modelling New'!$W:$W),"")</f>
        <v>0.18513415095629143</v>
      </c>
      <c r="AG194" s="186">
        <f>IFERROR(_xlfn.XLOOKUP($D194,'Modelling New'!$D:$D,'Modelling New'!$AE:$AE),"")</f>
        <v>0.995</v>
      </c>
      <c r="AH194" s="186">
        <f>IFERROR(_xlfn.XLOOKUP($D194,'Modelling New'!$D:$D,'Modelling New'!$AF:$AF),"")</f>
        <v>0.995</v>
      </c>
      <c r="AI194" s="177"/>
      <c r="AJ194" s="177"/>
      <c r="AK194" s="238"/>
      <c r="AL194" s="238"/>
      <c r="AM194" s="238"/>
      <c r="AN194" s="187"/>
      <c r="AO194" s="184"/>
      <c r="AP194" s="184"/>
      <c r="AQ194" s="184"/>
      <c r="AR194" s="176">
        <f>IFERROR(_xlfn.XLOOKUP($D193,'Modelling New'!$D:$D,'Modelling New'!$N:$N),"")</f>
        <v>66.754999999999995</v>
      </c>
      <c r="AS194" s="176"/>
    </row>
    <row r="195" spans="1:45" x14ac:dyDescent="0.25">
      <c r="A195" s="175">
        <f t="shared" si="15"/>
        <v>45938</v>
      </c>
      <c r="B195" s="176">
        <f>YEAR(Table13[[#This Row],[Date]])+IF(MONTH(Table13[[#This Row],[Date]])&gt;=4,1,0)</f>
        <v>2026</v>
      </c>
      <c r="C195" s="177">
        <f>YEAR(Table13[[#This Row],[Date]])</f>
        <v>2025</v>
      </c>
      <c r="D195" s="178">
        <f>Table13[[#This Row],[Date]]-DAY(Table13[[#This Row],[Date]])+1</f>
        <v>45931</v>
      </c>
      <c r="E195" s="177">
        <f t="shared" si="12"/>
        <v>31</v>
      </c>
      <c r="F195" s="179" t="str">
        <f>IFERROR(_xlfn.XLOOKUP($A195,Raw_Data!$B:$B,Raw_Data!$KG:$KG),"")</f>
        <v/>
      </c>
      <c r="G195" s="180" t="str">
        <f>IFERROR(_xlfn.XLOOKUP($A195,Raw_Data!$B:$B,Raw_Data!KH:KH),"")</f>
        <v/>
      </c>
      <c r="H195" s="180"/>
      <c r="I195" s="180" t="str">
        <f>IFERROR(_xlfn.XLOOKUP($A195,Raw_Data!$B:$B,Raw_Data!$KI:$KI),"")</f>
        <v/>
      </c>
      <c r="J195" s="180"/>
      <c r="K195" s="180" t="str">
        <f>IFERROR(_xlfn.XLOOKUP($A195,Raw_Data!$B:$B,Raw_Data!KJ:KJ),"")</f>
        <v/>
      </c>
      <c r="L195" s="180" t="str">
        <f>IFERROR(_xlfn.XLOOKUP($A195,Raw_Data!$B:$B,Raw_Data!KK:KK),"")</f>
        <v/>
      </c>
      <c r="M195" s="180" t="str">
        <f>IFERROR(_xlfn.XLOOKUP($A195,Raw_Data!$B:$B,Raw_Data!KL:KL),"")</f>
        <v/>
      </c>
      <c r="N195" s="180" t="str">
        <f>IFERROR(_xlfn.XLOOKUP($A195,Raw_Data!$B:$B,Raw_Data!KM:KM),"")</f>
        <v/>
      </c>
      <c r="O195" s="181" t="str">
        <f>IFERROR(1-SUMIF(PA!$B:$B,$A195,PA!AJ:AJ)/($AA195+SUMIF(PA!$B:$B,$A195,PA!AJ:AJ)),"")</f>
        <v/>
      </c>
      <c r="P195" s="181"/>
      <c r="Q195" s="182"/>
      <c r="R195" s="181" t="str">
        <f>IFERROR(1-SUMIF(GA!$C:$C,$A195,GA!$X:$X)/($AA195+SUMIF(GA!$C:$C,$A195,GA!$X:$X)),"")</f>
        <v/>
      </c>
      <c r="S195" s="177"/>
      <c r="T195" s="182"/>
      <c r="U195" s="183" t="str">
        <f t="shared" si="13"/>
        <v/>
      </c>
      <c r="V195" s="183" t="str">
        <f>IFERROR(_xlfn.XLOOKUP($A195,Raw_Data!$B:$B,Raw_Data!$KQ:$KQ),"")</f>
        <v/>
      </c>
      <c r="W195" s="184" t="str">
        <f t="shared" si="14"/>
        <v/>
      </c>
      <c r="X195" s="176" t="str">
        <f>IFERROR(_xlfn.XLOOKUP($A195,Raw_Data!$B:$B,Raw_Data!$KN:$KN),"")</f>
        <v/>
      </c>
      <c r="Y195" s="176" t="str">
        <f>IFERROR(_xlfn.XLOOKUP($A195,Raw_Data!$B:$B,Raw_Data!$KC:$KC),"")</f>
        <v/>
      </c>
      <c r="Z195" s="176" t="str">
        <f>IFERROR(_xlfn.XLOOKUP($A195,Raw_Data!$B:$B,Raw_Data!$KD:$KD),"")</f>
        <v/>
      </c>
      <c r="AA195" s="176" t="str">
        <f>IFERROR(_xlfn.XLOOKUP($A195,Raw_Data!$B:$B,Raw_Data!$KF:$KF),"")</f>
        <v/>
      </c>
      <c r="AB195" s="176" t="str">
        <f>IFERROR(_xlfn.XLOOKUP($A195,Raw_Data!$B:$B,Raw_Data!I:I)/1000,"")</f>
        <v/>
      </c>
      <c r="AC195" s="185">
        <f>IFERROR(_xlfn.XLOOKUP($D195,'Modelling New'!$D:$D,'Modelling New'!$P:$P),"")</f>
        <v>5.7129032258064516</v>
      </c>
      <c r="AD195" s="176">
        <f>IFERROR(_xlfn.XLOOKUP($D195,'Modelling New'!$D:$D,'Modelling New'!$T:$T)*1000,"")</f>
        <v>296607.12593009364</v>
      </c>
      <c r="AE195" s="186">
        <f>IFERROR(_xlfn.XLOOKUP($D195,'Modelling New'!$D:$D,'Modelling New'!$O:$O),"")</f>
        <v>0.77775159972603525</v>
      </c>
      <c r="AF195" s="186">
        <f>IFERROR(_xlfn.XLOOKUP($D195,'Modelling New'!$D:$D,'Modelling New'!$W:$W),"")</f>
        <v>0.18513415095629143</v>
      </c>
      <c r="AG195" s="186">
        <f>IFERROR(_xlfn.XLOOKUP($D195,'Modelling New'!$D:$D,'Modelling New'!$AE:$AE),"")</f>
        <v>0.995</v>
      </c>
      <c r="AH195" s="186">
        <f>IFERROR(_xlfn.XLOOKUP($D195,'Modelling New'!$D:$D,'Modelling New'!$AF:$AF),"")</f>
        <v>0.995</v>
      </c>
      <c r="AI195" s="177"/>
      <c r="AJ195" s="177"/>
      <c r="AK195" s="238"/>
      <c r="AL195" s="238"/>
      <c r="AM195" s="238"/>
      <c r="AN195" s="187"/>
      <c r="AO195" s="184"/>
      <c r="AP195" s="184"/>
      <c r="AQ195" s="184"/>
      <c r="AR195" s="176">
        <f>IFERROR(_xlfn.XLOOKUP($D194,'Modelling New'!$D:$D,'Modelling New'!$N:$N),"")</f>
        <v>66.754999999999995</v>
      </c>
      <c r="AS195" s="176"/>
    </row>
    <row r="196" spans="1:45" x14ac:dyDescent="0.25">
      <c r="A196" s="175">
        <f t="shared" si="15"/>
        <v>45939</v>
      </c>
      <c r="B196" s="176">
        <f>YEAR(Table13[[#This Row],[Date]])+IF(MONTH(Table13[[#This Row],[Date]])&gt;=4,1,0)</f>
        <v>2026</v>
      </c>
      <c r="C196" s="177">
        <f>YEAR(Table13[[#This Row],[Date]])</f>
        <v>2025</v>
      </c>
      <c r="D196" s="178">
        <f>Table13[[#This Row],[Date]]-DAY(Table13[[#This Row],[Date]])+1</f>
        <v>45931</v>
      </c>
      <c r="E196" s="177">
        <f t="shared" si="12"/>
        <v>31</v>
      </c>
      <c r="F196" s="179" t="str">
        <f>IFERROR(_xlfn.XLOOKUP($A196,Raw_Data!$B:$B,Raw_Data!$KG:$KG),"")</f>
        <v/>
      </c>
      <c r="G196" s="180" t="str">
        <f>IFERROR(_xlfn.XLOOKUP($A196,Raw_Data!$B:$B,Raw_Data!KH:KH),"")</f>
        <v/>
      </c>
      <c r="H196" s="180"/>
      <c r="I196" s="180" t="str">
        <f>IFERROR(_xlfn.XLOOKUP($A196,Raw_Data!$B:$B,Raw_Data!$KI:$KI),"")</f>
        <v/>
      </c>
      <c r="J196" s="180"/>
      <c r="K196" s="180" t="str">
        <f>IFERROR(_xlfn.XLOOKUP($A196,Raw_Data!$B:$B,Raw_Data!KJ:KJ),"")</f>
        <v/>
      </c>
      <c r="L196" s="180" t="str">
        <f>IFERROR(_xlfn.XLOOKUP($A196,Raw_Data!$B:$B,Raw_Data!KK:KK),"")</f>
        <v/>
      </c>
      <c r="M196" s="180" t="str">
        <f>IFERROR(_xlfn.XLOOKUP($A196,Raw_Data!$B:$B,Raw_Data!KL:KL),"")</f>
        <v/>
      </c>
      <c r="N196" s="180" t="str">
        <f>IFERROR(_xlfn.XLOOKUP($A196,Raw_Data!$B:$B,Raw_Data!KM:KM),"")</f>
        <v/>
      </c>
      <c r="O196" s="181" t="str">
        <f>IFERROR(1-SUMIF(PA!$B:$B,$A196,PA!AJ:AJ)/($AA196+SUMIF(PA!$B:$B,$A196,PA!AJ:AJ)),"")</f>
        <v/>
      </c>
      <c r="P196" s="181"/>
      <c r="Q196" s="182"/>
      <c r="R196" s="181" t="str">
        <f>IFERROR(1-SUMIF(GA!$C:$C,$A196,GA!$X:$X)/($AA196+SUMIF(GA!$C:$C,$A196,GA!$X:$X)),"")</f>
        <v/>
      </c>
      <c r="S196" s="177"/>
      <c r="T196" s="182"/>
      <c r="U196" s="183" t="str">
        <f t="shared" si="13"/>
        <v/>
      </c>
      <c r="V196" s="183" t="str">
        <f>IFERROR(_xlfn.XLOOKUP($A196,Raw_Data!$B:$B,Raw_Data!$KQ:$KQ),"")</f>
        <v/>
      </c>
      <c r="W196" s="184" t="str">
        <f t="shared" si="14"/>
        <v/>
      </c>
      <c r="X196" s="176" t="str">
        <f>IFERROR(_xlfn.XLOOKUP($A196,Raw_Data!$B:$B,Raw_Data!$KN:$KN),"")</f>
        <v/>
      </c>
      <c r="Y196" s="176" t="str">
        <f>IFERROR(_xlfn.XLOOKUP($A196,Raw_Data!$B:$B,Raw_Data!$KC:$KC),"")</f>
        <v/>
      </c>
      <c r="Z196" s="176" t="str">
        <f>IFERROR(_xlfn.XLOOKUP($A196,Raw_Data!$B:$B,Raw_Data!$KD:$KD),"")</f>
        <v/>
      </c>
      <c r="AA196" s="176" t="str">
        <f>IFERROR(_xlfn.XLOOKUP($A196,Raw_Data!$B:$B,Raw_Data!$KF:$KF),"")</f>
        <v/>
      </c>
      <c r="AB196" s="176" t="str">
        <f>IFERROR(_xlfn.XLOOKUP($A196,Raw_Data!$B:$B,Raw_Data!I:I)/1000,"")</f>
        <v/>
      </c>
      <c r="AC196" s="185">
        <f>IFERROR(_xlfn.XLOOKUP($D196,'Modelling New'!$D:$D,'Modelling New'!$P:$P),"")</f>
        <v>5.7129032258064516</v>
      </c>
      <c r="AD196" s="176">
        <f>IFERROR(_xlfn.XLOOKUP($D196,'Modelling New'!$D:$D,'Modelling New'!$T:$T)*1000,"")</f>
        <v>296607.12593009364</v>
      </c>
      <c r="AE196" s="186">
        <f>IFERROR(_xlfn.XLOOKUP($D196,'Modelling New'!$D:$D,'Modelling New'!$O:$O),"")</f>
        <v>0.77775159972603525</v>
      </c>
      <c r="AF196" s="186">
        <f>IFERROR(_xlfn.XLOOKUP($D196,'Modelling New'!$D:$D,'Modelling New'!$W:$W),"")</f>
        <v>0.18513415095629143</v>
      </c>
      <c r="AG196" s="186">
        <f>IFERROR(_xlfn.XLOOKUP($D196,'Modelling New'!$D:$D,'Modelling New'!$AE:$AE),"")</f>
        <v>0.995</v>
      </c>
      <c r="AH196" s="186">
        <f>IFERROR(_xlfn.XLOOKUP($D196,'Modelling New'!$D:$D,'Modelling New'!$AF:$AF),"")</f>
        <v>0.995</v>
      </c>
      <c r="AI196" s="177"/>
      <c r="AJ196" s="177"/>
      <c r="AK196" s="238"/>
      <c r="AL196" s="238"/>
      <c r="AM196" s="238"/>
      <c r="AN196" s="187"/>
      <c r="AO196" s="184"/>
      <c r="AP196" s="184"/>
      <c r="AQ196" s="184"/>
      <c r="AR196" s="176">
        <f>IFERROR(_xlfn.XLOOKUP($D195,'Modelling New'!$D:$D,'Modelling New'!$N:$N),"")</f>
        <v>66.754999999999995</v>
      </c>
      <c r="AS196" s="176"/>
    </row>
    <row r="197" spans="1:45" x14ac:dyDescent="0.25">
      <c r="A197" s="175">
        <f t="shared" si="15"/>
        <v>45940</v>
      </c>
      <c r="B197" s="176">
        <f>YEAR(Table13[[#This Row],[Date]])+IF(MONTH(Table13[[#This Row],[Date]])&gt;=4,1,0)</f>
        <v>2026</v>
      </c>
      <c r="C197" s="177">
        <f>YEAR(Table13[[#This Row],[Date]])</f>
        <v>2025</v>
      </c>
      <c r="D197" s="178">
        <f>Table13[[#This Row],[Date]]-DAY(Table13[[#This Row],[Date]])+1</f>
        <v>45931</v>
      </c>
      <c r="E197" s="177">
        <f t="shared" si="12"/>
        <v>31</v>
      </c>
      <c r="F197" s="179" t="str">
        <f>IFERROR(_xlfn.XLOOKUP($A197,Raw_Data!$B:$B,Raw_Data!$KG:$KG),"")</f>
        <v/>
      </c>
      <c r="G197" s="180" t="str">
        <f>IFERROR(_xlfn.XLOOKUP($A197,Raw_Data!$B:$B,Raw_Data!KH:KH),"")</f>
        <v/>
      </c>
      <c r="H197" s="180"/>
      <c r="I197" s="180" t="str">
        <f>IFERROR(_xlfn.XLOOKUP($A197,Raw_Data!$B:$B,Raw_Data!$KI:$KI),"")</f>
        <v/>
      </c>
      <c r="J197" s="180"/>
      <c r="K197" s="180" t="str">
        <f>IFERROR(_xlfn.XLOOKUP($A197,Raw_Data!$B:$B,Raw_Data!KJ:KJ),"")</f>
        <v/>
      </c>
      <c r="L197" s="180" t="str">
        <f>IFERROR(_xlfn.XLOOKUP($A197,Raw_Data!$B:$B,Raw_Data!KK:KK),"")</f>
        <v/>
      </c>
      <c r="M197" s="180" t="str">
        <f>IFERROR(_xlfn.XLOOKUP($A197,Raw_Data!$B:$B,Raw_Data!KL:KL),"")</f>
        <v/>
      </c>
      <c r="N197" s="180" t="str">
        <f>IFERROR(_xlfn.XLOOKUP($A197,Raw_Data!$B:$B,Raw_Data!KM:KM),"")</f>
        <v/>
      </c>
      <c r="O197" s="181" t="str">
        <f>IFERROR(1-SUMIF(PA!$B:$B,$A197,PA!AJ:AJ)/($AA197+SUMIF(PA!$B:$B,$A197,PA!AJ:AJ)),"")</f>
        <v/>
      </c>
      <c r="P197" s="181"/>
      <c r="Q197" s="182"/>
      <c r="R197" s="181" t="str">
        <f>IFERROR(1-SUMIF(GA!$C:$C,$A197,GA!$X:$X)/($AA197+SUMIF(GA!$C:$C,$A197,GA!$X:$X)),"")</f>
        <v/>
      </c>
      <c r="S197" s="177"/>
      <c r="T197" s="182"/>
      <c r="U197" s="183" t="str">
        <f t="shared" si="13"/>
        <v/>
      </c>
      <c r="V197" s="183" t="str">
        <f>IFERROR(_xlfn.XLOOKUP($A197,Raw_Data!$B:$B,Raw_Data!$KQ:$KQ),"")</f>
        <v/>
      </c>
      <c r="W197" s="184" t="str">
        <f t="shared" si="14"/>
        <v/>
      </c>
      <c r="X197" s="176" t="str">
        <f>IFERROR(_xlfn.XLOOKUP($A197,Raw_Data!$B:$B,Raw_Data!$KN:$KN),"")</f>
        <v/>
      </c>
      <c r="Y197" s="176" t="str">
        <f>IFERROR(_xlfn.XLOOKUP($A197,Raw_Data!$B:$B,Raw_Data!$KC:$KC),"")</f>
        <v/>
      </c>
      <c r="Z197" s="176" t="str">
        <f>IFERROR(_xlfn.XLOOKUP($A197,Raw_Data!$B:$B,Raw_Data!$KD:$KD),"")</f>
        <v/>
      </c>
      <c r="AA197" s="176" t="str">
        <f>IFERROR(_xlfn.XLOOKUP($A197,Raw_Data!$B:$B,Raw_Data!$KF:$KF),"")</f>
        <v/>
      </c>
      <c r="AB197" s="176" t="str">
        <f>IFERROR(_xlfn.XLOOKUP($A197,Raw_Data!$B:$B,Raw_Data!I:I)/1000,"")</f>
        <v/>
      </c>
      <c r="AC197" s="185">
        <f>IFERROR(_xlfn.XLOOKUP($D197,'Modelling New'!$D:$D,'Modelling New'!$P:$P),"")</f>
        <v>5.7129032258064516</v>
      </c>
      <c r="AD197" s="176">
        <f>IFERROR(_xlfn.XLOOKUP($D197,'Modelling New'!$D:$D,'Modelling New'!$T:$T)*1000,"")</f>
        <v>296607.12593009364</v>
      </c>
      <c r="AE197" s="186">
        <f>IFERROR(_xlfn.XLOOKUP($D197,'Modelling New'!$D:$D,'Modelling New'!$O:$O),"")</f>
        <v>0.77775159972603525</v>
      </c>
      <c r="AF197" s="186">
        <f>IFERROR(_xlfn.XLOOKUP($D197,'Modelling New'!$D:$D,'Modelling New'!$W:$W),"")</f>
        <v>0.18513415095629143</v>
      </c>
      <c r="AG197" s="186">
        <f>IFERROR(_xlfn.XLOOKUP($D197,'Modelling New'!$D:$D,'Modelling New'!$AE:$AE),"")</f>
        <v>0.995</v>
      </c>
      <c r="AH197" s="186">
        <f>IFERROR(_xlfn.XLOOKUP($D197,'Modelling New'!$D:$D,'Modelling New'!$AF:$AF),"")</f>
        <v>0.995</v>
      </c>
      <c r="AI197" s="177"/>
      <c r="AJ197" s="177"/>
      <c r="AK197" s="238"/>
      <c r="AL197" s="238"/>
      <c r="AM197" s="238"/>
      <c r="AN197" s="187"/>
      <c r="AO197" s="184"/>
      <c r="AP197" s="184"/>
      <c r="AQ197" s="184"/>
      <c r="AR197" s="176">
        <f>IFERROR(_xlfn.XLOOKUP($D196,'Modelling New'!$D:$D,'Modelling New'!$N:$N),"")</f>
        <v>66.754999999999995</v>
      </c>
      <c r="AS197" s="176"/>
    </row>
    <row r="198" spans="1:45" x14ac:dyDescent="0.25">
      <c r="A198" s="175">
        <f t="shared" si="15"/>
        <v>45941</v>
      </c>
      <c r="B198" s="176">
        <f>YEAR(Table13[[#This Row],[Date]])+IF(MONTH(Table13[[#This Row],[Date]])&gt;=4,1,0)</f>
        <v>2026</v>
      </c>
      <c r="C198" s="177">
        <f>YEAR(Table13[[#This Row],[Date]])</f>
        <v>2025</v>
      </c>
      <c r="D198" s="178">
        <f>Table13[[#This Row],[Date]]-DAY(Table13[[#This Row],[Date]])+1</f>
        <v>45931</v>
      </c>
      <c r="E198" s="177">
        <f t="shared" si="12"/>
        <v>31</v>
      </c>
      <c r="F198" s="179" t="str">
        <f>IFERROR(_xlfn.XLOOKUP($A198,Raw_Data!$B:$B,Raw_Data!$KG:$KG),"")</f>
        <v/>
      </c>
      <c r="G198" s="180" t="str">
        <f>IFERROR(_xlfn.XLOOKUP($A198,Raw_Data!$B:$B,Raw_Data!KH:KH),"")</f>
        <v/>
      </c>
      <c r="H198" s="180"/>
      <c r="I198" s="180" t="str">
        <f>IFERROR(_xlfn.XLOOKUP($A198,Raw_Data!$B:$B,Raw_Data!$KI:$KI),"")</f>
        <v/>
      </c>
      <c r="J198" s="180"/>
      <c r="K198" s="180" t="str">
        <f>IFERROR(_xlfn.XLOOKUP($A198,Raw_Data!$B:$B,Raw_Data!KJ:KJ),"")</f>
        <v/>
      </c>
      <c r="L198" s="180" t="str">
        <f>IFERROR(_xlfn.XLOOKUP($A198,Raw_Data!$B:$B,Raw_Data!KK:KK),"")</f>
        <v/>
      </c>
      <c r="M198" s="180" t="str">
        <f>IFERROR(_xlfn.XLOOKUP($A198,Raw_Data!$B:$B,Raw_Data!KL:KL),"")</f>
        <v/>
      </c>
      <c r="N198" s="180" t="str">
        <f>IFERROR(_xlfn.XLOOKUP($A198,Raw_Data!$B:$B,Raw_Data!KM:KM),"")</f>
        <v/>
      </c>
      <c r="O198" s="181" t="str">
        <f>IFERROR(1-SUMIF(PA!$B:$B,$A198,PA!AJ:AJ)/($AA198+SUMIF(PA!$B:$B,$A198,PA!AJ:AJ)),"")</f>
        <v/>
      </c>
      <c r="P198" s="181"/>
      <c r="Q198" s="182"/>
      <c r="R198" s="181" t="str">
        <f>IFERROR(1-SUMIF(GA!$C:$C,$A198,GA!$X:$X)/($AA198+SUMIF(GA!$C:$C,$A198,GA!$X:$X)),"")</f>
        <v/>
      </c>
      <c r="S198" s="177"/>
      <c r="T198" s="182"/>
      <c r="U198" s="183" t="str">
        <f t="shared" si="13"/>
        <v/>
      </c>
      <c r="V198" s="183" t="str">
        <f>IFERROR(_xlfn.XLOOKUP($A198,Raw_Data!$B:$B,Raw_Data!$KQ:$KQ),"")</f>
        <v/>
      </c>
      <c r="W198" s="184" t="str">
        <f t="shared" si="14"/>
        <v/>
      </c>
      <c r="X198" s="176" t="str">
        <f>IFERROR(_xlfn.XLOOKUP($A198,Raw_Data!$B:$B,Raw_Data!$KN:$KN),"")</f>
        <v/>
      </c>
      <c r="Y198" s="176" t="str">
        <f>IFERROR(_xlfn.XLOOKUP($A198,Raw_Data!$B:$B,Raw_Data!$KC:$KC),"")</f>
        <v/>
      </c>
      <c r="Z198" s="176" t="str">
        <f>IFERROR(_xlfn.XLOOKUP($A198,Raw_Data!$B:$B,Raw_Data!$KD:$KD),"")</f>
        <v/>
      </c>
      <c r="AA198" s="176" t="str">
        <f>IFERROR(_xlfn.XLOOKUP($A198,Raw_Data!$B:$B,Raw_Data!$KF:$KF),"")</f>
        <v/>
      </c>
      <c r="AB198" s="176" t="str">
        <f>IFERROR(_xlfn.XLOOKUP($A198,Raw_Data!$B:$B,Raw_Data!I:I)/1000,"")</f>
        <v/>
      </c>
      <c r="AC198" s="185">
        <f>IFERROR(_xlfn.XLOOKUP($D198,'Modelling New'!$D:$D,'Modelling New'!$P:$P),"")</f>
        <v>5.7129032258064516</v>
      </c>
      <c r="AD198" s="176">
        <f>IFERROR(_xlfn.XLOOKUP($D198,'Modelling New'!$D:$D,'Modelling New'!$T:$T)*1000,"")</f>
        <v>296607.12593009364</v>
      </c>
      <c r="AE198" s="186">
        <f>IFERROR(_xlfn.XLOOKUP($D198,'Modelling New'!$D:$D,'Modelling New'!$O:$O),"")</f>
        <v>0.77775159972603525</v>
      </c>
      <c r="AF198" s="186">
        <f>IFERROR(_xlfn.XLOOKUP($D198,'Modelling New'!$D:$D,'Modelling New'!$W:$W),"")</f>
        <v>0.18513415095629143</v>
      </c>
      <c r="AG198" s="186">
        <f>IFERROR(_xlfn.XLOOKUP($D198,'Modelling New'!$D:$D,'Modelling New'!$AE:$AE),"")</f>
        <v>0.995</v>
      </c>
      <c r="AH198" s="186">
        <f>IFERROR(_xlfn.XLOOKUP($D198,'Modelling New'!$D:$D,'Modelling New'!$AF:$AF),"")</f>
        <v>0.995</v>
      </c>
      <c r="AI198" s="177"/>
      <c r="AJ198" s="177"/>
      <c r="AK198" s="238"/>
      <c r="AL198" s="238"/>
      <c r="AM198" s="238"/>
      <c r="AN198" s="187"/>
      <c r="AO198" s="184"/>
      <c r="AP198" s="184"/>
      <c r="AQ198" s="184"/>
      <c r="AR198" s="176">
        <f>IFERROR(_xlfn.XLOOKUP($D197,'Modelling New'!$D:$D,'Modelling New'!$N:$N),"")</f>
        <v>66.754999999999995</v>
      </c>
      <c r="AS198" s="176"/>
    </row>
    <row r="199" spans="1:45" x14ac:dyDescent="0.25">
      <c r="A199" s="175">
        <f t="shared" si="15"/>
        <v>45942</v>
      </c>
      <c r="B199" s="176">
        <f>YEAR(Table13[[#This Row],[Date]])+IF(MONTH(Table13[[#This Row],[Date]])&gt;=4,1,0)</f>
        <v>2026</v>
      </c>
      <c r="C199" s="177">
        <f>YEAR(Table13[[#This Row],[Date]])</f>
        <v>2025</v>
      </c>
      <c r="D199" s="178">
        <f>Table13[[#This Row],[Date]]-DAY(Table13[[#This Row],[Date]])+1</f>
        <v>45931</v>
      </c>
      <c r="E199" s="177">
        <f t="shared" si="12"/>
        <v>31</v>
      </c>
      <c r="F199" s="179" t="str">
        <f>IFERROR(_xlfn.XLOOKUP($A199,Raw_Data!$B:$B,Raw_Data!$KG:$KG),"")</f>
        <v/>
      </c>
      <c r="G199" s="180" t="str">
        <f>IFERROR(_xlfn.XLOOKUP($A199,Raw_Data!$B:$B,Raw_Data!KH:KH),"")</f>
        <v/>
      </c>
      <c r="H199" s="180"/>
      <c r="I199" s="180" t="str">
        <f>IFERROR(_xlfn.XLOOKUP($A199,Raw_Data!$B:$B,Raw_Data!$KI:$KI),"")</f>
        <v/>
      </c>
      <c r="J199" s="180"/>
      <c r="K199" s="180" t="str">
        <f>IFERROR(_xlfn.XLOOKUP($A199,Raw_Data!$B:$B,Raw_Data!KJ:KJ),"")</f>
        <v/>
      </c>
      <c r="L199" s="180" t="str">
        <f>IFERROR(_xlfn.XLOOKUP($A199,Raw_Data!$B:$B,Raw_Data!KK:KK),"")</f>
        <v/>
      </c>
      <c r="M199" s="180" t="str">
        <f>IFERROR(_xlfn.XLOOKUP($A199,Raw_Data!$B:$B,Raw_Data!KL:KL),"")</f>
        <v/>
      </c>
      <c r="N199" s="180" t="str">
        <f>IFERROR(_xlfn.XLOOKUP($A199,Raw_Data!$B:$B,Raw_Data!KM:KM),"")</f>
        <v/>
      </c>
      <c r="O199" s="181" t="str">
        <f>IFERROR(1-SUMIF(PA!$B:$B,$A199,PA!AJ:AJ)/($AA199+SUMIF(PA!$B:$B,$A199,PA!AJ:AJ)),"")</f>
        <v/>
      </c>
      <c r="P199" s="181"/>
      <c r="Q199" s="182"/>
      <c r="R199" s="181" t="str">
        <f>IFERROR(1-SUMIF(GA!$C:$C,$A199,GA!$X:$X)/($AA199+SUMIF(GA!$C:$C,$A199,GA!$X:$X)),"")</f>
        <v/>
      </c>
      <c r="S199" s="177"/>
      <c r="T199" s="182"/>
      <c r="U199" s="183" t="str">
        <f t="shared" si="13"/>
        <v/>
      </c>
      <c r="V199" s="183" t="str">
        <f>IFERROR(_xlfn.XLOOKUP($A199,Raw_Data!$B:$B,Raw_Data!$KQ:$KQ),"")</f>
        <v/>
      </c>
      <c r="W199" s="184" t="str">
        <f t="shared" si="14"/>
        <v/>
      </c>
      <c r="X199" s="176" t="str">
        <f>IFERROR(_xlfn.XLOOKUP($A199,Raw_Data!$B:$B,Raw_Data!$KN:$KN),"")</f>
        <v/>
      </c>
      <c r="Y199" s="176" t="str">
        <f>IFERROR(_xlfn.XLOOKUP($A199,Raw_Data!$B:$B,Raw_Data!$KC:$KC),"")</f>
        <v/>
      </c>
      <c r="Z199" s="176" t="str">
        <f>IFERROR(_xlfn.XLOOKUP($A199,Raw_Data!$B:$B,Raw_Data!$KD:$KD),"")</f>
        <v/>
      </c>
      <c r="AA199" s="176" t="str">
        <f>IFERROR(_xlfn.XLOOKUP($A199,Raw_Data!$B:$B,Raw_Data!$KF:$KF),"")</f>
        <v/>
      </c>
      <c r="AB199" s="176" t="str">
        <f>IFERROR(_xlfn.XLOOKUP($A199,Raw_Data!$B:$B,Raw_Data!I:I)/1000,"")</f>
        <v/>
      </c>
      <c r="AC199" s="185">
        <f>IFERROR(_xlfn.XLOOKUP($D199,'Modelling New'!$D:$D,'Modelling New'!$P:$P),"")</f>
        <v>5.7129032258064516</v>
      </c>
      <c r="AD199" s="176">
        <f>IFERROR(_xlfn.XLOOKUP($D199,'Modelling New'!$D:$D,'Modelling New'!$T:$T)*1000,"")</f>
        <v>296607.12593009364</v>
      </c>
      <c r="AE199" s="186">
        <f>IFERROR(_xlfn.XLOOKUP($D199,'Modelling New'!$D:$D,'Modelling New'!$O:$O),"")</f>
        <v>0.77775159972603525</v>
      </c>
      <c r="AF199" s="186">
        <f>IFERROR(_xlfn.XLOOKUP($D199,'Modelling New'!$D:$D,'Modelling New'!$W:$W),"")</f>
        <v>0.18513415095629143</v>
      </c>
      <c r="AG199" s="186">
        <f>IFERROR(_xlfn.XLOOKUP($D199,'Modelling New'!$D:$D,'Modelling New'!$AE:$AE),"")</f>
        <v>0.995</v>
      </c>
      <c r="AH199" s="186">
        <f>IFERROR(_xlfn.XLOOKUP($D199,'Modelling New'!$D:$D,'Modelling New'!$AF:$AF),"")</f>
        <v>0.995</v>
      </c>
      <c r="AI199" s="177"/>
      <c r="AJ199" s="177"/>
      <c r="AK199" s="238"/>
      <c r="AL199" s="238"/>
      <c r="AM199" s="238"/>
      <c r="AN199" s="187"/>
      <c r="AO199" s="184"/>
      <c r="AP199" s="184"/>
      <c r="AQ199" s="184"/>
      <c r="AR199" s="176">
        <f>IFERROR(_xlfn.XLOOKUP($D198,'Modelling New'!$D:$D,'Modelling New'!$N:$N),"")</f>
        <v>66.754999999999995</v>
      </c>
      <c r="AS199" s="176"/>
    </row>
    <row r="200" spans="1:45" x14ac:dyDescent="0.25">
      <c r="A200" s="175">
        <f t="shared" si="15"/>
        <v>45943</v>
      </c>
      <c r="B200" s="176">
        <f>YEAR(Table13[[#This Row],[Date]])+IF(MONTH(Table13[[#This Row],[Date]])&gt;=4,1,0)</f>
        <v>2026</v>
      </c>
      <c r="C200" s="177">
        <f>YEAR(Table13[[#This Row],[Date]])</f>
        <v>2025</v>
      </c>
      <c r="D200" s="178">
        <f>Table13[[#This Row],[Date]]-DAY(Table13[[#This Row],[Date]])+1</f>
        <v>45931</v>
      </c>
      <c r="E200" s="177">
        <f t="shared" si="12"/>
        <v>31</v>
      </c>
      <c r="F200" s="179" t="str">
        <f>IFERROR(_xlfn.XLOOKUP($A200,Raw_Data!$B:$B,Raw_Data!$KG:$KG),"")</f>
        <v/>
      </c>
      <c r="G200" s="180" t="str">
        <f>IFERROR(_xlfn.XLOOKUP($A200,Raw_Data!$B:$B,Raw_Data!KH:KH),"")</f>
        <v/>
      </c>
      <c r="H200" s="180"/>
      <c r="I200" s="180" t="str">
        <f>IFERROR(_xlfn.XLOOKUP($A200,Raw_Data!$B:$B,Raw_Data!$KI:$KI),"")</f>
        <v/>
      </c>
      <c r="J200" s="180"/>
      <c r="K200" s="180" t="str">
        <f>IFERROR(_xlfn.XLOOKUP($A200,Raw_Data!$B:$B,Raw_Data!KJ:KJ),"")</f>
        <v/>
      </c>
      <c r="L200" s="180" t="str">
        <f>IFERROR(_xlfn.XLOOKUP($A200,Raw_Data!$B:$B,Raw_Data!KK:KK),"")</f>
        <v/>
      </c>
      <c r="M200" s="180" t="str">
        <f>IFERROR(_xlfn.XLOOKUP($A200,Raw_Data!$B:$B,Raw_Data!KL:KL),"")</f>
        <v/>
      </c>
      <c r="N200" s="180" t="str">
        <f>IFERROR(_xlfn.XLOOKUP($A200,Raw_Data!$B:$B,Raw_Data!KM:KM),"")</f>
        <v/>
      </c>
      <c r="O200" s="181" t="str">
        <f>IFERROR(1-SUMIF(PA!$B:$B,$A200,PA!AJ:AJ)/($AA200+SUMIF(PA!$B:$B,$A200,PA!AJ:AJ)),"")</f>
        <v/>
      </c>
      <c r="P200" s="181"/>
      <c r="Q200" s="182"/>
      <c r="R200" s="181" t="str">
        <f>IFERROR(1-SUMIF(GA!$C:$C,$A200,GA!$X:$X)/($AA200+SUMIF(GA!$C:$C,$A200,GA!$X:$X)),"")</f>
        <v/>
      </c>
      <c r="S200" s="177"/>
      <c r="T200" s="182"/>
      <c r="U200" s="183" t="str">
        <f t="shared" si="13"/>
        <v/>
      </c>
      <c r="V200" s="183" t="str">
        <f>IFERROR(_xlfn.XLOOKUP($A200,Raw_Data!$B:$B,Raw_Data!$KQ:$KQ),"")</f>
        <v/>
      </c>
      <c r="W200" s="184" t="str">
        <f t="shared" si="14"/>
        <v/>
      </c>
      <c r="X200" s="176" t="str">
        <f>IFERROR(_xlfn.XLOOKUP($A200,Raw_Data!$B:$B,Raw_Data!$KN:$KN),"")</f>
        <v/>
      </c>
      <c r="Y200" s="176" t="str">
        <f>IFERROR(_xlfn.XLOOKUP($A200,Raw_Data!$B:$B,Raw_Data!$KC:$KC),"")</f>
        <v/>
      </c>
      <c r="Z200" s="176" t="str">
        <f>IFERROR(_xlfn.XLOOKUP($A200,Raw_Data!$B:$B,Raw_Data!$KD:$KD),"")</f>
        <v/>
      </c>
      <c r="AA200" s="176" t="str">
        <f>IFERROR(_xlfn.XLOOKUP($A200,Raw_Data!$B:$B,Raw_Data!$KF:$KF),"")</f>
        <v/>
      </c>
      <c r="AB200" s="176" t="str">
        <f>IFERROR(_xlfn.XLOOKUP($A200,Raw_Data!$B:$B,Raw_Data!I:I)/1000,"")</f>
        <v/>
      </c>
      <c r="AC200" s="185">
        <f>IFERROR(_xlfn.XLOOKUP($D200,'Modelling New'!$D:$D,'Modelling New'!$P:$P),"")</f>
        <v>5.7129032258064516</v>
      </c>
      <c r="AD200" s="176">
        <f>IFERROR(_xlfn.XLOOKUP($D200,'Modelling New'!$D:$D,'Modelling New'!$T:$T)*1000,"")</f>
        <v>296607.12593009364</v>
      </c>
      <c r="AE200" s="186">
        <f>IFERROR(_xlfn.XLOOKUP($D200,'Modelling New'!$D:$D,'Modelling New'!$O:$O),"")</f>
        <v>0.77775159972603525</v>
      </c>
      <c r="AF200" s="186">
        <f>IFERROR(_xlfn.XLOOKUP($D200,'Modelling New'!$D:$D,'Modelling New'!$W:$W),"")</f>
        <v>0.18513415095629143</v>
      </c>
      <c r="AG200" s="186">
        <f>IFERROR(_xlfn.XLOOKUP($D200,'Modelling New'!$D:$D,'Modelling New'!$AE:$AE),"")</f>
        <v>0.995</v>
      </c>
      <c r="AH200" s="186">
        <f>IFERROR(_xlfn.XLOOKUP($D200,'Modelling New'!$D:$D,'Modelling New'!$AF:$AF),"")</f>
        <v>0.995</v>
      </c>
      <c r="AI200" s="177"/>
      <c r="AJ200" s="177"/>
      <c r="AK200" s="238"/>
      <c r="AL200" s="238"/>
      <c r="AM200" s="238"/>
      <c r="AN200" s="187"/>
      <c r="AO200" s="184"/>
      <c r="AP200" s="184"/>
      <c r="AQ200" s="184"/>
      <c r="AR200" s="176">
        <f>IFERROR(_xlfn.XLOOKUP($D199,'Modelling New'!$D:$D,'Modelling New'!$N:$N),"")</f>
        <v>66.754999999999995</v>
      </c>
      <c r="AS200" s="176"/>
    </row>
    <row r="201" spans="1:45" x14ac:dyDescent="0.25">
      <c r="A201" s="175">
        <f t="shared" si="15"/>
        <v>45944</v>
      </c>
      <c r="B201" s="176">
        <f>YEAR(Table13[[#This Row],[Date]])+IF(MONTH(Table13[[#This Row],[Date]])&gt;=4,1,0)</f>
        <v>2026</v>
      </c>
      <c r="C201" s="177">
        <f>YEAR(Table13[[#This Row],[Date]])</f>
        <v>2025</v>
      </c>
      <c r="D201" s="178">
        <f>Table13[[#This Row],[Date]]-DAY(Table13[[#This Row],[Date]])+1</f>
        <v>45931</v>
      </c>
      <c r="E201" s="177">
        <f t="shared" si="12"/>
        <v>31</v>
      </c>
      <c r="F201" s="179" t="str">
        <f>IFERROR(_xlfn.XLOOKUP($A201,Raw_Data!$B:$B,Raw_Data!$KG:$KG),"")</f>
        <v/>
      </c>
      <c r="G201" s="180" t="str">
        <f>IFERROR(_xlfn.XLOOKUP($A201,Raw_Data!$B:$B,Raw_Data!KH:KH),"")</f>
        <v/>
      </c>
      <c r="H201" s="180"/>
      <c r="I201" s="180" t="str">
        <f>IFERROR(_xlfn.XLOOKUP($A201,Raw_Data!$B:$B,Raw_Data!$KI:$KI),"")</f>
        <v/>
      </c>
      <c r="J201" s="180"/>
      <c r="K201" s="180" t="str">
        <f>IFERROR(_xlfn.XLOOKUP($A201,Raw_Data!$B:$B,Raw_Data!KJ:KJ),"")</f>
        <v/>
      </c>
      <c r="L201" s="180" t="str">
        <f>IFERROR(_xlfn.XLOOKUP($A201,Raw_Data!$B:$B,Raw_Data!KK:KK),"")</f>
        <v/>
      </c>
      <c r="M201" s="180" t="str">
        <f>IFERROR(_xlfn.XLOOKUP($A201,Raw_Data!$B:$B,Raw_Data!KL:KL),"")</f>
        <v/>
      </c>
      <c r="N201" s="180" t="str">
        <f>IFERROR(_xlfn.XLOOKUP($A201,Raw_Data!$B:$B,Raw_Data!KM:KM),"")</f>
        <v/>
      </c>
      <c r="O201" s="181" t="str">
        <f>IFERROR(1-SUMIF(PA!$B:$B,$A201,PA!AJ:AJ)/($AA201+SUMIF(PA!$B:$B,$A201,PA!AJ:AJ)),"")</f>
        <v/>
      </c>
      <c r="P201" s="181"/>
      <c r="Q201" s="182"/>
      <c r="R201" s="181" t="str">
        <f>IFERROR(1-SUMIF(GA!$C:$C,$A201,GA!$X:$X)/($AA201+SUMIF(GA!$C:$C,$A201,GA!$X:$X)),"")</f>
        <v/>
      </c>
      <c r="S201" s="177"/>
      <c r="T201" s="182"/>
      <c r="U201" s="183" t="str">
        <f t="shared" si="13"/>
        <v/>
      </c>
      <c r="V201" s="183" t="str">
        <f>IFERROR(_xlfn.XLOOKUP($A201,Raw_Data!$B:$B,Raw_Data!$KQ:$KQ),"")</f>
        <v/>
      </c>
      <c r="W201" s="184" t="str">
        <f t="shared" si="14"/>
        <v/>
      </c>
      <c r="X201" s="176" t="str">
        <f>IFERROR(_xlfn.XLOOKUP($A201,Raw_Data!$B:$B,Raw_Data!$KN:$KN),"")</f>
        <v/>
      </c>
      <c r="Y201" s="176" t="str">
        <f>IFERROR(_xlfn.XLOOKUP($A201,Raw_Data!$B:$B,Raw_Data!$KC:$KC),"")</f>
        <v/>
      </c>
      <c r="Z201" s="176" t="str">
        <f>IFERROR(_xlfn.XLOOKUP($A201,Raw_Data!$B:$B,Raw_Data!$KD:$KD),"")</f>
        <v/>
      </c>
      <c r="AA201" s="176" t="str">
        <f>IFERROR(_xlfn.XLOOKUP($A201,Raw_Data!$B:$B,Raw_Data!$KF:$KF),"")</f>
        <v/>
      </c>
      <c r="AB201" s="176" t="str">
        <f>IFERROR(_xlfn.XLOOKUP($A201,Raw_Data!$B:$B,Raw_Data!I:I)/1000,"")</f>
        <v/>
      </c>
      <c r="AC201" s="185">
        <f>IFERROR(_xlfn.XLOOKUP($D201,'Modelling New'!$D:$D,'Modelling New'!$P:$P),"")</f>
        <v>5.7129032258064516</v>
      </c>
      <c r="AD201" s="176">
        <f>IFERROR(_xlfn.XLOOKUP($D201,'Modelling New'!$D:$D,'Modelling New'!$T:$T)*1000,"")</f>
        <v>296607.12593009364</v>
      </c>
      <c r="AE201" s="186">
        <f>IFERROR(_xlfn.XLOOKUP($D201,'Modelling New'!$D:$D,'Modelling New'!$O:$O),"")</f>
        <v>0.77775159972603525</v>
      </c>
      <c r="AF201" s="186">
        <f>IFERROR(_xlfn.XLOOKUP($D201,'Modelling New'!$D:$D,'Modelling New'!$W:$W),"")</f>
        <v>0.18513415095629143</v>
      </c>
      <c r="AG201" s="186">
        <f>IFERROR(_xlfn.XLOOKUP($D201,'Modelling New'!$D:$D,'Modelling New'!$AE:$AE),"")</f>
        <v>0.995</v>
      </c>
      <c r="AH201" s="186">
        <f>IFERROR(_xlfn.XLOOKUP($D201,'Modelling New'!$D:$D,'Modelling New'!$AF:$AF),"")</f>
        <v>0.995</v>
      </c>
      <c r="AI201" s="177"/>
      <c r="AJ201" s="177"/>
      <c r="AK201" s="238"/>
      <c r="AL201" s="238"/>
      <c r="AM201" s="238"/>
      <c r="AN201" s="187"/>
      <c r="AO201" s="184"/>
      <c r="AP201" s="184"/>
      <c r="AQ201" s="184"/>
      <c r="AR201" s="176">
        <f>IFERROR(_xlfn.XLOOKUP($D200,'Modelling New'!$D:$D,'Modelling New'!$N:$N),"")</f>
        <v>66.754999999999995</v>
      </c>
      <c r="AS201" s="176"/>
    </row>
    <row r="202" spans="1:45" x14ac:dyDescent="0.25">
      <c r="A202" s="175">
        <f t="shared" si="15"/>
        <v>45945</v>
      </c>
      <c r="B202" s="176">
        <f>YEAR(Table13[[#This Row],[Date]])+IF(MONTH(Table13[[#This Row],[Date]])&gt;=4,1,0)</f>
        <v>2026</v>
      </c>
      <c r="C202" s="177">
        <f>YEAR(Table13[[#This Row],[Date]])</f>
        <v>2025</v>
      </c>
      <c r="D202" s="178">
        <f>Table13[[#This Row],[Date]]-DAY(Table13[[#This Row],[Date]])+1</f>
        <v>45931</v>
      </c>
      <c r="E202" s="177">
        <f t="shared" si="12"/>
        <v>31</v>
      </c>
      <c r="F202" s="179" t="str">
        <f>IFERROR(_xlfn.XLOOKUP($A202,Raw_Data!$B:$B,Raw_Data!$KG:$KG),"")</f>
        <v/>
      </c>
      <c r="G202" s="180" t="str">
        <f>IFERROR(_xlfn.XLOOKUP($A202,Raw_Data!$B:$B,Raw_Data!KH:KH),"")</f>
        <v/>
      </c>
      <c r="H202" s="180"/>
      <c r="I202" s="180" t="str">
        <f>IFERROR(_xlfn.XLOOKUP($A202,Raw_Data!$B:$B,Raw_Data!$KI:$KI),"")</f>
        <v/>
      </c>
      <c r="J202" s="180"/>
      <c r="K202" s="180" t="str">
        <f>IFERROR(_xlfn.XLOOKUP($A202,Raw_Data!$B:$B,Raw_Data!KJ:KJ),"")</f>
        <v/>
      </c>
      <c r="L202" s="180" t="str">
        <f>IFERROR(_xlfn.XLOOKUP($A202,Raw_Data!$B:$B,Raw_Data!KK:KK),"")</f>
        <v/>
      </c>
      <c r="M202" s="180" t="str">
        <f>IFERROR(_xlfn.XLOOKUP($A202,Raw_Data!$B:$B,Raw_Data!KL:KL),"")</f>
        <v/>
      </c>
      <c r="N202" s="180" t="str">
        <f>IFERROR(_xlfn.XLOOKUP($A202,Raw_Data!$B:$B,Raw_Data!KM:KM),"")</f>
        <v/>
      </c>
      <c r="O202" s="181" t="str">
        <f>IFERROR(1-SUMIF(PA!$B:$B,$A202,PA!AJ:AJ)/($AA202+SUMIF(PA!$B:$B,$A202,PA!AJ:AJ)),"")</f>
        <v/>
      </c>
      <c r="P202" s="181"/>
      <c r="Q202" s="182"/>
      <c r="R202" s="181" t="str">
        <f>IFERROR(1-SUMIF(GA!$C:$C,$A202,GA!$X:$X)/($AA202+SUMIF(GA!$C:$C,$A202,GA!$X:$X)),"")</f>
        <v/>
      </c>
      <c r="S202" s="177"/>
      <c r="T202" s="182"/>
      <c r="U202" s="183" t="str">
        <f t="shared" si="13"/>
        <v/>
      </c>
      <c r="V202" s="183" t="str">
        <f>IFERROR(_xlfn.XLOOKUP($A202,Raw_Data!$B:$B,Raw_Data!$KQ:$KQ),"")</f>
        <v/>
      </c>
      <c r="W202" s="184" t="str">
        <f t="shared" si="14"/>
        <v/>
      </c>
      <c r="X202" s="176" t="str">
        <f>IFERROR(_xlfn.XLOOKUP($A202,Raw_Data!$B:$B,Raw_Data!$KN:$KN),"")</f>
        <v/>
      </c>
      <c r="Y202" s="176" t="str">
        <f>IFERROR(_xlfn.XLOOKUP($A202,Raw_Data!$B:$B,Raw_Data!$KC:$KC),"")</f>
        <v/>
      </c>
      <c r="Z202" s="176" t="str">
        <f>IFERROR(_xlfn.XLOOKUP($A202,Raw_Data!$B:$B,Raw_Data!$KD:$KD),"")</f>
        <v/>
      </c>
      <c r="AA202" s="176" t="str">
        <f>IFERROR(_xlfn.XLOOKUP($A202,Raw_Data!$B:$B,Raw_Data!$KF:$KF),"")</f>
        <v/>
      </c>
      <c r="AB202" s="176" t="str">
        <f>IFERROR(_xlfn.XLOOKUP($A202,Raw_Data!$B:$B,Raw_Data!I:I)/1000,"")</f>
        <v/>
      </c>
      <c r="AC202" s="185">
        <f>IFERROR(_xlfn.XLOOKUP($D202,'Modelling New'!$D:$D,'Modelling New'!$P:$P),"")</f>
        <v>5.7129032258064516</v>
      </c>
      <c r="AD202" s="176">
        <f>IFERROR(_xlfn.XLOOKUP($D202,'Modelling New'!$D:$D,'Modelling New'!$T:$T)*1000,"")</f>
        <v>296607.12593009364</v>
      </c>
      <c r="AE202" s="186">
        <f>IFERROR(_xlfn.XLOOKUP($D202,'Modelling New'!$D:$D,'Modelling New'!$O:$O),"")</f>
        <v>0.77775159972603525</v>
      </c>
      <c r="AF202" s="186">
        <f>IFERROR(_xlfn.XLOOKUP($D202,'Modelling New'!$D:$D,'Modelling New'!$W:$W),"")</f>
        <v>0.18513415095629143</v>
      </c>
      <c r="AG202" s="186">
        <f>IFERROR(_xlfn.XLOOKUP($D202,'Modelling New'!$D:$D,'Modelling New'!$AE:$AE),"")</f>
        <v>0.995</v>
      </c>
      <c r="AH202" s="186">
        <f>IFERROR(_xlfn.XLOOKUP($D202,'Modelling New'!$D:$D,'Modelling New'!$AF:$AF),"")</f>
        <v>0.995</v>
      </c>
      <c r="AI202" s="177"/>
      <c r="AJ202" s="177"/>
      <c r="AK202" s="238"/>
      <c r="AL202" s="238"/>
      <c r="AM202" s="238"/>
      <c r="AN202" s="187"/>
      <c r="AO202" s="184"/>
      <c r="AP202" s="184"/>
      <c r="AQ202" s="184"/>
      <c r="AR202" s="176">
        <f>IFERROR(_xlfn.XLOOKUP($D201,'Modelling New'!$D:$D,'Modelling New'!$N:$N),"")</f>
        <v>66.754999999999995</v>
      </c>
      <c r="AS202" s="176"/>
    </row>
    <row r="203" spans="1:45" x14ac:dyDescent="0.25">
      <c r="A203" s="175">
        <f t="shared" si="15"/>
        <v>45946</v>
      </c>
      <c r="B203" s="176">
        <f>YEAR(Table13[[#This Row],[Date]])+IF(MONTH(Table13[[#This Row],[Date]])&gt;=4,1,0)</f>
        <v>2026</v>
      </c>
      <c r="C203" s="177">
        <f>YEAR(Table13[[#This Row],[Date]])</f>
        <v>2025</v>
      </c>
      <c r="D203" s="178">
        <f>Table13[[#This Row],[Date]]-DAY(Table13[[#This Row],[Date]])+1</f>
        <v>45931</v>
      </c>
      <c r="E203" s="177">
        <f t="shared" si="12"/>
        <v>31</v>
      </c>
      <c r="F203" s="179" t="str">
        <f>IFERROR(_xlfn.XLOOKUP($A203,Raw_Data!$B:$B,Raw_Data!$KG:$KG),"")</f>
        <v/>
      </c>
      <c r="G203" s="180" t="str">
        <f>IFERROR(_xlfn.XLOOKUP($A203,Raw_Data!$B:$B,Raw_Data!KH:KH),"")</f>
        <v/>
      </c>
      <c r="H203" s="180"/>
      <c r="I203" s="180" t="str">
        <f>IFERROR(_xlfn.XLOOKUP($A203,Raw_Data!$B:$B,Raw_Data!$KI:$KI),"")</f>
        <v/>
      </c>
      <c r="J203" s="180"/>
      <c r="K203" s="180" t="str">
        <f>IFERROR(_xlfn.XLOOKUP($A203,Raw_Data!$B:$B,Raw_Data!KJ:KJ),"")</f>
        <v/>
      </c>
      <c r="L203" s="180" t="str">
        <f>IFERROR(_xlfn.XLOOKUP($A203,Raw_Data!$B:$B,Raw_Data!KK:KK),"")</f>
        <v/>
      </c>
      <c r="M203" s="180" t="str">
        <f>IFERROR(_xlfn.XLOOKUP($A203,Raw_Data!$B:$B,Raw_Data!KL:KL),"")</f>
        <v/>
      </c>
      <c r="N203" s="180" t="str">
        <f>IFERROR(_xlfn.XLOOKUP($A203,Raw_Data!$B:$B,Raw_Data!KM:KM),"")</f>
        <v/>
      </c>
      <c r="O203" s="181" t="str">
        <f>IFERROR(1-SUMIF(PA!$B:$B,$A203,PA!AJ:AJ)/($AA203+SUMIF(PA!$B:$B,$A203,PA!AJ:AJ)),"")</f>
        <v/>
      </c>
      <c r="P203" s="181"/>
      <c r="Q203" s="182"/>
      <c r="R203" s="181" t="str">
        <f>IFERROR(1-SUMIF(GA!$C:$C,$A203,GA!$X:$X)/($AA203+SUMIF(GA!$C:$C,$A203,GA!$X:$X)),"")</f>
        <v/>
      </c>
      <c r="S203" s="177"/>
      <c r="T203" s="182"/>
      <c r="U203" s="183" t="str">
        <f t="shared" si="13"/>
        <v/>
      </c>
      <c r="V203" s="183" t="str">
        <f>IFERROR(_xlfn.XLOOKUP($A203,Raw_Data!$B:$B,Raw_Data!$KQ:$KQ),"")</f>
        <v/>
      </c>
      <c r="W203" s="184" t="str">
        <f t="shared" si="14"/>
        <v/>
      </c>
      <c r="X203" s="176" t="str">
        <f>IFERROR(_xlfn.XLOOKUP($A203,Raw_Data!$B:$B,Raw_Data!$KN:$KN),"")</f>
        <v/>
      </c>
      <c r="Y203" s="176" t="str">
        <f>IFERROR(_xlfn.XLOOKUP($A203,Raw_Data!$B:$B,Raw_Data!$KC:$KC),"")</f>
        <v/>
      </c>
      <c r="Z203" s="176" t="str">
        <f>IFERROR(_xlfn.XLOOKUP($A203,Raw_Data!$B:$B,Raw_Data!$KD:$KD),"")</f>
        <v/>
      </c>
      <c r="AA203" s="176" t="str">
        <f>IFERROR(_xlfn.XLOOKUP($A203,Raw_Data!$B:$B,Raw_Data!$KF:$KF),"")</f>
        <v/>
      </c>
      <c r="AB203" s="176" t="str">
        <f>IFERROR(_xlfn.XLOOKUP($A203,Raw_Data!$B:$B,Raw_Data!I:I)/1000,"")</f>
        <v/>
      </c>
      <c r="AC203" s="185">
        <f>IFERROR(_xlfn.XLOOKUP($D203,'Modelling New'!$D:$D,'Modelling New'!$P:$P),"")</f>
        <v>5.7129032258064516</v>
      </c>
      <c r="AD203" s="176">
        <f>IFERROR(_xlfn.XLOOKUP($D203,'Modelling New'!$D:$D,'Modelling New'!$T:$T)*1000,"")</f>
        <v>296607.12593009364</v>
      </c>
      <c r="AE203" s="186">
        <f>IFERROR(_xlfn.XLOOKUP($D203,'Modelling New'!$D:$D,'Modelling New'!$O:$O),"")</f>
        <v>0.77775159972603525</v>
      </c>
      <c r="AF203" s="186">
        <f>IFERROR(_xlfn.XLOOKUP($D203,'Modelling New'!$D:$D,'Modelling New'!$W:$W),"")</f>
        <v>0.18513415095629143</v>
      </c>
      <c r="AG203" s="186">
        <f>IFERROR(_xlfn.XLOOKUP($D203,'Modelling New'!$D:$D,'Modelling New'!$AE:$AE),"")</f>
        <v>0.995</v>
      </c>
      <c r="AH203" s="186">
        <f>IFERROR(_xlfn.XLOOKUP($D203,'Modelling New'!$D:$D,'Modelling New'!$AF:$AF),"")</f>
        <v>0.995</v>
      </c>
      <c r="AI203" s="177"/>
      <c r="AJ203" s="177"/>
      <c r="AK203" s="238"/>
      <c r="AL203" s="238"/>
      <c r="AM203" s="238"/>
      <c r="AN203" s="187"/>
      <c r="AO203" s="184"/>
      <c r="AP203" s="184"/>
      <c r="AQ203" s="184"/>
      <c r="AR203" s="176">
        <f>IFERROR(_xlfn.XLOOKUP($D202,'Modelling New'!$D:$D,'Modelling New'!$N:$N),"")</f>
        <v>66.754999999999995</v>
      </c>
      <c r="AS203" s="176"/>
    </row>
    <row r="204" spans="1:45" x14ac:dyDescent="0.25">
      <c r="A204" s="175">
        <f t="shared" si="15"/>
        <v>45947</v>
      </c>
      <c r="B204" s="176">
        <f>YEAR(Table13[[#This Row],[Date]])+IF(MONTH(Table13[[#This Row],[Date]])&gt;=4,1,0)</f>
        <v>2026</v>
      </c>
      <c r="C204" s="177">
        <f>YEAR(Table13[[#This Row],[Date]])</f>
        <v>2025</v>
      </c>
      <c r="D204" s="178">
        <f>Table13[[#This Row],[Date]]-DAY(Table13[[#This Row],[Date]])+1</f>
        <v>45931</v>
      </c>
      <c r="E204" s="177">
        <f t="shared" si="12"/>
        <v>31</v>
      </c>
      <c r="F204" s="179" t="str">
        <f>IFERROR(_xlfn.XLOOKUP($A204,Raw_Data!$B:$B,Raw_Data!$KG:$KG),"")</f>
        <v/>
      </c>
      <c r="G204" s="180" t="str">
        <f>IFERROR(_xlfn.XLOOKUP($A204,Raw_Data!$B:$B,Raw_Data!KH:KH),"")</f>
        <v/>
      </c>
      <c r="H204" s="180"/>
      <c r="I204" s="180" t="str">
        <f>IFERROR(_xlfn.XLOOKUP($A204,Raw_Data!$B:$B,Raw_Data!$KI:$KI),"")</f>
        <v/>
      </c>
      <c r="J204" s="180"/>
      <c r="K204" s="180" t="str">
        <f>IFERROR(_xlfn.XLOOKUP($A204,Raw_Data!$B:$B,Raw_Data!KJ:KJ),"")</f>
        <v/>
      </c>
      <c r="L204" s="180" t="str">
        <f>IFERROR(_xlfn.XLOOKUP($A204,Raw_Data!$B:$B,Raw_Data!KK:KK),"")</f>
        <v/>
      </c>
      <c r="M204" s="180" t="str">
        <f>IFERROR(_xlfn.XLOOKUP($A204,Raw_Data!$B:$B,Raw_Data!KL:KL),"")</f>
        <v/>
      </c>
      <c r="N204" s="180" t="str">
        <f>IFERROR(_xlfn.XLOOKUP($A204,Raw_Data!$B:$B,Raw_Data!KM:KM),"")</f>
        <v/>
      </c>
      <c r="O204" s="181" t="str">
        <f>IFERROR(1-SUMIF(PA!$B:$B,$A204,PA!AJ:AJ)/($AA204+SUMIF(PA!$B:$B,$A204,PA!AJ:AJ)),"")</f>
        <v/>
      </c>
      <c r="P204" s="181"/>
      <c r="Q204" s="182"/>
      <c r="R204" s="181" t="str">
        <f>IFERROR(1-SUMIF(GA!$C:$C,$A204,GA!$X:$X)/($AA204+SUMIF(GA!$C:$C,$A204,GA!$X:$X)),"")</f>
        <v/>
      </c>
      <c r="S204" s="177"/>
      <c r="T204" s="182"/>
      <c r="U204" s="183" t="str">
        <f t="shared" si="13"/>
        <v/>
      </c>
      <c r="V204" s="183" t="str">
        <f>IFERROR(_xlfn.XLOOKUP($A204,Raw_Data!$B:$B,Raw_Data!$KQ:$KQ),"")</f>
        <v/>
      </c>
      <c r="W204" s="184" t="str">
        <f t="shared" si="14"/>
        <v/>
      </c>
      <c r="X204" s="176" t="str">
        <f>IFERROR(_xlfn.XLOOKUP($A204,Raw_Data!$B:$B,Raw_Data!$KN:$KN),"")</f>
        <v/>
      </c>
      <c r="Y204" s="176" t="str">
        <f>IFERROR(_xlfn.XLOOKUP($A204,Raw_Data!$B:$B,Raw_Data!$KC:$KC),"")</f>
        <v/>
      </c>
      <c r="Z204" s="176" t="str">
        <f>IFERROR(_xlfn.XLOOKUP($A204,Raw_Data!$B:$B,Raw_Data!$KD:$KD),"")</f>
        <v/>
      </c>
      <c r="AA204" s="176" t="str">
        <f>IFERROR(_xlfn.XLOOKUP($A204,Raw_Data!$B:$B,Raw_Data!$KF:$KF),"")</f>
        <v/>
      </c>
      <c r="AB204" s="176" t="str">
        <f>IFERROR(_xlfn.XLOOKUP($A204,Raw_Data!$B:$B,Raw_Data!I:I)/1000,"")</f>
        <v/>
      </c>
      <c r="AC204" s="185">
        <f>IFERROR(_xlfn.XLOOKUP($D204,'Modelling New'!$D:$D,'Modelling New'!$P:$P),"")</f>
        <v>5.7129032258064516</v>
      </c>
      <c r="AD204" s="176">
        <f>IFERROR(_xlfn.XLOOKUP($D204,'Modelling New'!$D:$D,'Modelling New'!$T:$T)*1000,"")</f>
        <v>296607.12593009364</v>
      </c>
      <c r="AE204" s="186">
        <f>IFERROR(_xlfn.XLOOKUP($D204,'Modelling New'!$D:$D,'Modelling New'!$O:$O),"")</f>
        <v>0.77775159972603525</v>
      </c>
      <c r="AF204" s="186">
        <f>IFERROR(_xlfn.XLOOKUP($D204,'Modelling New'!$D:$D,'Modelling New'!$W:$W),"")</f>
        <v>0.18513415095629143</v>
      </c>
      <c r="AG204" s="186">
        <f>IFERROR(_xlfn.XLOOKUP($D204,'Modelling New'!$D:$D,'Modelling New'!$AE:$AE),"")</f>
        <v>0.995</v>
      </c>
      <c r="AH204" s="186">
        <f>IFERROR(_xlfn.XLOOKUP($D204,'Modelling New'!$D:$D,'Modelling New'!$AF:$AF),"")</f>
        <v>0.995</v>
      </c>
      <c r="AI204" s="177"/>
      <c r="AJ204" s="177"/>
      <c r="AK204" s="238"/>
      <c r="AL204" s="238"/>
      <c r="AM204" s="238"/>
      <c r="AN204" s="187"/>
      <c r="AO204" s="184"/>
      <c r="AP204" s="184"/>
      <c r="AQ204" s="184"/>
      <c r="AR204" s="176">
        <f>IFERROR(_xlfn.XLOOKUP($D203,'Modelling New'!$D:$D,'Modelling New'!$N:$N),"")</f>
        <v>66.754999999999995</v>
      </c>
      <c r="AS204" s="176"/>
    </row>
    <row r="205" spans="1:45" x14ac:dyDescent="0.25">
      <c r="A205" s="175">
        <f t="shared" si="15"/>
        <v>45948</v>
      </c>
      <c r="B205" s="176">
        <f>YEAR(Table13[[#This Row],[Date]])+IF(MONTH(Table13[[#This Row],[Date]])&gt;=4,1,0)</f>
        <v>2026</v>
      </c>
      <c r="C205" s="177">
        <f>YEAR(Table13[[#This Row],[Date]])</f>
        <v>2025</v>
      </c>
      <c r="D205" s="178">
        <f>Table13[[#This Row],[Date]]-DAY(Table13[[#This Row],[Date]])+1</f>
        <v>45931</v>
      </c>
      <c r="E205" s="177">
        <f t="shared" si="12"/>
        <v>31</v>
      </c>
      <c r="F205" s="179" t="str">
        <f>IFERROR(_xlfn.XLOOKUP($A205,Raw_Data!$B:$B,Raw_Data!$KG:$KG),"")</f>
        <v/>
      </c>
      <c r="G205" s="180" t="str">
        <f>IFERROR(_xlfn.XLOOKUP($A205,Raw_Data!$B:$B,Raw_Data!KH:KH),"")</f>
        <v/>
      </c>
      <c r="H205" s="180"/>
      <c r="I205" s="180" t="str">
        <f>IFERROR(_xlfn.XLOOKUP($A205,Raw_Data!$B:$B,Raw_Data!$KI:$KI),"")</f>
        <v/>
      </c>
      <c r="J205" s="180"/>
      <c r="K205" s="180" t="str">
        <f>IFERROR(_xlfn.XLOOKUP($A205,Raw_Data!$B:$B,Raw_Data!KJ:KJ),"")</f>
        <v/>
      </c>
      <c r="L205" s="180" t="str">
        <f>IFERROR(_xlfn.XLOOKUP($A205,Raw_Data!$B:$B,Raw_Data!KK:KK),"")</f>
        <v/>
      </c>
      <c r="M205" s="180" t="str">
        <f>IFERROR(_xlfn.XLOOKUP($A205,Raw_Data!$B:$B,Raw_Data!KL:KL),"")</f>
        <v/>
      </c>
      <c r="N205" s="180" t="str">
        <f>IFERROR(_xlfn.XLOOKUP($A205,Raw_Data!$B:$B,Raw_Data!KM:KM),"")</f>
        <v/>
      </c>
      <c r="O205" s="181" t="str">
        <f>IFERROR(1-SUMIF(PA!$B:$B,$A205,PA!AJ:AJ)/($AA205+SUMIF(PA!$B:$B,$A205,PA!AJ:AJ)),"")</f>
        <v/>
      </c>
      <c r="P205" s="181"/>
      <c r="Q205" s="182"/>
      <c r="R205" s="181" t="str">
        <f>IFERROR(1-SUMIF(GA!$C:$C,$A205,GA!$X:$X)/($AA205+SUMIF(GA!$C:$C,$A205,GA!$X:$X)),"")</f>
        <v/>
      </c>
      <c r="S205" s="177"/>
      <c r="T205" s="182"/>
      <c r="U205" s="183" t="str">
        <f t="shared" si="13"/>
        <v/>
      </c>
      <c r="V205" s="183" t="str">
        <f>IFERROR(_xlfn.XLOOKUP($A205,Raw_Data!$B:$B,Raw_Data!$KQ:$KQ),"")</f>
        <v/>
      </c>
      <c r="W205" s="184" t="str">
        <f t="shared" si="14"/>
        <v/>
      </c>
      <c r="X205" s="176" t="str">
        <f>IFERROR(_xlfn.XLOOKUP($A205,Raw_Data!$B:$B,Raw_Data!$KN:$KN),"")</f>
        <v/>
      </c>
      <c r="Y205" s="176" t="str">
        <f>IFERROR(_xlfn.XLOOKUP($A205,Raw_Data!$B:$B,Raw_Data!$KC:$KC),"")</f>
        <v/>
      </c>
      <c r="Z205" s="176" t="str">
        <f>IFERROR(_xlfn.XLOOKUP($A205,Raw_Data!$B:$B,Raw_Data!$KD:$KD),"")</f>
        <v/>
      </c>
      <c r="AA205" s="176" t="str">
        <f>IFERROR(_xlfn.XLOOKUP($A205,Raw_Data!$B:$B,Raw_Data!$KF:$KF),"")</f>
        <v/>
      </c>
      <c r="AB205" s="176" t="str">
        <f>IFERROR(_xlfn.XLOOKUP($A205,Raw_Data!$B:$B,Raw_Data!I:I)/1000,"")</f>
        <v/>
      </c>
      <c r="AC205" s="185">
        <f>IFERROR(_xlfn.XLOOKUP($D205,'Modelling New'!$D:$D,'Modelling New'!$P:$P),"")</f>
        <v>5.7129032258064516</v>
      </c>
      <c r="AD205" s="176">
        <f>IFERROR(_xlfn.XLOOKUP($D205,'Modelling New'!$D:$D,'Modelling New'!$T:$T)*1000,"")</f>
        <v>296607.12593009364</v>
      </c>
      <c r="AE205" s="186">
        <f>IFERROR(_xlfn.XLOOKUP($D205,'Modelling New'!$D:$D,'Modelling New'!$O:$O),"")</f>
        <v>0.77775159972603525</v>
      </c>
      <c r="AF205" s="186">
        <f>IFERROR(_xlfn.XLOOKUP($D205,'Modelling New'!$D:$D,'Modelling New'!$W:$W),"")</f>
        <v>0.18513415095629143</v>
      </c>
      <c r="AG205" s="186">
        <f>IFERROR(_xlfn.XLOOKUP($D205,'Modelling New'!$D:$D,'Modelling New'!$AE:$AE),"")</f>
        <v>0.995</v>
      </c>
      <c r="AH205" s="186">
        <f>IFERROR(_xlfn.XLOOKUP($D205,'Modelling New'!$D:$D,'Modelling New'!$AF:$AF),"")</f>
        <v>0.995</v>
      </c>
      <c r="AI205" s="177"/>
      <c r="AJ205" s="177"/>
      <c r="AK205" s="238"/>
      <c r="AL205" s="238"/>
      <c r="AM205" s="238"/>
      <c r="AN205" s="187"/>
      <c r="AO205" s="184"/>
      <c r="AP205" s="184"/>
      <c r="AQ205" s="184"/>
      <c r="AR205" s="176">
        <f>IFERROR(_xlfn.XLOOKUP($D204,'Modelling New'!$D:$D,'Modelling New'!$N:$N),"")</f>
        <v>66.754999999999995</v>
      </c>
      <c r="AS205" s="176"/>
    </row>
    <row r="206" spans="1:45" x14ac:dyDescent="0.25">
      <c r="A206" s="175">
        <f t="shared" si="15"/>
        <v>45949</v>
      </c>
      <c r="B206" s="176">
        <f>YEAR(Table13[[#This Row],[Date]])+IF(MONTH(Table13[[#This Row],[Date]])&gt;=4,1,0)</f>
        <v>2026</v>
      </c>
      <c r="C206" s="177">
        <f>YEAR(Table13[[#This Row],[Date]])</f>
        <v>2025</v>
      </c>
      <c r="D206" s="178">
        <f>Table13[[#This Row],[Date]]-DAY(Table13[[#This Row],[Date]])+1</f>
        <v>45931</v>
      </c>
      <c r="E206" s="177">
        <f t="shared" si="12"/>
        <v>31</v>
      </c>
      <c r="F206" s="179" t="str">
        <f>IFERROR(_xlfn.XLOOKUP($A206,Raw_Data!$B:$B,Raw_Data!$KG:$KG),"")</f>
        <v/>
      </c>
      <c r="G206" s="180" t="str">
        <f>IFERROR(_xlfn.XLOOKUP($A206,Raw_Data!$B:$B,Raw_Data!KH:KH),"")</f>
        <v/>
      </c>
      <c r="H206" s="180"/>
      <c r="I206" s="180" t="str">
        <f>IFERROR(_xlfn.XLOOKUP($A206,Raw_Data!$B:$B,Raw_Data!$KI:$KI),"")</f>
        <v/>
      </c>
      <c r="J206" s="180"/>
      <c r="K206" s="180" t="str">
        <f>IFERROR(_xlfn.XLOOKUP($A206,Raw_Data!$B:$B,Raw_Data!KJ:KJ),"")</f>
        <v/>
      </c>
      <c r="L206" s="180" t="str">
        <f>IFERROR(_xlfn.XLOOKUP($A206,Raw_Data!$B:$B,Raw_Data!KK:KK),"")</f>
        <v/>
      </c>
      <c r="M206" s="180" t="str">
        <f>IFERROR(_xlfn.XLOOKUP($A206,Raw_Data!$B:$B,Raw_Data!KL:KL),"")</f>
        <v/>
      </c>
      <c r="N206" s="180" t="str">
        <f>IFERROR(_xlfn.XLOOKUP($A206,Raw_Data!$B:$B,Raw_Data!KM:KM),"")</f>
        <v/>
      </c>
      <c r="O206" s="181" t="str">
        <f>IFERROR(1-SUMIF(PA!$B:$B,$A206,PA!AJ:AJ)/($AA206+SUMIF(PA!$B:$B,$A206,PA!AJ:AJ)),"")</f>
        <v/>
      </c>
      <c r="P206" s="181"/>
      <c r="Q206" s="182"/>
      <c r="R206" s="181" t="str">
        <f>IFERROR(1-SUMIF(GA!$C:$C,$A206,GA!$X:$X)/($AA206+SUMIF(GA!$C:$C,$A206,GA!$X:$X)),"")</f>
        <v/>
      </c>
      <c r="S206" s="177"/>
      <c r="T206" s="182"/>
      <c r="U206" s="183" t="str">
        <f t="shared" si="13"/>
        <v/>
      </c>
      <c r="V206" s="183" t="str">
        <f>IFERROR(_xlfn.XLOOKUP($A206,Raw_Data!$B:$B,Raw_Data!$KQ:$KQ),"")</f>
        <v/>
      </c>
      <c r="W206" s="184" t="str">
        <f t="shared" si="14"/>
        <v/>
      </c>
      <c r="X206" s="176" t="str">
        <f>IFERROR(_xlfn.XLOOKUP($A206,Raw_Data!$B:$B,Raw_Data!$KN:$KN),"")</f>
        <v/>
      </c>
      <c r="Y206" s="176" t="str">
        <f>IFERROR(_xlfn.XLOOKUP($A206,Raw_Data!$B:$B,Raw_Data!$KC:$KC),"")</f>
        <v/>
      </c>
      <c r="Z206" s="176" t="str">
        <f>IFERROR(_xlfn.XLOOKUP($A206,Raw_Data!$B:$B,Raw_Data!$KD:$KD),"")</f>
        <v/>
      </c>
      <c r="AA206" s="176" t="str">
        <f>IFERROR(_xlfn.XLOOKUP($A206,Raw_Data!$B:$B,Raw_Data!$KF:$KF),"")</f>
        <v/>
      </c>
      <c r="AB206" s="176" t="str">
        <f>IFERROR(_xlfn.XLOOKUP($A206,Raw_Data!$B:$B,Raw_Data!I:I)/1000,"")</f>
        <v/>
      </c>
      <c r="AC206" s="185">
        <f>IFERROR(_xlfn.XLOOKUP($D206,'Modelling New'!$D:$D,'Modelling New'!$P:$P),"")</f>
        <v>5.7129032258064516</v>
      </c>
      <c r="AD206" s="176">
        <f>IFERROR(_xlfn.XLOOKUP($D206,'Modelling New'!$D:$D,'Modelling New'!$T:$T)*1000,"")</f>
        <v>296607.12593009364</v>
      </c>
      <c r="AE206" s="186">
        <f>IFERROR(_xlfn.XLOOKUP($D206,'Modelling New'!$D:$D,'Modelling New'!$O:$O),"")</f>
        <v>0.77775159972603525</v>
      </c>
      <c r="AF206" s="186">
        <f>IFERROR(_xlfn.XLOOKUP($D206,'Modelling New'!$D:$D,'Modelling New'!$W:$W),"")</f>
        <v>0.18513415095629143</v>
      </c>
      <c r="AG206" s="186">
        <f>IFERROR(_xlfn.XLOOKUP($D206,'Modelling New'!$D:$D,'Modelling New'!$AE:$AE),"")</f>
        <v>0.995</v>
      </c>
      <c r="AH206" s="186">
        <f>IFERROR(_xlfn.XLOOKUP($D206,'Modelling New'!$D:$D,'Modelling New'!$AF:$AF),"")</f>
        <v>0.995</v>
      </c>
      <c r="AI206" s="177"/>
      <c r="AJ206" s="177"/>
      <c r="AK206" s="238"/>
      <c r="AL206" s="238"/>
      <c r="AM206" s="238"/>
      <c r="AN206" s="187"/>
      <c r="AO206" s="184"/>
      <c r="AP206" s="184"/>
      <c r="AQ206" s="184"/>
      <c r="AR206" s="176">
        <f>IFERROR(_xlfn.XLOOKUP($D205,'Modelling New'!$D:$D,'Modelling New'!$N:$N),"")</f>
        <v>66.754999999999995</v>
      </c>
      <c r="AS206" s="176"/>
    </row>
    <row r="207" spans="1:45" x14ac:dyDescent="0.25">
      <c r="A207" s="175">
        <f t="shared" si="15"/>
        <v>45950</v>
      </c>
      <c r="B207" s="176">
        <f>YEAR(Table13[[#This Row],[Date]])+IF(MONTH(Table13[[#This Row],[Date]])&gt;=4,1,0)</f>
        <v>2026</v>
      </c>
      <c r="C207" s="177">
        <f>YEAR(Table13[[#This Row],[Date]])</f>
        <v>2025</v>
      </c>
      <c r="D207" s="178">
        <f>Table13[[#This Row],[Date]]-DAY(Table13[[#This Row],[Date]])+1</f>
        <v>45931</v>
      </c>
      <c r="E207" s="177">
        <f t="shared" si="12"/>
        <v>31</v>
      </c>
      <c r="F207" s="179" t="str">
        <f>IFERROR(_xlfn.XLOOKUP($A207,Raw_Data!$B:$B,Raw_Data!$KG:$KG),"")</f>
        <v/>
      </c>
      <c r="G207" s="180" t="str">
        <f>IFERROR(_xlfn.XLOOKUP($A207,Raw_Data!$B:$B,Raw_Data!KH:KH),"")</f>
        <v/>
      </c>
      <c r="H207" s="180"/>
      <c r="I207" s="180" t="str">
        <f>IFERROR(_xlfn.XLOOKUP($A207,Raw_Data!$B:$B,Raw_Data!$KI:$KI),"")</f>
        <v/>
      </c>
      <c r="J207" s="180"/>
      <c r="K207" s="180" t="str">
        <f>IFERROR(_xlfn.XLOOKUP($A207,Raw_Data!$B:$B,Raw_Data!KJ:KJ),"")</f>
        <v/>
      </c>
      <c r="L207" s="180" t="str">
        <f>IFERROR(_xlfn.XLOOKUP($A207,Raw_Data!$B:$B,Raw_Data!KK:KK),"")</f>
        <v/>
      </c>
      <c r="M207" s="180" t="str">
        <f>IFERROR(_xlfn.XLOOKUP($A207,Raw_Data!$B:$B,Raw_Data!KL:KL),"")</f>
        <v/>
      </c>
      <c r="N207" s="180" t="str">
        <f>IFERROR(_xlfn.XLOOKUP($A207,Raw_Data!$B:$B,Raw_Data!KM:KM),"")</f>
        <v/>
      </c>
      <c r="O207" s="181" t="str">
        <f>IFERROR(1-SUMIF(PA!$B:$B,$A207,PA!AJ:AJ)/($AA207+SUMIF(PA!$B:$B,$A207,PA!AJ:AJ)),"")</f>
        <v/>
      </c>
      <c r="P207" s="181"/>
      <c r="Q207" s="182"/>
      <c r="R207" s="181" t="str">
        <f>IFERROR(1-SUMIF(GA!$C:$C,$A207,GA!$X:$X)/($AA207+SUMIF(GA!$C:$C,$A207,GA!$X:$X)),"")</f>
        <v/>
      </c>
      <c r="S207" s="177"/>
      <c r="T207" s="182"/>
      <c r="U207" s="183" t="str">
        <f t="shared" si="13"/>
        <v/>
      </c>
      <c r="V207" s="183" t="str">
        <f>IFERROR(_xlfn.XLOOKUP($A207,Raw_Data!$B:$B,Raw_Data!$KQ:$KQ),"")</f>
        <v/>
      </c>
      <c r="W207" s="184" t="str">
        <f t="shared" si="14"/>
        <v/>
      </c>
      <c r="X207" s="176" t="str">
        <f>IFERROR(_xlfn.XLOOKUP($A207,Raw_Data!$B:$B,Raw_Data!$KN:$KN),"")</f>
        <v/>
      </c>
      <c r="Y207" s="176" t="str">
        <f>IFERROR(_xlfn.XLOOKUP($A207,Raw_Data!$B:$B,Raw_Data!$KC:$KC),"")</f>
        <v/>
      </c>
      <c r="Z207" s="176" t="str">
        <f>IFERROR(_xlfn.XLOOKUP($A207,Raw_Data!$B:$B,Raw_Data!$KD:$KD),"")</f>
        <v/>
      </c>
      <c r="AA207" s="176" t="str">
        <f>IFERROR(_xlfn.XLOOKUP($A207,Raw_Data!$B:$B,Raw_Data!$KF:$KF),"")</f>
        <v/>
      </c>
      <c r="AB207" s="176" t="str">
        <f>IFERROR(_xlfn.XLOOKUP($A207,Raw_Data!$B:$B,Raw_Data!I:I)/1000,"")</f>
        <v/>
      </c>
      <c r="AC207" s="185">
        <f>IFERROR(_xlfn.XLOOKUP($D207,'Modelling New'!$D:$D,'Modelling New'!$P:$P),"")</f>
        <v>5.7129032258064516</v>
      </c>
      <c r="AD207" s="176">
        <f>IFERROR(_xlfn.XLOOKUP($D207,'Modelling New'!$D:$D,'Modelling New'!$T:$T)*1000,"")</f>
        <v>296607.12593009364</v>
      </c>
      <c r="AE207" s="186">
        <f>IFERROR(_xlfn.XLOOKUP($D207,'Modelling New'!$D:$D,'Modelling New'!$O:$O),"")</f>
        <v>0.77775159972603525</v>
      </c>
      <c r="AF207" s="186">
        <f>IFERROR(_xlfn.XLOOKUP($D207,'Modelling New'!$D:$D,'Modelling New'!$W:$W),"")</f>
        <v>0.18513415095629143</v>
      </c>
      <c r="AG207" s="186">
        <f>IFERROR(_xlfn.XLOOKUP($D207,'Modelling New'!$D:$D,'Modelling New'!$AE:$AE),"")</f>
        <v>0.995</v>
      </c>
      <c r="AH207" s="186">
        <f>IFERROR(_xlfn.XLOOKUP($D207,'Modelling New'!$D:$D,'Modelling New'!$AF:$AF),"")</f>
        <v>0.995</v>
      </c>
      <c r="AI207" s="177"/>
      <c r="AJ207" s="177"/>
      <c r="AK207" s="238"/>
      <c r="AL207" s="238"/>
      <c r="AM207" s="238"/>
      <c r="AN207" s="187"/>
      <c r="AO207" s="184"/>
      <c r="AP207" s="184"/>
      <c r="AQ207" s="184"/>
      <c r="AR207" s="176">
        <f>IFERROR(_xlfn.XLOOKUP($D206,'Modelling New'!$D:$D,'Modelling New'!$N:$N),"")</f>
        <v>66.754999999999995</v>
      </c>
      <c r="AS207" s="176"/>
    </row>
    <row r="208" spans="1:45" x14ac:dyDescent="0.25">
      <c r="A208" s="175">
        <f t="shared" si="15"/>
        <v>45951</v>
      </c>
      <c r="B208" s="176">
        <f>YEAR(Table13[[#This Row],[Date]])+IF(MONTH(Table13[[#This Row],[Date]])&gt;=4,1,0)</f>
        <v>2026</v>
      </c>
      <c r="C208" s="177">
        <f>YEAR(Table13[[#This Row],[Date]])</f>
        <v>2025</v>
      </c>
      <c r="D208" s="178">
        <f>Table13[[#This Row],[Date]]-DAY(Table13[[#This Row],[Date]])+1</f>
        <v>45931</v>
      </c>
      <c r="E208" s="177">
        <f t="shared" si="12"/>
        <v>31</v>
      </c>
      <c r="F208" s="179" t="str">
        <f>IFERROR(_xlfn.XLOOKUP($A208,Raw_Data!$B:$B,Raw_Data!$KG:$KG),"")</f>
        <v/>
      </c>
      <c r="G208" s="180" t="str">
        <f>IFERROR(_xlfn.XLOOKUP($A208,Raw_Data!$B:$B,Raw_Data!KH:KH),"")</f>
        <v/>
      </c>
      <c r="H208" s="180"/>
      <c r="I208" s="180" t="str">
        <f>IFERROR(_xlfn.XLOOKUP($A208,Raw_Data!$B:$B,Raw_Data!$KI:$KI),"")</f>
        <v/>
      </c>
      <c r="J208" s="180"/>
      <c r="K208" s="180" t="str">
        <f>IFERROR(_xlfn.XLOOKUP($A208,Raw_Data!$B:$B,Raw_Data!KJ:KJ),"")</f>
        <v/>
      </c>
      <c r="L208" s="180" t="str">
        <f>IFERROR(_xlfn.XLOOKUP($A208,Raw_Data!$B:$B,Raw_Data!KK:KK),"")</f>
        <v/>
      </c>
      <c r="M208" s="180" t="str">
        <f>IFERROR(_xlfn.XLOOKUP($A208,Raw_Data!$B:$B,Raw_Data!KL:KL),"")</f>
        <v/>
      </c>
      <c r="N208" s="180" t="str">
        <f>IFERROR(_xlfn.XLOOKUP($A208,Raw_Data!$B:$B,Raw_Data!KM:KM),"")</f>
        <v/>
      </c>
      <c r="O208" s="181" t="str">
        <f>IFERROR(1-SUMIF(PA!$B:$B,$A208,PA!AJ:AJ)/($AA208+SUMIF(PA!$B:$B,$A208,PA!AJ:AJ)),"")</f>
        <v/>
      </c>
      <c r="P208" s="181"/>
      <c r="Q208" s="182"/>
      <c r="R208" s="181" t="str">
        <f>IFERROR(1-SUMIF(GA!$C:$C,$A208,GA!$X:$X)/($AA208+SUMIF(GA!$C:$C,$A208,GA!$X:$X)),"")</f>
        <v/>
      </c>
      <c r="S208" s="177"/>
      <c r="T208" s="182"/>
      <c r="U208" s="183" t="str">
        <f t="shared" si="13"/>
        <v/>
      </c>
      <c r="V208" s="183" t="str">
        <f>IFERROR(_xlfn.XLOOKUP($A208,Raw_Data!$B:$B,Raw_Data!$KQ:$KQ),"")</f>
        <v/>
      </c>
      <c r="W208" s="184" t="str">
        <f t="shared" si="14"/>
        <v/>
      </c>
      <c r="X208" s="176" t="str">
        <f>IFERROR(_xlfn.XLOOKUP($A208,Raw_Data!$B:$B,Raw_Data!$KN:$KN),"")</f>
        <v/>
      </c>
      <c r="Y208" s="176" t="str">
        <f>IFERROR(_xlfn.XLOOKUP($A208,Raw_Data!$B:$B,Raw_Data!$KC:$KC),"")</f>
        <v/>
      </c>
      <c r="Z208" s="176" t="str">
        <f>IFERROR(_xlfn.XLOOKUP($A208,Raw_Data!$B:$B,Raw_Data!$KD:$KD),"")</f>
        <v/>
      </c>
      <c r="AA208" s="176" t="str">
        <f>IFERROR(_xlfn.XLOOKUP($A208,Raw_Data!$B:$B,Raw_Data!$KF:$KF),"")</f>
        <v/>
      </c>
      <c r="AB208" s="176" t="str">
        <f>IFERROR(_xlfn.XLOOKUP($A208,Raw_Data!$B:$B,Raw_Data!I:I)/1000,"")</f>
        <v/>
      </c>
      <c r="AC208" s="185">
        <f>IFERROR(_xlfn.XLOOKUP($D208,'Modelling New'!$D:$D,'Modelling New'!$P:$P),"")</f>
        <v>5.7129032258064516</v>
      </c>
      <c r="AD208" s="176">
        <f>IFERROR(_xlfn.XLOOKUP($D208,'Modelling New'!$D:$D,'Modelling New'!$T:$T)*1000,"")</f>
        <v>296607.12593009364</v>
      </c>
      <c r="AE208" s="186">
        <f>IFERROR(_xlfn.XLOOKUP($D208,'Modelling New'!$D:$D,'Modelling New'!$O:$O),"")</f>
        <v>0.77775159972603525</v>
      </c>
      <c r="AF208" s="186">
        <f>IFERROR(_xlfn.XLOOKUP($D208,'Modelling New'!$D:$D,'Modelling New'!$W:$W),"")</f>
        <v>0.18513415095629143</v>
      </c>
      <c r="AG208" s="186">
        <f>IFERROR(_xlfn.XLOOKUP($D208,'Modelling New'!$D:$D,'Modelling New'!$AE:$AE),"")</f>
        <v>0.995</v>
      </c>
      <c r="AH208" s="186">
        <f>IFERROR(_xlfn.XLOOKUP($D208,'Modelling New'!$D:$D,'Modelling New'!$AF:$AF),"")</f>
        <v>0.995</v>
      </c>
      <c r="AI208" s="177"/>
      <c r="AJ208" s="177"/>
      <c r="AK208" s="238"/>
      <c r="AL208" s="238"/>
      <c r="AM208" s="238"/>
      <c r="AN208" s="187"/>
      <c r="AO208" s="184"/>
      <c r="AP208" s="184"/>
      <c r="AQ208" s="184"/>
      <c r="AR208" s="176">
        <f>IFERROR(_xlfn.XLOOKUP($D207,'Modelling New'!$D:$D,'Modelling New'!$N:$N),"")</f>
        <v>66.754999999999995</v>
      </c>
      <c r="AS208" s="176"/>
    </row>
    <row r="209" spans="1:45" x14ac:dyDescent="0.25">
      <c r="A209" s="175">
        <f t="shared" si="15"/>
        <v>45952</v>
      </c>
      <c r="B209" s="176">
        <f>YEAR(Table13[[#This Row],[Date]])+IF(MONTH(Table13[[#This Row],[Date]])&gt;=4,1,0)</f>
        <v>2026</v>
      </c>
      <c r="C209" s="177">
        <f>YEAR(Table13[[#This Row],[Date]])</f>
        <v>2025</v>
      </c>
      <c r="D209" s="178">
        <f>Table13[[#This Row],[Date]]-DAY(Table13[[#This Row],[Date]])+1</f>
        <v>45931</v>
      </c>
      <c r="E209" s="177">
        <f t="shared" si="12"/>
        <v>31</v>
      </c>
      <c r="F209" s="179" t="str">
        <f>IFERROR(_xlfn.XLOOKUP($A209,Raw_Data!$B:$B,Raw_Data!$KG:$KG),"")</f>
        <v/>
      </c>
      <c r="G209" s="180" t="str">
        <f>IFERROR(_xlfn.XLOOKUP($A209,Raw_Data!$B:$B,Raw_Data!KH:KH),"")</f>
        <v/>
      </c>
      <c r="H209" s="180"/>
      <c r="I209" s="180" t="str">
        <f>IFERROR(_xlfn.XLOOKUP($A209,Raw_Data!$B:$B,Raw_Data!$KI:$KI),"")</f>
        <v/>
      </c>
      <c r="J209" s="180"/>
      <c r="K209" s="180" t="str">
        <f>IFERROR(_xlfn.XLOOKUP($A209,Raw_Data!$B:$B,Raw_Data!KJ:KJ),"")</f>
        <v/>
      </c>
      <c r="L209" s="180" t="str">
        <f>IFERROR(_xlfn.XLOOKUP($A209,Raw_Data!$B:$B,Raw_Data!KK:KK),"")</f>
        <v/>
      </c>
      <c r="M209" s="180" t="str">
        <f>IFERROR(_xlfn.XLOOKUP($A209,Raw_Data!$B:$B,Raw_Data!KL:KL),"")</f>
        <v/>
      </c>
      <c r="N209" s="180" t="str">
        <f>IFERROR(_xlfn.XLOOKUP($A209,Raw_Data!$B:$B,Raw_Data!KM:KM),"")</f>
        <v/>
      </c>
      <c r="O209" s="181" t="str">
        <f>IFERROR(1-SUMIF(PA!$B:$B,$A209,PA!AJ:AJ)/($AA209+SUMIF(PA!$B:$B,$A209,PA!AJ:AJ)),"")</f>
        <v/>
      </c>
      <c r="P209" s="181"/>
      <c r="Q209" s="182"/>
      <c r="R209" s="181" t="str">
        <f>IFERROR(1-SUMIF(GA!$C:$C,$A209,GA!$X:$X)/($AA209+SUMIF(GA!$C:$C,$A209,GA!$X:$X)),"")</f>
        <v/>
      </c>
      <c r="S209" s="177"/>
      <c r="T209" s="182"/>
      <c r="U209" s="183" t="str">
        <f t="shared" si="13"/>
        <v/>
      </c>
      <c r="V209" s="183" t="str">
        <f>IFERROR(_xlfn.XLOOKUP($A209,Raw_Data!$B:$B,Raw_Data!$KQ:$KQ),"")</f>
        <v/>
      </c>
      <c r="W209" s="184" t="str">
        <f t="shared" si="14"/>
        <v/>
      </c>
      <c r="X209" s="176" t="str">
        <f>IFERROR(_xlfn.XLOOKUP($A209,Raw_Data!$B:$B,Raw_Data!$KN:$KN),"")</f>
        <v/>
      </c>
      <c r="Y209" s="176" t="str">
        <f>IFERROR(_xlfn.XLOOKUP($A209,Raw_Data!$B:$B,Raw_Data!$KC:$KC),"")</f>
        <v/>
      </c>
      <c r="Z209" s="176" t="str">
        <f>IFERROR(_xlfn.XLOOKUP($A209,Raw_Data!$B:$B,Raw_Data!$KD:$KD),"")</f>
        <v/>
      </c>
      <c r="AA209" s="176" t="str">
        <f>IFERROR(_xlfn.XLOOKUP($A209,Raw_Data!$B:$B,Raw_Data!$KF:$KF),"")</f>
        <v/>
      </c>
      <c r="AB209" s="176" t="str">
        <f>IFERROR(_xlfn.XLOOKUP($A209,Raw_Data!$B:$B,Raw_Data!I:I)/1000,"")</f>
        <v/>
      </c>
      <c r="AC209" s="185">
        <f>IFERROR(_xlfn.XLOOKUP($D209,'Modelling New'!$D:$D,'Modelling New'!$P:$P),"")</f>
        <v>5.7129032258064516</v>
      </c>
      <c r="AD209" s="176">
        <f>IFERROR(_xlfn.XLOOKUP($D209,'Modelling New'!$D:$D,'Modelling New'!$T:$T)*1000,"")</f>
        <v>296607.12593009364</v>
      </c>
      <c r="AE209" s="186">
        <f>IFERROR(_xlfn.XLOOKUP($D209,'Modelling New'!$D:$D,'Modelling New'!$O:$O),"")</f>
        <v>0.77775159972603525</v>
      </c>
      <c r="AF209" s="186">
        <f>IFERROR(_xlfn.XLOOKUP($D209,'Modelling New'!$D:$D,'Modelling New'!$W:$W),"")</f>
        <v>0.18513415095629143</v>
      </c>
      <c r="AG209" s="186">
        <f>IFERROR(_xlfn.XLOOKUP($D209,'Modelling New'!$D:$D,'Modelling New'!$AE:$AE),"")</f>
        <v>0.995</v>
      </c>
      <c r="AH209" s="186">
        <f>IFERROR(_xlfn.XLOOKUP($D209,'Modelling New'!$D:$D,'Modelling New'!$AF:$AF),"")</f>
        <v>0.995</v>
      </c>
      <c r="AI209" s="177"/>
      <c r="AJ209" s="177"/>
      <c r="AK209" s="238"/>
      <c r="AL209" s="238"/>
      <c r="AM209" s="238"/>
      <c r="AN209" s="187"/>
      <c r="AO209" s="184"/>
      <c r="AP209" s="184"/>
      <c r="AQ209" s="184"/>
      <c r="AR209" s="176">
        <f>IFERROR(_xlfn.XLOOKUP($D208,'Modelling New'!$D:$D,'Modelling New'!$N:$N),"")</f>
        <v>66.754999999999995</v>
      </c>
      <c r="AS209" s="176"/>
    </row>
    <row r="210" spans="1:45" x14ac:dyDescent="0.25">
      <c r="A210" s="175">
        <f t="shared" si="15"/>
        <v>45953</v>
      </c>
      <c r="B210" s="176">
        <f>YEAR(Table13[[#This Row],[Date]])+IF(MONTH(Table13[[#This Row],[Date]])&gt;=4,1,0)</f>
        <v>2026</v>
      </c>
      <c r="C210" s="177">
        <f>YEAR(Table13[[#This Row],[Date]])</f>
        <v>2025</v>
      </c>
      <c r="D210" s="178">
        <f>Table13[[#This Row],[Date]]-DAY(Table13[[#This Row],[Date]])+1</f>
        <v>45931</v>
      </c>
      <c r="E210" s="177">
        <f t="shared" si="12"/>
        <v>31</v>
      </c>
      <c r="F210" s="179" t="str">
        <f>IFERROR(_xlfn.XLOOKUP($A210,Raw_Data!$B:$B,Raw_Data!$KG:$KG),"")</f>
        <v/>
      </c>
      <c r="G210" s="180" t="str">
        <f>IFERROR(_xlfn.XLOOKUP($A210,Raw_Data!$B:$B,Raw_Data!KH:KH),"")</f>
        <v/>
      </c>
      <c r="H210" s="180"/>
      <c r="I210" s="180" t="str">
        <f>IFERROR(_xlfn.XLOOKUP($A210,Raw_Data!$B:$B,Raw_Data!$KI:$KI),"")</f>
        <v/>
      </c>
      <c r="J210" s="180"/>
      <c r="K210" s="180" t="str">
        <f>IFERROR(_xlfn.XLOOKUP($A210,Raw_Data!$B:$B,Raw_Data!KJ:KJ),"")</f>
        <v/>
      </c>
      <c r="L210" s="180" t="str">
        <f>IFERROR(_xlfn.XLOOKUP($A210,Raw_Data!$B:$B,Raw_Data!KK:KK),"")</f>
        <v/>
      </c>
      <c r="M210" s="180" t="str">
        <f>IFERROR(_xlfn.XLOOKUP($A210,Raw_Data!$B:$B,Raw_Data!KL:KL),"")</f>
        <v/>
      </c>
      <c r="N210" s="180" t="str">
        <f>IFERROR(_xlfn.XLOOKUP($A210,Raw_Data!$B:$B,Raw_Data!KM:KM),"")</f>
        <v/>
      </c>
      <c r="O210" s="181" t="str">
        <f>IFERROR(1-SUMIF(PA!$B:$B,$A210,PA!AJ:AJ)/($AA210+SUMIF(PA!$B:$B,$A210,PA!AJ:AJ)),"")</f>
        <v/>
      </c>
      <c r="P210" s="181"/>
      <c r="Q210" s="182"/>
      <c r="R210" s="181" t="str">
        <f>IFERROR(1-SUMIF(GA!$C:$C,$A210,GA!$X:$X)/($AA210+SUMIF(GA!$C:$C,$A210,GA!$X:$X)),"")</f>
        <v/>
      </c>
      <c r="S210" s="177"/>
      <c r="T210" s="182"/>
      <c r="U210" s="183" t="str">
        <f t="shared" si="13"/>
        <v/>
      </c>
      <c r="V210" s="183" t="str">
        <f>IFERROR(_xlfn.XLOOKUP($A210,Raw_Data!$B:$B,Raw_Data!$KQ:$KQ),"")</f>
        <v/>
      </c>
      <c r="W210" s="184" t="str">
        <f t="shared" si="14"/>
        <v/>
      </c>
      <c r="X210" s="176" t="str">
        <f>IFERROR(_xlfn.XLOOKUP($A210,Raw_Data!$B:$B,Raw_Data!$KN:$KN),"")</f>
        <v/>
      </c>
      <c r="Y210" s="176" t="str">
        <f>IFERROR(_xlfn.XLOOKUP($A210,Raw_Data!$B:$B,Raw_Data!$KC:$KC),"")</f>
        <v/>
      </c>
      <c r="Z210" s="176" t="str">
        <f>IFERROR(_xlfn.XLOOKUP($A210,Raw_Data!$B:$B,Raw_Data!$KD:$KD),"")</f>
        <v/>
      </c>
      <c r="AA210" s="176" t="str">
        <f>IFERROR(_xlfn.XLOOKUP($A210,Raw_Data!$B:$B,Raw_Data!$KF:$KF),"")</f>
        <v/>
      </c>
      <c r="AB210" s="176" t="str">
        <f>IFERROR(_xlfn.XLOOKUP($A210,Raw_Data!$B:$B,Raw_Data!I:I)/1000,"")</f>
        <v/>
      </c>
      <c r="AC210" s="185">
        <f>IFERROR(_xlfn.XLOOKUP($D210,'Modelling New'!$D:$D,'Modelling New'!$P:$P),"")</f>
        <v>5.7129032258064516</v>
      </c>
      <c r="AD210" s="176">
        <f>IFERROR(_xlfn.XLOOKUP($D210,'Modelling New'!$D:$D,'Modelling New'!$T:$T)*1000,"")</f>
        <v>296607.12593009364</v>
      </c>
      <c r="AE210" s="186">
        <f>IFERROR(_xlfn.XLOOKUP($D210,'Modelling New'!$D:$D,'Modelling New'!$O:$O),"")</f>
        <v>0.77775159972603525</v>
      </c>
      <c r="AF210" s="186">
        <f>IFERROR(_xlfn.XLOOKUP($D210,'Modelling New'!$D:$D,'Modelling New'!$W:$W),"")</f>
        <v>0.18513415095629143</v>
      </c>
      <c r="AG210" s="186">
        <f>IFERROR(_xlfn.XLOOKUP($D210,'Modelling New'!$D:$D,'Modelling New'!$AE:$AE),"")</f>
        <v>0.995</v>
      </c>
      <c r="AH210" s="186">
        <f>IFERROR(_xlfn.XLOOKUP($D210,'Modelling New'!$D:$D,'Modelling New'!$AF:$AF),"")</f>
        <v>0.995</v>
      </c>
      <c r="AI210" s="177"/>
      <c r="AJ210" s="177"/>
      <c r="AK210" s="238"/>
      <c r="AL210" s="238"/>
      <c r="AM210" s="238"/>
      <c r="AN210" s="187"/>
      <c r="AO210" s="184"/>
      <c r="AP210" s="184"/>
      <c r="AQ210" s="184"/>
      <c r="AR210" s="176">
        <f>IFERROR(_xlfn.XLOOKUP($D209,'Modelling New'!$D:$D,'Modelling New'!$N:$N),"")</f>
        <v>66.754999999999995</v>
      </c>
      <c r="AS210" s="176"/>
    </row>
    <row r="211" spans="1:45" x14ac:dyDescent="0.25">
      <c r="A211" s="175">
        <f t="shared" si="15"/>
        <v>45954</v>
      </c>
      <c r="B211" s="176">
        <f>YEAR(Table13[[#This Row],[Date]])+IF(MONTH(Table13[[#This Row],[Date]])&gt;=4,1,0)</f>
        <v>2026</v>
      </c>
      <c r="C211" s="177">
        <f>YEAR(Table13[[#This Row],[Date]])</f>
        <v>2025</v>
      </c>
      <c r="D211" s="178">
        <f>Table13[[#This Row],[Date]]-DAY(Table13[[#This Row],[Date]])+1</f>
        <v>45931</v>
      </c>
      <c r="E211" s="177">
        <f t="shared" si="12"/>
        <v>31</v>
      </c>
      <c r="F211" s="179" t="str">
        <f>IFERROR(_xlfn.XLOOKUP($A211,Raw_Data!$B:$B,Raw_Data!$KG:$KG),"")</f>
        <v/>
      </c>
      <c r="G211" s="180" t="str">
        <f>IFERROR(_xlfn.XLOOKUP($A211,Raw_Data!$B:$B,Raw_Data!KH:KH),"")</f>
        <v/>
      </c>
      <c r="H211" s="180"/>
      <c r="I211" s="180" t="str">
        <f>IFERROR(_xlfn.XLOOKUP($A211,Raw_Data!$B:$B,Raw_Data!$KI:$KI),"")</f>
        <v/>
      </c>
      <c r="J211" s="180"/>
      <c r="K211" s="180" t="str">
        <f>IFERROR(_xlfn.XLOOKUP($A211,Raw_Data!$B:$B,Raw_Data!KJ:KJ),"")</f>
        <v/>
      </c>
      <c r="L211" s="180" t="str">
        <f>IFERROR(_xlfn.XLOOKUP($A211,Raw_Data!$B:$B,Raw_Data!KK:KK),"")</f>
        <v/>
      </c>
      <c r="M211" s="180" t="str">
        <f>IFERROR(_xlfn.XLOOKUP($A211,Raw_Data!$B:$B,Raw_Data!KL:KL),"")</f>
        <v/>
      </c>
      <c r="N211" s="180" t="str">
        <f>IFERROR(_xlfn.XLOOKUP($A211,Raw_Data!$B:$B,Raw_Data!KM:KM),"")</f>
        <v/>
      </c>
      <c r="O211" s="181" t="str">
        <f>IFERROR(1-SUMIF(PA!$B:$B,$A211,PA!AJ:AJ)/($AA211+SUMIF(PA!$B:$B,$A211,PA!AJ:AJ)),"")</f>
        <v/>
      </c>
      <c r="P211" s="181"/>
      <c r="Q211" s="182"/>
      <c r="R211" s="181" t="str">
        <f>IFERROR(1-SUMIF(GA!$C:$C,$A211,GA!$X:$X)/($AA211+SUMIF(GA!$C:$C,$A211,GA!$X:$X)),"")</f>
        <v/>
      </c>
      <c r="S211" s="177"/>
      <c r="T211" s="182"/>
      <c r="U211" s="183" t="str">
        <f t="shared" si="13"/>
        <v/>
      </c>
      <c r="V211" s="183" t="str">
        <f>IFERROR(_xlfn.XLOOKUP($A211,Raw_Data!$B:$B,Raw_Data!$KQ:$KQ),"")</f>
        <v/>
      </c>
      <c r="W211" s="184" t="str">
        <f t="shared" si="14"/>
        <v/>
      </c>
      <c r="X211" s="176" t="str">
        <f>IFERROR(_xlfn.XLOOKUP($A211,Raw_Data!$B:$B,Raw_Data!$KN:$KN),"")</f>
        <v/>
      </c>
      <c r="Y211" s="176" t="str">
        <f>IFERROR(_xlfn.XLOOKUP($A211,Raw_Data!$B:$B,Raw_Data!$KC:$KC),"")</f>
        <v/>
      </c>
      <c r="Z211" s="176" t="str">
        <f>IFERROR(_xlfn.XLOOKUP($A211,Raw_Data!$B:$B,Raw_Data!$KD:$KD),"")</f>
        <v/>
      </c>
      <c r="AA211" s="176" t="str">
        <f>IFERROR(_xlfn.XLOOKUP($A211,Raw_Data!$B:$B,Raw_Data!$KF:$KF),"")</f>
        <v/>
      </c>
      <c r="AB211" s="176" t="str">
        <f>IFERROR(_xlfn.XLOOKUP($A211,Raw_Data!$B:$B,Raw_Data!I:I)/1000,"")</f>
        <v/>
      </c>
      <c r="AC211" s="185">
        <f>IFERROR(_xlfn.XLOOKUP($D211,'Modelling New'!$D:$D,'Modelling New'!$P:$P),"")</f>
        <v>5.7129032258064516</v>
      </c>
      <c r="AD211" s="176">
        <f>IFERROR(_xlfn.XLOOKUP($D211,'Modelling New'!$D:$D,'Modelling New'!$T:$T)*1000,"")</f>
        <v>296607.12593009364</v>
      </c>
      <c r="AE211" s="186">
        <f>IFERROR(_xlfn.XLOOKUP($D211,'Modelling New'!$D:$D,'Modelling New'!$O:$O),"")</f>
        <v>0.77775159972603525</v>
      </c>
      <c r="AF211" s="186">
        <f>IFERROR(_xlfn.XLOOKUP($D211,'Modelling New'!$D:$D,'Modelling New'!$W:$W),"")</f>
        <v>0.18513415095629143</v>
      </c>
      <c r="AG211" s="186">
        <f>IFERROR(_xlfn.XLOOKUP($D211,'Modelling New'!$D:$D,'Modelling New'!$AE:$AE),"")</f>
        <v>0.995</v>
      </c>
      <c r="AH211" s="186">
        <f>IFERROR(_xlfn.XLOOKUP($D211,'Modelling New'!$D:$D,'Modelling New'!$AF:$AF),"")</f>
        <v>0.995</v>
      </c>
      <c r="AI211" s="177"/>
      <c r="AJ211" s="177"/>
      <c r="AK211" s="238"/>
      <c r="AL211" s="238"/>
      <c r="AM211" s="238"/>
      <c r="AN211" s="187"/>
      <c r="AO211" s="184"/>
      <c r="AP211" s="184"/>
      <c r="AQ211" s="184"/>
      <c r="AR211" s="176">
        <f>IFERROR(_xlfn.XLOOKUP($D210,'Modelling New'!$D:$D,'Modelling New'!$N:$N),"")</f>
        <v>66.754999999999995</v>
      </c>
      <c r="AS211" s="176"/>
    </row>
    <row r="212" spans="1:45" x14ac:dyDescent="0.25">
      <c r="A212" s="175">
        <f t="shared" si="15"/>
        <v>45955</v>
      </c>
      <c r="B212" s="176">
        <f>YEAR(Table13[[#This Row],[Date]])+IF(MONTH(Table13[[#This Row],[Date]])&gt;=4,1,0)</f>
        <v>2026</v>
      </c>
      <c r="C212" s="177">
        <f>YEAR(Table13[[#This Row],[Date]])</f>
        <v>2025</v>
      </c>
      <c r="D212" s="178">
        <f>Table13[[#This Row],[Date]]-DAY(Table13[[#This Row],[Date]])+1</f>
        <v>45931</v>
      </c>
      <c r="E212" s="177">
        <f t="shared" si="12"/>
        <v>31</v>
      </c>
      <c r="F212" s="179" t="str">
        <f>IFERROR(_xlfn.XLOOKUP($A212,Raw_Data!$B:$B,Raw_Data!$KG:$KG),"")</f>
        <v/>
      </c>
      <c r="G212" s="180" t="str">
        <f>IFERROR(_xlfn.XLOOKUP($A212,Raw_Data!$B:$B,Raw_Data!KH:KH),"")</f>
        <v/>
      </c>
      <c r="H212" s="180"/>
      <c r="I212" s="180" t="str">
        <f>IFERROR(_xlfn.XLOOKUP($A212,Raw_Data!$B:$B,Raw_Data!$KI:$KI),"")</f>
        <v/>
      </c>
      <c r="J212" s="180"/>
      <c r="K212" s="180" t="str">
        <f>IFERROR(_xlfn.XLOOKUP($A212,Raw_Data!$B:$B,Raw_Data!KJ:KJ),"")</f>
        <v/>
      </c>
      <c r="L212" s="180" t="str">
        <f>IFERROR(_xlfn.XLOOKUP($A212,Raw_Data!$B:$B,Raw_Data!KK:KK),"")</f>
        <v/>
      </c>
      <c r="M212" s="180" t="str">
        <f>IFERROR(_xlfn.XLOOKUP($A212,Raw_Data!$B:$B,Raw_Data!KL:KL),"")</f>
        <v/>
      </c>
      <c r="N212" s="180" t="str">
        <f>IFERROR(_xlfn.XLOOKUP($A212,Raw_Data!$B:$B,Raw_Data!KM:KM),"")</f>
        <v/>
      </c>
      <c r="O212" s="181" t="str">
        <f>IFERROR(1-SUMIF(PA!$B:$B,$A212,PA!AJ:AJ)/($AA212+SUMIF(PA!$B:$B,$A212,PA!AJ:AJ)),"")</f>
        <v/>
      </c>
      <c r="P212" s="181"/>
      <c r="Q212" s="182"/>
      <c r="R212" s="181" t="str">
        <f>IFERROR(1-SUMIF(GA!$C:$C,$A212,GA!$X:$X)/($AA212+SUMIF(GA!$C:$C,$A212,GA!$X:$X)),"")</f>
        <v/>
      </c>
      <c r="S212" s="177"/>
      <c r="T212" s="182"/>
      <c r="U212" s="183" t="str">
        <f t="shared" si="13"/>
        <v/>
      </c>
      <c r="V212" s="183" t="str">
        <f>IFERROR(_xlfn.XLOOKUP($A212,Raw_Data!$B:$B,Raw_Data!$KQ:$KQ),"")</f>
        <v/>
      </c>
      <c r="W212" s="184" t="str">
        <f t="shared" si="14"/>
        <v/>
      </c>
      <c r="X212" s="176" t="str">
        <f>IFERROR(_xlfn.XLOOKUP($A212,Raw_Data!$B:$B,Raw_Data!$KN:$KN),"")</f>
        <v/>
      </c>
      <c r="Y212" s="176" t="str">
        <f>IFERROR(_xlfn.XLOOKUP($A212,Raw_Data!$B:$B,Raw_Data!$KC:$KC),"")</f>
        <v/>
      </c>
      <c r="Z212" s="176" t="str">
        <f>IFERROR(_xlfn.XLOOKUP($A212,Raw_Data!$B:$B,Raw_Data!$KD:$KD),"")</f>
        <v/>
      </c>
      <c r="AA212" s="176" t="str">
        <f>IFERROR(_xlfn.XLOOKUP($A212,Raw_Data!$B:$B,Raw_Data!$KF:$KF),"")</f>
        <v/>
      </c>
      <c r="AB212" s="176" t="str">
        <f>IFERROR(_xlfn.XLOOKUP($A212,Raw_Data!$B:$B,Raw_Data!I:I)/1000,"")</f>
        <v/>
      </c>
      <c r="AC212" s="185">
        <f>IFERROR(_xlfn.XLOOKUP($D212,'Modelling New'!$D:$D,'Modelling New'!$P:$P),"")</f>
        <v>5.7129032258064516</v>
      </c>
      <c r="AD212" s="176">
        <f>IFERROR(_xlfn.XLOOKUP($D212,'Modelling New'!$D:$D,'Modelling New'!$T:$T)*1000,"")</f>
        <v>296607.12593009364</v>
      </c>
      <c r="AE212" s="186">
        <f>IFERROR(_xlfn.XLOOKUP($D212,'Modelling New'!$D:$D,'Modelling New'!$O:$O),"")</f>
        <v>0.77775159972603525</v>
      </c>
      <c r="AF212" s="186">
        <f>IFERROR(_xlfn.XLOOKUP($D212,'Modelling New'!$D:$D,'Modelling New'!$W:$W),"")</f>
        <v>0.18513415095629143</v>
      </c>
      <c r="AG212" s="186">
        <f>IFERROR(_xlfn.XLOOKUP($D212,'Modelling New'!$D:$D,'Modelling New'!$AE:$AE),"")</f>
        <v>0.995</v>
      </c>
      <c r="AH212" s="186">
        <f>IFERROR(_xlfn.XLOOKUP($D212,'Modelling New'!$D:$D,'Modelling New'!$AF:$AF),"")</f>
        <v>0.995</v>
      </c>
      <c r="AI212" s="177"/>
      <c r="AJ212" s="177"/>
      <c r="AK212" s="238"/>
      <c r="AL212" s="238"/>
      <c r="AM212" s="238"/>
      <c r="AN212" s="187"/>
      <c r="AO212" s="184"/>
      <c r="AP212" s="184"/>
      <c r="AQ212" s="184"/>
      <c r="AR212" s="176">
        <f>IFERROR(_xlfn.XLOOKUP($D211,'Modelling New'!$D:$D,'Modelling New'!$N:$N),"")</f>
        <v>66.754999999999995</v>
      </c>
      <c r="AS212" s="176"/>
    </row>
    <row r="213" spans="1:45" x14ac:dyDescent="0.25">
      <c r="A213" s="175">
        <f t="shared" si="15"/>
        <v>45956</v>
      </c>
      <c r="B213" s="176">
        <f>YEAR(Table13[[#This Row],[Date]])+IF(MONTH(Table13[[#This Row],[Date]])&gt;=4,1,0)</f>
        <v>2026</v>
      </c>
      <c r="C213" s="177">
        <f>YEAR(Table13[[#This Row],[Date]])</f>
        <v>2025</v>
      </c>
      <c r="D213" s="178">
        <f>Table13[[#This Row],[Date]]-DAY(Table13[[#This Row],[Date]])+1</f>
        <v>45931</v>
      </c>
      <c r="E213" s="177">
        <f t="shared" si="12"/>
        <v>31</v>
      </c>
      <c r="F213" s="179" t="str">
        <f>IFERROR(_xlfn.XLOOKUP($A213,Raw_Data!$B:$B,Raw_Data!$KG:$KG),"")</f>
        <v/>
      </c>
      <c r="G213" s="180" t="str">
        <f>IFERROR(_xlfn.XLOOKUP($A213,Raw_Data!$B:$B,Raw_Data!KH:KH),"")</f>
        <v/>
      </c>
      <c r="H213" s="180"/>
      <c r="I213" s="180" t="str">
        <f>IFERROR(_xlfn.XLOOKUP($A213,Raw_Data!$B:$B,Raw_Data!$KI:$KI),"")</f>
        <v/>
      </c>
      <c r="J213" s="180"/>
      <c r="K213" s="180" t="str">
        <f>IFERROR(_xlfn.XLOOKUP($A213,Raw_Data!$B:$B,Raw_Data!KJ:KJ),"")</f>
        <v/>
      </c>
      <c r="L213" s="180" t="str">
        <f>IFERROR(_xlfn.XLOOKUP($A213,Raw_Data!$B:$B,Raw_Data!KK:KK),"")</f>
        <v/>
      </c>
      <c r="M213" s="180" t="str">
        <f>IFERROR(_xlfn.XLOOKUP($A213,Raw_Data!$B:$B,Raw_Data!KL:KL),"")</f>
        <v/>
      </c>
      <c r="N213" s="180" t="str">
        <f>IFERROR(_xlfn.XLOOKUP($A213,Raw_Data!$B:$B,Raw_Data!KM:KM),"")</f>
        <v/>
      </c>
      <c r="O213" s="181" t="str">
        <f>IFERROR(1-SUMIF(PA!$B:$B,$A213,PA!AJ:AJ)/($AA213+SUMIF(PA!$B:$B,$A213,PA!AJ:AJ)),"")</f>
        <v/>
      </c>
      <c r="P213" s="181"/>
      <c r="Q213" s="182"/>
      <c r="R213" s="181" t="str">
        <f>IFERROR(1-SUMIF(GA!$C:$C,$A213,GA!$X:$X)/($AA213+SUMIF(GA!$C:$C,$A213,GA!$X:$X)),"")</f>
        <v/>
      </c>
      <c r="S213" s="177"/>
      <c r="T213" s="182"/>
      <c r="U213" s="183" t="str">
        <f t="shared" si="13"/>
        <v/>
      </c>
      <c r="V213" s="183" t="str">
        <f>IFERROR(_xlfn.XLOOKUP($A213,Raw_Data!$B:$B,Raw_Data!$KQ:$KQ),"")</f>
        <v/>
      </c>
      <c r="W213" s="184" t="str">
        <f t="shared" si="14"/>
        <v/>
      </c>
      <c r="X213" s="176" t="str">
        <f>IFERROR(_xlfn.XLOOKUP($A213,Raw_Data!$B:$B,Raw_Data!$KN:$KN),"")</f>
        <v/>
      </c>
      <c r="Y213" s="176" t="str">
        <f>IFERROR(_xlfn.XLOOKUP($A213,Raw_Data!$B:$B,Raw_Data!$KC:$KC),"")</f>
        <v/>
      </c>
      <c r="Z213" s="176" t="str">
        <f>IFERROR(_xlfn.XLOOKUP($A213,Raw_Data!$B:$B,Raw_Data!$KD:$KD),"")</f>
        <v/>
      </c>
      <c r="AA213" s="176" t="str">
        <f>IFERROR(_xlfn.XLOOKUP($A213,Raw_Data!$B:$B,Raw_Data!$KF:$KF),"")</f>
        <v/>
      </c>
      <c r="AB213" s="176" t="str">
        <f>IFERROR(_xlfn.XLOOKUP($A213,Raw_Data!$B:$B,Raw_Data!I:I)/1000,"")</f>
        <v/>
      </c>
      <c r="AC213" s="185">
        <f>IFERROR(_xlfn.XLOOKUP($D213,'Modelling New'!$D:$D,'Modelling New'!$P:$P),"")</f>
        <v>5.7129032258064516</v>
      </c>
      <c r="AD213" s="176">
        <f>IFERROR(_xlfn.XLOOKUP($D213,'Modelling New'!$D:$D,'Modelling New'!$T:$T)*1000,"")</f>
        <v>296607.12593009364</v>
      </c>
      <c r="AE213" s="186">
        <f>IFERROR(_xlfn.XLOOKUP($D213,'Modelling New'!$D:$D,'Modelling New'!$O:$O),"")</f>
        <v>0.77775159972603525</v>
      </c>
      <c r="AF213" s="186">
        <f>IFERROR(_xlfn.XLOOKUP($D213,'Modelling New'!$D:$D,'Modelling New'!$W:$W),"")</f>
        <v>0.18513415095629143</v>
      </c>
      <c r="AG213" s="186">
        <f>IFERROR(_xlfn.XLOOKUP($D213,'Modelling New'!$D:$D,'Modelling New'!$AE:$AE),"")</f>
        <v>0.995</v>
      </c>
      <c r="AH213" s="186">
        <f>IFERROR(_xlfn.XLOOKUP($D213,'Modelling New'!$D:$D,'Modelling New'!$AF:$AF),"")</f>
        <v>0.995</v>
      </c>
      <c r="AI213" s="177"/>
      <c r="AJ213" s="177"/>
      <c r="AK213" s="238"/>
      <c r="AL213" s="238"/>
      <c r="AM213" s="238"/>
      <c r="AN213" s="187"/>
      <c r="AO213" s="184"/>
      <c r="AP213" s="184"/>
      <c r="AQ213" s="184"/>
      <c r="AR213" s="176">
        <f>IFERROR(_xlfn.XLOOKUP($D212,'Modelling New'!$D:$D,'Modelling New'!$N:$N),"")</f>
        <v>66.754999999999995</v>
      </c>
      <c r="AS213" s="176"/>
    </row>
    <row r="214" spans="1:45" x14ac:dyDescent="0.25">
      <c r="A214" s="175">
        <f t="shared" si="15"/>
        <v>45957</v>
      </c>
      <c r="B214" s="176">
        <f>YEAR(Table13[[#This Row],[Date]])+IF(MONTH(Table13[[#This Row],[Date]])&gt;=4,1,0)</f>
        <v>2026</v>
      </c>
      <c r="C214" s="177">
        <f>YEAR(Table13[[#This Row],[Date]])</f>
        <v>2025</v>
      </c>
      <c r="D214" s="178">
        <f>Table13[[#This Row],[Date]]-DAY(Table13[[#This Row],[Date]])+1</f>
        <v>45931</v>
      </c>
      <c r="E214" s="177">
        <f t="shared" si="12"/>
        <v>31</v>
      </c>
      <c r="F214" s="179" t="str">
        <f>IFERROR(_xlfn.XLOOKUP($A214,Raw_Data!$B:$B,Raw_Data!$KG:$KG),"")</f>
        <v/>
      </c>
      <c r="G214" s="180" t="str">
        <f>IFERROR(_xlfn.XLOOKUP($A214,Raw_Data!$B:$B,Raw_Data!KH:KH),"")</f>
        <v/>
      </c>
      <c r="H214" s="180"/>
      <c r="I214" s="180" t="str">
        <f>IFERROR(_xlfn.XLOOKUP($A214,Raw_Data!$B:$B,Raw_Data!$KI:$KI),"")</f>
        <v/>
      </c>
      <c r="J214" s="180"/>
      <c r="K214" s="180" t="str">
        <f>IFERROR(_xlfn.XLOOKUP($A214,Raw_Data!$B:$B,Raw_Data!KJ:KJ),"")</f>
        <v/>
      </c>
      <c r="L214" s="180" t="str">
        <f>IFERROR(_xlfn.XLOOKUP($A214,Raw_Data!$B:$B,Raw_Data!KK:KK),"")</f>
        <v/>
      </c>
      <c r="M214" s="180" t="str">
        <f>IFERROR(_xlfn.XLOOKUP($A214,Raw_Data!$B:$B,Raw_Data!KL:KL),"")</f>
        <v/>
      </c>
      <c r="N214" s="180" t="str">
        <f>IFERROR(_xlfn.XLOOKUP($A214,Raw_Data!$B:$B,Raw_Data!KM:KM),"")</f>
        <v/>
      </c>
      <c r="O214" s="181" t="str">
        <f>IFERROR(1-SUMIF(PA!$B:$B,$A214,PA!AJ:AJ)/($AA214+SUMIF(PA!$B:$B,$A214,PA!AJ:AJ)),"")</f>
        <v/>
      </c>
      <c r="P214" s="181"/>
      <c r="Q214" s="182"/>
      <c r="R214" s="181" t="str">
        <f>IFERROR(1-SUMIF(GA!$C:$C,$A214,GA!$X:$X)/($AA214+SUMIF(GA!$C:$C,$A214,GA!$X:$X)),"")</f>
        <v/>
      </c>
      <c r="S214" s="177"/>
      <c r="T214" s="182"/>
      <c r="U214" s="183" t="str">
        <f t="shared" si="13"/>
        <v/>
      </c>
      <c r="V214" s="183" t="str">
        <f>IFERROR(_xlfn.XLOOKUP($A214,Raw_Data!$B:$B,Raw_Data!$KQ:$KQ),"")</f>
        <v/>
      </c>
      <c r="W214" s="184" t="str">
        <f t="shared" si="14"/>
        <v/>
      </c>
      <c r="X214" s="176" t="str">
        <f>IFERROR(_xlfn.XLOOKUP($A214,Raw_Data!$B:$B,Raw_Data!$KN:$KN),"")</f>
        <v/>
      </c>
      <c r="Y214" s="176" t="str">
        <f>IFERROR(_xlfn.XLOOKUP($A214,Raw_Data!$B:$B,Raw_Data!$KC:$KC),"")</f>
        <v/>
      </c>
      <c r="Z214" s="176" t="str">
        <f>IFERROR(_xlfn.XLOOKUP($A214,Raw_Data!$B:$B,Raw_Data!$KD:$KD),"")</f>
        <v/>
      </c>
      <c r="AA214" s="176" t="str">
        <f>IFERROR(_xlfn.XLOOKUP($A214,Raw_Data!$B:$B,Raw_Data!$KF:$KF),"")</f>
        <v/>
      </c>
      <c r="AB214" s="176" t="str">
        <f>IFERROR(_xlfn.XLOOKUP($A214,Raw_Data!$B:$B,Raw_Data!I:I)/1000,"")</f>
        <v/>
      </c>
      <c r="AC214" s="185">
        <f>IFERROR(_xlfn.XLOOKUP($D214,'Modelling New'!$D:$D,'Modelling New'!$P:$P),"")</f>
        <v>5.7129032258064516</v>
      </c>
      <c r="AD214" s="176">
        <f>IFERROR(_xlfn.XLOOKUP($D214,'Modelling New'!$D:$D,'Modelling New'!$T:$T)*1000,"")</f>
        <v>296607.12593009364</v>
      </c>
      <c r="AE214" s="186">
        <f>IFERROR(_xlfn.XLOOKUP($D214,'Modelling New'!$D:$D,'Modelling New'!$O:$O),"")</f>
        <v>0.77775159972603525</v>
      </c>
      <c r="AF214" s="186">
        <f>IFERROR(_xlfn.XLOOKUP($D214,'Modelling New'!$D:$D,'Modelling New'!$W:$W),"")</f>
        <v>0.18513415095629143</v>
      </c>
      <c r="AG214" s="186">
        <f>IFERROR(_xlfn.XLOOKUP($D214,'Modelling New'!$D:$D,'Modelling New'!$AE:$AE),"")</f>
        <v>0.995</v>
      </c>
      <c r="AH214" s="186">
        <f>IFERROR(_xlfn.XLOOKUP($D214,'Modelling New'!$D:$D,'Modelling New'!$AF:$AF),"")</f>
        <v>0.995</v>
      </c>
      <c r="AI214" s="177"/>
      <c r="AJ214" s="177"/>
      <c r="AK214" s="238"/>
      <c r="AL214" s="238"/>
      <c r="AM214" s="238"/>
      <c r="AN214" s="187"/>
      <c r="AO214" s="184"/>
      <c r="AP214" s="184"/>
      <c r="AQ214" s="184"/>
      <c r="AR214" s="176">
        <f>IFERROR(_xlfn.XLOOKUP($D213,'Modelling New'!$D:$D,'Modelling New'!$N:$N),"")</f>
        <v>66.754999999999995</v>
      </c>
      <c r="AS214" s="176"/>
    </row>
    <row r="215" spans="1:45" x14ac:dyDescent="0.25">
      <c r="A215" s="175">
        <f t="shared" si="15"/>
        <v>45958</v>
      </c>
      <c r="B215" s="176">
        <f>YEAR(Table13[[#This Row],[Date]])+IF(MONTH(Table13[[#This Row],[Date]])&gt;=4,1,0)</f>
        <v>2026</v>
      </c>
      <c r="C215" s="177">
        <f>YEAR(Table13[[#This Row],[Date]])</f>
        <v>2025</v>
      </c>
      <c r="D215" s="178">
        <f>Table13[[#This Row],[Date]]-DAY(Table13[[#This Row],[Date]])+1</f>
        <v>45931</v>
      </c>
      <c r="E215" s="177">
        <f t="shared" si="12"/>
        <v>31</v>
      </c>
      <c r="F215" s="179" t="str">
        <f>IFERROR(_xlfn.XLOOKUP($A215,Raw_Data!$B:$B,Raw_Data!$KG:$KG),"")</f>
        <v/>
      </c>
      <c r="G215" s="180" t="str">
        <f>IFERROR(_xlfn.XLOOKUP($A215,Raw_Data!$B:$B,Raw_Data!KH:KH),"")</f>
        <v/>
      </c>
      <c r="H215" s="180"/>
      <c r="I215" s="180" t="str">
        <f>IFERROR(_xlfn.XLOOKUP($A215,Raw_Data!$B:$B,Raw_Data!$KI:$KI),"")</f>
        <v/>
      </c>
      <c r="J215" s="180"/>
      <c r="K215" s="180" t="str">
        <f>IFERROR(_xlfn.XLOOKUP($A215,Raw_Data!$B:$B,Raw_Data!KJ:KJ),"")</f>
        <v/>
      </c>
      <c r="L215" s="180" t="str">
        <f>IFERROR(_xlfn.XLOOKUP($A215,Raw_Data!$B:$B,Raw_Data!KK:KK),"")</f>
        <v/>
      </c>
      <c r="M215" s="180" t="str">
        <f>IFERROR(_xlfn.XLOOKUP($A215,Raw_Data!$B:$B,Raw_Data!KL:KL),"")</f>
        <v/>
      </c>
      <c r="N215" s="180" t="str">
        <f>IFERROR(_xlfn.XLOOKUP($A215,Raw_Data!$B:$B,Raw_Data!KM:KM),"")</f>
        <v/>
      </c>
      <c r="O215" s="181" t="str">
        <f>IFERROR(1-SUMIF(PA!$B:$B,$A215,PA!AJ:AJ)/($AA215+SUMIF(PA!$B:$B,$A215,PA!AJ:AJ)),"")</f>
        <v/>
      </c>
      <c r="P215" s="181"/>
      <c r="Q215" s="182"/>
      <c r="R215" s="181" t="str">
        <f>IFERROR(1-SUMIF(GA!$C:$C,$A215,GA!$X:$X)/($AA215+SUMIF(GA!$C:$C,$A215,GA!$X:$X)),"")</f>
        <v/>
      </c>
      <c r="S215" s="177"/>
      <c r="T215" s="182"/>
      <c r="U215" s="183" t="str">
        <f t="shared" si="13"/>
        <v/>
      </c>
      <c r="V215" s="183" t="str">
        <f>IFERROR(_xlfn.XLOOKUP($A215,Raw_Data!$B:$B,Raw_Data!$KQ:$KQ),"")</f>
        <v/>
      </c>
      <c r="W215" s="184" t="str">
        <f t="shared" si="14"/>
        <v/>
      </c>
      <c r="X215" s="176" t="str">
        <f>IFERROR(_xlfn.XLOOKUP($A215,Raw_Data!$B:$B,Raw_Data!$KN:$KN),"")</f>
        <v/>
      </c>
      <c r="Y215" s="176" t="str">
        <f>IFERROR(_xlfn.XLOOKUP($A215,Raw_Data!$B:$B,Raw_Data!$KC:$KC),"")</f>
        <v/>
      </c>
      <c r="Z215" s="176" t="str">
        <f>IFERROR(_xlfn.XLOOKUP($A215,Raw_Data!$B:$B,Raw_Data!$KD:$KD),"")</f>
        <v/>
      </c>
      <c r="AA215" s="176" t="str">
        <f>IFERROR(_xlfn.XLOOKUP($A215,Raw_Data!$B:$B,Raw_Data!$KF:$KF),"")</f>
        <v/>
      </c>
      <c r="AB215" s="176" t="str">
        <f>IFERROR(_xlfn.XLOOKUP($A215,Raw_Data!$B:$B,Raw_Data!I:I)/1000,"")</f>
        <v/>
      </c>
      <c r="AC215" s="185">
        <f>IFERROR(_xlfn.XLOOKUP($D215,'Modelling New'!$D:$D,'Modelling New'!$P:$P),"")</f>
        <v>5.7129032258064516</v>
      </c>
      <c r="AD215" s="176">
        <f>IFERROR(_xlfn.XLOOKUP($D215,'Modelling New'!$D:$D,'Modelling New'!$T:$T)*1000,"")</f>
        <v>296607.12593009364</v>
      </c>
      <c r="AE215" s="186">
        <f>IFERROR(_xlfn.XLOOKUP($D215,'Modelling New'!$D:$D,'Modelling New'!$O:$O),"")</f>
        <v>0.77775159972603525</v>
      </c>
      <c r="AF215" s="186">
        <f>IFERROR(_xlfn.XLOOKUP($D215,'Modelling New'!$D:$D,'Modelling New'!$W:$W),"")</f>
        <v>0.18513415095629143</v>
      </c>
      <c r="AG215" s="186">
        <f>IFERROR(_xlfn.XLOOKUP($D215,'Modelling New'!$D:$D,'Modelling New'!$AE:$AE),"")</f>
        <v>0.995</v>
      </c>
      <c r="AH215" s="186">
        <f>IFERROR(_xlfn.XLOOKUP($D215,'Modelling New'!$D:$D,'Modelling New'!$AF:$AF),"")</f>
        <v>0.995</v>
      </c>
      <c r="AI215" s="177"/>
      <c r="AJ215" s="177"/>
      <c r="AK215" s="238"/>
      <c r="AL215" s="238"/>
      <c r="AM215" s="238"/>
      <c r="AN215" s="187"/>
      <c r="AO215" s="184"/>
      <c r="AP215" s="184"/>
      <c r="AQ215" s="184"/>
      <c r="AR215" s="176">
        <f>IFERROR(_xlfn.XLOOKUP($D214,'Modelling New'!$D:$D,'Modelling New'!$N:$N),"")</f>
        <v>66.754999999999995</v>
      </c>
      <c r="AS215" s="176"/>
    </row>
    <row r="216" spans="1:45" x14ac:dyDescent="0.25">
      <c r="A216" s="175">
        <f t="shared" si="15"/>
        <v>45959</v>
      </c>
      <c r="B216" s="176">
        <f>YEAR(Table13[[#This Row],[Date]])+IF(MONTH(Table13[[#This Row],[Date]])&gt;=4,1,0)</f>
        <v>2026</v>
      </c>
      <c r="C216" s="177">
        <f>YEAR(Table13[[#This Row],[Date]])</f>
        <v>2025</v>
      </c>
      <c r="D216" s="178">
        <f>Table13[[#This Row],[Date]]-DAY(Table13[[#This Row],[Date]])+1</f>
        <v>45931</v>
      </c>
      <c r="E216" s="177">
        <f t="shared" si="12"/>
        <v>31</v>
      </c>
      <c r="F216" s="179" t="str">
        <f>IFERROR(_xlfn.XLOOKUP($A216,Raw_Data!$B:$B,Raw_Data!$KG:$KG),"")</f>
        <v/>
      </c>
      <c r="G216" s="180" t="str">
        <f>IFERROR(_xlfn.XLOOKUP($A216,Raw_Data!$B:$B,Raw_Data!KH:KH),"")</f>
        <v/>
      </c>
      <c r="H216" s="180"/>
      <c r="I216" s="180" t="str">
        <f>IFERROR(_xlfn.XLOOKUP($A216,Raw_Data!$B:$B,Raw_Data!$KI:$KI),"")</f>
        <v/>
      </c>
      <c r="J216" s="180"/>
      <c r="K216" s="180" t="str">
        <f>IFERROR(_xlfn.XLOOKUP($A216,Raw_Data!$B:$B,Raw_Data!KJ:KJ),"")</f>
        <v/>
      </c>
      <c r="L216" s="180" t="str">
        <f>IFERROR(_xlfn.XLOOKUP($A216,Raw_Data!$B:$B,Raw_Data!KK:KK),"")</f>
        <v/>
      </c>
      <c r="M216" s="180" t="str">
        <f>IFERROR(_xlfn.XLOOKUP($A216,Raw_Data!$B:$B,Raw_Data!KL:KL),"")</f>
        <v/>
      </c>
      <c r="N216" s="180" t="str">
        <f>IFERROR(_xlfn.XLOOKUP($A216,Raw_Data!$B:$B,Raw_Data!KM:KM),"")</f>
        <v/>
      </c>
      <c r="O216" s="181" t="str">
        <f>IFERROR(1-SUMIF(PA!$B:$B,$A216,PA!AJ:AJ)/($AA216+SUMIF(PA!$B:$B,$A216,PA!AJ:AJ)),"")</f>
        <v/>
      </c>
      <c r="P216" s="181"/>
      <c r="Q216" s="182"/>
      <c r="R216" s="181" t="str">
        <f>IFERROR(1-SUMIF(GA!$C:$C,$A216,GA!$X:$X)/($AA216+SUMIF(GA!$C:$C,$A216,GA!$X:$X)),"")</f>
        <v/>
      </c>
      <c r="S216" s="177"/>
      <c r="T216" s="182"/>
      <c r="U216" s="183" t="str">
        <f t="shared" si="13"/>
        <v/>
      </c>
      <c r="V216" s="183" t="str">
        <f>IFERROR(_xlfn.XLOOKUP($A216,Raw_Data!$B:$B,Raw_Data!$KQ:$KQ),"")</f>
        <v/>
      </c>
      <c r="W216" s="184" t="str">
        <f t="shared" si="14"/>
        <v/>
      </c>
      <c r="X216" s="176" t="str">
        <f>IFERROR(_xlfn.XLOOKUP($A216,Raw_Data!$B:$B,Raw_Data!$KN:$KN),"")</f>
        <v/>
      </c>
      <c r="Y216" s="176" t="str">
        <f>IFERROR(_xlfn.XLOOKUP($A216,Raw_Data!$B:$B,Raw_Data!$KC:$KC),"")</f>
        <v/>
      </c>
      <c r="Z216" s="176" t="str">
        <f>IFERROR(_xlfn.XLOOKUP($A216,Raw_Data!$B:$B,Raw_Data!$KD:$KD),"")</f>
        <v/>
      </c>
      <c r="AA216" s="176" t="str">
        <f>IFERROR(_xlfn.XLOOKUP($A216,Raw_Data!$B:$B,Raw_Data!$KF:$KF),"")</f>
        <v/>
      </c>
      <c r="AB216" s="176" t="str">
        <f>IFERROR(_xlfn.XLOOKUP($A216,Raw_Data!$B:$B,Raw_Data!I:I)/1000,"")</f>
        <v/>
      </c>
      <c r="AC216" s="185">
        <f>IFERROR(_xlfn.XLOOKUP($D216,'Modelling New'!$D:$D,'Modelling New'!$P:$P),"")</f>
        <v>5.7129032258064516</v>
      </c>
      <c r="AD216" s="176">
        <f>IFERROR(_xlfn.XLOOKUP($D216,'Modelling New'!$D:$D,'Modelling New'!$T:$T)*1000,"")</f>
        <v>296607.12593009364</v>
      </c>
      <c r="AE216" s="186">
        <f>IFERROR(_xlfn.XLOOKUP($D216,'Modelling New'!$D:$D,'Modelling New'!$O:$O),"")</f>
        <v>0.77775159972603525</v>
      </c>
      <c r="AF216" s="186">
        <f>IFERROR(_xlfn.XLOOKUP($D216,'Modelling New'!$D:$D,'Modelling New'!$W:$W),"")</f>
        <v>0.18513415095629143</v>
      </c>
      <c r="AG216" s="186">
        <f>IFERROR(_xlfn.XLOOKUP($D216,'Modelling New'!$D:$D,'Modelling New'!$AE:$AE),"")</f>
        <v>0.995</v>
      </c>
      <c r="AH216" s="186">
        <f>IFERROR(_xlfn.XLOOKUP($D216,'Modelling New'!$D:$D,'Modelling New'!$AF:$AF),"")</f>
        <v>0.995</v>
      </c>
      <c r="AI216" s="177"/>
      <c r="AJ216" s="177"/>
      <c r="AK216" s="238"/>
      <c r="AL216" s="238"/>
      <c r="AM216" s="238"/>
      <c r="AN216" s="187"/>
      <c r="AO216" s="184"/>
      <c r="AP216" s="184"/>
      <c r="AQ216" s="184"/>
      <c r="AR216" s="176">
        <f>IFERROR(_xlfn.XLOOKUP($D215,'Modelling New'!$D:$D,'Modelling New'!$N:$N),"")</f>
        <v>66.754999999999995</v>
      </c>
      <c r="AS216" s="176"/>
    </row>
    <row r="217" spans="1:45" x14ac:dyDescent="0.25">
      <c r="A217" s="175">
        <f t="shared" si="15"/>
        <v>45960</v>
      </c>
      <c r="B217" s="176">
        <f>YEAR(Table13[[#This Row],[Date]])+IF(MONTH(Table13[[#This Row],[Date]])&gt;=4,1,0)</f>
        <v>2026</v>
      </c>
      <c r="C217" s="177">
        <f>YEAR(Table13[[#This Row],[Date]])</f>
        <v>2025</v>
      </c>
      <c r="D217" s="178">
        <f>Table13[[#This Row],[Date]]-DAY(Table13[[#This Row],[Date]])+1</f>
        <v>45931</v>
      </c>
      <c r="E217" s="177">
        <f t="shared" si="12"/>
        <v>31</v>
      </c>
      <c r="F217" s="179" t="str">
        <f>IFERROR(_xlfn.XLOOKUP($A217,Raw_Data!$B:$B,Raw_Data!$KG:$KG),"")</f>
        <v/>
      </c>
      <c r="G217" s="180" t="str">
        <f>IFERROR(_xlfn.XLOOKUP($A217,Raw_Data!$B:$B,Raw_Data!KH:KH),"")</f>
        <v/>
      </c>
      <c r="H217" s="180"/>
      <c r="I217" s="180" t="str">
        <f>IFERROR(_xlfn.XLOOKUP($A217,Raw_Data!$B:$B,Raw_Data!$KI:$KI),"")</f>
        <v/>
      </c>
      <c r="J217" s="180"/>
      <c r="K217" s="180" t="str">
        <f>IFERROR(_xlfn.XLOOKUP($A217,Raw_Data!$B:$B,Raw_Data!KJ:KJ),"")</f>
        <v/>
      </c>
      <c r="L217" s="180" t="str">
        <f>IFERROR(_xlfn.XLOOKUP($A217,Raw_Data!$B:$B,Raw_Data!KK:KK),"")</f>
        <v/>
      </c>
      <c r="M217" s="180" t="str">
        <f>IFERROR(_xlfn.XLOOKUP($A217,Raw_Data!$B:$B,Raw_Data!KL:KL),"")</f>
        <v/>
      </c>
      <c r="N217" s="180" t="str">
        <f>IFERROR(_xlfn.XLOOKUP($A217,Raw_Data!$B:$B,Raw_Data!KM:KM),"")</f>
        <v/>
      </c>
      <c r="O217" s="181" t="str">
        <f>IFERROR(1-SUMIF(PA!$B:$B,$A217,PA!AJ:AJ)/($AA217+SUMIF(PA!$B:$B,$A217,PA!AJ:AJ)),"")</f>
        <v/>
      </c>
      <c r="P217" s="181"/>
      <c r="Q217" s="182"/>
      <c r="R217" s="181" t="str">
        <f>IFERROR(1-SUMIF(GA!$C:$C,$A217,GA!$X:$X)/($AA217+SUMIF(GA!$C:$C,$A217,GA!$X:$X)),"")</f>
        <v/>
      </c>
      <c r="S217" s="177"/>
      <c r="T217" s="182"/>
      <c r="U217" s="183" t="str">
        <f t="shared" si="13"/>
        <v/>
      </c>
      <c r="V217" s="183" t="str">
        <f>IFERROR(_xlfn.XLOOKUP($A217,Raw_Data!$B:$B,Raw_Data!$KQ:$KQ),"")</f>
        <v/>
      </c>
      <c r="W217" s="184" t="str">
        <f t="shared" si="14"/>
        <v/>
      </c>
      <c r="X217" s="176" t="str">
        <f>IFERROR(_xlfn.XLOOKUP($A217,Raw_Data!$B:$B,Raw_Data!$KN:$KN),"")</f>
        <v/>
      </c>
      <c r="Y217" s="176" t="str">
        <f>IFERROR(_xlfn.XLOOKUP($A217,Raw_Data!$B:$B,Raw_Data!$KC:$KC),"")</f>
        <v/>
      </c>
      <c r="Z217" s="176" t="str">
        <f>IFERROR(_xlfn.XLOOKUP($A217,Raw_Data!$B:$B,Raw_Data!$KD:$KD),"")</f>
        <v/>
      </c>
      <c r="AA217" s="176" t="str">
        <f>IFERROR(_xlfn.XLOOKUP($A217,Raw_Data!$B:$B,Raw_Data!$KF:$KF),"")</f>
        <v/>
      </c>
      <c r="AB217" s="176" t="str">
        <f>IFERROR(_xlfn.XLOOKUP($A217,Raw_Data!$B:$B,Raw_Data!I:I)/1000,"")</f>
        <v/>
      </c>
      <c r="AC217" s="185">
        <f>IFERROR(_xlfn.XLOOKUP($D217,'Modelling New'!$D:$D,'Modelling New'!$P:$P),"")</f>
        <v>5.7129032258064516</v>
      </c>
      <c r="AD217" s="176">
        <f>IFERROR(_xlfn.XLOOKUP($D217,'Modelling New'!$D:$D,'Modelling New'!$T:$T)*1000,"")</f>
        <v>296607.12593009364</v>
      </c>
      <c r="AE217" s="186">
        <f>IFERROR(_xlfn.XLOOKUP($D217,'Modelling New'!$D:$D,'Modelling New'!$O:$O),"")</f>
        <v>0.77775159972603525</v>
      </c>
      <c r="AF217" s="186">
        <f>IFERROR(_xlfn.XLOOKUP($D217,'Modelling New'!$D:$D,'Modelling New'!$W:$W),"")</f>
        <v>0.18513415095629143</v>
      </c>
      <c r="AG217" s="186">
        <f>IFERROR(_xlfn.XLOOKUP($D217,'Modelling New'!$D:$D,'Modelling New'!$AE:$AE),"")</f>
        <v>0.995</v>
      </c>
      <c r="AH217" s="186">
        <f>IFERROR(_xlfn.XLOOKUP($D217,'Modelling New'!$D:$D,'Modelling New'!$AF:$AF),"")</f>
        <v>0.995</v>
      </c>
      <c r="AI217" s="177"/>
      <c r="AJ217" s="177"/>
      <c r="AK217" s="238"/>
      <c r="AL217" s="238"/>
      <c r="AM217" s="238"/>
      <c r="AN217" s="187"/>
      <c r="AO217" s="184"/>
      <c r="AP217" s="184"/>
      <c r="AQ217" s="184"/>
      <c r="AR217" s="176">
        <f>IFERROR(_xlfn.XLOOKUP($D216,'Modelling New'!$D:$D,'Modelling New'!$N:$N),"")</f>
        <v>66.754999999999995</v>
      </c>
      <c r="AS217" s="176"/>
    </row>
    <row r="218" spans="1:45" x14ac:dyDescent="0.25">
      <c r="A218" s="175">
        <f t="shared" si="15"/>
        <v>45961</v>
      </c>
      <c r="B218" s="176">
        <f>YEAR(Table13[[#This Row],[Date]])+IF(MONTH(Table13[[#This Row],[Date]])&gt;=4,1,0)</f>
        <v>2026</v>
      </c>
      <c r="C218" s="177">
        <f>YEAR(Table13[[#This Row],[Date]])</f>
        <v>2025</v>
      </c>
      <c r="D218" s="178">
        <f>Table13[[#This Row],[Date]]-DAY(Table13[[#This Row],[Date]])+1</f>
        <v>45931</v>
      </c>
      <c r="E218" s="177">
        <f t="shared" si="12"/>
        <v>31</v>
      </c>
      <c r="F218" s="179" t="str">
        <f>IFERROR(_xlfn.XLOOKUP($A218,Raw_Data!$B:$B,Raw_Data!$KG:$KG),"")</f>
        <v/>
      </c>
      <c r="G218" s="180" t="str">
        <f>IFERROR(_xlfn.XLOOKUP($A218,Raw_Data!$B:$B,Raw_Data!KH:KH),"")</f>
        <v/>
      </c>
      <c r="H218" s="180"/>
      <c r="I218" s="180" t="str">
        <f>IFERROR(_xlfn.XLOOKUP($A218,Raw_Data!$B:$B,Raw_Data!$KI:$KI),"")</f>
        <v/>
      </c>
      <c r="J218" s="180"/>
      <c r="K218" s="180" t="str">
        <f>IFERROR(_xlfn.XLOOKUP($A218,Raw_Data!$B:$B,Raw_Data!KJ:KJ),"")</f>
        <v/>
      </c>
      <c r="L218" s="180" t="str">
        <f>IFERROR(_xlfn.XLOOKUP($A218,Raw_Data!$B:$B,Raw_Data!KK:KK),"")</f>
        <v/>
      </c>
      <c r="M218" s="180" t="str">
        <f>IFERROR(_xlfn.XLOOKUP($A218,Raw_Data!$B:$B,Raw_Data!KL:KL),"")</f>
        <v/>
      </c>
      <c r="N218" s="180" t="str">
        <f>IFERROR(_xlfn.XLOOKUP($A218,Raw_Data!$B:$B,Raw_Data!KM:KM),"")</f>
        <v/>
      </c>
      <c r="O218" s="181" t="str">
        <f>IFERROR(1-SUMIF(PA!$B:$B,$A218,PA!AJ:AJ)/($AA218+SUMIF(PA!$B:$B,$A218,PA!AJ:AJ)),"")</f>
        <v/>
      </c>
      <c r="P218" s="181"/>
      <c r="Q218" s="182"/>
      <c r="R218" s="181" t="str">
        <f>IFERROR(1-SUMIF(GA!$C:$C,$A218,GA!$X:$X)/($AA218+SUMIF(GA!$C:$C,$A218,GA!$X:$X)),"")</f>
        <v/>
      </c>
      <c r="S218" s="177"/>
      <c r="T218" s="182"/>
      <c r="U218" s="183" t="str">
        <f t="shared" si="13"/>
        <v/>
      </c>
      <c r="V218" s="183" t="str">
        <f>IFERROR(_xlfn.XLOOKUP($A218,Raw_Data!$B:$B,Raw_Data!$KQ:$KQ),"")</f>
        <v/>
      </c>
      <c r="W218" s="184" t="str">
        <f t="shared" si="14"/>
        <v/>
      </c>
      <c r="X218" s="176" t="str">
        <f>IFERROR(_xlfn.XLOOKUP($A218,Raw_Data!$B:$B,Raw_Data!$KN:$KN),"")</f>
        <v/>
      </c>
      <c r="Y218" s="176" t="str">
        <f>IFERROR(_xlfn.XLOOKUP($A218,Raw_Data!$B:$B,Raw_Data!$KC:$KC),"")</f>
        <v/>
      </c>
      <c r="Z218" s="176" t="str">
        <f>IFERROR(_xlfn.XLOOKUP($A218,Raw_Data!$B:$B,Raw_Data!$KD:$KD),"")</f>
        <v/>
      </c>
      <c r="AA218" s="176" t="str">
        <f>IFERROR(_xlfn.XLOOKUP($A218,Raw_Data!$B:$B,Raw_Data!$KF:$KF),"")</f>
        <v/>
      </c>
      <c r="AB218" s="176" t="str">
        <f>IFERROR(_xlfn.XLOOKUP($A218,Raw_Data!$B:$B,Raw_Data!I:I)/1000,"")</f>
        <v/>
      </c>
      <c r="AC218" s="185">
        <f>IFERROR(_xlfn.XLOOKUP($D218,'Modelling New'!$D:$D,'Modelling New'!$P:$P),"")</f>
        <v>5.7129032258064516</v>
      </c>
      <c r="AD218" s="176">
        <f>IFERROR(_xlfn.XLOOKUP($D218,'Modelling New'!$D:$D,'Modelling New'!$T:$T)*1000,"")</f>
        <v>296607.12593009364</v>
      </c>
      <c r="AE218" s="186">
        <f>IFERROR(_xlfn.XLOOKUP($D218,'Modelling New'!$D:$D,'Modelling New'!$O:$O),"")</f>
        <v>0.77775159972603525</v>
      </c>
      <c r="AF218" s="186">
        <f>IFERROR(_xlfn.XLOOKUP($D218,'Modelling New'!$D:$D,'Modelling New'!$W:$W),"")</f>
        <v>0.18513415095629143</v>
      </c>
      <c r="AG218" s="186">
        <f>IFERROR(_xlfn.XLOOKUP($D218,'Modelling New'!$D:$D,'Modelling New'!$AE:$AE),"")</f>
        <v>0.995</v>
      </c>
      <c r="AH218" s="186">
        <f>IFERROR(_xlfn.XLOOKUP($D218,'Modelling New'!$D:$D,'Modelling New'!$AF:$AF),"")</f>
        <v>0.995</v>
      </c>
      <c r="AI218" s="177"/>
      <c r="AJ218" s="177"/>
      <c r="AK218" s="238"/>
      <c r="AL218" s="238"/>
      <c r="AM218" s="238"/>
      <c r="AN218" s="187"/>
      <c r="AO218" s="184"/>
      <c r="AP218" s="184"/>
      <c r="AQ218" s="184"/>
      <c r="AR218" s="176">
        <f>IFERROR(_xlfn.XLOOKUP($D217,'Modelling New'!$D:$D,'Modelling New'!$N:$N),"")</f>
        <v>66.754999999999995</v>
      </c>
      <c r="AS218" s="176"/>
    </row>
    <row r="219" spans="1:45" x14ac:dyDescent="0.25">
      <c r="A219" s="175">
        <f t="shared" si="15"/>
        <v>45962</v>
      </c>
      <c r="B219" s="176">
        <f>YEAR(Table13[[#This Row],[Date]])+IF(MONTH(Table13[[#This Row],[Date]])&gt;=4,1,0)</f>
        <v>2026</v>
      </c>
      <c r="C219" s="177">
        <f>YEAR(Table13[[#This Row],[Date]])</f>
        <v>2025</v>
      </c>
      <c r="D219" s="178">
        <f>Table13[[#This Row],[Date]]-DAY(Table13[[#This Row],[Date]])+1</f>
        <v>45962</v>
      </c>
      <c r="E219" s="177">
        <f t="shared" si="12"/>
        <v>30</v>
      </c>
      <c r="F219" s="179" t="str">
        <f>IFERROR(_xlfn.XLOOKUP($A219,Raw_Data!$B:$B,Raw_Data!$KG:$KG),"")</f>
        <v/>
      </c>
      <c r="G219" s="180" t="str">
        <f>IFERROR(_xlfn.XLOOKUP($A219,Raw_Data!$B:$B,Raw_Data!KH:KH),"")</f>
        <v/>
      </c>
      <c r="H219" s="180"/>
      <c r="I219" s="180" t="str">
        <f>IFERROR(_xlfn.XLOOKUP($A219,Raw_Data!$B:$B,Raw_Data!$KI:$KI),"")</f>
        <v/>
      </c>
      <c r="J219" s="180"/>
      <c r="K219" s="180" t="str">
        <f>IFERROR(_xlfn.XLOOKUP($A219,Raw_Data!$B:$B,Raw_Data!KJ:KJ),"")</f>
        <v/>
      </c>
      <c r="L219" s="180" t="str">
        <f>IFERROR(_xlfn.XLOOKUP($A219,Raw_Data!$B:$B,Raw_Data!KK:KK),"")</f>
        <v/>
      </c>
      <c r="M219" s="180" t="str">
        <f>IFERROR(_xlfn.XLOOKUP($A219,Raw_Data!$B:$B,Raw_Data!KL:KL),"")</f>
        <v/>
      </c>
      <c r="N219" s="180" t="str">
        <f>IFERROR(_xlfn.XLOOKUP($A219,Raw_Data!$B:$B,Raw_Data!KM:KM),"")</f>
        <v/>
      </c>
      <c r="O219" s="181" t="str">
        <f>IFERROR(1-SUMIF(PA!$B:$B,$A219,PA!AJ:AJ)/($AA219+SUMIF(PA!$B:$B,$A219,PA!AJ:AJ)),"")</f>
        <v/>
      </c>
      <c r="P219" s="181"/>
      <c r="Q219" s="182"/>
      <c r="R219" s="181" t="str">
        <f>IFERROR(1-SUMIF(GA!$C:$C,$A219,GA!$X:$X)/($AA219+SUMIF(GA!$C:$C,$A219,GA!$X:$X)),"")</f>
        <v/>
      </c>
      <c r="S219" s="177"/>
      <c r="T219" s="182"/>
      <c r="U219" s="183" t="str">
        <f t="shared" si="13"/>
        <v/>
      </c>
      <c r="V219" s="183" t="str">
        <f>IFERROR(_xlfn.XLOOKUP($A219,Raw_Data!$B:$B,Raw_Data!$KQ:$KQ),"")</f>
        <v/>
      </c>
      <c r="W219" s="184" t="str">
        <f t="shared" si="14"/>
        <v/>
      </c>
      <c r="X219" s="176" t="str">
        <f>IFERROR(_xlfn.XLOOKUP($A219,Raw_Data!$B:$B,Raw_Data!$KN:$KN),"")</f>
        <v/>
      </c>
      <c r="Y219" s="176" t="str">
        <f>IFERROR(_xlfn.XLOOKUP($A219,Raw_Data!$B:$B,Raw_Data!$KC:$KC),"")</f>
        <v/>
      </c>
      <c r="Z219" s="176" t="str">
        <f>IFERROR(_xlfn.XLOOKUP($A219,Raw_Data!$B:$B,Raw_Data!$KD:$KD),"")</f>
        <v/>
      </c>
      <c r="AA219" s="176" t="str">
        <f>IFERROR(_xlfn.XLOOKUP($A219,Raw_Data!$B:$B,Raw_Data!$KF:$KF),"")</f>
        <v/>
      </c>
      <c r="AB219" s="176" t="str">
        <f>IFERROR(_xlfn.XLOOKUP($A219,Raw_Data!$B:$B,Raw_Data!I:I)/1000,"")</f>
        <v/>
      </c>
      <c r="AC219" s="185">
        <f>IFERROR(_xlfn.XLOOKUP($D219,'Modelling New'!$D:$D,'Modelling New'!$P:$P),"")</f>
        <v>4.8166666666666664</v>
      </c>
      <c r="AD219" s="176">
        <f>IFERROR(_xlfn.XLOOKUP($D219,'Modelling New'!$D:$D,'Modelling New'!$T:$T)*1000,"")</f>
        <v>257094.44156617543</v>
      </c>
      <c r="AE219" s="186">
        <f>IFERROR(_xlfn.XLOOKUP($D219,'Modelling New'!$D:$D,'Modelling New'!$O:$O),"")</f>
        <v>0.79958068503716273</v>
      </c>
      <c r="AF219" s="186">
        <f>IFERROR(_xlfn.XLOOKUP($D219,'Modelling New'!$D:$D,'Modelling New'!$W:$W),"")</f>
        <v>0.16047140137204169</v>
      </c>
      <c r="AG219" s="186">
        <f>IFERROR(_xlfn.XLOOKUP($D219,'Modelling New'!$D:$D,'Modelling New'!$AE:$AE),"")</f>
        <v>0.995</v>
      </c>
      <c r="AH219" s="186">
        <f>IFERROR(_xlfn.XLOOKUP($D219,'Modelling New'!$D:$D,'Modelling New'!$AF:$AF),"")</f>
        <v>0.995</v>
      </c>
      <c r="AI219" s="177"/>
      <c r="AJ219" s="177"/>
      <c r="AK219" s="238"/>
      <c r="AL219" s="238"/>
      <c r="AM219" s="238"/>
      <c r="AN219" s="187"/>
      <c r="AO219" s="184"/>
      <c r="AP219" s="184"/>
      <c r="AQ219" s="184"/>
      <c r="AR219" s="176">
        <f>IFERROR(_xlfn.XLOOKUP($D218,'Modelling New'!$D:$D,'Modelling New'!$N:$N),"")</f>
        <v>66.754999999999995</v>
      </c>
      <c r="AS219" s="176"/>
    </row>
    <row r="220" spans="1:45" x14ac:dyDescent="0.25">
      <c r="A220" s="175">
        <f t="shared" si="15"/>
        <v>45963</v>
      </c>
      <c r="B220" s="176">
        <f>YEAR(Table13[[#This Row],[Date]])+IF(MONTH(Table13[[#This Row],[Date]])&gt;=4,1,0)</f>
        <v>2026</v>
      </c>
      <c r="C220" s="177">
        <f>YEAR(Table13[[#This Row],[Date]])</f>
        <v>2025</v>
      </c>
      <c r="D220" s="178">
        <f>Table13[[#This Row],[Date]]-DAY(Table13[[#This Row],[Date]])+1</f>
        <v>45962</v>
      </c>
      <c r="E220" s="177">
        <f t="shared" si="12"/>
        <v>30</v>
      </c>
      <c r="F220" s="179" t="str">
        <f>IFERROR(_xlfn.XLOOKUP($A220,Raw_Data!$B:$B,Raw_Data!$KG:$KG),"")</f>
        <v/>
      </c>
      <c r="G220" s="180" t="str">
        <f>IFERROR(_xlfn.XLOOKUP($A220,Raw_Data!$B:$B,Raw_Data!KH:KH),"")</f>
        <v/>
      </c>
      <c r="H220" s="180"/>
      <c r="I220" s="180" t="str">
        <f>IFERROR(_xlfn.XLOOKUP($A220,Raw_Data!$B:$B,Raw_Data!$KI:$KI),"")</f>
        <v/>
      </c>
      <c r="J220" s="180"/>
      <c r="K220" s="180" t="str">
        <f>IFERROR(_xlfn.XLOOKUP($A220,Raw_Data!$B:$B,Raw_Data!KJ:KJ),"")</f>
        <v/>
      </c>
      <c r="L220" s="180" t="str">
        <f>IFERROR(_xlfn.XLOOKUP($A220,Raw_Data!$B:$B,Raw_Data!KK:KK),"")</f>
        <v/>
      </c>
      <c r="M220" s="180" t="str">
        <f>IFERROR(_xlfn.XLOOKUP($A220,Raw_Data!$B:$B,Raw_Data!KL:KL),"")</f>
        <v/>
      </c>
      <c r="N220" s="180" t="str">
        <f>IFERROR(_xlfn.XLOOKUP($A220,Raw_Data!$B:$B,Raw_Data!KM:KM),"")</f>
        <v/>
      </c>
      <c r="O220" s="181" t="str">
        <f>IFERROR(1-SUMIF(PA!$B:$B,$A220,PA!AJ:AJ)/($AA220+SUMIF(PA!$B:$B,$A220,PA!AJ:AJ)),"")</f>
        <v/>
      </c>
      <c r="P220" s="181"/>
      <c r="Q220" s="182"/>
      <c r="R220" s="181" t="str">
        <f>IFERROR(1-SUMIF(GA!$C:$C,$A220,GA!$X:$X)/($AA220+SUMIF(GA!$C:$C,$A220,GA!$X:$X)),"")</f>
        <v/>
      </c>
      <c r="S220" s="177"/>
      <c r="T220" s="182"/>
      <c r="U220" s="183" t="str">
        <f t="shared" si="13"/>
        <v/>
      </c>
      <c r="V220" s="183" t="str">
        <f>IFERROR(_xlfn.XLOOKUP($A220,Raw_Data!$B:$B,Raw_Data!$KQ:$KQ),"")</f>
        <v/>
      </c>
      <c r="W220" s="184" t="str">
        <f t="shared" si="14"/>
        <v/>
      </c>
      <c r="X220" s="176" t="str">
        <f>IFERROR(_xlfn.XLOOKUP($A220,Raw_Data!$B:$B,Raw_Data!$KN:$KN),"")</f>
        <v/>
      </c>
      <c r="Y220" s="176" t="str">
        <f>IFERROR(_xlfn.XLOOKUP($A220,Raw_Data!$B:$B,Raw_Data!$KC:$KC),"")</f>
        <v/>
      </c>
      <c r="Z220" s="176" t="str">
        <f>IFERROR(_xlfn.XLOOKUP($A220,Raw_Data!$B:$B,Raw_Data!$KD:$KD),"")</f>
        <v/>
      </c>
      <c r="AA220" s="176" t="str">
        <f>IFERROR(_xlfn.XLOOKUP($A220,Raw_Data!$B:$B,Raw_Data!$KF:$KF),"")</f>
        <v/>
      </c>
      <c r="AB220" s="176" t="str">
        <f>IFERROR(_xlfn.XLOOKUP($A220,Raw_Data!$B:$B,Raw_Data!I:I)/1000,"")</f>
        <v/>
      </c>
      <c r="AC220" s="185">
        <f>IFERROR(_xlfn.XLOOKUP($D220,'Modelling New'!$D:$D,'Modelling New'!$P:$P),"")</f>
        <v>4.8166666666666664</v>
      </c>
      <c r="AD220" s="176">
        <f>IFERROR(_xlfn.XLOOKUP($D220,'Modelling New'!$D:$D,'Modelling New'!$T:$T)*1000,"")</f>
        <v>257094.44156617543</v>
      </c>
      <c r="AE220" s="186">
        <f>IFERROR(_xlfn.XLOOKUP($D220,'Modelling New'!$D:$D,'Modelling New'!$O:$O),"")</f>
        <v>0.79958068503716273</v>
      </c>
      <c r="AF220" s="186">
        <f>IFERROR(_xlfn.XLOOKUP($D220,'Modelling New'!$D:$D,'Modelling New'!$W:$W),"")</f>
        <v>0.16047140137204169</v>
      </c>
      <c r="AG220" s="186">
        <f>IFERROR(_xlfn.XLOOKUP($D220,'Modelling New'!$D:$D,'Modelling New'!$AE:$AE),"")</f>
        <v>0.995</v>
      </c>
      <c r="AH220" s="186">
        <f>IFERROR(_xlfn.XLOOKUP($D220,'Modelling New'!$D:$D,'Modelling New'!$AF:$AF),"")</f>
        <v>0.995</v>
      </c>
      <c r="AI220" s="177"/>
      <c r="AJ220" s="177"/>
      <c r="AK220" s="238"/>
      <c r="AL220" s="238"/>
      <c r="AM220" s="238"/>
      <c r="AN220" s="187"/>
      <c r="AO220" s="184"/>
      <c r="AP220" s="184"/>
      <c r="AQ220" s="184"/>
      <c r="AR220" s="176">
        <f>IFERROR(_xlfn.XLOOKUP($D219,'Modelling New'!$D:$D,'Modelling New'!$N:$N),"")</f>
        <v>66.754999999999995</v>
      </c>
      <c r="AS220" s="176"/>
    </row>
    <row r="221" spans="1:45" x14ac:dyDescent="0.25">
      <c r="A221" s="175">
        <f t="shared" si="15"/>
        <v>45964</v>
      </c>
      <c r="B221" s="176">
        <f>YEAR(Table13[[#This Row],[Date]])+IF(MONTH(Table13[[#This Row],[Date]])&gt;=4,1,0)</f>
        <v>2026</v>
      </c>
      <c r="C221" s="177">
        <f>YEAR(Table13[[#This Row],[Date]])</f>
        <v>2025</v>
      </c>
      <c r="D221" s="178">
        <f>Table13[[#This Row],[Date]]-DAY(Table13[[#This Row],[Date]])+1</f>
        <v>45962</v>
      </c>
      <c r="E221" s="177">
        <f t="shared" si="12"/>
        <v>30</v>
      </c>
      <c r="F221" s="179" t="str">
        <f>IFERROR(_xlfn.XLOOKUP($A221,Raw_Data!$B:$B,Raw_Data!$KG:$KG),"")</f>
        <v/>
      </c>
      <c r="G221" s="180" t="str">
        <f>IFERROR(_xlfn.XLOOKUP($A221,Raw_Data!$B:$B,Raw_Data!KH:KH),"")</f>
        <v/>
      </c>
      <c r="H221" s="180"/>
      <c r="I221" s="180" t="str">
        <f>IFERROR(_xlfn.XLOOKUP($A221,Raw_Data!$B:$B,Raw_Data!$KI:$KI),"")</f>
        <v/>
      </c>
      <c r="J221" s="180"/>
      <c r="K221" s="180" t="str">
        <f>IFERROR(_xlfn.XLOOKUP($A221,Raw_Data!$B:$B,Raw_Data!KJ:KJ),"")</f>
        <v/>
      </c>
      <c r="L221" s="180" t="str">
        <f>IFERROR(_xlfn.XLOOKUP($A221,Raw_Data!$B:$B,Raw_Data!KK:KK),"")</f>
        <v/>
      </c>
      <c r="M221" s="180" t="str">
        <f>IFERROR(_xlfn.XLOOKUP($A221,Raw_Data!$B:$B,Raw_Data!KL:KL),"")</f>
        <v/>
      </c>
      <c r="N221" s="180" t="str">
        <f>IFERROR(_xlfn.XLOOKUP($A221,Raw_Data!$B:$B,Raw_Data!KM:KM),"")</f>
        <v/>
      </c>
      <c r="O221" s="181" t="str">
        <f>IFERROR(1-SUMIF(PA!$B:$B,$A221,PA!AJ:AJ)/($AA221+SUMIF(PA!$B:$B,$A221,PA!AJ:AJ)),"")</f>
        <v/>
      </c>
      <c r="P221" s="181"/>
      <c r="Q221" s="182"/>
      <c r="R221" s="181" t="str">
        <f>IFERROR(1-SUMIF(GA!$C:$C,$A221,GA!$X:$X)/($AA221+SUMIF(GA!$C:$C,$A221,GA!$X:$X)),"")</f>
        <v/>
      </c>
      <c r="S221" s="177"/>
      <c r="T221" s="182"/>
      <c r="U221" s="183" t="str">
        <f t="shared" si="13"/>
        <v/>
      </c>
      <c r="V221" s="183" t="str">
        <f>IFERROR(_xlfn.XLOOKUP($A221,Raw_Data!$B:$B,Raw_Data!$KQ:$KQ),"")</f>
        <v/>
      </c>
      <c r="W221" s="184" t="str">
        <f t="shared" si="14"/>
        <v/>
      </c>
      <c r="X221" s="176" t="str">
        <f>IFERROR(_xlfn.XLOOKUP($A221,Raw_Data!$B:$B,Raw_Data!$KN:$KN),"")</f>
        <v/>
      </c>
      <c r="Y221" s="176" t="str">
        <f>IFERROR(_xlfn.XLOOKUP($A221,Raw_Data!$B:$B,Raw_Data!$KC:$KC),"")</f>
        <v/>
      </c>
      <c r="Z221" s="176" t="str">
        <f>IFERROR(_xlfn.XLOOKUP($A221,Raw_Data!$B:$B,Raw_Data!$KD:$KD),"")</f>
        <v/>
      </c>
      <c r="AA221" s="176" t="str">
        <f>IFERROR(_xlfn.XLOOKUP($A221,Raw_Data!$B:$B,Raw_Data!$KF:$KF),"")</f>
        <v/>
      </c>
      <c r="AB221" s="176" t="str">
        <f>IFERROR(_xlfn.XLOOKUP($A221,Raw_Data!$B:$B,Raw_Data!I:I)/1000,"")</f>
        <v/>
      </c>
      <c r="AC221" s="185">
        <f>IFERROR(_xlfn.XLOOKUP($D221,'Modelling New'!$D:$D,'Modelling New'!$P:$P),"")</f>
        <v>4.8166666666666664</v>
      </c>
      <c r="AD221" s="176">
        <f>IFERROR(_xlfn.XLOOKUP($D221,'Modelling New'!$D:$D,'Modelling New'!$T:$T)*1000,"")</f>
        <v>257094.44156617543</v>
      </c>
      <c r="AE221" s="186">
        <f>IFERROR(_xlfn.XLOOKUP($D221,'Modelling New'!$D:$D,'Modelling New'!$O:$O),"")</f>
        <v>0.79958068503716273</v>
      </c>
      <c r="AF221" s="186">
        <f>IFERROR(_xlfn.XLOOKUP($D221,'Modelling New'!$D:$D,'Modelling New'!$W:$W),"")</f>
        <v>0.16047140137204169</v>
      </c>
      <c r="AG221" s="186">
        <f>IFERROR(_xlfn.XLOOKUP($D221,'Modelling New'!$D:$D,'Modelling New'!$AE:$AE),"")</f>
        <v>0.995</v>
      </c>
      <c r="AH221" s="186">
        <f>IFERROR(_xlfn.XLOOKUP($D221,'Modelling New'!$D:$D,'Modelling New'!$AF:$AF),"")</f>
        <v>0.995</v>
      </c>
      <c r="AI221" s="177"/>
      <c r="AJ221" s="177"/>
      <c r="AK221" s="238"/>
      <c r="AL221" s="238"/>
      <c r="AM221" s="238"/>
      <c r="AN221" s="187"/>
      <c r="AO221" s="184"/>
      <c r="AP221" s="184"/>
      <c r="AQ221" s="184"/>
      <c r="AR221" s="176">
        <f>IFERROR(_xlfn.XLOOKUP($D220,'Modelling New'!$D:$D,'Modelling New'!$N:$N),"")</f>
        <v>66.754999999999995</v>
      </c>
      <c r="AS221" s="176"/>
    </row>
    <row r="222" spans="1:45" x14ac:dyDescent="0.25">
      <c r="A222" s="175">
        <f t="shared" si="15"/>
        <v>45965</v>
      </c>
      <c r="B222" s="176">
        <f>YEAR(Table13[[#This Row],[Date]])+IF(MONTH(Table13[[#This Row],[Date]])&gt;=4,1,0)</f>
        <v>2026</v>
      </c>
      <c r="C222" s="177">
        <f>YEAR(Table13[[#This Row],[Date]])</f>
        <v>2025</v>
      </c>
      <c r="D222" s="178">
        <f>Table13[[#This Row],[Date]]-DAY(Table13[[#This Row],[Date]])+1</f>
        <v>45962</v>
      </c>
      <c r="E222" s="177">
        <f t="shared" si="12"/>
        <v>30</v>
      </c>
      <c r="F222" s="179" t="str">
        <f>IFERROR(_xlfn.XLOOKUP($A222,Raw_Data!$B:$B,Raw_Data!$KG:$KG),"")</f>
        <v/>
      </c>
      <c r="G222" s="180" t="str">
        <f>IFERROR(_xlfn.XLOOKUP($A222,Raw_Data!$B:$B,Raw_Data!KH:KH),"")</f>
        <v/>
      </c>
      <c r="H222" s="180"/>
      <c r="I222" s="180" t="str">
        <f>IFERROR(_xlfn.XLOOKUP($A222,Raw_Data!$B:$B,Raw_Data!$KI:$KI),"")</f>
        <v/>
      </c>
      <c r="J222" s="180"/>
      <c r="K222" s="180" t="str">
        <f>IFERROR(_xlfn.XLOOKUP($A222,Raw_Data!$B:$B,Raw_Data!KJ:KJ),"")</f>
        <v/>
      </c>
      <c r="L222" s="180" t="str">
        <f>IFERROR(_xlfn.XLOOKUP($A222,Raw_Data!$B:$B,Raw_Data!KK:KK),"")</f>
        <v/>
      </c>
      <c r="M222" s="180" t="str">
        <f>IFERROR(_xlfn.XLOOKUP($A222,Raw_Data!$B:$B,Raw_Data!KL:KL),"")</f>
        <v/>
      </c>
      <c r="N222" s="180" t="str">
        <f>IFERROR(_xlfn.XLOOKUP($A222,Raw_Data!$B:$B,Raw_Data!KM:KM),"")</f>
        <v/>
      </c>
      <c r="O222" s="181" t="str">
        <f>IFERROR(1-SUMIF(PA!$B:$B,$A222,PA!AJ:AJ)/($AA222+SUMIF(PA!$B:$B,$A222,PA!AJ:AJ)),"")</f>
        <v/>
      </c>
      <c r="P222" s="181"/>
      <c r="Q222" s="182"/>
      <c r="R222" s="181" t="str">
        <f>IFERROR(1-SUMIF(GA!$C:$C,$A222,GA!$X:$X)/($AA222+SUMIF(GA!$C:$C,$A222,GA!$X:$X)),"")</f>
        <v/>
      </c>
      <c r="S222" s="177"/>
      <c r="T222" s="182"/>
      <c r="U222" s="183" t="str">
        <f t="shared" si="13"/>
        <v/>
      </c>
      <c r="V222" s="183" t="str">
        <f>IFERROR(_xlfn.XLOOKUP($A222,Raw_Data!$B:$B,Raw_Data!$KQ:$KQ),"")</f>
        <v/>
      </c>
      <c r="W222" s="184" t="str">
        <f t="shared" si="14"/>
        <v/>
      </c>
      <c r="X222" s="176" t="str">
        <f>IFERROR(_xlfn.XLOOKUP($A222,Raw_Data!$B:$B,Raw_Data!$KN:$KN),"")</f>
        <v/>
      </c>
      <c r="Y222" s="176" t="str">
        <f>IFERROR(_xlfn.XLOOKUP($A222,Raw_Data!$B:$B,Raw_Data!$KC:$KC),"")</f>
        <v/>
      </c>
      <c r="Z222" s="176" t="str">
        <f>IFERROR(_xlfn.XLOOKUP($A222,Raw_Data!$B:$B,Raw_Data!$KD:$KD),"")</f>
        <v/>
      </c>
      <c r="AA222" s="176" t="str">
        <f>IFERROR(_xlfn.XLOOKUP($A222,Raw_Data!$B:$B,Raw_Data!$KF:$KF),"")</f>
        <v/>
      </c>
      <c r="AB222" s="176" t="str">
        <f>IFERROR(_xlfn.XLOOKUP($A222,Raw_Data!$B:$B,Raw_Data!I:I)/1000,"")</f>
        <v/>
      </c>
      <c r="AC222" s="185">
        <f>IFERROR(_xlfn.XLOOKUP($D222,'Modelling New'!$D:$D,'Modelling New'!$P:$P),"")</f>
        <v>4.8166666666666664</v>
      </c>
      <c r="AD222" s="176">
        <f>IFERROR(_xlfn.XLOOKUP($D222,'Modelling New'!$D:$D,'Modelling New'!$T:$T)*1000,"")</f>
        <v>257094.44156617543</v>
      </c>
      <c r="AE222" s="186">
        <f>IFERROR(_xlfn.XLOOKUP($D222,'Modelling New'!$D:$D,'Modelling New'!$O:$O),"")</f>
        <v>0.79958068503716273</v>
      </c>
      <c r="AF222" s="186">
        <f>IFERROR(_xlfn.XLOOKUP($D222,'Modelling New'!$D:$D,'Modelling New'!$W:$W),"")</f>
        <v>0.16047140137204169</v>
      </c>
      <c r="AG222" s="186">
        <f>IFERROR(_xlfn.XLOOKUP($D222,'Modelling New'!$D:$D,'Modelling New'!$AE:$AE),"")</f>
        <v>0.995</v>
      </c>
      <c r="AH222" s="186">
        <f>IFERROR(_xlfn.XLOOKUP($D222,'Modelling New'!$D:$D,'Modelling New'!$AF:$AF),"")</f>
        <v>0.995</v>
      </c>
      <c r="AI222" s="177"/>
      <c r="AJ222" s="177"/>
      <c r="AK222" s="238"/>
      <c r="AL222" s="238"/>
      <c r="AM222" s="238"/>
      <c r="AN222" s="187"/>
      <c r="AO222" s="184"/>
      <c r="AP222" s="184"/>
      <c r="AQ222" s="184"/>
      <c r="AR222" s="176">
        <f>IFERROR(_xlfn.XLOOKUP($D221,'Modelling New'!$D:$D,'Modelling New'!$N:$N),"")</f>
        <v>66.754999999999995</v>
      </c>
      <c r="AS222" s="176"/>
    </row>
    <row r="223" spans="1:45" x14ac:dyDescent="0.25">
      <c r="A223" s="175">
        <f t="shared" si="15"/>
        <v>45966</v>
      </c>
      <c r="B223" s="176">
        <f>YEAR(Table13[[#This Row],[Date]])+IF(MONTH(Table13[[#This Row],[Date]])&gt;=4,1,0)</f>
        <v>2026</v>
      </c>
      <c r="C223" s="177">
        <f>YEAR(Table13[[#This Row],[Date]])</f>
        <v>2025</v>
      </c>
      <c r="D223" s="178">
        <f>Table13[[#This Row],[Date]]-DAY(Table13[[#This Row],[Date]])+1</f>
        <v>45962</v>
      </c>
      <c r="E223" s="177">
        <f t="shared" ref="E223:E286" si="16">DAY(EOMONTH(A223,0))</f>
        <v>30</v>
      </c>
      <c r="F223" s="179" t="str">
        <f>IFERROR(_xlfn.XLOOKUP($A223,Raw_Data!$B:$B,Raw_Data!$KG:$KG),"")</f>
        <v/>
      </c>
      <c r="G223" s="180" t="str">
        <f>IFERROR(_xlfn.XLOOKUP($A223,Raw_Data!$B:$B,Raw_Data!KH:KH),"")</f>
        <v/>
      </c>
      <c r="H223" s="180"/>
      <c r="I223" s="180" t="str">
        <f>IFERROR(_xlfn.XLOOKUP($A223,Raw_Data!$B:$B,Raw_Data!$KI:$KI),"")</f>
        <v/>
      </c>
      <c r="J223" s="180"/>
      <c r="K223" s="180" t="str">
        <f>IFERROR(_xlfn.XLOOKUP($A223,Raw_Data!$B:$B,Raw_Data!KJ:KJ),"")</f>
        <v/>
      </c>
      <c r="L223" s="180" t="str">
        <f>IFERROR(_xlfn.XLOOKUP($A223,Raw_Data!$B:$B,Raw_Data!KK:KK),"")</f>
        <v/>
      </c>
      <c r="M223" s="180" t="str">
        <f>IFERROR(_xlfn.XLOOKUP($A223,Raw_Data!$B:$B,Raw_Data!KL:KL),"")</f>
        <v/>
      </c>
      <c r="N223" s="180" t="str">
        <f>IFERROR(_xlfn.XLOOKUP($A223,Raw_Data!$B:$B,Raw_Data!KM:KM),"")</f>
        <v/>
      </c>
      <c r="O223" s="181" t="str">
        <f>IFERROR(1-SUMIF(PA!$B:$B,$A223,PA!AJ:AJ)/($AA223+SUMIF(PA!$B:$B,$A223,PA!AJ:AJ)),"")</f>
        <v/>
      </c>
      <c r="P223" s="181"/>
      <c r="Q223" s="182"/>
      <c r="R223" s="181" t="str">
        <f>IFERROR(1-SUMIF(GA!$C:$C,$A223,GA!$X:$X)/($AA223+SUMIF(GA!$C:$C,$A223,GA!$X:$X)),"")</f>
        <v/>
      </c>
      <c r="S223" s="177"/>
      <c r="T223" s="182"/>
      <c r="U223" s="183" t="str">
        <f t="shared" ref="U223:U286" si="17">IFERROR(AA223/I223/AB223/1000,"")</f>
        <v/>
      </c>
      <c r="V223" s="183" t="str">
        <f>IFERROR(_xlfn.XLOOKUP($A223,Raw_Data!$B:$B,Raw_Data!$KQ:$KQ),"")</f>
        <v/>
      </c>
      <c r="W223" s="184" t="str">
        <f t="shared" ref="W223:W286" si="18">IFERROR(AA223/(24*AB223*1000),"")</f>
        <v/>
      </c>
      <c r="X223" s="176" t="str">
        <f>IFERROR(_xlfn.XLOOKUP($A223,Raw_Data!$B:$B,Raw_Data!$KN:$KN),"")</f>
        <v/>
      </c>
      <c r="Y223" s="176" t="str">
        <f>IFERROR(_xlfn.XLOOKUP($A223,Raw_Data!$B:$B,Raw_Data!$KC:$KC),"")</f>
        <v/>
      </c>
      <c r="Z223" s="176" t="str">
        <f>IFERROR(_xlfn.XLOOKUP($A223,Raw_Data!$B:$B,Raw_Data!$KD:$KD),"")</f>
        <v/>
      </c>
      <c r="AA223" s="176" t="str">
        <f>IFERROR(_xlfn.XLOOKUP($A223,Raw_Data!$B:$B,Raw_Data!$KF:$KF),"")</f>
        <v/>
      </c>
      <c r="AB223" s="176" t="str">
        <f>IFERROR(_xlfn.XLOOKUP($A223,Raw_Data!$B:$B,Raw_Data!I:I)/1000,"")</f>
        <v/>
      </c>
      <c r="AC223" s="185">
        <f>IFERROR(_xlfn.XLOOKUP($D223,'Modelling New'!$D:$D,'Modelling New'!$P:$P),"")</f>
        <v>4.8166666666666664</v>
      </c>
      <c r="AD223" s="176">
        <f>IFERROR(_xlfn.XLOOKUP($D223,'Modelling New'!$D:$D,'Modelling New'!$T:$T)*1000,"")</f>
        <v>257094.44156617543</v>
      </c>
      <c r="AE223" s="186">
        <f>IFERROR(_xlfn.XLOOKUP($D223,'Modelling New'!$D:$D,'Modelling New'!$O:$O),"")</f>
        <v>0.79958068503716273</v>
      </c>
      <c r="AF223" s="186">
        <f>IFERROR(_xlfn.XLOOKUP($D223,'Modelling New'!$D:$D,'Modelling New'!$W:$W),"")</f>
        <v>0.16047140137204169</v>
      </c>
      <c r="AG223" s="186">
        <f>IFERROR(_xlfn.XLOOKUP($D223,'Modelling New'!$D:$D,'Modelling New'!$AE:$AE),"")</f>
        <v>0.995</v>
      </c>
      <c r="AH223" s="186">
        <f>IFERROR(_xlfn.XLOOKUP($D223,'Modelling New'!$D:$D,'Modelling New'!$AF:$AF),"")</f>
        <v>0.995</v>
      </c>
      <c r="AI223" s="177"/>
      <c r="AJ223" s="177"/>
      <c r="AK223" s="238"/>
      <c r="AL223" s="238"/>
      <c r="AM223" s="238"/>
      <c r="AN223" s="187"/>
      <c r="AO223" s="184"/>
      <c r="AP223" s="184"/>
      <c r="AQ223" s="184"/>
      <c r="AR223" s="176">
        <f>IFERROR(_xlfn.XLOOKUP($D222,'Modelling New'!$D:$D,'Modelling New'!$N:$N),"")</f>
        <v>66.754999999999995</v>
      </c>
      <c r="AS223" s="176"/>
    </row>
    <row r="224" spans="1:45" x14ac:dyDescent="0.25">
      <c r="A224" s="175">
        <f t="shared" si="15"/>
        <v>45967</v>
      </c>
      <c r="B224" s="176">
        <f>YEAR(Table13[[#This Row],[Date]])+IF(MONTH(Table13[[#This Row],[Date]])&gt;=4,1,0)</f>
        <v>2026</v>
      </c>
      <c r="C224" s="177">
        <f>YEAR(Table13[[#This Row],[Date]])</f>
        <v>2025</v>
      </c>
      <c r="D224" s="178">
        <f>Table13[[#This Row],[Date]]-DAY(Table13[[#This Row],[Date]])+1</f>
        <v>45962</v>
      </c>
      <c r="E224" s="177">
        <f t="shared" si="16"/>
        <v>30</v>
      </c>
      <c r="F224" s="179" t="str">
        <f>IFERROR(_xlfn.XLOOKUP($A224,Raw_Data!$B:$B,Raw_Data!$KG:$KG),"")</f>
        <v/>
      </c>
      <c r="G224" s="180" t="str">
        <f>IFERROR(_xlfn.XLOOKUP($A224,Raw_Data!$B:$B,Raw_Data!KH:KH),"")</f>
        <v/>
      </c>
      <c r="H224" s="180"/>
      <c r="I224" s="180" t="str">
        <f>IFERROR(_xlfn.XLOOKUP($A224,Raw_Data!$B:$B,Raw_Data!$KI:$KI),"")</f>
        <v/>
      </c>
      <c r="J224" s="180"/>
      <c r="K224" s="180" t="str">
        <f>IFERROR(_xlfn.XLOOKUP($A224,Raw_Data!$B:$B,Raw_Data!KJ:KJ),"")</f>
        <v/>
      </c>
      <c r="L224" s="180" t="str">
        <f>IFERROR(_xlfn.XLOOKUP($A224,Raw_Data!$B:$B,Raw_Data!KK:KK),"")</f>
        <v/>
      </c>
      <c r="M224" s="180" t="str">
        <f>IFERROR(_xlfn.XLOOKUP($A224,Raw_Data!$B:$B,Raw_Data!KL:KL),"")</f>
        <v/>
      </c>
      <c r="N224" s="180" t="str">
        <f>IFERROR(_xlfn.XLOOKUP($A224,Raw_Data!$B:$B,Raw_Data!KM:KM),"")</f>
        <v/>
      </c>
      <c r="O224" s="181" t="str">
        <f>IFERROR(1-SUMIF(PA!$B:$B,$A224,PA!AJ:AJ)/($AA224+SUMIF(PA!$B:$B,$A224,PA!AJ:AJ)),"")</f>
        <v/>
      </c>
      <c r="P224" s="181"/>
      <c r="Q224" s="182"/>
      <c r="R224" s="181" t="str">
        <f>IFERROR(1-SUMIF(GA!$C:$C,$A224,GA!$X:$X)/($AA224+SUMIF(GA!$C:$C,$A224,GA!$X:$X)),"")</f>
        <v/>
      </c>
      <c r="S224" s="177"/>
      <c r="T224" s="182"/>
      <c r="U224" s="183" t="str">
        <f t="shared" si="17"/>
        <v/>
      </c>
      <c r="V224" s="183" t="str">
        <f>IFERROR(_xlfn.XLOOKUP($A224,Raw_Data!$B:$B,Raw_Data!$KQ:$KQ),"")</f>
        <v/>
      </c>
      <c r="W224" s="184" t="str">
        <f t="shared" si="18"/>
        <v/>
      </c>
      <c r="X224" s="176" t="str">
        <f>IFERROR(_xlfn.XLOOKUP($A224,Raw_Data!$B:$B,Raw_Data!$KN:$KN),"")</f>
        <v/>
      </c>
      <c r="Y224" s="176" t="str">
        <f>IFERROR(_xlfn.XLOOKUP($A224,Raw_Data!$B:$B,Raw_Data!$KC:$KC),"")</f>
        <v/>
      </c>
      <c r="Z224" s="176" t="str">
        <f>IFERROR(_xlfn.XLOOKUP($A224,Raw_Data!$B:$B,Raw_Data!$KD:$KD),"")</f>
        <v/>
      </c>
      <c r="AA224" s="176" t="str">
        <f>IFERROR(_xlfn.XLOOKUP($A224,Raw_Data!$B:$B,Raw_Data!$KF:$KF),"")</f>
        <v/>
      </c>
      <c r="AB224" s="176" t="str">
        <f>IFERROR(_xlfn.XLOOKUP($A224,Raw_Data!$B:$B,Raw_Data!I:I)/1000,"")</f>
        <v/>
      </c>
      <c r="AC224" s="185">
        <f>IFERROR(_xlfn.XLOOKUP($D224,'Modelling New'!$D:$D,'Modelling New'!$P:$P),"")</f>
        <v>4.8166666666666664</v>
      </c>
      <c r="AD224" s="176">
        <f>IFERROR(_xlfn.XLOOKUP($D224,'Modelling New'!$D:$D,'Modelling New'!$T:$T)*1000,"")</f>
        <v>257094.44156617543</v>
      </c>
      <c r="AE224" s="186">
        <f>IFERROR(_xlfn.XLOOKUP($D224,'Modelling New'!$D:$D,'Modelling New'!$O:$O),"")</f>
        <v>0.79958068503716273</v>
      </c>
      <c r="AF224" s="186">
        <f>IFERROR(_xlfn.XLOOKUP($D224,'Modelling New'!$D:$D,'Modelling New'!$W:$W),"")</f>
        <v>0.16047140137204169</v>
      </c>
      <c r="AG224" s="186">
        <f>IFERROR(_xlfn.XLOOKUP($D224,'Modelling New'!$D:$D,'Modelling New'!$AE:$AE),"")</f>
        <v>0.995</v>
      </c>
      <c r="AH224" s="186">
        <f>IFERROR(_xlfn.XLOOKUP($D224,'Modelling New'!$D:$D,'Modelling New'!$AF:$AF),"")</f>
        <v>0.995</v>
      </c>
      <c r="AI224" s="177"/>
      <c r="AJ224" s="177"/>
      <c r="AK224" s="238"/>
      <c r="AL224" s="238"/>
      <c r="AM224" s="238"/>
      <c r="AN224" s="187"/>
      <c r="AO224" s="184"/>
      <c r="AP224" s="184"/>
      <c r="AQ224" s="184"/>
      <c r="AR224" s="176">
        <f>IFERROR(_xlfn.XLOOKUP($D223,'Modelling New'!$D:$D,'Modelling New'!$N:$N),"")</f>
        <v>66.754999999999995</v>
      </c>
      <c r="AS224" s="176"/>
    </row>
    <row r="225" spans="1:45" x14ac:dyDescent="0.25">
      <c r="A225" s="175">
        <f t="shared" si="15"/>
        <v>45968</v>
      </c>
      <c r="B225" s="176">
        <f>YEAR(Table13[[#This Row],[Date]])+IF(MONTH(Table13[[#This Row],[Date]])&gt;=4,1,0)</f>
        <v>2026</v>
      </c>
      <c r="C225" s="177">
        <f>YEAR(Table13[[#This Row],[Date]])</f>
        <v>2025</v>
      </c>
      <c r="D225" s="178">
        <f>Table13[[#This Row],[Date]]-DAY(Table13[[#This Row],[Date]])+1</f>
        <v>45962</v>
      </c>
      <c r="E225" s="177">
        <f t="shared" si="16"/>
        <v>30</v>
      </c>
      <c r="F225" s="179" t="str">
        <f>IFERROR(_xlfn.XLOOKUP($A225,Raw_Data!$B:$B,Raw_Data!$KG:$KG),"")</f>
        <v/>
      </c>
      <c r="G225" s="180" t="str">
        <f>IFERROR(_xlfn.XLOOKUP($A225,Raw_Data!$B:$B,Raw_Data!KH:KH),"")</f>
        <v/>
      </c>
      <c r="H225" s="180"/>
      <c r="I225" s="180" t="str">
        <f>IFERROR(_xlfn.XLOOKUP($A225,Raw_Data!$B:$B,Raw_Data!$KI:$KI),"")</f>
        <v/>
      </c>
      <c r="J225" s="180"/>
      <c r="K225" s="180" t="str">
        <f>IFERROR(_xlfn.XLOOKUP($A225,Raw_Data!$B:$B,Raw_Data!KJ:KJ),"")</f>
        <v/>
      </c>
      <c r="L225" s="180" t="str">
        <f>IFERROR(_xlfn.XLOOKUP($A225,Raw_Data!$B:$B,Raw_Data!KK:KK),"")</f>
        <v/>
      </c>
      <c r="M225" s="180" t="str">
        <f>IFERROR(_xlfn.XLOOKUP($A225,Raw_Data!$B:$B,Raw_Data!KL:KL),"")</f>
        <v/>
      </c>
      <c r="N225" s="180" t="str">
        <f>IFERROR(_xlfn.XLOOKUP($A225,Raw_Data!$B:$B,Raw_Data!KM:KM),"")</f>
        <v/>
      </c>
      <c r="O225" s="181" t="str">
        <f>IFERROR(1-SUMIF(PA!$B:$B,$A225,PA!AJ:AJ)/($AA225+SUMIF(PA!$B:$B,$A225,PA!AJ:AJ)),"")</f>
        <v/>
      </c>
      <c r="P225" s="181"/>
      <c r="Q225" s="182"/>
      <c r="R225" s="181" t="str">
        <f>IFERROR(1-SUMIF(GA!$C:$C,$A225,GA!$X:$X)/($AA225+SUMIF(GA!$C:$C,$A225,GA!$X:$X)),"")</f>
        <v/>
      </c>
      <c r="S225" s="177"/>
      <c r="T225" s="182"/>
      <c r="U225" s="183" t="str">
        <f t="shared" si="17"/>
        <v/>
      </c>
      <c r="V225" s="183" t="str">
        <f>IFERROR(_xlfn.XLOOKUP($A225,Raw_Data!$B:$B,Raw_Data!$KQ:$KQ),"")</f>
        <v/>
      </c>
      <c r="W225" s="184" t="str">
        <f t="shared" si="18"/>
        <v/>
      </c>
      <c r="X225" s="176" t="str">
        <f>IFERROR(_xlfn.XLOOKUP($A225,Raw_Data!$B:$B,Raw_Data!$KN:$KN),"")</f>
        <v/>
      </c>
      <c r="Y225" s="176" t="str">
        <f>IFERROR(_xlfn.XLOOKUP($A225,Raw_Data!$B:$B,Raw_Data!$KC:$KC),"")</f>
        <v/>
      </c>
      <c r="Z225" s="176" t="str">
        <f>IFERROR(_xlfn.XLOOKUP($A225,Raw_Data!$B:$B,Raw_Data!$KD:$KD),"")</f>
        <v/>
      </c>
      <c r="AA225" s="176" t="str">
        <f>IFERROR(_xlfn.XLOOKUP($A225,Raw_Data!$B:$B,Raw_Data!$KF:$KF),"")</f>
        <v/>
      </c>
      <c r="AB225" s="176" t="str">
        <f>IFERROR(_xlfn.XLOOKUP($A225,Raw_Data!$B:$B,Raw_Data!I:I)/1000,"")</f>
        <v/>
      </c>
      <c r="AC225" s="185">
        <f>IFERROR(_xlfn.XLOOKUP($D225,'Modelling New'!$D:$D,'Modelling New'!$P:$P),"")</f>
        <v>4.8166666666666664</v>
      </c>
      <c r="AD225" s="176">
        <f>IFERROR(_xlfn.XLOOKUP($D225,'Modelling New'!$D:$D,'Modelling New'!$T:$T)*1000,"")</f>
        <v>257094.44156617543</v>
      </c>
      <c r="AE225" s="186">
        <f>IFERROR(_xlfn.XLOOKUP($D225,'Modelling New'!$D:$D,'Modelling New'!$O:$O),"")</f>
        <v>0.79958068503716273</v>
      </c>
      <c r="AF225" s="186">
        <f>IFERROR(_xlfn.XLOOKUP($D225,'Modelling New'!$D:$D,'Modelling New'!$W:$W),"")</f>
        <v>0.16047140137204169</v>
      </c>
      <c r="AG225" s="186">
        <f>IFERROR(_xlfn.XLOOKUP($D225,'Modelling New'!$D:$D,'Modelling New'!$AE:$AE),"")</f>
        <v>0.995</v>
      </c>
      <c r="AH225" s="186">
        <f>IFERROR(_xlfn.XLOOKUP($D225,'Modelling New'!$D:$D,'Modelling New'!$AF:$AF),"")</f>
        <v>0.995</v>
      </c>
      <c r="AI225" s="177"/>
      <c r="AJ225" s="177"/>
      <c r="AK225" s="238"/>
      <c r="AL225" s="238"/>
      <c r="AM225" s="238"/>
      <c r="AN225" s="187"/>
      <c r="AO225" s="184"/>
      <c r="AP225" s="184"/>
      <c r="AQ225" s="184"/>
      <c r="AR225" s="176">
        <f>IFERROR(_xlfn.XLOOKUP($D224,'Modelling New'!$D:$D,'Modelling New'!$N:$N),"")</f>
        <v>66.754999999999995</v>
      </c>
      <c r="AS225" s="176"/>
    </row>
    <row r="226" spans="1:45" x14ac:dyDescent="0.25">
      <c r="A226" s="175">
        <f t="shared" si="15"/>
        <v>45969</v>
      </c>
      <c r="B226" s="176">
        <f>YEAR(Table13[[#This Row],[Date]])+IF(MONTH(Table13[[#This Row],[Date]])&gt;=4,1,0)</f>
        <v>2026</v>
      </c>
      <c r="C226" s="177">
        <f>YEAR(Table13[[#This Row],[Date]])</f>
        <v>2025</v>
      </c>
      <c r="D226" s="178">
        <f>Table13[[#This Row],[Date]]-DAY(Table13[[#This Row],[Date]])+1</f>
        <v>45962</v>
      </c>
      <c r="E226" s="177">
        <f t="shared" si="16"/>
        <v>30</v>
      </c>
      <c r="F226" s="179" t="str">
        <f>IFERROR(_xlfn.XLOOKUP($A226,Raw_Data!$B:$B,Raw_Data!$KG:$KG),"")</f>
        <v/>
      </c>
      <c r="G226" s="180" t="str">
        <f>IFERROR(_xlfn.XLOOKUP($A226,Raw_Data!$B:$B,Raw_Data!KH:KH),"")</f>
        <v/>
      </c>
      <c r="H226" s="180"/>
      <c r="I226" s="180" t="str">
        <f>IFERROR(_xlfn.XLOOKUP($A226,Raw_Data!$B:$B,Raw_Data!$KI:$KI),"")</f>
        <v/>
      </c>
      <c r="J226" s="180"/>
      <c r="K226" s="180" t="str">
        <f>IFERROR(_xlfn.XLOOKUP($A226,Raw_Data!$B:$B,Raw_Data!KJ:KJ),"")</f>
        <v/>
      </c>
      <c r="L226" s="180" t="str">
        <f>IFERROR(_xlfn.XLOOKUP($A226,Raw_Data!$B:$B,Raw_Data!KK:KK),"")</f>
        <v/>
      </c>
      <c r="M226" s="180" t="str">
        <f>IFERROR(_xlfn.XLOOKUP($A226,Raw_Data!$B:$B,Raw_Data!KL:KL),"")</f>
        <v/>
      </c>
      <c r="N226" s="180" t="str">
        <f>IFERROR(_xlfn.XLOOKUP($A226,Raw_Data!$B:$B,Raw_Data!KM:KM),"")</f>
        <v/>
      </c>
      <c r="O226" s="181" t="str">
        <f>IFERROR(1-SUMIF(PA!$B:$B,$A226,PA!AJ:AJ)/($AA226+SUMIF(PA!$B:$B,$A226,PA!AJ:AJ)),"")</f>
        <v/>
      </c>
      <c r="P226" s="181"/>
      <c r="Q226" s="182"/>
      <c r="R226" s="181" t="str">
        <f>IFERROR(1-SUMIF(GA!$C:$C,$A226,GA!$X:$X)/($AA226+SUMIF(GA!$C:$C,$A226,GA!$X:$X)),"")</f>
        <v/>
      </c>
      <c r="S226" s="177"/>
      <c r="T226" s="182"/>
      <c r="U226" s="183" t="str">
        <f t="shared" si="17"/>
        <v/>
      </c>
      <c r="V226" s="183" t="str">
        <f>IFERROR(_xlfn.XLOOKUP($A226,Raw_Data!$B:$B,Raw_Data!$KQ:$KQ),"")</f>
        <v/>
      </c>
      <c r="W226" s="184" t="str">
        <f t="shared" si="18"/>
        <v/>
      </c>
      <c r="X226" s="176" t="str">
        <f>IFERROR(_xlfn.XLOOKUP($A226,Raw_Data!$B:$B,Raw_Data!$KN:$KN),"")</f>
        <v/>
      </c>
      <c r="Y226" s="176" t="str">
        <f>IFERROR(_xlfn.XLOOKUP($A226,Raw_Data!$B:$B,Raw_Data!$KC:$KC),"")</f>
        <v/>
      </c>
      <c r="Z226" s="176" t="str">
        <f>IFERROR(_xlfn.XLOOKUP($A226,Raw_Data!$B:$B,Raw_Data!$KD:$KD),"")</f>
        <v/>
      </c>
      <c r="AA226" s="176" t="str">
        <f>IFERROR(_xlfn.XLOOKUP($A226,Raw_Data!$B:$B,Raw_Data!$KF:$KF),"")</f>
        <v/>
      </c>
      <c r="AB226" s="176" t="str">
        <f>IFERROR(_xlfn.XLOOKUP($A226,Raw_Data!$B:$B,Raw_Data!I:I)/1000,"")</f>
        <v/>
      </c>
      <c r="AC226" s="185">
        <f>IFERROR(_xlfn.XLOOKUP($D226,'Modelling New'!$D:$D,'Modelling New'!$P:$P),"")</f>
        <v>4.8166666666666664</v>
      </c>
      <c r="AD226" s="176">
        <f>IFERROR(_xlfn.XLOOKUP($D226,'Modelling New'!$D:$D,'Modelling New'!$T:$T)*1000,"")</f>
        <v>257094.44156617543</v>
      </c>
      <c r="AE226" s="186">
        <f>IFERROR(_xlfn.XLOOKUP($D226,'Modelling New'!$D:$D,'Modelling New'!$O:$O),"")</f>
        <v>0.79958068503716273</v>
      </c>
      <c r="AF226" s="186">
        <f>IFERROR(_xlfn.XLOOKUP($D226,'Modelling New'!$D:$D,'Modelling New'!$W:$W),"")</f>
        <v>0.16047140137204169</v>
      </c>
      <c r="AG226" s="186">
        <f>IFERROR(_xlfn.XLOOKUP($D226,'Modelling New'!$D:$D,'Modelling New'!$AE:$AE),"")</f>
        <v>0.995</v>
      </c>
      <c r="AH226" s="186">
        <f>IFERROR(_xlfn.XLOOKUP($D226,'Modelling New'!$D:$D,'Modelling New'!$AF:$AF),"")</f>
        <v>0.995</v>
      </c>
      <c r="AI226" s="177"/>
      <c r="AJ226" s="177"/>
      <c r="AK226" s="238"/>
      <c r="AL226" s="238"/>
      <c r="AM226" s="238"/>
      <c r="AN226" s="187"/>
      <c r="AO226" s="184"/>
      <c r="AP226" s="184"/>
      <c r="AQ226" s="184"/>
      <c r="AR226" s="176">
        <f>IFERROR(_xlfn.XLOOKUP($D225,'Modelling New'!$D:$D,'Modelling New'!$N:$N),"")</f>
        <v>66.754999999999995</v>
      </c>
      <c r="AS226" s="176"/>
    </row>
    <row r="227" spans="1:45" x14ac:dyDescent="0.25">
      <c r="A227" s="175">
        <f t="shared" si="15"/>
        <v>45970</v>
      </c>
      <c r="B227" s="176">
        <f>YEAR(Table13[[#This Row],[Date]])+IF(MONTH(Table13[[#This Row],[Date]])&gt;=4,1,0)</f>
        <v>2026</v>
      </c>
      <c r="C227" s="177">
        <f>YEAR(Table13[[#This Row],[Date]])</f>
        <v>2025</v>
      </c>
      <c r="D227" s="178">
        <f>Table13[[#This Row],[Date]]-DAY(Table13[[#This Row],[Date]])+1</f>
        <v>45962</v>
      </c>
      <c r="E227" s="177">
        <f t="shared" si="16"/>
        <v>30</v>
      </c>
      <c r="F227" s="179" t="str">
        <f>IFERROR(_xlfn.XLOOKUP($A227,Raw_Data!$B:$B,Raw_Data!$KG:$KG),"")</f>
        <v/>
      </c>
      <c r="G227" s="180" t="str">
        <f>IFERROR(_xlfn.XLOOKUP($A227,Raw_Data!$B:$B,Raw_Data!KH:KH),"")</f>
        <v/>
      </c>
      <c r="H227" s="180"/>
      <c r="I227" s="180" t="str">
        <f>IFERROR(_xlfn.XLOOKUP($A227,Raw_Data!$B:$B,Raw_Data!$KI:$KI),"")</f>
        <v/>
      </c>
      <c r="J227" s="180"/>
      <c r="K227" s="180" t="str">
        <f>IFERROR(_xlfn.XLOOKUP($A227,Raw_Data!$B:$B,Raw_Data!KJ:KJ),"")</f>
        <v/>
      </c>
      <c r="L227" s="180" t="str">
        <f>IFERROR(_xlfn.XLOOKUP($A227,Raw_Data!$B:$B,Raw_Data!KK:KK),"")</f>
        <v/>
      </c>
      <c r="M227" s="180" t="str">
        <f>IFERROR(_xlfn.XLOOKUP($A227,Raw_Data!$B:$B,Raw_Data!KL:KL),"")</f>
        <v/>
      </c>
      <c r="N227" s="180" t="str">
        <f>IFERROR(_xlfn.XLOOKUP($A227,Raw_Data!$B:$B,Raw_Data!KM:KM),"")</f>
        <v/>
      </c>
      <c r="O227" s="181" t="str">
        <f>IFERROR(1-SUMIF(PA!$B:$B,$A227,PA!AJ:AJ)/($AA227+SUMIF(PA!$B:$B,$A227,PA!AJ:AJ)),"")</f>
        <v/>
      </c>
      <c r="P227" s="181"/>
      <c r="Q227" s="182"/>
      <c r="R227" s="181" t="str">
        <f>IFERROR(1-SUMIF(GA!$C:$C,$A227,GA!$X:$X)/($AA227+SUMIF(GA!$C:$C,$A227,GA!$X:$X)),"")</f>
        <v/>
      </c>
      <c r="S227" s="177"/>
      <c r="T227" s="182"/>
      <c r="U227" s="183" t="str">
        <f t="shared" si="17"/>
        <v/>
      </c>
      <c r="V227" s="183" t="str">
        <f>IFERROR(_xlfn.XLOOKUP($A227,Raw_Data!$B:$B,Raw_Data!$KQ:$KQ),"")</f>
        <v/>
      </c>
      <c r="W227" s="184" t="str">
        <f t="shared" si="18"/>
        <v/>
      </c>
      <c r="X227" s="176" t="str">
        <f>IFERROR(_xlfn.XLOOKUP($A227,Raw_Data!$B:$B,Raw_Data!$KN:$KN),"")</f>
        <v/>
      </c>
      <c r="Y227" s="176" t="str">
        <f>IFERROR(_xlfn.XLOOKUP($A227,Raw_Data!$B:$B,Raw_Data!$KC:$KC),"")</f>
        <v/>
      </c>
      <c r="Z227" s="176" t="str">
        <f>IFERROR(_xlfn.XLOOKUP($A227,Raw_Data!$B:$B,Raw_Data!$KD:$KD),"")</f>
        <v/>
      </c>
      <c r="AA227" s="176" t="str">
        <f>IFERROR(_xlfn.XLOOKUP($A227,Raw_Data!$B:$B,Raw_Data!$KF:$KF),"")</f>
        <v/>
      </c>
      <c r="AB227" s="176" t="str">
        <f>IFERROR(_xlfn.XLOOKUP($A227,Raw_Data!$B:$B,Raw_Data!I:I)/1000,"")</f>
        <v/>
      </c>
      <c r="AC227" s="185">
        <f>IFERROR(_xlfn.XLOOKUP($D227,'Modelling New'!$D:$D,'Modelling New'!$P:$P),"")</f>
        <v>4.8166666666666664</v>
      </c>
      <c r="AD227" s="176">
        <f>IFERROR(_xlfn.XLOOKUP($D227,'Modelling New'!$D:$D,'Modelling New'!$T:$T)*1000,"")</f>
        <v>257094.44156617543</v>
      </c>
      <c r="AE227" s="186">
        <f>IFERROR(_xlfn.XLOOKUP($D227,'Modelling New'!$D:$D,'Modelling New'!$O:$O),"")</f>
        <v>0.79958068503716273</v>
      </c>
      <c r="AF227" s="186">
        <f>IFERROR(_xlfn.XLOOKUP($D227,'Modelling New'!$D:$D,'Modelling New'!$W:$W),"")</f>
        <v>0.16047140137204169</v>
      </c>
      <c r="AG227" s="186">
        <f>IFERROR(_xlfn.XLOOKUP($D227,'Modelling New'!$D:$D,'Modelling New'!$AE:$AE),"")</f>
        <v>0.995</v>
      </c>
      <c r="AH227" s="186">
        <f>IFERROR(_xlfn.XLOOKUP($D227,'Modelling New'!$D:$D,'Modelling New'!$AF:$AF),"")</f>
        <v>0.995</v>
      </c>
      <c r="AI227" s="177"/>
      <c r="AJ227" s="177"/>
      <c r="AK227" s="238"/>
      <c r="AL227" s="238"/>
      <c r="AM227" s="238"/>
      <c r="AN227" s="187"/>
      <c r="AO227" s="184"/>
      <c r="AP227" s="184"/>
      <c r="AQ227" s="184"/>
      <c r="AR227" s="176">
        <f>IFERROR(_xlfn.XLOOKUP($D226,'Modelling New'!$D:$D,'Modelling New'!$N:$N),"")</f>
        <v>66.754999999999995</v>
      </c>
      <c r="AS227" s="176"/>
    </row>
    <row r="228" spans="1:45" x14ac:dyDescent="0.25">
      <c r="A228" s="175">
        <f t="shared" si="15"/>
        <v>45971</v>
      </c>
      <c r="B228" s="176">
        <f>YEAR(Table13[[#This Row],[Date]])+IF(MONTH(Table13[[#This Row],[Date]])&gt;=4,1,0)</f>
        <v>2026</v>
      </c>
      <c r="C228" s="177">
        <f>YEAR(Table13[[#This Row],[Date]])</f>
        <v>2025</v>
      </c>
      <c r="D228" s="178">
        <f>Table13[[#This Row],[Date]]-DAY(Table13[[#This Row],[Date]])+1</f>
        <v>45962</v>
      </c>
      <c r="E228" s="177">
        <f t="shared" si="16"/>
        <v>30</v>
      </c>
      <c r="F228" s="179" t="str">
        <f>IFERROR(_xlfn.XLOOKUP($A228,Raw_Data!$B:$B,Raw_Data!$KG:$KG),"")</f>
        <v/>
      </c>
      <c r="G228" s="180" t="str">
        <f>IFERROR(_xlfn.XLOOKUP($A228,Raw_Data!$B:$B,Raw_Data!KH:KH),"")</f>
        <v/>
      </c>
      <c r="H228" s="180"/>
      <c r="I228" s="180" t="str">
        <f>IFERROR(_xlfn.XLOOKUP($A228,Raw_Data!$B:$B,Raw_Data!$KI:$KI),"")</f>
        <v/>
      </c>
      <c r="J228" s="180"/>
      <c r="K228" s="180" t="str">
        <f>IFERROR(_xlfn.XLOOKUP($A228,Raw_Data!$B:$B,Raw_Data!KJ:KJ),"")</f>
        <v/>
      </c>
      <c r="L228" s="180" t="str">
        <f>IFERROR(_xlfn.XLOOKUP($A228,Raw_Data!$B:$B,Raw_Data!KK:KK),"")</f>
        <v/>
      </c>
      <c r="M228" s="180" t="str">
        <f>IFERROR(_xlfn.XLOOKUP($A228,Raw_Data!$B:$B,Raw_Data!KL:KL),"")</f>
        <v/>
      </c>
      <c r="N228" s="180" t="str">
        <f>IFERROR(_xlfn.XLOOKUP($A228,Raw_Data!$B:$B,Raw_Data!KM:KM),"")</f>
        <v/>
      </c>
      <c r="O228" s="181" t="str">
        <f>IFERROR(1-SUMIF(PA!$B:$B,$A228,PA!AJ:AJ)/($AA228+SUMIF(PA!$B:$B,$A228,PA!AJ:AJ)),"")</f>
        <v/>
      </c>
      <c r="P228" s="181"/>
      <c r="Q228" s="182"/>
      <c r="R228" s="181" t="str">
        <f>IFERROR(1-SUMIF(GA!$C:$C,$A228,GA!$X:$X)/($AA228+SUMIF(GA!$C:$C,$A228,GA!$X:$X)),"")</f>
        <v/>
      </c>
      <c r="S228" s="177"/>
      <c r="T228" s="182"/>
      <c r="U228" s="183" t="str">
        <f t="shared" si="17"/>
        <v/>
      </c>
      <c r="V228" s="183" t="str">
        <f>IFERROR(_xlfn.XLOOKUP($A228,Raw_Data!$B:$B,Raw_Data!$KQ:$KQ),"")</f>
        <v/>
      </c>
      <c r="W228" s="184" t="str">
        <f t="shared" si="18"/>
        <v/>
      </c>
      <c r="X228" s="176" t="str">
        <f>IFERROR(_xlfn.XLOOKUP($A228,Raw_Data!$B:$B,Raw_Data!$KN:$KN),"")</f>
        <v/>
      </c>
      <c r="Y228" s="176" t="str">
        <f>IFERROR(_xlfn.XLOOKUP($A228,Raw_Data!$B:$B,Raw_Data!$KC:$KC),"")</f>
        <v/>
      </c>
      <c r="Z228" s="176" t="str">
        <f>IFERROR(_xlfn.XLOOKUP($A228,Raw_Data!$B:$B,Raw_Data!$KD:$KD),"")</f>
        <v/>
      </c>
      <c r="AA228" s="176" t="str">
        <f>IFERROR(_xlfn.XLOOKUP($A228,Raw_Data!$B:$B,Raw_Data!$KF:$KF),"")</f>
        <v/>
      </c>
      <c r="AB228" s="176" t="str">
        <f>IFERROR(_xlfn.XLOOKUP($A228,Raw_Data!$B:$B,Raw_Data!I:I)/1000,"")</f>
        <v/>
      </c>
      <c r="AC228" s="185">
        <f>IFERROR(_xlfn.XLOOKUP($D228,'Modelling New'!$D:$D,'Modelling New'!$P:$P),"")</f>
        <v>4.8166666666666664</v>
      </c>
      <c r="AD228" s="176">
        <f>IFERROR(_xlfn.XLOOKUP($D228,'Modelling New'!$D:$D,'Modelling New'!$T:$T)*1000,"")</f>
        <v>257094.44156617543</v>
      </c>
      <c r="AE228" s="186">
        <f>IFERROR(_xlfn.XLOOKUP($D228,'Modelling New'!$D:$D,'Modelling New'!$O:$O),"")</f>
        <v>0.79958068503716273</v>
      </c>
      <c r="AF228" s="186">
        <f>IFERROR(_xlfn.XLOOKUP($D228,'Modelling New'!$D:$D,'Modelling New'!$W:$W),"")</f>
        <v>0.16047140137204169</v>
      </c>
      <c r="AG228" s="186">
        <f>IFERROR(_xlfn.XLOOKUP($D228,'Modelling New'!$D:$D,'Modelling New'!$AE:$AE),"")</f>
        <v>0.995</v>
      </c>
      <c r="AH228" s="186">
        <f>IFERROR(_xlfn.XLOOKUP($D228,'Modelling New'!$D:$D,'Modelling New'!$AF:$AF),"")</f>
        <v>0.995</v>
      </c>
      <c r="AI228" s="177"/>
      <c r="AJ228" s="177"/>
      <c r="AK228" s="238"/>
      <c r="AL228" s="238"/>
      <c r="AM228" s="238"/>
      <c r="AN228" s="187"/>
      <c r="AO228" s="184"/>
      <c r="AP228" s="184"/>
      <c r="AQ228" s="184"/>
      <c r="AR228" s="176">
        <f>IFERROR(_xlfn.XLOOKUP($D227,'Modelling New'!$D:$D,'Modelling New'!$N:$N),"")</f>
        <v>66.754999999999995</v>
      </c>
      <c r="AS228" s="176"/>
    </row>
    <row r="229" spans="1:45" x14ac:dyDescent="0.25">
      <c r="A229" s="175">
        <f t="shared" si="15"/>
        <v>45972</v>
      </c>
      <c r="B229" s="176">
        <f>YEAR(Table13[[#This Row],[Date]])+IF(MONTH(Table13[[#This Row],[Date]])&gt;=4,1,0)</f>
        <v>2026</v>
      </c>
      <c r="C229" s="177">
        <f>YEAR(Table13[[#This Row],[Date]])</f>
        <v>2025</v>
      </c>
      <c r="D229" s="178">
        <f>Table13[[#This Row],[Date]]-DAY(Table13[[#This Row],[Date]])+1</f>
        <v>45962</v>
      </c>
      <c r="E229" s="177">
        <f t="shared" si="16"/>
        <v>30</v>
      </c>
      <c r="F229" s="179" t="str">
        <f>IFERROR(_xlfn.XLOOKUP($A229,Raw_Data!$B:$B,Raw_Data!$KG:$KG),"")</f>
        <v/>
      </c>
      <c r="G229" s="180" t="str">
        <f>IFERROR(_xlfn.XLOOKUP($A229,Raw_Data!$B:$B,Raw_Data!KH:KH),"")</f>
        <v/>
      </c>
      <c r="H229" s="180"/>
      <c r="I229" s="180" t="str">
        <f>IFERROR(_xlfn.XLOOKUP($A229,Raw_Data!$B:$B,Raw_Data!$KI:$KI),"")</f>
        <v/>
      </c>
      <c r="J229" s="180"/>
      <c r="K229" s="180" t="str">
        <f>IFERROR(_xlfn.XLOOKUP($A229,Raw_Data!$B:$B,Raw_Data!KJ:KJ),"")</f>
        <v/>
      </c>
      <c r="L229" s="180" t="str">
        <f>IFERROR(_xlfn.XLOOKUP($A229,Raw_Data!$B:$B,Raw_Data!KK:KK),"")</f>
        <v/>
      </c>
      <c r="M229" s="180" t="str">
        <f>IFERROR(_xlfn.XLOOKUP($A229,Raw_Data!$B:$B,Raw_Data!KL:KL),"")</f>
        <v/>
      </c>
      <c r="N229" s="180" t="str">
        <f>IFERROR(_xlfn.XLOOKUP($A229,Raw_Data!$B:$B,Raw_Data!KM:KM),"")</f>
        <v/>
      </c>
      <c r="O229" s="181" t="str">
        <f>IFERROR(1-SUMIF(PA!$B:$B,$A229,PA!AJ:AJ)/($AA229+SUMIF(PA!$B:$B,$A229,PA!AJ:AJ)),"")</f>
        <v/>
      </c>
      <c r="P229" s="181"/>
      <c r="Q229" s="182"/>
      <c r="R229" s="181" t="str">
        <f>IFERROR(1-SUMIF(GA!$C:$C,$A229,GA!$X:$X)/($AA229+SUMIF(GA!$C:$C,$A229,GA!$X:$X)),"")</f>
        <v/>
      </c>
      <c r="S229" s="177"/>
      <c r="T229" s="182"/>
      <c r="U229" s="183" t="str">
        <f t="shared" si="17"/>
        <v/>
      </c>
      <c r="V229" s="183" t="str">
        <f>IFERROR(_xlfn.XLOOKUP($A229,Raw_Data!$B:$B,Raw_Data!$KQ:$KQ),"")</f>
        <v/>
      </c>
      <c r="W229" s="184" t="str">
        <f t="shared" si="18"/>
        <v/>
      </c>
      <c r="X229" s="176" t="str">
        <f>IFERROR(_xlfn.XLOOKUP($A229,Raw_Data!$B:$B,Raw_Data!$KN:$KN),"")</f>
        <v/>
      </c>
      <c r="Y229" s="176" t="str">
        <f>IFERROR(_xlfn.XLOOKUP($A229,Raw_Data!$B:$B,Raw_Data!$KC:$KC),"")</f>
        <v/>
      </c>
      <c r="Z229" s="176" t="str">
        <f>IFERROR(_xlfn.XLOOKUP($A229,Raw_Data!$B:$B,Raw_Data!$KD:$KD),"")</f>
        <v/>
      </c>
      <c r="AA229" s="176" t="str">
        <f>IFERROR(_xlfn.XLOOKUP($A229,Raw_Data!$B:$B,Raw_Data!$KF:$KF),"")</f>
        <v/>
      </c>
      <c r="AB229" s="176" t="str">
        <f>IFERROR(_xlfn.XLOOKUP($A229,Raw_Data!$B:$B,Raw_Data!I:I)/1000,"")</f>
        <v/>
      </c>
      <c r="AC229" s="185">
        <f>IFERROR(_xlfn.XLOOKUP($D229,'Modelling New'!$D:$D,'Modelling New'!$P:$P),"")</f>
        <v>4.8166666666666664</v>
      </c>
      <c r="AD229" s="176">
        <f>IFERROR(_xlfn.XLOOKUP($D229,'Modelling New'!$D:$D,'Modelling New'!$T:$T)*1000,"")</f>
        <v>257094.44156617543</v>
      </c>
      <c r="AE229" s="186">
        <f>IFERROR(_xlfn.XLOOKUP($D229,'Modelling New'!$D:$D,'Modelling New'!$O:$O),"")</f>
        <v>0.79958068503716273</v>
      </c>
      <c r="AF229" s="186">
        <f>IFERROR(_xlfn.XLOOKUP($D229,'Modelling New'!$D:$D,'Modelling New'!$W:$W),"")</f>
        <v>0.16047140137204169</v>
      </c>
      <c r="AG229" s="186">
        <f>IFERROR(_xlfn.XLOOKUP($D229,'Modelling New'!$D:$D,'Modelling New'!$AE:$AE),"")</f>
        <v>0.995</v>
      </c>
      <c r="AH229" s="186">
        <f>IFERROR(_xlfn.XLOOKUP($D229,'Modelling New'!$D:$D,'Modelling New'!$AF:$AF),"")</f>
        <v>0.995</v>
      </c>
      <c r="AI229" s="177"/>
      <c r="AJ229" s="177"/>
      <c r="AK229" s="238"/>
      <c r="AL229" s="238"/>
      <c r="AM229" s="238"/>
      <c r="AN229" s="187"/>
      <c r="AO229" s="184"/>
      <c r="AP229" s="184"/>
      <c r="AQ229" s="184"/>
      <c r="AR229" s="176">
        <f>IFERROR(_xlfn.XLOOKUP($D228,'Modelling New'!$D:$D,'Modelling New'!$N:$N),"")</f>
        <v>66.754999999999995</v>
      </c>
      <c r="AS229" s="176"/>
    </row>
    <row r="230" spans="1:45" x14ac:dyDescent="0.25">
      <c r="A230" s="175">
        <f t="shared" si="15"/>
        <v>45973</v>
      </c>
      <c r="B230" s="176">
        <f>YEAR(Table13[[#This Row],[Date]])+IF(MONTH(Table13[[#This Row],[Date]])&gt;=4,1,0)</f>
        <v>2026</v>
      </c>
      <c r="C230" s="177">
        <f>YEAR(Table13[[#This Row],[Date]])</f>
        <v>2025</v>
      </c>
      <c r="D230" s="178">
        <f>Table13[[#This Row],[Date]]-DAY(Table13[[#This Row],[Date]])+1</f>
        <v>45962</v>
      </c>
      <c r="E230" s="177">
        <f t="shared" si="16"/>
        <v>30</v>
      </c>
      <c r="F230" s="179" t="str">
        <f>IFERROR(_xlfn.XLOOKUP($A230,Raw_Data!$B:$B,Raw_Data!$KG:$KG),"")</f>
        <v/>
      </c>
      <c r="G230" s="180" t="str">
        <f>IFERROR(_xlfn.XLOOKUP($A230,Raw_Data!$B:$B,Raw_Data!KH:KH),"")</f>
        <v/>
      </c>
      <c r="H230" s="180"/>
      <c r="I230" s="180" t="str">
        <f>IFERROR(_xlfn.XLOOKUP($A230,Raw_Data!$B:$B,Raw_Data!$KI:$KI),"")</f>
        <v/>
      </c>
      <c r="J230" s="180"/>
      <c r="K230" s="180" t="str">
        <f>IFERROR(_xlfn.XLOOKUP($A230,Raw_Data!$B:$B,Raw_Data!KJ:KJ),"")</f>
        <v/>
      </c>
      <c r="L230" s="180" t="str">
        <f>IFERROR(_xlfn.XLOOKUP($A230,Raw_Data!$B:$B,Raw_Data!KK:KK),"")</f>
        <v/>
      </c>
      <c r="M230" s="180" t="str">
        <f>IFERROR(_xlfn.XLOOKUP($A230,Raw_Data!$B:$B,Raw_Data!KL:KL),"")</f>
        <v/>
      </c>
      <c r="N230" s="180" t="str">
        <f>IFERROR(_xlfn.XLOOKUP($A230,Raw_Data!$B:$B,Raw_Data!KM:KM),"")</f>
        <v/>
      </c>
      <c r="O230" s="181" t="str">
        <f>IFERROR(1-SUMIF(PA!$B:$B,$A230,PA!AJ:AJ)/($AA230+SUMIF(PA!$B:$B,$A230,PA!AJ:AJ)),"")</f>
        <v/>
      </c>
      <c r="P230" s="181"/>
      <c r="Q230" s="182"/>
      <c r="R230" s="181" t="str">
        <f>IFERROR(1-SUMIF(GA!$C:$C,$A230,GA!$X:$X)/($AA230+SUMIF(GA!$C:$C,$A230,GA!$X:$X)),"")</f>
        <v/>
      </c>
      <c r="S230" s="177"/>
      <c r="T230" s="182"/>
      <c r="U230" s="183" t="str">
        <f t="shared" si="17"/>
        <v/>
      </c>
      <c r="V230" s="183" t="str">
        <f>IFERROR(_xlfn.XLOOKUP($A230,Raw_Data!$B:$B,Raw_Data!$KQ:$KQ),"")</f>
        <v/>
      </c>
      <c r="W230" s="184" t="str">
        <f t="shared" si="18"/>
        <v/>
      </c>
      <c r="X230" s="176" t="str">
        <f>IFERROR(_xlfn.XLOOKUP($A230,Raw_Data!$B:$B,Raw_Data!$KN:$KN),"")</f>
        <v/>
      </c>
      <c r="Y230" s="176" t="str">
        <f>IFERROR(_xlfn.XLOOKUP($A230,Raw_Data!$B:$B,Raw_Data!$KC:$KC),"")</f>
        <v/>
      </c>
      <c r="Z230" s="176" t="str">
        <f>IFERROR(_xlfn.XLOOKUP($A230,Raw_Data!$B:$B,Raw_Data!$KD:$KD),"")</f>
        <v/>
      </c>
      <c r="AA230" s="176" t="str">
        <f>IFERROR(_xlfn.XLOOKUP($A230,Raw_Data!$B:$B,Raw_Data!$KF:$KF),"")</f>
        <v/>
      </c>
      <c r="AB230" s="176" t="str">
        <f>IFERROR(_xlfn.XLOOKUP($A230,Raw_Data!$B:$B,Raw_Data!I:I)/1000,"")</f>
        <v/>
      </c>
      <c r="AC230" s="185">
        <f>IFERROR(_xlfn.XLOOKUP($D230,'Modelling New'!$D:$D,'Modelling New'!$P:$P),"")</f>
        <v>4.8166666666666664</v>
      </c>
      <c r="AD230" s="176">
        <f>IFERROR(_xlfn.XLOOKUP($D230,'Modelling New'!$D:$D,'Modelling New'!$T:$T)*1000,"")</f>
        <v>257094.44156617543</v>
      </c>
      <c r="AE230" s="186">
        <f>IFERROR(_xlfn.XLOOKUP($D230,'Modelling New'!$D:$D,'Modelling New'!$O:$O),"")</f>
        <v>0.79958068503716273</v>
      </c>
      <c r="AF230" s="186">
        <f>IFERROR(_xlfn.XLOOKUP($D230,'Modelling New'!$D:$D,'Modelling New'!$W:$W),"")</f>
        <v>0.16047140137204169</v>
      </c>
      <c r="AG230" s="186">
        <f>IFERROR(_xlfn.XLOOKUP($D230,'Modelling New'!$D:$D,'Modelling New'!$AE:$AE),"")</f>
        <v>0.995</v>
      </c>
      <c r="AH230" s="186">
        <f>IFERROR(_xlfn.XLOOKUP($D230,'Modelling New'!$D:$D,'Modelling New'!$AF:$AF),"")</f>
        <v>0.995</v>
      </c>
      <c r="AI230" s="177"/>
      <c r="AJ230" s="177"/>
      <c r="AK230" s="238"/>
      <c r="AL230" s="238"/>
      <c r="AM230" s="238"/>
      <c r="AN230" s="187"/>
      <c r="AO230" s="184"/>
      <c r="AP230" s="184"/>
      <c r="AQ230" s="184"/>
      <c r="AR230" s="176">
        <f>IFERROR(_xlfn.XLOOKUP($D229,'Modelling New'!$D:$D,'Modelling New'!$N:$N),"")</f>
        <v>66.754999999999995</v>
      </c>
      <c r="AS230" s="176"/>
    </row>
    <row r="231" spans="1:45" x14ac:dyDescent="0.25">
      <c r="A231" s="175">
        <f t="shared" si="15"/>
        <v>45974</v>
      </c>
      <c r="B231" s="176">
        <f>YEAR(Table13[[#This Row],[Date]])+IF(MONTH(Table13[[#This Row],[Date]])&gt;=4,1,0)</f>
        <v>2026</v>
      </c>
      <c r="C231" s="177">
        <f>YEAR(Table13[[#This Row],[Date]])</f>
        <v>2025</v>
      </c>
      <c r="D231" s="178">
        <f>Table13[[#This Row],[Date]]-DAY(Table13[[#This Row],[Date]])+1</f>
        <v>45962</v>
      </c>
      <c r="E231" s="177">
        <f t="shared" si="16"/>
        <v>30</v>
      </c>
      <c r="F231" s="179" t="str">
        <f>IFERROR(_xlfn.XLOOKUP($A231,Raw_Data!$B:$B,Raw_Data!$KG:$KG),"")</f>
        <v/>
      </c>
      <c r="G231" s="180" t="str">
        <f>IFERROR(_xlfn.XLOOKUP($A231,Raw_Data!$B:$B,Raw_Data!KH:KH),"")</f>
        <v/>
      </c>
      <c r="H231" s="180"/>
      <c r="I231" s="180" t="str">
        <f>IFERROR(_xlfn.XLOOKUP($A231,Raw_Data!$B:$B,Raw_Data!$KI:$KI),"")</f>
        <v/>
      </c>
      <c r="J231" s="180"/>
      <c r="K231" s="180" t="str">
        <f>IFERROR(_xlfn.XLOOKUP($A231,Raw_Data!$B:$B,Raw_Data!KJ:KJ),"")</f>
        <v/>
      </c>
      <c r="L231" s="180" t="str">
        <f>IFERROR(_xlfn.XLOOKUP($A231,Raw_Data!$B:$B,Raw_Data!KK:KK),"")</f>
        <v/>
      </c>
      <c r="M231" s="180" t="str">
        <f>IFERROR(_xlfn.XLOOKUP($A231,Raw_Data!$B:$B,Raw_Data!KL:KL),"")</f>
        <v/>
      </c>
      <c r="N231" s="180" t="str">
        <f>IFERROR(_xlfn.XLOOKUP($A231,Raw_Data!$B:$B,Raw_Data!KM:KM),"")</f>
        <v/>
      </c>
      <c r="O231" s="181" t="str">
        <f>IFERROR(1-SUMIF(PA!$B:$B,$A231,PA!AJ:AJ)/($AA231+SUMIF(PA!$B:$B,$A231,PA!AJ:AJ)),"")</f>
        <v/>
      </c>
      <c r="P231" s="181"/>
      <c r="Q231" s="182"/>
      <c r="R231" s="181" t="str">
        <f>IFERROR(1-SUMIF(GA!$C:$C,$A231,GA!$X:$X)/($AA231+SUMIF(GA!$C:$C,$A231,GA!$X:$X)),"")</f>
        <v/>
      </c>
      <c r="S231" s="177"/>
      <c r="T231" s="182"/>
      <c r="U231" s="183" t="str">
        <f t="shared" si="17"/>
        <v/>
      </c>
      <c r="V231" s="183" t="str">
        <f>IFERROR(_xlfn.XLOOKUP($A231,Raw_Data!$B:$B,Raw_Data!$KQ:$KQ),"")</f>
        <v/>
      </c>
      <c r="W231" s="184" t="str">
        <f t="shared" si="18"/>
        <v/>
      </c>
      <c r="X231" s="176" t="str">
        <f>IFERROR(_xlfn.XLOOKUP($A231,Raw_Data!$B:$B,Raw_Data!$KN:$KN),"")</f>
        <v/>
      </c>
      <c r="Y231" s="176" t="str">
        <f>IFERROR(_xlfn.XLOOKUP($A231,Raw_Data!$B:$B,Raw_Data!$KC:$KC),"")</f>
        <v/>
      </c>
      <c r="Z231" s="176" t="str">
        <f>IFERROR(_xlfn.XLOOKUP($A231,Raw_Data!$B:$B,Raw_Data!$KD:$KD),"")</f>
        <v/>
      </c>
      <c r="AA231" s="176" t="str">
        <f>IFERROR(_xlfn.XLOOKUP($A231,Raw_Data!$B:$B,Raw_Data!$KF:$KF),"")</f>
        <v/>
      </c>
      <c r="AB231" s="176" t="str">
        <f>IFERROR(_xlfn.XLOOKUP($A231,Raw_Data!$B:$B,Raw_Data!I:I)/1000,"")</f>
        <v/>
      </c>
      <c r="AC231" s="185">
        <f>IFERROR(_xlfn.XLOOKUP($D231,'Modelling New'!$D:$D,'Modelling New'!$P:$P),"")</f>
        <v>4.8166666666666664</v>
      </c>
      <c r="AD231" s="176">
        <f>IFERROR(_xlfn.XLOOKUP($D231,'Modelling New'!$D:$D,'Modelling New'!$T:$T)*1000,"")</f>
        <v>257094.44156617543</v>
      </c>
      <c r="AE231" s="186">
        <f>IFERROR(_xlfn.XLOOKUP($D231,'Modelling New'!$D:$D,'Modelling New'!$O:$O),"")</f>
        <v>0.79958068503716273</v>
      </c>
      <c r="AF231" s="186">
        <f>IFERROR(_xlfn.XLOOKUP($D231,'Modelling New'!$D:$D,'Modelling New'!$W:$W),"")</f>
        <v>0.16047140137204169</v>
      </c>
      <c r="AG231" s="186">
        <f>IFERROR(_xlfn.XLOOKUP($D231,'Modelling New'!$D:$D,'Modelling New'!$AE:$AE),"")</f>
        <v>0.995</v>
      </c>
      <c r="AH231" s="186">
        <f>IFERROR(_xlfn.XLOOKUP($D231,'Modelling New'!$D:$D,'Modelling New'!$AF:$AF),"")</f>
        <v>0.995</v>
      </c>
      <c r="AI231" s="177"/>
      <c r="AJ231" s="177"/>
      <c r="AK231" s="238"/>
      <c r="AL231" s="238"/>
      <c r="AM231" s="238"/>
      <c r="AN231" s="187"/>
      <c r="AO231" s="184"/>
      <c r="AP231" s="184"/>
      <c r="AQ231" s="184"/>
      <c r="AR231" s="176">
        <f>IFERROR(_xlfn.XLOOKUP($D230,'Modelling New'!$D:$D,'Modelling New'!$N:$N),"")</f>
        <v>66.754999999999995</v>
      </c>
      <c r="AS231" s="176"/>
    </row>
    <row r="232" spans="1:45" x14ac:dyDescent="0.25">
      <c r="A232" s="175">
        <f t="shared" si="15"/>
        <v>45975</v>
      </c>
      <c r="B232" s="176">
        <f>YEAR(Table13[[#This Row],[Date]])+IF(MONTH(Table13[[#This Row],[Date]])&gt;=4,1,0)</f>
        <v>2026</v>
      </c>
      <c r="C232" s="177">
        <f>YEAR(Table13[[#This Row],[Date]])</f>
        <v>2025</v>
      </c>
      <c r="D232" s="178">
        <f>Table13[[#This Row],[Date]]-DAY(Table13[[#This Row],[Date]])+1</f>
        <v>45962</v>
      </c>
      <c r="E232" s="177">
        <f t="shared" si="16"/>
        <v>30</v>
      </c>
      <c r="F232" s="179" t="str">
        <f>IFERROR(_xlfn.XLOOKUP($A232,Raw_Data!$B:$B,Raw_Data!$KG:$KG),"")</f>
        <v/>
      </c>
      <c r="G232" s="180" t="str">
        <f>IFERROR(_xlfn.XLOOKUP($A232,Raw_Data!$B:$B,Raw_Data!KH:KH),"")</f>
        <v/>
      </c>
      <c r="H232" s="180"/>
      <c r="I232" s="180" t="str">
        <f>IFERROR(_xlfn.XLOOKUP($A232,Raw_Data!$B:$B,Raw_Data!$KI:$KI),"")</f>
        <v/>
      </c>
      <c r="J232" s="180"/>
      <c r="K232" s="180" t="str">
        <f>IFERROR(_xlfn.XLOOKUP($A232,Raw_Data!$B:$B,Raw_Data!KJ:KJ),"")</f>
        <v/>
      </c>
      <c r="L232" s="180" t="str">
        <f>IFERROR(_xlfn.XLOOKUP($A232,Raw_Data!$B:$B,Raw_Data!KK:KK),"")</f>
        <v/>
      </c>
      <c r="M232" s="180" t="str">
        <f>IFERROR(_xlfn.XLOOKUP($A232,Raw_Data!$B:$B,Raw_Data!KL:KL),"")</f>
        <v/>
      </c>
      <c r="N232" s="180" t="str">
        <f>IFERROR(_xlfn.XLOOKUP($A232,Raw_Data!$B:$B,Raw_Data!KM:KM),"")</f>
        <v/>
      </c>
      <c r="O232" s="181" t="str">
        <f>IFERROR(1-SUMIF(PA!$B:$B,$A232,PA!AJ:AJ)/($AA232+SUMIF(PA!$B:$B,$A232,PA!AJ:AJ)),"")</f>
        <v/>
      </c>
      <c r="P232" s="181"/>
      <c r="Q232" s="182"/>
      <c r="R232" s="181" t="str">
        <f>IFERROR(1-SUMIF(GA!$C:$C,$A232,GA!$X:$X)/($AA232+SUMIF(GA!$C:$C,$A232,GA!$X:$X)),"")</f>
        <v/>
      </c>
      <c r="S232" s="177"/>
      <c r="T232" s="182"/>
      <c r="U232" s="183" t="str">
        <f t="shared" si="17"/>
        <v/>
      </c>
      <c r="V232" s="183" t="str">
        <f>IFERROR(_xlfn.XLOOKUP($A232,Raw_Data!$B:$B,Raw_Data!$KQ:$KQ),"")</f>
        <v/>
      </c>
      <c r="W232" s="184" t="str">
        <f t="shared" si="18"/>
        <v/>
      </c>
      <c r="X232" s="176" t="str">
        <f>IFERROR(_xlfn.XLOOKUP($A232,Raw_Data!$B:$B,Raw_Data!$KN:$KN),"")</f>
        <v/>
      </c>
      <c r="Y232" s="176" t="str">
        <f>IFERROR(_xlfn.XLOOKUP($A232,Raw_Data!$B:$B,Raw_Data!$KC:$KC),"")</f>
        <v/>
      </c>
      <c r="Z232" s="176" t="str">
        <f>IFERROR(_xlfn.XLOOKUP($A232,Raw_Data!$B:$B,Raw_Data!$KD:$KD),"")</f>
        <v/>
      </c>
      <c r="AA232" s="176" t="str">
        <f>IFERROR(_xlfn.XLOOKUP($A232,Raw_Data!$B:$B,Raw_Data!$KF:$KF),"")</f>
        <v/>
      </c>
      <c r="AB232" s="176" t="str">
        <f>IFERROR(_xlfn.XLOOKUP($A232,Raw_Data!$B:$B,Raw_Data!I:I)/1000,"")</f>
        <v/>
      </c>
      <c r="AC232" s="185">
        <f>IFERROR(_xlfn.XLOOKUP($D232,'Modelling New'!$D:$D,'Modelling New'!$P:$P),"")</f>
        <v>4.8166666666666664</v>
      </c>
      <c r="AD232" s="176">
        <f>IFERROR(_xlfn.XLOOKUP($D232,'Modelling New'!$D:$D,'Modelling New'!$T:$T)*1000,"")</f>
        <v>257094.44156617543</v>
      </c>
      <c r="AE232" s="186">
        <f>IFERROR(_xlfn.XLOOKUP($D232,'Modelling New'!$D:$D,'Modelling New'!$O:$O),"")</f>
        <v>0.79958068503716273</v>
      </c>
      <c r="AF232" s="186">
        <f>IFERROR(_xlfn.XLOOKUP($D232,'Modelling New'!$D:$D,'Modelling New'!$W:$W),"")</f>
        <v>0.16047140137204169</v>
      </c>
      <c r="AG232" s="186">
        <f>IFERROR(_xlfn.XLOOKUP($D232,'Modelling New'!$D:$D,'Modelling New'!$AE:$AE),"")</f>
        <v>0.995</v>
      </c>
      <c r="AH232" s="186">
        <f>IFERROR(_xlfn.XLOOKUP($D232,'Modelling New'!$D:$D,'Modelling New'!$AF:$AF),"")</f>
        <v>0.995</v>
      </c>
      <c r="AI232" s="177"/>
      <c r="AJ232" s="177"/>
      <c r="AK232" s="238"/>
      <c r="AL232" s="238"/>
      <c r="AM232" s="238"/>
      <c r="AN232" s="187"/>
      <c r="AO232" s="184"/>
      <c r="AP232" s="184"/>
      <c r="AQ232" s="184"/>
      <c r="AR232" s="176">
        <f>IFERROR(_xlfn.XLOOKUP($D231,'Modelling New'!$D:$D,'Modelling New'!$N:$N),"")</f>
        <v>66.754999999999995</v>
      </c>
      <c r="AS232" s="176"/>
    </row>
    <row r="233" spans="1:45" x14ac:dyDescent="0.25">
      <c r="A233" s="175">
        <f t="shared" si="15"/>
        <v>45976</v>
      </c>
      <c r="B233" s="176">
        <f>YEAR(Table13[[#This Row],[Date]])+IF(MONTH(Table13[[#This Row],[Date]])&gt;=4,1,0)</f>
        <v>2026</v>
      </c>
      <c r="C233" s="177">
        <f>YEAR(Table13[[#This Row],[Date]])</f>
        <v>2025</v>
      </c>
      <c r="D233" s="178">
        <f>Table13[[#This Row],[Date]]-DAY(Table13[[#This Row],[Date]])+1</f>
        <v>45962</v>
      </c>
      <c r="E233" s="177">
        <f t="shared" si="16"/>
        <v>30</v>
      </c>
      <c r="F233" s="179" t="str">
        <f>IFERROR(_xlfn.XLOOKUP($A233,Raw_Data!$B:$B,Raw_Data!$KG:$KG),"")</f>
        <v/>
      </c>
      <c r="G233" s="180" t="str">
        <f>IFERROR(_xlfn.XLOOKUP($A233,Raw_Data!$B:$B,Raw_Data!KH:KH),"")</f>
        <v/>
      </c>
      <c r="H233" s="180"/>
      <c r="I233" s="180" t="str">
        <f>IFERROR(_xlfn.XLOOKUP($A233,Raw_Data!$B:$B,Raw_Data!$KI:$KI),"")</f>
        <v/>
      </c>
      <c r="J233" s="180"/>
      <c r="K233" s="180" t="str">
        <f>IFERROR(_xlfn.XLOOKUP($A233,Raw_Data!$B:$B,Raw_Data!KJ:KJ),"")</f>
        <v/>
      </c>
      <c r="L233" s="180" t="str">
        <f>IFERROR(_xlfn.XLOOKUP($A233,Raw_Data!$B:$B,Raw_Data!KK:KK),"")</f>
        <v/>
      </c>
      <c r="M233" s="180" t="str">
        <f>IFERROR(_xlfn.XLOOKUP($A233,Raw_Data!$B:$B,Raw_Data!KL:KL),"")</f>
        <v/>
      </c>
      <c r="N233" s="180" t="str">
        <f>IFERROR(_xlfn.XLOOKUP($A233,Raw_Data!$B:$B,Raw_Data!KM:KM),"")</f>
        <v/>
      </c>
      <c r="O233" s="181" t="str">
        <f>IFERROR(1-SUMIF(PA!$B:$B,$A233,PA!AJ:AJ)/($AA233+SUMIF(PA!$B:$B,$A233,PA!AJ:AJ)),"")</f>
        <v/>
      </c>
      <c r="P233" s="181"/>
      <c r="Q233" s="182"/>
      <c r="R233" s="181" t="str">
        <f>IFERROR(1-SUMIF(GA!$C:$C,$A233,GA!$X:$X)/($AA233+SUMIF(GA!$C:$C,$A233,GA!$X:$X)),"")</f>
        <v/>
      </c>
      <c r="S233" s="177"/>
      <c r="T233" s="182"/>
      <c r="U233" s="183" t="str">
        <f t="shared" si="17"/>
        <v/>
      </c>
      <c r="V233" s="183" t="str">
        <f>IFERROR(_xlfn.XLOOKUP($A233,Raw_Data!$B:$B,Raw_Data!$KQ:$KQ),"")</f>
        <v/>
      </c>
      <c r="W233" s="184" t="str">
        <f t="shared" si="18"/>
        <v/>
      </c>
      <c r="X233" s="176" t="str">
        <f>IFERROR(_xlfn.XLOOKUP($A233,Raw_Data!$B:$B,Raw_Data!$KN:$KN),"")</f>
        <v/>
      </c>
      <c r="Y233" s="176" t="str">
        <f>IFERROR(_xlfn.XLOOKUP($A233,Raw_Data!$B:$B,Raw_Data!$KC:$KC),"")</f>
        <v/>
      </c>
      <c r="Z233" s="176" t="str">
        <f>IFERROR(_xlfn.XLOOKUP($A233,Raw_Data!$B:$B,Raw_Data!$KD:$KD),"")</f>
        <v/>
      </c>
      <c r="AA233" s="176" t="str">
        <f>IFERROR(_xlfn.XLOOKUP($A233,Raw_Data!$B:$B,Raw_Data!$KF:$KF),"")</f>
        <v/>
      </c>
      <c r="AB233" s="176" t="str">
        <f>IFERROR(_xlfn.XLOOKUP($A233,Raw_Data!$B:$B,Raw_Data!I:I)/1000,"")</f>
        <v/>
      </c>
      <c r="AC233" s="185">
        <f>IFERROR(_xlfn.XLOOKUP($D233,'Modelling New'!$D:$D,'Modelling New'!$P:$P),"")</f>
        <v>4.8166666666666664</v>
      </c>
      <c r="AD233" s="176">
        <f>IFERROR(_xlfn.XLOOKUP($D233,'Modelling New'!$D:$D,'Modelling New'!$T:$T)*1000,"")</f>
        <v>257094.44156617543</v>
      </c>
      <c r="AE233" s="186">
        <f>IFERROR(_xlfn.XLOOKUP($D233,'Modelling New'!$D:$D,'Modelling New'!$O:$O),"")</f>
        <v>0.79958068503716273</v>
      </c>
      <c r="AF233" s="186">
        <f>IFERROR(_xlfn.XLOOKUP($D233,'Modelling New'!$D:$D,'Modelling New'!$W:$W),"")</f>
        <v>0.16047140137204169</v>
      </c>
      <c r="AG233" s="186">
        <f>IFERROR(_xlfn.XLOOKUP($D233,'Modelling New'!$D:$D,'Modelling New'!$AE:$AE),"")</f>
        <v>0.995</v>
      </c>
      <c r="AH233" s="186">
        <f>IFERROR(_xlfn.XLOOKUP($D233,'Modelling New'!$D:$D,'Modelling New'!$AF:$AF),"")</f>
        <v>0.995</v>
      </c>
      <c r="AI233" s="177"/>
      <c r="AJ233" s="177"/>
      <c r="AK233" s="238"/>
      <c r="AL233" s="238"/>
      <c r="AM233" s="238"/>
      <c r="AN233" s="187"/>
      <c r="AO233" s="184"/>
      <c r="AP233" s="184"/>
      <c r="AQ233" s="184"/>
      <c r="AR233" s="176">
        <f>IFERROR(_xlfn.XLOOKUP($D232,'Modelling New'!$D:$D,'Modelling New'!$N:$N),"")</f>
        <v>66.754999999999995</v>
      </c>
      <c r="AS233" s="176"/>
    </row>
    <row r="234" spans="1:45" x14ac:dyDescent="0.25">
      <c r="A234" s="175">
        <f t="shared" si="15"/>
        <v>45977</v>
      </c>
      <c r="B234" s="176">
        <f>YEAR(Table13[[#This Row],[Date]])+IF(MONTH(Table13[[#This Row],[Date]])&gt;=4,1,0)</f>
        <v>2026</v>
      </c>
      <c r="C234" s="177">
        <f>YEAR(Table13[[#This Row],[Date]])</f>
        <v>2025</v>
      </c>
      <c r="D234" s="178">
        <f>Table13[[#This Row],[Date]]-DAY(Table13[[#This Row],[Date]])+1</f>
        <v>45962</v>
      </c>
      <c r="E234" s="177">
        <f t="shared" si="16"/>
        <v>30</v>
      </c>
      <c r="F234" s="179" t="str">
        <f>IFERROR(_xlfn.XLOOKUP($A234,Raw_Data!$B:$B,Raw_Data!$KG:$KG),"")</f>
        <v/>
      </c>
      <c r="G234" s="180" t="str">
        <f>IFERROR(_xlfn.XLOOKUP($A234,Raw_Data!$B:$B,Raw_Data!KH:KH),"")</f>
        <v/>
      </c>
      <c r="H234" s="180"/>
      <c r="I234" s="180" t="str">
        <f>IFERROR(_xlfn.XLOOKUP($A234,Raw_Data!$B:$B,Raw_Data!$KI:$KI),"")</f>
        <v/>
      </c>
      <c r="J234" s="180"/>
      <c r="K234" s="180" t="str">
        <f>IFERROR(_xlfn.XLOOKUP($A234,Raw_Data!$B:$B,Raw_Data!KJ:KJ),"")</f>
        <v/>
      </c>
      <c r="L234" s="180" t="str">
        <f>IFERROR(_xlfn.XLOOKUP($A234,Raw_Data!$B:$B,Raw_Data!KK:KK),"")</f>
        <v/>
      </c>
      <c r="M234" s="180" t="str">
        <f>IFERROR(_xlfn.XLOOKUP($A234,Raw_Data!$B:$B,Raw_Data!KL:KL),"")</f>
        <v/>
      </c>
      <c r="N234" s="180" t="str">
        <f>IFERROR(_xlfn.XLOOKUP($A234,Raw_Data!$B:$B,Raw_Data!KM:KM),"")</f>
        <v/>
      </c>
      <c r="O234" s="181" t="str">
        <f>IFERROR(1-SUMIF(PA!$B:$B,$A234,PA!AJ:AJ)/($AA234+SUMIF(PA!$B:$B,$A234,PA!AJ:AJ)),"")</f>
        <v/>
      </c>
      <c r="P234" s="181"/>
      <c r="Q234" s="182"/>
      <c r="R234" s="181" t="str">
        <f>IFERROR(1-SUMIF(GA!$C:$C,$A234,GA!$X:$X)/($AA234+SUMIF(GA!$C:$C,$A234,GA!$X:$X)),"")</f>
        <v/>
      </c>
      <c r="S234" s="177"/>
      <c r="T234" s="182"/>
      <c r="U234" s="183" t="str">
        <f t="shared" si="17"/>
        <v/>
      </c>
      <c r="V234" s="183" t="str">
        <f>IFERROR(_xlfn.XLOOKUP($A234,Raw_Data!$B:$B,Raw_Data!$KQ:$KQ),"")</f>
        <v/>
      </c>
      <c r="W234" s="184" t="str">
        <f t="shared" si="18"/>
        <v/>
      </c>
      <c r="X234" s="176" t="str">
        <f>IFERROR(_xlfn.XLOOKUP($A234,Raw_Data!$B:$B,Raw_Data!$KN:$KN),"")</f>
        <v/>
      </c>
      <c r="Y234" s="176" t="str">
        <f>IFERROR(_xlfn.XLOOKUP($A234,Raw_Data!$B:$B,Raw_Data!$KC:$KC),"")</f>
        <v/>
      </c>
      <c r="Z234" s="176" t="str">
        <f>IFERROR(_xlfn.XLOOKUP($A234,Raw_Data!$B:$B,Raw_Data!$KD:$KD),"")</f>
        <v/>
      </c>
      <c r="AA234" s="176" t="str">
        <f>IFERROR(_xlfn.XLOOKUP($A234,Raw_Data!$B:$B,Raw_Data!$KF:$KF),"")</f>
        <v/>
      </c>
      <c r="AB234" s="176" t="str">
        <f>IFERROR(_xlfn.XLOOKUP($A234,Raw_Data!$B:$B,Raw_Data!I:I)/1000,"")</f>
        <v/>
      </c>
      <c r="AC234" s="185">
        <f>IFERROR(_xlfn.XLOOKUP($D234,'Modelling New'!$D:$D,'Modelling New'!$P:$P),"")</f>
        <v>4.8166666666666664</v>
      </c>
      <c r="AD234" s="176">
        <f>IFERROR(_xlfn.XLOOKUP($D234,'Modelling New'!$D:$D,'Modelling New'!$T:$T)*1000,"")</f>
        <v>257094.44156617543</v>
      </c>
      <c r="AE234" s="186">
        <f>IFERROR(_xlfn.XLOOKUP($D234,'Modelling New'!$D:$D,'Modelling New'!$O:$O),"")</f>
        <v>0.79958068503716273</v>
      </c>
      <c r="AF234" s="186">
        <f>IFERROR(_xlfn.XLOOKUP($D234,'Modelling New'!$D:$D,'Modelling New'!$W:$W),"")</f>
        <v>0.16047140137204169</v>
      </c>
      <c r="AG234" s="186">
        <f>IFERROR(_xlfn.XLOOKUP($D234,'Modelling New'!$D:$D,'Modelling New'!$AE:$AE),"")</f>
        <v>0.995</v>
      </c>
      <c r="AH234" s="186">
        <f>IFERROR(_xlfn.XLOOKUP($D234,'Modelling New'!$D:$D,'Modelling New'!$AF:$AF),"")</f>
        <v>0.995</v>
      </c>
      <c r="AI234" s="177"/>
      <c r="AJ234" s="177"/>
      <c r="AK234" s="238"/>
      <c r="AL234" s="238"/>
      <c r="AM234" s="238"/>
      <c r="AN234" s="187"/>
      <c r="AO234" s="184"/>
      <c r="AP234" s="184"/>
      <c r="AQ234" s="184"/>
      <c r="AR234" s="176">
        <f>IFERROR(_xlfn.XLOOKUP($D233,'Modelling New'!$D:$D,'Modelling New'!$N:$N),"")</f>
        <v>66.754999999999995</v>
      </c>
      <c r="AS234" s="176"/>
    </row>
    <row r="235" spans="1:45" x14ac:dyDescent="0.25">
      <c r="A235" s="175">
        <f t="shared" si="15"/>
        <v>45978</v>
      </c>
      <c r="B235" s="176">
        <f>YEAR(Table13[[#This Row],[Date]])+IF(MONTH(Table13[[#This Row],[Date]])&gt;=4,1,0)</f>
        <v>2026</v>
      </c>
      <c r="C235" s="177">
        <f>YEAR(Table13[[#This Row],[Date]])</f>
        <v>2025</v>
      </c>
      <c r="D235" s="178">
        <f>Table13[[#This Row],[Date]]-DAY(Table13[[#This Row],[Date]])+1</f>
        <v>45962</v>
      </c>
      <c r="E235" s="177">
        <f t="shared" si="16"/>
        <v>30</v>
      </c>
      <c r="F235" s="179" t="str">
        <f>IFERROR(_xlfn.XLOOKUP($A235,Raw_Data!$B:$B,Raw_Data!$KG:$KG),"")</f>
        <v/>
      </c>
      <c r="G235" s="180" t="str">
        <f>IFERROR(_xlfn.XLOOKUP($A235,Raw_Data!$B:$B,Raw_Data!KH:KH),"")</f>
        <v/>
      </c>
      <c r="H235" s="180"/>
      <c r="I235" s="180" t="str">
        <f>IFERROR(_xlfn.XLOOKUP($A235,Raw_Data!$B:$B,Raw_Data!$KI:$KI),"")</f>
        <v/>
      </c>
      <c r="J235" s="180"/>
      <c r="K235" s="180" t="str">
        <f>IFERROR(_xlfn.XLOOKUP($A235,Raw_Data!$B:$B,Raw_Data!KJ:KJ),"")</f>
        <v/>
      </c>
      <c r="L235" s="180" t="str">
        <f>IFERROR(_xlfn.XLOOKUP($A235,Raw_Data!$B:$B,Raw_Data!KK:KK),"")</f>
        <v/>
      </c>
      <c r="M235" s="180" t="str">
        <f>IFERROR(_xlfn.XLOOKUP($A235,Raw_Data!$B:$B,Raw_Data!KL:KL),"")</f>
        <v/>
      </c>
      <c r="N235" s="180" t="str">
        <f>IFERROR(_xlfn.XLOOKUP($A235,Raw_Data!$B:$B,Raw_Data!KM:KM),"")</f>
        <v/>
      </c>
      <c r="O235" s="181" t="str">
        <f>IFERROR(1-SUMIF(PA!$B:$B,$A235,PA!AJ:AJ)/($AA235+SUMIF(PA!$B:$B,$A235,PA!AJ:AJ)),"")</f>
        <v/>
      </c>
      <c r="P235" s="181"/>
      <c r="Q235" s="182"/>
      <c r="R235" s="181" t="str">
        <f>IFERROR(1-SUMIF(GA!$C:$C,$A235,GA!$X:$X)/($AA235+SUMIF(GA!$C:$C,$A235,GA!$X:$X)),"")</f>
        <v/>
      </c>
      <c r="S235" s="177"/>
      <c r="T235" s="182"/>
      <c r="U235" s="183" t="str">
        <f t="shared" si="17"/>
        <v/>
      </c>
      <c r="V235" s="183" t="str">
        <f>IFERROR(_xlfn.XLOOKUP($A235,Raw_Data!$B:$B,Raw_Data!$KQ:$KQ),"")</f>
        <v/>
      </c>
      <c r="W235" s="184" t="str">
        <f t="shared" si="18"/>
        <v/>
      </c>
      <c r="X235" s="176" t="str">
        <f>IFERROR(_xlfn.XLOOKUP($A235,Raw_Data!$B:$B,Raw_Data!$KN:$KN),"")</f>
        <v/>
      </c>
      <c r="Y235" s="176" t="str">
        <f>IFERROR(_xlfn.XLOOKUP($A235,Raw_Data!$B:$B,Raw_Data!$KC:$KC),"")</f>
        <v/>
      </c>
      <c r="Z235" s="176" t="str">
        <f>IFERROR(_xlfn.XLOOKUP($A235,Raw_Data!$B:$B,Raw_Data!$KD:$KD),"")</f>
        <v/>
      </c>
      <c r="AA235" s="176" t="str">
        <f>IFERROR(_xlfn.XLOOKUP($A235,Raw_Data!$B:$B,Raw_Data!$KF:$KF),"")</f>
        <v/>
      </c>
      <c r="AB235" s="176" t="str">
        <f>IFERROR(_xlfn.XLOOKUP($A235,Raw_Data!$B:$B,Raw_Data!I:I)/1000,"")</f>
        <v/>
      </c>
      <c r="AC235" s="185">
        <f>IFERROR(_xlfn.XLOOKUP($D235,'Modelling New'!$D:$D,'Modelling New'!$P:$P),"")</f>
        <v>4.8166666666666664</v>
      </c>
      <c r="AD235" s="176">
        <f>IFERROR(_xlfn.XLOOKUP($D235,'Modelling New'!$D:$D,'Modelling New'!$T:$T)*1000,"")</f>
        <v>257094.44156617543</v>
      </c>
      <c r="AE235" s="186">
        <f>IFERROR(_xlfn.XLOOKUP($D235,'Modelling New'!$D:$D,'Modelling New'!$O:$O),"")</f>
        <v>0.79958068503716273</v>
      </c>
      <c r="AF235" s="186">
        <f>IFERROR(_xlfn.XLOOKUP($D235,'Modelling New'!$D:$D,'Modelling New'!$W:$W),"")</f>
        <v>0.16047140137204169</v>
      </c>
      <c r="AG235" s="186">
        <f>IFERROR(_xlfn.XLOOKUP($D235,'Modelling New'!$D:$D,'Modelling New'!$AE:$AE),"")</f>
        <v>0.995</v>
      </c>
      <c r="AH235" s="186">
        <f>IFERROR(_xlfn.XLOOKUP($D235,'Modelling New'!$D:$D,'Modelling New'!$AF:$AF),"")</f>
        <v>0.995</v>
      </c>
      <c r="AI235" s="177"/>
      <c r="AJ235" s="177"/>
      <c r="AK235" s="238"/>
      <c r="AL235" s="238"/>
      <c r="AM235" s="238"/>
      <c r="AN235" s="187"/>
      <c r="AO235" s="184"/>
      <c r="AP235" s="184"/>
      <c r="AQ235" s="184"/>
      <c r="AR235" s="176">
        <f>IFERROR(_xlfn.XLOOKUP($D234,'Modelling New'!$D:$D,'Modelling New'!$N:$N),"")</f>
        <v>66.754999999999995</v>
      </c>
      <c r="AS235" s="176"/>
    </row>
    <row r="236" spans="1:45" x14ac:dyDescent="0.25">
      <c r="A236" s="175">
        <f t="shared" si="15"/>
        <v>45979</v>
      </c>
      <c r="B236" s="176">
        <f>YEAR(Table13[[#This Row],[Date]])+IF(MONTH(Table13[[#This Row],[Date]])&gt;=4,1,0)</f>
        <v>2026</v>
      </c>
      <c r="C236" s="177">
        <f>YEAR(Table13[[#This Row],[Date]])</f>
        <v>2025</v>
      </c>
      <c r="D236" s="178">
        <f>Table13[[#This Row],[Date]]-DAY(Table13[[#This Row],[Date]])+1</f>
        <v>45962</v>
      </c>
      <c r="E236" s="177">
        <f t="shared" si="16"/>
        <v>30</v>
      </c>
      <c r="F236" s="179" t="str">
        <f>IFERROR(_xlfn.XLOOKUP($A236,Raw_Data!$B:$B,Raw_Data!$KG:$KG),"")</f>
        <v/>
      </c>
      <c r="G236" s="180" t="str">
        <f>IFERROR(_xlfn.XLOOKUP($A236,Raw_Data!$B:$B,Raw_Data!KH:KH),"")</f>
        <v/>
      </c>
      <c r="H236" s="180"/>
      <c r="I236" s="180" t="str">
        <f>IFERROR(_xlfn.XLOOKUP($A236,Raw_Data!$B:$B,Raw_Data!$KI:$KI),"")</f>
        <v/>
      </c>
      <c r="J236" s="180"/>
      <c r="K236" s="180" t="str">
        <f>IFERROR(_xlfn.XLOOKUP($A236,Raw_Data!$B:$B,Raw_Data!KJ:KJ),"")</f>
        <v/>
      </c>
      <c r="L236" s="180" t="str">
        <f>IFERROR(_xlfn.XLOOKUP($A236,Raw_Data!$B:$B,Raw_Data!KK:KK),"")</f>
        <v/>
      </c>
      <c r="M236" s="180" t="str">
        <f>IFERROR(_xlfn.XLOOKUP($A236,Raw_Data!$B:$B,Raw_Data!KL:KL),"")</f>
        <v/>
      </c>
      <c r="N236" s="180" t="str">
        <f>IFERROR(_xlfn.XLOOKUP($A236,Raw_Data!$B:$B,Raw_Data!KM:KM),"")</f>
        <v/>
      </c>
      <c r="O236" s="181" t="str">
        <f>IFERROR(1-SUMIF(PA!$B:$B,$A236,PA!AJ:AJ)/($AA236+SUMIF(PA!$B:$B,$A236,PA!AJ:AJ)),"")</f>
        <v/>
      </c>
      <c r="P236" s="181"/>
      <c r="Q236" s="182"/>
      <c r="R236" s="181" t="str">
        <f>IFERROR(1-SUMIF(GA!$C:$C,$A236,GA!$X:$X)/($AA236+SUMIF(GA!$C:$C,$A236,GA!$X:$X)),"")</f>
        <v/>
      </c>
      <c r="S236" s="177"/>
      <c r="T236" s="182"/>
      <c r="U236" s="183" t="str">
        <f t="shared" si="17"/>
        <v/>
      </c>
      <c r="V236" s="183" t="str">
        <f>IFERROR(_xlfn.XLOOKUP($A236,Raw_Data!$B:$B,Raw_Data!$KQ:$KQ),"")</f>
        <v/>
      </c>
      <c r="W236" s="184" t="str">
        <f t="shared" si="18"/>
        <v/>
      </c>
      <c r="X236" s="176" t="str">
        <f>IFERROR(_xlfn.XLOOKUP($A236,Raw_Data!$B:$B,Raw_Data!$KN:$KN),"")</f>
        <v/>
      </c>
      <c r="Y236" s="176" t="str">
        <f>IFERROR(_xlfn.XLOOKUP($A236,Raw_Data!$B:$B,Raw_Data!$KC:$KC),"")</f>
        <v/>
      </c>
      <c r="Z236" s="176" t="str">
        <f>IFERROR(_xlfn.XLOOKUP($A236,Raw_Data!$B:$B,Raw_Data!$KD:$KD),"")</f>
        <v/>
      </c>
      <c r="AA236" s="176" t="str">
        <f>IFERROR(_xlfn.XLOOKUP($A236,Raw_Data!$B:$B,Raw_Data!$KF:$KF),"")</f>
        <v/>
      </c>
      <c r="AB236" s="176" t="str">
        <f>IFERROR(_xlfn.XLOOKUP($A236,Raw_Data!$B:$B,Raw_Data!I:I)/1000,"")</f>
        <v/>
      </c>
      <c r="AC236" s="185">
        <f>IFERROR(_xlfn.XLOOKUP($D236,'Modelling New'!$D:$D,'Modelling New'!$P:$P),"")</f>
        <v>4.8166666666666664</v>
      </c>
      <c r="AD236" s="176">
        <f>IFERROR(_xlfn.XLOOKUP($D236,'Modelling New'!$D:$D,'Modelling New'!$T:$T)*1000,"")</f>
        <v>257094.44156617543</v>
      </c>
      <c r="AE236" s="186">
        <f>IFERROR(_xlfn.XLOOKUP($D236,'Modelling New'!$D:$D,'Modelling New'!$O:$O),"")</f>
        <v>0.79958068503716273</v>
      </c>
      <c r="AF236" s="186">
        <f>IFERROR(_xlfn.XLOOKUP($D236,'Modelling New'!$D:$D,'Modelling New'!$W:$W),"")</f>
        <v>0.16047140137204169</v>
      </c>
      <c r="AG236" s="186">
        <f>IFERROR(_xlfn.XLOOKUP($D236,'Modelling New'!$D:$D,'Modelling New'!$AE:$AE),"")</f>
        <v>0.995</v>
      </c>
      <c r="AH236" s="186">
        <f>IFERROR(_xlfn.XLOOKUP($D236,'Modelling New'!$D:$D,'Modelling New'!$AF:$AF),"")</f>
        <v>0.995</v>
      </c>
      <c r="AI236" s="177"/>
      <c r="AJ236" s="177"/>
      <c r="AK236" s="238"/>
      <c r="AL236" s="238"/>
      <c r="AM236" s="238"/>
      <c r="AN236" s="187"/>
      <c r="AO236" s="184"/>
      <c r="AP236" s="184"/>
      <c r="AQ236" s="184"/>
      <c r="AR236" s="176">
        <f>IFERROR(_xlfn.XLOOKUP($D235,'Modelling New'!$D:$D,'Modelling New'!$N:$N),"")</f>
        <v>66.754999999999995</v>
      </c>
      <c r="AS236" s="176"/>
    </row>
    <row r="237" spans="1:45" x14ac:dyDescent="0.25">
      <c r="A237" s="175">
        <f t="shared" si="15"/>
        <v>45980</v>
      </c>
      <c r="B237" s="176">
        <f>YEAR(Table13[[#This Row],[Date]])+IF(MONTH(Table13[[#This Row],[Date]])&gt;=4,1,0)</f>
        <v>2026</v>
      </c>
      <c r="C237" s="177">
        <f>YEAR(Table13[[#This Row],[Date]])</f>
        <v>2025</v>
      </c>
      <c r="D237" s="178">
        <f>Table13[[#This Row],[Date]]-DAY(Table13[[#This Row],[Date]])+1</f>
        <v>45962</v>
      </c>
      <c r="E237" s="177">
        <f t="shared" si="16"/>
        <v>30</v>
      </c>
      <c r="F237" s="179" t="str">
        <f>IFERROR(_xlfn.XLOOKUP($A237,Raw_Data!$B:$B,Raw_Data!$KG:$KG),"")</f>
        <v/>
      </c>
      <c r="G237" s="180" t="str">
        <f>IFERROR(_xlfn.XLOOKUP($A237,Raw_Data!$B:$B,Raw_Data!KH:KH),"")</f>
        <v/>
      </c>
      <c r="H237" s="180"/>
      <c r="I237" s="180" t="str">
        <f>IFERROR(_xlfn.XLOOKUP($A237,Raw_Data!$B:$B,Raw_Data!$KI:$KI),"")</f>
        <v/>
      </c>
      <c r="J237" s="180"/>
      <c r="K237" s="180" t="str">
        <f>IFERROR(_xlfn.XLOOKUP($A237,Raw_Data!$B:$B,Raw_Data!KJ:KJ),"")</f>
        <v/>
      </c>
      <c r="L237" s="180" t="str">
        <f>IFERROR(_xlfn.XLOOKUP($A237,Raw_Data!$B:$B,Raw_Data!KK:KK),"")</f>
        <v/>
      </c>
      <c r="M237" s="180" t="str">
        <f>IFERROR(_xlfn.XLOOKUP($A237,Raw_Data!$B:$B,Raw_Data!KL:KL),"")</f>
        <v/>
      </c>
      <c r="N237" s="180" t="str">
        <f>IFERROR(_xlfn.XLOOKUP($A237,Raw_Data!$B:$B,Raw_Data!KM:KM),"")</f>
        <v/>
      </c>
      <c r="O237" s="181" t="str">
        <f>IFERROR(1-SUMIF(PA!$B:$B,$A237,PA!AJ:AJ)/($AA237+SUMIF(PA!$B:$B,$A237,PA!AJ:AJ)),"")</f>
        <v/>
      </c>
      <c r="P237" s="181"/>
      <c r="Q237" s="182"/>
      <c r="R237" s="181" t="str">
        <f>IFERROR(1-SUMIF(GA!$C:$C,$A237,GA!$X:$X)/($AA237+SUMIF(GA!$C:$C,$A237,GA!$X:$X)),"")</f>
        <v/>
      </c>
      <c r="S237" s="177"/>
      <c r="T237" s="182"/>
      <c r="U237" s="183" t="str">
        <f t="shared" si="17"/>
        <v/>
      </c>
      <c r="V237" s="183" t="str">
        <f>IFERROR(_xlfn.XLOOKUP($A237,Raw_Data!$B:$B,Raw_Data!$KQ:$KQ),"")</f>
        <v/>
      </c>
      <c r="W237" s="184" t="str">
        <f t="shared" si="18"/>
        <v/>
      </c>
      <c r="X237" s="176" t="str">
        <f>IFERROR(_xlfn.XLOOKUP($A237,Raw_Data!$B:$B,Raw_Data!$KN:$KN),"")</f>
        <v/>
      </c>
      <c r="Y237" s="176" t="str">
        <f>IFERROR(_xlfn.XLOOKUP($A237,Raw_Data!$B:$B,Raw_Data!$KC:$KC),"")</f>
        <v/>
      </c>
      <c r="Z237" s="176" t="str">
        <f>IFERROR(_xlfn.XLOOKUP($A237,Raw_Data!$B:$B,Raw_Data!$KD:$KD),"")</f>
        <v/>
      </c>
      <c r="AA237" s="176" t="str">
        <f>IFERROR(_xlfn.XLOOKUP($A237,Raw_Data!$B:$B,Raw_Data!$KF:$KF),"")</f>
        <v/>
      </c>
      <c r="AB237" s="176" t="str">
        <f>IFERROR(_xlfn.XLOOKUP($A237,Raw_Data!$B:$B,Raw_Data!I:I)/1000,"")</f>
        <v/>
      </c>
      <c r="AC237" s="185">
        <f>IFERROR(_xlfn.XLOOKUP($D237,'Modelling New'!$D:$D,'Modelling New'!$P:$P),"")</f>
        <v>4.8166666666666664</v>
      </c>
      <c r="AD237" s="176">
        <f>IFERROR(_xlfn.XLOOKUP($D237,'Modelling New'!$D:$D,'Modelling New'!$T:$T)*1000,"")</f>
        <v>257094.44156617543</v>
      </c>
      <c r="AE237" s="186">
        <f>IFERROR(_xlfn.XLOOKUP($D237,'Modelling New'!$D:$D,'Modelling New'!$O:$O),"")</f>
        <v>0.79958068503716273</v>
      </c>
      <c r="AF237" s="186">
        <f>IFERROR(_xlfn.XLOOKUP($D237,'Modelling New'!$D:$D,'Modelling New'!$W:$W),"")</f>
        <v>0.16047140137204169</v>
      </c>
      <c r="AG237" s="186">
        <f>IFERROR(_xlfn.XLOOKUP($D237,'Modelling New'!$D:$D,'Modelling New'!$AE:$AE),"")</f>
        <v>0.995</v>
      </c>
      <c r="AH237" s="186">
        <f>IFERROR(_xlfn.XLOOKUP($D237,'Modelling New'!$D:$D,'Modelling New'!$AF:$AF),"")</f>
        <v>0.995</v>
      </c>
      <c r="AI237" s="177"/>
      <c r="AJ237" s="177"/>
      <c r="AK237" s="238"/>
      <c r="AL237" s="238"/>
      <c r="AM237" s="238"/>
      <c r="AN237" s="187"/>
      <c r="AO237" s="184"/>
      <c r="AP237" s="184"/>
      <c r="AQ237" s="184"/>
      <c r="AR237" s="176">
        <f>IFERROR(_xlfn.XLOOKUP($D236,'Modelling New'!$D:$D,'Modelling New'!$N:$N),"")</f>
        <v>66.754999999999995</v>
      </c>
      <c r="AS237" s="176"/>
    </row>
    <row r="238" spans="1:45" x14ac:dyDescent="0.25">
      <c r="A238" s="175">
        <f t="shared" si="15"/>
        <v>45981</v>
      </c>
      <c r="B238" s="176">
        <f>YEAR(Table13[[#This Row],[Date]])+IF(MONTH(Table13[[#This Row],[Date]])&gt;=4,1,0)</f>
        <v>2026</v>
      </c>
      <c r="C238" s="177">
        <f>YEAR(Table13[[#This Row],[Date]])</f>
        <v>2025</v>
      </c>
      <c r="D238" s="178">
        <f>Table13[[#This Row],[Date]]-DAY(Table13[[#This Row],[Date]])+1</f>
        <v>45962</v>
      </c>
      <c r="E238" s="177">
        <f t="shared" si="16"/>
        <v>30</v>
      </c>
      <c r="F238" s="179" t="str">
        <f>IFERROR(_xlfn.XLOOKUP($A238,Raw_Data!$B:$B,Raw_Data!$KG:$KG),"")</f>
        <v/>
      </c>
      <c r="G238" s="180" t="str">
        <f>IFERROR(_xlfn.XLOOKUP($A238,Raw_Data!$B:$B,Raw_Data!KH:KH),"")</f>
        <v/>
      </c>
      <c r="H238" s="180"/>
      <c r="I238" s="180" t="str">
        <f>IFERROR(_xlfn.XLOOKUP($A238,Raw_Data!$B:$B,Raw_Data!$KI:$KI),"")</f>
        <v/>
      </c>
      <c r="J238" s="180"/>
      <c r="K238" s="180" t="str">
        <f>IFERROR(_xlfn.XLOOKUP($A238,Raw_Data!$B:$B,Raw_Data!KJ:KJ),"")</f>
        <v/>
      </c>
      <c r="L238" s="180" t="str">
        <f>IFERROR(_xlfn.XLOOKUP($A238,Raw_Data!$B:$B,Raw_Data!KK:KK),"")</f>
        <v/>
      </c>
      <c r="M238" s="180" t="str">
        <f>IFERROR(_xlfn.XLOOKUP($A238,Raw_Data!$B:$B,Raw_Data!KL:KL),"")</f>
        <v/>
      </c>
      <c r="N238" s="180" t="str">
        <f>IFERROR(_xlfn.XLOOKUP($A238,Raw_Data!$B:$B,Raw_Data!KM:KM),"")</f>
        <v/>
      </c>
      <c r="O238" s="181" t="str">
        <f>IFERROR(1-SUMIF(PA!$B:$B,$A238,PA!AJ:AJ)/($AA238+SUMIF(PA!$B:$B,$A238,PA!AJ:AJ)),"")</f>
        <v/>
      </c>
      <c r="P238" s="181"/>
      <c r="Q238" s="182"/>
      <c r="R238" s="181" t="str">
        <f>IFERROR(1-SUMIF(GA!$C:$C,$A238,GA!$X:$X)/($AA238+SUMIF(GA!$C:$C,$A238,GA!$X:$X)),"")</f>
        <v/>
      </c>
      <c r="S238" s="177"/>
      <c r="T238" s="182"/>
      <c r="U238" s="183" t="str">
        <f t="shared" si="17"/>
        <v/>
      </c>
      <c r="V238" s="183" t="str">
        <f>IFERROR(_xlfn.XLOOKUP($A238,Raw_Data!$B:$B,Raw_Data!$KQ:$KQ),"")</f>
        <v/>
      </c>
      <c r="W238" s="184" t="str">
        <f t="shared" si="18"/>
        <v/>
      </c>
      <c r="X238" s="176" t="str">
        <f>IFERROR(_xlfn.XLOOKUP($A238,Raw_Data!$B:$B,Raw_Data!$KN:$KN),"")</f>
        <v/>
      </c>
      <c r="Y238" s="176" t="str">
        <f>IFERROR(_xlfn.XLOOKUP($A238,Raw_Data!$B:$B,Raw_Data!$KC:$KC),"")</f>
        <v/>
      </c>
      <c r="Z238" s="176" t="str">
        <f>IFERROR(_xlfn.XLOOKUP($A238,Raw_Data!$B:$B,Raw_Data!$KD:$KD),"")</f>
        <v/>
      </c>
      <c r="AA238" s="176" t="str">
        <f>IFERROR(_xlfn.XLOOKUP($A238,Raw_Data!$B:$B,Raw_Data!$KF:$KF),"")</f>
        <v/>
      </c>
      <c r="AB238" s="176" t="str">
        <f>IFERROR(_xlfn.XLOOKUP($A238,Raw_Data!$B:$B,Raw_Data!I:I)/1000,"")</f>
        <v/>
      </c>
      <c r="AC238" s="185">
        <f>IFERROR(_xlfn.XLOOKUP($D238,'Modelling New'!$D:$D,'Modelling New'!$P:$P),"")</f>
        <v>4.8166666666666664</v>
      </c>
      <c r="AD238" s="176">
        <f>IFERROR(_xlfn.XLOOKUP($D238,'Modelling New'!$D:$D,'Modelling New'!$T:$T)*1000,"")</f>
        <v>257094.44156617543</v>
      </c>
      <c r="AE238" s="186">
        <f>IFERROR(_xlfn.XLOOKUP($D238,'Modelling New'!$D:$D,'Modelling New'!$O:$O),"")</f>
        <v>0.79958068503716273</v>
      </c>
      <c r="AF238" s="186">
        <f>IFERROR(_xlfn.XLOOKUP($D238,'Modelling New'!$D:$D,'Modelling New'!$W:$W),"")</f>
        <v>0.16047140137204169</v>
      </c>
      <c r="AG238" s="186">
        <f>IFERROR(_xlfn.XLOOKUP($D238,'Modelling New'!$D:$D,'Modelling New'!$AE:$AE),"")</f>
        <v>0.995</v>
      </c>
      <c r="AH238" s="186">
        <f>IFERROR(_xlfn.XLOOKUP($D238,'Modelling New'!$D:$D,'Modelling New'!$AF:$AF),"")</f>
        <v>0.995</v>
      </c>
      <c r="AI238" s="177"/>
      <c r="AJ238" s="177"/>
      <c r="AK238" s="238"/>
      <c r="AL238" s="238"/>
      <c r="AM238" s="238"/>
      <c r="AN238" s="187"/>
      <c r="AO238" s="184"/>
      <c r="AP238" s="184"/>
      <c r="AQ238" s="184"/>
      <c r="AR238" s="176">
        <f>IFERROR(_xlfn.XLOOKUP($D237,'Modelling New'!$D:$D,'Modelling New'!$N:$N),"")</f>
        <v>66.754999999999995</v>
      </c>
      <c r="AS238" s="176"/>
    </row>
    <row r="239" spans="1:45" x14ac:dyDescent="0.25">
      <c r="A239" s="175">
        <f t="shared" si="15"/>
        <v>45982</v>
      </c>
      <c r="B239" s="176">
        <f>YEAR(Table13[[#This Row],[Date]])+IF(MONTH(Table13[[#This Row],[Date]])&gt;=4,1,0)</f>
        <v>2026</v>
      </c>
      <c r="C239" s="177">
        <f>YEAR(Table13[[#This Row],[Date]])</f>
        <v>2025</v>
      </c>
      <c r="D239" s="178">
        <f>Table13[[#This Row],[Date]]-DAY(Table13[[#This Row],[Date]])+1</f>
        <v>45962</v>
      </c>
      <c r="E239" s="177">
        <f t="shared" si="16"/>
        <v>30</v>
      </c>
      <c r="F239" s="179" t="str">
        <f>IFERROR(_xlfn.XLOOKUP($A239,Raw_Data!$B:$B,Raw_Data!$KG:$KG),"")</f>
        <v/>
      </c>
      <c r="G239" s="180" t="str">
        <f>IFERROR(_xlfn.XLOOKUP($A239,Raw_Data!$B:$B,Raw_Data!KH:KH),"")</f>
        <v/>
      </c>
      <c r="H239" s="180"/>
      <c r="I239" s="180" t="str">
        <f>IFERROR(_xlfn.XLOOKUP($A239,Raw_Data!$B:$B,Raw_Data!$KI:$KI),"")</f>
        <v/>
      </c>
      <c r="J239" s="180"/>
      <c r="K239" s="180" t="str">
        <f>IFERROR(_xlfn.XLOOKUP($A239,Raw_Data!$B:$B,Raw_Data!KJ:KJ),"")</f>
        <v/>
      </c>
      <c r="L239" s="180" t="str">
        <f>IFERROR(_xlfn.XLOOKUP($A239,Raw_Data!$B:$B,Raw_Data!KK:KK),"")</f>
        <v/>
      </c>
      <c r="M239" s="180" t="str">
        <f>IFERROR(_xlfn.XLOOKUP($A239,Raw_Data!$B:$B,Raw_Data!KL:KL),"")</f>
        <v/>
      </c>
      <c r="N239" s="180" t="str">
        <f>IFERROR(_xlfn.XLOOKUP($A239,Raw_Data!$B:$B,Raw_Data!KM:KM),"")</f>
        <v/>
      </c>
      <c r="O239" s="181" t="str">
        <f>IFERROR(1-SUMIF(PA!$B:$B,$A239,PA!AJ:AJ)/($AA239+SUMIF(PA!$B:$B,$A239,PA!AJ:AJ)),"")</f>
        <v/>
      </c>
      <c r="P239" s="181"/>
      <c r="Q239" s="182"/>
      <c r="R239" s="181" t="str">
        <f>IFERROR(1-SUMIF(GA!$C:$C,$A239,GA!$X:$X)/($AA239+SUMIF(GA!$C:$C,$A239,GA!$X:$X)),"")</f>
        <v/>
      </c>
      <c r="S239" s="177"/>
      <c r="T239" s="182"/>
      <c r="U239" s="183" t="str">
        <f t="shared" si="17"/>
        <v/>
      </c>
      <c r="V239" s="183" t="str">
        <f>IFERROR(_xlfn.XLOOKUP($A239,Raw_Data!$B:$B,Raw_Data!$KQ:$KQ),"")</f>
        <v/>
      </c>
      <c r="W239" s="184" t="str">
        <f t="shared" si="18"/>
        <v/>
      </c>
      <c r="X239" s="176" t="str">
        <f>IFERROR(_xlfn.XLOOKUP($A239,Raw_Data!$B:$B,Raw_Data!$KN:$KN),"")</f>
        <v/>
      </c>
      <c r="Y239" s="176" t="str">
        <f>IFERROR(_xlfn.XLOOKUP($A239,Raw_Data!$B:$B,Raw_Data!$KC:$KC),"")</f>
        <v/>
      </c>
      <c r="Z239" s="176" t="str">
        <f>IFERROR(_xlfn.XLOOKUP($A239,Raw_Data!$B:$B,Raw_Data!$KD:$KD),"")</f>
        <v/>
      </c>
      <c r="AA239" s="176" t="str">
        <f>IFERROR(_xlfn.XLOOKUP($A239,Raw_Data!$B:$B,Raw_Data!$KF:$KF),"")</f>
        <v/>
      </c>
      <c r="AB239" s="176" t="str">
        <f>IFERROR(_xlfn.XLOOKUP($A239,Raw_Data!$B:$B,Raw_Data!I:I)/1000,"")</f>
        <v/>
      </c>
      <c r="AC239" s="185">
        <f>IFERROR(_xlfn.XLOOKUP($D239,'Modelling New'!$D:$D,'Modelling New'!$P:$P),"")</f>
        <v>4.8166666666666664</v>
      </c>
      <c r="AD239" s="176">
        <f>IFERROR(_xlfn.XLOOKUP($D239,'Modelling New'!$D:$D,'Modelling New'!$T:$T)*1000,"")</f>
        <v>257094.44156617543</v>
      </c>
      <c r="AE239" s="186">
        <f>IFERROR(_xlfn.XLOOKUP($D239,'Modelling New'!$D:$D,'Modelling New'!$O:$O),"")</f>
        <v>0.79958068503716273</v>
      </c>
      <c r="AF239" s="186">
        <f>IFERROR(_xlfn.XLOOKUP($D239,'Modelling New'!$D:$D,'Modelling New'!$W:$W),"")</f>
        <v>0.16047140137204169</v>
      </c>
      <c r="AG239" s="186">
        <f>IFERROR(_xlfn.XLOOKUP($D239,'Modelling New'!$D:$D,'Modelling New'!$AE:$AE),"")</f>
        <v>0.995</v>
      </c>
      <c r="AH239" s="186">
        <f>IFERROR(_xlfn.XLOOKUP($D239,'Modelling New'!$D:$D,'Modelling New'!$AF:$AF),"")</f>
        <v>0.995</v>
      </c>
      <c r="AI239" s="177"/>
      <c r="AJ239" s="177"/>
      <c r="AK239" s="238"/>
      <c r="AL239" s="238"/>
      <c r="AM239" s="238"/>
      <c r="AN239" s="187"/>
      <c r="AO239" s="184"/>
      <c r="AP239" s="184"/>
      <c r="AQ239" s="184"/>
      <c r="AR239" s="176">
        <f>IFERROR(_xlfn.XLOOKUP($D238,'Modelling New'!$D:$D,'Modelling New'!$N:$N),"")</f>
        <v>66.754999999999995</v>
      </c>
      <c r="AS239" s="176"/>
    </row>
    <row r="240" spans="1:45" x14ac:dyDescent="0.25">
      <c r="A240" s="175">
        <f t="shared" si="15"/>
        <v>45983</v>
      </c>
      <c r="B240" s="176">
        <f>YEAR(Table13[[#This Row],[Date]])+IF(MONTH(Table13[[#This Row],[Date]])&gt;=4,1,0)</f>
        <v>2026</v>
      </c>
      <c r="C240" s="177">
        <f>YEAR(Table13[[#This Row],[Date]])</f>
        <v>2025</v>
      </c>
      <c r="D240" s="178">
        <f>Table13[[#This Row],[Date]]-DAY(Table13[[#This Row],[Date]])+1</f>
        <v>45962</v>
      </c>
      <c r="E240" s="177">
        <f t="shared" si="16"/>
        <v>30</v>
      </c>
      <c r="F240" s="179" t="str">
        <f>IFERROR(_xlfn.XLOOKUP($A240,Raw_Data!$B:$B,Raw_Data!$KG:$KG),"")</f>
        <v/>
      </c>
      <c r="G240" s="180" t="str">
        <f>IFERROR(_xlfn.XLOOKUP($A240,Raw_Data!$B:$B,Raw_Data!KH:KH),"")</f>
        <v/>
      </c>
      <c r="H240" s="180"/>
      <c r="I240" s="180" t="str">
        <f>IFERROR(_xlfn.XLOOKUP($A240,Raw_Data!$B:$B,Raw_Data!$KI:$KI),"")</f>
        <v/>
      </c>
      <c r="J240" s="180"/>
      <c r="K240" s="180" t="str">
        <f>IFERROR(_xlfn.XLOOKUP($A240,Raw_Data!$B:$B,Raw_Data!KJ:KJ),"")</f>
        <v/>
      </c>
      <c r="L240" s="180" t="str">
        <f>IFERROR(_xlfn.XLOOKUP($A240,Raw_Data!$B:$B,Raw_Data!KK:KK),"")</f>
        <v/>
      </c>
      <c r="M240" s="180" t="str">
        <f>IFERROR(_xlfn.XLOOKUP($A240,Raw_Data!$B:$B,Raw_Data!KL:KL),"")</f>
        <v/>
      </c>
      <c r="N240" s="180" t="str">
        <f>IFERROR(_xlfn.XLOOKUP($A240,Raw_Data!$B:$B,Raw_Data!KM:KM),"")</f>
        <v/>
      </c>
      <c r="O240" s="181" t="str">
        <f>IFERROR(1-SUMIF(PA!$B:$B,$A240,PA!AJ:AJ)/($AA240+SUMIF(PA!$B:$B,$A240,PA!AJ:AJ)),"")</f>
        <v/>
      </c>
      <c r="P240" s="181"/>
      <c r="Q240" s="182"/>
      <c r="R240" s="181" t="str">
        <f>IFERROR(1-SUMIF(GA!$C:$C,$A240,GA!$X:$X)/($AA240+SUMIF(GA!$C:$C,$A240,GA!$X:$X)),"")</f>
        <v/>
      </c>
      <c r="S240" s="177"/>
      <c r="T240" s="182"/>
      <c r="U240" s="183" t="str">
        <f t="shared" si="17"/>
        <v/>
      </c>
      <c r="V240" s="183" t="str">
        <f>IFERROR(_xlfn.XLOOKUP($A240,Raw_Data!$B:$B,Raw_Data!$KQ:$KQ),"")</f>
        <v/>
      </c>
      <c r="W240" s="184" t="str">
        <f t="shared" si="18"/>
        <v/>
      </c>
      <c r="X240" s="176" t="str">
        <f>IFERROR(_xlfn.XLOOKUP($A240,Raw_Data!$B:$B,Raw_Data!$KN:$KN),"")</f>
        <v/>
      </c>
      <c r="Y240" s="176" t="str">
        <f>IFERROR(_xlfn.XLOOKUP($A240,Raw_Data!$B:$B,Raw_Data!$KC:$KC),"")</f>
        <v/>
      </c>
      <c r="Z240" s="176" t="str">
        <f>IFERROR(_xlfn.XLOOKUP($A240,Raw_Data!$B:$B,Raw_Data!$KD:$KD),"")</f>
        <v/>
      </c>
      <c r="AA240" s="176" t="str">
        <f>IFERROR(_xlfn.XLOOKUP($A240,Raw_Data!$B:$B,Raw_Data!$KF:$KF),"")</f>
        <v/>
      </c>
      <c r="AB240" s="176" t="str">
        <f>IFERROR(_xlfn.XLOOKUP($A240,Raw_Data!$B:$B,Raw_Data!I:I)/1000,"")</f>
        <v/>
      </c>
      <c r="AC240" s="185">
        <f>IFERROR(_xlfn.XLOOKUP($D240,'Modelling New'!$D:$D,'Modelling New'!$P:$P),"")</f>
        <v>4.8166666666666664</v>
      </c>
      <c r="AD240" s="176">
        <f>IFERROR(_xlfn.XLOOKUP($D240,'Modelling New'!$D:$D,'Modelling New'!$T:$T)*1000,"")</f>
        <v>257094.44156617543</v>
      </c>
      <c r="AE240" s="186">
        <f>IFERROR(_xlfn.XLOOKUP($D240,'Modelling New'!$D:$D,'Modelling New'!$O:$O),"")</f>
        <v>0.79958068503716273</v>
      </c>
      <c r="AF240" s="186">
        <f>IFERROR(_xlfn.XLOOKUP($D240,'Modelling New'!$D:$D,'Modelling New'!$W:$W),"")</f>
        <v>0.16047140137204169</v>
      </c>
      <c r="AG240" s="186">
        <f>IFERROR(_xlfn.XLOOKUP($D240,'Modelling New'!$D:$D,'Modelling New'!$AE:$AE),"")</f>
        <v>0.995</v>
      </c>
      <c r="AH240" s="186">
        <f>IFERROR(_xlfn.XLOOKUP($D240,'Modelling New'!$D:$D,'Modelling New'!$AF:$AF),"")</f>
        <v>0.995</v>
      </c>
      <c r="AI240" s="177"/>
      <c r="AJ240" s="177"/>
      <c r="AK240" s="238"/>
      <c r="AL240" s="238"/>
      <c r="AM240" s="238"/>
      <c r="AN240" s="187"/>
      <c r="AO240" s="184"/>
      <c r="AP240" s="184"/>
      <c r="AQ240" s="184"/>
      <c r="AR240" s="176">
        <f>IFERROR(_xlfn.XLOOKUP($D239,'Modelling New'!$D:$D,'Modelling New'!$N:$N),"")</f>
        <v>66.754999999999995</v>
      </c>
      <c r="AS240" s="176"/>
    </row>
    <row r="241" spans="1:45" x14ac:dyDescent="0.25">
      <c r="A241" s="175">
        <f t="shared" si="15"/>
        <v>45984</v>
      </c>
      <c r="B241" s="176">
        <f>YEAR(Table13[[#This Row],[Date]])+IF(MONTH(Table13[[#This Row],[Date]])&gt;=4,1,0)</f>
        <v>2026</v>
      </c>
      <c r="C241" s="177">
        <f>YEAR(Table13[[#This Row],[Date]])</f>
        <v>2025</v>
      </c>
      <c r="D241" s="178">
        <f>Table13[[#This Row],[Date]]-DAY(Table13[[#This Row],[Date]])+1</f>
        <v>45962</v>
      </c>
      <c r="E241" s="177">
        <f t="shared" si="16"/>
        <v>30</v>
      </c>
      <c r="F241" s="179" t="str">
        <f>IFERROR(_xlfn.XLOOKUP($A241,Raw_Data!$B:$B,Raw_Data!$KG:$KG),"")</f>
        <v/>
      </c>
      <c r="G241" s="180" t="str">
        <f>IFERROR(_xlfn.XLOOKUP($A241,Raw_Data!$B:$B,Raw_Data!KH:KH),"")</f>
        <v/>
      </c>
      <c r="H241" s="180"/>
      <c r="I241" s="180" t="str">
        <f>IFERROR(_xlfn.XLOOKUP($A241,Raw_Data!$B:$B,Raw_Data!$KI:$KI),"")</f>
        <v/>
      </c>
      <c r="J241" s="180"/>
      <c r="K241" s="180" t="str">
        <f>IFERROR(_xlfn.XLOOKUP($A241,Raw_Data!$B:$B,Raw_Data!KJ:KJ),"")</f>
        <v/>
      </c>
      <c r="L241" s="180" t="str">
        <f>IFERROR(_xlfn.XLOOKUP($A241,Raw_Data!$B:$B,Raw_Data!KK:KK),"")</f>
        <v/>
      </c>
      <c r="M241" s="180" t="str">
        <f>IFERROR(_xlfn.XLOOKUP($A241,Raw_Data!$B:$B,Raw_Data!KL:KL),"")</f>
        <v/>
      </c>
      <c r="N241" s="180" t="str">
        <f>IFERROR(_xlfn.XLOOKUP($A241,Raw_Data!$B:$B,Raw_Data!KM:KM),"")</f>
        <v/>
      </c>
      <c r="O241" s="181" t="str">
        <f>IFERROR(1-SUMIF(PA!$B:$B,$A241,PA!AJ:AJ)/($AA241+SUMIF(PA!$B:$B,$A241,PA!AJ:AJ)),"")</f>
        <v/>
      </c>
      <c r="P241" s="181"/>
      <c r="Q241" s="182"/>
      <c r="R241" s="181" t="str">
        <f>IFERROR(1-SUMIF(GA!$C:$C,$A241,GA!$X:$X)/($AA241+SUMIF(GA!$C:$C,$A241,GA!$X:$X)),"")</f>
        <v/>
      </c>
      <c r="S241" s="177"/>
      <c r="T241" s="182"/>
      <c r="U241" s="183" t="str">
        <f t="shared" si="17"/>
        <v/>
      </c>
      <c r="V241" s="183" t="str">
        <f>IFERROR(_xlfn.XLOOKUP($A241,Raw_Data!$B:$B,Raw_Data!$KQ:$KQ),"")</f>
        <v/>
      </c>
      <c r="W241" s="184" t="str">
        <f t="shared" si="18"/>
        <v/>
      </c>
      <c r="X241" s="176" t="str">
        <f>IFERROR(_xlfn.XLOOKUP($A241,Raw_Data!$B:$B,Raw_Data!$KN:$KN),"")</f>
        <v/>
      </c>
      <c r="Y241" s="176" t="str">
        <f>IFERROR(_xlfn.XLOOKUP($A241,Raw_Data!$B:$B,Raw_Data!$KC:$KC),"")</f>
        <v/>
      </c>
      <c r="Z241" s="176" t="str">
        <f>IFERROR(_xlfn.XLOOKUP($A241,Raw_Data!$B:$B,Raw_Data!$KD:$KD),"")</f>
        <v/>
      </c>
      <c r="AA241" s="176" t="str">
        <f>IFERROR(_xlfn.XLOOKUP($A241,Raw_Data!$B:$B,Raw_Data!$KF:$KF),"")</f>
        <v/>
      </c>
      <c r="AB241" s="176" t="str">
        <f>IFERROR(_xlfn.XLOOKUP($A241,Raw_Data!$B:$B,Raw_Data!I:I)/1000,"")</f>
        <v/>
      </c>
      <c r="AC241" s="185">
        <f>IFERROR(_xlfn.XLOOKUP($D241,'Modelling New'!$D:$D,'Modelling New'!$P:$P),"")</f>
        <v>4.8166666666666664</v>
      </c>
      <c r="AD241" s="176">
        <f>IFERROR(_xlfn.XLOOKUP($D241,'Modelling New'!$D:$D,'Modelling New'!$T:$T)*1000,"")</f>
        <v>257094.44156617543</v>
      </c>
      <c r="AE241" s="186">
        <f>IFERROR(_xlfn.XLOOKUP($D241,'Modelling New'!$D:$D,'Modelling New'!$O:$O),"")</f>
        <v>0.79958068503716273</v>
      </c>
      <c r="AF241" s="186">
        <f>IFERROR(_xlfn.XLOOKUP($D241,'Modelling New'!$D:$D,'Modelling New'!$W:$W),"")</f>
        <v>0.16047140137204169</v>
      </c>
      <c r="AG241" s="186">
        <f>IFERROR(_xlfn.XLOOKUP($D241,'Modelling New'!$D:$D,'Modelling New'!$AE:$AE),"")</f>
        <v>0.995</v>
      </c>
      <c r="AH241" s="186">
        <f>IFERROR(_xlfn.XLOOKUP($D241,'Modelling New'!$D:$D,'Modelling New'!$AF:$AF),"")</f>
        <v>0.995</v>
      </c>
      <c r="AI241" s="177"/>
      <c r="AJ241" s="177"/>
      <c r="AK241" s="238"/>
      <c r="AL241" s="238"/>
      <c r="AM241" s="238"/>
      <c r="AN241" s="187"/>
      <c r="AO241" s="184"/>
      <c r="AP241" s="184"/>
      <c r="AQ241" s="184"/>
      <c r="AR241" s="176">
        <f>IFERROR(_xlfn.XLOOKUP($D240,'Modelling New'!$D:$D,'Modelling New'!$N:$N),"")</f>
        <v>66.754999999999995</v>
      </c>
      <c r="AS241" s="176"/>
    </row>
    <row r="242" spans="1:45" x14ac:dyDescent="0.25">
      <c r="A242" s="175">
        <f t="shared" si="15"/>
        <v>45985</v>
      </c>
      <c r="B242" s="176">
        <f>YEAR(Table13[[#This Row],[Date]])+IF(MONTH(Table13[[#This Row],[Date]])&gt;=4,1,0)</f>
        <v>2026</v>
      </c>
      <c r="C242" s="177">
        <f>YEAR(Table13[[#This Row],[Date]])</f>
        <v>2025</v>
      </c>
      <c r="D242" s="178">
        <f>Table13[[#This Row],[Date]]-DAY(Table13[[#This Row],[Date]])+1</f>
        <v>45962</v>
      </c>
      <c r="E242" s="177">
        <f t="shared" si="16"/>
        <v>30</v>
      </c>
      <c r="F242" s="179" t="str">
        <f>IFERROR(_xlfn.XLOOKUP($A242,Raw_Data!$B:$B,Raw_Data!$KG:$KG),"")</f>
        <v/>
      </c>
      <c r="G242" s="180" t="str">
        <f>IFERROR(_xlfn.XLOOKUP($A242,Raw_Data!$B:$B,Raw_Data!KH:KH),"")</f>
        <v/>
      </c>
      <c r="H242" s="180"/>
      <c r="I242" s="180" t="str">
        <f>IFERROR(_xlfn.XLOOKUP($A242,Raw_Data!$B:$B,Raw_Data!$KI:$KI),"")</f>
        <v/>
      </c>
      <c r="J242" s="180"/>
      <c r="K242" s="180" t="str">
        <f>IFERROR(_xlfn.XLOOKUP($A242,Raw_Data!$B:$B,Raw_Data!KJ:KJ),"")</f>
        <v/>
      </c>
      <c r="L242" s="180" t="str">
        <f>IFERROR(_xlfn.XLOOKUP($A242,Raw_Data!$B:$B,Raw_Data!KK:KK),"")</f>
        <v/>
      </c>
      <c r="M242" s="180" t="str">
        <f>IFERROR(_xlfn.XLOOKUP($A242,Raw_Data!$B:$B,Raw_Data!KL:KL),"")</f>
        <v/>
      </c>
      <c r="N242" s="180" t="str">
        <f>IFERROR(_xlfn.XLOOKUP($A242,Raw_Data!$B:$B,Raw_Data!KM:KM),"")</f>
        <v/>
      </c>
      <c r="O242" s="181" t="str">
        <f>IFERROR(1-SUMIF(PA!$B:$B,$A242,PA!AJ:AJ)/($AA242+SUMIF(PA!$B:$B,$A242,PA!AJ:AJ)),"")</f>
        <v/>
      </c>
      <c r="P242" s="181"/>
      <c r="Q242" s="182"/>
      <c r="R242" s="181" t="str">
        <f>IFERROR(1-SUMIF(GA!$C:$C,$A242,GA!$X:$X)/($AA242+SUMIF(GA!$C:$C,$A242,GA!$X:$X)),"")</f>
        <v/>
      </c>
      <c r="S242" s="177"/>
      <c r="T242" s="182"/>
      <c r="U242" s="183" t="str">
        <f t="shared" si="17"/>
        <v/>
      </c>
      <c r="V242" s="183" t="str">
        <f>IFERROR(_xlfn.XLOOKUP($A242,Raw_Data!$B:$B,Raw_Data!$KQ:$KQ),"")</f>
        <v/>
      </c>
      <c r="W242" s="184" t="str">
        <f t="shared" si="18"/>
        <v/>
      </c>
      <c r="X242" s="176" t="str">
        <f>IFERROR(_xlfn.XLOOKUP($A242,Raw_Data!$B:$B,Raw_Data!$KN:$KN),"")</f>
        <v/>
      </c>
      <c r="Y242" s="176" t="str">
        <f>IFERROR(_xlfn.XLOOKUP($A242,Raw_Data!$B:$B,Raw_Data!$KC:$KC),"")</f>
        <v/>
      </c>
      <c r="Z242" s="176" t="str">
        <f>IFERROR(_xlfn.XLOOKUP($A242,Raw_Data!$B:$B,Raw_Data!$KD:$KD),"")</f>
        <v/>
      </c>
      <c r="AA242" s="176" t="str">
        <f>IFERROR(_xlfn.XLOOKUP($A242,Raw_Data!$B:$B,Raw_Data!$KF:$KF),"")</f>
        <v/>
      </c>
      <c r="AB242" s="176" t="str">
        <f>IFERROR(_xlfn.XLOOKUP($A242,Raw_Data!$B:$B,Raw_Data!I:I)/1000,"")</f>
        <v/>
      </c>
      <c r="AC242" s="185">
        <f>IFERROR(_xlfn.XLOOKUP($D242,'Modelling New'!$D:$D,'Modelling New'!$P:$P),"")</f>
        <v>4.8166666666666664</v>
      </c>
      <c r="AD242" s="176">
        <f>IFERROR(_xlfn.XLOOKUP($D242,'Modelling New'!$D:$D,'Modelling New'!$T:$T)*1000,"")</f>
        <v>257094.44156617543</v>
      </c>
      <c r="AE242" s="186">
        <f>IFERROR(_xlfn.XLOOKUP($D242,'Modelling New'!$D:$D,'Modelling New'!$O:$O),"")</f>
        <v>0.79958068503716273</v>
      </c>
      <c r="AF242" s="186">
        <f>IFERROR(_xlfn.XLOOKUP($D242,'Modelling New'!$D:$D,'Modelling New'!$W:$W),"")</f>
        <v>0.16047140137204169</v>
      </c>
      <c r="AG242" s="186">
        <f>IFERROR(_xlfn.XLOOKUP($D242,'Modelling New'!$D:$D,'Modelling New'!$AE:$AE),"")</f>
        <v>0.995</v>
      </c>
      <c r="AH242" s="186">
        <f>IFERROR(_xlfn.XLOOKUP($D242,'Modelling New'!$D:$D,'Modelling New'!$AF:$AF),"")</f>
        <v>0.995</v>
      </c>
      <c r="AI242" s="177"/>
      <c r="AJ242" s="177"/>
      <c r="AK242" s="238"/>
      <c r="AL242" s="238"/>
      <c r="AM242" s="238"/>
      <c r="AN242" s="187"/>
      <c r="AO242" s="184"/>
      <c r="AP242" s="184"/>
      <c r="AQ242" s="184"/>
      <c r="AR242" s="176">
        <f>IFERROR(_xlfn.XLOOKUP($D241,'Modelling New'!$D:$D,'Modelling New'!$N:$N),"")</f>
        <v>66.754999999999995</v>
      </c>
      <c r="AS242" s="176"/>
    </row>
    <row r="243" spans="1:45" x14ac:dyDescent="0.25">
      <c r="A243" s="175">
        <f t="shared" si="15"/>
        <v>45986</v>
      </c>
      <c r="B243" s="176">
        <f>YEAR(Table13[[#This Row],[Date]])+IF(MONTH(Table13[[#This Row],[Date]])&gt;=4,1,0)</f>
        <v>2026</v>
      </c>
      <c r="C243" s="177">
        <f>YEAR(Table13[[#This Row],[Date]])</f>
        <v>2025</v>
      </c>
      <c r="D243" s="178">
        <f>Table13[[#This Row],[Date]]-DAY(Table13[[#This Row],[Date]])+1</f>
        <v>45962</v>
      </c>
      <c r="E243" s="177">
        <f t="shared" si="16"/>
        <v>30</v>
      </c>
      <c r="F243" s="179" t="str">
        <f>IFERROR(_xlfn.XLOOKUP($A243,Raw_Data!$B:$B,Raw_Data!$KG:$KG),"")</f>
        <v/>
      </c>
      <c r="G243" s="180" t="str">
        <f>IFERROR(_xlfn.XLOOKUP($A243,Raw_Data!$B:$B,Raw_Data!KH:KH),"")</f>
        <v/>
      </c>
      <c r="H243" s="180"/>
      <c r="I243" s="180" t="str">
        <f>IFERROR(_xlfn.XLOOKUP($A243,Raw_Data!$B:$B,Raw_Data!$KI:$KI),"")</f>
        <v/>
      </c>
      <c r="J243" s="180"/>
      <c r="K243" s="180" t="str">
        <f>IFERROR(_xlfn.XLOOKUP($A243,Raw_Data!$B:$B,Raw_Data!KJ:KJ),"")</f>
        <v/>
      </c>
      <c r="L243" s="180" t="str">
        <f>IFERROR(_xlfn.XLOOKUP($A243,Raw_Data!$B:$B,Raw_Data!KK:KK),"")</f>
        <v/>
      </c>
      <c r="M243" s="180" t="str">
        <f>IFERROR(_xlfn.XLOOKUP($A243,Raw_Data!$B:$B,Raw_Data!KL:KL),"")</f>
        <v/>
      </c>
      <c r="N243" s="180" t="str">
        <f>IFERROR(_xlfn.XLOOKUP($A243,Raw_Data!$B:$B,Raw_Data!KM:KM),"")</f>
        <v/>
      </c>
      <c r="O243" s="181" t="str">
        <f>IFERROR(1-SUMIF(PA!$B:$B,$A243,PA!AJ:AJ)/($AA243+SUMIF(PA!$B:$B,$A243,PA!AJ:AJ)),"")</f>
        <v/>
      </c>
      <c r="P243" s="181"/>
      <c r="Q243" s="182"/>
      <c r="R243" s="181" t="str">
        <f>IFERROR(1-SUMIF(GA!$C:$C,$A243,GA!$X:$X)/($AA243+SUMIF(GA!$C:$C,$A243,GA!$X:$X)),"")</f>
        <v/>
      </c>
      <c r="S243" s="177"/>
      <c r="T243" s="182"/>
      <c r="U243" s="183" t="str">
        <f t="shared" si="17"/>
        <v/>
      </c>
      <c r="V243" s="183" t="str">
        <f>IFERROR(_xlfn.XLOOKUP($A243,Raw_Data!$B:$B,Raw_Data!$KQ:$KQ),"")</f>
        <v/>
      </c>
      <c r="W243" s="184" t="str">
        <f t="shared" si="18"/>
        <v/>
      </c>
      <c r="X243" s="176" t="str">
        <f>IFERROR(_xlfn.XLOOKUP($A243,Raw_Data!$B:$B,Raw_Data!$KN:$KN),"")</f>
        <v/>
      </c>
      <c r="Y243" s="176" t="str">
        <f>IFERROR(_xlfn.XLOOKUP($A243,Raw_Data!$B:$B,Raw_Data!$KC:$KC),"")</f>
        <v/>
      </c>
      <c r="Z243" s="176" t="str">
        <f>IFERROR(_xlfn.XLOOKUP($A243,Raw_Data!$B:$B,Raw_Data!$KD:$KD),"")</f>
        <v/>
      </c>
      <c r="AA243" s="176" t="str">
        <f>IFERROR(_xlfn.XLOOKUP($A243,Raw_Data!$B:$B,Raw_Data!$KF:$KF),"")</f>
        <v/>
      </c>
      <c r="AB243" s="176" t="str">
        <f>IFERROR(_xlfn.XLOOKUP($A243,Raw_Data!$B:$B,Raw_Data!I:I)/1000,"")</f>
        <v/>
      </c>
      <c r="AC243" s="185">
        <f>IFERROR(_xlfn.XLOOKUP($D243,'Modelling New'!$D:$D,'Modelling New'!$P:$P),"")</f>
        <v>4.8166666666666664</v>
      </c>
      <c r="AD243" s="176">
        <f>IFERROR(_xlfn.XLOOKUP($D243,'Modelling New'!$D:$D,'Modelling New'!$T:$T)*1000,"")</f>
        <v>257094.44156617543</v>
      </c>
      <c r="AE243" s="186">
        <f>IFERROR(_xlfn.XLOOKUP($D243,'Modelling New'!$D:$D,'Modelling New'!$O:$O),"")</f>
        <v>0.79958068503716273</v>
      </c>
      <c r="AF243" s="186">
        <f>IFERROR(_xlfn.XLOOKUP($D243,'Modelling New'!$D:$D,'Modelling New'!$W:$W),"")</f>
        <v>0.16047140137204169</v>
      </c>
      <c r="AG243" s="186">
        <f>IFERROR(_xlfn.XLOOKUP($D243,'Modelling New'!$D:$D,'Modelling New'!$AE:$AE),"")</f>
        <v>0.995</v>
      </c>
      <c r="AH243" s="186">
        <f>IFERROR(_xlfn.XLOOKUP($D243,'Modelling New'!$D:$D,'Modelling New'!$AF:$AF),"")</f>
        <v>0.995</v>
      </c>
      <c r="AI243" s="177"/>
      <c r="AJ243" s="177"/>
      <c r="AK243" s="238"/>
      <c r="AL243" s="238"/>
      <c r="AM243" s="238"/>
      <c r="AN243" s="187"/>
      <c r="AO243" s="184"/>
      <c r="AP243" s="184"/>
      <c r="AQ243" s="184"/>
      <c r="AR243" s="176">
        <f>IFERROR(_xlfn.XLOOKUP($D242,'Modelling New'!$D:$D,'Modelling New'!$N:$N),"")</f>
        <v>66.754999999999995</v>
      </c>
      <c r="AS243" s="176"/>
    </row>
    <row r="244" spans="1:45" x14ac:dyDescent="0.25">
      <c r="A244" s="175">
        <f t="shared" si="15"/>
        <v>45987</v>
      </c>
      <c r="B244" s="176">
        <f>YEAR(Table13[[#This Row],[Date]])+IF(MONTH(Table13[[#This Row],[Date]])&gt;=4,1,0)</f>
        <v>2026</v>
      </c>
      <c r="C244" s="177">
        <f>YEAR(Table13[[#This Row],[Date]])</f>
        <v>2025</v>
      </c>
      <c r="D244" s="178">
        <f>Table13[[#This Row],[Date]]-DAY(Table13[[#This Row],[Date]])+1</f>
        <v>45962</v>
      </c>
      <c r="E244" s="177">
        <f t="shared" si="16"/>
        <v>30</v>
      </c>
      <c r="F244" s="179" t="str">
        <f>IFERROR(_xlfn.XLOOKUP($A244,Raw_Data!$B:$B,Raw_Data!$KG:$KG),"")</f>
        <v/>
      </c>
      <c r="G244" s="180" t="str">
        <f>IFERROR(_xlfn.XLOOKUP($A244,Raw_Data!$B:$B,Raw_Data!KH:KH),"")</f>
        <v/>
      </c>
      <c r="H244" s="180"/>
      <c r="I244" s="180" t="str">
        <f>IFERROR(_xlfn.XLOOKUP($A244,Raw_Data!$B:$B,Raw_Data!$KI:$KI),"")</f>
        <v/>
      </c>
      <c r="J244" s="180"/>
      <c r="K244" s="180" t="str">
        <f>IFERROR(_xlfn.XLOOKUP($A244,Raw_Data!$B:$B,Raw_Data!KJ:KJ),"")</f>
        <v/>
      </c>
      <c r="L244" s="180" t="str">
        <f>IFERROR(_xlfn.XLOOKUP($A244,Raw_Data!$B:$B,Raw_Data!KK:KK),"")</f>
        <v/>
      </c>
      <c r="M244" s="180" t="str">
        <f>IFERROR(_xlfn.XLOOKUP($A244,Raw_Data!$B:$B,Raw_Data!KL:KL),"")</f>
        <v/>
      </c>
      <c r="N244" s="180" t="str">
        <f>IFERROR(_xlfn.XLOOKUP($A244,Raw_Data!$B:$B,Raw_Data!KM:KM),"")</f>
        <v/>
      </c>
      <c r="O244" s="181" t="str">
        <f>IFERROR(1-SUMIF(PA!$B:$B,$A244,PA!AJ:AJ)/($AA244+SUMIF(PA!$B:$B,$A244,PA!AJ:AJ)),"")</f>
        <v/>
      </c>
      <c r="P244" s="181"/>
      <c r="Q244" s="182"/>
      <c r="R244" s="181" t="str">
        <f>IFERROR(1-SUMIF(GA!$C:$C,$A244,GA!$X:$X)/($AA244+SUMIF(GA!$C:$C,$A244,GA!$X:$X)),"")</f>
        <v/>
      </c>
      <c r="S244" s="177"/>
      <c r="T244" s="182"/>
      <c r="U244" s="183" t="str">
        <f t="shared" si="17"/>
        <v/>
      </c>
      <c r="V244" s="183" t="str">
        <f>IFERROR(_xlfn.XLOOKUP($A244,Raw_Data!$B:$B,Raw_Data!$KQ:$KQ),"")</f>
        <v/>
      </c>
      <c r="W244" s="184" t="str">
        <f t="shared" si="18"/>
        <v/>
      </c>
      <c r="X244" s="176" t="str">
        <f>IFERROR(_xlfn.XLOOKUP($A244,Raw_Data!$B:$B,Raw_Data!$KN:$KN),"")</f>
        <v/>
      </c>
      <c r="Y244" s="176" t="str">
        <f>IFERROR(_xlfn.XLOOKUP($A244,Raw_Data!$B:$B,Raw_Data!$KC:$KC),"")</f>
        <v/>
      </c>
      <c r="Z244" s="176" t="str">
        <f>IFERROR(_xlfn.XLOOKUP($A244,Raw_Data!$B:$B,Raw_Data!$KD:$KD),"")</f>
        <v/>
      </c>
      <c r="AA244" s="176" t="str">
        <f>IFERROR(_xlfn.XLOOKUP($A244,Raw_Data!$B:$B,Raw_Data!$KF:$KF),"")</f>
        <v/>
      </c>
      <c r="AB244" s="176" t="str">
        <f>IFERROR(_xlfn.XLOOKUP($A244,Raw_Data!$B:$B,Raw_Data!I:I)/1000,"")</f>
        <v/>
      </c>
      <c r="AC244" s="185">
        <f>IFERROR(_xlfn.XLOOKUP($D244,'Modelling New'!$D:$D,'Modelling New'!$P:$P),"")</f>
        <v>4.8166666666666664</v>
      </c>
      <c r="AD244" s="176">
        <f>IFERROR(_xlfn.XLOOKUP($D244,'Modelling New'!$D:$D,'Modelling New'!$T:$T)*1000,"")</f>
        <v>257094.44156617543</v>
      </c>
      <c r="AE244" s="186">
        <f>IFERROR(_xlfn.XLOOKUP($D244,'Modelling New'!$D:$D,'Modelling New'!$O:$O),"")</f>
        <v>0.79958068503716273</v>
      </c>
      <c r="AF244" s="186">
        <f>IFERROR(_xlfn.XLOOKUP($D244,'Modelling New'!$D:$D,'Modelling New'!$W:$W),"")</f>
        <v>0.16047140137204169</v>
      </c>
      <c r="AG244" s="186">
        <f>IFERROR(_xlfn.XLOOKUP($D244,'Modelling New'!$D:$D,'Modelling New'!$AE:$AE),"")</f>
        <v>0.995</v>
      </c>
      <c r="AH244" s="186">
        <f>IFERROR(_xlfn.XLOOKUP($D244,'Modelling New'!$D:$D,'Modelling New'!$AF:$AF),"")</f>
        <v>0.995</v>
      </c>
      <c r="AI244" s="177"/>
      <c r="AJ244" s="177"/>
      <c r="AK244" s="238"/>
      <c r="AL244" s="238"/>
      <c r="AM244" s="238"/>
      <c r="AN244" s="187"/>
      <c r="AO244" s="184"/>
      <c r="AP244" s="184"/>
      <c r="AQ244" s="184"/>
      <c r="AR244" s="176">
        <f>IFERROR(_xlfn.XLOOKUP($D243,'Modelling New'!$D:$D,'Modelling New'!$N:$N),"")</f>
        <v>66.754999999999995</v>
      </c>
      <c r="AS244" s="176"/>
    </row>
    <row r="245" spans="1:45" x14ac:dyDescent="0.25">
      <c r="A245" s="175">
        <f t="shared" si="15"/>
        <v>45988</v>
      </c>
      <c r="B245" s="176">
        <f>YEAR(Table13[[#This Row],[Date]])+IF(MONTH(Table13[[#This Row],[Date]])&gt;=4,1,0)</f>
        <v>2026</v>
      </c>
      <c r="C245" s="177">
        <f>YEAR(Table13[[#This Row],[Date]])</f>
        <v>2025</v>
      </c>
      <c r="D245" s="178">
        <f>Table13[[#This Row],[Date]]-DAY(Table13[[#This Row],[Date]])+1</f>
        <v>45962</v>
      </c>
      <c r="E245" s="177">
        <f t="shared" si="16"/>
        <v>30</v>
      </c>
      <c r="F245" s="179" t="str">
        <f>IFERROR(_xlfn.XLOOKUP($A245,Raw_Data!$B:$B,Raw_Data!$KG:$KG),"")</f>
        <v/>
      </c>
      <c r="G245" s="180" t="str">
        <f>IFERROR(_xlfn.XLOOKUP($A245,Raw_Data!$B:$B,Raw_Data!KH:KH),"")</f>
        <v/>
      </c>
      <c r="H245" s="180"/>
      <c r="I245" s="180" t="str">
        <f>IFERROR(_xlfn.XLOOKUP($A245,Raw_Data!$B:$B,Raw_Data!$KI:$KI),"")</f>
        <v/>
      </c>
      <c r="J245" s="180"/>
      <c r="K245" s="180" t="str">
        <f>IFERROR(_xlfn.XLOOKUP($A245,Raw_Data!$B:$B,Raw_Data!KJ:KJ),"")</f>
        <v/>
      </c>
      <c r="L245" s="180" t="str">
        <f>IFERROR(_xlfn.XLOOKUP($A245,Raw_Data!$B:$B,Raw_Data!KK:KK),"")</f>
        <v/>
      </c>
      <c r="M245" s="180" t="str">
        <f>IFERROR(_xlfn.XLOOKUP($A245,Raw_Data!$B:$B,Raw_Data!KL:KL),"")</f>
        <v/>
      </c>
      <c r="N245" s="180" t="str">
        <f>IFERROR(_xlfn.XLOOKUP($A245,Raw_Data!$B:$B,Raw_Data!KM:KM),"")</f>
        <v/>
      </c>
      <c r="O245" s="181" t="str">
        <f>IFERROR(1-SUMIF(PA!$B:$B,$A245,PA!AJ:AJ)/($AA245+SUMIF(PA!$B:$B,$A245,PA!AJ:AJ)),"")</f>
        <v/>
      </c>
      <c r="P245" s="181"/>
      <c r="Q245" s="182"/>
      <c r="R245" s="181" t="str">
        <f>IFERROR(1-SUMIF(GA!$C:$C,$A245,GA!$X:$X)/($AA245+SUMIF(GA!$C:$C,$A245,GA!$X:$X)),"")</f>
        <v/>
      </c>
      <c r="S245" s="177"/>
      <c r="T245" s="182"/>
      <c r="U245" s="183" t="str">
        <f t="shared" si="17"/>
        <v/>
      </c>
      <c r="V245" s="183" t="str">
        <f>IFERROR(_xlfn.XLOOKUP($A245,Raw_Data!$B:$B,Raw_Data!$KQ:$KQ),"")</f>
        <v/>
      </c>
      <c r="W245" s="184" t="str">
        <f t="shared" si="18"/>
        <v/>
      </c>
      <c r="X245" s="176" t="str">
        <f>IFERROR(_xlfn.XLOOKUP($A245,Raw_Data!$B:$B,Raw_Data!$KN:$KN),"")</f>
        <v/>
      </c>
      <c r="Y245" s="176" t="str">
        <f>IFERROR(_xlfn.XLOOKUP($A245,Raw_Data!$B:$B,Raw_Data!$KC:$KC),"")</f>
        <v/>
      </c>
      <c r="Z245" s="176" t="str">
        <f>IFERROR(_xlfn.XLOOKUP($A245,Raw_Data!$B:$B,Raw_Data!$KD:$KD),"")</f>
        <v/>
      </c>
      <c r="AA245" s="176" t="str">
        <f>IFERROR(_xlfn.XLOOKUP($A245,Raw_Data!$B:$B,Raw_Data!$KF:$KF),"")</f>
        <v/>
      </c>
      <c r="AB245" s="176" t="str">
        <f>IFERROR(_xlfn.XLOOKUP($A245,Raw_Data!$B:$B,Raw_Data!I:I)/1000,"")</f>
        <v/>
      </c>
      <c r="AC245" s="185">
        <f>IFERROR(_xlfn.XLOOKUP($D245,'Modelling New'!$D:$D,'Modelling New'!$P:$P),"")</f>
        <v>4.8166666666666664</v>
      </c>
      <c r="AD245" s="176">
        <f>IFERROR(_xlfn.XLOOKUP($D245,'Modelling New'!$D:$D,'Modelling New'!$T:$T)*1000,"")</f>
        <v>257094.44156617543</v>
      </c>
      <c r="AE245" s="186">
        <f>IFERROR(_xlfn.XLOOKUP($D245,'Modelling New'!$D:$D,'Modelling New'!$O:$O),"")</f>
        <v>0.79958068503716273</v>
      </c>
      <c r="AF245" s="186">
        <f>IFERROR(_xlfn.XLOOKUP($D245,'Modelling New'!$D:$D,'Modelling New'!$W:$W),"")</f>
        <v>0.16047140137204169</v>
      </c>
      <c r="AG245" s="186">
        <f>IFERROR(_xlfn.XLOOKUP($D245,'Modelling New'!$D:$D,'Modelling New'!$AE:$AE),"")</f>
        <v>0.995</v>
      </c>
      <c r="AH245" s="186">
        <f>IFERROR(_xlfn.XLOOKUP($D245,'Modelling New'!$D:$D,'Modelling New'!$AF:$AF),"")</f>
        <v>0.995</v>
      </c>
      <c r="AI245" s="177"/>
      <c r="AJ245" s="177"/>
      <c r="AK245" s="238"/>
      <c r="AL245" s="238"/>
      <c r="AM245" s="238"/>
      <c r="AN245" s="187"/>
      <c r="AO245" s="184"/>
      <c r="AP245" s="184"/>
      <c r="AQ245" s="184"/>
      <c r="AR245" s="176">
        <f>IFERROR(_xlfn.XLOOKUP($D244,'Modelling New'!$D:$D,'Modelling New'!$N:$N),"")</f>
        <v>66.754999999999995</v>
      </c>
      <c r="AS245" s="176"/>
    </row>
    <row r="246" spans="1:45" x14ac:dyDescent="0.25">
      <c r="A246" s="175">
        <f t="shared" si="15"/>
        <v>45989</v>
      </c>
      <c r="B246" s="176">
        <f>YEAR(Table13[[#This Row],[Date]])+IF(MONTH(Table13[[#This Row],[Date]])&gt;=4,1,0)</f>
        <v>2026</v>
      </c>
      <c r="C246" s="177">
        <f>YEAR(Table13[[#This Row],[Date]])</f>
        <v>2025</v>
      </c>
      <c r="D246" s="178">
        <f>Table13[[#This Row],[Date]]-DAY(Table13[[#This Row],[Date]])+1</f>
        <v>45962</v>
      </c>
      <c r="E246" s="177">
        <f t="shared" si="16"/>
        <v>30</v>
      </c>
      <c r="F246" s="179" t="str">
        <f>IFERROR(_xlfn.XLOOKUP($A246,Raw_Data!$B:$B,Raw_Data!$KG:$KG),"")</f>
        <v/>
      </c>
      <c r="G246" s="180" t="str">
        <f>IFERROR(_xlfn.XLOOKUP($A246,Raw_Data!$B:$B,Raw_Data!KH:KH),"")</f>
        <v/>
      </c>
      <c r="H246" s="180"/>
      <c r="I246" s="180" t="str">
        <f>IFERROR(_xlfn.XLOOKUP($A246,Raw_Data!$B:$B,Raw_Data!$KI:$KI),"")</f>
        <v/>
      </c>
      <c r="J246" s="180"/>
      <c r="K246" s="180" t="str">
        <f>IFERROR(_xlfn.XLOOKUP($A246,Raw_Data!$B:$B,Raw_Data!KJ:KJ),"")</f>
        <v/>
      </c>
      <c r="L246" s="180" t="str">
        <f>IFERROR(_xlfn.XLOOKUP($A246,Raw_Data!$B:$B,Raw_Data!KK:KK),"")</f>
        <v/>
      </c>
      <c r="M246" s="180" t="str">
        <f>IFERROR(_xlfn.XLOOKUP($A246,Raw_Data!$B:$B,Raw_Data!KL:KL),"")</f>
        <v/>
      </c>
      <c r="N246" s="180" t="str">
        <f>IFERROR(_xlfn.XLOOKUP($A246,Raw_Data!$B:$B,Raw_Data!KM:KM),"")</f>
        <v/>
      </c>
      <c r="O246" s="181" t="str">
        <f>IFERROR(1-SUMIF(PA!$B:$B,$A246,PA!AJ:AJ)/($AA246+SUMIF(PA!$B:$B,$A246,PA!AJ:AJ)),"")</f>
        <v/>
      </c>
      <c r="P246" s="181"/>
      <c r="Q246" s="182"/>
      <c r="R246" s="181" t="str">
        <f>IFERROR(1-SUMIF(GA!$C:$C,$A246,GA!$X:$X)/($AA246+SUMIF(GA!$C:$C,$A246,GA!$X:$X)),"")</f>
        <v/>
      </c>
      <c r="S246" s="177"/>
      <c r="T246" s="182"/>
      <c r="U246" s="183" t="str">
        <f t="shared" si="17"/>
        <v/>
      </c>
      <c r="V246" s="183" t="str">
        <f>IFERROR(_xlfn.XLOOKUP($A246,Raw_Data!$B:$B,Raw_Data!$KQ:$KQ),"")</f>
        <v/>
      </c>
      <c r="W246" s="184" t="str">
        <f t="shared" si="18"/>
        <v/>
      </c>
      <c r="X246" s="176" t="str">
        <f>IFERROR(_xlfn.XLOOKUP($A246,Raw_Data!$B:$B,Raw_Data!$KN:$KN),"")</f>
        <v/>
      </c>
      <c r="Y246" s="176" t="str">
        <f>IFERROR(_xlfn.XLOOKUP($A246,Raw_Data!$B:$B,Raw_Data!$KC:$KC),"")</f>
        <v/>
      </c>
      <c r="Z246" s="176" t="str">
        <f>IFERROR(_xlfn.XLOOKUP($A246,Raw_Data!$B:$B,Raw_Data!$KD:$KD),"")</f>
        <v/>
      </c>
      <c r="AA246" s="176" t="str">
        <f>IFERROR(_xlfn.XLOOKUP($A246,Raw_Data!$B:$B,Raw_Data!$KF:$KF),"")</f>
        <v/>
      </c>
      <c r="AB246" s="176" t="str">
        <f>IFERROR(_xlfn.XLOOKUP($A246,Raw_Data!$B:$B,Raw_Data!I:I)/1000,"")</f>
        <v/>
      </c>
      <c r="AC246" s="185">
        <f>IFERROR(_xlfn.XLOOKUP($D246,'Modelling New'!$D:$D,'Modelling New'!$P:$P),"")</f>
        <v>4.8166666666666664</v>
      </c>
      <c r="AD246" s="176">
        <f>IFERROR(_xlfn.XLOOKUP($D246,'Modelling New'!$D:$D,'Modelling New'!$T:$T)*1000,"")</f>
        <v>257094.44156617543</v>
      </c>
      <c r="AE246" s="186">
        <f>IFERROR(_xlfn.XLOOKUP($D246,'Modelling New'!$D:$D,'Modelling New'!$O:$O),"")</f>
        <v>0.79958068503716273</v>
      </c>
      <c r="AF246" s="186">
        <f>IFERROR(_xlfn.XLOOKUP($D246,'Modelling New'!$D:$D,'Modelling New'!$W:$W),"")</f>
        <v>0.16047140137204169</v>
      </c>
      <c r="AG246" s="186">
        <f>IFERROR(_xlfn.XLOOKUP($D246,'Modelling New'!$D:$D,'Modelling New'!$AE:$AE),"")</f>
        <v>0.995</v>
      </c>
      <c r="AH246" s="186">
        <f>IFERROR(_xlfn.XLOOKUP($D246,'Modelling New'!$D:$D,'Modelling New'!$AF:$AF),"")</f>
        <v>0.995</v>
      </c>
      <c r="AI246" s="177"/>
      <c r="AJ246" s="177"/>
      <c r="AK246" s="238"/>
      <c r="AL246" s="238"/>
      <c r="AM246" s="238"/>
      <c r="AN246" s="187"/>
      <c r="AO246" s="184"/>
      <c r="AP246" s="184"/>
      <c r="AQ246" s="184"/>
      <c r="AR246" s="176">
        <f>IFERROR(_xlfn.XLOOKUP($D245,'Modelling New'!$D:$D,'Modelling New'!$N:$N),"")</f>
        <v>66.754999999999995</v>
      </c>
      <c r="AS246" s="176"/>
    </row>
    <row r="247" spans="1:45" x14ac:dyDescent="0.25">
      <c r="A247" s="175">
        <f t="shared" si="15"/>
        <v>45990</v>
      </c>
      <c r="B247" s="176">
        <f>YEAR(Table13[[#This Row],[Date]])+IF(MONTH(Table13[[#This Row],[Date]])&gt;=4,1,0)</f>
        <v>2026</v>
      </c>
      <c r="C247" s="177">
        <f>YEAR(Table13[[#This Row],[Date]])</f>
        <v>2025</v>
      </c>
      <c r="D247" s="178">
        <f>Table13[[#This Row],[Date]]-DAY(Table13[[#This Row],[Date]])+1</f>
        <v>45962</v>
      </c>
      <c r="E247" s="177">
        <f t="shared" si="16"/>
        <v>30</v>
      </c>
      <c r="F247" s="179" t="str">
        <f>IFERROR(_xlfn.XLOOKUP($A247,Raw_Data!$B:$B,Raw_Data!$KG:$KG),"")</f>
        <v/>
      </c>
      <c r="G247" s="180" t="str">
        <f>IFERROR(_xlfn.XLOOKUP($A247,Raw_Data!$B:$B,Raw_Data!KH:KH),"")</f>
        <v/>
      </c>
      <c r="H247" s="180"/>
      <c r="I247" s="180" t="str">
        <f>IFERROR(_xlfn.XLOOKUP($A247,Raw_Data!$B:$B,Raw_Data!$KI:$KI),"")</f>
        <v/>
      </c>
      <c r="J247" s="180"/>
      <c r="K247" s="180" t="str">
        <f>IFERROR(_xlfn.XLOOKUP($A247,Raw_Data!$B:$B,Raw_Data!KJ:KJ),"")</f>
        <v/>
      </c>
      <c r="L247" s="180" t="str">
        <f>IFERROR(_xlfn.XLOOKUP($A247,Raw_Data!$B:$B,Raw_Data!KK:KK),"")</f>
        <v/>
      </c>
      <c r="M247" s="180" t="str">
        <f>IFERROR(_xlfn.XLOOKUP($A247,Raw_Data!$B:$B,Raw_Data!KL:KL),"")</f>
        <v/>
      </c>
      <c r="N247" s="180" t="str">
        <f>IFERROR(_xlfn.XLOOKUP($A247,Raw_Data!$B:$B,Raw_Data!KM:KM),"")</f>
        <v/>
      </c>
      <c r="O247" s="181" t="str">
        <f>IFERROR(1-SUMIF(PA!$B:$B,$A247,PA!AJ:AJ)/($AA247+SUMIF(PA!$B:$B,$A247,PA!AJ:AJ)),"")</f>
        <v/>
      </c>
      <c r="P247" s="181"/>
      <c r="Q247" s="182"/>
      <c r="R247" s="181" t="str">
        <f>IFERROR(1-SUMIF(GA!$C:$C,$A247,GA!$X:$X)/($AA247+SUMIF(GA!$C:$C,$A247,GA!$X:$X)),"")</f>
        <v/>
      </c>
      <c r="S247" s="177"/>
      <c r="T247" s="182"/>
      <c r="U247" s="183" t="str">
        <f t="shared" si="17"/>
        <v/>
      </c>
      <c r="V247" s="183" t="str">
        <f>IFERROR(_xlfn.XLOOKUP($A247,Raw_Data!$B:$B,Raw_Data!$KQ:$KQ),"")</f>
        <v/>
      </c>
      <c r="W247" s="184" t="str">
        <f t="shared" si="18"/>
        <v/>
      </c>
      <c r="X247" s="176" t="str">
        <f>IFERROR(_xlfn.XLOOKUP($A247,Raw_Data!$B:$B,Raw_Data!$KN:$KN),"")</f>
        <v/>
      </c>
      <c r="Y247" s="176" t="str">
        <f>IFERROR(_xlfn.XLOOKUP($A247,Raw_Data!$B:$B,Raw_Data!$KC:$KC),"")</f>
        <v/>
      </c>
      <c r="Z247" s="176" t="str">
        <f>IFERROR(_xlfn.XLOOKUP($A247,Raw_Data!$B:$B,Raw_Data!$KD:$KD),"")</f>
        <v/>
      </c>
      <c r="AA247" s="176" t="str">
        <f>IFERROR(_xlfn.XLOOKUP($A247,Raw_Data!$B:$B,Raw_Data!$KF:$KF),"")</f>
        <v/>
      </c>
      <c r="AB247" s="176" t="str">
        <f>IFERROR(_xlfn.XLOOKUP($A247,Raw_Data!$B:$B,Raw_Data!I:I)/1000,"")</f>
        <v/>
      </c>
      <c r="AC247" s="185">
        <f>IFERROR(_xlfn.XLOOKUP($D247,'Modelling New'!$D:$D,'Modelling New'!$P:$P),"")</f>
        <v>4.8166666666666664</v>
      </c>
      <c r="AD247" s="176">
        <f>IFERROR(_xlfn.XLOOKUP($D247,'Modelling New'!$D:$D,'Modelling New'!$T:$T)*1000,"")</f>
        <v>257094.44156617543</v>
      </c>
      <c r="AE247" s="186">
        <f>IFERROR(_xlfn.XLOOKUP($D247,'Modelling New'!$D:$D,'Modelling New'!$O:$O),"")</f>
        <v>0.79958068503716273</v>
      </c>
      <c r="AF247" s="186">
        <f>IFERROR(_xlfn.XLOOKUP($D247,'Modelling New'!$D:$D,'Modelling New'!$W:$W),"")</f>
        <v>0.16047140137204169</v>
      </c>
      <c r="AG247" s="186">
        <f>IFERROR(_xlfn.XLOOKUP($D247,'Modelling New'!$D:$D,'Modelling New'!$AE:$AE),"")</f>
        <v>0.995</v>
      </c>
      <c r="AH247" s="186">
        <f>IFERROR(_xlfn.XLOOKUP($D247,'Modelling New'!$D:$D,'Modelling New'!$AF:$AF),"")</f>
        <v>0.995</v>
      </c>
      <c r="AI247" s="177"/>
      <c r="AJ247" s="177"/>
      <c r="AK247" s="238"/>
      <c r="AL247" s="238"/>
      <c r="AM247" s="238"/>
      <c r="AN247" s="187"/>
      <c r="AO247" s="184"/>
      <c r="AP247" s="184"/>
      <c r="AQ247" s="184"/>
      <c r="AR247" s="176">
        <f>IFERROR(_xlfn.XLOOKUP($D246,'Modelling New'!$D:$D,'Modelling New'!$N:$N),"")</f>
        <v>66.754999999999995</v>
      </c>
      <c r="AS247" s="176"/>
    </row>
    <row r="248" spans="1:45" x14ac:dyDescent="0.25">
      <c r="A248" s="175">
        <f t="shared" si="15"/>
        <v>45991</v>
      </c>
      <c r="B248" s="176">
        <f>YEAR(Table13[[#This Row],[Date]])+IF(MONTH(Table13[[#This Row],[Date]])&gt;=4,1,0)</f>
        <v>2026</v>
      </c>
      <c r="C248" s="177">
        <f>YEAR(Table13[[#This Row],[Date]])</f>
        <v>2025</v>
      </c>
      <c r="D248" s="178">
        <f>Table13[[#This Row],[Date]]-DAY(Table13[[#This Row],[Date]])+1</f>
        <v>45962</v>
      </c>
      <c r="E248" s="177">
        <f t="shared" si="16"/>
        <v>30</v>
      </c>
      <c r="F248" s="179" t="str">
        <f>IFERROR(_xlfn.XLOOKUP($A248,Raw_Data!$B:$B,Raw_Data!$KG:$KG),"")</f>
        <v/>
      </c>
      <c r="G248" s="180" t="str">
        <f>IFERROR(_xlfn.XLOOKUP($A248,Raw_Data!$B:$B,Raw_Data!KH:KH),"")</f>
        <v/>
      </c>
      <c r="H248" s="180"/>
      <c r="I248" s="180" t="str">
        <f>IFERROR(_xlfn.XLOOKUP($A248,Raw_Data!$B:$B,Raw_Data!$KI:$KI),"")</f>
        <v/>
      </c>
      <c r="J248" s="180"/>
      <c r="K248" s="180" t="str">
        <f>IFERROR(_xlfn.XLOOKUP($A248,Raw_Data!$B:$B,Raw_Data!KJ:KJ),"")</f>
        <v/>
      </c>
      <c r="L248" s="180" t="str">
        <f>IFERROR(_xlfn.XLOOKUP($A248,Raw_Data!$B:$B,Raw_Data!KK:KK),"")</f>
        <v/>
      </c>
      <c r="M248" s="180" t="str">
        <f>IFERROR(_xlfn.XLOOKUP($A248,Raw_Data!$B:$B,Raw_Data!KL:KL),"")</f>
        <v/>
      </c>
      <c r="N248" s="180" t="str">
        <f>IFERROR(_xlfn.XLOOKUP($A248,Raw_Data!$B:$B,Raw_Data!KM:KM),"")</f>
        <v/>
      </c>
      <c r="O248" s="181" t="str">
        <f>IFERROR(1-SUMIF(PA!$B:$B,$A248,PA!AJ:AJ)/($AA248+SUMIF(PA!$B:$B,$A248,PA!AJ:AJ)),"")</f>
        <v/>
      </c>
      <c r="P248" s="181"/>
      <c r="Q248" s="182"/>
      <c r="R248" s="181" t="str">
        <f>IFERROR(1-SUMIF(GA!$C:$C,$A248,GA!$X:$X)/($AA248+SUMIF(GA!$C:$C,$A248,GA!$X:$X)),"")</f>
        <v/>
      </c>
      <c r="S248" s="177"/>
      <c r="T248" s="182"/>
      <c r="U248" s="183" t="str">
        <f t="shared" si="17"/>
        <v/>
      </c>
      <c r="V248" s="183" t="str">
        <f>IFERROR(_xlfn.XLOOKUP($A248,Raw_Data!$B:$B,Raw_Data!$KQ:$KQ),"")</f>
        <v/>
      </c>
      <c r="W248" s="184" t="str">
        <f t="shared" si="18"/>
        <v/>
      </c>
      <c r="X248" s="176" t="str">
        <f>IFERROR(_xlfn.XLOOKUP($A248,Raw_Data!$B:$B,Raw_Data!$KN:$KN),"")</f>
        <v/>
      </c>
      <c r="Y248" s="176" t="str">
        <f>IFERROR(_xlfn.XLOOKUP($A248,Raw_Data!$B:$B,Raw_Data!$KC:$KC),"")</f>
        <v/>
      </c>
      <c r="Z248" s="176" t="str">
        <f>IFERROR(_xlfn.XLOOKUP($A248,Raw_Data!$B:$B,Raw_Data!$KD:$KD),"")</f>
        <v/>
      </c>
      <c r="AA248" s="176" t="str">
        <f>IFERROR(_xlfn.XLOOKUP($A248,Raw_Data!$B:$B,Raw_Data!$KF:$KF),"")</f>
        <v/>
      </c>
      <c r="AB248" s="176" t="str">
        <f>IFERROR(_xlfn.XLOOKUP($A248,Raw_Data!$B:$B,Raw_Data!I:I)/1000,"")</f>
        <v/>
      </c>
      <c r="AC248" s="185">
        <f>IFERROR(_xlfn.XLOOKUP($D248,'Modelling New'!$D:$D,'Modelling New'!$P:$P),"")</f>
        <v>4.8166666666666664</v>
      </c>
      <c r="AD248" s="176">
        <f>IFERROR(_xlfn.XLOOKUP($D248,'Modelling New'!$D:$D,'Modelling New'!$T:$T)*1000,"")</f>
        <v>257094.44156617543</v>
      </c>
      <c r="AE248" s="186">
        <f>IFERROR(_xlfn.XLOOKUP($D248,'Modelling New'!$D:$D,'Modelling New'!$O:$O),"")</f>
        <v>0.79958068503716273</v>
      </c>
      <c r="AF248" s="186">
        <f>IFERROR(_xlfn.XLOOKUP($D248,'Modelling New'!$D:$D,'Modelling New'!$W:$W),"")</f>
        <v>0.16047140137204169</v>
      </c>
      <c r="AG248" s="186">
        <f>IFERROR(_xlfn.XLOOKUP($D248,'Modelling New'!$D:$D,'Modelling New'!$AE:$AE),"")</f>
        <v>0.995</v>
      </c>
      <c r="AH248" s="186">
        <f>IFERROR(_xlfn.XLOOKUP($D248,'Modelling New'!$D:$D,'Modelling New'!$AF:$AF),"")</f>
        <v>0.995</v>
      </c>
      <c r="AI248" s="177"/>
      <c r="AJ248" s="177"/>
      <c r="AK248" s="238"/>
      <c r="AL248" s="238"/>
      <c r="AM248" s="238"/>
      <c r="AN248" s="187"/>
      <c r="AO248" s="184"/>
      <c r="AP248" s="184"/>
      <c r="AQ248" s="184"/>
      <c r="AR248" s="176">
        <f>IFERROR(_xlfn.XLOOKUP($D247,'Modelling New'!$D:$D,'Modelling New'!$N:$N),"")</f>
        <v>66.754999999999995</v>
      </c>
      <c r="AS248" s="176"/>
    </row>
    <row r="249" spans="1:45" x14ac:dyDescent="0.25">
      <c r="A249" s="175">
        <f t="shared" ref="A249:A312" si="19">A248+1</f>
        <v>45992</v>
      </c>
      <c r="B249" s="176">
        <f>YEAR(Table13[[#This Row],[Date]])+IF(MONTH(Table13[[#This Row],[Date]])&gt;=4,1,0)</f>
        <v>2026</v>
      </c>
      <c r="C249" s="177">
        <f>YEAR(Table13[[#This Row],[Date]])</f>
        <v>2025</v>
      </c>
      <c r="D249" s="178">
        <f>Table13[[#This Row],[Date]]-DAY(Table13[[#This Row],[Date]])+1</f>
        <v>45992</v>
      </c>
      <c r="E249" s="177">
        <f t="shared" si="16"/>
        <v>31</v>
      </c>
      <c r="F249" s="179" t="str">
        <f>IFERROR(_xlfn.XLOOKUP($A249,Raw_Data!$B:$B,Raw_Data!$KG:$KG),"")</f>
        <v/>
      </c>
      <c r="G249" s="180" t="str">
        <f>IFERROR(_xlfn.XLOOKUP($A249,Raw_Data!$B:$B,Raw_Data!KH:KH),"")</f>
        <v/>
      </c>
      <c r="H249" s="180"/>
      <c r="I249" s="180" t="str">
        <f>IFERROR(_xlfn.XLOOKUP($A249,Raw_Data!$B:$B,Raw_Data!$KI:$KI),"")</f>
        <v/>
      </c>
      <c r="J249" s="180"/>
      <c r="K249" s="180" t="str">
        <f>IFERROR(_xlfn.XLOOKUP($A249,Raw_Data!$B:$B,Raw_Data!KJ:KJ),"")</f>
        <v/>
      </c>
      <c r="L249" s="180" t="str">
        <f>IFERROR(_xlfn.XLOOKUP($A249,Raw_Data!$B:$B,Raw_Data!KK:KK),"")</f>
        <v/>
      </c>
      <c r="M249" s="180" t="str">
        <f>IFERROR(_xlfn.XLOOKUP($A249,Raw_Data!$B:$B,Raw_Data!KL:KL),"")</f>
        <v/>
      </c>
      <c r="N249" s="180" t="str">
        <f>IFERROR(_xlfn.XLOOKUP($A249,Raw_Data!$B:$B,Raw_Data!KM:KM),"")</f>
        <v/>
      </c>
      <c r="O249" s="181" t="str">
        <f>IFERROR(1-SUMIF(PA!$B:$B,$A249,PA!AJ:AJ)/($AA249+SUMIF(PA!$B:$B,$A249,PA!AJ:AJ)),"")</f>
        <v/>
      </c>
      <c r="P249" s="181"/>
      <c r="Q249" s="182"/>
      <c r="R249" s="181" t="str">
        <f>IFERROR(1-SUMIF(GA!$C:$C,$A249,GA!$X:$X)/($AA249+SUMIF(GA!$C:$C,$A249,GA!$X:$X)),"")</f>
        <v/>
      </c>
      <c r="S249" s="177"/>
      <c r="T249" s="182"/>
      <c r="U249" s="183" t="str">
        <f t="shared" si="17"/>
        <v/>
      </c>
      <c r="V249" s="183" t="str">
        <f>IFERROR(_xlfn.XLOOKUP($A249,Raw_Data!$B:$B,Raw_Data!$KQ:$KQ),"")</f>
        <v/>
      </c>
      <c r="W249" s="184" t="str">
        <f t="shared" si="18"/>
        <v/>
      </c>
      <c r="X249" s="176" t="str">
        <f>IFERROR(_xlfn.XLOOKUP($A249,Raw_Data!$B:$B,Raw_Data!$KN:$KN),"")</f>
        <v/>
      </c>
      <c r="Y249" s="176" t="str">
        <f>IFERROR(_xlfn.XLOOKUP($A249,Raw_Data!$B:$B,Raw_Data!$KC:$KC),"")</f>
        <v/>
      </c>
      <c r="Z249" s="176" t="str">
        <f>IFERROR(_xlfn.XLOOKUP($A249,Raw_Data!$B:$B,Raw_Data!$KD:$KD),"")</f>
        <v/>
      </c>
      <c r="AA249" s="176" t="str">
        <f>IFERROR(_xlfn.XLOOKUP($A249,Raw_Data!$B:$B,Raw_Data!$KF:$KF),"")</f>
        <v/>
      </c>
      <c r="AB249" s="176" t="str">
        <f>IFERROR(_xlfn.XLOOKUP($A249,Raw_Data!$B:$B,Raw_Data!I:I)/1000,"")</f>
        <v/>
      </c>
      <c r="AC249" s="185">
        <f>IFERROR(_xlfn.XLOOKUP($D249,'Modelling New'!$D:$D,'Modelling New'!$P:$P),"")</f>
        <v>4.2709677419354843</v>
      </c>
      <c r="AD249" s="176">
        <f>IFERROR(_xlfn.XLOOKUP($D249,'Modelling New'!$D:$D,'Modelling New'!$T:$T)*1000,"")</f>
        <v>232649.96222803142</v>
      </c>
      <c r="AE249" s="186">
        <f>IFERROR(_xlfn.XLOOKUP($D249,'Modelling New'!$D:$D,'Modelling New'!$O:$O),"")</f>
        <v>0.81600514089250631</v>
      </c>
      <c r="AF249" s="186">
        <f>IFERROR(_xlfn.XLOOKUP($D249,'Modelling New'!$D:$D,'Modelling New'!$W:$W),"")</f>
        <v>0.14521381808355893</v>
      </c>
      <c r="AG249" s="186">
        <f>IFERROR(_xlfn.XLOOKUP($D249,'Modelling New'!$D:$D,'Modelling New'!$AE:$AE),"")</f>
        <v>0.995</v>
      </c>
      <c r="AH249" s="186">
        <f>IFERROR(_xlfn.XLOOKUP($D249,'Modelling New'!$D:$D,'Modelling New'!$AF:$AF),"")</f>
        <v>0.995</v>
      </c>
      <c r="AI249" s="177"/>
      <c r="AJ249" s="177"/>
      <c r="AK249" s="238"/>
      <c r="AL249" s="238"/>
      <c r="AM249" s="238"/>
      <c r="AN249" s="187"/>
      <c r="AO249" s="184"/>
      <c r="AP249" s="184"/>
      <c r="AQ249" s="184"/>
      <c r="AR249" s="176">
        <f>IFERROR(_xlfn.XLOOKUP($D248,'Modelling New'!$D:$D,'Modelling New'!$N:$N),"")</f>
        <v>66.754999999999995</v>
      </c>
      <c r="AS249" s="176"/>
    </row>
    <row r="250" spans="1:45" x14ac:dyDescent="0.25">
      <c r="A250" s="175">
        <f t="shared" si="19"/>
        <v>45993</v>
      </c>
      <c r="B250" s="176">
        <f>YEAR(Table13[[#This Row],[Date]])+IF(MONTH(Table13[[#This Row],[Date]])&gt;=4,1,0)</f>
        <v>2026</v>
      </c>
      <c r="C250" s="177">
        <f>YEAR(Table13[[#This Row],[Date]])</f>
        <v>2025</v>
      </c>
      <c r="D250" s="178">
        <f>Table13[[#This Row],[Date]]-DAY(Table13[[#This Row],[Date]])+1</f>
        <v>45992</v>
      </c>
      <c r="E250" s="177">
        <f t="shared" si="16"/>
        <v>31</v>
      </c>
      <c r="F250" s="179" t="str">
        <f>IFERROR(_xlfn.XLOOKUP($A250,Raw_Data!$B:$B,Raw_Data!$KG:$KG),"")</f>
        <v/>
      </c>
      <c r="G250" s="180" t="str">
        <f>IFERROR(_xlfn.XLOOKUP($A250,Raw_Data!$B:$B,Raw_Data!KH:KH),"")</f>
        <v/>
      </c>
      <c r="H250" s="180"/>
      <c r="I250" s="180" t="str">
        <f>IFERROR(_xlfn.XLOOKUP($A250,Raw_Data!$B:$B,Raw_Data!$KI:$KI),"")</f>
        <v/>
      </c>
      <c r="J250" s="180"/>
      <c r="K250" s="180" t="str">
        <f>IFERROR(_xlfn.XLOOKUP($A250,Raw_Data!$B:$B,Raw_Data!KJ:KJ),"")</f>
        <v/>
      </c>
      <c r="L250" s="180" t="str">
        <f>IFERROR(_xlfn.XLOOKUP($A250,Raw_Data!$B:$B,Raw_Data!KK:KK),"")</f>
        <v/>
      </c>
      <c r="M250" s="180" t="str">
        <f>IFERROR(_xlfn.XLOOKUP($A250,Raw_Data!$B:$B,Raw_Data!KL:KL),"")</f>
        <v/>
      </c>
      <c r="N250" s="180" t="str">
        <f>IFERROR(_xlfn.XLOOKUP($A250,Raw_Data!$B:$B,Raw_Data!KM:KM),"")</f>
        <v/>
      </c>
      <c r="O250" s="181" t="str">
        <f>IFERROR(1-SUMIF(PA!$B:$B,$A250,PA!AJ:AJ)/($AA250+SUMIF(PA!$B:$B,$A250,PA!AJ:AJ)),"")</f>
        <v/>
      </c>
      <c r="P250" s="181"/>
      <c r="Q250" s="182"/>
      <c r="R250" s="181" t="str">
        <f>IFERROR(1-SUMIF(GA!$C:$C,$A250,GA!$X:$X)/($AA250+SUMIF(GA!$C:$C,$A250,GA!$X:$X)),"")</f>
        <v/>
      </c>
      <c r="S250" s="177"/>
      <c r="T250" s="182"/>
      <c r="U250" s="183" t="str">
        <f t="shared" si="17"/>
        <v/>
      </c>
      <c r="V250" s="183" t="str">
        <f>IFERROR(_xlfn.XLOOKUP($A250,Raw_Data!$B:$B,Raw_Data!$KQ:$KQ),"")</f>
        <v/>
      </c>
      <c r="W250" s="184" t="str">
        <f t="shared" si="18"/>
        <v/>
      </c>
      <c r="X250" s="176" t="str">
        <f>IFERROR(_xlfn.XLOOKUP($A250,Raw_Data!$B:$B,Raw_Data!$KN:$KN),"")</f>
        <v/>
      </c>
      <c r="Y250" s="176" t="str">
        <f>IFERROR(_xlfn.XLOOKUP($A250,Raw_Data!$B:$B,Raw_Data!$KC:$KC),"")</f>
        <v/>
      </c>
      <c r="Z250" s="176" t="str">
        <f>IFERROR(_xlfn.XLOOKUP($A250,Raw_Data!$B:$B,Raw_Data!$KD:$KD),"")</f>
        <v/>
      </c>
      <c r="AA250" s="176" t="str">
        <f>IFERROR(_xlfn.XLOOKUP($A250,Raw_Data!$B:$B,Raw_Data!$KF:$KF),"")</f>
        <v/>
      </c>
      <c r="AB250" s="176" t="str">
        <f>IFERROR(_xlfn.XLOOKUP($A250,Raw_Data!$B:$B,Raw_Data!I:I)/1000,"")</f>
        <v/>
      </c>
      <c r="AC250" s="185">
        <f>IFERROR(_xlfn.XLOOKUP($D250,'Modelling New'!$D:$D,'Modelling New'!$P:$P),"")</f>
        <v>4.2709677419354843</v>
      </c>
      <c r="AD250" s="176">
        <f>IFERROR(_xlfn.XLOOKUP($D250,'Modelling New'!$D:$D,'Modelling New'!$T:$T)*1000,"")</f>
        <v>232649.96222803142</v>
      </c>
      <c r="AE250" s="186">
        <f>IFERROR(_xlfn.XLOOKUP($D250,'Modelling New'!$D:$D,'Modelling New'!$O:$O),"")</f>
        <v>0.81600514089250631</v>
      </c>
      <c r="AF250" s="186">
        <f>IFERROR(_xlfn.XLOOKUP($D250,'Modelling New'!$D:$D,'Modelling New'!$W:$W),"")</f>
        <v>0.14521381808355893</v>
      </c>
      <c r="AG250" s="186">
        <f>IFERROR(_xlfn.XLOOKUP($D250,'Modelling New'!$D:$D,'Modelling New'!$AE:$AE),"")</f>
        <v>0.995</v>
      </c>
      <c r="AH250" s="186">
        <f>IFERROR(_xlfn.XLOOKUP($D250,'Modelling New'!$D:$D,'Modelling New'!$AF:$AF),"")</f>
        <v>0.995</v>
      </c>
      <c r="AI250" s="177"/>
      <c r="AJ250" s="177"/>
      <c r="AK250" s="238"/>
      <c r="AL250" s="238"/>
      <c r="AM250" s="238"/>
      <c r="AN250" s="187"/>
      <c r="AO250" s="184"/>
      <c r="AP250" s="184"/>
      <c r="AQ250" s="184"/>
      <c r="AR250" s="176">
        <f>IFERROR(_xlfn.XLOOKUP($D249,'Modelling New'!$D:$D,'Modelling New'!$N:$N),"")</f>
        <v>66.754999999999995</v>
      </c>
      <c r="AS250" s="176"/>
    </row>
    <row r="251" spans="1:45" x14ac:dyDescent="0.25">
      <c r="A251" s="175">
        <f t="shared" si="19"/>
        <v>45994</v>
      </c>
      <c r="B251" s="176">
        <f>YEAR(Table13[[#This Row],[Date]])+IF(MONTH(Table13[[#This Row],[Date]])&gt;=4,1,0)</f>
        <v>2026</v>
      </c>
      <c r="C251" s="177">
        <f>YEAR(Table13[[#This Row],[Date]])</f>
        <v>2025</v>
      </c>
      <c r="D251" s="178">
        <f>Table13[[#This Row],[Date]]-DAY(Table13[[#This Row],[Date]])+1</f>
        <v>45992</v>
      </c>
      <c r="E251" s="177">
        <f t="shared" si="16"/>
        <v>31</v>
      </c>
      <c r="F251" s="179" t="str">
        <f>IFERROR(_xlfn.XLOOKUP($A251,Raw_Data!$B:$B,Raw_Data!$KG:$KG),"")</f>
        <v/>
      </c>
      <c r="G251" s="180" t="str">
        <f>IFERROR(_xlfn.XLOOKUP($A251,Raw_Data!$B:$B,Raw_Data!KH:KH),"")</f>
        <v/>
      </c>
      <c r="H251" s="180"/>
      <c r="I251" s="180" t="str">
        <f>IFERROR(_xlfn.XLOOKUP($A251,Raw_Data!$B:$B,Raw_Data!$KI:$KI),"")</f>
        <v/>
      </c>
      <c r="J251" s="180"/>
      <c r="K251" s="180" t="str">
        <f>IFERROR(_xlfn.XLOOKUP($A251,Raw_Data!$B:$B,Raw_Data!KJ:KJ),"")</f>
        <v/>
      </c>
      <c r="L251" s="180" t="str">
        <f>IFERROR(_xlfn.XLOOKUP($A251,Raw_Data!$B:$B,Raw_Data!KK:KK),"")</f>
        <v/>
      </c>
      <c r="M251" s="180" t="str">
        <f>IFERROR(_xlfn.XLOOKUP($A251,Raw_Data!$B:$B,Raw_Data!KL:KL),"")</f>
        <v/>
      </c>
      <c r="N251" s="180" t="str">
        <f>IFERROR(_xlfn.XLOOKUP($A251,Raw_Data!$B:$B,Raw_Data!KM:KM),"")</f>
        <v/>
      </c>
      <c r="O251" s="181" t="str">
        <f>IFERROR(1-SUMIF(PA!$B:$B,$A251,PA!AJ:AJ)/($AA251+SUMIF(PA!$B:$B,$A251,PA!AJ:AJ)),"")</f>
        <v/>
      </c>
      <c r="P251" s="181"/>
      <c r="Q251" s="182"/>
      <c r="R251" s="181" t="str">
        <f>IFERROR(1-SUMIF(GA!$C:$C,$A251,GA!$X:$X)/($AA251+SUMIF(GA!$C:$C,$A251,GA!$X:$X)),"")</f>
        <v/>
      </c>
      <c r="S251" s="177"/>
      <c r="T251" s="182"/>
      <c r="U251" s="183" t="str">
        <f t="shared" si="17"/>
        <v/>
      </c>
      <c r="V251" s="183" t="str">
        <f>IFERROR(_xlfn.XLOOKUP($A251,Raw_Data!$B:$B,Raw_Data!$KQ:$KQ),"")</f>
        <v/>
      </c>
      <c r="W251" s="184" t="str">
        <f t="shared" si="18"/>
        <v/>
      </c>
      <c r="X251" s="176" t="str">
        <f>IFERROR(_xlfn.XLOOKUP($A251,Raw_Data!$B:$B,Raw_Data!$KN:$KN),"")</f>
        <v/>
      </c>
      <c r="Y251" s="176" t="str">
        <f>IFERROR(_xlfn.XLOOKUP($A251,Raw_Data!$B:$B,Raw_Data!$KC:$KC),"")</f>
        <v/>
      </c>
      <c r="Z251" s="176" t="str">
        <f>IFERROR(_xlfn.XLOOKUP($A251,Raw_Data!$B:$B,Raw_Data!$KD:$KD),"")</f>
        <v/>
      </c>
      <c r="AA251" s="176" t="str">
        <f>IFERROR(_xlfn.XLOOKUP($A251,Raw_Data!$B:$B,Raw_Data!$KF:$KF),"")</f>
        <v/>
      </c>
      <c r="AB251" s="176" t="str">
        <f>IFERROR(_xlfn.XLOOKUP($A251,Raw_Data!$B:$B,Raw_Data!I:I)/1000,"")</f>
        <v/>
      </c>
      <c r="AC251" s="185">
        <f>IFERROR(_xlfn.XLOOKUP($D251,'Modelling New'!$D:$D,'Modelling New'!$P:$P),"")</f>
        <v>4.2709677419354843</v>
      </c>
      <c r="AD251" s="176">
        <f>IFERROR(_xlfn.XLOOKUP($D251,'Modelling New'!$D:$D,'Modelling New'!$T:$T)*1000,"")</f>
        <v>232649.96222803142</v>
      </c>
      <c r="AE251" s="186">
        <f>IFERROR(_xlfn.XLOOKUP($D251,'Modelling New'!$D:$D,'Modelling New'!$O:$O),"")</f>
        <v>0.81600514089250631</v>
      </c>
      <c r="AF251" s="186">
        <f>IFERROR(_xlfn.XLOOKUP($D251,'Modelling New'!$D:$D,'Modelling New'!$W:$W),"")</f>
        <v>0.14521381808355893</v>
      </c>
      <c r="AG251" s="186">
        <f>IFERROR(_xlfn.XLOOKUP($D251,'Modelling New'!$D:$D,'Modelling New'!$AE:$AE),"")</f>
        <v>0.995</v>
      </c>
      <c r="AH251" s="186">
        <f>IFERROR(_xlfn.XLOOKUP($D251,'Modelling New'!$D:$D,'Modelling New'!$AF:$AF),"")</f>
        <v>0.995</v>
      </c>
      <c r="AI251" s="177"/>
      <c r="AJ251" s="177"/>
      <c r="AK251" s="238"/>
      <c r="AL251" s="238"/>
      <c r="AM251" s="238"/>
      <c r="AN251" s="187"/>
      <c r="AO251" s="184"/>
      <c r="AP251" s="184"/>
      <c r="AQ251" s="184"/>
      <c r="AR251" s="176">
        <f>IFERROR(_xlfn.XLOOKUP($D250,'Modelling New'!$D:$D,'Modelling New'!$N:$N),"")</f>
        <v>66.754999999999995</v>
      </c>
      <c r="AS251" s="176"/>
    </row>
    <row r="252" spans="1:45" x14ac:dyDescent="0.25">
      <c r="A252" s="175">
        <f t="shared" si="19"/>
        <v>45995</v>
      </c>
      <c r="B252" s="176">
        <f>YEAR(Table13[[#This Row],[Date]])+IF(MONTH(Table13[[#This Row],[Date]])&gt;=4,1,0)</f>
        <v>2026</v>
      </c>
      <c r="C252" s="177">
        <f>YEAR(Table13[[#This Row],[Date]])</f>
        <v>2025</v>
      </c>
      <c r="D252" s="178">
        <f>Table13[[#This Row],[Date]]-DAY(Table13[[#This Row],[Date]])+1</f>
        <v>45992</v>
      </c>
      <c r="E252" s="177">
        <f t="shared" si="16"/>
        <v>31</v>
      </c>
      <c r="F252" s="179" t="str">
        <f>IFERROR(_xlfn.XLOOKUP($A252,Raw_Data!$B:$B,Raw_Data!$KG:$KG),"")</f>
        <v/>
      </c>
      <c r="G252" s="180" t="str">
        <f>IFERROR(_xlfn.XLOOKUP($A252,Raw_Data!$B:$B,Raw_Data!KH:KH),"")</f>
        <v/>
      </c>
      <c r="H252" s="180"/>
      <c r="I252" s="180" t="str">
        <f>IFERROR(_xlfn.XLOOKUP($A252,Raw_Data!$B:$B,Raw_Data!$KI:$KI),"")</f>
        <v/>
      </c>
      <c r="J252" s="180"/>
      <c r="K252" s="180" t="str">
        <f>IFERROR(_xlfn.XLOOKUP($A252,Raw_Data!$B:$B,Raw_Data!KJ:KJ),"")</f>
        <v/>
      </c>
      <c r="L252" s="180" t="str">
        <f>IFERROR(_xlfn.XLOOKUP($A252,Raw_Data!$B:$B,Raw_Data!KK:KK),"")</f>
        <v/>
      </c>
      <c r="M252" s="180" t="str">
        <f>IFERROR(_xlfn.XLOOKUP($A252,Raw_Data!$B:$B,Raw_Data!KL:KL),"")</f>
        <v/>
      </c>
      <c r="N252" s="180" t="str">
        <f>IFERROR(_xlfn.XLOOKUP($A252,Raw_Data!$B:$B,Raw_Data!KM:KM),"")</f>
        <v/>
      </c>
      <c r="O252" s="181" t="str">
        <f>IFERROR(1-SUMIF(PA!$B:$B,$A252,PA!AJ:AJ)/($AA252+SUMIF(PA!$B:$B,$A252,PA!AJ:AJ)),"")</f>
        <v/>
      </c>
      <c r="P252" s="181"/>
      <c r="Q252" s="182"/>
      <c r="R252" s="181" t="str">
        <f>IFERROR(1-SUMIF(GA!$C:$C,$A252,GA!$X:$X)/($AA252+SUMIF(GA!$C:$C,$A252,GA!$X:$X)),"")</f>
        <v/>
      </c>
      <c r="S252" s="177"/>
      <c r="T252" s="182"/>
      <c r="U252" s="183" t="str">
        <f t="shared" si="17"/>
        <v/>
      </c>
      <c r="V252" s="183" t="str">
        <f>IFERROR(_xlfn.XLOOKUP($A252,Raw_Data!$B:$B,Raw_Data!$KQ:$KQ),"")</f>
        <v/>
      </c>
      <c r="W252" s="184" t="str">
        <f t="shared" si="18"/>
        <v/>
      </c>
      <c r="X252" s="176" t="str">
        <f>IFERROR(_xlfn.XLOOKUP($A252,Raw_Data!$B:$B,Raw_Data!$KN:$KN),"")</f>
        <v/>
      </c>
      <c r="Y252" s="176" t="str">
        <f>IFERROR(_xlfn.XLOOKUP($A252,Raw_Data!$B:$B,Raw_Data!$KC:$KC),"")</f>
        <v/>
      </c>
      <c r="Z252" s="176" t="str">
        <f>IFERROR(_xlfn.XLOOKUP($A252,Raw_Data!$B:$B,Raw_Data!$KD:$KD),"")</f>
        <v/>
      </c>
      <c r="AA252" s="176" t="str">
        <f>IFERROR(_xlfn.XLOOKUP($A252,Raw_Data!$B:$B,Raw_Data!$KF:$KF),"")</f>
        <v/>
      </c>
      <c r="AB252" s="176" t="str">
        <f>IFERROR(_xlfn.XLOOKUP($A252,Raw_Data!$B:$B,Raw_Data!I:I)/1000,"")</f>
        <v/>
      </c>
      <c r="AC252" s="185">
        <f>IFERROR(_xlfn.XLOOKUP($D252,'Modelling New'!$D:$D,'Modelling New'!$P:$P),"")</f>
        <v>4.2709677419354843</v>
      </c>
      <c r="AD252" s="176">
        <f>IFERROR(_xlfn.XLOOKUP($D252,'Modelling New'!$D:$D,'Modelling New'!$T:$T)*1000,"")</f>
        <v>232649.96222803142</v>
      </c>
      <c r="AE252" s="186">
        <f>IFERROR(_xlfn.XLOOKUP($D252,'Modelling New'!$D:$D,'Modelling New'!$O:$O),"")</f>
        <v>0.81600514089250631</v>
      </c>
      <c r="AF252" s="186">
        <f>IFERROR(_xlfn.XLOOKUP($D252,'Modelling New'!$D:$D,'Modelling New'!$W:$W),"")</f>
        <v>0.14521381808355893</v>
      </c>
      <c r="AG252" s="186">
        <f>IFERROR(_xlfn.XLOOKUP($D252,'Modelling New'!$D:$D,'Modelling New'!$AE:$AE),"")</f>
        <v>0.995</v>
      </c>
      <c r="AH252" s="186">
        <f>IFERROR(_xlfn.XLOOKUP($D252,'Modelling New'!$D:$D,'Modelling New'!$AF:$AF),"")</f>
        <v>0.995</v>
      </c>
      <c r="AI252" s="177"/>
      <c r="AJ252" s="177"/>
      <c r="AK252" s="238"/>
      <c r="AL252" s="238"/>
      <c r="AM252" s="238"/>
      <c r="AN252" s="187"/>
      <c r="AO252" s="184"/>
      <c r="AP252" s="184"/>
      <c r="AQ252" s="184"/>
      <c r="AR252" s="176">
        <f>IFERROR(_xlfn.XLOOKUP($D251,'Modelling New'!$D:$D,'Modelling New'!$N:$N),"")</f>
        <v>66.754999999999995</v>
      </c>
      <c r="AS252" s="176"/>
    </row>
    <row r="253" spans="1:45" x14ac:dyDescent="0.25">
      <c r="A253" s="175">
        <f t="shared" si="19"/>
        <v>45996</v>
      </c>
      <c r="B253" s="176">
        <f>YEAR(Table13[[#This Row],[Date]])+IF(MONTH(Table13[[#This Row],[Date]])&gt;=4,1,0)</f>
        <v>2026</v>
      </c>
      <c r="C253" s="177">
        <f>YEAR(Table13[[#This Row],[Date]])</f>
        <v>2025</v>
      </c>
      <c r="D253" s="178">
        <f>Table13[[#This Row],[Date]]-DAY(Table13[[#This Row],[Date]])+1</f>
        <v>45992</v>
      </c>
      <c r="E253" s="177">
        <f t="shared" si="16"/>
        <v>31</v>
      </c>
      <c r="F253" s="179" t="str">
        <f>IFERROR(_xlfn.XLOOKUP($A253,Raw_Data!$B:$B,Raw_Data!$KG:$KG),"")</f>
        <v/>
      </c>
      <c r="G253" s="180" t="str">
        <f>IFERROR(_xlfn.XLOOKUP($A253,Raw_Data!$B:$B,Raw_Data!KH:KH),"")</f>
        <v/>
      </c>
      <c r="H253" s="180"/>
      <c r="I253" s="180" t="str">
        <f>IFERROR(_xlfn.XLOOKUP($A253,Raw_Data!$B:$B,Raw_Data!$KI:$KI),"")</f>
        <v/>
      </c>
      <c r="J253" s="180"/>
      <c r="K253" s="180" t="str">
        <f>IFERROR(_xlfn.XLOOKUP($A253,Raw_Data!$B:$B,Raw_Data!KJ:KJ),"")</f>
        <v/>
      </c>
      <c r="L253" s="180" t="str">
        <f>IFERROR(_xlfn.XLOOKUP($A253,Raw_Data!$B:$B,Raw_Data!KK:KK),"")</f>
        <v/>
      </c>
      <c r="M253" s="180" t="str">
        <f>IFERROR(_xlfn.XLOOKUP($A253,Raw_Data!$B:$B,Raw_Data!KL:KL),"")</f>
        <v/>
      </c>
      <c r="N253" s="180" t="str">
        <f>IFERROR(_xlfn.XLOOKUP($A253,Raw_Data!$B:$B,Raw_Data!KM:KM),"")</f>
        <v/>
      </c>
      <c r="O253" s="181" t="str">
        <f>IFERROR(1-SUMIF(PA!$B:$B,$A253,PA!AJ:AJ)/($AA253+SUMIF(PA!$B:$B,$A253,PA!AJ:AJ)),"")</f>
        <v/>
      </c>
      <c r="P253" s="181"/>
      <c r="Q253" s="182"/>
      <c r="R253" s="181" t="str">
        <f>IFERROR(1-SUMIF(GA!$C:$C,$A253,GA!$X:$X)/($AA253+SUMIF(GA!$C:$C,$A253,GA!$X:$X)),"")</f>
        <v/>
      </c>
      <c r="S253" s="177"/>
      <c r="T253" s="182"/>
      <c r="U253" s="183" t="str">
        <f t="shared" si="17"/>
        <v/>
      </c>
      <c r="V253" s="183" t="str">
        <f>IFERROR(_xlfn.XLOOKUP($A253,Raw_Data!$B:$B,Raw_Data!$KQ:$KQ),"")</f>
        <v/>
      </c>
      <c r="W253" s="184" t="str">
        <f t="shared" si="18"/>
        <v/>
      </c>
      <c r="X253" s="176" t="str">
        <f>IFERROR(_xlfn.XLOOKUP($A253,Raw_Data!$B:$B,Raw_Data!$KN:$KN),"")</f>
        <v/>
      </c>
      <c r="Y253" s="176" t="str">
        <f>IFERROR(_xlfn.XLOOKUP($A253,Raw_Data!$B:$B,Raw_Data!$KC:$KC),"")</f>
        <v/>
      </c>
      <c r="Z253" s="176" t="str">
        <f>IFERROR(_xlfn.XLOOKUP($A253,Raw_Data!$B:$B,Raw_Data!$KD:$KD),"")</f>
        <v/>
      </c>
      <c r="AA253" s="176" t="str">
        <f>IFERROR(_xlfn.XLOOKUP($A253,Raw_Data!$B:$B,Raw_Data!$KF:$KF),"")</f>
        <v/>
      </c>
      <c r="AB253" s="176" t="str">
        <f>IFERROR(_xlfn.XLOOKUP($A253,Raw_Data!$B:$B,Raw_Data!I:I)/1000,"")</f>
        <v/>
      </c>
      <c r="AC253" s="185">
        <f>IFERROR(_xlfn.XLOOKUP($D253,'Modelling New'!$D:$D,'Modelling New'!$P:$P),"")</f>
        <v>4.2709677419354843</v>
      </c>
      <c r="AD253" s="176">
        <f>IFERROR(_xlfn.XLOOKUP($D253,'Modelling New'!$D:$D,'Modelling New'!$T:$T)*1000,"")</f>
        <v>232649.96222803142</v>
      </c>
      <c r="AE253" s="186">
        <f>IFERROR(_xlfn.XLOOKUP($D253,'Modelling New'!$D:$D,'Modelling New'!$O:$O),"")</f>
        <v>0.81600514089250631</v>
      </c>
      <c r="AF253" s="186">
        <f>IFERROR(_xlfn.XLOOKUP($D253,'Modelling New'!$D:$D,'Modelling New'!$W:$W),"")</f>
        <v>0.14521381808355893</v>
      </c>
      <c r="AG253" s="186">
        <f>IFERROR(_xlfn.XLOOKUP($D253,'Modelling New'!$D:$D,'Modelling New'!$AE:$AE),"")</f>
        <v>0.995</v>
      </c>
      <c r="AH253" s="186">
        <f>IFERROR(_xlfn.XLOOKUP($D253,'Modelling New'!$D:$D,'Modelling New'!$AF:$AF),"")</f>
        <v>0.995</v>
      </c>
      <c r="AI253" s="177"/>
      <c r="AJ253" s="177"/>
      <c r="AK253" s="238"/>
      <c r="AL253" s="238"/>
      <c r="AM253" s="238"/>
      <c r="AN253" s="187"/>
      <c r="AO253" s="184"/>
      <c r="AP253" s="184"/>
      <c r="AQ253" s="184"/>
      <c r="AR253" s="176">
        <f>IFERROR(_xlfn.XLOOKUP($D252,'Modelling New'!$D:$D,'Modelling New'!$N:$N),"")</f>
        <v>66.754999999999995</v>
      </c>
      <c r="AS253" s="176"/>
    </row>
    <row r="254" spans="1:45" x14ac:dyDescent="0.25">
      <c r="A254" s="175">
        <f t="shared" si="19"/>
        <v>45997</v>
      </c>
      <c r="B254" s="176">
        <f>YEAR(Table13[[#This Row],[Date]])+IF(MONTH(Table13[[#This Row],[Date]])&gt;=4,1,0)</f>
        <v>2026</v>
      </c>
      <c r="C254" s="177">
        <f>YEAR(Table13[[#This Row],[Date]])</f>
        <v>2025</v>
      </c>
      <c r="D254" s="178">
        <f>Table13[[#This Row],[Date]]-DAY(Table13[[#This Row],[Date]])+1</f>
        <v>45992</v>
      </c>
      <c r="E254" s="177">
        <f t="shared" si="16"/>
        <v>31</v>
      </c>
      <c r="F254" s="179" t="str">
        <f>IFERROR(_xlfn.XLOOKUP($A254,Raw_Data!$B:$B,Raw_Data!$KG:$KG),"")</f>
        <v/>
      </c>
      <c r="G254" s="180" t="str">
        <f>IFERROR(_xlfn.XLOOKUP($A254,Raw_Data!$B:$B,Raw_Data!KH:KH),"")</f>
        <v/>
      </c>
      <c r="H254" s="180"/>
      <c r="I254" s="180" t="str">
        <f>IFERROR(_xlfn.XLOOKUP($A254,Raw_Data!$B:$B,Raw_Data!$KI:$KI),"")</f>
        <v/>
      </c>
      <c r="J254" s="180"/>
      <c r="K254" s="180" t="str">
        <f>IFERROR(_xlfn.XLOOKUP($A254,Raw_Data!$B:$B,Raw_Data!KJ:KJ),"")</f>
        <v/>
      </c>
      <c r="L254" s="180" t="str">
        <f>IFERROR(_xlfn.XLOOKUP($A254,Raw_Data!$B:$B,Raw_Data!KK:KK),"")</f>
        <v/>
      </c>
      <c r="M254" s="180" t="str">
        <f>IFERROR(_xlfn.XLOOKUP($A254,Raw_Data!$B:$B,Raw_Data!KL:KL),"")</f>
        <v/>
      </c>
      <c r="N254" s="180" t="str">
        <f>IFERROR(_xlfn.XLOOKUP($A254,Raw_Data!$B:$B,Raw_Data!KM:KM),"")</f>
        <v/>
      </c>
      <c r="O254" s="181" t="str">
        <f>IFERROR(1-SUMIF(PA!$B:$B,$A254,PA!AJ:AJ)/($AA254+SUMIF(PA!$B:$B,$A254,PA!AJ:AJ)),"")</f>
        <v/>
      </c>
      <c r="P254" s="181"/>
      <c r="Q254" s="182"/>
      <c r="R254" s="181" t="str">
        <f>IFERROR(1-SUMIF(GA!$C:$C,$A254,GA!$X:$X)/($AA254+SUMIF(GA!$C:$C,$A254,GA!$X:$X)),"")</f>
        <v/>
      </c>
      <c r="S254" s="177"/>
      <c r="T254" s="182"/>
      <c r="U254" s="183" t="str">
        <f t="shared" si="17"/>
        <v/>
      </c>
      <c r="V254" s="183" t="str">
        <f>IFERROR(_xlfn.XLOOKUP($A254,Raw_Data!$B:$B,Raw_Data!$KQ:$KQ),"")</f>
        <v/>
      </c>
      <c r="W254" s="184" t="str">
        <f t="shared" si="18"/>
        <v/>
      </c>
      <c r="X254" s="176" t="str">
        <f>IFERROR(_xlfn.XLOOKUP($A254,Raw_Data!$B:$B,Raw_Data!$KN:$KN),"")</f>
        <v/>
      </c>
      <c r="Y254" s="176" t="str">
        <f>IFERROR(_xlfn.XLOOKUP($A254,Raw_Data!$B:$B,Raw_Data!$KC:$KC),"")</f>
        <v/>
      </c>
      <c r="Z254" s="176" t="str">
        <f>IFERROR(_xlfn.XLOOKUP($A254,Raw_Data!$B:$B,Raw_Data!$KD:$KD),"")</f>
        <v/>
      </c>
      <c r="AA254" s="176" t="str">
        <f>IFERROR(_xlfn.XLOOKUP($A254,Raw_Data!$B:$B,Raw_Data!$KF:$KF),"")</f>
        <v/>
      </c>
      <c r="AB254" s="176" t="str">
        <f>IFERROR(_xlfn.XLOOKUP($A254,Raw_Data!$B:$B,Raw_Data!I:I)/1000,"")</f>
        <v/>
      </c>
      <c r="AC254" s="185">
        <f>IFERROR(_xlfn.XLOOKUP($D254,'Modelling New'!$D:$D,'Modelling New'!$P:$P),"")</f>
        <v>4.2709677419354843</v>
      </c>
      <c r="AD254" s="176">
        <f>IFERROR(_xlfn.XLOOKUP($D254,'Modelling New'!$D:$D,'Modelling New'!$T:$T)*1000,"")</f>
        <v>232649.96222803142</v>
      </c>
      <c r="AE254" s="186">
        <f>IFERROR(_xlfn.XLOOKUP($D254,'Modelling New'!$D:$D,'Modelling New'!$O:$O),"")</f>
        <v>0.81600514089250631</v>
      </c>
      <c r="AF254" s="186">
        <f>IFERROR(_xlfn.XLOOKUP($D254,'Modelling New'!$D:$D,'Modelling New'!$W:$W),"")</f>
        <v>0.14521381808355893</v>
      </c>
      <c r="AG254" s="186">
        <f>IFERROR(_xlfn.XLOOKUP($D254,'Modelling New'!$D:$D,'Modelling New'!$AE:$AE),"")</f>
        <v>0.995</v>
      </c>
      <c r="AH254" s="186">
        <f>IFERROR(_xlfn.XLOOKUP($D254,'Modelling New'!$D:$D,'Modelling New'!$AF:$AF),"")</f>
        <v>0.995</v>
      </c>
      <c r="AI254" s="177"/>
      <c r="AJ254" s="177"/>
      <c r="AK254" s="238"/>
      <c r="AL254" s="238"/>
      <c r="AM254" s="238"/>
      <c r="AN254" s="187"/>
      <c r="AO254" s="184"/>
      <c r="AP254" s="184"/>
      <c r="AQ254" s="184"/>
      <c r="AR254" s="176">
        <f>IFERROR(_xlfn.XLOOKUP($D253,'Modelling New'!$D:$D,'Modelling New'!$N:$N),"")</f>
        <v>66.754999999999995</v>
      </c>
      <c r="AS254" s="176"/>
    </row>
    <row r="255" spans="1:45" x14ac:dyDescent="0.25">
      <c r="A255" s="175">
        <f t="shared" si="19"/>
        <v>45998</v>
      </c>
      <c r="B255" s="176">
        <f>YEAR(Table13[[#This Row],[Date]])+IF(MONTH(Table13[[#This Row],[Date]])&gt;=4,1,0)</f>
        <v>2026</v>
      </c>
      <c r="C255" s="177">
        <f>YEAR(Table13[[#This Row],[Date]])</f>
        <v>2025</v>
      </c>
      <c r="D255" s="178">
        <f>Table13[[#This Row],[Date]]-DAY(Table13[[#This Row],[Date]])+1</f>
        <v>45992</v>
      </c>
      <c r="E255" s="177">
        <f t="shared" si="16"/>
        <v>31</v>
      </c>
      <c r="F255" s="179" t="str">
        <f>IFERROR(_xlfn.XLOOKUP($A255,Raw_Data!$B:$B,Raw_Data!$KG:$KG),"")</f>
        <v/>
      </c>
      <c r="G255" s="180" t="str">
        <f>IFERROR(_xlfn.XLOOKUP($A255,Raw_Data!$B:$B,Raw_Data!KH:KH),"")</f>
        <v/>
      </c>
      <c r="H255" s="180"/>
      <c r="I255" s="180" t="str">
        <f>IFERROR(_xlfn.XLOOKUP($A255,Raw_Data!$B:$B,Raw_Data!$KI:$KI),"")</f>
        <v/>
      </c>
      <c r="J255" s="180"/>
      <c r="K255" s="180" t="str">
        <f>IFERROR(_xlfn.XLOOKUP($A255,Raw_Data!$B:$B,Raw_Data!KJ:KJ),"")</f>
        <v/>
      </c>
      <c r="L255" s="180" t="str">
        <f>IFERROR(_xlfn.XLOOKUP($A255,Raw_Data!$B:$B,Raw_Data!KK:KK),"")</f>
        <v/>
      </c>
      <c r="M255" s="180" t="str">
        <f>IFERROR(_xlfn.XLOOKUP($A255,Raw_Data!$B:$B,Raw_Data!KL:KL),"")</f>
        <v/>
      </c>
      <c r="N255" s="180" t="str">
        <f>IFERROR(_xlfn.XLOOKUP($A255,Raw_Data!$B:$B,Raw_Data!KM:KM),"")</f>
        <v/>
      </c>
      <c r="O255" s="181" t="str">
        <f>IFERROR(1-SUMIF(PA!$B:$B,$A255,PA!AJ:AJ)/($AA255+SUMIF(PA!$B:$B,$A255,PA!AJ:AJ)),"")</f>
        <v/>
      </c>
      <c r="P255" s="181"/>
      <c r="Q255" s="182"/>
      <c r="R255" s="181" t="str">
        <f>IFERROR(1-SUMIF(GA!$C:$C,$A255,GA!$X:$X)/($AA255+SUMIF(GA!$C:$C,$A255,GA!$X:$X)),"")</f>
        <v/>
      </c>
      <c r="S255" s="177"/>
      <c r="T255" s="182"/>
      <c r="U255" s="183" t="str">
        <f t="shared" si="17"/>
        <v/>
      </c>
      <c r="V255" s="183" t="str">
        <f>IFERROR(_xlfn.XLOOKUP($A255,Raw_Data!$B:$B,Raw_Data!$KQ:$KQ),"")</f>
        <v/>
      </c>
      <c r="W255" s="184" t="str">
        <f t="shared" si="18"/>
        <v/>
      </c>
      <c r="X255" s="176" t="str">
        <f>IFERROR(_xlfn.XLOOKUP($A255,Raw_Data!$B:$B,Raw_Data!$KN:$KN),"")</f>
        <v/>
      </c>
      <c r="Y255" s="176" t="str">
        <f>IFERROR(_xlfn.XLOOKUP($A255,Raw_Data!$B:$B,Raw_Data!$KC:$KC),"")</f>
        <v/>
      </c>
      <c r="Z255" s="176" t="str">
        <f>IFERROR(_xlfn.XLOOKUP($A255,Raw_Data!$B:$B,Raw_Data!$KD:$KD),"")</f>
        <v/>
      </c>
      <c r="AA255" s="176" t="str">
        <f>IFERROR(_xlfn.XLOOKUP($A255,Raw_Data!$B:$B,Raw_Data!$KF:$KF),"")</f>
        <v/>
      </c>
      <c r="AB255" s="176" t="str">
        <f>IFERROR(_xlfn.XLOOKUP($A255,Raw_Data!$B:$B,Raw_Data!I:I)/1000,"")</f>
        <v/>
      </c>
      <c r="AC255" s="185">
        <f>IFERROR(_xlfn.XLOOKUP($D255,'Modelling New'!$D:$D,'Modelling New'!$P:$P),"")</f>
        <v>4.2709677419354843</v>
      </c>
      <c r="AD255" s="176">
        <f>IFERROR(_xlfn.XLOOKUP($D255,'Modelling New'!$D:$D,'Modelling New'!$T:$T)*1000,"")</f>
        <v>232649.96222803142</v>
      </c>
      <c r="AE255" s="186">
        <f>IFERROR(_xlfn.XLOOKUP($D255,'Modelling New'!$D:$D,'Modelling New'!$O:$O),"")</f>
        <v>0.81600514089250631</v>
      </c>
      <c r="AF255" s="186">
        <f>IFERROR(_xlfn.XLOOKUP($D255,'Modelling New'!$D:$D,'Modelling New'!$W:$W),"")</f>
        <v>0.14521381808355893</v>
      </c>
      <c r="AG255" s="186">
        <f>IFERROR(_xlfn.XLOOKUP($D255,'Modelling New'!$D:$D,'Modelling New'!$AE:$AE),"")</f>
        <v>0.995</v>
      </c>
      <c r="AH255" s="186">
        <f>IFERROR(_xlfn.XLOOKUP($D255,'Modelling New'!$D:$D,'Modelling New'!$AF:$AF),"")</f>
        <v>0.995</v>
      </c>
      <c r="AI255" s="177"/>
      <c r="AJ255" s="177"/>
      <c r="AK255" s="238"/>
      <c r="AL255" s="238"/>
      <c r="AM255" s="238"/>
      <c r="AN255" s="187"/>
      <c r="AO255" s="184"/>
      <c r="AP255" s="184"/>
      <c r="AQ255" s="184"/>
      <c r="AR255" s="176">
        <f>IFERROR(_xlfn.XLOOKUP($D254,'Modelling New'!$D:$D,'Modelling New'!$N:$N),"")</f>
        <v>66.754999999999995</v>
      </c>
      <c r="AS255" s="176"/>
    </row>
    <row r="256" spans="1:45" x14ac:dyDescent="0.25">
      <c r="A256" s="175">
        <f t="shared" si="19"/>
        <v>45999</v>
      </c>
      <c r="B256" s="176">
        <f>YEAR(Table13[[#This Row],[Date]])+IF(MONTH(Table13[[#This Row],[Date]])&gt;=4,1,0)</f>
        <v>2026</v>
      </c>
      <c r="C256" s="177">
        <f>YEAR(Table13[[#This Row],[Date]])</f>
        <v>2025</v>
      </c>
      <c r="D256" s="178">
        <f>Table13[[#This Row],[Date]]-DAY(Table13[[#This Row],[Date]])+1</f>
        <v>45992</v>
      </c>
      <c r="E256" s="177">
        <f t="shared" si="16"/>
        <v>31</v>
      </c>
      <c r="F256" s="179" t="str">
        <f>IFERROR(_xlfn.XLOOKUP($A256,Raw_Data!$B:$B,Raw_Data!$KG:$KG),"")</f>
        <v/>
      </c>
      <c r="G256" s="180" t="str">
        <f>IFERROR(_xlfn.XLOOKUP($A256,Raw_Data!$B:$B,Raw_Data!KH:KH),"")</f>
        <v/>
      </c>
      <c r="H256" s="180"/>
      <c r="I256" s="180" t="str">
        <f>IFERROR(_xlfn.XLOOKUP($A256,Raw_Data!$B:$B,Raw_Data!$KI:$KI),"")</f>
        <v/>
      </c>
      <c r="J256" s="180"/>
      <c r="K256" s="180" t="str">
        <f>IFERROR(_xlfn.XLOOKUP($A256,Raw_Data!$B:$B,Raw_Data!KJ:KJ),"")</f>
        <v/>
      </c>
      <c r="L256" s="180" t="str">
        <f>IFERROR(_xlfn.XLOOKUP($A256,Raw_Data!$B:$B,Raw_Data!KK:KK),"")</f>
        <v/>
      </c>
      <c r="M256" s="180" t="str">
        <f>IFERROR(_xlfn.XLOOKUP($A256,Raw_Data!$B:$B,Raw_Data!KL:KL),"")</f>
        <v/>
      </c>
      <c r="N256" s="180" t="str">
        <f>IFERROR(_xlfn.XLOOKUP($A256,Raw_Data!$B:$B,Raw_Data!KM:KM),"")</f>
        <v/>
      </c>
      <c r="O256" s="181" t="str">
        <f>IFERROR(1-SUMIF(PA!$B:$B,$A256,PA!AJ:AJ)/($AA256+SUMIF(PA!$B:$B,$A256,PA!AJ:AJ)),"")</f>
        <v/>
      </c>
      <c r="P256" s="181"/>
      <c r="Q256" s="182"/>
      <c r="R256" s="181" t="str">
        <f>IFERROR(1-SUMIF(GA!$C:$C,$A256,GA!$X:$X)/($AA256+SUMIF(GA!$C:$C,$A256,GA!$X:$X)),"")</f>
        <v/>
      </c>
      <c r="S256" s="177"/>
      <c r="T256" s="182"/>
      <c r="U256" s="183" t="str">
        <f t="shared" si="17"/>
        <v/>
      </c>
      <c r="V256" s="183" t="str">
        <f>IFERROR(_xlfn.XLOOKUP($A256,Raw_Data!$B:$B,Raw_Data!$KQ:$KQ),"")</f>
        <v/>
      </c>
      <c r="W256" s="184" t="str">
        <f t="shared" si="18"/>
        <v/>
      </c>
      <c r="X256" s="176" t="str">
        <f>IFERROR(_xlfn.XLOOKUP($A256,Raw_Data!$B:$B,Raw_Data!$KN:$KN),"")</f>
        <v/>
      </c>
      <c r="Y256" s="176" t="str">
        <f>IFERROR(_xlfn.XLOOKUP($A256,Raw_Data!$B:$B,Raw_Data!$KC:$KC),"")</f>
        <v/>
      </c>
      <c r="Z256" s="176" t="str">
        <f>IFERROR(_xlfn.XLOOKUP($A256,Raw_Data!$B:$B,Raw_Data!$KD:$KD),"")</f>
        <v/>
      </c>
      <c r="AA256" s="176" t="str">
        <f>IFERROR(_xlfn.XLOOKUP($A256,Raw_Data!$B:$B,Raw_Data!$KF:$KF),"")</f>
        <v/>
      </c>
      <c r="AB256" s="176" t="str">
        <f>IFERROR(_xlfn.XLOOKUP($A256,Raw_Data!$B:$B,Raw_Data!I:I)/1000,"")</f>
        <v/>
      </c>
      <c r="AC256" s="185">
        <f>IFERROR(_xlfn.XLOOKUP($D256,'Modelling New'!$D:$D,'Modelling New'!$P:$P),"")</f>
        <v>4.2709677419354843</v>
      </c>
      <c r="AD256" s="176">
        <f>IFERROR(_xlfn.XLOOKUP($D256,'Modelling New'!$D:$D,'Modelling New'!$T:$T)*1000,"")</f>
        <v>232649.96222803142</v>
      </c>
      <c r="AE256" s="186">
        <f>IFERROR(_xlfn.XLOOKUP($D256,'Modelling New'!$D:$D,'Modelling New'!$O:$O),"")</f>
        <v>0.81600514089250631</v>
      </c>
      <c r="AF256" s="186">
        <f>IFERROR(_xlfn.XLOOKUP($D256,'Modelling New'!$D:$D,'Modelling New'!$W:$W),"")</f>
        <v>0.14521381808355893</v>
      </c>
      <c r="AG256" s="186">
        <f>IFERROR(_xlfn.XLOOKUP($D256,'Modelling New'!$D:$D,'Modelling New'!$AE:$AE),"")</f>
        <v>0.995</v>
      </c>
      <c r="AH256" s="186">
        <f>IFERROR(_xlfn.XLOOKUP($D256,'Modelling New'!$D:$D,'Modelling New'!$AF:$AF),"")</f>
        <v>0.995</v>
      </c>
      <c r="AI256" s="177"/>
      <c r="AJ256" s="177"/>
      <c r="AK256" s="238"/>
      <c r="AL256" s="238"/>
      <c r="AM256" s="238"/>
      <c r="AN256" s="187"/>
      <c r="AO256" s="184"/>
      <c r="AP256" s="184"/>
      <c r="AQ256" s="184"/>
      <c r="AR256" s="176">
        <f>IFERROR(_xlfn.XLOOKUP($D255,'Modelling New'!$D:$D,'Modelling New'!$N:$N),"")</f>
        <v>66.754999999999995</v>
      </c>
      <c r="AS256" s="176"/>
    </row>
    <row r="257" spans="1:45" x14ac:dyDescent="0.25">
      <c r="A257" s="175">
        <f t="shared" si="19"/>
        <v>46000</v>
      </c>
      <c r="B257" s="176">
        <f>YEAR(Table13[[#This Row],[Date]])+IF(MONTH(Table13[[#This Row],[Date]])&gt;=4,1,0)</f>
        <v>2026</v>
      </c>
      <c r="C257" s="177">
        <f>YEAR(Table13[[#This Row],[Date]])</f>
        <v>2025</v>
      </c>
      <c r="D257" s="178">
        <f>Table13[[#This Row],[Date]]-DAY(Table13[[#This Row],[Date]])+1</f>
        <v>45992</v>
      </c>
      <c r="E257" s="177">
        <f t="shared" si="16"/>
        <v>31</v>
      </c>
      <c r="F257" s="179" t="str">
        <f>IFERROR(_xlfn.XLOOKUP($A257,Raw_Data!$B:$B,Raw_Data!$KG:$KG),"")</f>
        <v/>
      </c>
      <c r="G257" s="180" t="str">
        <f>IFERROR(_xlfn.XLOOKUP($A257,Raw_Data!$B:$B,Raw_Data!KH:KH),"")</f>
        <v/>
      </c>
      <c r="H257" s="180"/>
      <c r="I257" s="180" t="str">
        <f>IFERROR(_xlfn.XLOOKUP($A257,Raw_Data!$B:$B,Raw_Data!$KI:$KI),"")</f>
        <v/>
      </c>
      <c r="J257" s="180"/>
      <c r="K257" s="180" t="str">
        <f>IFERROR(_xlfn.XLOOKUP($A257,Raw_Data!$B:$B,Raw_Data!KJ:KJ),"")</f>
        <v/>
      </c>
      <c r="L257" s="180" t="str">
        <f>IFERROR(_xlfn.XLOOKUP($A257,Raw_Data!$B:$B,Raw_Data!KK:KK),"")</f>
        <v/>
      </c>
      <c r="M257" s="180" t="str">
        <f>IFERROR(_xlfn.XLOOKUP($A257,Raw_Data!$B:$B,Raw_Data!KL:KL),"")</f>
        <v/>
      </c>
      <c r="N257" s="180" t="str">
        <f>IFERROR(_xlfn.XLOOKUP($A257,Raw_Data!$B:$B,Raw_Data!KM:KM),"")</f>
        <v/>
      </c>
      <c r="O257" s="181" t="str">
        <f>IFERROR(1-SUMIF(PA!$B:$B,$A257,PA!AJ:AJ)/($AA257+SUMIF(PA!$B:$B,$A257,PA!AJ:AJ)),"")</f>
        <v/>
      </c>
      <c r="P257" s="181"/>
      <c r="Q257" s="182"/>
      <c r="R257" s="181" t="str">
        <f>IFERROR(1-SUMIF(GA!$C:$C,$A257,GA!$X:$X)/($AA257+SUMIF(GA!$C:$C,$A257,GA!$X:$X)),"")</f>
        <v/>
      </c>
      <c r="S257" s="177"/>
      <c r="T257" s="182"/>
      <c r="U257" s="183" t="str">
        <f t="shared" si="17"/>
        <v/>
      </c>
      <c r="V257" s="183" t="str">
        <f>IFERROR(_xlfn.XLOOKUP($A257,Raw_Data!$B:$B,Raw_Data!$KQ:$KQ),"")</f>
        <v/>
      </c>
      <c r="W257" s="184" t="str">
        <f t="shared" si="18"/>
        <v/>
      </c>
      <c r="X257" s="176" t="str">
        <f>IFERROR(_xlfn.XLOOKUP($A257,Raw_Data!$B:$B,Raw_Data!$KN:$KN),"")</f>
        <v/>
      </c>
      <c r="Y257" s="176" t="str">
        <f>IFERROR(_xlfn.XLOOKUP($A257,Raw_Data!$B:$B,Raw_Data!$KC:$KC),"")</f>
        <v/>
      </c>
      <c r="Z257" s="176" t="str">
        <f>IFERROR(_xlfn.XLOOKUP($A257,Raw_Data!$B:$B,Raw_Data!$KD:$KD),"")</f>
        <v/>
      </c>
      <c r="AA257" s="176" t="str">
        <f>IFERROR(_xlfn.XLOOKUP($A257,Raw_Data!$B:$B,Raw_Data!$KF:$KF),"")</f>
        <v/>
      </c>
      <c r="AB257" s="176" t="str">
        <f>IFERROR(_xlfn.XLOOKUP($A257,Raw_Data!$B:$B,Raw_Data!I:I)/1000,"")</f>
        <v/>
      </c>
      <c r="AC257" s="185">
        <f>IFERROR(_xlfn.XLOOKUP($D257,'Modelling New'!$D:$D,'Modelling New'!$P:$P),"")</f>
        <v>4.2709677419354843</v>
      </c>
      <c r="AD257" s="176">
        <f>IFERROR(_xlfn.XLOOKUP($D257,'Modelling New'!$D:$D,'Modelling New'!$T:$T)*1000,"")</f>
        <v>232649.96222803142</v>
      </c>
      <c r="AE257" s="186">
        <f>IFERROR(_xlfn.XLOOKUP($D257,'Modelling New'!$D:$D,'Modelling New'!$O:$O),"")</f>
        <v>0.81600514089250631</v>
      </c>
      <c r="AF257" s="186">
        <f>IFERROR(_xlfn.XLOOKUP($D257,'Modelling New'!$D:$D,'Modelling New'!$W:$W),"")</f>
        <v>0.14521381808355893</v>
      </c>
      <c r="AG257" s="186">
        <f>IFERROR(_xlfn.XLOOKUP($D257,'Modelling New'!$D:$D,'Modelling New'!$AE:$AE),"")</f>
        <v>0.995</v>
      </c>
      <c r="AH257" s="186">
        <f>IFERROR(_xlfn.XLOOKUP($D257,'Modelling New'!$D:$D,'Modelling New'!$AF:$AF),"")</f>
        <v>0.995</v>
      </c>
      <c r="AI257" s="177"/>
      <c r="AJ257" s="177"/>
      <c r="AK257" s="238"/>
      <c r="AL257" s="238"/>
      <c r="AM257" s="238"/>
      <c r="AN257" s="187"/>
      <c r="AO257" s="184"/>
      <c r="AP257" s="184"/>
      <c r="AQ257" s="184"/>
      <c r="AR257" s="176">
        <f>IFERROR(_xlfn.XLOOKUP($D256,'Modelling New'!$D:$D,'Modelling New'!$N:$N),"")</f>
        <v>66.754999999999995</v>
      </c>
      <c r="AS257" s="176"/>
    </row>
    <row r="258" spans="1:45" x14ac:dyDescent="0.25">
      <c r="A258" s="175">
        <f t="shared" si="19"/>
        <v>46001</v>
      </c>
      <c r="B258" s="176">
        <f>YEAR(Table13[[#This Row],[Date]])+IF(MONTH(Table13[[#This Row],[Date]])&gt;=4,1,0)</f>
        <v>2026</v>
      </c>
      <c r="C258" s="177">
        <f>YEAR(Table13[[#This Row],[Date]])</f>
        <v>2025</v>
      </c>
      <c r="D258" s="178">
        <f>Table13[[#This Row],[Date]]-DAY(Table13[[#This Row],[Date]])+1</f>
        <v>45992</v>
      </c>
      <c r="E258" s="177">
        <f t="shared" si="16"/>
        <v>31</v>
      </c>
      <c r="F258" s="179" t="str">
        <f>IFERROR(_xlfn.XLOOKUP($A258,Raw_Data!$B:$B,Raw_Data!$KG:$KG),"")</f>
        <v/>
      </c>
      <c r="G258" s="180" t="str">
        <f>IFERROR(_xlfn.XLOOKUP($A258,Raw_Data!$B:$B,Raw_Data!KH:KH),"")</f>
        <v/>
      </c>
      <c r="H258" s="180"/>
      <c r="I258" s="180" t="str">
        <f>IFERROR(_xlfn.XLOOKUP($A258,Raw_Data!$B:$B,Raw_Data!$KI:$KI),"")</f>
        <v/>
      </c>
      <c r="J258" s="180"/>
      <c r="K258" s="180" t="str">
        <f>IFERROR(_xlfn.XLOOKUP($A258,Raw_Data!$B:$B,Raw_Data!KJ:KJ),"")</f>
        <v/>
      </c>
      <c r="L258" s="180" t="str">
        <f>IFERROR(_xlfn.XLOOKUP($A258,Raw_Data!$B:$B,Raw_Data!KK:KK),"")</f>
        <v/>
      </c>
      <c r="M258" s="180" t="str">
        <f>IFERROR(_xlfn.XLOOKUP($A258,Raw_Data!$B:$B,Raw_Data!KL:KL),"")</f>
        <v/>
      </c>
      <c r="N258" s="180" t="str">
        <f>IFERROR(_xlfn.XLOOKUP($A258,Raw_Data!$B:$B,Raw_Data!KM:KM),"")</f>
        <v/>
      </c>
      <c r="O258" s="181" t="str">
        <f>IFERROR(1-SUMIF(PA!$B:$B,$A258,PA!AJ:AJ)/($AA258+SUMIF(PA!$B:$B,$A258,PA!AJ:AJ)),"")</f>
        <v/>
      </c>
      <c r="P258" s="181"/>
      <c r="Q258" s="182"/>
      <c r="R258" s="181" t="str">
        <f>IFERROR(1-SUMIF(GA!$C:$C,$A258,GA!$X:$X)/($AA258+SUMIF(GA!$C:$C,$A258,GA!$X:$X)),"")</f>
        <v/>
      </c>
      <c r="S258" s="177"/>
      <c r="T258" s="182"/>
      <c r="U258" s="183" t="str">
        <f t="shared" si="17"/>
        <v/>
      </c>
      <c r="V258" s="183" t="str">
        <f>IFERROR(_xlfn.XLOOKUP($A258,Raw_Data!$B:$B,Raw_Data!$KQ:$KQ),"")</f>
        <v/>
      </c>
      <c r="W258" s="184" t="str">
        <f t="shared" si="18"/>
        <v/>
      </c>
      <c r="X258" s="176" t="str">
        <f>IFERROR(_xlfn.XLOOKUP($A258,Raw_Data!$B:$B,Raw_Data!$KN:$KN),"")</f>
        <v/>
      </c>
      <c r="Y258" s="176" t="str">
        <f>IFERROR(_xlfn.XLOOKUP($A258,Raw_Data!$B:$B,Raw_Data!$KC:$KC),"")</f>
        <v/>
      </c>
      <c r="Z258" s="176" t="str">
        <f>IFERROR(_xlfn.XLOOKUP($A258,Raw_Data!$B:$B,Raw_Data!$KD:$KD),"")</f>
        <v/>
      </c>
      <c r="AA258" s="176" t="str">
        <f>IFERROR(_xlfn.XLOOKUP($A258,Raw_Data!$B:$B,Raw_Data!$KF:$KF),"")</f>
        <v/>
      </c>
      <c r="AB258" s="176" t="str">
        <f>IFERROR(_xlfn.XLOOKUP($A258,Raw_Data!$B:$B,Raw_Data!I:I)/1000,"")</f>
        <v/>
      </c>
      <c r="AC258" s="185">
        <f>IFERROR(_xlfn.XLOOKUP($D258,'Modelling New'!$D:$D,'Modelling New'!$P:$P),"")</f>
        <v>4.2709677419354843</v>
      </c>
      <c r="AD258" s="176">
        <f>IFERROR(_xlfn.XLOOKUP($D258,'Modelling New'!$D:$D,'Modelling New'!$T:$T)*1000,"")</f>
        <v>232649.96222803142</v>
      </c>
      <c r="AE258" s="186">
        <f>IFERROR(_xlfn.XLOOKUP($D258,'Modelling New'!$D:$D,'Modelling New'!$O:$O),"")</f>
        <v>0.81600514089250631</v>
      </c>
      <c r="AF258" s="186">
        <f>IFERROR(_xlfn.XLOOKUP($D258,'Modelling New'!$D:$D,'Modelling New'!$W:$W),"")</f>
        <v>0.14521381808355893</v>
      </c>
      <c r="AG258" s="186">
        <f>IFERROR(_xlfn.XLOOKUP($D258,'Modelling New'!$D:$D,'Modelling New'!$AE:$AE),"")</f>
        <v>0.995</v>
      </c>
      <c r="AH258" s="186">
        <f>IFERROR(_xlfn.XLOOKUP($D258,'Modelling New'!$D:$D,'Modelling New'!$AF:$AF),"")</f>
        <v>0.995</v>
      </c>
      <c r="AI258" s="177"/>
      <c r="AJ258" s="177"/>
      <c r="AK258" s="238"/>
      <c r="AL258" s="238"/>
      <c r="AM258" s="238"/>
      <c r="AN258" s="187"/>
      <c r="AO258" s="184"/>
      <c r="AP258" s="184"/>
      <c r="AQ258" s="184"/>
      <c r="AR258" s="176">
        <f>IFERROR(_xlfn.XLOOKUP($D257,'Modelling New'!$D:$D,'Modelling New'!$N:$N),"")</f>
        <v>66.754999999999995</v>
      </c>
      <c r="AS258" s="176"/>
    </row>
    <row r="259" spans="1:45" x14ac:dyDescent="0.25">
      <c r="A259" s="175">
        <f t="shared" si="19"/>
        <v>46002</v>
      </c>
      <c r="B259" s="176">
        <f>YEAR(Table13[[#This Row],[Date]])+IF(MONTH(Table13[[#This Row],[Date]])&gt;=4,1,0)</f>
        <v>2026</v>
      </c>
      <c r="C259" s="177">
        <f>YEAR(Table13[[#This Row],[Date]])</f>
        <v>2025</v>
      </c>
      <c r="D259" s="178">
        <f>Table13[[#This Row],[Date]]-DAY(Table13[[#This Row],[Date]])+1</f>
        <v>45992</v>
      </c>
      <c r="E259" s="177">
        <f t="shared" si="16"/>
        <v>31</v>
      </c>
      <c r="F259" s="179" t="str">
        <f>IFERROR(_xlfn.XLOOKUP($A259,Raw_Data!$B:$B,Raw_Data!$KG:$KG),"")</f>
        <v/>
      </c>
      <c r="G259" s="180" t="str">
        <f>IFERROR(_xlfn.XLOOKUP($A259,Raw_Data!$B:$B,Raw_Data!KH:KH),"")</f>
        <v/>
      </c>
      <c r="H259" s="180"/>
      <c r="I259" s="180" t="str">
        <f>IFERROR(_xlfn.XLOOKUP($A259,Raw_Data!$B:$B,Raw_Data!$KI:$KI),"")</f>
        <v/>
      </c>
      <c r="J259" s="180"/>
      <c r="K259" s="180" t="str">
        <f>IFERROR(_xlfn.XLOOKUP($A259,Raw_Data!$B:$B,Raw_Data!KJ:KJ),"")</f>
        <v/>
      </c>
      <c r="L259" s="180" t="str">
        <f>IFERROR(_xlfn.XLOOKUP($A259,Raw_Data!$B:$B,Raw_Data!KK:KK),"")</f>
        <v/>
      </c>
      <c r="M259" s="180" t="str">
        <f>IFERROR(_xlfn.XLOOKUP($A259,Raw_Data!$B:$B,Raw_Data!KL:KL),"")</f>
        <v/>
      </c>
      <c r="N259" s="180" t="str">
        <f>IFERROR(_xlfn.XLOOKUP($A259,Raw_Data!$B:$B,Raw_Data!KM:KM),"")</f>
        <v/>
      </c>
      <c r="O259" s="181" t="str">
        <f>IFERROR(1-SUMIF(PA!$B:$B,$A259,PA!AJ:AJ)/($AA259+SUMIF(PA!$B:$B,$A259,PA!AJ:AJ)),"")</f>
        <v/>
      </c>
      <c r="P259" s="181"/>
      <c r="Q259" s="182"/>
      <c r="R259" s="181" t="str">
        <f>IFERROR(1-SUMIF(GA!$C:$C,$A259,GA!$X:$X)/($AA259+SUMIF(GA!$C:$C,$A259,GA!$X:$X)),"")</f>
        <v/>
      </c>
      <c r="S259" s="177"/>
      <c r="T259" s="182"/>
      <c r="U259" s="183" t="str">
        <f t="shared" si="17"/>
        <v/>
      </c>
      <c r="V259" s="183" t="str">
        <f>IFERROR(_xlfn.XLOOKUP($A259,Raw_Data!$B:$B,Raw_Data!$KQ:$KQ),"")</f>
        <v/>
      </c>
      <c r="W259" s="184" t="str">
        <f t="shared" si="18"/>
        <v/>
      </c>
      <c r="X259" s="176" t="str">
        <f>IFERROR(_xlfn.XLOOKUP($A259,Raw_Data!$B:$B,Raw_Data!$KN:$KN),"")</f>
        <v/>
      </c>
      <c r="Y259" s="176" t="str">
        <f>IFERROR(_xlfn.XLOOKUP($A259,Raw_Data!$B:$B,Raw_Data!$KC:$KC),"")</f>
        <v/>
      </c>
      <c r="Z259" s="176" t="str">
        <f>IFERROR(_xlfn.XLOOKUP($A259,Raw_Data!$B:$B,Raw_Data!$KD:$KD),"")</f>
        <v/>
      </c>
      <c r="AA259" s="176" t="str">
        <f>IFERROR(_xlfn.XLOOKUP($A259,Raw_Data!$B:$B,Raw_Data!$KF:$KF),"")</f>
        <v/>
      </c>
      <c r="AB259" s="176" t="str">
        <f>IFERROR(_xlfn.XLOOKUP($A259,Raw_Data!$B:$B,Raw_Data!I:I)/1000,"")</f>
        <v/>
      </c>
      <c r="AC259" s="185">
        <f>IFERROR(_xlfn.XLOOKUP($D259,'Modelling New'!$D:$D,'Modelling New'!$P:$P),"")</f>
        <v>4.2709677419354843</v>
      </c>
      <c r="AD259" s="176">
        <f>IFERROR(_xlfn.XLOOKUP($D259,'Modelling New'!$D:$D,'Modelling New'!$T:$T)*1000,"")</f>
        <v>232649.96222803142</v>
      </c>
      <c r="AE259" s="186">
        <f>IFERROR(_xlfn.XLOOKUP($D259,'Modelling New'!$D:$D,'Modelling New'!$O:$O),"")</f>
        <v>0.81600514089250631</v>
      </c>
      <c r="AF259" s="186">
        <f>IFERROR(_xlfn.XLOOKUP($D259,'Modelling New'!$D:$D,'Modelling New'!$W:$W),"")</f>
        <v>0.14521381808355893</v>
      </c>
      <c r="AG259" s="186">
        <f>IFERROR(_xlfn.XLOOKUP($D259,'Modelling New'!$D:$D,'Modelling New'!$AE:$AE),"")</f>
        <v>0.995</v>
      </c>
      <c r="AH259" s="186">
        <f>IFERROR(_xlfn.XLOOKUP($D259,'Modelling New'!$D:$D,'Modelling New'!$AF:$AF),"")</f>
        <v>0.995</v>
      </c>
      <c r="AI259" s="177"/>
      <c r="AJ259" s="177"/>
      <c r="AK259" s="238"/>
      <c r="AL259" s="238"/>
      <c r="AM259" s="238"/>
      <c r="AN259" s="187"/>
      <c r="AO259" s="184"/>
      <c r="AP259" s="184"/>
      <c r="AQ259" s="184"/>
      <c r="AR259" s="176">
        <f>IFERROR(_xlfn.XLOOKUP($D258,'Modelling New'!$D:$D,'Modelling New'!$N:$N),"")</f>
        <v>66.754999999999995</v>
      </c>
      <c r="AS259" s="176"/>
    </row>
    <row r="260" spans="1:45" x14ac:dyDescent="0.25">
      <c r="A260" s="175">
        <f t="shared" si="19"/>
        <v>46003</v>
      </c>
      <c r="B260" s="176">
        <f>YEAR(Table13[[#This Row],[Date]])+IF(MONTH(Table13[[#This Row],[Date]])&gt;=4,1,0)</f>
        <v>2026</v>
      </c>
      <c r="C260" s="177">
        <f>YEAR(Table13[[#This Row],[Date]])</f>
        <v>2025</v>
      </c>
      <c r="D260" s="178">
        <f>Table13[[#This Row],[Date]]-DAY(Table13[[#This Row],[Date]])+1</f>
        <v>45992</v>
      </c>
      <c r="E260" s="177">
        <f t="shared" si="16"/>
        <v>31</v>
      </c>
      <c r="F260" s="179" t="str">
        <f>IFERROR(_xlfn.XLOOKUP($A260,Raw_Data!$B:$B,Raw_Data!$KG:$KG),"")</f>
        <v/>
      </c>
      <c r="G260" s="180" t="str">
        <f>IFERROR(_xlfn.XLOOKUP($A260,Raw_Data!$B:$B,Raw_Data!KH:KH),"")</f>
        <v/>
      </c>
      <c r="H260" s="180"/>
      <c r="I260" s="180" t="str">
        <f>IFERROR(_xlfn.XLOOKUP($A260,Raw_Data!$B:$B,Raw_Data!$KI:$KI),"")</f>
        <v/>
      </c>
      <c r="J260" s="180"/>
      <c r="K260" s="180" t="str">
        <f>IFERROR(_xlfn.XLOOKUP($A260,Raw_Data!$B:$B,Raw_Data!KJ:KJ),"")</f>
        <v/>
      </c>
      <c r="L260" s="180" t="str">
        <f>IFERROR(_xlfn.XLOOKUP($A260,Raw_Data!$B:$B,Raw_Data!KK:KK),"")</f>
        <v/>
      </c>
      <c r="M260" s="180" t="str">
        <f>IFERROR(_xlfn.XLOOKUP($A260,Raw_Data!$B:$B,Raw_Data!KL:KL),"")</f>
        <v/>
      </c>
      <c r="N260" s="180" t="str">
        <f>IFERROR(_xlfn.XLOOKUP($A260,Raw_Data!$B:$B,Raw_Data!KM:KM),"")</f>
        <v/>
      </c>
      <c r="O260" s="181" t="str">
        <f>IFERROR(1-SUMIF(PA!$B:$B,$A260,PA!AJ:AJ)/($AA260+SUMIF(PA!$B:$B,$A260,PA!AJ:AJ)),"")</f>
        <v/>
      </c>
      <c r="P260" s="181"/>
      <c r="Q260" s="182"/>
      <c r="R260" s="181" t="str">
        <f>IFERROR(1-SUMIF(GA!$C:$C,$A260,GA!$X:$X)/($AA260+SUMIF(GA!$C:$C,$A260,GA!$X:$X)),"")</f>
        <v/>
      </c>
      <c r="S260" s="177"/>
      <c r="T260" s="182"/>
      <c r="U260" s="183" t="str">
        <f t="shared" si="17"/>
        <v/>
      </c>
      <c r="V260" s="183" t="str">
        <f>IFERROR(_xlfn.XLOOKUP($A260,Raw_Data!$B:$B,Raw_Data!$KQ:$KQ),"")</f>
        <v/>
      </c>
      <c r="W260" s="184" t="str">
        <f t="shared" si="18"/>
        <v/>
      </c>
      <c r="X260" s="176" t="str">
        <f>IFERROR(_xlfn.XLOOKUP($A260,Raw_Data!$B:$B,Raw_Data!$KN:$KN),"")</f>
        <v/>
      </c>
      <c r="Y260" s="176" t="str">
        <f>IFERROR(_xlfn.XLOOKUP($A260,Raw_Data!$B:$B,Raw_Data!$KC:$KC),"")</f>
        <v/>
      </c>
      <c r="Z260" s="176" t="str">
        <f>IFERROR(_xlfn.XLOOKUP($A260,Raw_Data!$B:$B,Raw_Data!$KD:$KD),"")</f>
        <v/>
      </c>
      <c r="AA260" s="176" t="str">
        <f>IFERROR(_xlfn.XLOOKUP($A260,Raw_Data!$B:$B,Raw_Data!$KF:$KF),"")</f>
        <v/>
      </c>
      <c r="AB260" s="176" t="str">
        <f>IFERROR(_xlfn.XLOOKUP($A260,Raw_Data!$B:$B,Raw_Data!I:I)/1000,"")</f>
        <v/>
      </c>
      <c r="AC260" s="185">
        <f>IFERROR(_xlfn.XLOOKUP($D260,'Modelling New'!$D:$D,'Modelling New'!$P:$P),"")</f>
        <v>4.2709677419354843</v>
      </c>
      <c r="AD260" s="176">
        <f>IFERROR(_xlfn.XLOOKUP($D260,'Modelling New'!$D:$D,'Modelling New'!$T:$T)*1000,"")</f>
        <v>232649.96222803142</v>
      </c>
      <c r="AE260" s="186">
        <f>IFERROR(_xlfn.XLOOKUP($D260,'Modelling New'!$D:$D,'Modelling New'!$O:$O),"")</f>
        <v>0.81600514089250631</v>
      </c>
      <c r="AF260" s="186">
        <f>IFERROR(_xlfn.XLOOKUP($D260,'Modelling New'!$D:$D,'Modelling New'!$W:$W),"")</f>
        <v>0.14521381808355893</v>
      </c>
      <c r="AG260" s="186">
        <f>IFERROR(_xlfn.XLOOKUP($D260,'Modelling New'!$D:$D,'Modelling New'!$AE:$AE),"")</f>
        <v>0.995</v>
      </c>
      <c r="AH260" s="186">
        <f>IFERROR(_xlfn.XLOOKUP($D260,'Modelling New'!$D:$D,'Modelling New'!$AF:$AF),"")</f>
        <v>0.995</v>
      </c>
      <c r="AI260" s="177"/>
      <c r="AJ260" s="177"/>
      <c r="AK260" s="238"/>
      <c r="AL260" s="238"/>
      <c r="AM260" s="238"/>
      <c r="AN260" s="187"/>
      <c r="AO260" s="184"/>
      <c r="AP260" s="184"/>
      <c r="AQ260" s="184"/>
      <c r="AR260" s="176">
        <f>IFERROR(_xlfn.XLOOKUP($D259,'Modelling New'!$D:$D,'Modelling New'!$N:$N),"")</f>
        <v>66.754999999999995</v>
      </c>
      <c r="AS260" s="176"/>
    </row>
    <row r="261" spans="1:45" x14ac:dyDescent="0.25">
      <c r="A261" s="175">
        <f t="shared" si="19"/>
        <v>46004</v>
      </c>
      <c r="B261" s="176">
        <f>YEAR(Table13[[#This Row],[Date]])+IF(MONTH(Table13[[#This Row],[Date]])&gt;=4,1,0)</f>
        <v>2026</v>
      </c>
      <c r="C261" s="177">
        <f>YEAR(Table13[[#This Row],[Date]])</f>
        <v>2025</v>
      </c>
      <c r="D261" s="178">
        <f>Table13[[#This Row],[Date]]-DAY(Table13[[#This Row],[Date]])+1</f>
        <v>45992</v>
      </c>
      <c r="E261" s="177">
        <f t="shared" si="16"/>
        <v>31</v>
      </c>
      <c r="F261" s="179" t="str">
        <f>IFERROR(_xlfn.XLOOKUP($A261,Raw_Data!$B:$B,Raw_Data!$KG:$KG),"")</f>
        <v/>
      </c>
      <c r="G261" s="180" t="str">
        <f>IFERROR(_xlfn.XLOOKUP($A261,Raw_Data!$B:$B,Raw_Data!KH:KH),"")</f>
        <v/>
      </c>
      <c r="H261" s="180"/>
      <c r="I261" s="180" t="str">
        <f>IFERROR(_xlfn.XLOOKUP($A261,Raw_Data!$B:$B,Raw_Data!$KI:$KI),"")</f>
        <v/>
      </c>
      <c r="J261" s="180"/>
      <c r="K261" s="180" t="str">
        <f>IFERROR(_xlfn.XLOOKUP($A261,Raw_Data!$B:$B,Raw_Data!KJ:KJ),"")</f>
        <v/>
      </c>
      <c r="L261" s="180" t="str">
        <f>IFERROR(_xlfn.XLOOKUP($A261,Raw_Data!$B:$B,Raw_Data!KK:KK),"")</f>
        <v/>
      </c>
      <c r="M261" s="180" t="str">
        <f>IFERROR(_xlfn.XLOOKUP($A261,Raw_Data!$B:$B,Raw_Data!KL:KL),"")</f>
        <v/>
      </c>
      <c r="N261" s="180" t="str">
        <f>IFERROR(_xlfn.XLOOKUP($A261,Raw_Data!$B:$B,Raw_Data!KM:KM),"")</f>
        <v/>
      </c>
      <c r="O261" s="181" t="str">
        <f>IFERROR(1-SUMIF(PA!$B:$B,$A261,PA!AJ:AJ)/($AA261+SUMIF(PA!$B:$B,$A261,PA!AJ:AJ)),"")</f>
        <v/>
      </c>
      <c r="P261" s="181"/>
      <c r="Q261" s="182"/>
      <c r="R261" s="181" t="str">
        <f>IFERROR(1-SUMIF(GA!$C:$C,$A261,GA!$X:$X)/($AA261+SUMIF(GA!$C:$C,$A261,GA!$X:$X)),"")</f>
        <v/>
      </c>
      <c r="S261" s="177"/>
      <c r="T261" s="182"/>
      <c r="U261" s="183" t="str">
        <f t="shared" si="17"/>
        <v/>
      </c>
      <c r="V261" s="183" t="str">
        <f>IFERROR(_xlfn.XLOOKUP($A261,Raw_Data!$B:$B,Raw_Data!$KQ:$KQ),"")</f>
        <v/>
      </c>
      <c r="W261" s="184" t="str">
        <f t="shared" si="18"/>
        <v/>
      </c>
      <c r="X261" s="176" t="str">
        <f>IFERROR(_xlfn.XLOOKUP($A261,Raw_Data!$B:$B,Raw_Data!$KN:$KN),"")</f>
        <v/>
      </c>
      <c r="Y261" s="176" t="str">
        <f>IFERROR(_xlfn.XLOOKUP($A261,Raw_Data!$B:$B,Raw_Data!$KC:$KC),"")</f>
        <v/>
      </c>
      <c r="Z261" s="176" t="str">
        <f>IFERROR(_xlfn.XLOOKUP($A261,Raw_Data!$B:$B,Raw_Data!$KD:$KD),"")</f>
        <v/>
      </c>
      <c r="AA261" s="176" t="str">
        <f>IFERROR(_xlfn.XLOOKUP($A261,Raw_Data!$B:$B,Raw_Data!$KF:$KF),"")</f>
        <v/>
      </c>
      <c r="AB261" s="176" t="str">
        <f>IFERROR(_xlfn.XLOOKUP($A261,Raw_Data!$B:$B,Raw_Data!I:I)/1000,"")</f>
        <v/>
      </c>
      <c r="AC261" s="185">
        <f>IFERROR(_xlfn.XLOOKUP($D261,'Modelling New'!$D:$D,'Modelling New'!$P:$P),"")</f>
        <v>4.2709677419354843</v>
      </c>
      <c r="AD261" s="176">
        <f>IFERROR(_xlfn.XLOOKUP($D261,'Modelling New'!$D:$D,'Modelling New'!$T:$T)*1000,"")</f>
        <v>232649.96222803142</v>
      </c>
      <c r="AE261" s="186">
        <f>IFERROR(_xlfn.XLOOKUP($D261,'Modelling New'!$D:$D,'Modelling New'!$O:$O),"")</f>
        <v>0.81600514089250631</v>
      </c>
      <c r="AF261" s="186">
        <f>IFERROR(_xlfn.XLOOKUP($D261,'Modelling New'!$D:$D,'Modelling New'!$W:$W),"")</f>
        <v>0.14521381808355893</v>
      </c>
      <c r="AG261" s="186">
        <f>IFERROR(_xlfn.XLOOKUP($D261,'Modelling New'!$D:$D,'Modelling New'!$AE:$AE),"")</f>
        <v>0.995</v>
      </c>
      <c r="AH261" s="186">
        <f>IFERROR(_xlfn.XLOOKUP($D261,'Modelling New'!$D:$D,'Modelling New'!$AF:$AF),"")</f>
        <v>0.995</v>
      </c>
      <c r="AI261" s="177"/>
      <c r="AJ261" s="177"/>
      <c r="AK261" s="238"/>
      <c r="AL261" s="238"/>
      <c r="AM261" s="238"/>
      <c r="AN261" s="187"/>
      <c r="AO261" s="184"/>
      <c r="AP261" s="184"/>
      <c r="AQ261" s="184"/>
      <c r="AR261" s="176">
        <f>IFERROR(_xlfn.XLOOKUP($D260,'Modelling New'!$D:$D,'Modelling New'!$N:$N),"")</f>
        <v>66.754999999999995</v>
      </c>
      <c r="AS261" s="176"/>
    </row>
    <row r="262" spans="1:45" x14ac:dyDescent="0.25">
      <c r="A262" s="175">
        <f t="shared" si="19"/>
        <v>46005</v>
      </c>
      <c r="B262" s="176">
        <f>YEAR(Table13[[#This Row],[Date]])+IF(MONTH(Table13[[#This Row],[Date]])&gt;=4,1,0)</f>
        <v>2026</v>
      </c>
      <c r="C262" s="177">
        <f>YEAR(Table13[[#This Row],[Date]])</f>
        <v>2025</v>
      </c>
      <c r="D262" s="178">
        <f>Table13[[#This Row],[Date]]-DAY(Table13[[#This Row],[Date]])+1</f>
        <v>45992</v>
      </c>
      <c r="E262" s="177">
        <f t="shared" si="16"/>
        <v>31</v>
      </c>
      <c r="F262" s="179" t="str">
        <f>IFERROR(_xlfn.XLOOKUP($A262,Raw_Data!$B:$B,Raw_Data!$KG:$KG),"")</f>
        <v/>
      </c>
      <c r="G262" s="180" t="str">
        <f>IFERROR(_xlfn.XLOOKUP($A262,Raw_Data!$B:$B,Raw_Data!KH:KH),"")</f>
        <v/>
      </c>
      <c r="H262" s="180"/>
      <c r="I262" s="180" t="str">
        <f>IFERROR(_xlfn.XLOOKUP($A262,Raw_Data!$B:$B,Raw_Data!$KI:$KI),"")</f>
        <v/>
      </c>
      <c r="J262" s="180"/>
      <c r="K262" s="180" t="str">
        <f>IFERROR(_xlfn.XLOOKUP($A262,Raw_Data!$B:$B,Raw_Data!KJ:KJ),"")</f>
        <v/>
      </c>
      <c r="L262" s="180" t="str">
        <f>IFERROR(_xlfn.XLOOKUP($A262,Raw_Data!$B:$B,Raw_Data!KK:KK),"")</f>
        <v/>
      </c>
      <c r="M262" s="180" t="str">
        <f>IFERROR(_xlfn.XLOOKUP($A262,Raw_Data!$B:$B,Raw_Data!KL:KL),"")</f>
        <v/>
      </c>
      <c r="N262" s="180" t="str">
        <f>IFERROR(_xlfn.XLOOKUP($A262,Raw_Data!$B:$B,Raw_Data!KM:KM),"")</f>
        <v/>
      </c>
      <c r="O262" s="181" t="str">
        <f>IFERROR(1-SUMIF(PA!$B:$B,$A262,PA!AJ:AJ)/($AA262+SUMIF(PA!$B:$B,$A262,PA!AJ:AJ)),"")</f>
        <v/>
      </c>
      <c r="P262" s="181"/>
      <c r="Q262" s="182"/>
      <c r="R262" s="181" t="str">
        <f>IFERROR(1-SUMIF(GA!$C:$C,$A262,GA!$X:$X)/($AA262+SUMIF(GA!$C:$C,$A262,GA!$X:$X)),"")</f>
        <v/>
      </c>
      <c r="S262" s="177"/>
      <c r="T262" s="182"/>
      <c r="U262" s="183" t="str">
        <f t="shared" si="17"/>
        <v/>
      </c>
      <c r="V262" s="183" t="str">
        <f>IFERROR(_xlfn.XLOOKUP($A262,Raw_Data!$B:$B,Raw_Data!$KQ:$KQ),"")</f>
        <v/>
      </c>
      <c r="W262" s="184" t="str">
        <f t="shared" si="18"/>
        <v/>
      </c>
      <c r="X262" s="176" t="str">
        <f>IFERROR(_xlfn.XLOOKUP($A262,Raw_Data!$B:$B,Raw_Data!$KN:$KN),"")</f>
        <v/>
      </c>
      <c r="Y262" s="176" t="str">
        <f>IFERROR(_xlfn.XLOOKUP($A262,Raw_Data!$B:$B,Raw_Data!$KC:$KC),"")</f>
        <v/>
      </c>
      <c r="Z262" s="176" t="str">
        <f>IFERROR(_xlfn.XLOOKUP($A262,Raw_Data!$B:$B,Raw_Data!$KD:$KD),"")</f>
        <v/>
      </c>
      <c r="AA262" s="176" t="str">
        <f>IFERROR(_xlfn.XLOOKUP($A262,Raw_Data!$B:$B,Raw_Data!$KF:$KF),"")</f>
        <v/>
      </c>
      <c r="AB262" s="176" t="str">
        <f>IFERROR(_xlfn.XLOOKUP($A262,Raw_Data!$B:$B,Raw_Data!I:I)/1000,"")</f>
        <v/>
      </c>
      <c r="AC262" s="185">
        <f>IFERROR(_xlfn.XLOOKUP($D262,'Modelling New'!$D:$D,'Modelling New'!$P:$P),"")</f>
        <v>4.2709677419354843</v>
      </c>
      <c r="AD262" s="176">
        <f>IFERROR(_xlfn.XLOOKUP($D262,'Modelling New'!$D:$D,'Modelling New'!$T:$T)*1000,"")</f>
        <v>232649.96222803142</v>
      </c>
      <c r="AE262" s="186">
        <f>IFERROR(_xlfn.XLOOKUP($D262,'Modelling New'!$D:$D,'Modelling New'!$O:$O),"")</f>
        <v>0.81600514089250631</v>
      </c>
      <c r="AF262" s="186">
        <f>IFERROR(_xlfn.XLOOKUP($D262,'Modelling New'!$D:$D,'Modelling New'!$W:$W),"")</f>
        <v>0.14521381808355893</v>
      </c>
      <c r="AG262" s="186">
        <f>IFERROR(_xlfn.XLOOKUP($D262,'Modelling New'!$D:$D,'Modelling New'!$AE:$AE),"")</f>
        <v>0.995</v>
      </c>
      <c r="AH262" s="186">
        <f>IFERROR(_xlfn.XLOOKUP($D262,'Modelling New'!$D:$D,'Modelling New'!$AF:$AF),"")</f>
        <v>0.995</v>
      </c>
      <c r="AI262" s="177"/>
      <c r="AJ262" s="177"/>
      <c r="AK262" s="238"/>
      <c r="AL262" s="238"/>
      <c r="AM262" s="238"/>
      <c r="AN262" s="187"/>
      <c r="AO262" s="184"/>
      <c r="AP262" s="184"/>
      <c r="AQ262" s="184"/>
      <c r="AR262" s="176">
        <f>IFERROR(_xlfn.XLOOKUP($D261,'Modelling New'!$D:$D,'Modelling New'!$N:$N),"")</f>
        <v>66.754999999999995</v>
      </c>
      <c r="AS262" s="176"/>
    </row>
    <row r="263" spans="1:45" x14ac:dyDescent="0.25">
      <c r="A263" s="175">
        <f t="shared" si="19"/>
        <v>46006</v>
      </c>
      <c r="B263" s="176">
        <f>YEAR(Table13[[#This Row],[Date]])+IF(MONTH(Table13[[#This Row],[Date]])&gt;=4,1,0)</f>
        <v>2026</v>
      </c>
      <c r="C263" s="177">
        <f>YEAR(Table13[[#This Row],[Date]])</f>
        <v>2025</v>
      </c>
      <c r="D263" s="178">
        <f>Table13[[#This Row],[Date]]-DAY(Table13[[#This Row],[Date]])+1</f>
        <v>45992</v>
      </c>
      <c r="E263" s="177">
        <f t="shared" si="16"/>
        <v>31</v>
      </c>
      <c r="F263" s="179" t="str">
        <f>IFERROR(_xlfn.XLOOKUP($A263,Raw_Data!$B:$B,Raw_Data!$KG:$KG),"")</f>
        <v/>
      </c>
      <c r="G263" s="180" t="str">
        <f>IFERROR(_xlfn.XLOOKUP($A263,Raw_Data!$B:$B,Raw_Data!KH:KH),"")</f>
        <v/>
      </c>
      <c r="H263" s="180"/>
      <c r="I263" s="180" t="str">
        <f>IFERROR(_xlfn.XLOOKUP($A263,Raw_Data!$B:$B,Raw_Data!$KI:$KI),"")</f>
        <v/>
      </c>
      <c r="J263" s="180"/>
      <c r="K263" s="180" t="str">
        <f>IFERROR(_xlfn.XLOOKUP($A263,Raw_Data!$B:$B,Raw_Data!KJ:KJ),"")</f>
        <v/>
      </c>
      <c r="L263" s="180" t="str">
        <f>IFERROR(_xlfn.XLOOKUP($A263,Raw_Data!$B:$B,Raw_Data!KK:KK),"")</f>
        <v/>
      </c>
      <c r="M263" s="180" t="str">
        <f>IFERROR(_xlfn.XLOOKUP($A263,Raw_Data!$B:$B,Raw_Data!KL:KL),"")</f>
        <v/>
      </c>
      <c r="N263" s="180" t="str">
        <f>IFERROR(_xlfn.XLOOKUP($A263,Raw_Data!$B:$B,Raw_Data!KM:KM),"")</f>
        <v/>
      </c>
      <c r="O263" s="181" t="str">
        <f>IFERROR(1-SUMIF(PA!$B:$B,$A263,PA!AJ:AJ)/($AA263+SUMIF(PA!$B:$B,$A263,PA!AJ:AJ)),"")</f>
        <v/>
      </c>
      <c r="P263" s="181"/>
      <c r="Q263" s="182"/>
      <c r="R263" s="181" t="str">
        <f>IFERROR(1-SUMIF(GA!$C:$C,$A263,GA!$X:$X)/($AA263+SUMIF(GA!$C:$C,$A263,GA!$X:$X)),"")</f>
        <v/>
      </c>
      <c r="S263" s="177"/>
      <c r="T263" s="182"/>
      <c r="U263" s="183" t="str">
        <f t="shared" si="17"/>
        <v/>
      </c>
      <c r="V263" s="183" t="str">
        <f>IFERROR(_xlfn.XLOOKUP($A263,Raw_Data!$B:$B,Raw_Data!$KQ:$KQ),"")</f>
        <v/>
      </c>
      <c r="W263" s="184" t="str">
        <f t="shared" si="18"/>
        <v/>
      </c>
      <c r="X263" s="176" t="str">
        <f>IFERROR(_xlfn.XLOOKUP($A263,Raw_Data!$B:$B,Raw_Data!$KN:$KN),"")</f>
        <v/>
      </c>
      <c r="Y263" s="176" t="str">
        <f>IFERROR(_xlfn.XLOOKUP($A263,Raw_Data!$B:$B,Raw_Data!$KC:$KC),"")</f>
        <v/>
      </c>
      <c r="Z263" s="176" t="str">
        <f>IFERROR(_xlfn.XLOOKUP($A263,Raw_Data!$B:$B,Raw_Data!$KD:$KD),"")</f>
        <v/>
      </c>
      <c r="AA263" s="176" t="str">
        <f>IFERROR(_xlfn.XLOOKUP($A263,Raw_Data!$B:$B,Raw_Data!$KF:$KF),"")</f>
        <v/>
      </c>
      <c r="AB263" s="176" t="str">
        <f>IFERROR(_xlfn.XLOOKUP($A263,Raw_Data!$B:$B,Raw_Data!I:I)/1000,"")</f>
        <v/>
      </c>
      <c r="AC263" s="185">
        <f>IFERROR(_xlfn.XLOOKUP($D263,'Modelling New'!$D:$D,'Modelling New'!$P:$P),"")</f>
        <v>4.2709677419354843</v>
      </c>
      <c r="AD263" s="176">
        <f>IFERROR(_xlfn.XLOOKUP($D263,'Modelling New'!$D:$D,'Modelling New'!$T:$T)*1000,"")</f>
        <v>232649.96222803142</v>
      </c>
      <c r="AE263" s="186">
        <f>IFERROR(_xlfn.XLOOKUP($D263,'Modelling New'!$D:$D,'Modelling New'!$O:$O),"")</f>
        <v>0.81600514089250631</v>
      </c>
      <c r="AF263" s="186">
        <f>IFERROR(_xlfn.XLOOKUP($D263,'Modelling New'!$D:$D,'Modelling New'!$W:$W),"")</f>
        <v>0.14521381808355893</v>
      </c>
      <c r="AG263" s="186">
        <f>IFERROR(_xlfn.XLOOKUP($D263,'Modelling New'!$D:$D,'Modelling New'!$AE:$AE),"")</f>
        <v>0.995</v>
      </c>
      <c r="AH263" s="186">
        <f>IFERROR(_xlfn.XLOOKUP($D263,'Modelling New'!$D:$D,'Modelling New'!$AF:$AF),"")</f>
        <v>0.995</v>
      </c>
      <c r="AI263" s="177"/>
      <c r="AJ263" s="177"/>
      <c r="AK263" s="238"/>
      <c r="AL263" s="238"/>
      <c r="AM263" s="238"/>
      <c r="AN263" s="187"/>
      <c r="AO263" s="184"/>
      <c r="AP263" s="184"/>
      <c r="AQ263" s="184"/>
      <c r="AR263" s="176">
        <f>IFERROR(_xlfn.XLOOKUP($D262,'Modelling New'!$D:$D,'Modelling New'!$N:$N),"")</f>
        <v>66.754999999999995</v>
      </c>
      <c r="AS263" s="176"/>
    </row>
    <row r="264" spans="1:45" x14ac:dyDescent="0.25">
      <c r="A264" s="175">
        <f t="shared" si="19"/>
        <v>46007</v>
      </c>
      <c r="B264" s="176">
        <f>YEAR(Table13[[#This Row],[Date]])+IF(MONTH(Table13[[#This Row],[Date]])&gt;=4,1,0)</f>
        <v>2026</v>
      </c>
      <c r="C264" s="177">
        <f>YEAR(Table13[[#This Row],[Date]])</f>
        <v>2025</v>
      </c>
      <c r="D264" s="178">
        <f>Table13[[#This Row],[Date]]-DAY(Table13[[#This Row],[Date]])+1</f>
        <v>45992</v>
      </c>
      <c r="E264" s="177">
        <f t="shared" si="16"/>
        <v>31</v>
      </c>
      <c r="F264" s="179" t="str">
        <f>IFERROR(_xlfn.XLOOKUP($A264,Raw_Data!$B:$B,Raw_Data!$KG:$KG),"")</f>
        <v/>
      </c>
      <c r="G264" s="180" t="str">
        <f>IFERROR(_xlfn.XLOOKUP($A264,Raw_Data!$B:$B,Raw_Data!KH:KH),"")</f>
        <v/>
      </c>
      <c r="H264" s="180"/>
      <c r="I264" s="180" t="str">
        <f>IFERROR(_xlfn.XLOOKUP($A264,Raw_Data!$B:$B,Raw_Data!$KI:$KI),"")</f>
        <v/>
      </c>
      <c r="J264" s="180"/>
      <c r="K264" s="180" t="str">
        <f>IFERROR(_xlfn.XLOOKUP($A264,Raw_Data!$B:$B,Raw_Data!KJ:KJ),"")</f>
        <v/>
      </c>
      <c r="L264" s="180" t="str">
        <f>IFERROR(_xlfn.XLOOKUP($A264,Raw_Data!$B:$B,Raw_Data!KK:KK),"")</f>
        <v/>
      </c>
      <c r="M264" s="180" t="str">
        <f>IFERROR(_xlfn.XLOOKUP($A264,Raw_Data!$B:$B,Raw_Data!KL:KL),"")</f>
        <v/>
      </c>
      <c r="N264" s="180" t="str">
        <f>IFERROR(_xlfn.XLOOKUP($A264,Raw_Data!$B:$B,Raw_Data!KM:KM),"")</f>
        <v/>
      </c>
      <c r="O264" s="181" t="str">
        <f>IFERROR(1-SUMIF(PA!$B:$B,$A264,PA!AJ:AJ)/($AA264+SUMIF(PA!$B:$B,$A264,PA!AJ:AJ)),"")</f>
        <v/>
      </c>
      <c r="P264" s="181"/>
      <c r="Q264" s="182"/>
      <c r="R264" s="181" t="str">
        <f>IFERROR(1-SUMIF(GA!$C:$C,$A264,GA!$X:$X)/($AA264+SUMIF(GA!$C:$C,$A264,GA!$X:$X)),"")</f>
        <v/>
      </c>
      <c r="S264" s="177"/>
      <c r="T264" s="182"/>
      <c r="U264" s="183" t="str">
        <f t="shared" si="17"/>
        <v/>
      </c>
      <c r="V264" s="183" t="str">
        <f>IFERROR(_xlfn.XLOOKUP($A264,Raw_Data!$B:$B,Raw_Data!$KQ:$KQ),"")</f>
        <v/>
      </c>
      <c r="W264" s="184" t="str">
        <f t="shared" si="18"/>
        <v/>
      </c>
      <c r="X264" s="176" t="str">
        <f>IFERROR(_xlfn.XLOOKUP($A264,Raw_Data!$B:$B,Raw_Data!$KN:$KN),"")</f>
        <v/>
      </c>
      <c r="Y264" s="176" t="str">
        <f>IFERROR(_xlfn.XLOOKUP($A264,Raw_Data!$B:$B,Raw_Data!$KC:$KC),"")</f>
        <v/>
      </c>
      <c r="Z264" s="176" t="str">
        <f>IFERROR(_xlfn.XLOOKUP($A264,Raw_Data!$B:$B,Raw_Data!$KD:$KD),"")</f>
        <v/>
      </c>
      <c r="AA264" s="176" t="str">
        <f>IFERROR(_xlfn.XLOOKUP($A264,Raw_Data!$B:$B,Raw_Data!$KF:$KF),"")</f>
        <v/>
      </c>
      <c r="AB264" s="176" t="str">
        <f>IFERROR(_xlfn.XLOOKUP($A264,Raw_Data!$B:$B,Raw_Data!I:I)/1000,"")</f>
        <v/>
      </c>
      <c r="AC264" s="185">
        <f>IFERROR(_xlfn.XLOOKUP($D264,'Modelling New'!$D:$D,'Modelling New'!$P:$P),"")</f>
        <v>4.2709677419354843</v>
      </c>
      <c r="AD264" s="176">
        <f>IFERROR(_xlfn.XLOOKUP($D264,'Modelling New'!$D:$D,'Modelling New'!$T:$T)*1000,"")</f>
        <v>232649.96222803142</v>
      </c>
      <c r="AE264" s="186">
        <f>IFERROR(_xlfn.XLOOKUP($D264,'Modelling New'!$D:$D,'Modelling New'!$O:$O),"")</f>
        <v>0.81600514089250631</v>
      </c>
      <c r="AF264" s="186">
        <f>IFERROR(_xlfn.XLOOKUP($D264,'Modelling New'!$D:$D,'Modelling New'!$W:$W),"")</f>
        <v>0.14521381808355893</v>
      </c>
      <c r="AG264" s="186">
        <f>IFERROR(_xlfn.XLOOKUP($D264,'Modelling New'!$D:$D,'Modelling New'!$AE:$AE),"")</f>
        <v>0.995</v>
      </c>
      <c r="AH264" s="186">
        <f>IFERROR(_xlfn.XLOOKUP($D264,'Modelling New'!$D:$D,'Modelling New'!$AF:$AF),"")</f>
        <v>0.995</v>
      </c>
      <c r="AI264" s="177"/>
      <c r="AJ264" s="177"/>
      <c r="AK264" s="238"/>
      <c r="AL264" s="238"/>
      <c r="AM264" s="238"/>
      <c r="AN264" s="187"/>
      <c r="AO264" s="184"/>
      <c r="AP264" s="184"/>
      <c r="AQ264" s="184"/>
      <c r="AR264" s="176">
        <f>IFERROR(_xlfn.XLOOKUP($D263,'Modelling New'!$D:$D,'Modelling New'!$N:$N),"")</f>
        <v>66.754999999999995</v>
      </c>
      <c r="AS264" s="176"/>
    </row>
    <row r="265" spans="1:45" x14ac:dyDescent="0.25">
      <c r="A265" s="175">
        <f t="shared" si="19"/>
        <v>46008</v>
      </c>
      <c r="B265" s="176">
        <f>YEAR(Table13[[#This Row],[Date]])+IF(MONTH(Table13[[#This Row],[Date]])&gt;=4,1,0)</f>
        <v>2026</v>
      </c>
      <c r="C265" s="177">
        <f>YEAR(Table13[[#This Row],[Date]])</f>
        <v>2025</v>
      </c>
      <c r="D265" s="178">
        <f>Table13[[#This Row],[Date]]-DAY(Table13[[#This Row],[Date]])+1</f>
        <v>45992</v>
      </c>
      <c r="E265" s="177">
        <f t="shared" si="16"/>
        <v>31</v>
      </c>
      <c r="F265" s="179" t="str">
        <f>IFERROR(_xlfn.XLOOKUP($A265,Raw_Data!$B:$B,Raw_Data!$KG:$KG),"")</f>
        <v/>
      </c>
      <c r="G265" s="180" t="str">
        <f>IFERROR(_xlfn.XLOOKUP($A265,Raw_Data!$B:$B,Raw_Data!KH:KH),"")</f>
        <v/>
      </c>
      <c r="H265" s="180"/>
      <c r="I265" s="180" t="str">
        <f>IFERROR(_xlfn.XLOOKUP($A265,Raw_Data!$B:$B,Raw_Data!$KI:$KI),"")</f>
        <v/>
      </c>
      <c r="J265" s="180"/>
      <c r="K265" s="180" t="str">
        <f>IFERROR(_xlfn.XLOOKUP($A265,Raw_Data!$B:$B,Raw_Data!KJ:KJ),"")</f>
        <v/>
      </c>
      <c r="L265" s="180" t="str">
        <f>IFERROR(_xlfn.XLOOKUP($A265,Raw_Data!$B:$B,Raw_Data!KK:KK),"")</f>
        <v/>
      </c>
      <c r="M265" s="180" t="str">
        <f>IFERROR(_xlfn.XLOOKUP($A265,Raw_Data!$B:$B,Raw_Data!KL:KL),"")</f>
        <v/>
      </c>
      <c r="N265" s="180" t="str">
        <f>IFERROR(_xlfn.XLOOKUP($A265,Raw_Data!$B:$B,Raw_Data!KM:KM),"")</f>
        <v/>
      </c>
      <c r="O265" s="181" t="str">
        <f>IFERROR(1-SUMIF(PA!$B:$B,$A265,PA!AJ:AJ)/($AA265+SUMIF(PA!$B:$B,$A265,PA!AJ:AJ)),"")</f>
        <v/>
      </c>
      <c r="P265" s="181"/>
      <c r="Q265" s="182"/>
      <c r="R265" s="181" t="str">
        <f>IFERROR(1-SUMIF(GA!$C:$C,$A265,GA!$X:$X)/($AA265+SUMIF(GA!$C:$C,$A265,GA!$X:$X)),"")</f>
        <v/>
      </c>
      <c r="S265" s="177"/>
      <c r="T265" s="182"/>
      <c r="U265" s="183" t="str">
        <f t="shared" si="17"/>
        <v/>
      </c>
      <c r="V265" s="183" t="str">
        <f>IFERROR(_xlfn.XLOOKUP($A265,Raw_Data!$B:$B,Raw_Data!$KQ:$KQ),"")</f>
        <v/>
      </c>
      <c r="W265" s="184" t="str">
        <f t="shared" si="18"/>
        <v/>
      </c>
      <c r="X265" s="176" t="str">
        <f>IFERROR(_xlfn.XLOOKUP($A265,Raw_Data!$B:$B,Raw_Data!$KN:$KN),"")</f>
        <v/>
      </c>
      <c r="Y265" s="176" t="str">
        <f>IFERROR(_xlfn.XLOOKUP($A265,Raw_Data!$B:$B,Raw_Data!$KC:$KC),"")</f>
        <v/>
      </c>
      <c r="Z265" s="176" t="str">
        <f>IFERROR(_xlfn.XLOOKUP($A265,Raw_Data!$B:$B,Raw_Data!$KD:$KD),"")</f>
        <v/>
      </c>
      <c r="AA265" s="176" t="str">
        <f>IFERROR(_xlfn.XLOOKUP($A265,Raw_Data!$B:$B,Raw_Data!$KF:$KF),"")</f>
        <v/>
      </c>
      <c r="AB265" s="176" t="str">
        <f>IFERROR(_xlfn.XLOOKUP($A265,Raw_Data!$B:$B,Raw_Data!I:I)/1000,"")</f>
        <v/>
      </c>
      <c r="AC265" s="185">
        <f>IFERROR(_xlfn.XLOOKUP($D265,'Modelling New'!$D:$D,'Modelling New'!$P:$P),"")</f>
        <v>4.2709677419354843</v>
      </c>
      <c r="AD265" s="176">
        <f>IFERROR(_xlfn.XLOOKUP($D265,'Modelling New'!$D:$D,'Modelling New'!$T:$T)*1000,"")</f>
        <v>232649.96222803142</v>
      </c>
      <c r="AE265" s="186">
        <f>IFERROR(_xlfn.XLOOKUP($D265,'Modelling New'!$D:$D,'Modelling New'!$O:$O),"")</f>
        <v>0.81600514089250631</v>
      </c>
      <c r="AF265" s="186">
        <f>IFERROR(_xlfn.XLOOKUP($D265,'Modelling New'!$D:$D,'Modelling New'!$W:$W),"")</f>
        <v>0.14521381808355893</v>
      </c>
      <c r="AG265" s="186">
        <f>IFERROR(_xlfn.XLOOKUP($D265,'Modelling New'!$D:$D,'Modelling New'!$AE:$AE),"")</f>
        <v>0.995</v>
      </c>
      <c r="AH265" s="186">
        <f>IFERROR(_xlfn.XLOOKUP($D265,'Modelling New'!$D:$D,'Modelling New'!$AF:$AF),"")</f>
        <v>0.995</v>
      </c>
      <c r="AI265" s="177"/>
      <c r="AJ265" s="177"/>
      <c r="AK265" s="238"/>
      <c r="AL265" s="238"/>
      <c r="AM265" s="238"/>
      <c r="AN265" s="187"/>
      <c r="AO265" s="184"/>
      <c r="AP265" s="184"/>
      <c r="AQ265" s="184"/>
      <c r="AR265" s="176">
        <f>IFERROR(_xlfn.XLOOKUP($D264,'Modelling New'!$D:$D,'Modelling New'!$N:$N),"")</f>
        <v>66.754999999999995</v>
      </c>
      <c r="AS265" s="176"/>
    </row>
    <row r="266" spans="1:45" x14ac:dyDescent="0.25">
      <c r="A266" s="175">
        <f t="shared" si="19"/>
        <v>46009</v>
      </c>
      <c r="B266" s="176">
        <f>YEAR(Table13[[#This Row],[Date]])+IF(MONTH(Table13[[#This Row],[Date]])&gt;=4,1,0)</f>
        <v>2026</v>
      </c>
      <c r="C266" s="177">
        <f>YEAR(Table13[[#This Row],[Date]])</f>
        <v>2025</v>
      </c>
      <c r="D266" s="178">
        <f>Table13[[#This Row],[Date]]-DAY(Table13[[#This Row],[Date]])+1</f>
        <v>45992</v>
      </c>
      <c r="E266" s="177">
        <f t="shared" si="16"/>
        <v>31</v>
      </c>
      <c r="F266" s="179" t="str">
        <f>IFERROR(_xlfn.XLOOKUP($A266,Raw_Data!$B:$B,Raw_Data!$KG:$KG),"")</f>
        <v/>
      </c>
      <c r="G266" s="180" t="str">
        <f>IFERROR(_xlfn.XLOOKUP($A266,Raw_Data!$B:$B,Raw_Data!KH:KH),"")</f>
        <v/>
      </c>
      <c r="H266" s="180"/>
      <c r="I266" s="180" t="str">
        <f>IFERROR(_xlfn.XLOOKUP($A266,Raw_Data!$B:$B,Raw_Data!$KI:$KI),"")</f>
        <v/>
      </c>
      <c r="J266" s="180"/>
      <c r="K266" s="180" t="str">
        <f>IFERROR(_xlfn.XLOOKUP($A266,Raw_Data!$B:$B,Raw_Data!KJ:KJ),"")</f>
        <v/>
      </c>
      <c r="L266" s="180" t="str">
        <f>IFERROR(_xlfn.XLOOKUP($A266,Raw_Data!$B:$B,Raw_Data!KK:KK),"")</f>
        <v/>
      </c>
      <c r="M266" s="180" t="str">
        <f>IFERROR(_xlfn.XLOOKUP($A266,Raw_Data!$B:$B,Raw_Data!KL:KL),"")</f>
        <v/>
      </c>
      <c r="N266" s="180" t="str">
        <f>IFERROR(_xlfn.XLOOKUP($A266,Raw_Data!$B:$B,Raw_Data!KM:KM),"")</f>
        <v/>
      </c>
      <c r="O266" s="181" t="str">
        <f>IFERROR(1-SUMIF(PA!$B:$B,$A266,PA!AJ:AJ)/($AA266+SUMIF(PA!$B:$B,$A266,PA!AJ:AJ)),"")</f>
        <v/>
      </c>
      <c r="P266" s="181"/>
      <c r="Q266" s="182"/>
      <c r="R266" s="181" t="str">
        <f>IFERROR(1-SUMIF(GA!$C:$C,$A266,GA!$X:$X)/($AA266+SUMIF(GA!$C:$C,$A266,GA!$X:$X)),"")</f>
        <v/>
      </c>
      <c r="S266" s="177"/>
      <c r="T266" s="182"/>
      <c r="U266" s="183" t="str">
        <f t="shared" si="17"/>
        <v/>
      </c>
      <c r="V266" s="183" t="str">
        <f>IFERROR(_xlfn.XLOOKUP($A266,Raw_Data!$B:$B,Raw_Data!$KQ:$KQ),"")</f>
        <v/>
      </c>
      <c r="W266" s="184" t="str">
        <f t="shared" si="18"/>
        <v/>
      </c>
      <c r="X266" s="176" t="str">
        <f>IFERROR(_xlfn.XLOOKUP($A266,Raw_Data!$B:$B,Raw_Data!$KN:$KN),"")</f>
        <v/>
      </c>
      <c r="Y266" s="176" t="str">
        <f>IFERROR(_xlfn.XLOOKUP($A266,Raw_Data!$B:$B,Raw_Data!$KC:$KC),"")</f>
        <v/>
      </c>
      <c r="Z266" s="176" t="str">
        <f>IFERROR(_xlfn.XLOOKUP($A266,Raw_Data!$B:$B,Raw_Data!$KD:$KD),"")</f>
        <v/>
      </c>
      <c r="AA266" s="176" t="str">
        <f>IFERROR(_xlfn.XLOOKUP($A266,Raw_Data!$B:$B,Raw_Data!$KF:$KF),"")</f>
        <v/>
      </c>
      <c r="AB266" s="176" t="str">
        <f>IFERROR(_xlfn.XLOOKUP($A266,Raw_Data!$B:$B,Raw_Data!I:I)/1000,"")</f>
        <v/>
      </c>
      <c r="AC266" s="185">
        <f>IFERROR(_xlfn.XLOOKUP($D266,'Modelling New'!$D:$D,'Modelling New'!$P:$P),"")</f>
        <v>4.2709677419354843</v>
      </c>
      <c r="AD266" s="176">
        <f>IFERROR(_xlfn.XLOOKUP($D266,'Modelling New'!$D:$D,'Modelling New'!$T:$T)*1000,"")</f>
        <v>232649.96222803142</v>
      </c>
      <c r="AE266" s="186">
        <f>IFERROR(_xlfn.XLOOKUP($D266,'Modelling New'!$D:$D,'Modelling New'!$O:$O),"")</f>
        <v>0.81600514089250631</v>
      </c>
      <c r="AF266" s="186">
        <f>IFERROR(_xlfn.XLOOKUP($D266,'Modelling New'!$D:$D,'Modelling New'!$W:$W),"")</f>
        <v>0.14521381808355893</v>
      </c>
      <c r="AG266" s="186">
        <f>IFERROR(_xlfn.XLOOKUP($D266,'Modelling New'!$D:$D,'Modelling New'!$AE:$AE),"")</f>
        <v>0.995</v>
      </c>
      <c r="AH266" s="186">
        <f>IFERROR(_xlfn.XLOOKUP($D266,'Modelling New'!$D:$D,'Modelling New'!$AF:$AF),"")</f>
        <v>0.995</v>
      </c>
      <c r="AI266" s="177"/>
      <c r="AJ266" s="177"/>
      <c r="AK266" s="238"/>
      <c r="AL266" s="238"/>
      <c r="AM266" s="238"/>
      <c r="AN266" s="187"/>
      <c r="AO266" s="184"/>
      <c r="AP266" s="184"/>
      <c r="AQ266" s="184"/>
      <c r="AR266" s="176">
        <f>IFERROR(_xlfn.XLOOKUP($D265,'Modelling New'!$D:$D,'Modelling New'!$N:$N),"")</f>
        <v>66.754999999999995</v>
      </c>
      <c r="AS266" s="176"/>
    </row>
    <row r="267" spans="1:45" x14ac:dyDescent="0.25">
      <c r="A267" s="175">
        <f t="shared" si="19"/>
        <v>46010</v>
      </c>
      <c r="B267" s="176">
        <f>YEAR(Table13[[#This Row],[Date]])+IF(MONTH(Table13[[#This Row],[Date]])&gt;=4,1,0)</f>
        <v>2026</v>
      </c>
      <c r="C267" s="177">
        <f>YEAR(Table13[[#This Row],[Date]])</f>
        <v>2025</v>
      </c>
      <c r="D267" s="178">
        <f>Table13[[#This Row],[Date]]-DAY(Table13[[#This Row],[Date]])+1</f>
        <v>45992</v>
      </c>
      <c r="E267" s="177">
        <f t="shared" si="16"/>
        <v>31</v>
      </c>
      <c r="F267" s="179" t="str">
        <f>IFERROR(_xlfn.XLOOKUP($A267,Raw_Data!$B:$B,Raw_Data!$KG:$KG),"")</f>
        <v/>
      </c>
      <c r="G267" s="180" t="str">
        <f>IFERROR(_xlfn.XLOOKUP($A267,Raw_Data!$B:$B,Raw_Data!KH:KH),"")</f>
        <v/>
      </c>
      <c r="H267" s="180"/>
      <c r="I267" s="180" t="str">
        <f>IFERROR(_xlfn.XLOOKUP($A267,Raw_Data!$B:$B,Raw_Data!$KI:$KI),"")</f>
        <v/>
      </c>
      <c r="J267" s="180"/>
      <c r="K267" s="180" t="str">
        <f>IFERROR(_xlfn.XLOOKUP($A267,Raw_Data!$B:$B,Raw_Data!KJ:KJ),"")</f>
        <v/>
      </c>
      <c r="L267" s="180" t="str">
        <f>IFERROR(_xlfn.XLOOKUP($A267,Raw_Data!$B:$B,Raw_Data!KK:KK),"")</f>
        <v/>
      </c>
      <c r="M267" s="180" t="str">
        <f>IFERROR(_xlfn.XLOOKUP($A267,Raw_Data!$B:$B,Raw_Data!KL:KL),"")</f>
        <v/>
      </c>
      <c r="N267" s="180" t="str">
        <f>IFERROR(_xlfn.XLOOKUP($A267,Raw_Data!$B:$B,Raw_Data!KM:KM),"")</f>
        <v/>
      </c>
      <c r="O267" s="181" t="str">
        <f>IFERROR(1-SUMIF(PA!$B:$B,$A267,PA!AJ:AJ)/($AA267+SUMIF(PA!$B:$B,$A267,PA!AJ:AJ)),"")</f>
        <v/>
      </c>
      <c r="P267" s="181"/>
      <c r="Q267" s="182"/>
      <c r="R267" s="181" t="str">
        <f>IFERROR(1-SUMIF(GA!$C:$C,$A267,GA!$X:$X)/($AA267+SUMIF(GA!$C:$C,$A267,GA!$X:$X)),"")</f>
        <v/>
      </c>
      <c r="S267" s="177"/>
      <c r="T267" s="182"/>
      <c r="U267" s="183" t="str">
        <f t="shared" si="17"/>
        <v/>
      </c>
      <c r="V267" s="183" t="str">
        <f>IFERROR(_xlfn.XLOOKUP($A267,Raw_Data!$B:$B,Raw_Data!$KQ:$KQ),"")</f>
        <v/>
      </c>
      <c r="W267" s="184" t="str">
        <f t="shared" si="18"/>
        <v/>
      </c>
      <c r="X267" s="176" t="str">
        <f>IFERROR(_xlfn.XLOOKUP($A267,Raw_Data!$B:$B,Raw_Data!$KN:$KN),"")</f>
        <v/>
      </c>
      <c r="Y267" s="176" t="str">
        <f>IFERROR(_xlfn.XLOOKUP($A267,Raw_Data!$B:$B,Raw_Data!$KC:$KC),"")</f>
        <v/>
      </c>
      <c r="Z267" s="176" t="str">
        <f>IFERROR(_xlfn.XLOOKUP($A267,Raw_Data!$B:$B,Raw_Data!$KD:$KD),"")</f>
        <v/>
      </c>
      <c r="AA267" s="176" t="str">
        <f>IFERROR(_xlfn.XLOOKUP($A267,Raw_Data!$B:$B,Raw_Data!$KF:$KF),"")</f>
        <v/>
      </c>
      <c r="AB267" s="176" t="str">
        <f>IFERROR(_xlfn.XLOOKUP($A267,Raw_Data!$B:$B,Raw_Data!I:I)/1000,"")</f>
        <v/>
      </c>
      <c r="AC267" s="185">
        <f>IFERROR(_xlfn.XLOOKUP($D267,'Modelling New'!$D:$D,'Modelling New'!$P:$P),"")</f>
        <v>4.2709677419354843</v>
      </c>
      <c r="AD267" s="176">
        <f>IFERROR(_xlfn.XLOOKUP($D267,'Modelling New'!$D:$D,'Modelling New'!$T:$T)*1000,"")</f>
        <v>232649.96222803142</v>
      </c>
      <c r="AE267" s="186">
        <f>IFERROR(_xlfn.XLOOKUP($D267,'Modelling New'!$D:$D,'Modelling New'!$O:$O),"")</f>
        <v>0.81600514089250631</v>
      </c>
      <c r="AF267" s="186">
        <f>IFERROR(_xlfn.XLOOKUP($D267,'Modelling New'!$D:$D,'Modelling New'!$W:$W),"")</f>
        <v>0.14521381808355893</v>
      </c>
      <c r="AG267" s="186">
        <f>IFERROR(_xlfn.XLOOKUP($D267,'Modelling New'!$D:$D,'Modelling New'!$AE:$AE),"")</f>
        <v>0.995</v>
      </c>
      <c r="AH267" s="186">
        <f>IFERROR(_xlfn.XLOOKUP($D267,'Modelling New'!$D:$D,'Modelling New'!$AF:$AF),"")</f>
        <v>0.995</v>
      </c>
      <c r="AI267" s="177"/>
      <c r="AJ267" s="177"/>
      <c r="AK267" s="238"/>
      <c r="AL267" s="238"/>
      <c r="AM267" s="238"/>
      <c r="AN267" s="187"/>
      <c r="AO267" s="184"/>
      <c r="AP267" s="184"/>
      <c r="AQ267" s="184"/>
      <c r="AR267" s="176">
        <f>IFERROR(_xlfn.XLOOKUP($D266,'Modelling New'!$D:$D,'Modelling New'!$N:$N),"")</f>
        <v>66.754999999999995</v>
      </c>
      <c r="AS267" s="176"/>
    </row>
    <row r="268" spans="1:45" x14ac:dyDescent="0.25">
      <c r="A268" s="175">
        <f t="shared" si="19"/>
        <v>46011</v>
      </c>
      <c r="B268" s="176">
        <f>YEAR(Table13[[#This Row],[Date]])+IF(MONTH(Table13[[#This Row],[Date]])&gt;=4,1,0)</f>
        <v>2026</v>
      </c>
      <c r="C268" s="177">
        <f>YEAR(Table13[[#This Row],[Date]])</f>
        <v>2025</v>
      </c>
      <c r="D268" s="178">
        <f>Table13[[#This Row],[Date]]-DAY(Table13[[#This Row],[Date]])+1</f>
        <v>45992</v>
      </c>
      <c r="E268" s="177">
        <f t="shared" si="16"/>
        <v>31</v>
      </c>
      <c r="F268" s="179" t="str">
        <f>IFERROR(_xlfn.XLOOKUP($A268,Raw_Data!$B:$B,Raw_Data!$KG:$KG),"")</f>
        <v/>
      </c>
      <c r="G268" s="180" t="str">
        <f>IFERROR(_xlfn.XLOOKUP($A268,Raw_Data!$B:$B,Raw_Data!KH:KH),"")</f>
        <v/>
      </c>
      <c r="H268" s="180"/>
      <c r="I268" s="180" t="str">
        <f>IFERROR(_xlfn.XLOOKUP($A268,Raw_Data!$B:$B,Raw_Data!$KI:$KI),"")</f>
        <v/>
      </c>
      <c r="J268" s="180"/>
      <c r="K268" s="180" t="str">
        <f>IFERROR(_xlfn.XLOOKUP($A268,Raw_Data!$B:$B,Raw_Data!KJ:KJ),"")</f>
        <v/>
      </c>
      <c r="L268" s="180" t="str">
        <f>IFERROR(_xlfn.XLOOKUP($A268,Raw_Data!$B:$B,Raw_Data!KK:KK),"")</f>
        <v/>
      </c>
      <c r="M268" s="180" t="str">
        <f>IFERROR(_xlfn.XLOOKUP($A268,Raw_Data!$B:$B,Raw_Data!KL:KL),"")</f>
        <v/>
      </c>
      <c r="N268" s="180" t="str">
        <f>IFERROR(_xlfn.XLOOKUP($A268,Raw_Data!$B:$B,Raw_Data!KM:KM),"")</f>
        <v/>
      </c>
      <c r="O268" s="181" t="str">
        <f>IFERROR(1-SUMIF(PA!$B:$B,$A268,PA!AJ:AJ)/($AA268+SUMIF(PA!$B:$B,$A268,PA!AJ:AJ)),"")</f>
        <v/>
      </c>
      <c r="P268" s="181"/>
      <c r="Q268" s="182"/>
      <c r="R268" s="181" t="str">
        <f>IFERROR(1-SUMIF(GA!$C:$C,$A268,GA!$X:$X)/($AA268+SUMIF(GA!$C:$C,$A268,GA!$X:$X)),"")</f>
        <v/>
      </c>
      <c r="S268" s="177"/>
      <c r="T268" s="182"/>
      <c r="U268" s="183" t="str">
        <f t="shared" si="17"/>
        <v/>
      </c>
      <c r="V268" s="183" t="str">
        <f>IFERROR(_xlfn.XLOOKUP($A268,Raw_Data!$B:$B,Raw_Data!$KQ:$KQ),"")</f>
        <v/>
      </c>
      <c r="W268" s="184" t="str">
        <f t="shared" si="18"/>
        <v/>
      </c>
      <c r="X268" s="176" t="str">
        <f>IFERROR(_xlfn.XLOOKUP($A268,Raw_Data!$B:$B,Raw_Data!$KN:$KN),"")</f>
        <v/>
      </c>
      <c r="Y268" s="176" t="str">
        <f>IFERROR(_xlfn.XLOOKUP($A268,Raw_Data!$B:$B,Raw_Data!$KC:$KC),"")</f>
        <v/>
      </c>
      <c r="Z268" s="176" t="str">
        <f>IFERROR(_xlfn.XLOOKUP($A268,Raw_Data!$B:$B,Raw_Data!$KD:$KD),"")</f>
        <v/>
      </c>
      <c r="AA268" s="176" t="str">
        <f>IFERROR(_xlfn.XLOOKUP($A268,Raw_Data!$B:$B,Raw_Data!$KF:$KF),"")</f>
        <v/>
      </c>
      <c r="AB268" s="176" t="str">
        <f>IFERROR(_xlfn.XLOOKUP($A268,Raw_Data!$B:$B,Raw_Data!I:I)/1000,"")</f>
        <v/>
      </c>
      <c r="AC268" s="185">
        <f>IFERROR(_xlfn.XLOOKUP($D268,'Modelling New'!$D:$D,'Modelling New'!$P:$P),"")</f>
        <v>4.2709677419354843</v>
      </c>
      <c r="AD268" s="176">
        <f>IFERROR(_xlfn.XLOOKUP($D268,'Modelling New'!$D:$D,'Modelling New'!$T:$T)*1000,"")</f>
        <v>232649.96222803142</v>
      </c>
      <c r="AE268" s="186">
        <f>IFERROR(_xlfn.XLOOKUP($D268,'Modelling New'!$D:$D,'Modelling New'!$O:$O),"")</f>
        <v>0.81600514089250631</v>
      </c>
      <c r="AF268" s="186">
        <f>IFERROR(_xlfn.XLOOKUP($D268,'Modelling New'!$D:$D,'Modelling New'!$W:$W),"")</f>
        <v>0.14521381808355893</v>
      </c>
      <c r="AG268" s="186">
        <f>IFERROR(_xlfn.XLOOKUP($D268,'Modelling New'!$D:$D,'Modelling New'!$AE:$AE),"")</f>
        <v>0.995</v>
      </c>
      <c r="AH268" s="186">
        <f>IFERROR(_xlfn.XLOOKUP($D268,'Modelling New'!$D:$D,'Modelling New'!$AF:$AF),"")</f>
        <v>0.995</v>
      </c>
      <c r="AI268" s="177"/>
      <c r="AJ268" s="177"/>
      <c r="AK268" s="238"/>
      <c r="AL268" s="238"/>
      <c r="AM268" s="238"/>
      <c r="AN268" s="187"/>
      <c r="AO268" s="184"/>
      <c r="AP268" s="184"/>
      <c r="AQ268" s="184"/>
      <c r="AR268" s="176">
        <f>IFERROR(_xlfn.XLOOKUP($D267,'Modelling New'!$D:$D,'Modelling New'!$N:$N),"")</f>
        <v>66.754999999999995</v>
      </c>
      <c r="AS268" s="176"/>
    </row>
    <row r="269" spans="1:45" x14ac:dyDescent="0.25">
      <c r="A269" s="175">
        <f t="shared" si="19"/>
        <v>46012</v>
      </c>
      <c r="B269" s="176">
        <f>YEAR(Table13[[#This Row],[Date]])+IF(MONTH(Table13[[#This Row],[Date]])&gt;=4,1,0)</f>
        <v>2026</v>
      </c>
      <c r="C269" s="177">
        <f>YEAR(Table13[[#This Row],[Date]])</f>
        <v>2025</v>
      </c>
      <c r="D269" s="178">
        <f>Table13[[#This Row],[Date]]-DAY(Table13[[#This Row],[Date]])+1</f>
        <v>45992</v>
      </c>
      <c r="E269" s="177">
        <f t="shared" si="16"/>
        <v>31</v>
      </c>
      <c r="F269" s="179" t="str">
        <f>IFERROR(_xlfn.XLOOKUP($A269,Raw_Data!$B:$B,Raw_Data!$KG:$KG),"")</f>
        <v/>
      </c>
      <c r="G269" s="180" t="str">
        <f>IFERROR(_xlfn.XLOOKUP($A269,Raw_Data!$B:$B,Raw_Data!KH:KH),"")</f>
        <v/>
      </c>
      <c r="H269" s="180"/>
      <c r="I269" s="180" t="str">
        <f>IFERROR(_xlfn.XLOOKUP($A269,Raw_Data!$B:$B,Raw_Data!$KI:$KI),"")</f>
        <v/>
      </c>
      <c r="J269" s="180"/>
      <c r="K269" s="180" t="str">
        <f>IFERROR(_xlfn.XLOOKUP($A269,Raw_Data!$B:$B,Raw_Data!KJ:KJ),"")</f>
        <v/>
      </c>
      <c r="L269" s="180" t="str">
        <f>IFERROR(_xlfn.XLOOKUP($A269,Raw_Data!$B:$B,Raw_Data!KK:KK),"")</f>
        <v/>
      </c>
      <c r="M269" s="180" t="str">
        <f>IFERROR(_xlfn.XLOOKUP($A269,Raw_Data!$B:$B,Raw_Data!KL:KL),"")</f>
        <v/>
      </c>
      <c r="N269" s="180" t="str">
        <f>IFERROR(_xlfn.XLOOKUP($A269,Raw_Data!$B:$B,Raw_Data!KM:KM),"")</f>
        <v/>
      </c>
      <c r="O269" s="181" t="str">
        <f>IFERROR(1-SUMIF(PA!$B:$B,$A269,PA!AJ:AJ)/($AA269+SUMIF(PA!$B:$B,$A269,PA!AJ:AJ)),"")</f>
        <v/>
      </c>
      <c r="P269" s="181"/>
      <c r="Q269" s="182"/>
      <c r="R269" s="181" t="str">
        <f>IFERROR(1-SUMIF(GA!$C:$C,$A269,GA!$X:$X)/($AA269+SUMIF(GA!$C:$C,$A269,GA!$X:$X)),"")</f>
        <v/>
      </c>
      <c r="S269" s="177"/>
      <c r="T269" s="182"/>
      <c r="U269" s="183" t="str">
        <f t="shared" si="17"/>
        <v/>
      </c>
      <c r="V269" s="183" t="str">
        <f>IFERROR(_xlfn.XLOOKUP($A269,Raw_Data!$B:$B,Raw_Data!$KQ:$KQ),"")</f>
        <v/>
      </c>
      <c r="W269" s="184" t="str">
        <f t="shared" si="18"/>
        <v/>
      </c>
      <c r="X269" s="176" t="str">
        <f>IFERROR(_xlfn.XLOOKUP($A269,Raw_Data!$B:$B,Raw_Data!$KN:$KN),"")</f>
        <v/>
      </c>
      <c r="Y269" s="176" t="str">
        <f>IFERROR(_xlfn.XLOOKUP($A269,Raw_Data!$B:$B,Raw_Data!$KC:$KC),"")</f>
        <v/>
      </c>
      <c r="Z269" s="176" t="str">
        <f>IFERROR(_xlfn.XLOOKUP($A269,Raw_Data!$B:$B,Raw_Data!$KD:$KD),"")</f>
        <v/>
      </c>
      <c r="AA269" s="176" t="str">
        <f>IFERROR(_xlfn.XLOOKUP($A269,Raw_Data!$B:$B,Raw_Data!$KF:$KF),"")</f>
        <v/>
      </c>
      <c r="AB269" s="176" t="str">
        <f>IFERROR(_xlfn.XLOOKUP($A269,Raw_Data!$B:$B,Raw_Data!I:I)/1000,"")</f>
        <v/>
      </c>
      <c r="AC269" s="185">
        <f>IFERROR(_xlfn.XLOOKUP($D269,'Modelling New'!$D:$D,'Modelling New'!$P:$P),"")</f>
        <v>4.2709677419354843</v>
      </c>
      <c r="AD269" s="176">
        <f>IFERROR(_xlfn.XLOOKUP($D269,'Modelling New'!$D:$D,'Modelling New'!$T:$T)*1000,"")</f>
        <v>232649.96222803142</v>
      </c>
      <c r="AE269" s="186">
        <f>IFERROR(_xlfn.XLOOKUP($D269,'Modelling New'!$D:$D,'Modelling New'!$O:$O),"")</f>
        <v>0.81600514089250631</v>
      </c>
      <c r="AF269" s="186">
        <f>IFERROR(_xlfn.XLOOKUP($D269,'Modelling New'!$D:$D,'Modelling New'!$W:$W),"")</f>
        <v>0.14521381808355893</v>
      </c>
      <c r="AG269" s="186">
        <f>IFERROR(_xlfn.XLOOKUP($D269,'Modelling New'!$D:$D,'Modelling New'!$AE:$AE),"")</f>
        <v>0.995</v>
      </c>
      <c r="AH269" s="186">
        <f>IFERROR(_xlfn.XLOOKUP($D269,'Modelling New'!$D:$D,'Modelling New'!$AF:$AF),"")</f>
        <v>0.995</v>
      </c>
      <c r="AI269" s="177"/>
      <c r="AJ269" s="177"/>
      <c r="AK269" s="238"/>
      <c r="AL269" s="238"/>
      <c r="AM269" s="238"/>
      <c r="AN269" s="187"/>
      <c r="AO269" s="184"/>
      <c r="AP269" s="184"/>
      <c r="AQ269" s="184"/>
      <c r="AR269" s="176">
        <f>IFERROR(_xlfn.XLOOKUP($D268,'Modelling New'!$D:$D,'Modelling New'!$N:$N),"")</f>
        <v>66.754999999999995</v>
      </c>
      <c r="AS269" s="176"/>
    </row>
    <row r="270" spans="1:45" x14ac:dyDescent="0.25">
      <c r="A270" s="175">
        <f t="shared" si="19"/>
        <v>46013</v>
      </c>
      <c r="B270" s="176">
        <f>YEAR(Table13[[#This Row],[Date]])+IF(MONTH(Table13[[#This Row],[Date]])&gt;=4,1,0)</f>
        <v>2026</v>
      </c>
      <c r="C270" s="177">
        <f>YEAR(Table13[[#This Row],[Date]])</f>
        <v>2025</v>
      </c>
      <c r="D270" s="178">
        <f>Table13[[#This Row],[Date]]-DAY(Table13[[#This Row],[Date]])+1</f>
        <v>45992</v>
      </c>
      <c r="E270" s="177">
        <f t="shared" si="16"/>
        <v>31</v>
      </c>
      <c r="F270" s="179" t="str">
        <f>IFERROR(_xlfn.XLOOKUP($A270,Raw_Data!$B:$B,Raw_Data!$KG:$KG),"")</f>
        <v/>
      </c>
      <c r="G270" s="180" t="str">
        <f>IFERROR(_xlfn.XLOOKUP($A270,Raw_Data!$B:$B,Raw_Data!KH:KH),"")</f>
        <v/>
      </c>
      <c r="H270" s="180"/>
      <c r="I270" s="180" t="str">
        <f>IFERROR(_xlfn.XLOOKUP($A270,Raw_Data!$B:$B,Raw_Data!$KI:$KI),"")</f>
        <v/>
      </c>
      <c r="J270" s="180"/>
      <c r="K270" s="180" t="str">
        <f>IFERROR(_xlfn.XLOOKUP($A270,Raw_Data!$B:$B,Raw_Data!KJ:KJ),"")</f>
        <v/>
      </c>
      <c r="L270" s="180" t="str">
        <f>IFERROR(_xlfn.XLOOKUP($A270,Raw_Data!$B:$B,Raw_Data!KK:KK),"")</f>
        <v/>
      </c>
      <c r="M270" s="180" t="str">
        <f>IFERROR(_xlfn.XLOOKUP($A270,Raw_Data!$B:$B,Raw_Data!KL:KL),"")</f>
        <v/>
      </c>
      <c r="N270" s="180" t="str">
        <f>IFERROR(_xlfn.XLOOKUP($A270,Raw_Data!$B:$B,Raw_Data!KM:KM),"")</f>
        <v/>
      </c>
      <c r="O270" s="181" t="str">
        <f>IFERROR(1-SUMIF(PA!$B:$B,$A270,PA!AJ:AJ)/($AA270+SUMIF(PA!$B:$B,$A270,PA!AJ:AJ)),"")</f>
        <v/>
      </c>
      <c r="P270" s="181"/>
      <c r="Q270" s="182"/>
      <c r="R270" s="181" t="str">
        <f>IFERROR(1-SUMIF(GA!$C:$C,$A270,GA!$X:$X)/($AA270+SUMIF(GA!$C:$C,$A270,GA!$X:$X)),"")</f>
        <v/>
      </c>
      <c r="S270" s="177"/>
      <c r="T270" s="182"/>
      <c r="U270" s="183" t="str">
        <f t="shared" si="17"/>
        <v/>
      </c>
      <c r="V270" s="183" t="str">
        <f>IFERROR(_xlfn.XLOOKUP($A270,Raw_Data!$B:$B,Raw_Data!$KQ:$KQ),"")</f>
        <v/>
      </c>
      <c r="W270" s="184" t="str">
        <f t="shared" si="18"/>
        <v/>
      </c>
      <c r="X270" s="176" t="str">
        <f>IFERROR(_xlfn.XLOOKUP($A270,Raw_Data!$B:$B,Raw_Data!$KN:$KN),"")</f>
        <v/>
      </c>
      <c r="Y270" s="176" t="str">
        <f>IFERROR(_xlfn.XLOOKUP($A270,Raw_Data!$B:$B,Raw_Data!$KC:$KC),"")</f>
        <v/>
      </c>
      <c r="Z270" s="176" t="str">
        <f>IFERROR(_xlfn.XLOOKUP($A270,Raw_Data!$B:$B,Raw_Data!$KD:$KD),"")</f>
        <v/>
      </c>
      <c r="AA270" s="176" t="str">
        <f>IFERROR(_xlfn.XLOOKUP($A270,Raw_Data!$B:$B,Raw_Data!$KF:$KF),"")</f>
        <v/>
      </c>
      <c r="AB270" s="176" t="str">
        <f>IFERROR(_xlfn.XLOOKUP($A270,Raw_Data!$B:$B,Raw_Data!I:I)/1000,"")</f>
        <v/>
      </c>
      <c r="AC270" s="185">
        <f>IFERROR(_xlfn.XLOOKUP($D270,'Modelling New'!$D:$D,'Modelling New'!$P:$P),"")</f>
        <v>4.2709677419354843</v>
      </c>
      <c r="AD270" s="176">
        <f>IFERROR(_xlfn.XLOOKUP($D270,'Modelling New'!$D:$D,'Modelling New'!$T:$T)*1000,"")</f>
        <v>232649.96222803142</v>
      </c>
      <c r="AE270" s="186">
        <f>IFERROR(_xlfn.XLOOKUP($D270,'Modelling New'!$D:$D,'Modelling New'!$O:$O),"")</f>
        <v>0.81600514089250631</v>
      </c>
      <c r="AF270" s="186">
        <f>IFERROR(_xlfn.XLOOKUP($D270,'Modelling New'!$D:$D,'Modelling New'!$W:$W),"")</f>
        <v>0.14521381808355893</v>
      </c>
      <c r="AG270" s="186">
        <f>IFERROR(_xlfn.XLOOKUP($D270,'Modelling New'!$D:$D,'Modelling New'!$AE:$AE),"")</f>
        <v>0.995</v>
      </c>
      <c r="AH270" s="186">
        <f>IFERROR(_xlfn.XLOOKUP($D270,'Modelling New'!$D:$D,'Modelling New'!$AF:$AF),"")</f>
        <v>0.995</v>
      </c>
      <c r="AI270" s="177"/>
      <c r="AJ270" s="177"/>
      <c r="AK270" s="238"/>
      <c r="AL270" s="238"/>
      <c r="AM270" s="238"/>
      <c r="AN270" s="187"/>
      <c r="AO270" s="184"/>
      <c r="AP270" s="184"/>
      <c r="AQ270" s="184"/>
      <c r="AR270" s="176">
        <f>IFERROR(_xlfn.XLOOKUP($D269,'Modelling New'!$D:$D,'Modelling New'!$N:$N),"")</f>
        <v>66.754999999999995</v>
      </c>
      <c r="AS270" s="176"/>
    </row>
    <row r="271" spans="1:45" x14ac:dyDescent="0.25">
      <c r="A271" s="175">
        <f t="shared" si="19"/>
        <v>46014</v>
      </c>
      <c r="B271" s="176">
        <f>YEAR(Table13[[#This Row],[Date]])+IF(MONTH(Table13[[#This Row],[Date]])&gt;=4,1,0)</f>
        <v>2026</v>
      </c>
      <c r="C271" s="177">
        <f>YEAR(Table13[[#This Row],[Date]])</f>
        <v>2025</v>
      </c>
      <c r="D271" s="178">
        <f>Table13[[#This Row],[Date]]-DAY(Table13[[#This Row],[Date]])+1</f>
        <v>45992</v>
      </c>
      <c r="E271" s="177">
        <f t="shared" si="16"/>
        <v>31</v>
      </c>
      <c r="F271" s="179" t="str">
        <f>IFERROR(_xlfn.XLOOKUP($A271,Raw_Data!$B:$B,Raw_Data!$KG:$KG),"")</f>
        <v/>
      </c>
      <c r="G271" s="180" t="str">
        <f>IFERROR(_xlfn.XLOOKUP($A271,Raw_Data!$B:$B,Raw_Data!KH:KH),"")</f>
        <v/>
      </c>
      <c r="H271" s="180"/>
      <c r="I271" s="180" t="str">
        <f>IFERROR(_xlfn.XLOOKUP($A271,Raw_Data!$B:$B,Raw_Data!$KI:$KI),"")</f>
        <v/>
      </c>
      <c r="J271" s="180"/>
      <c r="K271" s="180" t="str">
        <f>IFERROR(_xlfn.XLOOKUP($A271,Raw_Data!$B:$B,Raw_Data!KJ:KJ),"")</f>
        <v/>
      </c>
      <c r="L271" s="180" t="str">
        <f>IFERROR(_xlfn.XLOOKUP($A271,Raw_Data!$B:$B,Raw_Data!KK:KK),"")</f>
        <v/>
      </c>
      <c r="M271" s="180" t="str">
        <f>IFERROR(_xlfn.XLOOKUP($A271,Raw_Data!$B:$B,Raw_Data!KL:KL),"")</f>
        <v/>
      </c>
      <c r="N271" s="180" t="str">
        <f>IFERROR(_xlfn.XLOOKUP($A271,Raw_Data!$B:$B,Raw_Data!KM:KM),"")</f>
        <v/>
      </c>
      <c r="O271" s="181" t="str">
        <f>IFERROR(1-SUMIF(PA!$B:$B,$A271,PA!AJ:AJ)/($AA271+SUMIF(PA!$B:$B,$A271,PA!AJ:AJ)),"")</f>
        <v/>
      </c>
      <c r="P271" s="181"/>
      <c r="Q271" s="182"/>
      <c r="R271" s="181" t="str">
        <f>IFERROR(1-SUMIF(GA!$C:$C,$A271,GA!$X:$X)/($AA271+SUMIF(GA!$C:$C,$A271,GA!$X:$X)),"")</f>
        <v/>
      </c>
      <c r="S271" s="177"/>
      <c r="T271" s="182"/>
      <c r="U271" s="183" t="str">
        <f t="shared" si="17"/>
        <v/>
      </c>
      <c r="V271" s="183" t="str">
        <f>IFERROR(_xlfn.XLOOKUP($A271,Raw_Data!$B:$B,Raw_Data!$KQ:$KQ),"")</f>
        <v/>
      </c>
      <c r="W271" s="184" t="str">
        <f t="shared" si="18"/>
        <v/>
      </c>
      <c r="X271" s="176" t="str">
        <f>IFERROR(_xlfn.XLOOKUP($A271,Raw_Data!$B:$B,Raw_Data!$KN:$KN),"")</f>
        <v/>
      </c>
      <c r="Y271" s="176" t="str">
        <f>IFERROR(_xlfn.XLOOKUP($A271,Raw_Data!$B:$B,Raw_Data!$KC:$KC),"")</f>
        <v/>
      </c>
      <c r="Z271" s="176" t="str">
        <f>IFERROR(_xlfn.XLOOKUP($A271,Raw_Data!$B:$B,Raw_Data!$KD:$KD),"")</f>
        <v/>
      </c>
      <c r="AA271" s="176" t="str">
        <f>IFERROR(_xlfn.XLOOKUP($A271,Raw_Data!$B:$B,Raw_Data!$KF:$KF),"")</f>
        <v/>
      </c>
      <c r="AB271" s="176" t="str">
        <f>IFERROR(_xlfn.XLOOKUP($A271,Raw_Data!$B:$B,Raw_Data!I:I)/1000,"")</f>
        <v/>
      </c>
      <c r="AC271" s="185">
        <f>IFERROR(_xlfn.XLOOKUP($D271,'Modelling New'!$D:$D,'Modelling New'!$P:$P),"")</f>
        <v>4.2709677419354843</v>
      </c>
      <c r="AD271" s="176">
        <f>IFERROR(_xlfn.XLOOKUP($D271,'Modelling New'!$D:$D,'Modelling New'!$T:$T)*1000,"")</f>
        <v>232649.96222803142</v>
      </c>
      <c r="AE271" s="186">
        <f>IFERROR(_xlfn.XLOOKUP($D271,'Modelling New'!$D:$D,'Modelling New'!$O:$O),"")</f>
        <v>0.81600514089250631</v>
      </c>
      <c r="AF271" s="186">
        <f>IFERROR(_xlfn.XLOOKUP($D271,'Modelling New'!$D:$D,'Modelling New'!$W:$W),"")</f>
        <v>0.14521381808355893</v>
      </c>
      <c r="AG271" s="186">
        <f>IFERROR(_xlfn.XLOOKUP($D271,'Modelling New'!$D:$D,'Modelling New'!$AE:$AE),"")</f>
        <v>0.995</v>
      </c>
      <c r="AH271" s="186">
        <f>IFERROR(_xlfn.XLOOKUP($D271,'Modelling New'!$D:$D,'Modelling New'!$AF:$AF),"")</f>
        <v>0.995</v>
      </c>
      <c r="AI271" s="177"/>
      <c r="AJ271" s="177"/>
      <c r="AK271" s="238"/>
      <c r="AL271" s="238"/>
      <c r="AM271" s="238"/>
      <c r="AN271" s="187"/>
      <c r="AO271" s="184"/>
      <c r="AP271" s="184"/>
      <c r="AQ271" s="184"/>
      <c r="AR271" s="176">
        <f>IFERROR(_xlfn.XLOOKUP($D270,'Modelling New'!$D:$D,'Modelling New'!$N:$N),"")</f>
        <v>66.754999999999995</v>
      </c>
      <c r="AS271" s="176"/>
    </row>
    <row r="272" spans="1:45" x14ac:dyDescent="0.25">
      <c r="A272" s="175">
        <f t="shared" si="19"/>
        <v>46015</v>
      </c>
      <c r="B272" s="176">
        <f>YEAR(Table13[[#This Row],[Date]])+IF(MONTH(Table13[[#This Row],[Date]])&gt;=4,1,0)</f>
        <v>2026</v>
      </c>
      <c r="C272" s="177">
        <f>YEAR(Table13[[#This Row],[Date]])</f>
        <v>2025</v>
      </c>
      <c r="D272" s="178">
        <f>Table13[[#This Row],[Date]]-DAY(Table13[[#This Row],[Date]])+1</f>
        <v>45992</v>
      </c>
      <c r="E272" s="177">
        <f t="shared" si="16"/>
        <v>31</v>
      </c>
      <c r="F272" s="179" t="str">
        <f>IFERROR(_xlfn.XLOOKUP($A272,Raw_Data!$B:$B,Raw_Data!$KG:$KG),"")</f>
        <v/>
      </c>
      <c r="G272" s="180" t="str">
        <f>IFERROR(_xlfn.XLOOKUP($A272,Raw_Data!$B:$B,Raw_Data!KH:KH),"")</f>
        <v/>
      </c>
      <c r="H272" s="180"/>
      <c r="I272" s="180" t="str">
        <f>IFERROR(_xlfn.XLOOKUP($A272,Raw_Data!$B:$B,Raw_Data!$KI:$KI),"")</f>
        <v/>
      </c>
      <c r="J272" s="180"/>
      <c r="K272" s="180" t="str">
        <f>IFERROR(_xlfn.XLOOKUP($A272,Raw_Data!$B:$B,Raw_Data!KJ:KJ),"")</f>
        <v/>
      </c>
      <c r="L272" s="180" t="str">
        <f>IFERROR(_xlfn.XLOOKUP($A272,Raw_Data!$B:$B,Raw_Data!KK:KK),"")</f>
        <v/>
      </c>
      <c r="M272" s="180" t="str">
        <f>IFERROR(_xlfn.XLOOKUP($A272,Raw_Data!$B:$B,Raw_Data!KL:KL),"")</f>
        <v/>
      </c>
      <c r="N272" s="180" t="str">
        <f>IFERROR(_xlfn.XLOOKUP($A272,Raw_Data!$B:$B,Raw_Data!KM:KM),"")</f>
        <v/>
      </c>
      <c r="O272" s="181" t="str">
        <f>IFERROR(1-SUMIF(PA!$B:$B,$A272,PA!AJ:AJ)/($AA272+SUMIF(PA!$B:$B,$A272,PA!AJ:AJ)),"")</f>
        <v/>
      </c>
      <c r="P272" s="181"/>
      <c r="Q272" s="182"/>
      <c r="R272" s="181" t="str">
        <f>IFERROR(1-SUMIF(GA!$C:$C,$A272,GA!$X:$X)/($AA272+SUMIF(GA!$C:$C,$A272,GA!$X:$X)),"")</f>
        <v/>
      </c>
      <c r="S272" s="177"/>
      <c r="T272" s="182"/>
      <c r="U272" s="183" t="str">
        <f t="shared" si="17"/>
        <v/>
      </c>
      <c r="V272" s="183" t="str">
        <f>IFERROR(_xlfn.XLOOKUP($A272,Raw_Data!$B:$B,Raw_Data!$KQ:$KQ),"")</f>
        <v/>
      </c>
      <c r="W272" s="184" t="str">
        <f t="shared" si="18"/>
        <v/>
      </c>
      <c r="X272" s="176" t="str">
        <f>IFERROR(_xlfn.XLOOKUP($A272,Raw_Data!$B:$B,Raw_Data!$KN:$KN),"")</f>
        <v/>
      </c>
      <c r="Y272" s="176" t="str">
        <f>IFERROR(_xlfn.XLOOKUP($A272,Raw_Data!$B:$B,Raw_Data!$KC:$KC),"")</f>
        <v/>
      </c>
      <c r="Z272" s="176" t="str">
        <f>IFERROR(_xlfn.XLOOKUP($A272,Raw_Data!$B:$B,Raw_Data!$KD:$KD),"")</f>
        <v/>
      </c>
      <c r="AA272" s="176" t="str">
        <f>IFERROR(_xlfn.XLOOKUP($A272,Raw_Data!$B:$B,Raw_Data!$KF:$KF),"")</f>
        <v/>
      </c>
      <c r="AB272" s="176" t="str">
        <f>IFERROR(_xlfn.XLOOKUP($A272,Raw_Data!$B:$B,Raw_Data!I:I)/1000,"")</f>
        <v/>
      </c>
      <c r="AC272" s="185">
        <f>IFERROR(_xlfn.XLOOKUP($D272,'Modelling New'!$D:$D,'Modelling New'!$P:$P),"")</f>
        <v>4.2709677419354843</v>
      </c>
      <c r="AD272" s="176">
        <f>IFERROR(_xlfn.XLOOKUP($D272,'Modelling New'!$D:$D,'Modelling New'!$T:$T)*1000,"")</f>
        <v>232649.96222803142</v>
      </c>
      <c r="AE272" s="186">
        <f>IFERROR(_xlfn.XLOOKUP($D272,'Modelling New'!$D:$D,'Modelling New'!$O:$O),"")</f>
        <v>0.81600514089250631</v>
      </c>
      <c r="AF272" s="186">
        <f>IFERROR(_xlfn.XLOOKUP($D272,'Modelling New'!$D:$D,'Modelling New'!$W:$W),"")</f>
        <v>0.14521381808355893</v>
      </c>
      <c r="AG272" s="186">
        <f>IFERROR(_xlfn.XLOOKUP($D272,'Modelling New'!$D:$D,'Modelling New'!$AE:$AE),"")</f>
        <v>0.995</v>
      </c>
      <c r="AH272" s="186">
        <f>IFERROR(_xlfn.XLOOKUP($D272,'Modelling New'!$D:$D,'Modelling New'!$AF:$AF),"")</f>
        <v>0.995</v>
      </c>
      <c r="AI272" s="177"/>
      <c r="AJ272" s="177"/>
      <c r="AK272" s="238"/>
      <c r="AL272" s="238"/>
      <c r="AM272" s="238"/>
      <c r="AN272" s="187"/>
      <c r="AO272" s="184"/>
      <c r="AP272" s="184"/>
      <c r="AQ272" s="184"/>
      <c r="AR272" s="176">
        <f>IFERROR(_xlfn.XLOOKUP($D271,'Modelling New'!$D:$D,'Modelling New'!$N:$N),"")</f>
        <v>66.754999999999995</v>
      </c>
      <c r="AS272" s="176"/>
    </row>
    <row r="273" spans="1:45" x14ac:dyDescent="0.25">
      <c r="A273" s="175">
        <f t="shared" si="19"/>
        <v>46016</v>
      </c>
      <c r="B273" s="176">
        <f>YEAR(Table13[[#This Row],[Date]])+IF(MONTH(Table13[[#This Row],[Date]])&gt;=4,1,0)</f>
        <v>2026</v>
      </c>
      <c r="C273" s="177">
        <f>YEAR(Table13[[#This Row],[Date]])</f>
        <v>2025</v>
      </c>
      <c r="D273" s="178">
        <f>Table13[[#This Row],[Date]]-DAY(Table13[[#This Row],[Date]])+1</f>
        <v>45992</v>
      </c>
      <c r="E273" s="177">
        <f t="shared" si="16"/>
        <v>31</v>
      </c>
      <c r="F273" s="179" t="str">
        <f>IFERROR(_xlfn.XLOOKUP($A273,Raw_Data!$B:$B,Raw_Data!$KG:$KG),"")</f>
        <v/>
      </c>
      <c r="G273" s="180" t="str">
        <f>IFERROR(_xlfn.XLOOKUP($A273,Raw_Data!$B:$B,Raw_Data!KH:KH),"")</f>
        <v/>
      </c>
      <c r="H273" s="180"/>
      <c r="I273" s="180" t="str">
        <f>IFERROR(_xlfn.XLOOKUP($A273,Raw_Data!$B:$B,Raw_Data!$KI:$KI),"")</f>
        <v/>
      </c>
      <c r="J273" s="180"/>
      <c r="K273" s="180" t="str">
        <f>IFERROR(_xlfn.XLOOKUP($A273,Raw_Data!$B:$B,Raw_Data!KJ:KJ),"")</f>
        <v/>
      </c>
      <c r="L273" s="180" t="str">
        <f>IFERROR(_xlfn.XLOOKUP($A273,Raw_Data!$B:$B,Raw_Data!KK:KK),"")</f>
        <v/>
      </c>
      <c r="M273" s="180" t="str">
        <f>IFERROR(_xlfn.XLOOKUP($A273,Raw_Data!$B:$B,Raw_Data!KL:KL),"")</f>
        <v/>
      </c>
      <c r="N273" s="180" t="str">
        <f>IFERROR(_xlfn.XLOOKUP($A273,Raw_Data!$B:$B,Raw_Data!KM:KM),"")</f>
        <v/>
      </c>
      <c r="O273" s="181" t="str">
        <f>IFERROR(1-SUMIF(PA!$B:$B,$A273,PA!AJ:AJ)/($AA273+SUMIF(PA!$B:$B,$A273,PA!AJ:AJ)),"")</f>
        <v/>
      </c>
      <c r="P273" s="181"/>
      <c r="Q273" s="182"/>
      <c r="R273" s="181" t="str">
        <f>IFERROR(1-SUMIF(GA!$C:$C,$A273,GA!$X:$X)/($AA273+SUMIF(GA!$C:$C,$A273,GA!$X:$X)),"")</f>
        <v/>
      </c>
      <c r="S273" s="177"/>
      <c r="T273" s="182"/>
      <c r="U273" s="183" t="str">
        <f t="shared" si="17"/>
        <v/>
      </c>
      <c r="V273" s="183" t="str">
        <f>IFERROR(_xlfn.XLOOKUP($A273,Raw_Data!$B:$B,Raw_Data!$KQ:$KQ),"")</f>
        <v/>
      </c>
      <c r="W273" s="184" t="str">
        <f t="shared" si="18"/>
        <v/>
      </c>
      <c r="X273" s="176" t="str">
        <f>IFERROR(_xlfn.XLOOKUP($A273,Raw_Data!$B:$B,Raw_Data!$KN:$KN),"")</f>
        <v/>
      </c>
      <c r="Y273" s="176" t="str">
        <f>IFERROR(_xlfn.XLOOKUP($A273,Raw_Data!$B:$B,Raw_Data!$KC:$KC),"")</f>
        <v/>
      </c>
      <c r="Z273" s="176" t="str">
        <f>IFERROR(_xlfn.XLOOKUP($A273,Raw_Data!$B:$B,Raw_Data!$KD:$KD),"")</f>
        <v/>
      </c>
      <c r="AA273" s="176" t="str">
        <f>IFERROR(_xlfn.XLOOKUP($A273,Raw_Data!$B:$B,Raw_Data!$KF:$KF),"")</f>
        <v/>
      </c>
      <c r="AB273" s="176" t="str">
        <f>IFERROR(_xlfn.XLOOKUP($A273,Raw_Data!$B:$B,Raw_Data!I:I)/1000,"")</f>
        <v/>
      </c>
      <c r="AC273" s="185">
        <f>IFERROR(_xlfn.XLOOKUP($D273,'Modelling New'!$D:$D,'Modelling New'!$P:$P),"")</f>
        <v>4.2709677419354843</v>
      </c>
      <c r="AD273" s="176">
        <f>IFERROR(_xlfn.XLOOKUP($D273,'Modelling New'!$D:$D,'Modelling New'!$T:$T)*1000,"")</f>
        <v>232649.96222803142</v>
      </c>
      <c r="AE273" s="186">
        <f>IFERROR(_xlfn.XLOOKUP($D273,'Modelling New'!$D:$D,'Modelling New'!$O:$O),"")</f>
        <v>0.81600514089250631</v>
      </c>
      <c r="AF273" s="186">
        <f>IFERROR(_xlfn.XLOOKUP($D273,'Modelling New'!$D:$D,'Modelling New'!$W:$W),"")</f>
        <v>0.14521381808355893</v>
      </c>
      <c r="AG273" s="186">
        <f>IFERROR(_xlfn.XLOOKUP($D273,'Modelling New'!$D:$D,'Modelling New'!$AE:$AE),"")</f>
        <v>0.995</v>
      </c>
      <c r="AH273" s="186">
        <f>IFERROR(_xlfn.XLOOKUP($D273,'Modelling New'!$D:$D,'Modelling New'!$AF:$AF),"")</f>
        <v>0.995</v>
      </c>
      <c r="AI273" s="177"/>
      <c r="AJ273" s="177"/>
      <c r="AK273" s="238"/>
      <c r="AL273" s="238"/>
      <c r="AM273" s="238"/>
      <c r="AN273" s="187"/>
      <c r="AO273" s="184"/>
      <c r="AP273" s="184"/>
      <c r="AQ273" s="184"/>
      <c r="AR273" s="176">
        <f>IFERROR(_xlfn.XLOOKUP($D272,'Modelling New'!$D:$D,'Modelling New'!$N:$N),"")</f>
        <v>66.754999999999995</v>
      </c>
      <c r="AS273" s="176"/>
    </row>
    <row r="274" spans="1:45" x14ac:dyDescent="0.25">
      <c r="A274" s="175">
        <f t="shared" si="19"/>
        <v>46017</v>
      </c>
      <c r="B274" s="176">
        <f>YEAR(Table13[[#This Row],[Date]])+IF(MONTH(Table13[[#This Row],[Date]])&gt;=4,1,0)</f>
        <v>2026</v>
      </c>
      <c r="C274" s="177">
        <f>YEAR(Table13[[#This Row],[Date]])</f>
        <v>2025</v>
      </c>
      <c r="D274" s="178">
        <f>Table13[[#This Row],[Date]]-DAY(Table13[[#This Row],[Date]])+1</f>
        <v>45992</v>
      </c>
      <c r="E274" s="177">
        <f t="shared" si="16"/>
        <v>31</v>
      </c>
      <c r="F274" s="179" t="str">
        <f>IFERROR(_xlfn.XLOOKUP($A274,Raw_Data!$B:$B,Raw_Data!$KG:$KG),"")</f>
        <v/>
      </c>
      <c r="G274" s="180" t="str">
        <f>IFERROR(_xlfn.XLOOKUP($A274,Raw_Data!$B:$B,Raw_Data!KH:KH),"")</f>
        <v/>
      </c>
      <c r="H274" s="180"/>
      <c r="I274" s="180" t="str">
        <f>IFERROR(_xlfn.XLOOKUP($A274,Raw_Data!$B:$B,Raw_Data!$KI:$KI),"")</f>
        <v/>
      </c>
      <c r="J274" s="180"/>
      <c r="K274" s="180" t="str">
        <f>IFERROR(_xlfn.XLOOKUP($A274,Raw_Data!$B:$B,Raw_Data!KJ:KJ),"")</f>
        <v/>
      </c>
      <c r="L274" s="180" t="str">
        <f>IFERROR(_xlfn.XLOOKUP($A274,Raw_Data!$B:$B,Raw_Data!KK:KK),"")</f>
        <v/>
      </c>
      <c r="M274" s="180" t="str">
        <f>IFERROR(_xlfn.XLOOKUP($A274,Raw_Data!$B:$B,Raw_Data!KL:KL),"")</f>
        <v/>
      </c>
      <c r="N274" s="180" t="str">
        <f>IFERROR(_xlfn.XLOOKUP($A274,Raw_Data!$B:$B,Raw_Data!KM:KM),"")</f>
        <v/>
      </c>
      <c r="O274" s="181" t="str">
        <f>IFERROR(1-SUMIF(PA!$B:$B,$A274,PA!AJ:AJ)/($AA274+SUMIF(PA!$B:$B,$A274,PA!AJ:AJ)),"")</f>
        <v/>
      </c>
      <c r="P274" s="181"/>
      <c r="Q274" s="182"/>
      <c r="R274" s="181" t="str">
        <f>IFERROR(1-SUMIF(GA!$C:$C,$A274,GA!$X:$X)/($AA274+SUMIF(GA!$C:$C,$A274,GA!$X:$X)),"")</f>
        <v/>
      </c>
      <c r="S274" s="177"/>
      <c r="T274" s="182"/>
      <c r="U274" s="183" t="str">
        <f t="shared" si="17"/>
        <v/>
      </c>
      <c r="V274" s="183" t="str">
        <f>IFERROR(_xlfn.XLOOKUP($A274,Raw_Data!$B:$B,Raw_Data!$KQ:$KQ),"")</f>
        <v/>
      </c>
      <c r="W274" s="184" t="str">
        <f t="shared" si="18"/>
        <v/>
      </c>
      <c r="X274" s="176" t="str">
        <f>IFERROR(_xlfn.XLOOKUP($A274,Raw_Data!$B:$B,Raw_Data!$KN:$KN),"")</f>
        <v/>
      </c>
      <c r="Y274" s="176" t="str">
        <f>IFERROR(_xlfn.XLOOKUP($A274,Raw_Data!$B:$B,Raw_Data!$KC:$KC),"")</f>
        <v/>
      </c>
      <c r="Z274" s="176" t="str">
        <f>IFERROR(_xlfn.XLOOKUP($A274,Raw_Data!$B:$B,Raw_Data!$KD:$KD),"")</f>
        <v/>
      </c>
      <c r="AA274" s="176" t="str">
        <f>IFERROR(_xlfn.XLOOKUP($A274,Raw_Data!$B:$B,Raw_Data!$KF:$KF),"")</f>
        <v/>
      </c>
      <c r="AB274" s="176" t="str">
        <f>IFERROR(_xlfn.XLOOKUP($A274,Raw_Data!$B:$B,Raw_Data!I:I)/1000,"")</f>
        <v/>
      </c>
      <c r="AC274" s="185">
        <f>IFERROR(_xlfn.XLOOKUP($D274,'Modelling New'!$D:$D,'Modelling New'!$P:$P),"")</f>
        <v>4.2709677419354843</v>
      </c>
      <c r="AD274" s="176">
        <f>IFERROR(_xlfn.XLOOKUP($D274,'Modelling New'!$D:$D,'Modelling New'!$T:$T)*1000,"")</f>
        <v>232649.96222803142</v>
      </c>
      <c r="AE274" s="186">
        <f>IFERROR(_xlfn.XLOOKUP($D274,'Modelling New'!$D:$D,'Modelling New'!$O:$O),"")</f>
        <v>0.81600514089250631</v>
      </c>
      <c r="AF274" s="186">
        <f>IFERROR(_xlfn.XLOOKUP($D274,'Modelling New'!$D:$D,'Modelling New'!$W:$W),"")</f>
        <v>0.14521381808355893</v>
      </c>
      <c r="AG274" s="186">
        <f>IFERROR(_xlfn.XLOOKUP($D274,'Modelling New'!$D:$D,'Modelling New'!$AE:$AE),"")</f>
        <v>0.995</v>
      </c>
      <c r="AH274" s="186">
        <f>IFERROR(_xlfn.XLOOKUP($D274,'Modelling New'!$D:$D,'Modelling New'!$AF:$AF),"")</f>
        <v>0.995</v>
      </c>
      <c r="AI274" s="177"/>
      <c r="AJ274" s="177"/>
      <c r="AK274" s="238"/>
      <c r="AL274" s="238"/>
      <c r="AM274" s="238"/>
      <c r="AN274" s="187"/>
      <c r="AO274" s="184"/>
      <c r="AP274" s="184"/>
      <c r="AQ274" s="184"/>
      <c r="AR274" s="176">
        <f>IFERROR(_xlfn.XLOOKUP($D273,'Modelling New'!$D:$D,'Modelling New'!$N:$N),"")</f>
        <v>66.754999999999995</v>
      </c>
      <c r="AS274" s="176"/>
    </row>
    <row r="275" spans="1:45" x14ac:dyDescent="0.25">
      <c r="A275" s="175">
        <f t="shared" si="19"/>
        <v>46018</v>
      </c>
      <c r="B275" s="176">
        <f>YEAR(Table13[[#This Row],[Date]])+IF(MONTH(Table13[[#This Row],[Date]])&gt;=4,1,0)</f>
        <v>2026</v>
      </c>
      <c r="C275" s="177">
        <f>YEAR(Table13[[#This Row],[Date]])</f>
        <v>2025</v>
      </c>
      <c r="D275" s="178">
        <f>Table13[[#This Row],[Date]]-DAY(Table13[[#This Row],[Date]])+1</f>
        <v>45992</v>
      </c>
      <c r="E275" s="177">
        <f t="shared" si="16"/>
        <v>31</v>
      </c>
      <c r="F275" s="179" t="str">
        <f>IFERROR(_xlfn.XLOOKUP($A275,Raw_Data!$B:$B,Raw_Data!$KG:$KG),"")</f>
        <v/>
      </c>
      <c r="G275" s="180" t="str">
        <f>IFERROR(_xlfn.XLOOKUP($A275,Raw_Data!$B:$B,Raw_Data!KH:KH),"")</f>
        <v/>
      </c>
      <c r="H275" s="180"/>
      <c r="I275" s="180" t="str">
        <f>IFERROR(_xlfn.XLOOKUP($A275,Raw_Data!$B:$B,Raw_Data!$KI:$KI),"")</f>
        <v/>
      </c>
      <c r="J275" s="180"/>
      <c r="K275" s="180" t="str">
        <f>IFERROR(_xlfn.XLOOKUP($A275,Raw_Data!$B:$B,Raw_Data!KJ:KJ),"")</f>
        <v/>
      </c>
      <c r="L275" s="180" t="str">
        <f>IFERROR(_xlfn.XLOOKUP($A275,Raw_Data!$B:$B,Raw_Data!KK:KK),"")</f>
        <v/>
      </c>
      <c r="M275" s="180" t="str">
        <f>IFERROR(_xlfn.XLOOKUP($A275,Raw_Data!$B:$B,Raw_Data!KL:KL),"")</f>
        <v/>
      </c>
      <c r="N275" s="180" t="str">
        <f>IFERROR(_xlfn.XLOOKUP($A275,Raw_Data!$B:$B,Raw_Data!KM:KM),"")</f>
        <v/>
      </c>
      <c r="O275" s="181" t="str">
        <f>IFERROR(1-SUMIF(PA!$B:$B,$A275,PA!AJ:AJ)/($AA275+SUMIF(PA!$B:$B,$A275,PA!AJ:AJ)),"")</f>
        <v/>
      </c>
      <c r="P275" s="181"/>
      <c r="Q275" s="182"/>
      <c r="R275" s="181" t="str">
        <f>IFERROR(1-SUMIF(GA!$C:$C,$A275,GA!$X:$X)/($AA275+SUMIF(GA!$C:$C,$A275,GA!$X:$X)),"")</f>
        <v/>
      </c>
      <c r="S275" s="177"/>
      <c r="T275" s="182"/>
      <c r="U275" s="183" t="str">
        <f t="shared" si="17"/>
        <v/>
      </c>
      <c r="V275" s="183" t="str">
        <f>IFERROR(_xlfn.XLOOKUP($A275,Raw_Data!$B:$B,Raw_Data!$KQ:$KQ),"")</f>
        <v/>
      </c>
      <c r="W275" s="184" t="str">
        <f t="shared" si="18"/>
        <v/>
      </c>
      <c r="X275" s="176" t="str">
        <f>IFERROR(_xlfn.XLOOKUP($A275,Raw_Data!$B:$B,Raw_Data!$KN:$KN),"")</f>
        <v/>
      </c>
      <c r="Y275" s="176" t="str">
        <f>IFERROR(_xlfn.XLOOKUP($A275,Raw_Data!$B:$B,Raw_Data!$KC:$KC),"")</f>
        <v/>
      </c>
      <c r="Z275" s="176" t="str">
        <f>IFERROR(_xlfn.XLOOKUP($A275,Raw_Data!$B:$B,Raw_Data!$KD:$KD),"")</f>
        <v/>
      </c>
      <c r="AA275" s="176" t="str">
        <f>IFERROR(_xlfn.XLOOKUP($A275,Raw_Data!$B:$B,Raw_Data!$KF:$KF),"")</f>
        <v/>
      </c>
      <c r="AB275" s="176" t="str">
        <f>IFERROR(_xlfn.XLOOKUP($A275,Raw_Data!$B:$B,Raw_Data!I:I)/1000,"")</f>
        <v/>
      </c>
      <c r="AC275" s="185">
        <f>IFERROR(_xlfn.XLOOKUP($D275,'Modelling New'!$D:$D,'Modelling New'!$P:$P),"")</f>
        <v>4.2709677419354843</v>
      </c>
      <c r="AD275" s="176">
        <f>IFERROR(_xlfn.XLOOKUP($D275,'Modelling New'!$D:$D,'Modelling New'!$T:$T)*1000,"")</f>
        <v>232649.96222803142</v>
      </c>
      <c r="AE275" s="186">
        <f>IFERROR(_xlfn.XLOOKUP($D275,'Modelling New'!$D:$D,'Modelling New'!$O:$O),"")</f>
        <v>0.81600514089250631</v>
      </c>
      <c r="AF275" s="186">
        <f>IFERROR(_xlfn.XLOOKUP($D275,'Modelling New'!$D:$D,'Modelling New'!$W:$W),"")</f>
        <v>0.14521381808355893</v>
      </c>
      <c r="AG275" s="186">
        <f>IFERROR(_xlfn.XLOOKUP($D275,'Modelling New'!$D:$D,'Modelling New'!$AE:$AE),"")</f>
        <v>0.995</v>
      </c>
      <c r="AH275" s="186">
        <f>IFERROR(_xlfn.XLOOKUP($D275,'Modelling New'!$D:$D,'Modelling New'!$AF:$AF),"")</f>
        <v>0.995</v>
      </c>
      <c r="AI275" s="177"/>
      <c r="AJ275" s="177"/>
      <c r="AK275" s="238"/>
      <c r="AL275" s="238"/>
      <c r="AM275" s="238"/>
      <c r="AN275" s="187"/>
      <c r="AO275" s="184"/>
      <c r="AP275" s="184"/>
      <c r="AQ275" s="184"/>
      <c r="AR275" s="176">
        <f>IFERROR(_xlfn.XLOOKUP($D274,'Modelling New'!$D:$D,'Modelling New'!$N:$N),"")</f>
        <v>66.754999999999995</v>
      </c>
      <c r="AS275" s="176"/>
    </row>
    <row r="276" spans="1:45" x14ac:dyDescent="0.25">
      <c r="A276" s="175">
        <f t="shared" si="19"/>
        <v>46019</v>
      </c>
      <c r="B276" s="176">
        <f>YEAR(Table13[[#This Row],[Date]])+IF(MONTH(Table13[[#This Row],[Date]])&gt;=4,1,0)</f>
        <v>2026</v>
      </c>
      <c r="C276" s="177">
        <f>YEAR(Table13[[#This Row],[Date]])</f>
        <v>2025</v>
      </c>
      <c r="D276" s="178">
        <f>Table13[[#This Row],[Date]]-DAY(Table13[[#This Row],[Date]])+1</f>
        <v>45992</v>
      </c>
      <c r="E276" s="177">
        <f t="shared" si="16"/>
        <v>31</v>
      </c>
      <c r="F276" s="179" t="str">
        <f>IFERROR(_xlfn.XLOOKUP($A276,Raw_Data!$B:$B,Raw_Data!$KG:$KG),"")</f>
        <v/>
      </c>
      <c r="G276" s="180" t="str">
        <f>IFERROR(_xlfn.XLOOKUP($A276,Raw_Data!$B:$B,Raw_Data!KH:KH),"")</f>
        <v/>
      </c>
      <c r="H276" s="180"/>
      <c r="I276" s="180" t="str">
        <f>IFERROR(_xlfn.XLOOKUP($A276,Raw_Data!$B:$B,Raw_Data!$KI:$KI),"")</f>
        <v/>
      </c>
      <c r="J276" s="180"/>
      <c r="K276" s="180" t="str">
        <f>IFERROR(_xlfn.XLOOKUP($A276,Raw_Data!$B:$B,Raw_Data!KJ:KJ),"")</f>
        <v/>
      </c>
      <c r="L276" s="180" t="str">
        <f>IFERROR(_xlfn.XLOOKUP($A276,Raw_Data!$B:$B,Raw_Data!KK:KK),"")</f>
        <v/>
      </c>
      <c r="M276" s="180" t="str">
        <f>IFERROR(_xlfn.XLOOKUP($A276,Raw_Data!$B:$B,Raw_Data!KL:KL),"")</f>
        <v/>
      </c>
      <c r="N276" s="180" t="str">
        <f>IFERROR(_xlfn.XLOOKUP($A276,Raw_Data!$B:$B,Raw_Data!KM:KM),"")</f>
        <v/>
      </c>
      <c r="O276" s="181" t="str">
        <f>IFERROR(1-SUMIF(PA!$B:$B,$A276,PA!AJ:AJ)/($AA276+SUMIF(PA!$B:$B,$A276,PA!AJ:AJ)),"")</f>
        <v/>
      </c>
      <c r="P276" s="181"/>
      <c r="Q276" s="182"/>
      <c r="R276" s="181" t="str">
        <f>IFERROR(1-SUMIF(GA!$C:$C,$A276,GA!$X:$X)/($AA276+SUMIF(GA!$C:$C,$A276,GA!$X:$X)),"")</f>
        <v/>
      </c>
      <c r="S276" s="177"/>
      <c r="T276" s="182"/>
      <c r="U276" s="183" t="str">
        <f t="shared" si="17"/>
        <v/>
      </c>
      <c r="V276" s="183" t="str">
        <f>IFERROR(_xlfn.XLOOKUP($A276,Raw_Data!$B:$B,Raw_Data!$KQ:$KQ),"")</f>
        <v/>
      </c>
      <c r="W276" s="184" t="str">
        <f t="shared" si="18"/>
        <v/>
      </c>
      <c r="X276" s="176" t="str">
        <f>IFERROR(_xlfn.XLOOKUP($A276,Raw_Data!$B:$B,Raw_Data!$KN:$KN),"")</f>
        <v/>
      </c>
      <c r="Y276" s="176" t="str">
        <f>IFERROR(_xlfn.XLOOKUP($A276,Raw_Data!$B:$B,Raw_Data!$KC:$KC),"")</f>
        <v/>
      </c>
      <c r="Z276" s="176" t="str">
        <f>IFERROR(_xlfn.XLOOKUP($A276,Raw_Data!$B:$B,Raw_Data!$KD:$KD),"")</f>
        <v/>
      </c>
      <c r="AA276" s="176" t="str">
        <f>IFERROR(_xlfn.XLOOKUP($A276,Raw_Data!$B:$B,Raw_Data!$KF:$KF),"")</f>
        <v/>
      </c>
      <c r="AB276" s="176" t="str">
        <f>IFERROR(_xlfn.XLOOKUP($A276,Raw_Data!$B:$B,Raw_Data!I:I)/1000,"")</f>
        <v/>
      </c>
      <c r="AC276" s="185">
        <f>IFERROR(_xlfn.XLOOKUP($D276,'Modelling New'!$D:$D,'Modelling New'!$P:$P),"")</f>
        <v>4.2709677419354843</v>
      </c>
      <c r="AD276" s="176">
        <f>IFERROR(_xlfn.XLOOKUP($D276,'Modelling New'!$D:$D,'Modelling New'!$T:$T)*1000,"")</f>
        <v>232649.96222803142</v>
      </c>
      <c r="AE276" s="186">
        <f>IFERROR(_xlfn.XLOOKUP($D276,'Modelling New'!$D:$D,'Modelling New'!$O:$O),"")</f>
        <v>0.81600514089250631</v>
      </c>
      <c r="AF276" s="186">
        <f>IFERROR(_xlfn.XLOOKUP($D276,'Modelling New'!$D:$D,'Modelling New'!$W:$W),"")</f>
        <v>0.14521381808355893</v>
      </c>
      <c r="AG276" s="186">
        <f>IFERROR(_xlfn.XLOOKUP($D276,'Modelling New'!$D:$D,'Modelling New'!$AE:$AE),"")</f>
        <v>0.995</v>
      </c>
      <c r="AH276" s="186">
        <f>IFERROR(_xlfn.XLOOKUP($D276,'Modelling New'!$D:$D,'Modelling New'!$AF:$AF),"")</f>
        <v>0.995</v>
      </c>
      <c r="AI276" s="177"/>
      <c r="AJ276" s="177"/>
      <c r="AK276" s="238"/>
      <c r="AL276" s="238"/>
      <c r="AM276" s="238"/>
      <c r="AN276" s="187"/>
      <c r="AO276" s="184"/>
      <c r="AP276" s="184"/>
      <c r="AQ276" s="184"/>
      <c r="AR276" s="176">
        <f>IFERROR(_xlfn.XLOOKUP($D275,'Modelling New'!$D:$D,'Modelling New'!$N:$N),"")</f>
        <v>66.754999999999995</v>
      </c>
      <c r="AS276" s="176"/>
    </row>
    <row r="277" spans="1:45" x14ac:dyDescent="0.25">
      <c r="A277" s="175">
        <f t="shared" si="19"/>
        <v>46020</v>
      </c>
      <c r="B277" s="176">
        <f>YEAR(Table13[[#This Row],[Date]])+IF(MONTH(Table13[[#This Row],[Date]])&gt;=4,1,0)</f>
        <v>2026</v>
      </c>
      <c r="C277" s="177">
        <f>YEAR(Table13[[#This Row],[Date]])</f>
        <v>2025</v>
      </c>
      <c r="D277" s="178">
        <f>Table13[[#This Row],[Date]]-DAY(Table13[[#This Row],[Date]])+1</f>
        <v>45992</v>
      </c>
      <c r="E277" s="177">
        <f t="shared" si="16"/>
        <v>31</v>
      </c>
      <c r="F277" s="179" t="str">
        <f>IFERROR(_xlfn.XLOOKUP($A277,Raw_Data!$B:$B,Raw_Data!$KG:$KG),"")</f>
        <v/>
      </c>
      <c r="G277" s="180" t="str">
        <f>IFERROR(_xlfn.XLOOKUP($A277,Raw_Data!$B:$B,Raw_Data!KH:KH),"")</f>
        <v/>
      </c>
      <c r="H277" s="180"/>
      <c r="I277" s="180" t="str">
        <f>IFERROR(_xlfn.XLOOKUP($A277,Raw_Data!$B:$B,Raw_Data!$KI:$KI),"")</f>
        <v/>
      </c>
      <c r="J277" s="180"/>
      <c r="K277" s="180" t="str">
        <f>IFERROR(_xlfn.XLOOKUP($A277,Raw_Data!$B:$B,Raw_Data!KJ:KJ),"")</f>
        <v/>
      </c>
      <c r="L277" s="180" t="str">
        <f>IFERROR(_xlfn.XLOOKUP($A277,Raw_Data!$B:$B,Raw_Data!KK:KK),"")</f>
        <v/>
      </c>
      <c r="M277" s="180" t="str">
        <f>IFERROR(_xlfn.XLOOKUP($A277,Raw_Data!$B:$B,Raw_Data!KL:KL),"")</f>
        <v/>
      </c>
      <c r="N277" s="180" t="str">
        <f>IFERROR(_xlfn.XLOOKUP($A277,Raw_Data!$B:$B,Raw_Data!KM:KM),"")</f>
        <v/>
      </c>
      <c r="O277" s="181" t="str">
        <f>IFERROR(1-SUMIF(PA!$B:$B,$A277,PA!AJ:AJ)/($AA277+SUMIF(PA!$B:$B,$A277,PA!AJ:AJ)),"")</f>
        <v/>
      </c>
      <c r="P277" s="181"/>
      <c r="Q277" s="182"/>
      <c r="R277" s="181" t="str">
        <f>IFERROR(1-SUMIF(GA!$C:$C,$A277,GA!$X:$X)/($AA277+SUMIF(GA!$C:$C,$A277,GA!$X:$X)),"")</f>
        <v/>
      </c>
      <c r="S277" s="177"/>
      <c r="T277" s="182"/>
      <c r="U277" s="183" t="str">
        <f t="shared" si="17"/>
        <v/>
      </c>
      <c r="V277" s="183" t="str">
        <f>IFERROR(_xlfn.XLOOKUP($A277,Raw_Data!$B:$B,Raw_Data!$KQ:$KQ),"")</f>
        <v/>
      </c>
      <c r="W277" s="184" t="str">
        <f t="shared" si="18"/>
        <v/>
      </c>
      <c r="X277" s="176" t="str">
        <f>IFERROR(_xlfn.XLOOKUP($A277,Raw_Data!$B:$B,Raw_Data!$KN:$KN),"")</f>
        <v/>
      </c>
      <c r="Y277" s="176" t="str">
        <f>IFERROR(_xlfn.XLOOKUP($A277,Raw_Data!$B:$B,Raw_Data!$KC:$KC),"")</f>
        <v/>
      </c>
      <c r="Z277" s="176" t="str">
        <f>IFERROR(_xlfn.XLOOKUP($A277,Raw_Data!$B:$B,Raw_Data!$KD:$KD),"")</f>
        <v/>
      </c>
      <c r="AA277" s="176" t="str">
        <f>IFERROR(_xlfn.XLOOKUP($A277,Raw_Data!$B:$B,Raw_Data!$KF:$KF),"")</f>
        <v/>
      </c>
      <c r="AB277" s="176" t="str">
        <f>IFERROR(_xlfn.XLOOKUP($A277,Raw_Data!$B:$B,Raw_Data!I:I)/1000,"")</f>
        <v/>
      </c>
      <c r="AC277" s="185">
        <f>IFERROR(_xlfn.XLOOKUP($D277,'Modelling New'!$D:$D,'Modelling New'!$P:$P),"")</f>
        <v>4.2709677419354843</v>
      </c>
      <c r="AD277" s="176">
        <f>IFERROR(_xlfn.XLOOKUP($D277,'Modelling New'!$D:$D,'Modelling New'!$T:$T)*1000,"")</f>
        <v>232649.96222803142</v>
      </c>
      <c r="AE277" s="186">
        <f>IFERROR(_xlfn.XLOOKUP($D277,'Modelling New'!$D:$D,'Modelling New'!$O:$O),"")</f>
        <v>0.81600514089250631</v>
      </c>
      <c r="AF277" s="186">
        <f>IFERROR(_xlfn.XLOOKUP($D277,'Modelling New'!$D:$D,'Modelling New'!$W:$W),"")</f>
        <v>0.14521381808355893</v>
      </c>
      <c r="AG277" s="186">
        <f>IFERROR(_xlfn.XLOOKUP($D277,'Modelling New'!$D:$D,'Modelling New'!$AE:$AE),"")</f>
        <v>0.995</v>
      </c>
      <c r="AH277" s="186">
        <f>IFERROR(_xlfn.XLOOKUP($D277,'Modelling New'!$D:$D,'Modelling New'!$AF:$AF),"")</f>
        <v>0.995</v>
      </c>
      <c r="AI277" s="177"/>
      <c r="AJ277" s="177"/>
      <c r="AK277" s="238"/>
      <c r="AL277" s="238"/>
      <c r="AM277" s="238"/>
      <c r="AN277" s="187"/>
      <c r="AO277" s="184"/>
      <c r="AP277" s="184"/>
      <c r="AQ277" s="184"/>
      <c r="AR277" s="176">
        <f>IFERROR(_xlfn.XLOOKUP($D276,'Modelling New'!$D:$D,'Modelling New'!$N:$N),"")</f>
        <v>66.754999999999995</v>
      </c>
      <c r="AS277" s="176"/>
    </row>
    <row r="278" spans="1:45" x14ac:dyDescent="0.25">
      <c r="A278" s="175">
        <f t="shared" si="19"/>
        <v>46021</v>
      </c>
      <c r="B278" s="176">
        <f>YEAR(Table13[[#This Row],[Date]])+IF(MONTH(Table13[[#This Row],[Date]])&gt;=4,1,0)</f>
        <v>2026</v>
      </c>
      <c r="C278" s="177">
        <f>YEAR(Table13[[#This Row],[Date]])</f>
        <v>2025</v>
      </c>
      <c r="D278" s="178">
        <f>Table13[[#This Row],[Date]]-DAY(Table13[[#This Row],[Date]])+1</f>
        <v>45992</v>
      </c>
      <c r="E278" s="177">
        <f t="shared" si="16"/>
        <v>31</v>
      </c>
      <c r="F278" s="179" t="str">
        <f>IFERROR(_xlfn.XLOOKUP($A278,Raw_Data!$B:$B,Raw_Data!$KG:$KG),"")</f>
        <v/>
      </c>
      <c r="G278" s="180" t="str">
        <f>IFERROR(_xlfn.XLOOKUP($A278,Raw_Data!$B:$B,Raw_Data!KH:KH),"")</f>
        <v/>
      </c>
      <c r="H278" s="180"/>
      <c r="I278" s="180" t="str">
        <f>IFERROR(_xlfn.XLOOKUP($A278,Raw_Data!$B:$B,Raw_Data!$KI:$KI),"")</f>
        <v/>
      </c>
      <c r="J278" s="180"/>
      <c r="K278" s="180" t="str">
        <f>IFERROR(_xlfn.XLOOKUP($A278,Raw_Data!$B:$B,Raw_Data!KJ:KJ),"")</f>
        <v/>
      </c>
      <c r="L278" s="180" t="str">
        <f>IFERROR(_xlfn.XLOOKUP($A278,Raw_Data!$B:$B,Raw_Data!KK:KK),"")</f>
        <v/>
      </c>
      <c r="M278" s="180" t="str">
        <f>IFERROR(_xlfn.XLOOKUP($A278,Raw_Data!$B:$B,Raw_Data!KL:KL),"")</f>
        <v/>
      </c>
      <c r="N278" s="180" t="str">
        <f>IFERROR(_xlfn.XLOOKUP($A278,Raw_Data!$B:$B,Raw_Data!KM:KM),"")</f>
        <v/>
      </c>
      <c r="O278" s="181" t="str">
        <f>IFERROR(1-SUMIF(PA!$B:$B,$A278,PA!AJ:AJ)/($AA278+SUMIF(PA!$B:$B,$A278,PA!AJ:AJ)),"")</f>
        <v/>
      </c>
      <c r="P278" s="181"/>
      <c r="Q278" s="182"/>
      <c r="R278" s="181" t="str">
        <f>IFERROR(1-SUMIF(GA!$C:$C,$A278,GA!$X:$X)/($AA278+SUMIF(GA!$C:$C,$A278,GA!$X:$X)),"")</f>
        <v/>
      </c>
      <c r="S278" s="177"/>
      <c r="T278" s="182"/>
      <c r="U278" s="183" t="str">
        <f t="shared" si="17"/>
        <v/>
      </c>
      <c r="V278" s="183" t="str">
        <f>IFERROR(_xlfn.XLOOKUP($A278,Raw_Data!$B:$B,Raw_Data!$KQ:$KQ),"")</f>
        <v/>
      </c>
      <c r="W278" s="184" t="str">
        <f t="shared" si="18"/>
        <v/>
      </c>
      <c r="X278" s="176" t="str">
        <f>IFERROR(_xlfn.XLOOKUP($A278,Raw_Data!$B:$B,Raw_Data!$KN:$KN),"")</f>
        <v/>
      </c>
      <c r="Y278" s="176" t="str">
        <f>IFERROR(_xlfn.XLOOKUP($A278,Raw_Data!$B:$B,Raw_Data!$KC:$KC),"")</f>
        <v/>
      </c>
      <c r="Z278" s="176" t="str">
        <f>IFERROR(_xlfn.XLOOKUP($A278,Raw_Data!$B:$B,Raw_Data!$KD:$KD),"")</f>
        <v/>
      </c>
      <c r="AA278" s="176" t="str">
        <f>IFERROR(_xlfn.XLOOKUP($A278,Raw_Data!$B:$B,Raw_Data!$KF:$KF),"")</f>
        <v/>
      </c>
      <c r="AB278" s="176" t="str">
        <f>IFERROR(_xlfn.XLOOKUP($A278,Raw_Data!$B:$B,Raw_Data!I:I)/1000,"")</f>
        <v/>
      </c>
      <c r="AC278" s="185">
        <f>IFERROR(_xlfn.XLOOKUP($D278,'Modelling New'!$D:$D,'Modelling New'!$P:$P),"")</f>
        <v>4.2709677419354843</v>
      </c>
      <c r="AD278" s="176">
        <f>IFERROR(_xlfn.XLOOKUP($D278,'Modelling New'!$D:$D,'Modelling New'!$T:$T)*1000,"")</f>
        <v>232649.96222803142</v>
      </c>
      <c r="AE278" s="186">
        <f>IFERROR(_xlfn.XLOOKUP($D278,'Modelling New'!$D:$D,'Modelling New'!$O:$O),"")</f>
        <v>0.81600514089250631</v>
      </c>
      <c r="AF278" s="186">
        <f>IFERROR(_xlfn.XLOOKUP($D278,'Modelling New'!$D:$D,'Modelling New'!$W:$W),"")</f>
        <v>0.14521381808355893</v>
      </c>
      <c r="AG278" s="186">
        <f>IFERROR(_xlfn.XLOOKUP($D278,'Modelling New'!$D:$D,'Modelling New'!$AE:$AE),"")</f>
        <v>0.995</v>
      </c>
      <c r="AH278" s="186">
        <f>IFERROR(_xlfn.XLOOKUP($D278,'Modelling New'!$D:$D,'Modelling New'!$AF:$AF),"")</f>
        <v>0.995</v>
      </c>
      <c r="AI278" s="177"/>
      <c r="AJ278" s="177"/>
      <c r="AK278" s="238"/>
      <c r="AL278" s="238"/>
      <c r="AM278" s="238"/>
      <c r="AN278" s="187"/>
      <c r="AO278" s="184"/>
      <c r="AP278" s="184"/>
      <c r="AQ278" s="184"/>
      <c r="AR278" s="176">
        <f>IFERROR(_xlfn.XLOOKUP($D277,'Modelling New'!$D:$D,'Modelling New'!$N:$N),"")</f>
        <v>66.754999999999995</v>
      </c>
      <c r="AS278" s="176"/>
    </row>
    <row r="279" spans="1:45" x14ac:dyDescent="0.25">
      <c r="A279" s="175">
        <f t="shared" si="19"/>
        <v>46022</v>
      </c>
      <c r="B279" s="176">
        <f>YEAR(Table13[[#This Row],[Date]])+IF(MONTH(Table13[[#This Row],[Date]])&gt;=4,1,0)</f>
        <v>2026</v>
      </c>
      <c r="C279" s="177">
        <f>YEAR(Table13[[#This Row],[Date]])</f>
        <v>2025</v>
      </c>
      <c r="D279" s="178">
        <f>Table13[[#This Row],[Date]]-DAY(Table13[[#This Row],[Date]])+1</f>
        <v>45992</v>
      </c>
      <c r="E279" s="177">
        <f t="shared" si="16"/>
        <v>31</v>
      </c>
      <c r="F279" s="179" t="str">
        <f>IFERROR(_xlfn.XLOOKUP($A279,Raw_Data!$B:$B,Raw_Data!$KG:$KG),"")</f>
        <v/>
      </c>
      <c r="G279" s="180" t="str">
        <f>IFERROR(_xlfn.XLOOKUP($A279,Raw_Data!$B:$B,Raw_Data!KH:KH),"")</f>
        <v/>
      </c>
      <c r="H279" s="180"/>
      <c r="I279" s="180" t="str">
        <f>IFERROR(_xlfn.XLOOKUP($A279,Raw_Data!$B:$B,Raw_Data!$KI:$KI),"")</f>
        <v/>
      </c>
      <c r="J279" s="180"/>
      <c r="K279" s="180" t="str">
        <f>IFERROR(_xlfn.XLOOKUP($A279,Raw_Data!$B:$B,Raw_Data!KJ:KJ),"")</f>
        <v/>
      </c>
      <c r="L279" s="180" t="str">
        <f>IFERROR(_xlfn.XLOOKUP($A279,Raw_Data!$B:$B,Raw_Data!KK:KK),"")</f>
        <v/>
      </c>
      <c r="M279" s="180" t="str">
        <f>IFERROR(_xlfn.XLOOKUP($A279,Raw_Data!$B:$B,Raw_Data!KL:KL),"")</f>
        <v/>
      </c>
      <c r="N279" s="180" t="str">
        <f>IFERROR(_xlfn.XLOOKUP($A279,Raw_Data!$B:$B,Raw_Data!KM:KM),"")</f>
        <v/>
      </c>
      <c r="O279" s="181" t="str">
        <f>IFERROR(1-SUMIF(PA!$B:$B,$A279,PA!AJ:AJ)/($AA279+SUMIF(PA!$B:$B,$A279,PA!AJ:AJ)),"")</f>
        <v/>
      </c>
      <c r="P279" s="181"/>
      <c r="Q279" s="182"/>
      <c r="R279" s="181" t="str">
        <f>IFERROR(1-SUMIF(GA!$C:$C,$A279,GA!$X:$X)/($AA279+SUMIF(GA!$C:$C,$A279,GA!$X:$X)),"")</f>
        <v/>
      </c>
      <c r="S279" s="177"/>
      <c r="T279" s="182"/>
      <c r="U279" s="183" t="str">
        <f t="shared" si="17"/>
        <v/>
      </c>
      <c r="V279" s="183" t="str">
        <f>IFERROR(_xlfn.XLOOKUP($A279,Raw_Data!$B:$B,Raw_Data!$KQ:$KQ),"")</f>
        <v/>
      </c>
      <c r="W279" s="184" t="str">
        <f t="shared" si="18"/>
        <v/>
      </c>
      <c r="X279" s="176" t="str">
        <f>IFERROR(_xlfn.XLOOKUP($A279,Raw_Data!$B:$B,Raw_Data!$KN:$KN),"")</f>
        <v/>
      </c>
      <c r="Y279" s="176" t="str">
        <f>IFERROR(_xlfn.XLOOKUP($A279,Raw_Data!$B:$B,Raw_Data!$KC:$KC),"")</f>
        <v/>
      </c>
      <c r="Z279" s="176" t="str">
        <f>IFERROR(_xlfn.XLOOKUP($A279,Raw_Data!$B:$B,Raw_Data!$KD:$KD),"")</f>
        <v/>
      </c>
      <c r="AA279" s="176" t="str">
        <f>IFERROR(_xlfn.XLOOKUP($A279,Raw_Data!$B:$B,Raw_Data!$KF:$KF),"")</f>
        <v/>
      </c>
      <c r="AB279" s="176" t="str">
        <f>IFERROR(_xlfn.XLOOKUP($A279,Raw_Data!$B:$B,Raw_Data!I:I)/1000,"")</f>
        <v/>
      </c>
      <c r="AC279" s="185">
        <f>IFERROR(_xlfn.XLOOKUP($D279,'Modelling New'!$D:$D,'Modelling New'!$P:$P),"")</f>
        <v>4.2709677419354843</v>
      </c>
      <c r="AD279" s="176">
        <f>IFERROR(_xlfn.XLOOKUP($D279,'Modelling New'!$D:$D,'Modelling New'!$T:$T)*1000,"")</f>
        <v>232649.96222803142</v>
      </c>
      <c r="AE279" s="186">
        <f>IFERROR(_xlfn.XLOOKUP($D279,'Modelling New'!$D:$D,'Modelling New'!$O:$O),"")</f>
        <v>0.81600514089250631</v>
      </c>
      <c r="AF279" s="186">
        <f>IFERROR(_xlfn.XLOOKUP($D279,'Modelling New'!$D:$D,'Modelling New'!$W:$W),"")</f>
        <v>0.14521381808355893</v>
      </c>
      <c r="AG279" s="186">
        <f>IFERROR(_xlfn.XLOOKUP($D279,'Modelling New'!$D:$D,'Modelling New'!$AE:$AE),"")</f>
        <v>0.995</v>
      </c>
      <c r="AH279" s="186">
        <f>IFERROR(_xlfn.XLOOKUP($D279,'Modelling New'!$D:$D,'Modelling New'!$AF:$AF),"")</f>
        <v>0.995</v>
      </c>
      <c r="AI279" s="177"/>
      <c r="AJ279" s="177"/>
      <c r="AK279" s="238"/>
      <c r="AL279" s="238"/>
      <c r="AM279" s="238"/>
      <c r="AN279" s="187"/>
      <c r="AO279" s="184"/>
      <c r="AP279" s="184"/>
      <c r="AQ279" s="184"/>
      <c r="AR279" s="176">
        <f>IFERROR(_xlfn.XLOOKUP($D278,'Modelling New'!$D:$D,'Modelling New'!$N:$N),"")</f>
        <v>66.754999999999995</v>
      </c>
      <c r="AS279" s="176"/>
    </row>
    <row r="280" spans="1:45" x14ac:dyDescent="0.25">
      <c r="A280" s="175">
        <f t="shared" si="19"/>
        <v>46023</v>
      </c>
      <c r="B280" s="176">
        <f>YEAR(Table13[[#This Row],[Date]])+IF(MONTH(Table13[[#This Row],[Date]])&gt;=4,1,0)</f>
        <v>2026</v>
      </c>
      <c r="C280" s="177">
        <f>YEAR(Table13[[#This Row],[Date]])</f>
        <v>2026</v>
      </c>
      <c r="D280" s="178">
        <f>Table13[[#This Row],[Date]]-DAY(Table13[[#This Row],[Date]])+1</f>
        <v>46023</v>
      </c>
      <c r="E280" s="177">
        <f t="shared" si="16"/>
        <v>31</v>
      </c>
      <c r="F280" s="179" t="str">
        <f>IFERROR(_xlfn.XLOOKUP($A280,Raw_Data!$B:$B,Raw_Data!$KG:$KG),"")</f>
        <v/>
      </c>
      <c r="G280" s="180" t="str">
        <f>IFERROR(_xlfn.XLOOKUP($A280,Raw_Data!$B:$B,Raw_Data!KH:KH),"")</f>
        <v/>
      </c>
      <c r="H280" s="180"/>
      <c r="I280" s="180" t="str">
        <f>IFERROR(_xlfn.XLOOKUP($A280,Raw_Data!$B:$B,Raw_Data!$KI:$KI),"")</f>
        <v/>
      </c>
      <c r="J280" s="180"/>
      <c r="K280" s="180" t="str">
        <f>IFERROR(_xlfn.XLOOKUP($A280,Raw_Data!$B:$B,Raw_Data!KJ:KJ),"")</f>
        <v/>
      </c>
      <c r="L280" s="180" t="str">
        <f>IFERROR(_xlfn.XLOOKUP($A280,Raw_Data!$B:$B,Raw_Data!KK:KK),"")</f>
        <v/>
      </c>
      <c r="M280" s="180" t="str">
        <f>IFERROR(_xlfn.XLOOKUP($A280,Raw_Data!$B:$B,Raw_Data!KL:KL),"")</f>
        <v/>
      </c>
      <c r="N280" s="180" t="str">
        <f>IFERROR(_xlfn.XLOOKUP($A280,Raw_Data!$B:$B,Raw_Data!KM:KM),"")</f>
        <v/>
      </c>
      <c r="O280" s="181" t="str">
        <f>IFERROR(1-SUMIF(PA!$B:$B,$A280,PA!AJ:AJ)/($AA280+SUMIF(PA!$B:$B,$A280,PA!AJ:AJ)),"")</f>
        <v/>
      </c>
      <c r="P280" s="181"/>
      <c r="Q280" s="182"/>
      <c r="R280" s="181" t="str">
        <f>IFERROR(1-SUMIF(GA!$C:$C,$A280,GA!$X:$X)/($AA280+SUMIF(GA!$C:$C,$A280,GA!$X:$X)),"")</f>
        <v/>
      </c>
      <c r="S280" s="177"/>
      <c r="T280" s="182"/>
      <c r="U280" s="183" t="str">
        <f t="shared" si="17"/>
        <v/>
      </c>
      <c r="V280" s="183" t="str">
        <f>IFERROR(_xlfn.XLOOKUP($A280,Raw_Data!$B:$B,Raw_Data!$KQ:$KQ),"")</f>
        <v/>
      </c>
      <c r="W280" s="184" t="str">
        <f t="shared" si="18"/>
        <v/>
      </c>
      <c r="X280" s="176" t="str">
        <f>IFERROR(_xlfn.XLOOKUP($A280,Raw_Data!$B:$B,Raw_Data!$KN:$KN),"")</f>
        <v/>
      </c>
      <c r="Y280" s="176" t="str">
        <f>IFERROR(_xlfn.XLOOKUP($A280,Raw_Data!$B:$B,Raw_Data!$KC:$KC),"")</f>
        <v/>
      </c>
      <c r="Z280" s="176" t="str">
        <f>IFERROR(_xlfn.XLOOKUP($A280,Raw_Data!$B:$B,Raw_Data!$KD:$KD),"")</f>
        <v/>
      </c>
      <c r="AA280" s="176" t="str">
        <f>IFERROR(_xlfn.XLOOKUP($A280,Raw_Data!$B:$B,Raw_Data!$KF:$KF),"")</f>
        <v/>
      </c>
      <c r="AB280" s="176" t="str">
        <f>IFERROR(_xlfn.XLOOKUP($A280,Raw_Data!$B:$B,Raw_Data!I:I)/1000,"")</f>
        <v/>
      </c>
      <c r="AC280" s="185">
        <f>IFERROR(_xlfn.XLOOKUP($D280,'Modelling New'!$D:$D,'Modelling New'!$P:$P),"")</f>
        <v>4.112903225806452</v>
      </c>
      <c r="AD280" s="176">
        <f>IFERROR(_xlfn.XLOOKUP($D280,'Modelling New'!$D:$D,'Modelling New'!$T:$T)*1000,"")</f>
        <v>225160.03896075379</v>
      </c>
      <c r="AE280" s="186">
        <f>IFERROR(_xlfn.XLOOKUP($D280,'Modelling New'!$D:$D,'Modelling New'!$O:$O),"")</f>
        <v>0.8200852937837797</v>
      </c>
      <c r="AF280" s="186">
        <f>IFERROR(_xlfn.XLOOKUP($D280,'Modelling New'!$D:$D,'Modelling New'!$W:$W),"")</f>
        <v>0.14053881042665581</v>
      </c>
      <c r="AG280" s="186">
        <f>IFERROR(_xlfn.XLOOKUP($D280,'Modelling New'!$D:$D,'Modelling New'!$AE:$AE),"")</f>
        <v>0.995</v>
      </c>
      <c r="AH280" s="186">
        <f>IFERROR(_xlfn.XLOOKUP($D280,'Modelling New'!$D:$D,'Modelling New'!$AF:$AF),"")</f>
        <v>0.995</v>
      </c>
      <c r="AI280" s="177"/>
      <c r="AJ280" s="177"/>
      <c r="AK280" s="238"/>
      <c r="AL280" s="238"/>
      <c r="AM280" s="238"/>
      <c r="AN280" s="187"/>
      <c r="AO280" s="184"/>
      <c r="AP280" s="184"/>
      <c r="AQ280" s="184"/>
      <c r="AR280" s="176">
        <f>IFERROR(_xlfn.XLOOKUP($D279,'Modelling New'!$D:$D,'Modelling New'!$N:$N),"")</f>
        <v>66.754999999999995</v>
      </c>
      <c r="AS280" s="176"/>
    </row>
    <row r="281" spans="1:45" x14ac:dyDescent="0.25">
      <c r="A281" s="175">
        <f t="shared" si="19"/>
        <v>46024</v>
      </c>
      <c r="B281" s="176">
        <f>YEAR(Table13[[#This Row],[Date]])+IF(MONTH(Table13[[#This Row],[Date]])&gt;=4,1,0)</f>
        <v>2026</v>
      </c>
      <c r="C281" s="177">
        <f>YEAR(Table13[[#This Row],[Date]])</f>
        <v>2026</v>
      </c>
      <c r="D281" s="178">
        <f>Table13[[#This Row],[Date]]-DAY(Table13[[#This Row],[Date]])+1</f>
        <v>46023</v>
      </c>
      <c r="E281" s="177">
        <f t="shared" si="16"/>
        <v>31</v>
      </c>
      <c r="F281" s="179" t="str">
        <f>IFERROR(_xlfn.XLOOKUP($A281,Raw_Data!$B:$B,Raw_Data!$KG:$KG),"")</f>
        <v/>
      </c>
      <c r="G281" s="180" t="str">
        <f>IFERROR(_xlfn.XLOOKUP($A281,Raw_Data!$B:$B,Raw_Data!KH:KH),"")</f>
        <v/>
      </c>
      <c r="H281" s="180"/>
      <c r="I281" s="180" t="str">
        <f>IFERROR(_xlfn.XLOOKUP($A281,Raw_Data!$B:$B,Raw_Data!$KI:$KI),"")</f>
        <v/>
      </c>
      <c r="J281" s="180"/>
      <c r="K281" s="180" t="str">
        <f>IFERROR(_xlfn.XLOOKUP($A281,Raw_Data!$B:$B,Raw_Data!KJ:KJ),"")</f>
        <v/>
      </c>
      <c r="L281" s="180" t="str">
        <f>IFERROR(_xlfn.XLOOKUP($A281,Raw_Data!$B:$B,Raw_Data!KK:KK),"")</f>
        <v/>
      </c>
      <c r="M281" s="180" t="str">
        <f>IFERROR(_xlfn.XLOOKUP($A281,Raw_Data!$B:$B,Raw_Data!KL:KL),"")</f>
        <v/>
      </c>
      <c r="N281" s="180" t="str">
        <f>IFERROR(_xlfn.XLOOKUP($A281,Raw_Data!$B:$B,Raw_Data!KM:KM),"")</f>
        <v/>
      </c>
      <c r="O281" s="181" t="str">
        <f>IFERROR(1-SUMIF(PA!$B:$B,$A281,PA!AJ:AJ)/($AA281+SUMIF(PA!$B:$B,$A281,PA!AJ:AJ)),"")</f>
        <v/>
      </c>
      <c r="P281" s="181"/>
      <c r="Q281" s="182"/>
      <c r="R281" s="181" t="str">
        <f>IFERROR(1-SUMIF(GA!$C:$C,$A281,GA!$X:$X)/($AA281+SUMIF(GA!$C:$C,$A281,GA!$X:$X)),"")</f>
        <v/>
      </c>
      <c r="S281" s="177"/>
      <c r="T281" s="182"/>
      <c r="U281" s="183" t="str">
        <f t="shared" si="17"/>
        <v/>
      </c>
      <c r="V281" s="183" t="str">
        <f>IFERROR(_xlfn.XLOOKUP($A281,Raw_Data!$B:$B,Raw_Data!$KQ:$KQ),"")</f>
        <v/>
      </c>
      <c r="W281" s="184" t="str">
        <f t="shared" si="18"/>
        <v/>
      </c>
      <c r="X281" s="176" t="str">
        <f>IFERROR(_xlfn.XLOOKUP($A281,Raw_Data!$B:$B,Raw_Data!$KN:$KN),"")</f>
        <v/>
      </c>
      <c r="Y281" s="176" t="str">
        <f>IFERROR(_xlfn.XLOOKUP($A281,Raw_Data!$B:$B,Raw_Data!$KC:$KC),"")</f>
        <v/>
      </c>
      <c r="Z281" s="176" t="str">
        <f>IFERROR(_xlfn.XLOOKUP($A281,Raw_Data!$B:$B,Raw_Data!$KD:$KD),"")</f>
        <v/>
      </c>
      <c r="AA281" s="176" t="str">
        <f>IFERROR(_xlfn.XLOOKUP($A281,Raw_Data!$B:$B,Raw_Data!$KF:$KF),"")</f>
        <v/>
      </c>
      <c r="AB281" s="176" t="str">
        <f>IFERROR(_xlfn.XLOOKUP($A281,Raw_Data!$B:$B,Raw_Data!I:I)/1000,"")</f>
        <v/>
      </c>
      <c r="AC281" s="185">
        <f>IFERROR(_xlfn.XLOOKUP($D281,'Modelling New'!$D:$D,'Modelling New'!$P:$P),"")</f>
        <v>4.112903225806452</v>
      </c>
      <c r="AD281" s="176">
        <f>IFERROR(_xlfn.XLOOKUP($D281,'Modelling New'!$D:$D,'Modelling New'!$T:$T)*1000,"")</f>
        <v>225160.03896075379</v>
      </c>
      <c r="AE281" s="186">
        <f>IFERROR(_xlfn.XLOOKUP($D281,'Modelling New'!$D:$D,'Modelling New'!$O:$O),"")</f>
        <v>0.8200852937837797</v>
      </c>
      <c r="AF281" s="186">
        <f>IFERROR(_xlfn.XLOOKUP($D281,'Modelling New'!$D:$D,'Modelling New'!$W:$W),"")</f>
        <v>0.14053881042665581</v>
      </c>
      <c r="AG281" s="186">
        <f>IFERROR(_xlfn.XLOOKUP($D281,'Modelling New'!$D:$D,'Modelling New'!$AE:$AE),"")</f>
        <v>0.995</v>
      </c>
      <c r="AH281" s="186">
        <f>IFERROR(_xlfn.XLOOKUP($D281,'Modelling New'!$D:$D,'Modelling New'!$AF:$AF),"")</f>
        <v>0.995</v>
      </c>
      <c r="AI281" s="177"/>
      <c r="AJ281" s="177"/>
      <c r="AK281" s="238"/>
      <c r="AL281" s="238"/>
      <c r="AM281" s="238"/>
      <c r="AN281" s="187"/>
      <c r="AO281" s="184"/>
      <c r="AP281" s="184"/>
      <c r="AQ281" s="184"/>
      <c r="AR281" s="176">
        <f>IFERROR(_xlfn.XLOOKUP($D280,'Modelling New'!$D:$D,'Modelling New'!$N:$N),"")</f>
        <v>66.754999999999995</v>
      </c>
      <c r="AS281" s="176"/>
    </row>
    <row r="282" spans="1:45" x14ac:dyDescent="0.25">
      <c r="A282" s="175">
        <f t="shared" si="19"/>
        <v>46025</v>
      </c>
      <c r="B282" s="176">
        <f>YEAR(Table13[[#This Row],[Date]])+IF(MONTH(Table13[[#This Row],[Date]])&gt;=4,1,0)</f>
        <v>2026</v>
      </c>
      <c r="C282" s="177">
        <f>YEAR(Table13[[#This Row],[Date]])</f>
        <v>2026</v>
      </c>
      <c r="D282" s="178">
        <f>Table13[[#This Row],[Date]]-DAY(Table13[[#This Row],[Date]])+1</f>
        <v>46023</v>
      </c>
      <c r="E282" s="177">
        <f t="shared" si="16"/>
        <v>31</v>
      </c>
      <c r="F282" s="179" t="str">
        <f>IFERROR(_xlfn.XLOOKUP($A282,Raw_Data!$B:$B,Raw_Data!$KG:$KG),"")</f>
        <v/>
      </c>
      <c r="G282" s="180" t="str">
        <f>IFERROR(_xlfn.XLOOKUP($A282,Raw_Data!$B:$B,Raw_Data!KH:KH),"")</f>
        <v/>
      </c>
      <c r="H282" s="180"/>
      <c r="I282" s="180" t="str">
        <f>IFERROR(_xlfn.XLOOKUP($A282,Raw_Data!$B:$B,Raw_Data!$KI:$KI),"")</f>
        <v/>
      </c>
      <c r="J282" s="180"/>
      <c r="K282" s="180" t="str">
        <f>IFERROR(_xlfn.XLOOKUP($A282,Raw_Data!$B:$B,Raw_Data!KJ:KJ),"")</f>
        <v/>
      </c>
      <c r="L282" s="180" t="str">
        <f>IFERROR(_xlfn.XLOOKUP($A282,Raw_Data!$B:$B,Raw_Data!KK:KK),"")</f>
        <v/>
      </c>
      <c r="M282" s="180" t="str">
        <f>IFERROR(_xlfn.XLOOKUP($A282,Raw_Data!$B:$B,Raw_Data!KL:KL),"")</f>
        <v/>
      </c>
      <c r="N282" s="180" t="str">
        <f>IFERROR(_xlfn.XLOOKUP($A282,Raw_Data!$B:$B,Raw_Data!KM:KM),"")</f>
        <v/>
      </c>
      <c r="O282" s="181" t="str">
        <f>IFERROR(1-SUMIF(PA!$B:$B,$A282,PA!AJ:AJ)/($AA282+SUMIF(PA!$B:$B,$A282,PA!AJ:AJ)),"")</f>
        <v/>
      </c>
      <c r="P282" s="181"/>
      <c r="Q282" s="182"/>
      <c r="R282" s="181" t="str">
        <f>IFERROR(1-SUMIF(GA!$C:$C,$A282,GA!$X:$X)/($AA282+SUMIF(GA!$C:$C,$A282,GA!$X:$X)),"")</f>
        <v/>
      </c>
      <c r="S282" s="177"/>
      <c r="T282" s="182"/>
      <c r="U282" s="183" t="str">
        <f t="shared" si="17"/>
        <v/>
      </c>
      <c r="V282" s="183" t="str">
        <f>IFERROR(_xlfn.XLOOKUP($A282,Raw_Data!$B:$B,Raw_Data!$KQ:$KQ),"")</f>
        <v/>
      </c>
      <c r="W282" s="184" t="str">
        <f t="shared" si="18"/>
        <v/>
      </c>
      <c r="X282" s="176" t="str">
        <f>IFERROR(_xlfn.XLOOKUP($A282,Raw_Data!$B:$B,Raw_Data!$KN:$KN),"")</f>
        <v/>
      </c>
      <c r="Y282" s="176" t="str">
        <f>IFERROR(_xlfn.XLOOKUP($A282,Raw_Data!$B:$B,Raw_Data!$KC:$KC),"")</f>
        <v/>
      </c>
      <c r="Z282" s="176" t="str">
        <f>IFERROR(_xlfn.XLOOKUP($A282,Raw_Data!$B:$B,Raw_Data!$KD:$KD),"")</f>
        <v/>
      </c>
      <c r="AA282" s="176" t="str">
        <f>IFERROR(_xlfn.XLOOKUP($A282,Raw_Data!$B:$B,Raw_Data!$KF:$KF),"")</f>
        <v/>
      </c>
      <c r="AB282" s="176" t="str">
        <f>IFERROR(_xlfn.XLOOKUP($A282,Raw_Data!$B:$B,Raw_Data!I:I)/1000,"")</f>
        <v/>
      </c>
      <c r="AC282" s="185">
        <f>IFERROR(_xlfn.XLOOKUP($D282,'Modelling New'!$D:$D,'Modelling New'!$P:$P),"")</f>
        <v>4.112903225806452</v>
      </c>
      <c r="AD282" s="176">
        <f>IFERROR(_xlfn.XLOOKUP($D282,'Modelling New'!$D:$D,'Modelling New'!$T:$T)*1000,"")</f>
        <v>225160.03896075379</v>
      </c>
      <c r="AE282" s="186">
        <f>IFERROR(_xlfn.XLOOKUP($D282,'Modelling New'!$D:$D,'Modelling New'!$O:$O),"")</f>
        <v>0.8200852937837797</v>
      </c>
      <c r="AF282" s="186">
        <f>IFERROR(_xlfn.XLOOKUP($D282,'Modelling New'!$D:$D,'Modelling New'!$W:$W),"")</f>
        <v>0.14053881042665581</v>
      </c>
      <c r="AG282" s="186">
        <f>IFERROR(_xlfn.XLOOKUP($D282,'Modelling New'!$D:$D,'Modelling New'!$AE:$AE),"")</f>
        <v>0.995</v>
      </c>
      <c r="AH282" s="186">
        <f>IFERROR(_xlfn.XLOOKUP($D282,'Modelling New'!$D:$D,'Modelling New'!$AF:$AF),"")</f>
        <v>0.995</v>
      </c>
      <c r="AI282" s="177"/>
      <c r="AJ282" s="177"/>
      <c r="AK282" s="238"/>
      <c r="AL282" s="238"/>
      <c r="AM282" s="238"/>
      <c r="AN282" s="187"/>
      <c r="AO282" s="184"/>
      <c r="AP282" s="184"/>
      <c r="AQ282" s="184"/>
      <c r="AR282" s="176">
        <f>IFERROR(_xlfn.XLOOKUP($D281,'Modelling New'!$D:$D,'Modelling New'!$N:$N),"")</f>
        <v>66.754999999999995</v>
      </c>
      <c r="AS282" s="176"/>
    </row>
    <row r="283" spans="1:45" x14ac:dyDescent="0.25">
      <c r="A283" s="175">
        <f t="shared" si="19"/>
        <v>46026</v>
      </c>
      <c r="B283" s="176">
        <f>YEAR(Table13[[#This Row],[Date]])+IF(MONTH(Table13[[#This Row],[Date]])&gt;=4,1,0)</f>
        <v>2026</v>
      </c>
      <c r="C283" s="177">
        <f>YEAR(Table13[[#This Row],[Date]])</f>
        <v>2026</v>
      </c>
      <c r="D283" s="178">
        <f>Table13[[#This Row],[Date]]-DAY(Table13[[#This Row],[Date]])+1</f>
        <v>46023</v>
      </c>
      <c r="E283" s="177">
        <f t="shared" si="16"/>
        <v>31</v>
      </c>
      <c r="F283" s="179" t="str">
        <f>IFERROR(_xlfn.XLOOKUP($A283,Raw_Data!$B:$B,Raw_Data!$KG:$KG),"")</f>
        <v/>
      </c>
      <c r="G283" s="180" t="str">
        <f>IFERROR(_xlfn.XLOOKUP($A283,Raw_Data!$B:$B,Raw_Data!KH:KH),"")</f>
        <v/>
      </c>
      <c r="H283" s="180"/>
      <c r="I283" s="180" t="str">
        <f>IFERROR(_xlfn.XLOOKUP($A283,Raw_Data!$B:$B,Raw_Data!$KI:$KI),"")</f>
        <v/>
      </c>
      <c r="J283" s="180"/>
      <c r="K283" s="180" t="str">
        <f>IFERROR(_xlfn.XLOOKUP($A283,Raw_Data!$B:$B,Raw_Data!KJ:KJ),"")</f>
        <v/>
      </c>
      <c r="L283" s="180" t="str">
        <f>IFERROR(_xlfn.XLOOKUP($A283,Raw_Data!$B:$B,Raw_Data!KK:KK),"")</f>
        <v/>
      </c>
      <c r="M283" s="180" t="str">
        <f>IFERROR(_xlfn.XLOOKUP($A283,Raw_Data!$B:$B,Raw_Data!KL:KL),"")</f>
        <v/>
      </c>
      <c r="N283" s="180" t="str">
        <f>IFERROR(_xlfn.XLOOKUP($A283,Raw_Data!$B:$B,Raw_Data!KM:KM),"")</f>
        <v/>
      </c>
      <c r="O283" s="181" t="str">
        <f>IFERROR(1-SUMIF(PA!$B:$B,$A283,PA!AJ:AJ)/($AA283+SUMIF(PA!$B:$B,$A283,PA!AJ:AJ)),"")</f>
        <v/>
      </c>
      <c r="P283" s="181"/>
      <c r="Q283" s="182"/>
      <c r="R283" s="181" t="str">
        <f>IFERROR(1-SUMIF(GA!$C:$C,$A283,GA!$X:$X)/($AA283+SUMIF(GA!$C:$C,$A283,GA!$X:$X)),"")</f>
        <v/>
      </c>
      <c r="S283" s="177"/>
      <c r="T283" s="182"/>
      <c r="U283" s="183" t="str">
        <f t="shared" si="17"/>
        <v/>
      </c>
      <c r="V283" s="183" t="str">
        <f>IFERROR(_xlfn.XLOOKUP($A283,Raw_Data!$B:$B,Raw_Data!$KQ:$KQ),"")</f>
        <v/>
      </c>
      <c r="W283" s="184" t="str">
        <f t="shared" si="18"/>
        <v/>
      </c>
      <c r="X283" s="176" t="str">
        <f>IFERROR(_xlfn.XLOOKUP($A283,Raw_Data!$B:$B,Raw_Data!$KN:$KN),"")</f>
        <v/>
      </c>
      <c r="Y283" s="176" t="str">
        <f>IFERROR(_xlfn.XLOOKUP($A283,Raw_Data!$B:$B,Raw_Data!$KC:$KC),"")</f>
        <v/>
      </c>
      <c r="Z283" s="176" t="str">
        <f>IFERROR(_xlfn.XLOOKUP($A283,Raw_Data!$B:$B,Raw_Data!$KD:$KD),"")</f>
        <v/>
      </c>
      <c r="AA283" s="176" t="str">
        <f>IFERROR(_xlfn.XLOOKUP($A283,Raw_Data!$B:$B,Raw_Data!$KF:$KF),"")</f>
        <v/>
      </c>
      <c r="AB283" s="176" t="str">
        <f>IFERROR(_xlfn.XLOOKUP($A283,Raw_Data!$B:$B,Raw_Data!I:I)/1000,"")</f>
        <v/>
      </c>
      <c r="AC283" s="185">
        <f>IFERROR(_xlfn.XLOOKUP($D283,'Modelling New'!$D:$D,'Modelling New'!$P:$P),"")</f>
        <v>4.112903225806452</v>
      </c>
      <c r="AD283" s="176">
        <f>IFERROR(_xlfn.XLOOKUP($D283,'Modelling New'!$D:$D,'Modelling New'!$T:$T)*1000,"")</f>
        <v>225160.03896075379</v>
      </c>
      <c r="AE283" s="186">
        <f>IFERROR(_xlfn.XLOOKUP($D283,'Modelling New'!$D:$D,'Modelling New'!$O:$O),"")</f>
        <v>0.8200852937837797</v>
      </c>
      <c r="AF283" s="186">
        <f>IFERROR(_xlfn.XLOOKUP($D283,'Modelling New'!$D:$D,'Modelling New'!$W:$W),"")</f>
        <v>0.14053881042665581</v>
      </c>
      <c r="AG283" s="186">
        <f>IFERROR(_xlfn.XLOOKUP($D283,'Modelling New'!$D:$D,'Modelling New'!$AE:$AE),"")</f>
        <v>0.995</v>
      </c>
      <c r="AH283" s="186">
        <f>IFERROR(_xlfn.XLOOKUP($D283,'Modelling New'!$D:$D,'Modelling New'!$AF:$AF),"")</f>
        <v>0.995</v>
      </c>
      <c r="AI283" s="177"/>
      <c r="AJ283" s="177"/>
      <c r="AK283" s="238"/>
      <c r="AL283" s="238"/>
      <c r="AM283" s="238"/>
      <c r="AN283" s="187"/>
      <c r="AO283" s="184"/>
      <c r="AP283" s="184"/>
      <c r="AQ283" s="184"/>
      <c r="AR283" s="176">
        <f>IFERROR(_xlfn.XLOOKUP($D282,'Modelling New'!$D:$D,'Modelling New'!$N:$N),"")</f>
        <v>66.754999999999995</v>
      </c>
      <c r="AS283" s="176"/>
    </row>
    <row r="284" spans="1:45" x14ac:dyDescent="0.25">
      <c r="A284" s="175">
        <f t="shared" si="19"/>
        <v>46027</v>
      </c>
      <c r="B284" s="176">
        <f>YEAR(Table13[[#This Row],[Date]])+IF(MONTH(Table13[[#This Row],[Date]])&gt;=4,1,0)</f>
        <v>2026</v>
      </c>
      <c r="C284" s="177">
        <f>YEAR(Table13[[#This Row],[Date]])</f>
        <v>2026</v>
      </c>
      <c r="D284" s="178">
        <f>Table13[[#This Row],[Date]]-DAY(Table13[[#This Row],[Date]])+1</f>
        <v>46023</v>
      </c>
      <c r="E284" s="177">
        <f t="shared" si="16"/>
        <v>31</v>
      </c>
      <c r="F284" s="179" t="str">
        <f>IFERROR(_xlfn.XLOOKUP($A284,Raw_Data!$B:$B,Raw_Data!$KG:$KG),"")</f>
        <v/>
      </c>
      <c r="G284" s="180" t="str">
        <f>IFERROR(_xlfn.XLOOKUP($A284,Raw_Data!$B:$B,Raw_Data!KH:KH),"")</f>
        <v/>
      </c>
      <c r="H284" s="180"/>
      <c r="I284" s="180" t="str">
        <f>IFERROR(_xlfn.XLOOKUP($A284,Raw_Data!$B:$B,Raw_Data!$KI:$KI),"")</f>
        <v/>
      </c>
      <c r="J284" s="180"/>
      <c r="K284" s="180" t="str">
        <f>IFERROR(_xlfn.XLOOKUP($A284,Raw_Data!$B:$B,Raw_Data!KJ:KJ),"")</f>
        <v/>
      </c>
      <c r="L284" s="180" t="str">
        <f>IFERROR(_xlfn.XLOOKUP($A284,Raw_Data!$B:$B,Raw_Data!KK:KK),"")</f>
        <v/>
      </c>
      <c r="M284" s="180" t="str">
        <f>IFERROR(_xlfn.XLOOKUP($A284,Raw_Data!$B:$B,Raw_Data!KL:KL),"")</f>
        <v/>
      </c>
      <c r="N284" s="180" t="str">
        <f>IFERROR(_xlfn.XLOOKUP($A284,Raw_Data!$B:$B,Raw_Data!KM:KM),"")</f>
        <v/>
      </c>
      <c r="O284" s="181" t="str">
        <f>IFERROR(1-SUMIF(PA!$B:$B,$A284,PA!AJ:AJ)/($AA284+SUMIF(PA!$B:$B,$A284,PA!AJ:AJ)),"")</f>
        <v/>
      </c>
      <c r="P284" s="181"/>
      <c r="Q284" s="182"/>
      <c r="R284" s="181" t="str">
        <f>IFERROR(1-SUMIF(GA!$C:$C,$A284,GA!$X:$X)/($AA284+SUMIF(GA!$C:$C,$A284,GA!$X:$X)),"")</f>
        <v/>
      </c>
      <c r="S284" s="177"/>
      <c r="T284" s="182"/>
      <c r="U284" s="183" t="str">
        <f t="shared" si="17"/>
        <v/>
      </c>
      <c r="V284" s="183" t="str">
        <f>IFERROR(_xlfn.XLOOKUP($A284,Raw_Data!$B:$B,Raw_Data!$KQ:$KQ),"")</f>
        <v/>
      </c>
      <c r="W284" s="184" t="str">
        <f t="shared" si="18"/>
        <v/>
      </c>
      <c r="X284" s="176" t="str">
        <f>IFERROR(_xlfn.XLOOKUP($A284,Raw_Data!$B:$B,Raw_Data!$KN:$KN),"")</f>
        <v/>
      </c>
      <c r="Y284" s="176" t="str">
        <f>IFERROR(_xlfn.XLOOKUP($A284,Raw_Data!$B:$B,Raw_Data!$KC:$KC),"")</f>
        <v/>
      </c>
      <c r="Z284" s="176" t="str">
        <f>IFERROR(_xlfn.XLOOKUP($A284,Raw_Data!$B:$B,Raw_Data!$KD:$KD),"")</f>
        <v/>
      </c>
      <c r="AA284" s="176" t="str">
        <f>IFERROR(_xlfn.XLOOKUP($A284,Raw_Data!$B:$B,Raw_Data!$KF:$KF),"")</f>
        <v/>
      </c>
      <c r="AB284" s="176" t="str">
        <f>IFERROR(_xlfn.XLOOKUP($A284,Raw_Data!$B:$B,Raw_Data!I:I)/1000,"")</f>
        <v/>
      </c>
      <c r="AC284" s="185">
        <f>IFERROR(_xlfn.XLOOKUP($D284,'Modelling New'!$D:$D,'Modelling New'!$P:$P),"")</f>
        <v>4.112903225806452</v>
      </c>
      <c r="AD284" s="176">
        <f>IFERROR(_xlfn.XLOOKUP($D284,'Modelling New'!$D:$D,'Modelling New'!$T:$T)*1000,"")</f>
        <v>225160.03896075379</v>
      </c>
      <c r="AE284" s="186">
        <f>IFERROR(_xlfn.XLOOKUP($D284,'Modelling New'!$D:$D,'Modelling New'!$O:$O),"")</f>
        <v>0.8200852937837797</v>
      </c>
      <c r="AF284" s="186">
        <f>IFERROR(_xlfn.XLOOKUP($D284,'Modelling New'!$D:$D,'Modelling New'!$W:$W),"")</f>
        <v>0.14053881042665581</v>
      </c>
      <c r="AG284" s="186">
        <f>IFERROR(_xlfn.XLOOKUP($D284,'Modelling New'!$D:$D,'Modelling New'!$AE:$AE),"")</f>
        <v>0.995</v>
      </c>
      <c r="AH284" s="186">
        <f>IFERROR(_xlfn.XLOOKUP($D284,'Modelling New'!$D:$D,'Modelling New'!$AF:$AF),"")</f>
        <v>0.995</v>
      </c>
      <c r="AI284" s="177"/>
      <c r="AJ284" s="177"/>
      <c r="AK284" s="238"/>
      <c r="AL284" s="238"/>
      <c r="AM284" s="238"/>
      <c r="AN284" s="187"/>
      <c r="AO284" s="184"/>
      <c r="AP284" s="184"/>
      <c r="AQ284" s="184"/>
      <c r="AR284" s="176">
        <f>IFERROR(_xlfn.XLOOKUP($D283,'Modelling New'!$D:$D,'Modelling New'!$N:$N),"")</f>
        <v>66.754999999999995</v>
      </c>
      <c r="AS284" s="176"/>
    </row>
    <row r="285" spans="1:45" x14ac:dyDescent="0.25">
      <c r="A285" s="175">
        <f t="shared" si="19"/>
        <v>46028</v>
      </c>
      <c r="B285" s="176">
        <f>YEAR(Table13[[#This Row],[Date]])+IF(MONTH(Table13[[#This Row],[Date]])&gt;=4,1,0)</f>
        <v>2026</v>
      </c>
      <c r="C285" s="177">
        <f>YEAR(Table13[[#This Row],[Date]])</f>
        <v>2026</v>
      </c>
      <c r="D285" s="178">
        <f>Table13[[#This Row],[Date]]-DAY(Table13[[#This Row],[Date]])+1</f>
        <v>46023</v>
      </c>
      <c r="E285" s="177">
        <f t="shared" si="16"/>
        <v>31</v>
      </c>
      <c r="F285" s="179" t="str">
        <f>IFERROR(_xlfn.XLOOKUP($A285,Raw_Data!$B:$B,Raw_Data!$KG:$KG),"")</f>
        <v/>
      </c>
      <c r="G285" s="180" t="str">
        <f>IFERROR(_xlfn.XLOOKUP($A285,Raw_Data!$B:$B,Raw_Data!KH:KH),"")</f>
        <v/>
      </c>
      <c r="H285" s="180"/>
      <c r="I285" s="180" t="str">
        <f>IFERROR(_xlfn.XLOOKUP($A285,Raw_Data!$B:$B,Raw_Data!$KI:$KI),"")</f>
        <v/>
      </c>
      <c r="J285" s="180"/>
      <c r="K285" s="180" t="str">
        <f>IFERROR(_xlfn.XLOOKUP($A285,Raw_Data!$B:$B,Raw_Data!KJ:KJ),"")</f>
        <v/>
      </c>
      <c r="L285" s="180" t="str">
        <f>IFERROR(_xlfn.XLOOKUP($A285,Raw_Data!$B:$B,Raw_Data!KK:KK),"")</f>
        <v/>
      </c>
      <c r="M285" s="180" t="str">
        <f>IFERROR(_xlfn.XLOOKUP($A285,Raw_Data!$B:$B,Raw_Data!KL:KL),"")</f>
        <v/>
      </c>
      <c r="N285" s="180" t="str">
        <f>IFERROR(_xlfn.XLOOKUP($A285,Raw_Data!$B:$B,Raw_Data!KM:KM),"")</f>
        <v/>
      </c>
      <c r="O285" s="181" t="str">
        <f>IFERROR(1-SUMIF(PA!$B:$B,$A285,PA!AJ:AJ)/($AA285+SUMIF(PA!$B:$B,$A285,PA!AJ:AJ)),"")</f>
        <v/>
      </c>
      <c r="P285" s="181"/>
      <c r="Q285" s="182"/>
      <c r="R285" s="181" t="str">
        <f>IFERROR(1-SUMIF(GA!$C:$C,$A285,GA!$X:$X)/($AA285+SUMIF(GA!$C:$C,$A285,GA!$X:$X)),"")</f>
        <v/>
      </c>
      <c r="S285" s="177"/>
      <c r="T285" s="182"/>
      <c r="U285" s="183" t="str">
        <f t="shared" si="17"/>
        <v/>
      </c>
      <c r="V285" s="183" t="str">
        <f>IFERROR(_xlfn.XLOOKUP($A285,Raw_Data!$B:$B,Raw_Data!$KQ:$KQ),"")</f>
        <v/>
      </c>
      <c r="W285" s="184" t="str">
        <f t="shared" si="18"/>
        <v/>
      </c>
      <c r="X285" s="176" t="str">
        <f>IFERROR(_xlfn.XLOOKUP($A285,Raw_Data!$B:$B,Raw_Data!$KN:$KN),"")</f>
        <v/>
      </c>
      <c r="Y285" s="176" t="str">
        <f>IFERROR(_xlfn.XLOOKUP($A285,Raw_Data!$B:$B,Raw_Data!$KC:$KC),"")</f>
        <v/>
      </c>
      <c r="Z285" s="176" t="str">
        <f>IFERROR(_xlfn.XLOOKUP($A285,Raw_Data!$B:$B,Raw_Data!$KD:$KD),"")</f>
        <v/>
      </c>
      <c r="AA285" s="176" t="str">
        <f>IFERROR(_xlfn.XLOOKUP($A285,Raw_Data!$B:$B,Raw_Data!$KF:$KF),"")</f>
        <v/>
      </c>
      <c r="AB285" s="176" t="str">
        <f>IFERROR(_xlfn.XLOOKUP($A285,Raw_Data!$B:$B,Raw_Data!I:I)/1000,"")</f>
        <v/>
      </c>
      <c r="AC285" s="185">
        <f>IFERROR(_xlfn.XLOOKUP($D285,'Modelling New'!$D:$D,'Modelling New'!$P:$P),"")</f>
        <v>4.112903225806452</v>
      </c>
      <c r="AD285" s="176">
        <f>IFERROR(_xlfn.XLOOKUP($D285,'Modelling New'!$D:$D,'Modelling New'!$T:$T)*1000,"")</f>
        <v>225160.03896075379</v>
      </c>
      <c r="AE285" s="186">
        <f>IFERROR(_xlfn.XLOOKUP($D285,'Modelling New'!$D:$D,'Modelling New'!$O:$O),"")</f>
        <v>0.8200852937837797</v>
      </c>
      <c r="AF285" s="186">
        <f>IFERROR(_xlfn.XLOOKUP($D285,'Modelling New'!$D:$D,'Modelling New'!$W:$W),"")</f>
        <v>0.14053881042665581</v>
      </c>
      <c r="AG285" s="186">
        <f>IFERROR(_xlfn.XLOOKUP($D285,'Modelling New'!$D:$D,'Modelling New'!$AE:$AE),"")</f>
        <v>0.995</v>
      </c>
      <c r="AH285" s="186">
        <f>IFERROR(_xlfn.XLOOKUP($D285,'Modelling New'!$D:$D,'Modelling New'!$AF:$AF),"")</f>
        <v>0.995</v>
      </c>
      <c r="AI285" s="177"/>
      <c r="AJ285" s="177"/>
      <c r="AK285" s="238"/>
      <c r="AL285" s="238"/>
      <c r="AM285" s="238"/>
      <c r="AN285" s="187"/>
      <c r="AO285" s="184"/>
      <c r="AP285" s="184"/>
      <c r="AQ285" s="184"/>
      <c r="AR285" s="176">
        <f>IFERROR(_xlfn.XLOOKUP($D284,'Modelling New'!$D:$D,'Modelling New'!$N:$N),"")</f>
        <v>66.754999999999995</v>
      </c>
      <c r="AS285" s="176"/>
    </row>
    <row r="286" spans="1:45" x14ac:dyDescent="0.25">
      <c r="A286" s="175">
        <f t="shared" si="19"/>
        <v>46029</v>
      </c>
      <c r="B286" s="176">
        <f>YEAR(Table13[[#This Row],[Date]])+IF(MONTH(Table13[[#This Row],[Date]])&gt;=4,1,0)</f>
        <v>2026</v>
      </c>
      <c r="C286" s="177">
        <f>YEAR(Table13[[#This Row],[Date]])</f>
        <v>2026</v>
      </c>
      <c r="D286" s="178">
        <f>Table13[[#This Row],[Date]]-DAY(Table13[[#This Row],[Date]])+1</f>
        <v>46023</v>
      </c>
      <c r="E286" s="177">
        <f t="shared" si="16"/>
        <v>31</v>
      </c>
      <c r="F286" s="179" t="str">
        <f>IFERROR(_xlfn.XLOOKUP($A286,Raw_Data!$B:$B,Raw_Data!$KG:$KG),"")</f>
        <v/>
      </c>
      <c r="G286" s="180" t="str">
        <f>IFERROR(_xlfn.XLOOKUP($A286,Raw_Data!$B:$B,Raw_Data!KH:KH),"")</f>
        <v/>
      </c>
      <c r="H286" s="180"/>
      <c r="I286" s="180" t="str">
        <f>IFERROR(_xlfn.XLOOKUP($A286,Raw_Data!$B:$B,Raw_Data!$KI:$KI),"")</f>
        <v/>
      </c>
      <c r="J286" s="180"/>
      <c r="K286" s="180" t="str">
        <f>IFERROR(_xlfn.XLOOKUP($A286,Raw_Data!$B:$B,Raw_Data!KJ:KJ),"")</f>
        <v/>
      </c>
      <c r="L286" s="180" t="str">
        <f>IFERROR(_xlfn.XLOOKUP($A286,Raw_Data!$B:$B,Raw_Data!KK:KK),"")</f>
        <v/>
      </c>
      <c r="M286" s="180" t="str">
        <f>IFERROR(_xlfn.XLOOKUP($A286,Raw_Data!$B:$B,Raw_Data!KL:KL),"")</f>
        <v/>
      </c>
      <c r="N286" s="180" t="str">
        <f>IFERROR(_xlfn.XLOOKUP($A286,Raw_Data!$B:$B,Raw_Data!KM:KM),"")</f>
        <v/>
      </c>
      <c r="O286" s="181" t="str">
        <f>IFERROR(1-SUMIF(PA!$B:$B,$A286,PA!AJ:AJ)/($AA286+SUMIF(PA!$B:$B,$A286,PA!AJ:AJ)),"")</f>
        <v/>
      </c>
      <c r="P286" s="181"/>
      <c r="Q286" s="182"/>
      <c r="R286" s="181" t="str">
        <f>IFERROR(1-SUMIF(GA!$C:$C,$A286,GA!$X:$X)/($AA286+SUMIF(GA!$C:$C,$A286,GA!$X:$X)),"")</f>
        <v/>
      </c>
      <c r="S286" s="177"/>
      <c r="T286" s="182"/>
      <c r="U286" s="183" t="str">
        <f t="shared" si="17"/>
        <v/>
      </c>
      <c r="V286" s="183" t="str">
        <f>IFERROR(_xlfn.XLOOKUP($A286,Raw_Data!$B:$B,Raw_Data!$KQ:$KQ),"")</f>
        <v/>
      </c>
      <c r="W286" s="184" t="str">
        <f t="shared" si="18"/>
        <v/>
      </c>
      <c r="X286" s="176" t="str">
        <f>IFERROR(_xlfn.XLOOKUP($A286,Raw_Data!$B:$B,Raw_Data!$KN:$KN),"")</f>
        <v/>
      </c>
      <c r="Y286" s="176" t="str">
        <f>IFERROR(_xlfn.XLOOKUP($A286,Raw_Data!$B:$B,Raw_Data!$KC:$KC),"")</f>
        <v/>
      </c>
      <c r="Z286" s="176" t="str">
        <f>IFERROR(_xlfn.XLOOKUP($A286,Raw_Data!$B:$B,Raw_Data!$KD:$KD),"")</f>
        <v/>
      </c>
      <c r="AA286" s="176" t="str">
        <f>IFERROR(_xlfn.XLOOKUP($A286,Raw_Data!$B:$B,Raw_Data!$KF:$KF),"")</f>
        <v/>
      </c>
      <c r="AB286" s="176" t="str">
        <f>IFERROR(_xlfn.XLOOKUP($A286,Raw_Data!$B:$B,Raw_Data!I:I)/1000,"")</f>
        <v/>
      </c>
      <c r="AC286" s="185">
        <f>IFERROR(_xlfn.XLOOKUP($D286,'Modelling New'!$D:$D,'Modelling New'!$P:$P),"")</f>
        <v>4.112903225806452</v>
      </c>
      <c r="AD286" s="176">
        <f>IFERROR(_xlfn.XLOOKUP($D286,'Modelling New'!$D:$D,'Modelling New'!$T:$T)*1000,"")</f>
        <v>225160.03896075379</v>
      </c>
      <c r="AE286" s="186">
        <f>IFERROR(_xlfn.XLOOKUP($D286,'Modelling New'!$D:$D,'Modelling New'!$O:$O),"")</f>
        <v>0.8200852937837797</v>
      </c>
      <c r="AF286" s="186">
        <f>IFERROR(_xlfn.XLOOKUP($D286,'Modelling New'!$D:$D,'Modelling New'!$W:$W),"")</f>
        <v>0.14053881042665581</v>
      </c>
      <c r="AG286" s="186">
        <f>IFERROR(_xlfn.XLOOKUP($D286,'Modelling New'!$D:$D,'Modelling New'!$AE:$AE),"")</f>
        <v>0.995</v>
      </c>
      <c r="AH286" s="186">
        <f>IFERROR(_xlfn.XLOOKUP($D286,'Modelling New'!$D:$D,'Modelling New'!$AF:$AF),"")</f>
        <v>0.995</v>
      </c>
      <c r="AI286" s="177"/>
      <c r="AJ286" s="177"/>
      <c r="AK286" s="238"/>
      <c r="AL286" s="238"/>
      <c r="AM286" s="238"/>
      <c r="AN286" s="187"/>
      <c r="AO286" s="184"/>
      <c r="AP286" s="184"/>
      <c r="AQ286" s="184"/>
      <c r="AR286" s="176">
        <f>IFERROR(_xlfn.XLOOKUP($D285,'Modelling New'!$D:$D,'Modelling New'!$N:$N),"")</f>
        <v>66.754999999999995</v>
      </c>
      <c r="AS286" s="176"/>
    </row>
    <row r="287" spans="1:45" x14ac:dyDescent="0.25">
      <c r="A287" s="175">
        <f t="shared" si="19"/>
        <v>46030</v>
      </c>
      <c r="B287" s="176">
        <f>YEAR(Table13[[#This Row],[Date]])+IF(MONTH(Table13[[#This Row],[Date]])&gt;=4,1,0)</f>
        <v>2026</v>
      </c>
      <c r="C287" s="177">
        <f>YEAR(Table13[[#This Row],[Date]])</f>
        <v>2026</v>
      </c>
      <c r="D287" s="178">
        <f>Table13[[#This Row],[Date]]-DAY(Table13[[#This Row],[Date]])+1</f>
        <v>46023</v>
      </c>
      <c r="E287" s="177">
        <f t="shared" ref="E287:E350" si="20">DAY(EOMONTH(A287,0))</f>
        <v>31</v>
      </c>
      <c r="F287" s="179" t="str">
        <f>IFERROR(_xlfn.XLOOKUP($A287,Raw_Data!$B:$B,Raw_Data!$KG:$KG),"")</f>
        <v/>
      </c>
      <c r="G287" s="180" t="str">
        <f>IFERROR(_xlfn.XLOOKUP($A287,Raw_Data!$B:$B,Raw_Data!KH:KH),"")</f>
        <v/>
      </c>
      <c r="H287" s="180"/>
      <c r="I287" s="180" t="str">
        <f>IFERROR(_xlfn.XLOOKUP($A287,Raw_Data!$B:$B,Raw_Data!$KI:$KI),"")</f>
        <v/>
      </c>
      <c r="J287" s="180"/>
      <c r="K287" s="180" t="str">
        <f>IFERROR(_xlfn.XLOOKUP($A287,Raw_Data!$B:$B,Raw_Data!KJ:KJ),"")</f>
        <v/>
      </c>
      <c r="L287" s="180" t="str">
        <f>IFERROR(_xlfn.XLOOKUP($A287,Raw_Data!$B:$B,Raw_Data!KK:KK),"")</f>
        <v/>
      </c>
      <c r="M287" s="180" t="str">
        <f>IFERROR(_xlfn.XLOOKUP($A287,Raw_Data!$B:$B,Raw_Data!KL:KL),"")</f>
        <v/>
      </c>
      <c r="N287" s="180" t="str">
        <f>IFERROR(_xlfn.XLOOKUP($A287,Raw_Data!$B:$B,Raw_Data!KM:KM),"")</f>
        <v/>
      </c>
      <c r="O287" s="181" t="str">
        <f>IFERROR(1-SUMIF(PA!$B:$B,$A287,PA!AJ:AJ)/($AA287+SUMIF(PA!$B:$B,$A287,PA!AJ:AJ)),"")</f>
        <v/>
      </c>
      <c r="P287" s="181"/>
      <c r="Q287" s="182"/>
      <c r="R287" s="181" t="str">
        <f>IFERROR(1-SUMIF(GA!$C:$C,$A287,GA!$X:$X)/($AA287+SUMIF(GA!$C:$C,$A287,GA!$X:$X)),"")</f>
        <v/>
      </c>
      <c r="S287" s="177"/>
      <c r="T287" s="182"/>
      <c r="U287" s="183" t="str">
        <f t="shared" ref="U287:U350" si="21">IFERROR(AA287/I287/AB287/1000,"")</f>
        <v/>
      </c>
      <c r="V287" s="183" t="str">
        <f>IFERROR(_xlfn.XLOOKUP($A287,Raw_Data!$B:$B,Raw_Data!$KQ:$KQ),"")</f>
        <v/>
      </c>
      <c r="W287" s="184" t="str">
        <f t="shared" ref="W287:W350" si="22">IFERROR(AA287/(24*AB287*1000),"")</f>
        <v/>
      </c>
      <c r="X287" s="176" t="str">
        <f>IFERROR(_xlfn.XLOOKUP($A287,Raw_Data!$B:$B,Raw_Data!$KN:$KN),"")</f>
        <v/>
      </c>
      <c r="Y287" s="176" t="str">
        <f>IFERROR(_xlfn.XLOOKUP($A287,Raw_Data!$B:$B,Raw_Data!$KC:$KC),"")</f>
        <v/>
      </c>
      <c r="Z287" s="176" t="str">
        <f>IFERROR(_xlfn.XLOOKUP($A287,Raw_Data!$B:$B,Raw_Data!$KD:$KD),"")</f>
        <v/>
      </c>
      <c r="AA287" s="176" t="str">
        <f>IFERROR(_xlfn.XLOOKUP($A287,Raw_Data!$B:$B,Raw_Data!$KF:$KF),"")</f>
        <v/>
      </c>
      <c r="AB287" s="176" t="str">
        <f>IFERROR(_xlfn.XLOOKUP($A287,Raw_Data!$B:$B,Raw_Data!I:I)/1000,"")</f>
        <v/>
      </c>
      <c r="AC287" s="185">
        <f>IFERROR(_xlfn.XLOOKUP($D287,'Modelling New'!$D:$D,'Modelling New'!$P:$P),"")</f>
        <v>4.112903225806452</v>
      </c>
      <c r="AD287" s="176">
        <f>IFERROR(_xlfn.XLOOKUP($D287,'Modelling New'!$D:$D,'Modelling New'!$T:$T)*1000,"")</f>
        <v>225160.03896075379</v>
      </c>
      <c r="AE287" s="186">
        <f>IFERROR(_xlfn.XLOOKUP($D287,'Modelling New'!$D:$D,'Modelling New'!$O:$O),"")</f>
        <v>0.8200852937837797</v>
      </c>
      <c r="AF287" s="186">
        <f>IFERROR(_xlfn.XLOOKUP($D287,'Modelling New'!$D:$D,'Modelling New'!$W:$W),"")</f>
        <v>0.14053881042665581</v>
      </c>
      <c r="AG287" s="186">
        <f>IFERROR(_xlfn.XLOOKUP($D287,'Modelling New'!$D:$D,'Modelling New'!$AE:$AE),"")</f>
        <v>0.995</v>
      </c>
      <c r="AH287" s="186">
        <f>IFERROR(_xlfn.XLOOKUP($D287,'Modelling New'!$D:$D,'Modelling New'!$AF:$AF),"")</f>
        <v>0.995</v>
      </c>
      <c r="AI287" s="177"/>
      <c r="AJ287" s="177"/>
      <c r="AK287" s="238"/>
      <c r="AL287" s="238"/>
      <c r="AM287" s="238"/>
      <c r="AN287" s="187"/>
      <c r="AO287" s="184"/>
      <c r="AP287" s="184"/>
      <c r="AQ287" s="184"/>
      <c r="AR287" s="176">
        <f>IFERROR(_xlfn.XLOOKUP($D286,'Modelling New'!$D:$D,'Modelling New'!$N:$N),"")</f>
        <v>66.754999999999995</v>
      </c>
      <c r="AS287" s="176"/>
    </row>
    <row r="288" spans="1:45" x14ac:dyDescent="0.25">
      <c r="A288" s="175">
        <f t="shared" si="19"/>
        <v>46031</v>
      </c>
      <c r="B288" s="176">
        <f>YEAR(Table13[[#This Row],[Date]])+IF(MONTH(Table13[[#This Row],[Date]])&gt;=4,1,0)</f>
        <v>2026</v>
      </c>
      <c r="C288" s="177">
        <f>YEAR(Table13[[#This Row],[Date]])</f>
        <v>2026</v>
      </c>
      <c r="D288" s="178">
        <f>Table13[[#This Row],[Date]]-DAY(Table13[[#This Row],[Date]])+1</f>
        <v>46023</v>
      </c>
      <c r="E288" s="177">
        <f t="shared" si="20"/>
        <v>31</v>
      </c>
      <c r="F288" s="179" t="str">
        <f>IFERROR(_xlfn.XLOOKUP($A288,Raw_Data!$B:$B,Raw_Data!$KG:$KG),"")</f>
        <v/>
      </c>
      <c r="G288" s="180" t="str">
        <f>IFERROR(_xlfn.XLOOKUP($A288,Raw_Data!$B:$B,Raw_Data!KH:KH),"")</f>
        <v/>
      </c>
      <c r="H288" s="180"/>
      <c r="I288" s="180" t="str">
        <f>IFERROR(_xlfn.XLOOKUP($A288,Raw_Data!$B:$B,Raw_Data!$KI:$KI),"")</f>
        <v/>
      </c>
      <c r="J288" s="180"/>
      <c r="K288" s="180" t="str">
        <f>IFERROR(_xlfn.XLOOKUP($A288,Raw_Data!$B:$B,Raw_Data!KJ:KJ),"")</f>
        <v/>
      </c>
      <c r="L288" s="180" t="str">
        <f>IFERROR(_xlfn.XLOOKUP($A288,Raw_Data!$B:$B,Raw_Data!KK:KK),"")</f>
        <v/>
      </c>
      <c r="M288" s="180" t="str">
        <f>IFERROR(_xlfn.XLOOKUP($A288,Raw_Data!$B:$B,Raw_Data!KL:KL),"")</f>
        <v/>
      </c>
      <c r="N288" s="180" t="str">
        <f>IFERROR(_xlfn.XLOOKUP($A288,Raw_Data!$B:$B,Raw_Data!KM:KM),"")</f>
        <v/>
      </c>
      <c r="O288" s="181" t="str">
        <f>IFERROR(1-SUMIF(PA!$B:$B,$A288,PA!AJ:AJ)/($AA288+SUMIF(PA!$B:$B,$A288,PA!AJ:AJ)),"")</f>
        <v/>
      </c>
      <c r="P288" s="181"/>
      <c r="Q288" s="182"/>
      <c r="R288" s="181" t="str">
        <f>IFERROR(1-SUMIF(GA!$C:$C,$A288,GA!$X:$X)/($AA288+SUMIF(GA!$C:$C,$A288,GA!$X:$X)),"")</f>
        <v/>
      </c>
      <c r="S288" s="177"/>
      <c r="T288" s="182"/>
      <c r="U288" s="183" t="str">
        <f t="shared" si="21"/>
        <v/>
      </c>
      <c r="V288" s="183" t="str">
        <f>IFERROR(_xlfn.XLOOKUP($A288,Raw_Data!$B:$B,Raw_Data!$KQ:$KQ),"")</f>
        <v/>
      </c>
      <c r="W288" s="184" t="str">
        <f t="shared" si="22"/>
        <v/>
      </c>
      <c r="X288" s="176" t="str">
        <f>IFERROR(_xlfn.XLOOKUP($A288,Raw_Data!$B:$B,Raw_Data!$KN:$KN),"")</f>
        <v/>
      </c>
      <c r="Y288" s="176" t="str">
        <f>IFERROR(_xlfn.XLOOKUP($A288,Raw_Data!$B:$B,Raw_Data!$KC:$KC),"")</f>
        <v/>
      </c>
      <c r="Z288" s="176" t="str">
        <f>IFERROR(_xlfn.XLOOKUP($A288,Raw_Data!$B:$B,Raw_Data!$KD:$KD),"")</f>
        <v/>
      </c>
      <c r="AA288" s="176" t="str">
        <f>IFERROR(_xlfn.XLOOKUP($A288,Raw_Data!$B:$B,Raw_Data!$KF:$KF),"")</f>
        <v/>
      </c>
      <c r="AB288" s="176" t="str">
        <f>IFERROR(_xlfn.XLOOKUP($A288,Raw_Data!$B:$B,Raw_Data!I:I)/1000,"")</f>
        <v/>
      </c>
      <c r="AC288" s="185">
        <f>IFERROR(_xlfn.XLOOKUP($D288,'Modelling New'!$D:$D,'Modelling New'!$P:$P),"")</f>
        <v>4.112903225806452</v>
      </c>
      <c r="AD288" s="176">
        <f>IFERROR(_xlfn.XLOOKUP($D288,'Modelling New'!$D:$D,'Modelling New'!$T:$T)*1000,"")</f>
        <v>225160.03896075379</v>
      </c>
      <c r="AE288" s="186">
        <f>IFERROR(_xlfn.XLOOKUP($D288,'Modelling New'!$D:$D,'Modelling New'!$O:$O),"")</f>
        <v>0.8200852937837797</v>
      </c>
      <c r="AF288" s="186">
        <f>IFERROR(_xlfn.XLOOKUP($D288,'Modelling New'!$D:$D,'Modelling New'!$W:$W),"")</f>
        <v>0.14053881042665581</v>
      </c>
      <c r="AG288" s="186">
        <f>IFERROR(_xlfn.XLOOKUP($D288,'Modelling New'!$D:$D,'Modelling New'!$AE:$AE),"")</f>
        <v>0.995</v>
      </c>
      <c r="AH288" s="186">
        <f>IFERROR(_xlfn.XLOOKUP($D288,'Modelling New'!$D:$D,'Modelling New'!$AF:$AF),"")</f>
        <v>0.995</v>
      </c>
      <c r="AI288" s="177"/>
      <c r="AJ288" s="177"/>
      <c r="AK288" s="238"/>
      <c r="AL288" s="238"/>
      <c r="AM288" s="238"/>
      <c r="AN288" s="187"/>
      <c r="AO288" s="184"/>
      <c r="AP288" s="184"/>
      <c r="AQ288" s="184"/>
      <c r="AR288" s="176">
        <f>IFERROR(_xlfn.XLOOKUP($D287,'Modelling New'!$D:$D,'Modelling New'!$N:$N),"")</f>
        <v>66.754999999999995</v>
      </c>
      <c r="AS288" s="176"/>
    </row>
    <row r="289" spans="1:45" x14ac:dyDescent="0.25">
      <c r="A289" s="175">
        <f t="shared" si="19"/>
        <v>46032</v>
      </c>
      <c r="B289" s="176">
        <f>YEAR(Table13[[#This Row],[Date]])+IF(MONTH(Table13[[#This Row],[Date]])&gt;=4,1,0)</f>
        <v>2026</v>
      </c>
      <c r="C289" s="177">
        <f>YEAR(Table13[[#This Row],[Date]])</f>
        <v>2026</v>
      </c>
      <c r="D289" s="178">
        <f>Table13[[#This Row],[Date]]-DAY(Table13[[#This Row],[Date]])+1</f>
        <v>46023</v>
      </c>
      <c r="E289" s="177">
        <f t="shared" si="20"/>
        <v>31</v>
      </c>
      <c r="F289" s="179" t="str">
        <f>IFERROR(_xlfn.XLOOKUP($A289,Raw_Data!$B:$B,Raw_Data!$KG:$KG),"")</f>
        <v/>
      </c>
      <c r="G289" s="180" t="str">
        <f>IFERROR(_xlfn.XLOOKUP($A289,Raw_Data!$B:$B,Raw_Data!KH:KH),"")</f>
        <v/>
      </c>
      <c r="H289" s="180"/>
      <c r="I289" s="180" t="str">
        <f>IFERROR(_xlfn.XLOOKUP($A289,Raw_Data!$B:$B,Raw_Data!$KI:$KI),"")</f>
        <v/>
      </c>
      <c r="J289" s="180"/>
      <c r="K289" s="180" t="str">
        <f>IFERROR(_xlfn.XLOOKUP($A289,Raw_Data!$B:$B,Raw_Data!KJ:KJ),"")</f>
        <v/>
      </c>
      <c r="L289" s="180" t="str">
        <f>IFERROR(_xlfn.XLOOKUP($A289,Raw_Data!$B:$B,Raw_Data!KK:KK),"")</f>
        <v/>
      </c>
      <c r="M289" s="180" t="str">
        <f>IFERROR(_xlfn.XLOOKUP($A289,Raw_Data!$B:$B,Raw_Data!KL:KL),"")</f>
        <v/>
      </c>
      <c r="N289" s="180" t="str">
        <f>IFERROR(_xlfn.XLOOKUP($A289,Raw_Data!$B:$B,Raw_Data!KM:KM),"")</f>
        <v/>
      </c>
      <c r="O289" s="181" t="str">
        <f>IFERROR(1-SUMIF(PA!$B:$B,$A289,PA!AJ:AJ)/($AA289+SUMIF(PA!$B:$B,$A289,PA!AJ:AJ)),"")</f>
        <v/>
      </c>
      <c r="P289" s="181"/>
      <c r="Q289" s="182"/>
      <c r="R289" s="181" t="str">
        <f>IFERROR(1-SUMIF(GA!$C:$C,$A289,GA!$X:$X)/($AA289+SUMIF(GA!$C:$C,$A289,GA!$X:$X)),"")</f>
        <v/>
      </c>
      <c r="S289" s="177"/>
      <c r="T289" s="182"/>
      <c r="U289" s="183" t="str">
        <f t="shared" si="21"/>
        <v/>
      </c>
      <c r="V289" s="183" t="str">
        <f>IFERROR(_xlfn.XLOOKUP($A289,Raw_Data!$B:$B,Raw_Data!$KQ:$KQ),"")</f>
        <v/>
      </c>
      <c r="W289" s="184" t="str">
        <f t="shared" si="22"/>
        <v/>
      </c>
      <c r="X289" s="176" t="str">
        <f>IFERROR(_xlfn.XLOOKUP($A289,Raw_Data!$B:$B,Raw_Data!$KN:$KN),"")</f>
        <v/>
      </c>
      <c r="Y289" s="176" t="str">
        <f>IFERROR(_xlfn.XLOOKUP($A289,Raw_Data!$B:$B,Raw_Data!$KC:$KC),"")</f>
        <v/>
      </c>
      <c r="Z289" s="176" t="str">
        <f>IFERROR(_xlfn.XLOOKUP($A289,Raw_Data!$B:$B,Raw_Data!$KD:$KD),"")</f>
        <v/>
      </c>
      <c r="AA289" s="176" t="str">
        <f>IFERROR(_xlfn.XLOOKUP($A289,Raw_Data!$B:$B,Raw_Data!$KF:$KF),"")</f>
        <v/>
      </c>
      <c r="AB289" s="176" t="str">
        <f>IFERROR(_xlfn.XLOOKUP($A289,Raw_Data!$B:$B,Raw_Data!I:I)/1000,"")</f>
        <v/>
      </c>
      <c r="AC289" s="185">
        <f>IFERROR(_xlfn.XLOOKUP($D289,'Modelling New'!$D:$D,'Modelling New'!$P:$P),"")</f>
        <v>4.112903225806452</v>
      </c>
      <c r="AD289" s="176">
        <f>IFERROR(_xlfn.XLOOKUP($D289,'Modelling New'!$D:$D,'Modelling New'!$T:$T)*1000,"")</f>
        <v>225160.03896075379</v>
      </c>
      <c r="AE289" s="186">
        <f>IFERROR(_xlfn.XLOOKUP($D289,'Modelling New'!$D:$D,'Modelling New'!$O:$O),"")</f>
        <v>0.8200852937837797</v>
      </c>
      <c r="AF289" s="186">
        <f>IFERROR(_xlfn.XLOOKUP($D289,'Modelling New'!$D:$D,'Modelling New'!$W:$W),"")</f>
        <v>0.14053881042665581</v>
      </c>
      <c r="AG289" s="186">
        <f>IFERROR(_xlfn.XLOOKUP($D289,'Modelling New'!$D:$D,'Modelling New'!$AE:$AE),"")</f>
        <v>0.995</v>
      </c>
      <c r="AH289" s="186">
        <f>IFERROR(_xlfn.XLOOKUP($D289,'Modelling New'!$D:$D,'Modelling New'!$AF:$AF),"")</f>
        <v>0.995</v>
      </c>
      <c r="AI289" s="177"/>
      <c r="AJ289" s="177"/>
      <c r="AK289" s="238"/>
      <c r="AL289" s="238"/>
      <c r="AM289" s="238"/>
      <c r="AN289" s="187"/>
      <c r="AO289" s="184"/>
      <c r="AP289" s="184"/>
      <c r="AQ289" s="184"/>
      <c r="AR289" s="176">
        <f>IFERROR(_xlfn.XLOOKUP($D288,'Modelling New'!$D:$D,'Modelling New'!$N:$N),"")</f>
        <v>66.754999999999995</v>
      </c>
      <c r="AS289" s="176"/>
    </row>
    <row r="290" spans="1:45" x14ac:dyDescent="0.25">
      <c r="A290" s="175">
        <f t="shared" si="19"/>
        <v>46033</v>
      </c>
      <c r="B290" s="176">
        <f>YEAR(Table13[[#This Row],[Date]])+IF(MONTH(Table13[[#This Row],[Date]])&gt;=4,1,0)</f>
        <v>2026</v>
      </c>
      <c r="C290" s="177">
        <f>YEAR(Table13[[#This Row],[Date]])</f>
        <v>2026</v>
      </c>
      <c r="D290" s="178">
        <f>Table13[[#This Row],[Date]]-DAY(Table13[[#This Row],[Date]])+1</f>
        <v>46023</v>
      </c>
      <c r="E290" s="177">
        <f t="shared" si="20"/>
        <v>31</v>
      </c>
      <c r="F290" s="179" t="str">
        <f>IFERROR(_xlfn.XLOOKUP($A290,Raw_Data!$B:$B,Raw_Data!$KG:$KG),"")</f>
        <v/>
      </c>
      <c r="G290" s="180" t="str">
        <f>IFERROR(_xlfn.XLOOKUP($A290,Raw_Data!$B:$B,Raw_Data!KH:KH),"")</f>
        <v/>
      </c>
      <c r="H290" s="180"/>
      <c r="I290" s="180" t="str">
        <f>IFERROR(_xlfn.XLOOKUP($A290,Raw_Data!$B:$B,Raw_Data!$KI:$KI),"")</f>
        <v/>
      </c>
      <c r="J290" s="180"/>
      <c r="K290" s="180" t="str">
        <f>IFERROR(_xlfn.XLOOKUP($A290,Raw_Data!$B:$B,Raw_Data!KJ:KJ),"")</f>
        <v/>
      </c>
      <c r="L290" s="180" t="str">
        <f>IFERROR(_xlfn.XLOOKUP($A290,Raw_Data!$B:$B,Raw_Data!KK:KK),"")</f>
        <v/>
      </c>
      <c r="M290" s="180" t="str">
        <f>IFERROR(_xlfn.XLOOKUP($A290,Raw_Data!$B:$B,Raw_Data!KL:KL),"")</f>
        <v/>
      </c>
      <c r="N290" s="180" t="str">
        <f>IFERROR(_xlfn.XLOOKUP($A290,Raw_Data!$B:$B,Raw_Data!KM:KM),"")</f>
        <v/>
      </c>
      <c r="O290" s="181" t="str">
        <f>IFERROR(1-SUMIF(PA!$B:$B,$A290,PA!AJ:AJ)/($AA290+SUMIF(PA!$B:$B,$A290,PA!AJ:AJ)),"")</f>
        <v/>
      </c>
      <c r="P290" s="181"/>
      <c r="Q290" s="182"/>
      <c r="R290" s="181" t="str">
        <f>IFERROR(1-SUMIF(GA!$C:$C,$A290,GA!$X:$X)/($AA290+SUMIF(GA!$C:$C,$A290,GA!$X:$X)),"")</f>
        <v/>
      </c>
      <c r="S290" s="177"/>
      <c r="T290" s="182"/>
      <c r="U290" s="183" t="str">
        <f t="shared" si="21"/>
        <v/>
      </c>
      <c r="V290" s="183" t="str">
        <f>IFERROR(_xlfn.XLOOKUP($A290,Raw_Data!$B:$B,Raw_Data!$KQ:$KQ),"")</f>
        <v/>
      </c>
      <c r="W290" s="184" t="str">
        <f t="shared" si="22"/>
        <v/>
      </c>
      <c r="X290" s="176" t="str">
        <f>IFERROR(_xlfn.XLOOKUP($A290,Raw_Data!$B:$B,Raw_Data!$KN:$KN),"")</f>
        <v/>
      </c>
      <c r="Y290" s="176" t="str">
        <f>IFERROR(_xlfn.XLOOKUP($A290,Raw_Data!$B:$B,Raw_Data!$KC:$KC),"")</f>
        <v/>
      </c>
      <c r="Z290" s="176" t="str">
        <f>IFERROR(_xlfn.XLOOKUP($A290,Raw_Data!$B:$B,Raw_Data!$KD:$KD),"")</f>
        <v/>
      </c>
      <c r="AA290" s="176" t="str">
        <f>IFERROR(_xlfn.XLOOKUP($A290,Raw_Data!$B:$B,Raw_Data!$KF:$KF),"")</f>
        <v/>
      </c>
      <c r="AB290" s="176" t="str">
        <f>IFERROR(_xlfn.XLOOKUP($A290,Raw_Data!$B:$B,Raw_Data!I:I)/1000,"")</f>
        <v/>
      </c>
      <c r="AC290" s="185">
        <f>IFERROR(_xlfn.XLOOKUP($D290,'Modelling New'!$D:$D,'Modelling New'!$P:$P),"")</f>
        <v>4.112903225806452</v>
      </c>
      <c r="AD290" s="176">
        <f>IFERROR(_xlfn.XLOOKUP($D290,'Modelling New'!$D:$D,'Modelling New'!$T:$T)*1000,"")</f>
        <v>225160.03896075379</v>
      </c>
      <c r="AE290" s="186">
        <f>IFERROR(_xlfn.XLOOKUP($D290,'Modelling New'!$D:$D,'Modelling New'!$O:$O),"")</f>
        <v>0.8200852937837797</v>
      </c>
      <c r="AF290" s="186">
        <f>IFERROR(_xlfn.XLOOKUP($D290,'Modelling New'!$D:$D,'Modelling New'!$W:$W),"")</f>
        <v>0.14053881042665581</v>
      </c>
      <c r="AG290" s="186">
        <f>IFERROR(_xlfn.XLOOKUP($D290,'Modelling New'!$D:$D,'Modelling New'!$AE:$AE),"")</f>
        <v>0.995</v>
      </c>
      <c r="AH290" s="186">
        <f>IFERROR(_xlfn.XLOOKUP($D290,'Modelling New'!$D:$D,'Modelling New'!$AF:$AF),"")</f>
        <v>0.995</v>
      </c>
      <c r="AI290" s="177"/>
      <c r="AJ290" s="177"/>
      <c r="AK290" s="238"/>
      <c r="AL290" s="238"/>
      <c r="AM290" s="238"/>
      <c r="AN290" s="187"/>
      <c r="AO290" s="184"/>
      <c r="AP290" s="184"/>
      <c r="AQ290" s="184"/>
      <c r="AR290" s="176">
        <f>IFERROR(_xlfn.XLOOKUP($D289,'Modelling New'!$D:$D,'Modelling New'!$N:$N),"")</f>
        <v>66.754999999999995</v>
      </c>
      <c r="AS290" s="176"/>
    </row>
    <row r="291" spans="1:45" x14ac:dyDescent="0.25">
      <c r="A291" s="175">
        <f t="shared" si="19"/>
        <v>46034</v>
      </c>
      <c r="B291" s="176">
        <f>YEAR(Table13[[#This Row],[Date]])+IF(MONTH(Table13[[#This Row],[Date]])&gt;=4,1,0)</f>
        <v>2026</v>
      </c>
      <c r="C291" s="177">
        <f>YEAR(Table13[[#This Row],[Date]])</f>
        <v>2026</v>
      </c>
      <c r="D291" s="178">
        <f>Table13[[#This Row],[Date]]-DAY(Table13[[#This Row],[Date]])+1</f>
        <v>46023</v>
      </c>
      <c r="E291" s="177">
        <f t="shared" si="20"/>
        <v>31</v>
      </c>
      <c r="F291" s="179" t="str">
        <f>IFERROR(_xlfn.XLOOKUP($A291,Raw_Data!$B:$B,Raw_Data!$KG:$KG),"")</f>
        <v/>
      </c>
      <c r="G291" s="180" t="str">
        <f>IFERROR(_xlfn.XLOOKUP($A291,Raw_Data!$B:$B,Raw_Data!KH:KH),"")</f>
        <v/>
      </c>
      <c r="H291" s="180"/>
      <c r="I291" s="180" t="str">
        <f>IFERROR(_xlfn.XLOOKUP($A291,Raw_Data!$B:$B,Raw_Data!$KI:$KI),"")</f>
        <v/>
      </c>
      <c r="J291" s="180"/>
      <c r="K291" s="180" t="str">
        <f>IFERROR(_xlfn.XLOOKUP($A291,Raw_Data!$B:$B,Raw_Data!KJ:KJ),"")</f>
        <v/>
      </c>
      <c r="L291" s="180" t="str">
        <f>IFERROR(_xlfn.XLOOKUP($A291,Raw_Data!$B:$B,Raw_Data!KK:KK),"")</f>
        <v/>
      </c>
      <c r="M291" s="180" t="str">
        <f>IFERROR(_xlfn.XLOOKUP($A291,Raw_Data!$B:$B,Raw_Data!KL:KL),"")</f>
        <v/>
      </c>
      <c r="N291" s="180" t="str">
        <f>IFERROR(_xlfn.XLOOKUP($A291,Raw_Data!$B:$B,Raw_Data!KM:KM),"")</f>
        <v/>
      </c>
      <c r="O291" s="181" t="str">
        <f>IFERROR(1-SUMIF(PA!$B:$B,$A291,PA!AJ:AJ)/($AA291+SUMIF(PA!$B:$B,$A291,PA!AJ:AJ)),"")</f>
        <v/>
      </c>
      <c r="P291" s="181"/>
      <c r="Q291" s="182"/>
      <c r="R291" s="181" t="str">
        <f>IFERROR(1-SUMIF(GA!$C:$C,$A291,GA!$X:$X)/($AA291+SUMIF(GA!$C:$C,$A291,GA!$X:$X)),"")</f>
        <v/>
      </c>
      <c r="S291" s="177"/>
      <c r="T291" s="182"/>
      <c r="U291" s="183" t="str">
        <f t="shared" si="21"/>
        <v/>
      </c>
      <c r="V291" s="183" t="str">
        <f>IFERROR(_xlfn.XLOOKUP($A291,Raw_Data!$B:$B,Raw_Data!$KQ:$KQ),"")</f>
        <v/>
      </c>
      <c r="W291" s="184" t="str">
        <f t="shared" si="22"/>
        <v/>
      </c>
      <c r="X291" s="176" t="str">
        <f>IFERROR(_xlfn.XLOOKUP($A291,Raw_Data!$B:$B,Raw_Data!$KN:$KN),"")</f>
        <v/>
      </c>
      <c r="Y291" s="176" t="str">
        <f>IFERROR(_xlfn.XLOOKUP($A291,Raw_Data!$B:$B,Raw_Data!$KC:$KC),"")</f>
        <v/>
      </c>
      <c r="Z291" s="176" t="str">
        <f>IFERROR(_xlfn.XLOOKUP($A291,Raw_Data!$B:$B,Raw_Data!$KD:$KD),"")</f>
        <v/>
      </c>
      <c r="AA291" s="176" t="str">
        <f>IFERROR(_xlfn.XLOOKUP($A291,Raw_Data!$B:$B,Raw_Data!$KF:$KF),"")</f>
        <v/>
      </c>
      <c r="AB291" s="176" t="str">
        <f>IFERROR(_xlfn.XLOOKUP($A291,Raw_Data!$B:$B,Raw_Data!I:I)/1000,"")</f>
        <v/>
      </c>
      <c r="AC291" s="185">
        <f>IFERROR(_xlfn.XLOOKUP($D291,'Modelling New'!$D:$D,'Modelling New'!$P:$P),"")</f>
        <v>4.112903225806452</v>
      </c>
      <c r="AD291" s="176">
        <f>IFERROR(_xlfn.XLOOKUP($D291,'Modelling New'!$D:$D,'Modelling New'!$T:$T)*1000,"")</f>
        <v>225160.03896075379</v>
      </c>
      <c r="AE291" s="186">
        <f>IFERROR(_xlfn.XLOOKUP($D291,'Modelling New'!$D:$D,'Modelling New'!$O:$O),"")</f>
        <v>0.8200852937837797</v>
      </c>
      <c r="AF291" s="186">
        <f>IFERROR(_xlfn.XLOOKUP($D291,'Modelling New'!$D:$D,'Modelling New'!$W:$W),"")</f>
        <v>0.14053881042665581</v>
      </c>
      <c r="AG291" s="186">
        <f>IFERROR(_xlfn.XLOOKUP($D291,'Modelling New'!$D:$D,'Modelling New'!$AE:$AE),"")</f>
        <v>0.995</v>
      </c>
      <c r="AH291" s="186">
        <f>IFERROR(_xlfn.XLOOKUP($D291,'Modelling New'!$D:$D,'Modelling New'!$AF:$AF),"")</f>
        <v>0.995</v>
      </c>
      <c r="AI291" s="177"/>
      <c r="AJ291" s="177"/>
      <c r="AK291" s="238"/>
      <c r="AL291" s="238"/>
      <c r="AM291" s="238"/>
      <c r="AN291" s="187"/>
      <c r="AO291" s="184"/>
      <c r="AP291" s="184"/>
      <c r="AQ291" s="184"/>
      <c r="AR291" s="176">
        <f>IFERROR(_xlfn.XLOOKUP($D290,'Modelling New'!$D:$D,'Modelling New'!$N:$N),"")</f>
        <v>66.754999999999995</v>
      </c>
      <c r="AS291" s="176"/>
    </row>
    <row r="292" spans="1:45" x14ac:dyDescent="0.25">
      <c r="A292" s="175">
        <f t="shared" si="19"/>
        <v>46035</v>
      </c>
      <c r="B292" s="176">
        <f>YEAR(Table13[[#This Row],[Date]])+IF(MONTH(Table13[[#This Row],[Date]])&gt;=4,1,0)</f>
        <v>2026</v>
      </c>
      <c r="C292" s="177">
        <f>YEAR(Table13[[#This Row],[Date]])</f>
        <v>2026</v>
      </c>
      <c r="D292" s="178">
        <f>Table13[[#This Row],[Date]]-DAY(Table13[[#This Row],[Date]])+1</f>
        <v>46023</v>
      </c>
      <c r="E292" s="177">
        <f t="shared" si="20"/>
        <v>31</v>
      </c>
      <c r="F292" s="179" t="str">
        <f>IFERROR(_xlfn.XLOOKUP($A292,Raw_Data!$B:$B,Raw_Data!$KG:$KG),"")</f>
        <v/>
      </c>
      <c r="G292" s="180" t="str">
        <f>IFERROR(_xlfn.XLOOKUP($A292,Raw_Data!$B:$B,Raw_Data!KH:KH),"")</f>
        <v/>
      </c>
      <c r="H292" s="180"/>
      <c r="I292" s="180" t="str">
        <f>IFERROR(_xlfn.XLOOKUP($A292,Raw_Data!$B:$B,Raw_Data!$KI:$KI),"")</f>
        <v/>
      </c>
      <c r="J292" s="180"/>
      <c r="K292" s="180" t="str">
        <f>IFERROR(_xlfn.XLOOKUP($A292,Raw_Data!$B:$B,Raw_Data!KJ:KJ),"")</f>
        <v/>
      </c>
      <c r="L292" s="180" t="str">
        <f>IFERROR(_xlfn.XLOOKUP($A292,Raw_Data!$B:$B,Raw_Data!KK:KK),"")</f>
        <v/>
      </c>
      <c r="M292" s="180" t="str">
        <f>IFERROR(_xlfn.XLOOKUP($A292,Raw_Data!$B:$B,Raw_Data!KL:KL),"")</f>
        <v/>
      </c>
      <c r="N292" s="180" t="str">
        <f>IFERROR(_xlfn.XLOOKUP($A292,Raw_Data!$B:$B,Raw_Data!KM:KM),"")</f>
        <v/>
      </c>
      <c r="O292" s="181" t="str">
        <f>IFERROR(1-SUMIF(PA!$B:$B,$A292,PA!AJ:AJ)/($AA292+SUMIF(PA!$B:$B,$A292,PA!AJ:AJ)),"")</f>
        <v/>
      </c>
      <c r="P292" s="181"/>
      <c r="Q292" s="182"/>
      <c r="R292" s="181" t="str">
        <f>IFERROR(1-SUMIF(GA!$C:$C,$A292,GA!$X:$X)/($AA292+SUMIF(GA!$C:$C,$A292,GA!$X:$X)),"")</f>
        <v/>
      </c>
      <c r="S292" s="177"/>
      <c r="T292" s="182"/>
      <c r="U292" s="183" t="str">
        <f t="shared" si="21"/>
        <v/>
      </c>
      <c r="V292" s="183" t="str">
        <f>IFERROR(_xlfn.XLOOKUP($A292,Raw_Data!$B:$B,Raw_Data!$KQ:$KQ),"")</f>
        <v/>
      </c>
      <c r="W292" s="184" t="str">
        <f t="shared" si="22"/>
        <v/>
      </c>
      <c r="X292" s="176" t="str">
        <f>IFERROR(_xlfn.XLOOKUP($A292,Raw_Data!$B:$B,Raw_Data!$KN:$KN),"")</f>
        <v/>
      </c>
      <c r="Y292" s="176" t="str">
        <f>IFERROR(_xlfn.XLOOKUP($A292,Raw_Data!$B:$B,Raw_Data!$KC:$KC),"")</f>
        <v/>
      </c>
      <c r="Z292" s="176" t="str">
        <f>IFERROR(_xlfn.XLOOKUP($A292,Raw_Data!$B:$B,Raw_Data!$KD:$KD),"")</f>
        <v/>
      </c>
      <c r="AA292" s="176" t="str">
        <f>IFERROR(_xlfn.XLOOKUP($A292,Raw_Data!$B:$B,Raw_Data!$KF:$KF),"")</f>
        <v/>
      </c>
      <c r="AB292" s="176" t="str">
        <f>IFERROR(_xlfn.XLOOKUP($A292,Raw_Data!$B:$B,Raw_Data!I:I)/1000,"")</f>
        <v/>
      </c>
      <c r="AC292" s="185">
        <f>IFERROR(_xlfn.XLOOKUP($D292,'Modelling New'!$D:$D,'Modelling New'!$P:$P),"")</f>
        <v>4.112903225806452</v>
      </c>
      <c r="AD292" s="176">
        <f>IFERROR(_xlfn.XLOOKUP($D292,'Modelling New'!$D:$D,'Modelling New'!$T:$T)*1000,"")</f>
        <v>225160.03896075379</v>
      </c>
      <c r="AE292" s="186">
        <f>IFERROR(_xlfn.XLOOKUP($D292,'Modelling New'!$D:$D,'Modelling New'!$O:$O),"")</f>
        <v>0.8200852937837797</v>
      </c>
      <c r="AF292" s="186">
        <f>IFERROR(_xlfn.XLOOKUP($D292,'Modelling New'!$D:$D,'Modelling New'!$W:$W),"")</f>
        <v>0.14053881042665581</v>
      </c>
      <c r="AG292" s="186">
        <f>IFERROR(_xlfn.XLOOKUP($D292,'Modelling New'!$D:$D,'Modelling New'!$AE:$AE),"")</f>
        <v>0.995</v>
      </c>
      <c r="AH292" s="186">
        <f>IFERROR(_xlfn.XLOOKUP($D292,'Modelling New'!$D:$D,'Modelling New'!$AF:$AF),"")</f>
        <v>0.995</v>
      </c>
      <c r="AI292" s="177"/>
      <c r="AJ292" s="177"/>
      <c r="AK292" s="238"/>
      <c r="AL292" s="238"/>
      <c r="AM292" s="238"/>
      <c r="AN292" s="187"/>
      <c r="AO292" s="184"/>
      <c r="AP292" s="184"/>
      <c r="AQ292" s="184"/>
      <c r="AR292" s="176">
        <f>IFERROR(_xlfn.XLOOKUP($D291,'Modelling New'!$D:$D,'Modelling New'!$N:$N),"")</f>
        <v>66.754999999999995</v>
      </c>
      <c r="AS292" s="176"/>
    </row>
    <row r="293" spans="1:45" x14ac:dyDescent="0.25">
      <c r="A293" s="175">
        <f t="shared" si="19"/>
        <v>46036</v>
      </c>
      <c r="B293" s="176">
        <f>YEAR(Table13[[#This Row],[Date]])+IF(MONTH(Table13[[#This Row],[Date]])&gt;=4,1,0)</f>
        <v>2026</v>
      </c>
      <c r="C293" s="177">
        <f>YEAR(Table13[[#This Row],[Date]])</f>
        <v>2026</v>
      </c>
      <c r="D293" s="178">
        <f>Table13[[#This Row],[Date]]-DAY(Table13[[#This Row],[Date]])+1</f>
        <v>46023</v>
      </c>
      <c r="E293" s="177">
        <f t="shared" si="20"/>
        <v>31</v>
      </c>
      <c r="F293" s="179" t="str">
        <f>IFERROR(_xlfn.XLOOKUP($A293,Raw_Data!$B:$B,Raw_Data!$KG:$KG),"")</f>
        <v/>
      </c>
      <c r="G293" s="180" t="str">
        <f>IFERROR(_xlfn.XLOOKUP($A293,Raw_Data!$B:$B,Raw_Data!KH:KH),"")</f>
        <v/>
      </c>
      <c r="H293" s="180"/>
      <c r="I293" s="180" t="str">
        <f>IFERROR(_xlfn.XLOOKUP($A293,Raw_Data!$B:$B,Raw_Data!$KI:$KI),"")</f>
        <v/>
      </c>
      <c r="J293" s="180"/>
      <c r="K293" s="180" t="str">
        <f>IFERROR(_xlfn.XLOOKUP($A293,Raw_Data!$B:$B,Raw_Data!KJ:KJ),"")</f>
        <v/>
      </c>
      <c r="L293" s="180" t="str">
        <f>IFERROR(_xlfn.XLOOKUP($A293,Raw_Data!$B:$B,Raw_Data!KK:KK),"")</f>
        <v/>
      </c>
      <c r="M293" s="180" t="str">
        <f>IFERROR(_xlfn.XLOOKUP($A293,Raw_Data!$B:$B,Raw_Data!KL:KL),"")</f>
        <v/>
      </c>
      <c r="N293" s="180" t="str">
        <f>IFERROR(_xlfn.XLOOKUP($A293,Raw_Data!$B:$B,Raw_Data!KM:KM),"")</f>
        <v/>
      </c>
      <c r="O293" s="181" t="str">
        <f>IFERROR(1-SUMIF(PA!$B:$B,$A293,PA!AJ:AJ)/($AA293+SUMIF(PA!$B:$B,$A293,PA!AJ:AJ)),"")</f>
        <v/>
      </c>
      <c r="P293" s="181"/>
      <c r="Q293" s="182"/>
      <c r="R293" s="181" t="str">
        <f>IFERROR(1-SUMIF(GA!$C:$C,$A293,GA!$X:$X)/($AA293+SUMIF(GA!$C:$C,$A293,GA!$X:$X)),"")</f>
        <v/>
      </c>
      <c r="S293" s="177"/>
      <c r="T293" s="182"/>
      <c r="U293" s="183" t="str">
        <f t="shared" si="21"/>
        <v/>
      </c>
      <c r="V293" s="183" t="str">
        <f>IFERROR(_xlfn.XLOOKUP($A293,Raw_Data!$B:$B,Raw_Data!$KQ:$KQ),"")</f>
        <v/>
      </c>
      <c r="W293" s="184" t="str">
        <f t="shared" si="22"/>
        <v/>
      </c>
      <c r="X293" s="176" t="str">
        <f>IFERROR(_xlfn.XLOOKUP($A293,Raw_Data!$B:$B,Raw_Data!$KN:$KN),"")</f>
        <v/>
      </c>
      <c r="Y293" s="176" t="str">
        <f>IFERROR(_xlfn.XLOOKUP($A293,Raw_Data!$B:$B,Raw_Data!$KC:$KC),"")</f>
        <v/>
      </c>
      <c r="Z293" s="176" t="str">
        <f>IFERROR(_xlfn.XLOOKUP($A293,Raw_Data!$B:$B,Raw_Data!$KD:$KD),"")</f>
        <v/>
      </c>
      <c r="AA293" s="176" t="str">
        <f>IFERROR(_xlfn.XLOOKUP($A293,Raw_Data!$B:$B,Raw_Data!$KF:$KF),"")</f>
        <v/>
      </c>
      <c r="AB293" s="176" t="str">
        <f>IFERROR(_xlfn.XLOOKUP($A293,Raw_Data!$B:$B,Raw_Data!I:I)/1000,"")</f>
        <v/>
      </c>
      <c r="AC293" s="185">
        <f>IFERROR(_xlfn.XLOOKUP($D293,'Modelling New'!$D:$D,'Modelling New'!$P:$P),"")</f>
        <v>4.112903225806452</v>
      </c>
      <c r="AD293" s="176">
        <f>IFERROR(_xlfn.XLOOKUP($D293,'Modelling New'!$D:$D,'Modelling New'!$T:$T)*1000,"")</f>
        <v>225160.03896075379</v>
      </c>
      <c r="AE293" s="186">
        <f>IFERROR(_xlfn.XLOOKUP($D293,'Modelling New'!$D:$D,'Modelling New'!$O:$O),"")</f>
        <v>0.8200852937837797</v>
      </c>
      <c r="AF293" s="186">
        <f>IFERROR(_xlfn.XLOOKUP($D293,'Modelling New'!$D:$D,'Modelling New'!$W:$W),"")</f>
        <v>0.14053881042665581</v>
      </c>
      <c r="AG293" s="186">
        <f>IFERROR(_xlfn.XLOOKUP($D293,'Modelling New'!$D:$D,'Modelling New'!$AE:$AE),"")</f>
        <v>0.995</v>
      </c>
      <c r="AH293" s="186">
        <f>IFERROR(_xlfn.XLOOKUP($D293,'Modelling New'!$D:$D,'Modelling New'!$AF:$AF),"")</f>
        <v>0.995</v>
      </c>
      <c r="AI293" s="177"/>
      <c r="AJ293" s="177"/>
      <c r="AK293" s="238"/>
      <c r="AL293" s="238"/>
      <c r="AM293" s="238"/>
      <c r="AN293" s="187"/>
      <c r="AO293" s="184"/>
      <c r="AP293" s="184"/>
      <c r="AQ293" s="184"/>
      <c r="AR293" s="176">
        <f>IFERROR(_xlfn.XLOOKUP($D292,'Modelling New'!$D:$D,'Modelling New'!$N:$N),"")</f>
        <v>66.754999999999995</v>
      </c>
      <c r="AS293" s="176"/>
    </row>
    <row r="294" spans="1:45" x14ac:dyDescent="0.25">
      <c r="A294" s="175">
        <f t="shared" si="19"/>
        <v>46037</v>
      </c>
      <c r="B294" s="176">
        <f>YEAR(Table13[[#This Row],[Date]])+IF(MONTH(Table13[[#This Row],[Date]])&gt;=4,1,0)</f>
        <v>2026</v>
      </c>
      <c r="C294" s="177">
        <f>YEAR(Table13[[#This Row],[Date]])</f>
        <v>2026</v>
      </c>
      <c r="D294" s="178">
        <f>Table13[[#This Row],[Date]]-DAY(Table13[[#This Row],[Date]])+1</f>
        <v>46023</v>
      </c>
      <c r="E294" s="177">
        <f t="shared" si="20"/>
        <v>31</v>
      </c>
      <c r="F294" s="179" t="str">
        <f>IFERROR(_xlfn.XLOOKUP($A294,Raw_Data!$B:$B,Raw_Data!$KG:$KG),"")</f>
        <v/>
      </c>
      <c r="G294" s="180" t="str">
        <f>IFERROR(_xlfn.XLOOKUP($A294,Raw_Data!$B:$B,Raw_Data!KH:KH),"")</f>
        <v/>
      </c>
      <c r="H294" s="180"/>
      <c r="I294" s="180" t="str">
        <f>IFERROR(_xlfn.XLOOKUP($A294,Raw_Data!$B:$B,Raw_Data!$KI:$KI),"")</f>
        <v/>
      </c>
      <c r="J294" s="180"/>
      <c r="K294" s="180" t="str">
        <f>IFERROR(_xlfn.XLOOKUP($A294,Raw_Data!$B:$B,Raw_Data!KJ:KJ),"")</f>
        <v/>
      </c>
      <c r="L294" s="180" t="str">
        <f>IFERROR(_xlfn.XLOOKUP($A294,Raw_Data!$B:$B,Raw_Data!KK:KK),"")</f>
        <v/>
      </c>
      <c r="M294" s="180" t="str">
        <f>IFERROR(_xlfn.XLOOKUP($A294,Raw_Data!$B:$B,Raw_Data!KL:KL),"")</f>
        <v/>
      </c>
      <c r="N294" s="180" t="str">
        <f>IFERROR(_xlfn.XLOOKUP($A294,Raw_Data!$B:$B,Raw_Data!KM:KM),"")</f>
        <v/>
      </c>
      <c r="O294" s="181" t="str">
        <f>IFERROR(1-SUMIF(PA!$B:$B,$A294,PA!AJ:AJ)/($AA294+SUMIF(PA!$B:$B,$A294,PA!AJ:AJ)),"")</f>
        <v/>
      </c>
      <c r="P294" s="181"/>
      <c r="Q294" s="182"/>
      <c r="R294" s="181" t="str">
        <f>IFERROR(1-SUMIF(GA!$C:$C,$A294,GA!$X:$X)/($AA294+SUMIF(GA!$C:$C,$A294,GA!$X:$X)),"")</f>
        <v/>
      </c>
      <c r="S294" s="177"/>
      <c r="T294" s="182"/>
      <c r="U294" s="183" t="str">
        <f t="shared" si="21"/>
        <v/>
      </c>
      <c r="V294" s="183" t="str">
        <f>IFERROR(_xlfn.XLOOKUP($A294,Raw_Data!$B:$B,Raw_Data!$KQ:$KQ),"")</f>
        <v/>
      </c>
      <c r="W294" s="184" t="str">
        <f t="shared" si="22"/>
        <v/>
      </c>
      <c r="X294" s="176" t="str">
        <f>IFERROR(_xlfn.XLOOKUP($A294,Raw_Data!$B:$B,Raw_Data!$KN:$KN),"")</f>
        <v/>
      </c>
      <c r="Y294" s="176" t="str">
        <f>IFERROR(_xlfn.XLOOKUP($A294,Raw_Data!$B:$B,Raw_Data!$KC:$KC),"")</f>
        <v/>
      </c>
      <c r="Z294" s="176" t="str">
        <f>IFERROR(_xlfn.XLOOKUP($A294,Raw_Data!$B:$B,Raw_Data!$KD:$KD),"")</f>
        <v/>
      </c>
      <c r="AA294" s="176" t="str">
        <f>IFERROR(_xlfn.XLOOKUP($A294,Raw_Data!$B:$B,Raw_Data!$KF:$KF),"")</f>
        <v/>
      </c>
      <c r="AB294" s="176" t="str">
        <f>IFERROR(_xlfn.XLOOKUP($A294,Raw_Data!$B:$B,Raw_Data!I:I)/1000,"")</f>
        <v/>
      </c>
      <c r="AC294" s="185">
        <f>IFERROR(_xlfn.XLOOKUP($D294,'Modelling New'!$D:$D,'Modelling New'!$P:$P),"")</f>
        <v>4.112903225806452</v>
      </c>
      <c r="AD294" s="176">
        <f>IFERROR(_xlfn.XLOOKUP($D294,'Modelling New'!$D:$D,'Modelling New'!$T:$T)*1000,"")</f>
        <v>225160.03896075379</v>
      </c>
      <c r="AE294" s="186">
        <f>IFERROR(_xlfn.XLOOKUP($D294,'Modelling New'!$D:$D,'Modelling New'!$O:$O),"")</f>
        <v>0.8200852937837797</v>
      </c>
      <c r="AF294" s="186">
        <f>IFERROR(_xlfn.XLOOKUP($D294,'Modelling New'!$D:$D,'Modelling New'!$W:$W),"")</f>
        <v>0.14053881042665581</v>
      </c>
      <c r="AG294" s="186">
        <f>IFERROR(_xlfn.XLOOKUP($D294,'Modelling New'!$D:$D,'Modelling New'!$AE:$AE),"")</f>
        <v>0.995</v>
      </c>
      <c r="AH294" s="186">
        <f>IFERROR(_xlfn.XLOOKUP($D294,'Modelling New'!$D:$D,'Modelling New'!$AF:$AF),"")</f>
        <v>0.995</v>
      </c>
      <c r="AI294" s="177"/>
      <c r="AJ294" s="177"/>
      <c r="AK294" s="238"/>
      <c r="AL294" s="238"/>
      <c r="AM294" s="238"/>
      <c r="AN294" s="187"/>
      <c r="AO294" s="184"/>
      <c r="AP294" s="184"/>
      <c r="AQ294" s="184"/>
      <c r="AR294" s="176">
        <f>IFERROR(_xlfn.XLOOKUP($D293,'Modelling New'!$D:$D,'Modelling New'!$N:$N),"")</f>
        <v>66.754999999999995</v>
      </c>
      <c r="AS294" s="176"/>
    </row>
    <row r="295" spans="1:45" x14ac:dyDescent="0.25">
      <c r="A295" s="175">
        <f t="shared" si="19"/>
        <v>46038</v>
      </c>
      <c r="B295" s="176">
        <f>YEAR(Table13[[#This Row],[Date]])+IF(MONTH(Table13[[#This Row],[Date]])&gt;=4,1,0)</f>
        <v>2026</v>
      </c>
      <c r="C295" s="177">
        <f>YEAR(Table13[[#This Row],[Date]])</f>
        <v>2026</v>
      </c>
      <c r="D295" s="178">
        <f>Table13[[#This Row],[Date]]-DAY(Table13[[#This Row],[Date]])+1</f>
        <v>46023</v>
      </c>
      <c r="E295" s="177">
        <f t="shared" si="20"/>
        <v>31</v>
      </c>
      <c r="F295" s="179" t="str">
        <f>IFERROR(_xlfn.XLOOKUP($A295,Raw_Data!$B:$B,Raw_Data!$KG:$KG),"")</f>
        <v/>
      </c>
      <c r="G295" s="180" t="str">
        <f>IFERROR(_xlfn.XLOOKUP($A295,Raw_Data!$B:$B,Raw_Data!KH:KH),"")</f>
        <v/>
      </c>
      <c r="H295" s="180"/>
      <c r="I295" s="180" t="str">
        <f>IFERROR(_xlfn.XLOOKUP($A295,Raw_Data!$B:$B,Raw_Data!$KI:$KI),"")</f>
        <v/>
      </c>
      <c r="J295" s="180"/>
      <c r="K295" s="180" t="str">
        <f>IFERROR(_xlfn.XLOOKUP($A295,Raw_Data!$B:$B,Raw_Data!KJ:KJ),"")</f>
        <v/>
      </c>
      <c r="L295" s="180" t="str">
        <f>IFERROR(_xlfn.XLOOKUP($A295,Raw_Data!$B:$B,Raw_Data!KK:KK),"")</f>
        <v/>
      </c>
      <c r="M295" s="180" t="str">
        <f>IFERROR(_xlfn.XLOOKUP($A295,Raw_Data!$B:$B,Raw_Data!KL:KL),"")</f>
        <v/>
      </c>
      <c r="N295" s="180" t="str">
        <f>IFERROR(_xlfn.XLOOKUP($A295,Raw_Data!$B:$B,Raw_Data!KM:KM),"")</f>
        <v/>
      </c>
      <c r="O295" s="181" t="str">
        <f>IFERROR(1-SUMIF(PA!$B:$B,$A295,PA!AJ:AJ)/($AA295+SUMIF(PA!$B:$B,$A295,PA!AJ:AJ)),"")</f>
        <v/>
      </c>
      <c r="P295" s="181"/>
      <c r="Q295" s="182"/>
      <c r="R295" s="181" t="str">
        <f>IFERROR(1-SUMIF(GA!$C:$C,$A295,GA!$X:$X)/($AA295+SUMIF(GA!$C:$C,$A295,GA!$X:$X)),"")</f>
        <v/>
      </c>
      <c r="S295" s="177"/>
      <c r="T295" s="182"/>
      <c r="U295" s="183" t="str">
        <f t="shared" si="21"/>
        <v/>
      </c>
      <c r="V295" s="183" t="str">
        <f>IFERROR(_xlfn.XLOOKUP($A295,Raw_Data!$B:$B,Raw_Data!$KQ:$KQ),"")</f>
        <v/>
      </c>
      <c r="W295" s="184" t="str">
        <f t="shared" si="22"/>
        <v/>
      </c>
      <c r="X295" s="176" t="str">
        <f>IFERROR(_xlfn.XLOOKUP($A295,Raw_Data!$B:$B,Raw_Data!$KN:$KN),"")</f>
        <v/>
      </c>
      <c r="Y295" s="176" t="str">
        <f>IFERROR(_xlfn.XLOOKUP($A295,Raw_Data!$B:$B,Raw_Data!$KC:$KC),"")</f>
        <v/>
      </c>
      <c r="Z295" s="176" t="str">
        <f>IFERROR(_xlfn.XLOOKUP($A295,Raw_Data!$B:$B,Raw_Data!$KD:$KD),"")</f>
        <v/>
      </c>
      <c r="AA295" s="176" t="str">
        <f>IFERROR(_xlfn.XLOOKUP($A295,Raw_Data!$B:$B,Raw_Data!$KF:$KF),"")</f>
        <v/>
      </c>
      <c r="AB295" s="176" t="str">
        <f>IFERROR(_xlfn.XLOOKUP($A295,Raw_Data!$B:$B,Raw_Data!I:I)/1000,"")</f>
        <v/>
      </c>
      <c r="AC295" s="185">
        <f>IFERROR(_xlfn.XLOOKUP($D295,'Modelling New'!$D:$D,'Modelling New'!$P:$P),"")</f>
        <v>4.112903225806452</v>
      </c>
      <c r="AD295" s="176">
        <f>IFERROR(_xlfn.XLOOKUP($D295,'Modelling New'!$D:$D,'Modelling New'!$T:$T)*1000,"")</f>
        <v>225160.03896075379</v>
      </c>
      <c r="AE295" s="186">
        <f>IFERROR(_xlfn.XLOOKUP($D295,'Modelling New'!$D:$D,'Modelling New'!$O:$O),"")</f>
        <v>0.8200852937837797</v>
      </c>
      <c r="AF295" s="186">
        <f>IFERROR(_xlfn.XLOOKUP($D295,'Modelling New'!$D:$D,'Modelling New'!$W:$W),"")</f>
        <v>0.14053881042665581</v>
      </c>
      <c r="AG295" s="186">
        <f>IFERROR(_xlfn.XLOOKUP($D295,'Modelling New'!$D:$D,'Modelling New'!$AE:$AE),"")</f>
        <v>0.995</v>
      </c>
      <c r="AH295" s="186">
        <f>IFERROR(_xlfn.XLOOKUP($D295,'Modelling New'!$D:$D,'Modelling New'!$AF:$AF),"")</f>
        <v>0.995</v>
      </c>
      <c r="AI295" s="177"/>
      <c r="AJ295" s="177"/>
      <c r="AK295" s="238"/>
      <c r="AL295" s="238"/>
      <c r="AM295" s="238"/>
      <c r="AN295" s="187"/>
      <c r="AO295" s="184"/>
      <c r="AP295" s="184"/>
      <c r="AQ295" s="184"/>
      <c r="AR295" s="176">
        <f>IFERROR(_xlfn.XLOOKUP($D294,'Modelling New'!$D:$D,'Modelling New'!$N:$N),"")</f>
        <v>66.754999999999995</v>
      </c>
      <c r="AS295" s="176"/>
    </row>
    <row r="296" spans="1:45" x14ac:dyDescent="0.25">
      <c r="A296" s="175">
        <f t="shared" si="19"/>
        <v>46039</v>
      </c>
      <c r="B296" s="176">
        <f>YEAR(Table13[[#This Row],[Date]])+IF(MONTH(Table13[[#This Row],[Date]])&gt;=4,1,0)</f>
        <v>2026</v>
      </c>
      <c r="C296" s="177">
        <f>YEAR(Table13[[#This Row],[Date]])</f>
        <v>2026</v>
      </c>
      <c r="D296" s="178">
        <f>Table13[[#This Row],[Date]]-DAY(Table13[[#This Row],[Date]])+1</f>
        <v>46023</v>
      </c>
      <c r="E296" s="177">
        <f t="shared" si="20"/>
        <v>31</v>
      </c>
      <c r="F296" s="179" t="str">
        <f>IFERROR(_xlfn.XLOOKUP($A296,Raw_Data!$B:$B,Raw_Data!$KG:$KG),"")</f>
        <v/>
      </c>
      <c r="G296" s="180" t="str">
        <f>IFERROR(_xlfn.XLOOKUP($A296,Raw_Data!$B:$B,Raw_Data!KH:KH),"")</f>
        <v/>
      </c>
      <c r="H296" s="180"/>
      <c r="I296" s="180" t="str">
        <f>IFERROR(_xlfn.XLOOKUP($A296,Raw_Data!$B:$B,Raw_Data!$KI:$KI),"")</f>
        <v/>
      </c>
      <c r="J296" s="180"/>
      <c r="K296" s="180" t="str">
        <f>IFERROR(_xlfn.XLOOKUP($A296,Raw_Data!$B:$B,Raw_Data!KJ:KJ),"")</f>
        <v/>
      </c>
      <c r="L296" s="180" t="str">
        <f>IFERROR(_xlfn.XLOOKUP($A296,Raw_Data!$B:$B,Raw_Data!KK:KK),"")</f>
        <v/>
      </c>
      <c r="M296" s="180" t="str">
        <f>IFERROR(_xlfn.XLOOKUP($A296,Raw_Data!$B:$B,Raw_Data!KL:KL),"")</f>
        <v/>
      </c>
      <c r="N296" s="180" t="str">
        <f>IFERROR(_xlfn.XLOOKUP($A296,Raw_Data!$B:$B,Raw_Data!KM:KM),"")</f>
        <v/>
      </c>
      <c r="O296" s="181" t="str">
        <f>IFERROR(1-SUMIF(PA!$B:$B,$A296,PA!AJ:AJ)/($AA296+SUMIF(PA!$B:$B,$A296,PA!AJ:AJ)),"")</f>
        <v/>
      </c>
      <c r="P296" s="181"/>
      <c r="Q296" s="182"/>
      <c r="R296" s="181" t="str">
        <f>IFERROR(1-SUMIF(GA!$C:$C,$A296,GA!$X:$X)/($AA296+SUMIF(GA!$C:$C,$A296,GA!$X:$X)),"")</f>
        <v/>
      </c>
      <c r="S296" s="177"/>
      <c r="T296" s="182"/>
      <c r="U296" s="183" t="str">
        <f t="shared" si="21"/>
        <v/>
      </c>
      <c r="V296" s="183" t="str">
        <f>IFERROR(_xlfn.XLOOKUP($A296,Raw_Data!$B:$B,Raw_Data!$KQ:$KQ),"")</f>
        <v/>
      </c>
      <c r="W296" s="184" t="str">
        <f t="shared" si="22"/>
        <v/>
      </c>
      <c r="X296" s="176" t="str">
        <f>IFERROR(_xlfn.XLOOKUP($A296,Raw_Data!$B:$B,Raw_Data!$KN:$KN),"")</f>
        <v/>
      </c>
      <c r="Y296" s="176" t="str">
        <f>IFERROR(_xlfn.XLOOKUP($A296,Raw_Data!$B:$B,Raw_Data!$KC:$KC),"")</f>
        <v/>
      </c>
      <c r="Z296" s="176" t="str">
        <f>IFERROR(_xlfn.XLOOKUP($A296,Raw_Data!$B:$B,Raw_Data!$KD:$KD),"")</f>
        <v/>
      </c>
      <c r="AA296" s="176" t="str">
        <f>IFERROR(_xlfn.XLOOKUP($A296,Raw_Data!$B:$B,Raw_Data!$KF:$KF),"")</f>
        <v/>
      </c>
      <c r="AB296" s="176" t="str">
        <f>IFERROR(_xlfn.XLOOKUP($A296,Raw_Data!$B:$B,Raw_Data!I:I)/1000,"")</f>
        <v/>
      </c>
      <c r="AC296" s="185">
        <f>IFERROR(_xlfn.XLOOKUP($D296,'Modelling New'!$D:$D,'Modelling New'!$P:$P),"")</f>
        <v>4.112903225806452</v>
      </c>
      <c r="AD296" s="176">
        <f>IFERROR(_xlfn.XLOOKUP($D296,'Modelling New'!$D:$D,'Modelling New'!$T:$T)*1000,"")</f>
        <v>225160.03896075379</v>
      </c>
      <c r="AE296" s="186">
        <f>IFERROR(_xlfn.XLOOKUP($D296,'Modelling New'!$D:$D,'Modelling New'!$O:$O),"")</f>
        <v>0.8200852937837797</v>
      </c>
      <c r="AF296" s="186">
        <f>IFERROR(_xlfn.XLOOKUP($D296,'Modelling New'!$D:$D,'Modelling New'!$W:$W),"")</f>
        <v>0.14053881042665581</v>
      </c>
      <c r="AG296" s="186">
        <f>IFERROR(_xlfn.XLOOKUP($D296,'Modelling New'!$D:$D,'Modelling New'!$AE:$AE),"")</f>
        <v>0.995</v>
      </c>
      <c r="AH296" s="186">
        <f>IFERROR(_xlfn.XLOOKUP($D296,'Modelling New'!$D:$D,'Modelling New'!$AF:$AF),"")</f>
        <v>0.995</v>
      </c>
      <c r="AI296" s="177"/>
      <c r="AJ296" s="177"/>
      <c r="AK296" s="238"/>
      <c r="AL296" s="238"/>
      <c r="AM296" s="238"/>
      <c r="AN296" s="187"/>
      <c r="AO296" s="184"/>
      <c r="AP296" s="184"/>
      <c r="AQ296" s="184"/>
      <c r="AR296" s="176">
        <f>IFERROR(_xlfn.XLOOKUP($D295,'Modelling New'!$D:$D,'Modelling New'!$N:$N),"")</f>
        <v>66.754999999999995</v>
      </c>
      <c r="AS296" s="176"/>
    </row>
    <row r="297" spans="1:45" x14ac:dyDescent="0.25">
      <c r="A297" s="175">
        <f t="shared" si="19"/>
        <v>46040</v>
      </c>
      <c r="B297" s="176">
        <f>YEAR(Table13[[#This Row],[Date]])+IF(MONTH(Table13[[#This Row],[Date]])&gt;=4,1,0)</f>
        <v>2026</v>
      </c>
      <c r="C297" s="177">
        <f>YEAR(Table13[[#This Row],[Date]])</f>
        <v>2026</v>
      </c>
      <c r="D297" s="178">
        <f>Table13[[#This Row],[Date]]-DAY(Table13[[#This Row],[Date]])+1</f>
        <v>46023</v>
      </c>
      <c r="E297" s="177">
        <f t="shared" si="20"/>
        <v>31</v>
      </c>
      <c r="F297" s="179" t="str">
        <f>IFERROR(_xlfn.XLOOKUP($A297,Raw_Data!$B:$B,Raw_Data!$KG:$KG),"")</f>
        <v/>
      </c>
      <c r="G297" s="180" t="str">
        <f>IFERROR(_xlfn.XLOOKUP($A297,Raw_Data!$B:$B,Raw_Data!KH:KH),"")</f>
        <v/>
      </c>
      <c r="H297" s="180"/>
      <c r="I297" s="180" t="str">
        <f>IFERROR(_xlfn.XLOOKUP($A297,Raw_Data!$B:$B,Raw_Data!$KI:$KI),"")</f>
        <v/>
      </c>
      <c r="J297" s="180"/>
      <c r="K297" s="180" t="str">
        <f>IFERROR(_xlfn.XLOOKUP($A297,Raw_Data!$B:$B,Raw_Data!KJ:KJ),"")</f>
        <v/>
      </c>
      <c r="L297" s="180" t="str">
        <f>IFERROR(_xlfn.XLOOKUP($A297,Raw_Data!$B:$B,Raw_Data!KK:KK),"")</f>
        <v/>
      </c>
      <c r="M297" s="180" t="str">
        <f>IFERROR(_xlfn.XLOOKUP($A297,Raw_Data!$B:$B,Raw_Data!KL:KL),"")</f>
        <v/>
      </c>
      <c r="N297" s="180" t="str">
        <f>IFERROR(_xlfn.XLOOKUP($A297,Raw_Data!$B:$B,Raw_Data!KM:KM),"")</f>
        <v/>
      </c>
      <c r="O297" s="181" t="str">
        <f>IFERROR(1-SUMIF(PA!$B:$B,$A297,PA!AJ:AJ)/($AA297+SUMIF(PA!$B:$B,$A297,PA!AJ:AJ)),"")</f>
        <v/>
      </c>
      <c r="P297" s="181"/>
      <c r="Q297" s="182"/>
      <c r="R297" s="181" t="str">
        <f>IFERROR(1-SUMIF(GA!$C:$C,$A297,GA!$X:$X)/($AA297+SUMIF(GA!$C:$C,$A297,GA!$X:$X)),"")</f>
        <v/>
      </c>
      <c r="S297" s="177"/>
      <c r="T297" s="182"/>
      <c r="U297" s="183" t="str">
        <f t="shared" si="21"/>
        <v/>
      </c>
      <c r="V297" s="183" t="str">
        <f>IFERROR(_xlfn.XLOOKUP($A297,Raw_Data!$B:$B,Raw_Data!$KQ:$KQ),"")</f>
        <v/>
      </c>
      <c r="W297" s="184" t="str">
        <f t="shared" si="22"/>
        <v/>
      </c>
      <c r="X297" s="176" t="str">
        <f>IFERROR(_xlfn.XLOOKUP($A297,Raw_Data!$B:$B,Raw_Data!$KN:$KN),"")</f>
        <v/>
      </c>
      <c r="Y297" s="176" t="str">
        <f>IFERROR(_xlfn.XLOOKUP($A297,Raw_Data!$B:$B,Raw_Data!$KC:$KC),"")</f>
        <v/>
      </c>
      <c r="Z297" s="176" t="str">
        <f>IFERROR(_xlfn.XLOOKUP($A297,Raw_Data!$B:$B,Raw_Data!$KD:$KD),"")</f>
        <v/>
      </c>
      <c r="AA297" s="176" t="str">
        <f>IFERROR(_xlfn.XLOOKUP($A297,Raw_Data!$B:$B,Raw_Data!$KF:$KF),"")</f>
        <v/>
      </c>
      <c r="AB297" s="176" t="str">
        <f>IFERROR(_xlfn.XLOOKUP($A297,Raw_Data!$B:$B,Raw_Data!I:I)/1000,"")</f>
        <v/>
      </c>
      <c r="AC297" s="185">
        <f>IFERROR(_xlfn.XLOOKUP($D297,'Modelling New'!$D:$D,'Modelling New'!$P:$P),"")</f>
        <v>4.112903225806452</v>
      </c>
      <c r="AD297" s="176">
        <f>IFERROR(_xlfn.XLOOKUP($D297,'Modelling New'!$D:$D,'Modelling New'!$T:$T)*1000,"")</f>
        <v>225160.03896075379</v>
      </c>
      <c r="AE297" s="186">
        <f>IFERROR(_xlfn.XLOOKUP($D297,'Modelling New'!$D:$D,'Modelling New'!$O:$O),"")</f>
        <v>0.8200852937837797</v>
      </c>
      <c r="AF297" s="186">
        <f>IFERROR(_xlfn.XLOOKUP($D297,'Modelling New'!$D:$D,'Modelling New'!$W:$W),"")</f>
        <v>0.14053881042665581</v>
      </c>
      <c r="AG297" s="186">
        <f>IFERROR(_xlfn.XLOOKUP($D297,'Modelling New'!$D:$D,'Modelling New'!$AE:$AE),"")</f>
        <v>0.995</v>
      </c>
      <c r="AH297" s="186">
        <f>IFERROR(_xlfn.XLOOKUP($D297,'Modelling New'!$D:$D,'Modelling New'!$AF:$AF),"")</f>
        <v>0.995</v>
      </c>
      <c r="AI297" s="177"/>
      <c r="AJ297" s="177"/>
      <c r="AK297" s="238"/>
      <c r="AL297" s="238"/>
      <c r="AM297" s="238"/>
      <c r="AN297" s="187"/>
      <c r="AO297" s="184"/>
      <c r="AP297" s="184"/>
      <c r="AQ297" s="184"/>
      <c r="AR297" s="176">
        <f>IFERROR(_xlfn.XLOOKUP($D296,'Modelling New'!$D:$D,'Modelling New'!$N:$N),"")</f>
        <v>66.754999999999995</v>
      </c>
      <c r="AS297" s="176"/>
    </row>
    <row r="298" spans="1:45" x14ac:dyDescent="0.25">
      <c r="A298" s="175">
        <f t="shared" si="19"/>
        <v>46041</v>
      </c>
      <c r="B298" s="176">
        <f>YEAR(Table13[[#This Row],[Date]])+IF(MONTH(Table13[[#This Row],[Date]])&gt;=4,1,0)</f>
        <v>2026</v>
      </c>
      <c r="C298" s="177">
        <f>YEAR(Table13[[#This Row],[Date]])</f>
        <v>2026</v>
      </c>
      <c r="D298" s="178">
        <f>Table13[[#This Row],[Date]]-DAY(Table13[[#This Row],[Date]])+1</f>
        <v>46023</v>
      </c>
      <c r="E298" s="177">
        <f t="shared" si="20"/>
        <v>31</v>
      </c>
      <c r="F298" s="179" t="str">
        <f>IFERROR(_xlfn.XLOOKUP($A298,Raw_Data!$B:$B,Raw_Data!$KG:$KG),"")</f>
        <v/>
      </c>
      <c r="G298" s="180" t="str">
        <f>IFERROR(_xlfn.XLOOKUP($A298,Raw_Data!$B:$B,Raw_Data!KH:KH),"")</f>
        <v/>
      </c>
      <c r="H298" s="180"/>
      <c r="I298" s="180" t="str">
        <f>IFERROR(_xlfn.XLOOKUP($A298,Raw_Data!$B:$B,Raw_Data!$KI:$KI),"")</f>
        <v/>
      </c>
      <c r="J298" s="180"/>
      <c r="K298" s="180" t="str">
        <f>IFERROR(_xlfn.XLOOKUP($A298,Raw_Data!$B:$B,Raw_Data!KJ:KJ),"")</f>
        <v/>
      </c>
      <c r="L298" s="180" t="str">
        <f>IFERROR(_xlfn.XLOOKUP($A298,Raw_Data!$B:$B,Raw_Data!KK:KK),"")</f>
        <v/>
      </c>
      <c r="M298" s="180" t="str">
        <f>IFERROR(_xlfn.XLOOKUP($A298,Raw_Data!$B:$B,Raw_Data!KL:KL),"")</f>
        <v/>
      </c>
      <c r="N298" s="180" t="str">
        <f>IFERROR(_xlfn.XLOOKUP($A298,Raw_Data!$B:$B,Raw_Data!KM:KM),"")</f>
        <v/>
      </c>
      <c r="O298" s="181" t="str">
        <f>IFERROR(1-SUMIF(PA!$B:$B,$A298,PA!AJ:AJ)/($AA298+SUMIF(PA!$B:$B,$A298,PA!AJ:AJ)),"")</f>
        <v/>
      </c>
      <c r="P298" s="181"/>
      <c r="Q298" s="182"/>
      <c r="R298" s="181" t="str">
        <f>IFERROR(1-SUMIF(GA!$C:$C,$A298,GA!$X:$X)/($AA298+SUMIF(GA!$C:$C,$A298,GA!$X:$X)),"")</f>
        <v/>
      </c>
      <c r="S298" s="177"/>
      <c r="T298" s="182"/>
      <c r="U298" s="183" t="str">
        <f t="shared" si="21"/>
        <v/>
      </c>
      <c r="V298" s="183" t="str">
        <f>IFERROR(_xlfn.XLOOKUP($A298,Raw_Data!$B:$B,Raw_Data!$KQ:$KQ),"")</f>
        <v/>
      </c>
      <c r="W298" s="184" t="str">
        <f t="shared" si="22"/>
        <v/>
      </c>
      <c r="X298" s="176" t="str">
        <f>IFERROR(_xlfn.XLOOKUP($A298,Raw_Data!$B:$B,Raw_Data!$KN:$KN),"")</f>
        <v/>
      </c>
      <c r="Y298" s="176" t="str">
        <f>IFERROR(_xlfn.XLOOKUP($A298,Raw_Data!$B:$B,Raw_Data!$KC:$KC),"")</f>
        <v/>
      </c>
      <c r="Z298" s="176" t="str">
        <f>IFERROR(_xlfn.XLOOKUP($A298,Raw_Data!$B:$B,Raw_Data!$KD:$KD),"")</f>
        <v/>
      </c>
      <c r="AA298" s="176" t="str">
        <f>IFERROR(_xlfn.XLOOKUP($A298,Raw_Data!$B:$B,Raw_Data!$KF:$KF),"")</f>
        <v/>
      </c>
      <c r="AB298" s="176" t="str">
        <f>IFERROR(_xlfn.XLOOKUP($A298,Raw_Data!$B:$B,Raw_Data!I:I)/1000,"")</f>
        <v/>
      </c>
      <c r="AC298" s="185">
        <f>IFERROR(_xlfn.XLOOKUP($D298,'Modelling New'!$D:$D,'Modelling New'!$P:$P),"")</f>
        <v>4.112903225806452</v>
      </c>
      <c r="AD298" s="176">
        <f>IFERROR(_xlfn.XLOOKUP($D298,'Modelling New'!$D:$D,'Modelling New'!$T:$T)*1000,"")</f>
        <v>225160.03896075379</v>
      </c>
      <c r="AE298" s="186">
        <f>IFERROR(_xlfn.XLOOKUP($D298,'Modelling New'!$D:$D,'Modelling New'!$O:$O),"")</f>
        <v>0.8200852937837797</v>
      </c>
      <c r="AF298" s="186">
        <f>IFERROR(_xlfn.XLOOKUP($D298,'Modelling New'!$D:$D,'Modelling New'!$W:$W),"")</f>
        <v>0.14053881042665581</v>
      </c>
      <c r="AG298" s="186">
        <f>IFERROR(_xlfn.XLOOKUP($D298,'Modelling New'!$D:$D,'Modelling New'!$AE:$AE),"")</f>
        <v>0.995</v>
      </c>
      <c r="AH298" s="186">
        <f>IFERROR(_xlfn.XLOOKUP($D298,'Modelling New'!$D:$D,'Modelling New'!$AF:$AF),"")</f>
        <v>0.995</v>
      </c>
      <c r="AI298" s="177"/>
      <c r="AJ298" s="177"/>
      <c r="AK298" s="238"/>
      <c r="AL298" s="238"/>
      <c r="AM298" s="238"/>
      <c r="AN298" s="187"/>
      <c r="AO298" s="184"/>
      <c r="AP298" s="184"/>
      <c r="AQ298" s="184"/>
      <c r="AR298" s="176">
        <f>IFERROR(_xlfn.XLOOKUP($D297,'Modelling New'!$D:$D,'Modelling New'!$N:$N),"")</f>
        <v>66.754999999999995</v>
      </c>
      <c r="AS298" s="176"/>
    </row>
    <row r="299" spans="1:45" x14ac:dyDescent="0.25">
      <c r="A299" s="175">
        <f t="shared" si="19"/>
        <v>46042</v>
      </c>
      <c r="B299" s="176">
        <f>YEAR(Table13[[#This Row],[Date]])+IF(MONTH(Table13[[#This Row],[Date]])&gt;=4,1,0)</f>
        <v>2026</v>
      </c>
      <c r="C299" s="177">
        <f>YEAR(Table13[[#This Row],[Date]])</f>
        <v>2026</v>
      </c>
      <c r="D299" s="178">
        <f>Table13[[#This Row],[Date]]-DAY(Table13[[#This Row],[Date]])+1</f>
        <v>46023</v>
      </c>
      <c r="E299" s="177">
        <f t="shared" si="20"/>
        <v>31</v>
      </c>
      <c r="F299" s="179" t="str">
        <f>IFERROR(_xlfn.XLOOKUP($A299,Raw_Data!$B:$B,Raw_Data!$KG:$KG),"")</f>
        <v/>
      </c>
      <c r="G299" s="180" t="str">
        <f>IFERROR(_xlfn.XLOOKUP($A299,Raw_Data!$B:$B,Raw_Data!KH:KH),"")</f>
        <v/>
      </c>
      <c r="H299" s="180"/>
      <c r="I299" s="180" t="str">
        <f>IFERROR(_xlfn.XLOOKUP($A299,Raw_Data!$B:$B,Raw_Data!$KI:$KI),"")</f>
        <v/>
      </c>
      <c r="J299" s="180"/>
      <c r="K299" s="180" t="str">
        <f>IFERROR(_xlfn.XLOOKUP($A299,Raw_Data!$B:$B,Raw_Data!KJ:KJ),"")</f>
        <v/>
      </c>
      <c r="L299" s="180" t="str">
        <f>IFERROR(_xlfn.XLOOKUP($A299,Raw_Data!$B:$B,Raw_Data!KK:KK),"")</f>
        <v/>
      </c>
      <c r="M299" s="180" t="str">
        <f>IFERROR(_xlfn.XLOOKUP($A299,Raw_Data!$B:$B,Raw_Data!KL:KL),"")</f>
        <v/>
      </c>
      <c r="N299" s="180" t="str">
        <f>IFERROR(_xlfn.XLOOKUP($A299,Raw_Data!$B:$B,Raw_Data!KM:KM),"")</f>
        <v/>
      </c>
      <c r="O299" s="181" t="str">
        <f>IFERROR(1-SUMIF(PA!$B:$B,$A299,PA!AJ:AJ)/($AA299+SUMIF(PA!$B:$B,$A299,PA!AJ:AJ)),"")</f>
        <v/>
      </c>
      <c r="P299" s="181"/>
      <c r="Q299" s="182"/>
      <c r="R299" s="181" t="str">
        <f>IFERROR(1-SUMIF(GA!$C:$C,$A299,GA!$X:$X)/($AA299+SUMIF(GA!$C:$C,$A299,GA!$X:$X)),"")</f>
        <v/>
      </c>
      <c r="S299" s="177"/>
      <c r="T299" s="182"/>
      <c r="U299" s="183" t="str">
        <f t="shared" si="21"/>
        <v/>
      </c>
      <c r="V299" s="183" t="str">
        <f>IFERROR(_xlfn.XLOOKUP($A299,Raw_Data!$B:$B,Raw_Data!$KQ:$KQ),"")</f>
        <v/>
      </c>
      <c r="W299" s="184" t="str">
        <f t="shared" si="22"/>
        <v/>
      </c>
      <c r="X299" s="176" t="str">
        <f>IFERROR(_xlfn.XLOOKUP($A299,Raw_Data!$B:$B,Raw_Data!$KN:$KN),"")</f>
        <v/>
      </c>
      <c r="Y299" s="176" t="str">
        <f>IFERROR(_xlfn.XLOOKUP($A299,Raw_Data!$B:$B,Raw_Data!$KC:$KC),"")</f>
        <v/>
      </c>
      <c r="Z299" s="176" t="str">
        <f>IFERROR(_xlfn.XLOOKUP($A299,Raw_Data!$B:$B,Raw_Data!$KD:$KD),"")</f>
        <v/>
      </c>
      <c r="AA299" s="176" t="str">
        <f>IFERROR(_xlfn.XLOOKUP($A299,Raw_Data!$B:$B,Raw_Data!$KF:$KF),"")</f>
        <v/>
      </c>
      <c r="AB299" s="176" t="str">
        <f>IFERROR(_xlfn.XLOOKUP($A299,Raw_Data!$B:$B,Raw_Data!I:I)/1000,"")</f>
        <v/>
      </c>
      <c r="AC299" s="185">
        <f>IFERROR(_xlfn.XLOOKUP($D299,'Modelling New'!$D:$D,'Modelling New'!$P:$P),"")</f>
        <v>4.112903225806452</v>
      </c>
      <c r="AD299" s="176">
        <f>IFERROR(_xlfn.XLOOKUP($D299,'Modelling New'!$D:$D,'Modelling New'!$T:$T)*1000,"")</f>
        <v>225160.03896075379</v>
      </c>
      <c r="AE299" s="186">
        <f>IFERROR(_xlfn.XLOOKUP($D299,'Modelling New'!$D:$D,'Modelling New'!$O:$O),"")</f>
        <v>0.8200852937837797</v>
      </c>
      <c r="AF299" s="186">
        <f>IFERROR(_xlfn.XLOOKUP($D299,'Modelling New'!$D:$D,'Modelling New'!$W:$W),"")</f>
        <v>0.14053881042665581</v>
      </c>
      <c r="AG299" s="186">
        <f>IFERROR(_xlfn.XLOOKUP($D299,'Modelling New'!$D:$D,'Modelling New'!$AE:$AE),"")</f>
        <v>0.995</v>
      </c>
      <c r="AH299" s="186">
        <f>IFERROR(_xlfn.XLOOKUP($D299,'Modelling New'!$D:$D,'Modelling New'!$AF:$AF),"")</f>
        <v>0.995</v>
      </c>
      <c r="AI299" s="177"/>
      <c r="AJ299" s="177"/>
      <c r="AK299" s="238"/>
      <c r="AL299" s="238"/>
      <c r="AM299" s="238"/>
      <c r="AN299" s="187"/>
      <c r="AO299" s="184"/>
      <c r="AP299" s="184"/>
      <c r="AQ299" s="184"/>
      <c r="AR299" s="176">
        <f>IFERROR(_xlfn.XLOOKUP($D298,'Modelling New'!$D:$D,'Modelling New'!$N:$N),"")</f>
        <v>66.754999999999995</v>
      </c>
      <c r="AS299" s="176"/>
    </row>
    <row r="300" spans="1:45" x14ac:dyDescent="0.25">
      <c r="A300" s="175">
        <f t="shared" si="19"/>
        <v>46043</v>
      </c>
      <c r="B300" s="176">
        <f>YEAR(Table13[[#This Row],[Date]])+IF(MONTH(Table13[[#This Row],[Date]])&gt;=4,1,0)</f>
        <v>2026</v>
      </c>
      <c r="C300" s="177">
        <f>YEAR(Table13[[#This Row],[Date]])</f>
        <v>2026</v>
      </c>
      <c r="D300" s="178">
        <f>Table13[[#This Row],[Date]]-DAY(Table13[[#This Row],[Date]])+1</f>
        <v>46023</v>
      </c>
      <c r="E300" s="177">
        <f t="shared" si="20"/>
        <v>31</v>
      </c>
      <c r="F300" s="179" t="str">
        <f>IFERROR(_xlfn.XLOOKUP($A300,Raw_Data!$B:$B,Raw_Data!$KG:$KG),"")</f>
        <v/>
      </c>
      <c r="G300" s="180" t="str">
        <f>IFERROR(_xlfn.XLOOKUP($A300,Raw_Data!$B:$B,Raw_Data!KH:KH),"")</f>
        <v/>
      </c>
      <c r="H300" s="180"/>
      <c r="I300" s="180" t="str">
        <f>IFERROR(_xlfn.XLOOKUP($A300,Raw_Data!$B:$B,Raw_Data!$KI:$KI),"")</f>
        <v/>
      </c>
      <c r="J300" s="180"/>
      <c r="K300" s="180" t="str">
        <f>IFERROR(_xlfn.XLOOKUP($A300,Raw_Data!$B:$B,Raw_Data!KJ:KJ),"")</f>
        <v/>
      </c>
      <c r="L300" s="180" t="str">
        <f>IFERROR(_xlfn.XLOOKUP($A300,Raw_Data!$B:$B,Raw_Data!KK:KK),"")</f>
        <v/>
      </c>
      <c r="M300" s="180" t="str">
        <f>IFERROR(_xlfn.XLOOKUP($A300,Raw_Data!$B:$B,Raw_Data!KL:KL),"")</f>
        <v/>
      </c>
      <c r="N300" s="180" t="str">
        <f>IFERROR(_xlfn.XLOOKUP($A300,Raw_Data!$B:$B,Raw_Data!KM:KM),"")</f>
        <v/>
      </c>
      <c r="O300" s="181" t="str">
        <f>IFERROR(1-SUMIF(PA!$B:$B,$A300,PA!AJ:AJ)/($AA300+SUMIF(PA!$B:$B,$A300,PA!AJ:AJ)),"")</f>
        <v/>
      </c>
      <c r="P300" s="181"/>
      <c r="Q300" s="182"/>
      <c r="R300" s="181" t="str">
        <f>IFERROR(1-SUMIF(GA!$C:$C,$A300,GA!$X:$X)/($AA300+SUMIF(GA!$C:$C,$A300,GA!$X:$X)),"")</f>
        <v/>
      </c>
      <c r="S300" s="177"/>
      <c r="T300" s="182"/>
      <c r="U300" s="183" t="str">
        <f t="shared" si="21"/>
        <v/>
      </c>
      <c r="V300" s="183" t="str">
        <f>IFERROR(_xlfn.XLOOKUP($A300,Raw_Data!$B:$B,Raw_Data!$KQ:$KQ),"")</f>
        <v/>
      </c>
      <c r="W300" s="184" t="str">
        <f t="shared" si="22"/>
        <v/>
      </c>
      <c r="X300" s="176" t="str">
        <f>IFERROR(_xlfn.XLOOKUP($A300,Raw_Data!$B:$B,Raw_Data!$KN:$KN),"")</f>
        <v/>
      </c>
      <c r="Y300" s="176" t="str">
        <f>IFERROR(_xlfn.XLOOKUP($A300,Raw_Data!$B:$B,Raw_Data!$KC:$KC),"")</f>
        <v/>
      </c>
      <c r="Z300" s="176" t="str">
        <f>IFERROR(_xlfn.XLOOKUP($A300,Raw_Data!$B:$B,Raw_Data!$KD:$KD),"")</f>
        <v/>
      </c>
      <c r="AA300" s="176" t="str">
        <f>IFERROR(_xlfn.XLOOKUP($A300,Raw_Data!$B:$B,Raw_Data!$KF:$KF),"")</f>
        <v/>
      </c>
      <c r="AB300" s="176" t="str">
        <f>IFERROR(_xlfn.XLOOKUP($A300,Raw_Data!$B:$B,Raw_Data!I:I)/1000,"")</f>
        <v/>
      </c>
      <c r="AC300" s="185">
        <f>IFERROR(_xlfn.XLOOKUP($D300,'Modelling New'!$D:$D,'Modelling New'!$P:$P),"")</f>
        <v>4.112903225806452</v>
      </c>
      <c r="AD300" s="176">
        <f>IFERROR(_xlfn.XLOOKUP($D300,'Modelling New'!$D:$D,'Modelling New'!$T:$T)*1000,"")</f>
        <v>225160.03896075379</v>
      </c>
      <c r="AE300" s="186">
        <f>IFERROR(_xlfn.XLOOKUP($D300,'Modelling New'!$D:$D,'Modelling New'!$O:$O),"")</f>
        <v>0.8200852937837797</v>
      </c>
      <c r="AF300" s="186">
        <f>IFERROR(_xlfn.XLOOKUP($D300,'Modelling New'!$D:$D,'Modelling New'!$W:$W),"")</f>
        <v>0.14053881042665581</v>
      </c>
      <c r="AG300" s="186">
        <f>IFERROR(_xlfn.XLOOKUP($D300,'Modelling New'!$D:$D,'Modelling New'!$AE:$AE),"")</f>
        <v>0.995</v>
      </c>
      <c r="AH300" s="186">
        <f>IFERROR(_xlfn.XLOOKUP($D300,'Modelling New'!$D:$D,'Modelling New'!$AF:$AF),"")</f>
        <v>0.995</v>
      </c>
      <c r="AI300" s="177"/>
      <c r="AJ300" s="177"/>
      <c r="AK300" s="238"/>
      <c r="AL300" s="238"/>
      <c r="AM300" s="238"/>
      <c r="AN300" s="187"/>
      <c r="AO300" s="184"/>
      <c r="AP300" s="184"/>
      <c r="AQ300" s="184"/>
      <c r="AR300" s="176">
        <f>IFERROR(_xlfn.XLOOKUP($D299,'Modelling New'!$D:$D,'Modelling New'!$N:$N),"")</f>
        <v>66.754999999999995</v>
      </c>
      <c r="AS300" s="176"/>
    </row>
    <row r="301" spans="1:45" x14ac:dyDescent="0.25">
      <c r="A301" s="175">
        <f t="shared" si="19"/>
        <v>46044</v>
      </c>
      <c r="B301" s="176">
        <f>YEAR(Table13[[#This Row],[Date]])+IF(MONTH(Table13[[#This Row],[Date]])&gt;=4,1,0)</f>
        <v>2026</v>
      </c>
      <c r="C301" s="177">
        <f>YEAR(Table13[[#This Row],[Date]])</f>
        <v>2026</v>
      </c>
      <c r="D301" s="178">
        <f>Table13[[#This Row],[Date]]-DAY(Table13[[#This Row],[Date]])+1</f>
        <v>46023</v>
      </c>
      <c r="E301" s="177">
        <f t="shared" si="20"/>
        <v>31</v>
      </c>
      <c r="F301" s="179" t="str">
        <f>IFERROR(_xlfn.XLOOKUP($A301,Raw_Data!$B:$B,Raw_Data!$KG:$KG),"")</f>
        <v/>
      </c>
      <c r="G301" s="180" t="str">
        <f>IFERROR(_xlfn.XLOOKUP($A301,Raw_Data!$B:$B,Raw_Data!KH:KH),"")</f>
        <v/>
      </c>
      <c r="H301" s="180"/>
      <c r="I301" s="180" t="str">
        <f>IFERROR(_xlfn.XLOOKUP($A301,Raw_Data!$B:$B,Raw_Data!$KI:$KI),"")</f>
        <v/>
      </c>
      <c r="J301" s="180"/>
      <c r="K301" s="180" t="str">
        <f>IFERROR(_xlfn.XLOOKUP($A301,Raw_Data!$B:$B,Raw_Data!KJ:KJ),"")</f>
        <v/>
      </c>
      <c r="L301" s="180" t="str">
        <f>IFERROR(_xlfn.XLOOKUP($A301,Raw_Data!$B:$B,Raw_Data!KK:KK),"")</f>
        <v/>
      </c>
      <c r="M301" s="180" t="str">
        <f>IFERROR(_xlfn.XLOOKUP($A301,Raw_Data!$B:$B,Raw_Data!KL:KL),"")</f>
        <v/>
      </c>
      <c r="N301" s="180" t="str">
        <f>IFERROR(_xlfn.XLOOKUP($A301,Raw_Data!$B:$B,Raw_Data!KM:KM),"")</f>
        <v/>
      </c>
      <c r="O301" s="181" t="str">
        <f>IFERROR(1-SUMIF(PA!$B:$B,$A301,PA!AJ:AJ)/($AA301+SUMIF(PA!$B:$B,$A301,PA!AJ:AJ)),"")</f>
        <v/>
      </c>
      <c r="P301" s="181"/>
      <c r="Q301" s="182"/>
      <c r="R301" s="181" t="str">
        <f>IFERROR(1-SUMIF(GA!$C:$C,$A301,GA!$X:$X)/($AA301+SUMIF(GA!$C:$C,$A301,GA!$X:$X)),"")</f>
        <v/>
      </c>
      <c r="S301" s="177"/>
      <c r="T301" s="182"/>
      <c r="U301" s="183" t="str">
        <f t="shared" si="21"/>
        <v/>
      </c>
      <c r="V301" s="183" t="str">
        <f>IFERROR(_xlfn.XLOOKUP($A301,Raw_Data!$B:$B,Raw_Data!$KQ:$KQ),"")</f>
        <v/>
      </c>
      <c r="W301" s="184" t="str">
        <f t="shared" si="22"/>
        <v/>
      </c>
      <c r="X301" s="176" t="str">
        <f>IFERROR(_xlfn.XLOOKUP($A301,Raw_Data!$B:$B,Raw_Data!$KN:$KN),"")</f>
        <v/>
      </c>
      <c r="Y301" s="176" t="str">
        <f>IFERROR(_xlfn.XLOOKUP($A301,Raw_Data!$B:$B,Raw_Data!$KC:$KC),"")</f>
        <v/>
      </c>
      <c r="Z301" s="176" t="str">
        <f>IFERROR(_xlfn.XLOOKUP($A301,Raw_Data!$B:$B,Raw_Data!$KD:$KD),"")</f>
        <v/>
      </c>
      <c r="AA301" s="176" t="str">
        <f>IFERROR(_xlfn.XLOOKUP($A301,Raw_Data!$B:$B,Raw_Data!$KF:$KF),"")</f>
        <v/>
      </c>
      <c r="AB301" s="176" t="str">
        <f>IFERROR(_xlfn.XLOOKUP($A301,Raw_Data!$B:$B,Raw_Data!I:I)/1000,"")</f>
        <v/>
      </c>
      <c r="AC301" s="185">
        <f>IFERROR(_xlfn.XLOOKUP($D301,'Modelling New'!$D:$D,'Modelling New'!$P:$P),"")</f>
        <v>4.112903225806452</v>
      </c>
      <c r="AD301" s="176">
        <f>IFERROR(_xlfn.XLOOKUP($D301,'Modelling New'!$D:$D,'Modelling New'!$T:$T)*1000,"")</f>
        <v>225160.03896075379</v>
      </c>
      <c r="AE301" s="186">
        <f>IFERROR(_xlfn.XLOOKUP($D301,'Modelling New'!$D:$D,'Modelling New'!$O:$O),"")</f>
        <v>0.8200852937837797</v>
      </c>
      <c r="AF301" s="186">
        <f>IFERROR(_xlfn.XLOOKUP($D301,'Modelling New'!$D:$D,'Modelling New'!$W:$W),"")</f>
        <v>0.14053881042665581</v>
      </c>
      <c r="AG301" s="186">
        <f>IFERROR(_xlfn.XLOOKUP($D301,'Modelling New'!$D:$D,'Modelling New'!$AE:$AE),"")</f>
        <v>0.995</v>
      </c>
      <c r="AH301" s="186">
        <f>IFERROR(_xlfn.XLOOKUP($D301,'Modelling New'!$D:$D,'Modelling New'!$AF:$AF),"")</f>
        <v>0.995</v>
      </c>
      <c r="AI301" s="177"/>
      <c r="AJ301" s="177"/>
      <c r="AK301" s="238"/>
      <c r="AL301" s="238"/>
      <c r="AM301" s="238"/>
      <c r="AN301" s="187"/>
      <c r="AO301" s="184"/>
      <c r="AP301" s="184"/>
      <c r="AQ301" s="184"/>
      <c r="AR301" s="176">
        <f>IFERROR(_xlfn.XLOOKUP($D300,'Modelling New'!$D:$D,'Modelling New'!$N:$N),"")</f>
        <v>66.754999999999995</v>
      </c>
      <c r="AS301" s="176"/>
    </row>
    <row r="302" spans="1:45" x14ac:dyDescent="0.25">
      <c r="A302" s="175">
        <f t="shared" si="19"/>
        <v>46045</v>
      </c>
      <c r="B302" s="176">
        <f>YEAR(Table13[[#This Row],[Date]])+IF(MONTH(Table13[[#This Row],[Date]])&gt;=4,1,0)</f>
        <v>2026</v>
      </c>
      <c r="C302" s="177">
        <f>YEAR(Table13[[#This Row],[Date]])</f>
        <v>2026</v>
      </c>
      <c r="D302" s="178">
        <f>Table13[[#This Row],[Date]]-DAY(Table13[[#This Row],[Date]])+1</f>
        <v>46023</v>
      </c>
      <c r="E302" s="177">
        <f t="shared" si="20"/>
        <v>31</v>
      </c>
      <c r="F302" s="179" t="str">
        <f>IFERROR(_xlfn.XLOOKUP($A302,Raw_Data!$B:$B,Raw_Data!$KG:$KG),"")</f>
        <v/>
      </c>
      <c r="G302" s="180" t="str">
        <f>IFERROR(_xlfn.XLOOKUP($A302,Raw_Data!$B:$B,Raw_Data!KH:KH),"")</f>
        <v/>
      </c>
      <c r="H302" s="180"/>
      <c r="I302" s="180" t="str">
        <f>IFERROR(_xlfn.XLOOKUP($A302,Raw_Data!$B:$B,Raw_Data!$KI:$KI),"")</f>
        <v/>
      </c>
      <c r="J302" s="180"/>
      <c r="K302" s="180" t="str">
        <f>IFERROR(_xlfn.XLOOKUP($A302,Raw_Data!$B:$B,Raw_Data!KJ:KJ),"")</f>
        <v/>
      </c>
      <c r="L302" s="180" t="str">
        <f>IFERROR(_xlfn.XLOOKUP($A302,Raw_Data!$B:$B,Raw_Data!KK:KK),"")</f>
        <v/>
      </c>
      <c r="M302" s="180" t="str">
        <f>IFERROR(_xlfn.XLOOKUP($A302,Raw_Data!$B:$B,Raw_Data!KL:KL),"")</f>
        <v/>
      </c>
      <c r="N302" s="180" t="str">
        <f>IFERROR(_xlfn.XLOOKUP($A302,Raw_Data!$B:$B,Raw_Data!KM:KM),"")</f>
        <v/>
      </c>
      <c r="O302" s="181" t="str">
        <f>IFERROR(1-SUMIF(PA!$B:$B,$A302,PA!AJ:AJ)/($AA302+SUMIF(PA!$B:$B,$A302,PA!AJ:AJ)),"")</f>
        <v/>
      </c>
      <c r="P302" s="181"/>
      <c r="Q302" s="182"/>
      <c r="R302" s="181" t="str">
        <f>IFERROR(1-SUMIF(GA!$C:$C,$A302,GA!$X:$X)/($AA302+SUMIF(GA!$C:$C,$A302,GA!$X:$X)),"")</f>
        <v/>
      </c>
      <c r="S302" s="177"/>
      <c r="T302" s="182"/>
      <c r="U302" s="183" t="str">
        <f t="shared" si="21"/>
        <v/>
      </c>
      <c r="V302" s="183" t="str">
        <f>IFERROR(_xlfn.XLOOKUP($A302,Raw_Data!$B:$B,Raw_Data!$KQ:$KQ),"")</f>
        <v/>
      </c>
      <c r="W302" s="184" t="str">
        <f t="shared" si="22"/>
        <v/>
      </c>
      <c r="X302" s="176" t="str">
        <f>IFERROR(_xlfn.XLOOKUP($A302,Raw_Data!$B:$B,Raw_Data!$KN:$KN),"")</f>
        <v/>
      </c>
      <c r="Y302" s="176" t="str">
        <f>IFERROR(_xlfn.XLOOKUP($A302,Raw_Data!$B:$B,Raw_Data!$KC:$KC),"")</f>
        <v/>
      </c>
      <c r="Z302" s="176" t="str">
        <f>IFERROR(_xlfn.XLOOKUP($A302,Raw_Data!$B:$B,Raw_Data!$KD:$KD),"")</f>
        <v/>
      </c>
      <c r="AA302" s="176" t="str">
        <f>IFERROR(_xlfn.XLOOKUP($A302,Raw_Data!$B:$B,Raw_Data!$KF:$KF),"")</f>
        <v/>
      </c>
      <c r="AB302" s="176" t="str">
        <f>IFERROR(_xlfn.XLOOKUP($A302,Raw_Data!$B:$B,Raw_Data!I:I)/1000,"")</f>
        <v/>
      </c>
      <c r="AC302" s="185">
        <f>IFERROR(_xlfn.XLOOKUP($D302,'Modelling New'!$D:$D,'Modelling New'!$P:$P),"")</f>
        <v>4.112903225806452</v>
      </c>
      <c r="AD302" s="176">
        <f>IFERROR(_xlfn.XLOOKUP($D302,'Modelling New'!$D:$D,'Modelling New'!$T:$T)*1000,"")</f>
        <v>225160.03896075379</v>
      </c>
      <c r="AE302" s="186">
        <f>IFERROR(_xlfn.XLOOKUP($D302,'Modelling New'!$D:$D,'Modelling New'!$O:$O),"")</f>
        <v>0.8200852937837797</v>
      </c>
      <c r="AF302" s="186">
        <f>IFERROR(_xlfn.XLOOKUP($D302,'Modelling New'!$D:$D,'Modelling New'!$W:$W),"")</f>
        <v>0.14053881042665581</v>
      </c>
      <c r="AG302" s="186">
        <f>IFERROR(_xlfn.XLOOKUP($D302,'Modelling New'!$D:$D,'Modelling New'!$AE:$AE),"")</f>
        <v>0.995</v>
      </c>
      <c r="AH302" s="186">
        <f>IFERROR(_xlfn.XLOOKUP($D302,'Modelling New'!$D:$D,'Modelling New'!$AF:$AF),"")</f>
        <v>0.995</v>
      </c>
      <c r="AI302" s="177"/>
      <c r="AJ302" s="177"/>
      <c r="AK302" s="238"/>
      <c r="AL302" s="238"/>
      <c r="AM302" s="238"/>
      <c r="AN302" s="187"/>
      <c r="AO302" s="184"/>
      <c r="AP302" s="184"/>
      <c r="AQ302" s="184"/>
      <c r="AR302" s="176">
        <f>IFERROR(_xlfn.XLOOKUP($D301,'Modelling New'!$D:$D,'Modelling New'!$N:$N),"")</f>
        <v>66.754999999999995</v>
      </c>
      <c r="AS302" s="176"/>
    </row>
    <row r="303" spans="1:45" x14ac:dyDescent="0.25">
      <c r="A303" s="175">
        <f t="shared" si="19"/>
        <v>46046</v>
      </c>
      <c r="B303" s="176">
        <f>YEAR(Table13[[#This Row],[Date]])+IF(MONTH(Table13[[#This Row],[Date]])&gt;=4,1,0)</f>
        <v>2026</v>
      </c>
      <c r="C303" s="177">
        <f>YEAR(Table13[[#This Row],[Date]])</f>
        <v>2026</v>
      </c>
      <c r="D303" s="178">
        <f>Table13[[#This Row],[Date]]-DAY(Table13[[#This Row],[Date]])+1</f>
        <v>46023</v>
      </c>
      <c r="E303" s="177">
        <f t="shared" si="20"/>
        <v>31</v>
      </c>
      <c r="F303" s="179" t="str">
        <f>IFERROR(_xlfn.XLOOKUP($A303,Raw_Data!$B:$B,Raw_Data!$KG:$KG),"")</f>
        <v/>
      </c>
      <c r="G303" s="180" t="str">
        <f>IFERROR(_xlfn.XLOOKUP($A303,Raw_Data!$B:$B,Raw_Data!KH:KH),"")</f>
        <v/>
      </c>
      <c r="H303" s="180"/>
      <c r="I303" s="180" t="str">
        <f>IFERROR(_xlfn.XLOOKUP($A303,Raw_Data!$B:$B,Raw_Data!$KI:$KI),"")</f>
        <v/>
      </c>
      <c r="J303" s="180"/>
      <c r="K303" s="180" t="str">
        <f>IFERROR(_xlfn.XLOOKUP($A303,Raw_Data!$B:$B,Raw_Data!KJ:KJ),"")</f>
        <v/>
      </c>
      <c r="L303" s="180" t="str">
        <f>IFERROR(_xlfn.XLOOKUP($A303,Raw_Data!$B:$B,Raw_Data!KK:KK),"")</f>
        <v/>
      </c>
      <c r="M303" s="180" t="str">
        <f>IFERROR(_xlfn.XLOOKUP($A303,Raw_Data!$B:$B,Raw_Data!KL:KL),"")</f>
        <v/>
      </c>
      <c r="N303" s="180" t="str">
        <f>IFERROR(_xlfn.XLOOKUP($A303,Raw_Data!$B:$B,Raw_Data!KM:KM),"")</f>
        <v/>
      </c>
      <c r="O303" s="181" t="str">
        <f>IFERROR(1-SUMIF(PA!$B:$B,$A303,PA!AJ:AJ)/($AA303+SUMIF(PA!$B:$B,$A303,PA!AJ:AJ)),"")</f>
        <v/>
      </c>
      <c r="P303" s="181"/>
      <c r="Q303" s="182"/>
      <c r="R303" s="181" t="str">
        <f>IFERROR(1-SUMIF(GA!$C:$C,$A303,GA!$X:$X)/($AA303+SUMIF(GA!$C:$C,$A303,GA!$X:$X)),"")</f>
        <v/>
      </c>
      <c r="S303" s="177"/>
      <c r="T303" s="182"/>
      <c r="U303" s="183" t="str">
        <f t="shared" si="21"/>
        <v/>
      </c>
      <c r="V303" s="183" t="str">
        <f>IFERROR(_xlfn.XLOOKUP($A303,Raw_Data!$B:$B,Raw_Data!$KQ:$KQ),"")</f>
        <v/>
      </c>
      <c r="W303" s="184" t="str">
        <f t="shared" si="22"/>
        <v/>
      </c>
      <c r="X303" s="176" t="str">
        <f>IFERROR(_xlfn.XLOOKUP($A303,Raw_Data!$B:$B,Raw_Data!$KN:$KN),"")</f>
        <v/>
      </c>
      <c r="Y303" s="176" t="str">
        <f>IFERROR(_xlfn.XLOOKUP($A303,Raw_Data!$B:$B,Raw_Data!$KC:$KC),"")</f>
        <v/>
      </c>
      <c r="Z303" s="176" t="str">
        <f>IFERROR(_xlfn.XLOOKUP($A303,Raw_Data!$B:$B,Raw_Data!$KD:$KD),"")</f>
        <v/>
      </c>
      <c r="AA303" s="176" t="str">
        <f>IFERROR(_xlfn.XLOOKUP($A303,Raw_Data!$B:$B,Raw_Data!$KF:$KF),"")</f>
        <v/>
      </c>
      <c r="AB303" s="176" t="str">
        <f>IFERROR(_xlfn.XLOOKUP($A303,Raw_Data!$B:$B,Raw_Data!I:I)/1000,"")</f>
        <v/>
      </c>
      <c r="AC303" s="185">
        <f>IFERROR(_xlfn.XLOOKUP($D303,'Modelling New'!$D:$D,'Modelling New'!$P:$P),"")</f>
        <v>4.112903225806452</v>
      </c>
      <c r="AD303" s="176">
        <f>IFERROR(_xlfn.XLOOKUP($D303,'Modelling New'!$D:$D,'Modelling New'!$T:$T)*1000,"")</f>
        <v>225160.03896075379</v>
      </c>
      <c r="AE303" s="186">
        <f>IFERROR(_xlfn.XLOOKUP($D303,'Modelling New'!$D:$D,'Modelling New'!$O:$O),"")</f>
        <v>0.8200852937837797</v>
      </c>
      <c r="AF303" s="186">
        <f>IFERROR(_xlfn.XLOOKUP($D303,'Modelling New'!$D:$D,'Modelling New'!$W:$W),"")</f>
        <v>0.14053881042665581</v>
      </c>
      <c r="AG303" s="186">
        <f>IFERROR(_xlfn.XLOOKUP($D303,'Modelling New'!$D:$D,'Modelling New'!$AE:$AE),"")</f>
        <v>0.995</v>
      </c>
      <c r="AH303" s="186">
        <f>IFERROR(_xlfn.XLOOKUP($D303,'Modelling New'!$D:$D,'Modelling New'!$AF:$AF),"")</f>
        <v>0.995</v>
      </c>
      <c r="AI303" s="177"/>
      <c r="AJ303" s="177"/>
      <c r="AK303" s="238"/>
      <c r="AL303" s="238"/>
      <c r="AM303" s="238"/>
      <c r="AN303" s="187"/>
      <c r="AO303" s="184"/>
      <c r="AP303" s="184"/>
      <c r="AQ303" s="184"/>
      <c r="AR303" s="176">
        <f>IFERROR(_xlfn.XLOOKUP($D302,'Modelling New'!$D:$D,'Modelling New'!$N:$N),"")</f>
        <v>66.754999999999995</v>
      </c>
      <c r="AS303" s="176"/>
    </row>
    <row r="304" spans="1:45" x14ac:dyDescent="0.25">
      <c r="A304" s="175">
        <f t="shared" si="19"/>
        <v>46047</v>
      </c>
      <c r="B304" s="176">
        <f>YEAR(Table13[[#This Row],[Date]])+IF(MONTH(Table13[[#This Row],[Date]])&gt;=4,1,0)</f>
        <v>2026</v>
      </c>
      <c r="C304" s="177">
        <f>YEAR(Table13[[#This Row],[Date]])</f>
        <v>2026</v>
      </c>
      <c r="D304" s="178">
        <f>Table13[[#This Row],[Date]]-DAY(Table13[[#This Row],[Date]])+1</f>
        <v>46023</v>
      </c>
      <c r="E304" s="177">
        <f t="shared" si="20"/>
        <v>31</v>
      </c>
      <c r="F304" s="179" t="str">
        <f>IFERROR(_xlfn.XLOOKUP($A304,Raw_Data!$B:$B,Raw_Data!$KG:$KG),"")</f>
        <v/>
      </c>
      <c r="G304" s="180" t="str">
        <f>IFERROR(_xlfn.XLOOKUP($A304,Raw_Data!$B:$B,Raw_Data!KH:KH),"")</f>
        <v/>
      </c>
      <c r="H304" s="180"/>
      <c r="I304" s="180" t="str">
        <f>IFERROR(_xlfn.XLOOKUP($A304,Raw_Data!$B:$B,Raw_Data!$KI:$KI),"")</f>
        <v/>
      </c>
      <c r="J304" s="180"/>
      <c r="K304" s="180" t="str">
        <f>IFERROR(_xlfn.XLOOKUP($A304,Raw_Data!$B:$B,Raw_Data!KJ:KJ),"")</f>
        <v/>
      </c>
      <c r="L304" s="180" t="str">
        <f>IFERROR(_xlfn.XLOOKUP($A304,Raw_Data!$B:$B,Raw_Data!KK:KK),"")</f>
        <v/>
      </c>
      <c r="M304" s="180" t="str">
        <f>IFERROR(_xlfn.XLOOKUP($A304,Raw_Data!$B:$B,Raw_Data!KL:KL),"")</f>
        <v/>
      </c>
      <c r="N304" s="180" t="str">
        <f>IFERROR(_xlfn.XLOOKUP($A304,Raw_Data!$B:$B,Raw_Data!KM:KM),"")</f>
        <v/>
      </c>
      <c r="O304" s="181" t="str">
        <f>IFERROR(1-SUMIF(PA!$B:$B,$A304,PA!AJ:AJ)/($AA304+SUMIF(PA!$B:$B,$A304,PA!AJ:AJ)),"")</f>
        <v/>
      </c>
      <c r="P304" s="181"/>
      <c r="Q304" s="182"/>
      <c r="R304" s="181" t="str">
        <f>IFERROR(1-SUMIF(GA!$C:$C,$A304,GA!$X:$X)/($AA304+SUMIF(GA!$C:$C,$A304,GA!$X:$X)),"")</f>
        <v/>
      </c>
      <c r="S304" s="177"/>
      <c r="T304" s="182"/>
      <c r="U304" s="183" t="str">
        <f t="shared" si="21"/>
        <v/>
      </c>
      <c r="V304" s="183" t="str">
        <f>IFERROR(_xlfn.XLOOKUP($A304,Raw_Data!$B:$B,Raw_Data!$KQ:$KQ),"")</f>
        <v/>
      </c>
      <c r="W304" s="184" t="str">
        <f t="shared" si="22"/>
        <v/>
      </c>
      <c r="X304" s="176" t="str">
        <f>IFERROR(_xlfn.XLOOKUP($A304,Raw_Data!$B:$B,Raw_Data!$KN:$KN),"")</f>
        <v/>
      </c>
      <c r="Y304" s="176" t="str">
        <f>IFERROR(_xlfn.XLOOKUP($A304,Raw_Data!$B:$B,Raw_Data!$KC:$KC),"")</f>
        <v/>
      </c>
      <c r="Z304" s="176" t="str">
        <f>IFERROR(_xlfn.XLOOKUP($A304,Raw_Data!$B:$B,Raw_Data!$KD:$KD),"")</f>
        <v/>
      </c>
      <c r="AA304" s="176" t="str">
        <f>IFERROR(_xlfn.XLOOKUP($A304,Raw_Data!$B:$B,Raw_Data!$KF:$KF),"")</f>
        <v/>
      </c>
      <c r="AB304" s="176" t="str">
        <f>IFERROR(_xlfn.XLOOKUP($A304,Raw_Data!$B:$B,Raw_Data!I:I)/1000,"")</f>
        <v/>
      </c>
      <c r="AC304" s="185">
        <f>IFERROR(_xlfn.XLOOKUP($D304,'Modelling New'!$D:$D,'Modelling New'!$P:$P),"")</f>
        <v>4.112903225806452</v>
      </c>
      <c r="AD304" s="176">
        <f>IFERROR(_xlfn.XLOOKUP($D304,'Modelling New'!$D:$D,'Modelling New'!$T:$T)*1000,"")</f>
        <v>225160.03896075379</v>
      </c>
      <c r="AE304" s="186">
        <f>IFERROR(_xlfn.XLOOKUP($D304,'Modelling New'!$D:$D,'Modelling New'!$O:$O),"")</f>
        <v>0.8200852937837797</v>
      </c>
      <c r="AF304" s="186">
        <f>IFERROR(_xlfn.XLOOKUP($D304,'Modelling New'!$D:$D,'Modelling New'!$W:$W),"")</f>
        <v>0.14053881042665581</v>
      </c>
      <c r="AG304" s="186">
        <f>IFERROR(_xlfn.XLOOKUP($D304,'Modelling New'!$D:$D,'Modelling New'!$AE:$AE),"")</f>
        <v>0.995</v>
      </c>
      <c r="AH304" s="186">
        <f>IFERROR(_xlfn.XLOOKUP($D304,'Modelling New'!$D:$D,'Modelling New'!$AF:$AF),"")</f>
        <v>0.995</v>
      </c>
      <c r="AI304" s="177"/>
      <c r="AJ304" s="177"/>
      <c r="AK304" s="238"/>
      <c r="AL304" s="238"/>
      <c r="AM304" s="238"/>
      <c r="AN304" s="187"/>
      <c r="AO304" s="184"/>
      <c r="AP304" s="184"/>
      <c r="AQ304" s="184"/>
      <c r="AR304" s="176">
        <f>IFERROR(_xlfn.XLOOKUP($D303,'Modelling New'!$D:$D,'Modelling New'!$N:$N),"")</f>
        <v>66.754999999999995</v>
      </c>
      <c r="AS304" s="176"/>
    </row>
    <row r="305" spans="1:45" x14ac:dyDescent="0.25">
      <c r="A305" s="175">
        <f t="shared" si="19"/>
        <v>46048</v>
      </c>
      <c r="B305" s="176">
        <f>YEAR(Table13[[#This Row],[Date]])+IF(MONTH(Table13[[#This Row],[Date]])&gt;=4,1,0)</f>
        <v>2026</v>
      </c>
      <c r="C305" s="177">
        <f>YEAR(Table13[[#This Row],[Date]])</f>
        <v>2026</v>
      </c>
      <c r="D305" s="178">
        <f>Table13[[#This Row],[Date]]-DAY(Table13[[#This Row],[Date]])+1</f>
        <v>46023</v>
      </c>
      <c r="E305" s="177">
        <f t="shared" si="20"/>
        <v>31</v>
      </c>
      <c r="F305" s="179" t="str">
        <f>IFERROR(_xlfn.XLOOKUP($A305,Raw_Data!$B:$B,Raw_Data!$KG:$KG),"")</f>
        <v/>
      </c>
      <c r="G305" s="180" t="str">
        <f>IFERROR(_xlfn.XLOOKUP($A305,Raw_Data!$B:$B,Raw_Data!KH:KH),"")</f>
        <v/>
      </c>
      <c r="H305" s="180"/>
      <c r="I305" s="180" t="str">
        <f>IFERROR(_xlfn.XLOOKUP($A305,Raw_Data!$B:$B,Raw_Data!$KI:$KI),"")</f>
        <v/>
      </c>
      <c r="J305" s="180"/>
      <c r="K305" s="180" t="str">
        <f>IFERROR(_xlfn.XLOOKUP($A305,Raw_Data!$B:$B,Raw_Data!KJ:KJ),"")</f>
        <v/>
      </c>
      <c r="L305" s="180" t="str">
        <f>IFERROR(_xlfn.XLOOKUP($A305,Raw_Data!$B:$B,Raw_Data!KK:KK),"")</f>
        <v/>
      </c>
      <c r="M305" s="180" t="str">
        <f>IFERROR(_xlfn.XLOOKUP($A305,Raw_Data!$B:$B,Raw_Data!KL:KL),"")</f>
        <v/>
      </c>
      <c r="N305" s="180" t="str">
        <f>IFERROR(_xlfn.XLOOKUP($A305,Raw_Data!$B:$B,Raw_Data!KM:KM),"")</f>
        <v/>
      </c>
      <c r="O305" s="181" t="str">
        <f>IFERROR(1-SUMIF(PA!$B:$B,$A305,PA!AJ:AJ)/($AA305+SUMIF(PA!$B:$B,$A305,PA!AJ:AJ)),"")</f>
        <v/>
      </c>
      <c r="P305" s="181"/>
      <c r="Q305" s="182"/>
      <c r="R305" s="181" t="str">
        <f>IFERROR(1-SUMIF(GA!$C:$C,$A305,GA!$X:$X)/($AA305+SUMIF(GA!$C:$C,$A305,GA!$X:$X)),"")</f>
        <v/>
      </c>
      <c r="S305" s="177"/>
      <c r="T305" s="182"/>
      <c r="U305" s="183" t="str">
        <f t="shared" si="21"/>
        <v/>
      </c>
      <c r="V305" s="183" t="str">
        <f>IFERROR(_xlfn.XLOOKUP($A305,Raw_Data!$B:$B,Raw_Data!$KQ:$KQ),"")</f>
        <v/>
      </c>
      <c r="W305" s="184" t="str">
        <f t="shared" si="22"/>
        <v/>
      </c>
      <c r="X305" s="176" t="str">
        <f>IFERROR(_xlfn.XLOOKUP($A305,Raw_Data!$B:$B,Raw_Data!$KN:$KN),"")</f>
        <v/>
      </c>
      <c r="Y305" s="176" t="str">
        <f>IFERROR(_xlfn.XLOOKUP($A305,Raw_Data!$B:$B,Raw_Data!$KC:$KC),"")</f>
        <v/>
      </c>
      <c r="Z305" s="176" t="str">
        <f>IFERROR(_xlfn.XLOOKUP($A305,Raw_Data!$B:$B,Raw_Data!$KD:$KD),"")</f>
        <v/>
      </c>
      <c r="AA305" s="176" t="str">
        <f>IFERROR(_xlfn.XLOOKUP($A305,Raw_Data!$B:$B,Raw_Data!$KF:$KF),"")</f>
        <v/>
      </c>
      <c r="AB305" s="176" t="str">
        <f>IFERROR(_xlfn.XLOOKUP($A305,Raw_Data!$B:$B,Raw_Data!I:I)/1000,"")</f>
        <v/>
      </c>
      <c r="AC305" s="185">
        <f>IFERROR(_xlfn.XLOOKUP($D305,'Modelling New'!$D:$D,'Modelling New'!$P:$P),"")</f>
        <v>4.112903225806452</v>
      </c>
      <c r="AD305" s="176">
        <f>IFERROR(_xlfn.XLOOKUP($D305,'Modelling New'!$D:$D,'Modelling New'!$T:$T)*1000,"")</f>
        <v>225160.03896075379</v>
      </c>
      <c r="AE305" s="186">
        <f>IFERROR(_xlfn.XLOOKUP($D305,'Modelling New'!$D:$D,'Modelling New'!$O:$O),"")</f>
        <v>0.8200852937837797</v>
      </c>
      <c r="AF305" s="186">
        <f>IFERROR(_xlfn.XLOOKUP($D305,'Modelling New'!$D:$D,'Modelling New'!$W:$W),"")</f>
        <v>0.14053881042665581</v>
      </c>
      <c r="AG305" s="186">
        <f>IFERROR(_xlfn.XLOOKUP($D305,'Modelling New'!$D:$D,'Modelling New'!$AE:$AE),"")</f>
        <v>0.995</v>
      </c>
      <c r="AH305" s="186">
        <f>IFERROR(_xlfn.XLOOKUP($D305,'Modelling New'!$D:$D,'Modelling New'!$AF:$AF),"")</f>
        <v>0.995</v>
      </c>
      <c r="AI305" s="177"/>
      <c r="AJ305" s="177"/>
      <c r="AK305" s="238"/>
      <c r="AL305" s="238"/>
      <c r="AM305" s="238"/>
      <c r="AN305" s="187"/>
      <c r="AO305" s="184"/>
      <c r="AP305" s="184"/>
      <c r="AQ305" s="184"/>
      <c r="AR305" s="176">
        <f>IFERROR(_xlfn.XLOOKUP($D304,'Modelling New'!$D:$D,'Modelling New'!$N:$N),"")</f>
        <v>66.754999999999995</v>
      </c>
      <c r="AS305" s="176"/>
    </row>
    <row r="306" spans="1:45" x14ac:dyDescent="0.25">
      <c r="A306" s="175">
        <f t="shared" si="19"/>
        <v>46049</v>
      </c>
      <c r="B306" s="176">
        <f>YEAR(Table13[[#This Row],[Date]])+IF(MONTH(Table13[[#This Row],[Date]])&gt;=4,1,0)</f>
        <v>2026</v>
      </c>
      <c r="C306" s="177">
        <f>YEAR(Table13[[#This Row],[Date]])</f>
        <v>2026</v>
      </c>
      <c r="D306" s="178">
        <f>Table13[[#This Row],[Date]]-DAY(Table13[[#This Row],[Date]])+1</f>
        <v>46023</v>
      </c>
      <c r="E306" s="177">
        <f t="shared" si="20"/>
        <v>31</v>
      </c>
      <c r="F306" s="179" t="str">
        <f>IFERROR(_xlfn.XLOOKUP($A306,Raw_Data!$B:$B,Raw_Data!$KG:$KG),"")</f>
        <v/>
      </c>
      <c r="G306" s="180" t="str">
        <f>IFERROR(_xlfn.XLOOKUP($A306,Raw_Data!$B:$B,Raw_Data!KH:KH),"")</f>
        <v/>
      </c>
      <c r="H306" s="180"/>
      <c r="I306" s="180" t="str">
        <f>IFERROR(_xlfn.XLOOKUP($A306,Raw_Data!$B:$B,Raw_Data!$KI:$KI),"")</f>
        <v/>
      </c>
      <c r="J306" s="180"/>
      <c r="K306" s="180" t="str">
        <f>IFERROR(_xlfn.XLOOKUP($A306,Raw_Data!$B:$B,Raw_Data!KJ:KJ),"")</f>
        <v/>
      </c>
      <c r="L306" s="180" t="str">
        <f>IFERROR(_xlfn.XLOOKUP($A306,Raw_Data!$B:$B,Raw_Data!KK:KK),"")</f>
        <v/>
      </c>
      <c r="M306" s="180" t="str">
        <f>IFERROR(_xlfn.XLOOKUP($A306,Raw_Data!$B:$B,Raw_Data!KL:KL),"")</f>
        <v/>
      </c>
      <c r="N306" s="180" t="str">
        <f>IFERROR(_xlfn.XLOOKUP($A306,Raw_Data!$B:$B,Raw_Data!KM:KM),"")</f>
        <v/>
      </c>
      <c r="O306" s="181" t="str">
        <f>IFERROR(1-SUMIF(PA!$B:$B,$A306,PA!AJ:AJ)/($AA306+SUMIF(PA!$B:$B,$A306,PA!AJ:AJ)),"")</f>
        <v/>
      </c>
      <c r="P306" s="181"/>
      <c r="Q306" s="182"/>
      <c r="R306" s="181" t="str">
        <f>IFERROR(1-SUMIF(GA!$C:$C,$A306,GA!$X:$X)/($AA306+SUMIF(GA!$C:$C,$A306,GA!$X:$X)),"")</f>
        <v/>
      </c>
      <c r="S306" s="177"/>
      <c r="T306" s="182"/>
      <c r="U306" s="183" t="str">
        <f t="shared" si="21"/>
        <v/>
      </c>
      <c r="V306" s="183" t="str">
        <f>IFERROR(_xlfn.XLOOKUP($A306,Raw_Data!$B:$B,Raw_Data!$KQ:$KQ),"")</f>
        <v/>
      </c>
      <c r="W306" s="184" t="str">
        <f t="shared" si="22"/>
        <v/>
      </c>
      <c r="X306" s="176" t="str">
        <f>IFERROR(_xlfn.XLOOKUP($A306,Raw_Data!$B:$B,Raw_Data!$KN:$KN),"")</f>
        <v/>
      </c>
      <c r="Y306" s="176" t="str">
        <f>IFERROR(_xlfn.XLOOKUP($A306,Raw_Data!$B:$B,Raw_Data!$KC:$KC),"")</f>
        <v/>
      </c>
      <c r="Z306" s="176" t="str">
        <f>IFERROR(_xlfn.XLOOKUP($A306,Raw_Data!$B:$B,Raw_Data!$KD:$KD),"")</f>
        <v/>
      </c>
      <c r="AA306" s="176" t="str">
        <f>IFERROR(_xlfn.XLOOKUP($A306,Raw_Data!$B:$B,Raw_Data!$KF:$KF),"")</f>
        <v/>
      </c>
      <c r="AB306" s="176" t="str">
        <f>IFERROR(_xlfn.XLOOKUP($A306,Raw_Data!$B:$B,Raw_Data!I:I)/1000,"")</f>
        <v/>
      </c>
      <c r="AC306" s="185">
        <f>IFERROR(_xlfn.XLOOKUP($D306,'Modelling New'!$D:$D,'Modelling New'!$P:$P),"")</f>
        <v>4.112903225806452</v>
      </c>
      <c r="AD306" s="176">
        <f>IFERROR(_xlfn.XLOOKUP($D306,'Modelling New'!$D:$D,'Modelling New'!$T:$T)*1000,"")</f>
        <v>225160.03896075379</v>
      </c>
      <c r="AE306" s="186">
        <f>IFERROR(_xlfn.XLOOKUP($D306,'Modelling New'!$D:$D,'Modelling New'!$O:$O),"")</f>
        <v>0.8200852937837797</v>
      </c>
      <c r="AF306" s="186">
        <f>IFERROR(_xlfn.XLOOKUP($D306,'Modelling New'!$D:$D,'Modelling New'!$W:$W),"")</f>
        <v>0.14053881042665581</v>
      </c>
      <c r="AG306" s="186">
        <f>IFERROR(_xlfn.XLOOKUP($D306,'Modelling New'!$D:$D,'Modelling New'!$AE:$AE),"")</f>
        <v>0.995</v>
      </c>
      <c r="AH306" s="186">
        <f>IFERROR(_xlfn.XLOOKUP($D306,'Modelling New'!$D:$D,'Modelling New'!$AF:$AF),"")</f>
        <v>0.995</v>
      </c>
      <c r="AI306" s="177"/>
      <c r="AJ306" s="177"/>
      <c r="AK306" s="238"/>
      <c r="AL306" s="238"/>
      <c r="AM306" s="238"/>
      <c r="AN306" s="187"/>
      <c r="AO306" s="184"/>
      <c r="AP306" s="184"/>
      <c r="AQ306" s="184"/>
      <c r="AR306" s="176">
        <f>IFERROR(_xlfn.XLOOKUP($D305,'Modelling New'!$D:$D,'Modelling New'!$N:$N),"")</f>
        <v>66.754999999999995</v>
      </c>
      <c r="AS306" s="176"/>
    </row>
    <row r="307" spans="1:45" x14ac:dyDescent="0.25">
      <c r="A307" s="175">
        <f t="shared" si="19"/>
        <v>46050</v>
      </c>
      <c r="B307" s="176">
        <f>YEAR(Table13[[#This Row],[Date]])+IF(MONTH(Table13[[#This Row],[Date]])&gt;=4,1,0)</f>
        <v>2026</v>
      </c>
      <c r="C307" s="177">
        <f>YEAR(Table13[[#This Row],[Date]])</f>
        <v>2026</v>
      </c>
      <c r="D307" s="178">
        <f>Table13[[#This Row],[Date]]-DAY(Table13[[#This Row],[Date]])+1</f>
        <v>46023</v>
      </c>
      <c r="E307" s="177">
        <f t="shared" si="20"/>
        <v>31</v>
      </c>
      <c r="F307" s="179" t="str">
        <f>IFERROR(_xlfn.XLOOKUP($A307,Raw_Data!$B:$B,Raw_Data!$KG:$KG),"")</f>
        <v/>
      </c>
      <c r="G307" s="180" t="str">
        <f>IFERROR(_xlfn.XLOOKUP($A307,Raw_Data!$B:$B,Raw_Data!KH:KH),"")</f>
        <v/>
      </c>
      <c r="H307" s="180"/>
      <c r="I307" s="180" t="str">
        <f>IFERROR(_xlfn.XLOOKUP($A307,Raw_Data!$B:$B,Raw_Data!$KI:$KI),"")</f>
        <v/>
      </c>
      <c r="J307" s="180"/>
      <c r="K307" s="180" t="str">
        <f>IFERROR(_xlfn.XLOOKUP($A307,Raw_Data!$B:$B,Raw_Data!KJ:KJ),"")</f>
        <v/>
      </c>
      <c r="L307" s="180" t="str">
        <f>IFERROR(_xlfn.XLOOKUP($A307,Raw_Data!$B:$B,Raw_Data!KK:KK),"")</f>
        <v/>
      </c>
      <c r="M307" s="180" t="str">
        <f>IFERROR(_xlfn.XLOOKUP($A307,Raw_Data!$B:$B,Raw_Data!KL:KL),"")</f>
        <v/>
      </c>
      <c r="N307" s="180" t="str">
        <f>IFERROR(_xlfn.XLOOKUP($A307,Raw_Data!$B:$B,Raw_Data!KM:KM),"")</f>
        <v/>
      </c>
      <c r="O307" s="181" t="str">
        <f>IFERROR(1-SUMIF(PA!$B:$B,$A307,PA!AJ:AJ)/($AA307+SUMIF(PA!$B:$B,$A307,PA!AJ:AJ)),"")</f>
        <v/>
      </c>
      <c r="P307" s="181"/>
      <c r="Q307" s="182"/>
      <c r="R307" s="181" t="str">
        <f>IFERROR(1-SUMIF(GA!$C:$C,$A307,GA!$X:$X)/($AA307+SUMIF(GA!$C:$C,$A307,GA!$X:$X)),"")</f>
        <v/>
      </c>
      <c r="S307" s="177"/>
      <c r="T307" s="182"/>
      <c r="U307" s="183" t="str">
        <f t="shared" si="21"/>
        <v/>
      </c>
      <c r="V307" s="183" t="str">
        <f>IFERROR(_xlfn.XLOOKUP($A307,Raw_Data!$B:$B,Raw_Data!$KQ:$KQ),"")</f>
        <v/>
      </c>
      <c r="W307" s="184" t="str">
        <f t="shared" si="22"/>
        <v/>
      </c>
      <c r="X307" s="176" t="str">
        <f>IFERROR(_xlfn.XLOOKUP($A307,Raw_Data!$B:$B,Raw_Data!$KN:$KN),"")</f>
        <v/>
      </c>
      <c r="Y307" s="176" t="str">
        <f>IFERROR(_xlfn.XLOOKUP($A307,Raw_Data!$B:$B,Raw_Data!$KC:$KC),"")</f>
        <v/>
      </c>
      <c r="Z307" s="176" t="str">
        <f>IFERROR(_xlfn.XLOOKUP($A307,Raw_Data!$B:$B,Raw_Data!$KD:$KD),"")</f>
        <v/>
      </c>
      <c r="AA307" s="176" t="str">
        <f>IFERROR(_xlfn.XLOOKUP($A307,Raw_Data!$B:$B,Raw_Data!$KF:$KF),"")</f>
        <v/>
      </c>
      <c r="AB307" s="176" t="str">
        <f>IFERROR(_xlfn.XLOOKUP($A307,Raw_Data!$B:$B,Raw_Data!I:I)/1000,"")</f>
        <v/>
      </c>
      <c r="AC307" s="185">
        <f>IFERROR(_xlfn.XLOOKUP($D307,'Modelling New'!$D:$D,'Modelling New'!$P:$P),"")</f>
        <v>4.112903225806452</v>
      </c>
      <c r="AD307" s="176">
        <f>IFERROR(_xlfn.XLOOKUP($D307,'Modelling New'!$D:$D,'Modelling New'!$T:$T)*1000,"")</f>
        <v>225160.03896075379</v>
      </c>
      <c r="AE307" s="186">
        <f>IFERROR(_xlfn.XLOOKUP($D307,'Modelling New'!$D:$D,'Modelling New'!$O:$O),"")</f>
        <v>0.8200852937837797</v>
      </c>
      <c r="AF307" s="186">
        <f>IFERROR(_xlfn.XLOOKUP($D307,'Modelling New'!$D:$D,'Modelling New'!$W:$W),"")</f>
        <v>0.14053881042665581</v>
      </c>
      <c r="AG307" s="186">
        <f>IFERROR(_xlfn.XLOOKUP($D307,'Modelling New'!$D:$D,'Modelling New'!$AE:$AE),"")</f>
        <v>0.995</v>
      </c>
      <c r="AH307" s="186">
        <f>IFERROR(_xlfn.XLOOKUP($D307,'Modelling New'!$D:$D,'Modelling New'!$AF:$AF),"")</f>
        <v>0.995</v>
      </c>
      <c r="AI307" s="177"/>
      <c r="AJ307" s="177"/>
      <c r="AK307" s="238"/>
      <c r="AL307" s="238"/>
      <c r="AM307" s="238"/>
      <c r="AN307" s="187"/>
      <c r="AO307" s="184"/>
      <c r="AP307" s="184"/>
      <c r="AQ307" s="184"/>
      <c r="AR307" s="176">
        <f>IFERROR(_xlfn.XLOOKUP($D306,'Modelling New'!$D:$D,'Modelling New'!$N:$N),"")</f>
        <v>66.754999999999995</v>
      </c>
      <c r="AS307" s="176"/>
    </row>
    <row r="308" spans="1:45" x14ac:dyDescent="0.25">
      <c r="A308" s="175">
        <f t="shared" si="19"/>
        <v>46051</v>
      </c>
      <c r="B308" s="176">
        <f>YEAR(Table13[[#This Row],[Date]])+IF(MONTH(Table13[[#This Row],[Date]])&gt;=4,1,0)</f>
        <v>2026</v>
      </c>
      <c r="C308" s="177">
        <f>YEAR(Table13[[#This Row],[Date]])</f>
        <v>2026</v>
      </c>
      <c r="D308" s="178">
        <f>Table13[[#This Row],[Date]]-DAY(Table13[[#This Row],[Date]])+1</f>
        <v>46023</v>
      </c>
      <c r="E308" s="177">
        <f t="shared" si="20"/>
        <v>31</v>
      </c>
      <c r="F308" s="179" t="str">
        <f>IFERROR(_xlfn.XLOOKUP($A308,Raw_Data!$B:$B,Raw_Data!$KG:$KG),"")</f>
        <v/>
      </c>
      <c r="G308" s="180" t="str">
        <f>IFERROR(_xlfn.XLOOKUP($A308,Raw_Data!$B:$B,Raw_Data!KH:KH),"")</f>
        <v/>
      </c>
      <c r="H308" s="180"/>
      <c r="I308" s="180" t="str">
        <f>IFERROR(_xlfn.XLOOKUP($A308,Raw_Data!$B:$B,Raw_Data!$KI:$KI),"")</f>
        <v/>
      </c>
      <c r="J308" s="180"/>
      <c r="K308" s="180" t="str">
        <f>IFERROR(_xlfn.XLOOKUP($A308,Raw_Data!$B:$B,Raw_Data!KJ:KJ),"")</f>
        <v/>
      </c>
      <c r="L308" s="180" t="str">
        <f>IFERROR(_xlfn.XLOOKUP($A308,Raw_Data!$B:$B,Raw_Data!KK:KK),"")</f>
        <v/>
      </c>
      <c r="M308" s="180" t="str">
        <f>IFERROR(_xlfn.XLOOKUP($A308,Raw_Data!$B:$B,Raw_Data!KL:KL),"")</f>
        <v/>
      </c>
      <c r="N308" s="180" t="str">
        <f>IFERROR(_xlfn.XLOOKUP($A308,Raw_Data!$B:$B,Raw_Data!KM:KM),"")</f>
        <v/>
      </c>
      <c r="O308" s="181" t="str">
        <f>IFERROR(1-SUMIF(PA!$B:$B,$A308,PA!AJ:AJ)/($AA308+SUMIF(PA!$B:$B,$A308,PA!AJ:AJ)),"")</f>
        <v/>
      </c>
      <c r="P308" s="181"/>
      <c r="Q308" s="182"/>
      <c r="R308" s="181" t="str">
        <f>IFERROR(1-SUMIF(GA!$C:$C,$A308,GA!$X:$X)/($AA308+SUMIF(GA!$C:$C,$A308,GA!$X:$X)),"")</f>
        <v/>
      </c>
      <c r="S308" s="177"/>
      <c r="T308" s="182"/>
      <c r="U308" s="183" t="str">
        <f t="shared" si="21"/>
        <v/>
      </c>
      <c r="V308" s="183" t="str">
        <f>IFERROR(_xlfn.XLOOKUP($A308,Raw_Data!$B:$B,Raw_Data!$KQ:$KQ),"")</f>
        <v/>
      </c>
      <c r="W308" s="184" t="str">
        <f t="shared" si="22"/>
        <v/>
      </c>
      <c r="X308" s="176" t="str">
        <f>IFERROR(_xlfn.XLOOKUP($A308,Raw_Data!$B:$B,Raw_Data!$KN:$KN),"")</f>
        <v/>
      </c>
      <c r="Y308" s="176" t="str">
        <f>IFERROR(_xlfn.XLOOKUP($A308,Raw_Data!$B:$B,Raw_Data!$KC:$KC),"")</f>
        <v/>
      </c>
      <c r="Z308" s="176" t="str">
        <f>IFERROR(_xlfn.XLOOKUP($A308,Raw_Data!$B:$B,Raw_Data!$KD:$KD),"")</f>
        <v/>
      </c>
      <c r="AA308" s="176" t="str">
        <f>IFERROR(_xlfn.XLOOKUP($A308,Raw_Data!$B:$B,Raw_Data!$KF:$KF),"")</f>
        <v/>
      </c>
      <c r="AB308" s="176" t="str">
        <f>IFERROR(_xlfn.XLOOKUP($A308,Raw_Data!$B:$B,Raw_Data!I:I)/1000,"")</f>
        <v/>
      </c>
      <c r="AC308" s="185">
        <f>IFERROR(_xlfn.XLOOKUP($D308,'Modelling New'!$D:$D,'Modelling New'!$P:$P),"")</f>
        <v>4.112903225806452</v>
      </c>
      <c r="AD308" s="176">
        <f>IFERROR(_xlfn.XLOOKUP($D308,'Modelling New'!$D:$D,'Modelling New'!$T:$T)*1000,"")</f>
        <v>225160.03896075379</v>
      </c>
      <c r="AE308" s="186">
        <f>IFERROR(_xlfn.XLOOKUP($D308,'Modelling New'!$D:$D,'Modelling New'!$O:$O),"")</f>
        <v>0.8200852937837797</v>
      </c>
      <c r="AF308" s="186">
        <f>IFERROR(_xlfn.XLOOKUP($D308,'Modelling New'!$D:$D,'Modelling New'!$W:$W),"")</f>
        <v>0.14053881042665581</v>
      </c>
      <c r="AG308" s="186">
        <f>IFERROR(_xlfn.XLOOKUP($D308,'Modelling New'!$D:$D,'Modelling New'!$AE:$AE),"")</f>
        <v>0.995</v>
      </c>
      <c r="AH308" s="186">
        <f>IFERROR(_xlfn.XLOOKUP($D308,'Modelling New'!$D:$D,'Modelling New'!$AF:$AF),"")</f>
        <v>0.995</v>
      </c>
      <c r="AI308" s="177"/>
      <c r="AJ308" s="177"/>
      <c r="AK308" s="238"/>
      <c r="AL308" s="238"/>
      <c r="AM308" s="238"/>
      <c r="AN308" s="187"/>
      <c r="AO308" s="184"/>
      <c r="AP308" s="184"/>
      <c r="AQ308" s="184"/>
      <c r="AR308" s="176">
        <f>IFERROR(_xlfn.XLOOKUP($D307,'Modelling New'!$D:$D,'Modelling New'!$N:$N),"")</f>
        <v>66.754999999999995</v>
      </c>
      <c r="AS308" s="176"/>
    </row>
    <row r="309" spans="1:45" x14ac:dyDescent="0.25">
      <c r="A309" s="175">
        <f t="shared" si="19"/>
        <v>46052</v>
      </c>
      <c r="B309" s="176">
        <f>YEAR(Table13[[#This Row],[Date]])+IF(MONTH(Table13[[#This Row],[Date]])&gt;=4,1,0)</f>
        <v>2026</v>
      </c>
      <c r="C309" s="177">
        <f>YEAR(Table13[[#This Row],[Date]])</f>
        <v>2026</v>
      </c>
      <c r="D309" s="178">
        <f>Table13[[#This Row],[Date]]-DAY(Table13[[#This Row],[Date]])+1</f>
        <v>46023</v>
      </c>
      <c r="E309" s="177">
        <f t="shared" si="20"/>
        <v>31</v>
      </c>
      <c r="F309" s="179" t="str">
        <f>IFERROR(_xlfn.XLOOKUP($A309,Raw_Data!$B:$B,Raw_Data!$KG:$KG),"")</f>
        <v/>
      </c>
      <c r="G309" s="180" t="str">
        <f>IFERROR(_xlfn.XLOOKUP($A309,Raw_Data!$B:$B,Raw_Data!KH:KH),"")</f>
        <v/>
      </c>
      <c r="H309" s="180"/>
      <c r="I309" s="180" t="str">
        <f>IFERROR(_xlfn.XLOOKUP($A309,Raw_Data!$B:$B,Raw_Data!$KI:$KI),"")</f>
        <v/>
      </c>
      <c r="J309" s="180"/>
      <c r="K309" s="180" t="str">
        <f>IFERROR(_xlfn.XLOOKUP($A309,Raw_Data!$B:$B,Raw_Data!KJ:KJ),"")</f>
        <v/>
      </c>
      <c r="L309" s="180" t="str">
        <f>IFERROR(_xlfn.XLOOKUP($A309,Raw_Data!$B:$B,Raw_Data!KK:KK),"")</f>
        <v/>
      </c>
      <c r="M309" s="180" t="str">
        <f>IFERROR(_xlfn.XLOOKUP($A309,Raw_Data!$B:$B,Raw_Data!KL:KL),"")</f>
        <v/>
      </c>
      <c r="N309" s="180" t="str">
        <f>IFERROR(_xlfn.XLOOKUP($A309,Raw_Data!$B:$B,Raw_Data!KM:KM),"")</f>
        <v/>
      </c>
      <c r="O309" s="181" t="str">
        <f>IFERROR(1-SUMIF(PA!$B:$B,$A309,PA!AJ:AJ)/($AA309+SUMIF(PA!$B:$B,$A309,PA!AJ:AJ)),"")</f>
        <v/>
      </c>
      <c r="P309" s="181"/>
      <c r="Q309" s="182"/>
      <c r="R309" s="181" t="str">
        <f>IFERROR(1-SUMIF(GA!$C:$C,$A309,GA!$X:$X)/($AA309+SUMIF(GA!$C:$C,$A309,GA!$X:$X)),"")</f>
        <v/>
      </c>
      <c r="S309" s="177"/>
      <c r="T309" s="182"/>
      <c r="U309" s="183" t="str">
        <f t="shared" si="21"/>
        <v/>
      </c>
      <c r="V309" s="183" t="str">
        <f>IFERROR(_xlfn.XLOOKUP($A309,Raw_Data!$B:$B,Raw_Data!$KQ:$KQ),"")</f>
        <v/>
      </c>
      <c r="W309" s="184" t="str">
        <f t="shared" si="22"/>
        <v/>
      </c>
      <c r="X309" s="176" t="str">
        <f>IFERROR(_xlfn.XLOOKUP($A309,Raw_Data!$B:$B,Raw_Data!$KN:$KN),"")</f>
        <v/>
      </c>
      <c r="Y309" s="176" t="str">
        <f>IFERROR(_xlfn.XLOOKUP($A309,Raw_Data!$B:$B,Raw_Data!$KC:$KC),"")</f>
        <v/>
      </c>
      <c r="Z309" s="176" t="str">
        <f>IFERROR(_xlfn.XLOOKUP($A309,Raw_Data!$B:$B,Raw_Data!$KD:$KD),"")</f>
        <v/>
      </c>
      <c r="AA309" s="176" t="str">
        <f>IFERROR(_xlfn.XLOOKUP($A309,Raw_Data!$B:$B,Raw_Data!$KF:$KF),"")</f>
        <v/>
      </c>
      <c r="AB309" s="176" t="str">
        <f>IFERROR(_xlfn.XLOOKUP($A309,Raw_Data!$B:$B,Raw_Data!I:I)/1000,"")</f>
        <v/>
      </c>
      <c r="AC309" s="185">
        <f>IFERROR(_xlfn.XLOOKUP($D309,'Modelling New'!$D:$D,'Modelling New'!$P:$P),"")</f>
        <v>4.112903225806452</v>
      </c>
      <c r="AD309" s="176">
        <f>IFERROR(_xlfn.XLOOKUP($D309,'Modelling New'!$D:$D,'Modelling New'!$T:$T)*1000,"")</f>
        <v>225160.03896075379</v>
      </c>
      <c r="AE309" s="186">
        <f>IFERROR(_xlfn.XLOOKUP($D309,'Modelling New'!$D:$D,'Modelling New'!$O:$O),"")</f>
        <v>0.8200852937837797</v>
      </c>
      <c r="AF309" s="186">
        <f>IFERROR(_xlfn.XLOOKUP($D309,'Modelling New'!$D:$D,'Modelling New'!$W:$W),"")</f>
        <v>0.14053881042665581</v>
      </c>
      <c r="AG309" s="186">
        <f>IFERROR(_xlfn.XLOOKUP($D309,'Modelling New'!$D:$D,'Modelling New'!$AE:$AE),"")</f>
        <v>0.995</v>
      </c>
      <c r="AH309" s="186">
        <f>IFERROR(_xlfn.XLOOKUP($D309,'Modelling New'!$D:$D,'Modelling New'!$AF:$AF),"")</f>
        <v>0.995</v>
      </c>
      <c r="AI309" s="177"/>
      <c r="AJ309" s="177"/>
      <c r="AK309" s="238"/>
      <c r="AL309" s="238"/>
      <c r="AM309" s="238"/>
      <c r="AN309" s="187"/>
      <c r="AO309" s="184"/>
      <c r="AP309" s="184"/>
      <c r="AQ309" s="184"/>
      <c r="AR309" s="176">
        <f>IFERROR(_xlfn.XLOOKUP($D308,'Modelling New'!$D:$D,'Modelling New'!$N:$N),"")</f>
        <v>66.754999999999995</v>
      </c>
      <c r="AS309" s="176"/>
    </row>
    <row r="310" spans="1:45" x14ac:dyDescent="0.25">
      <c r="A310" s="175">
        <f t="shared" si="19"/>
        <v>46053</v>
      </c>
      <c r="B310" s="176">
        <f>YEAR(Table13[[#This Row],[Date]])+IF(MONTH(Table13[[#This Row],[Date]])&gt;=4,1,0)</f>
        <v>2026</v>
      </c>
      <c r="C310" s="177">
        <f>YEAR(Table13[[#This Row],[Date]])</f>
        <v>2026</v>
      </c>
      <c r="D310" s="178">
        <f>Table13[[#This Row],[Date]]-DAY(Table13[[#This Row],[Date]])+1</f>
        <v>46023</v>
      </c>
      <c r="E310" s="177">
        <f t="shared" si="20"/>
        <v>31</v>
      </c>
      <c r="F310" s="179" t="str">
        <f>IFERROR(_xlfn.XLOOKUP($A310,Raw_Data!$B:$B,Raw_Data!$KG:$KG),"")</f>
        <v/>
      </c>
      <c r="G310" s="180" t="str">
        <f>IFERROR(_xlfn.XLOOKUP($A310,Raw_Data!$B:$B,Raw_Data!KH:KH),"")</f>
        <v/>
      </c>
      <c r="H310" s="180"/>
      <c r="I310" s="180" t="str">
        <f>IFERROR(_xlfn.XLOOKUP($A310,Raw_Data!$B:$B,Raw_Data!$KI:$KI),"")</f>
        <v/>
      </c>
      <c r="J310" s="180"/>
      <c r="K310" s="180" t="str">
        <f>IFERROR(_xlfn.XLOOKUP($A310,Raw_Data!$B:$B,Raw_Data!KJ:KJ),"")</f>
        <v/>
      </c>
      <c r="L310" s="180" t="str">
        <f>IFERROR(_xlfn.XLOOKUP($A310,Raw_Data!$B:$B,Raw_Data!KK:KK),"")</f>
        <v/>
      </c>
      <c r="M310" s="180" t="str">
        <f>IFERROR(_xlfn.XLOOKUP($A310,Raw_Data!$B:$B,Raw_Data!KL:KL),"")</f>
        <v/>
      </c>
      <c r="N310" s="180" t="str">
        <f>IFERROR(_xlfn.XLOOKUP($A310,Raw_Data!$B:$B,Raw_Data!KM:KM),"")</f>
        <v/>
      </c>
      <c r="O310" s="181" t="str">
        <f>IFERROR(1-SUMIF(PA!$B:$B,$A310,PA!AJ:AJ)/($AA310+SUMIF(PA!$B:$B,$A310,PA!AJ:AJ)),"")</f>
        <v/>
      </c>
      <c r="P310" s="181"/>
      <c r="Q310" s="182"/>
      <c r="R310" s="181" t="str">
        <f>IFERROR(1-SUMIF(GA!$C:$C,$A310,GA!$X:$X)/($AA310+SUMIF(GA!$C:$C,$A310,GA!$X:$X)),"")</f>
        <v/>
      </c>
      <c r="S310" s="177"/>
      <c r="T310" s="182"/>
      <c r="U310" s="183" t="str">
        <f t="shared" si="21"/>
        <v/>
      </c>
      <c r="V310" s="183" t="str">
        <f>IFERROR(_xlfn.XLOOKUP($A310,Raw_Data!$B:$B,Raw_Data!$KQ:$KQ),"")</f>
        <v/>
      </c>
      <c r="W310" s="184" t="str">
        <f t="shared" si="22"/>
        <v/>
      </c>
      <c r="X310" s="176" t="str">
        <f>IFERROR(_xlfn.XLOOKUP($A310,Raw_Data!$B:$B,Raw_Data!$KN:$KN),"")</f>
        <v/>
      </c>
      <c r="Y310" s="176" t="str">
        <f>IFERROR(_xlfn.XLOOKUP($A310,Raw_Data!$B:$B,Raw_Data!$KC:$KC),"")</f>
        <v/>
      </c>
      <c r="Z310" s="176" t="str">
        <f>IFERROR(_xlfn.XLOOKUP($A310,Raw_Data!$B:$B,Raw_Data!$KD:$KD),"")</f>
        <v/>
      </c>
      <c r="AA310" s="176" t="str">
        <f>IFERROR(_xlfn.XLOOKUP($A310,Raw_Data!$B:$B,Raw_Data!$KF:$KF),"")</f>
        <v/>
      </c>
      <c r="AB310" s="176" t="str">
        <f>IFERROR(_xlfn.XLOOKUP($A310,Raw_Data!$B:$B,Raw_Data!I:I)/1000,"")</f>
        <v/>
      </c>
      <c r="AC310" s="185">
        <f>IFERROR(_xlfn.XLOOKUP($D310,'Modelling New'!$D:$D,'Modelling New'!$P:$P),"")</f>
        <v>4.112903225806452</v>
      </c>
      <c r="AD310" s="176">
        <f>IFERROR(_xlfn.XLOOKUP($D310,'Modelling New'!$D:$D,'Modelling New'!$T:$T)*1000,"")</f>
        <v>225160.03896075379</v>
      </c>
      <c r="AE310" s="186">
        <f>IFERROR(_xlfn.XLOOKUP($D310,'Modelling New'!$D:$D,'Modelling New'!$O:$O),"")</f>
        <v>0.8200852937837797</v>
      </c>
      <c r="AF310" s="186">
        <f>IFERROR(_xlfn.XLOOKUP($D310,'Modelling New'!$D:$D,'Modelling New'!$W:$W),"")</f>
        <v>0.14053881042665581</v>
      </c>
      <c r="AG310" s="186">
        <f>IFERROR(_xlfn.XLOOKUP($D310,'Modelling New'!$D:$D,'Modelling New'!$AE:$AE),"")</f>
        <v>0.995</v>
      </c>
      <c r="AH310" s="186">
        <f>IFERROR(_xlfn.XLOOKUP($D310,'Modelling New'!$D:$D,'Modelling New'!$AF:$AF),"")</f>
        <v>0.995</v>
      </c>
      <c r="AI310" s="177"/>
      <c r="AJ310" s="177"/>
      <c r="AK310" s="238"/>
      <c r="AL310" s="238"/>
      <c r="AM310" s="238"/>
      <c r="AN310" s="187"/>
      <c r="AO310" s="184"/>
      <c r="AP310" s="184"/>
      <c r="AQ310" s="184"/>
      <c r="AR310" s="176">
        <f>IFERROR(_xlfn.XLOOKUP($D309,'Modelling New'!$D:$D,'Modelling New'!$N:$N),"")</f>
        <v>66.754999999999995</v>
      </c>
      <c r="AS310" s="176"/>
    </row>
    <row r="311" spans="1:45" x14ac:dyDescent="0.25">
      <c r="A311" s="175">
        <f t="shared" si="19"/>
        <v>46054</v>
      </c>
      <c r="B311" s="176">
        <f>YEAR(Table13[[#This Row],[Date]])+IF(MONTH(Table13[[#This Row],[Date]])&gt;=4,1,0)</f>
        <v>2026</v>
      </c>
      <c r="C311" s="177">
        <f>YEAR(Table13[[#This Row],[Date]])</f>
        <v>2026</v>
      </c>
      <c r="D311" s="178">
        <f>Table13[[#This Row],[Date]]-DAY(Table13[[#This Row],[Date]])+1</f>
        <v>46054</v>
      </c>
      <c r="E311" s="177">
        <f t="shared" si="20"/>
        <v>28</v>
      </c>
      <c r="F311" s="179" t="str">
        <f>IFERROR(_xlfn.XLOOKUP($A311,Raw_Data!$B:$B,Raw_Data!$KG:$KG),"")</f>
        <v/>
      </c>
      <c r="G311" s="180" t="str">
        <f>IFERROR(_xlfn.XLOOKUP($A311,Raw_Data!$B:$B,Raw_Data!KH:KH),"")</f>
        <v/>
      </c>
      <c r="H311" s="180"/>
      <c r="I311" s="180" t="str">
        <f>IFERROR(_xlfn.XLOOKUP($A311,Raw_Data!$B:$B,Raw_Data!$KI:$KI),"")</f>
        <v/>
      </c>
      <c r="J311" s="180"/>
      <c r="K311" s="180" t="str">
        <f>IFERROR(_xlfn.XLOOKUP($A311,Raw_Data!$B:$B,Raw_Data!KJ:KJ),"")</f>
        <v/>
      </c>
      <c r="L311" s="180" t="str">
        <f>IFERROR(_xlfn.XLOOKUP($A311,Raw_Data!$B:$B,Raw_Data!KK:KK),"")</f>
        <v/>
      </c>
      <c r="M311" s="180" t="str">
        <f>IFERROR(_xlfn.XLOOKUP($A311,Raw_Data!$B:$B,Raw_Data!KL:KL),"")</f>
        <v/>
      </c>
      <c r="N311" s="180" t="str">
        <f>IFERROR(_xlfn.XLOOKUP($A311,Raw_Data!$B:$B,Raw_Data!KM:KM),"")</f>
        <v/>
      </c>
      <c r="O311" s="181" t="str">
        <f>IFERROR(1-SUMIF(PA!$B:$B,$A311,PA!AJ:AJ)/($AA311+SUMIF(PA!$B:$B,$A311,PA!AJ:AJ)),"")</f>
        <v/>
      </c>
      <c r="P311" s="181"/>
      <c r="Q311" s="182"/>
      <c r="R311" s="181" t="str">
        <f>IFERROR(1-SUMIF(GA!$C:$C,$A311,GA!$X:$X)/($AA311+SUMIF(GA!$C:$C,$A311,GA!$X:$X)),"")</f>
        <v/>
      </c>
      <c r="S311" s="177"/>
      <c r="T311" s="182"/>
      <c r="U311" s="183" t="str">
        <f t="shared" si="21"/>
        <v/>
      </c>
      <c r="V311" s="183" t="str">
        <f>IFERROR(_xlfn.XLOOKUP($A311,Raw_Data!$B:$B,Raw_Data!$KQ:$KQ),"")</f>
        <v/>
      </c>
      <c r="W311" s="184" t="str">
        <f t="shared" si="22"/>
        <v/>
      </c>
      <c r="X311" s="176" t="str">
        <f>IFERROR(_xlfn.XLOOKUP($A311,Raw_Data!$B:$B,Raw_Data!$KN:$KN),"")</f>
        <v/>
      </c>
      <c r="Y311" s="176" t="str">
        <f>IFERROR(_xlfn.XLOOKUP($A311,Raw_Data!$B:$B,Raw_Data!$KC:$KC),"")</f>
        <v/>
      </c>
      <c r="Z311" s="176" t="str">
        <f>IFERROR(_xlfn.XLOOKUP($A311,Raw_Data!$B:$B,Raw_Data!$KD:$KD),"")</f>
        <v/>
      </c>
      <c r="AA311" s="176" t="str">
        <f>IFERROR(_xlfn.XLOOKUP($A311,Raw_Data!$B:$B,Raw_Data!$KF:$KF),"")</f>
        <v/>
      </c>
      <c r="AB311" s="176" t="str">
        <f>IFERROR(_xlfn.XLOOKUP($A311,Raw_Data!$B:$B,Raw_Data!I:I)/1000,"")</f>
        <v/>
      </c>
      <c r="AC311" s="185">
        <f>IFERROR(_xlfn.XLOOKUP($D311,'Modelling New'!$D:$D,'Modelling New'!$P:$P),"")</f>
        <v>5.7928571428571427</v>
      </c>
      <c r="AD311" s="176">
        <f>IFERROR(_xlfn.XLOOKUP($D311,'Modelling New'!$D:$D,'Modelling New'!$T:$T)*1000,"")</f>
        <v>309344.61889388983</v>
      </c>
      <c r="AE311" s="186">
        <f>IFERROR(_xlfn.XLOOKUP($D311,'Modelling New'!$D:$D,'Modelling New'!$O:$O),"")</f>
        <v>0.79995571795505216</v>
      </c>
      <c r="AF311" s="186">
        <f>IFERROR(_xlfn.XLOOKUP($D311,'Modelling New'!$D:$D,'Modelling New'!$W:$W),"")</f>
        <v>0.19308454978022238</v>
      </c>
      <c r="AG311" s="186">
        <f>IFERROR(_xlfn.XLOOKUP($D311,'Modelling New'!$D:$D,'Modelling New'!$AE:$AE),"")</f>
        <v>0.995</v>
      </c>
      <c r="AH311" s="186">
        <f>IFERROR(_xlfn.XLOOKUP($D311,'Modelling New'!$D:$D,'Modelling New'!$AF:$AF),"")</f>
        <v>0.995</v>
      </c>
      <c r="AI311" s="177"/>
      <c r="AJ311" s="177"/>
      <c r="AK311" s="238"/>
      <c r="AL311" s="238"/>
      <c r="AM311" s="238"/>
      <c r="AN311" s="187"/>
      <c r="AO311" s="184"/>
      <c r="AP311" s="184"/>
      <c r="AQ311" s="184"/>
      <c r="AR311" s="176">
        <f>IFERROR(_xlfn.XLOOKUP($D310,'Modelling New'!$D:$D,'Modelling New'!$N:$N),"")</f>
        <v>66.754999999999995</v>
      </c>
      <c r="AS311" s="176"/>
    </row>
    <row r="312" spans="1:45" x14ac:dyDescent="0.25">
      <c r="A312" s="175">
        <f t="shared" si="19"/>
        <v>46055</v>
      </c>
      <c r="B312" s="176">
        <f>YEAR(Table13[[#This Row],[Date]])+IF(MONTH(Table13[[#This Row],[Date]])&gt;=4,1,0)</f>
        <v>2026</v>
      </c>
      <c r="C312" s="177">
        <f>YEAR(Table13[[#This Row],[Date]])</f>
        <v>2026</v>
      </c>
      <c r="D312" s="178">
        <f>Table13[[#This Row],[Date]]-DAY(Table13[[#This Row],[Date]])+1</f>
        <v>46054</v>
      </c>
      <c r="E312" s="177">
        <f t="shared" si="20"/>
        <v>28</v>
      </c>
      <c r="F312" s="179" t="str">
        <f>IFERROR(_xlfn.XLOOKUP($A312,Raw_Data!$B:$B,Raw_Data!$KG:$KG),"")</f>
        <v/>
      </c>
      <c r="G312" s="180" t="str">
        <f>IFERROR(_xlfn.XLOOKUP($A312,Raw_Data!$B:$B,Raw_Data!KH:KH),"")</f>
        <v/>
      </c>
      <c r="H312" s="180"/>
      <c r="I312" s="180" t="str">
        <f>IFERROR(_xlfn.XLOOKUP($A312,Raw_Data!$B:$B,Raw_Data!$KI:$KI),"")</f>
        <v/>
      </c>
      <c r="J312" s="180"/>
      <c r="K312" s="180" t="str">
        <f>IFERROR(_xlfn.XLOOKUP($A312,Raw_Data!$B:$B,Raw_Data!KJ:KJ),"")</f>
        <v/>
      </c>
      <c r="L312" s="180" t="str">
        <f>IFERROR(_xlfn.XLOOKUP($A312,Raw_Data!$B:$B,Raw_Data!KK:KK),"")</f>
        <v/>
      </c>
      <c r="M312" s="180" t="str">
        <f>IFERROR(_xlfn.XLOOKUP($A312,Raw_Data!$B:$B,Raw_Data!KL:KL),"")</f>
        <v/>
      </c>
      <c r="N312" s="180" t="str">
        <f>IFERROR(_xlfn.XLOOKUP($A312,Raw_Data!$B:$B,Raw_Data!KM:KM),"")</f>
        <v/>
      </c>
      <c r="O312" s="181" t="str">
        <f>IFERROR(1-SUMIF(PA!$B:$B,$A312,PA!AJ:AJ)/($AA312+SUMIF(PA!$B:$B,$A312,PA!AJ:AJ)),"")</f>
        <v/>
      </c>
      <c r="P312" s="181"/>
      <c r="Q312" s="182"/>
      <c r="R312" s="181" t="str">
        <f>IFERROR(1-SUMIF(GA!$C:$C,$A312,GA!$X:$X)/($AA312+SUMIF(GA!$C:$C,$A312,GA!$X:$X)),"")</f>
        <v/>
      </c>
      <c r="S312" s="177"/>
      <c r="T312" s="182"/>
      <c r="U312" s="183" t="str">
        <f t="shared" si="21"/>
        <v/>
      </c>
      <c r="V312" s="183" t="str">
        <f>IFERROR(_xlfn.XLOOKUP($A312,Raw_Data!$B:$B,Raw_Data!$KQ:$KQ),"")</f>
        <v/>
      </c>
      <c r="W312" s="184" t="str">
        <f t="shared" si="22"/>
        <v/>
      </c>
      <c r="X312" s="176" t="str">
        <f>IFERROR(_xlfn.XLOOKUP($A312,Raw_Data!$B:$B,Raw_Data!$KN:$KN),"")</f>
        <v/>
      </c>
      <c r="Y312" s="176" t="str">
        <f>IFERROR(_xlfn.XLOOKUP($A312,Raw_Data!$B:$B,Raw_Data!$KC:$KC),"")</f>
        <v/>
      </c>
      <c r="Z312" s="176" t="str">
        <f>IFERROR(_xlfn.XLOOKUP($A312,Raw_Data!$B:$B,Raw_Data!$KD:$KD),"")</f>
        <v/>
      </c>
      <c r="AA312" s="176" t="str">
        <f>IFERROR(_xlfn.XLOOKUP($A312,Raw_Data!$B:$B,Raw_Data!$KF:$KF),"")</f>
        <v/>
      </c>
      <c r="AB312" s="176" t="str">
        <f>IFERROR(_xlfn.XLOOKUP($A312,Raw_Data!$B:$B,Raw_Data!I:I)/1000,"")</f>
        <v/>
      </c>
      <c r="AC312" s="185">
        <f>IFERROR(_xlfn.XLOOKUP($D312,'Modelling New'!$D:$D,'Modelling New'!$P:$P),"")</f>
        <v>5.7928571428571427</v>
      </c>
      <c r="AD312" s="176">
        <f>IFERROR(_xlfn.XLOOKUP($D312,'Modelling New'!$D:$D,'Modelling New'!$T:$T)*1000,"")</f>
        <v>309344.61889388983</v>
      </c>
      <c r="AE312" s="186">
        <f>IFERROR(_xlfn.XLOOKUP($D312,'Modelling New'!$D:$D,'Modelling New'!$O:$O),"")</f>
        <v>0.79995571795505216</v>
      </c>
      <c r="AF312" s="186">
        <f>IFERROR(_xlfn.XLOOKUP($D312,'Modelling New'!$D:$D,'Modelling New'!$W:$W),"")</f>
        <v>0.19308454978022238</v>
      </c>
      <c r="AG312" s="186">
        <f>IFERROR(_xlfn.XLOOKUP($D312,'Modelling New'!$D:$D,'Modelling New'!$AE:$AE),"")</f>
        <v>0.995</v>
      </c>
      <c r="AH312" s="186">
        <f>IFERROR(_xlfn.XLOOKUP($D312,'Modelling New'!$D:$D,'Modelling New'!$AF:$AF),"")</f>
        <v>0.995</v>
      </c>
      <c r="AI312" s="177"/>
      <c r="AJ312" s="177"/>
      <c r="AK312" s="238"/>
      <c r="AL312" s="238"/>
      <c r="AM312" s="238"/>
      <c r="AN312" s="187"/>
      <c r="AO312" s="184"/>
      <c r="AP312" s="184"/>
      <c r="AQ312" s="184"/>
      <c r="AR312" s="176">
        <f>IFERROR(_xlfn.XLOOKUP($D311,'Modelling New'!$D:$D,'Modelling New'!$N:$N),"")</f>
        <v>66.754999999999995</v>
      </c>
      <c r="AS312" s="176"/>
    </row>
    <row r="313" spans="1:45" x14ac:dyDescent="0.25">
      <c r="A313" s="175">
        <f t="shared" ref="A313:A369" si="23">A312+1</f>
        <v>46056</v>
      </c>
      <c r="B313" s="176">
        <f>YEAR(Table13[[#This Row],[Date]])+IF(MONTH(Table13[[#This Row],[Date]])&gt;=4,1,0)</f>
        <v>2026</v>
      </c>
      <c r="C313" s="177">
        <f>YEAR(Table13[[#This Row],[Date]])</f>
        <v>2026</v>
      </c>
      <c r="D313" s="178">
        <f>Table13[[#This Row],[Date]]-DAY(Table13[[#This Row],[Date]])+1</f>
        <v>46054</v>
      </c>
      <c r="E313" s="177">
        <f t="shared" si="20"/>
        <v>28</v>
      </c>
      <c r="F313" s="179" t="str">
        <f>IFERROR(_xlfn.XLOOKUP($A313,Raw_Data!$B:$B,Raw_Data!$KG:$KG),"")</f>
        <v/>
      </c>
      <c r="G313" s="180" t="str">
        <f>IFERROR(_xlfn.XLOOKUP($A313,Raw_Data!$B:$B,Raw_Data!KH:KH),"")</f>
        <v/>
      </c>
      <c r="H313" s="180"/>
      <c r="I313" s="180" t="str">
        <f>IFERROR(_xlfn.XLOOKUP($A313,Raw_Data!$B:$B,Raw_Data!$KI:$KI),"")</f>
        <v/>
      </c>
      <c r="J313" s="180"/>
      <c r="K313" s="180" t="str">
        <f>IFERROR(_xlfn.XLOOKUP($A313,Raw_Data!$B:$B,Raw_Data!KJ:KJ),"")</f>
        <v/>
      </c>
      <c r="L313" s="180" t="str">
        <f>IFERROR(_xlfn.XLOOKUP($A313,Raw_Data!$B:$B,Raw_Data!KK:KK),"")</f>
        <v/>
      </c>
      <c r="M313" s="180" t="str">
        <f>IFERROR(_xlfn.XLOOKUP($A313,Raw_Data!$B:$B,Raw_Data!KL:KL),"")</f>
        <v/>
      </c>
      <c r="N313" s="180" t="str">
        <f>IFERROR(_xlfn.XLOOKUP($A313,Raw_Data!$B:$B,Raw_Data!KM:KM),"")</f>
        <v/>
      </c>
      <c r="O313" s="181" t="str">
        <f>IFERROR(1-SUMIF(PA!$B:$B,$A313,PA!AJ:AJ)/($AA313+SUMIF(PA!$B:$B,$A313,PA!AJ:AJ)),"")</f>
        <v/>
      </c>
      <c r="P313" s="181"/>
      <c r="Q313" s="182"/>
      <c r="R313" s="181" t="str">
        <f>IFERROR(1-SUMIF(GA!$C:$C,$A313,GA!$X:$X)/($AA313+SUMIF(GA!$C:$C,$A313,GA!$X:$X)),"")</f>
        <v/>
      </c>
      <c r="S313" s="177"/>
      <c r="T313" s="182"/>
      <c r="U313" s="183" t="str">
        <f t="shared" si="21"/>
        <v/>
      </c>
      <c r="V313" s="183" t="str">
        <f>IFERROR(_xlfn.XLOOKUP($A313,Raw_Data!$B:$B,Raw_Data!$KQ:$KQ),"")</f>
        <v/>
      </c>
      <c r="W313" s="184" t="str">
        <f t="shared" si="22"/>
        <v/>
      </c>
      <c r="X313" s="176" t="str">
        <f>IFERROR(_xlfn.XLOOKUP($A313,Raw_Data!$B:$B,Raw_Data!$KN:$KN),"")</f>
        <v/>
      </c>
      <c r="Y313" s="176" t="str">
        <f>IFERROR(_xlfn.XLOOKUP($A313,Raw_Data!$B:$B,Raw_Data!$KC:$KC),"")</f>
        <v/>
      </c>
      <c r="Z313" s="176" t="str">
        <f>IFERROR(_xlfn.XLOOKUP($A313,Raw_Data!$B:$B,Raw_Data!$KD:$KD),"")</f>
        <v/>
      </c>
      <c r="AA313" s="176" t="str">
        <f>IFERROR(_xlfn.XLOOKUP($A313,Raw_Data!$B:$B,Raw_Data!$KF:$KF),"")</f>
        <v/>
      </c>
      <c r="AB313" s="176" t="str">
        <f>IFERROR(_xlfn.XLOOKUP($A313,Raw_Data!$B:$B,Raw_Data!I:I)/1000,"")</f>
        <v/>
      </c>
      <c r="AC313" s="185">
        <f>IFERROR(_xlfn.XLOOKUP($D313,'Modelling New'!$D:$D,'Modelling New'!$P:$P),"")</f>
        <v>5.7928571428571427</v>
      </c>
      <c r="AD313" s="176">
        <f>IFERROR(_xlfn.XLOOKUP($D313,'Modelling New'!$D:$D,'Modelling New'!$T:$T)*1000,"")</f>
        <v>309344.61889388983</v>
      </c>
      <c r="AE313" s="186">
        <f>IFERROR(_xlfn.XLOOKUP($D313,'Modelling New'!$D:$D,'Modelling New'!$O:$O),"")</f>
        <v>0.79995571795505216</v>
      </c>
      <c r="AF313" s="186">
        <f>IFERROR(_xlfn.XLOOKUP($D313,'Modelling New'!$D:$D,'Modelling New'!$W:$W),"")</f>
        <v>0.19308454978022238</v>
      </c>
      <c r="AG313" s="186">
        <f>IFERROR(_xlfn.XLOOKUP($D313,'Modelling New'!$D:$D,'Modelling New'!$AE:$AE),"")</f>
        <v>0.995</v>
      </c>
      <c r="AH313" s="186">
        <f>IFERROR(_xlfn.XLOOKUP($D313,'Modelling New'!$D:$D,'Modelling New'!$AF:$AF),"")</f>
        <v>0.995</v>
      </c>
      <c r="AI313" s="177"/>
      <c r="AJ313" s="177"/>
      <c r="AK313" s="238"/>
      <c r="AL313" s="238"/>
      <c r="AM313" s="238"/>
      <c r="AN313" s="187"/>
      <c r="AO313" s="184"/>
      <c r="AP313" s="184"/>
      <c r="AQ313" s="184"/>
      <c r="AR313" s="176">
        <f>IFERROR(_xlfn.XLOOKUP($D312,'Modelling New'!$D:$D,'Modelling New'!$N:$N),"")</f>
        <v>66.754999999999995</v>
      </c>
      <c r="AS313" s="176"/>
    </row>
    <row r="314" spans="1:45" x14ac:dyDescent="0.25">
      <c r="A314" s="175">
        <f t="shared" si="23"/>
        <v>46057</v>
      </c>
      <c r="B314" s="176">
        <f>YEAR(Table13[[#This Row],[Date]])+IF(MONTH(Table13[[#This Row],[Date]])&gt;=4,1,0)</f>
        <v>2026</v>
      </c>
      <c r="C314" s="177">
        <f>YEAR(Table13[[#This Row],[Date]])</f>
        <v>2026</v>
      </c>
      <c r="D314" s="178">
        <f>Table13[[#This Row],[Date]]-DAY(Table13[[#This Row],[Date]])+1</f>
        <v>46054</v>
      </c>
      <c r="E314" s="177">
        <f t="shared" si="20"/>
        <v>28</v>
      </c>
      <c r="F314" s="179" t="str">
        <f>IFERROR(_xlfn.XLOOKUP($A314,Raw_Data!$B:$B,Raw_Data!$KG:$KG),"")</f>
        <v/>
      </c>
      <c r="G314" s="180" t="str">
        <f>IFERROR(_xlfn.XLOOKUP($A314,Raw_Data!$B:$B,Raw_Data!KH:KH),"")</f>
        <v/>
      </c>
      <c r="H314" s="180"/>
      <c r="I314" s="180" t="str">
        <f>IFERROR(_xlfn.XLOOKUP($A314,Raw_Data!$B:$B,Raw_Data!$KI:$KI),"")</f>
        <v/>
      </c>
      <c r="J314" s="180"/>
      <c r="K314" s="180" t="str">
        <f>IFERROR(_xlfn.XLOOKUP($A314,Raw_Data!$B:$B,Raw_Data!KJ:KJ),"")</f>
        <v/>
      </c>
      <c r="L314" s="180" t="str">
        <f>IFERROR(_xlfn.XLOOKUP($A314,Raw_Data!$B:$B,Raw_Data!KK:KK),"")</f>
        <v/>
      </c>
      <c r="M314" s="180" t="str">
        <f>IFERROR(_xlfn.XLOOKUP($A314,Raw_Data!$B:$B,Raw_Data!KL:KL),"")</f>
        <v/>
      </c>
      <c r="N314" s="180" t="str">
        <f>IFERROR(_xlfn.XLOOKUP($A314,Raw_Data!$B:$B,Raw_Data!KM:KM),"")</f>
        <v/>
      </c>
      <c r="O314" s="181" t="str">
        <f>IFERROR(1-SUMIF(PA!$B:$B,$A314,PA!AJ:AJ)/($AA314+SUMIF(PA!$B:$B,$A314,PA!AJ:AJ)),"")</f>
        <v/>
      </c>
      <c r="P314" s="181"/>
      <c r="Q314" s="182"/>
      <c r="R314" s="181" t="str">
        <f>IFERROR(1-SUMIF(GA!$C:$C,$A314,GA!$X:$X)/($AA314+SUMIF(GA!$C:$C,$A314,GA!$X:$X)),"")</f>
        <v/>
      </c>
      <c r="S314" s="177"/>
      <c r="T314" s="182"/>
      <c r="U314" s="183" t="str">
        <f t="shared" si="21"/>
        <v/>
      </c>
      <c r="V314" s="183" t="str">
        <f>IFERROR(_xlfn.XLOOKUP($A314,Raw_Data!$B:$B,Raw_Data!$KQ:$KQ),"")</f>
        <v/>
      </c>
      <c r="W314" s="184" t="str">
        <f t="shared" si="22"/>
        <v/>
      </c>
      <c r="X314" s="176" t="str">
        <f>IFERROR(_xlfn.XLOOKUP($A314,Raw_Data!$B:$B,Raw_Data!$KN:$KN),"")</f>
        <v/>
      </c>
      <c r="Y314" s="176" t="str">
        <f>IFERROR(_xlfn.XLOOKUP($A314,Raw_Data!$B:$B,Raw_Data!$KC:$KC),"")</f>
        <v/>
      </c>
      <c r="Z314" s="176" t="str">
        <f>IFERROR(_xlfn.XLOOKUP($A314,Raw_Data!$B:$B,Raw_Data!$KD:$KD),"")</f>
        <v/>
      </c>
      <c r="AA314" s="176" t="str">
        <f>IFERROR(_xlfn.XLOOKUP($A314,Raw_Data!$B:$B,Raw_Data!$KF:$KF),"")</f>
        <v/>
      </c>
      <c r="AB314" s="176" t="str">
        <f>IFERROR(_xlfn.XLOOKUP($A314,Raw_Data!$B:$B,Raw_Data!I:I)/1000,"")</f>
        <v/>
      </c>
      <c r="AC314" s="185">
        <f>IFERROR(_xlfn.XLOOKUP($D314,'Modelling New'!$D:$D,'Modelling New'!$P:$P),"")</f>
        <v>5.7928571428571427</v>
      </c>
      <c r="AD314" s="176">
        <f>IFERROR(_xlfn.XLOOKUP($D314,'Modelling New'!$D:$D,'Modelling New'!$T:$T)*1000,"")</f>
        <v>309344.61889388983</v>
      </c>
      <c r="AE314" s="186">
        <f>IFERROR(_xlfn.XLOOKUP($D314,'Modelling New'!$D:$D,'Modelling New'!$O:$O),"")</f>
        <v>0.79995571795505216</v>
      </c>
      <c r="AF314" s="186">
        <f>IFERROR(_xlfn.XLOOKUP($D314,'Modelling New'!$D:$D,'Modelling New'!$W:$W),"")</f>
        <v>0.19308454978022238</v>
      </c>
      <c r="AG314" s="186">
        <f>IFERROR(_xlfn.XLOOKUP($D314,'Modelling New'!$D:$D,'Modelling New'!$AE:$AE),"")</f>
        <v>0.995</v>
      </c>
      <c r="AH314" s="186">
        <f>IFERROR(_xlfn.XLOOKUP($D314,'Modelling New'!$D:$D,'Modelling New'!$AF:$AF),"")</f>
        <v>0.995</v>
      </c>
      <c r="AI314" s="177"/>
      <c r="AJ314" s="177"/>
      <c r="AK314" s="238"/>
      <c r="AL314" s="238"/>
      <c r="AM314" s="238"/>
      <c r="AN314" s="187"/>
      <c r="AO314" s="184"/>
      <c r="AP314" s="184"/>
      <c r="AQ314" s="184"/>
      <c r="AR314" s="176">
        <f>IFERROR(_xlfn.XLOOKUP($D313,'Modelling New'!$D:$D,'Modelling New'!$N:$N),"")</f>
        <v>66.754999999999995</v>
      </c>
      <c r="AS314" s="176"/>
    </row>
    <row r="315" spans="1:45" x14ac:dyDescent="0.25">
      <c r="A315" s="175">
        <f t="shared" si="23"/>
        <v>46058</v>
      </c>
      <c r="B315" s="176">
        <f>YEAR(Table13[[#This Row],[Date]])+IF(MONTH(Table13[[#This Row],[Date]])&gt;=4,1,0)</f>
        <v>2026</v>
      </c>
      <c r="C315" s="177">
        <f>YEAR(Table13[[#This Row],[Date]])</f>
        <v>2026</v>
      </c>
      <c r="D315" s="178">
        <f>Table13[[#This Row],[Date]]-DAY(Table13[[#This Row],[Date]])+1</f>
        <v>46054</v>
      </c>
      <c r="E315" s="177">
        <f t="shared" si="20"/>
        <v>28</v>
      </c>
      <c r="F315" s="179" t="str">
        <f>IFERROR(_xlfn.XLOOKUP($A315,Raw_Data!$B:$B,Raw_Data!$KG:$KG),"")</f>
        <v/>
      </c>
      <c r="G315" s="180" t="str">
        <f>IFERROR(_xlfn.XLOOKUP($A315,Raw_Data!$B:$B,Raw_Data!KH:KH),"")</f>
        <v/>
      </c>
      <c r="H315" s="180"/>
      <c r="I315" s="180" t="str">
        <f>IFERROR(_xlfn.XLOOKUP($A315,Raw_Data!$B:$B,Raw_Data!$KI:$KI),"")</f>
        <v/>
      </c>
      <c r="J315" s="180"/>
      <c r="K315" s="180" t="str">
        <f>IFERROR(_xlfn.XLOOKUP($A315,Raw_Data!$B:$B,Raw_Data!KJ:KJ),"")</f>
        <v/>
      </c>
      <c r="L315" s="180" t="str">
        <f>IFERROR(_xlfn.XLOOKUP($A315,Raw_Data!$B:$B,Raw_Data!KK:KK),"")</f>
        <v/>
      </c>
      <c r="M315" s="180" t="str">
        <f>IFERROR(_xlfn.XLOOKUP($A315,Raw_Data!$B:$B,Raw_Data!KL:KL),"")</f>
        <v/>
      </c>
      <c r="N315" s="180" t="str">
        <f>IFERROR(_xlfn.XLOOKUP($A315,Raw_Data!$B:$B,Raw_Data!KM:KM),"")</f>
        <v/>
      </c>
      <c r="O315" s="181" t="str">
        <f>IFERROR(1-SUMIF(PA!$B:$B,$A315,PA!AJ:AJ)/($AA315+SUMIF(PA!$B:$B,$A315,PA!AJ:AJ)),"")</f>
        <v/>
      </c>
      <c r="P315" s="181"/>
      <c r="Q315" s="182"/>
      <c r="R315" s="181" t="str">
        <f>IFERROR(1-SUMIF(GA!$C:$C,$A315,GA!$X:$X)/($AA315+SUMIF(GA!$C:$C,$A315,GA!$X:$X)),"")</f>
        <v/>
      </c>
      <c r="S315" s="177"/>
      <c r="T315" s="182"/>
      <c r="U315" s="183" t="str">
        <f t="shared" si="21"/>
        <v/>
      </c>
      <c r="V315" s="183" t="str">
        <f>IFERROR(_xlfn.XLOOKUP($A315,Raw_Data!$B:$B,Raw_Data!$KQ:$KQ),"")</f>
        <v/>
      </c>
      <c r="W315" s="184" t="str">
        <f t="shared" si="22"/>
        <v/>
      </c>
      <c r="X315" s="176" t="str">
        <f>IFERROR(_xlfn.XLOOKUP($A315,Raw_Data!$B:$B,Raw_Data!$KN:$KN),"")</f>
        <v/>
      </c>
      <c r="Y315" s="176" t="str">
        <f>IFERROR(_xlfn.XLOOKUP($A315,Raw_Data!$B:$B,Raw_Data!$KC:$KC),"")</f>
        <v/>
      </c>
      <c r="Z315" s="176" t="str">
        <f>IFERROR(_xlfn.XLOOKUP($A315,Raw_Data!$B:$B,Raw_Data!$KD:$KD),"")</f>
        <v/>
      </c>
      <c r="AA315" s="176" t="str">
        <f>IFERROR(_xlfn.XLOOKUP($A315,Raw_Data!$B:$B,Raw_Data!$KF:$KF),"")</f>
        <v/>
      </c>
      <c r="AB315" s="176" t="str">
        <f>IFERROR(_xlfn.XLOOKUP($A315,Raw_Data!$B:$B,Raw_Data!I:I)/1000,"")</f>
        <v/>
      </c>
      <c r="AC315" s="185">
        <f>IFERROR(_xlfn.XLOOKUP($D315,'Modelling New'!$D:$D,'Modelling New'!$P:$P),"")</f>
        <v>5.7928571428571427</v>
      </c>
      <c r="AD315" s="176">
        <f>IFERROR(_xlfn.XLOOKUP($D315,'Modelling New'!$D:$D,'Modelling New'!$T:$T)*1000,"")</f>
        <v>309344.61889388983</v>
      </c>
      <c r="AE315" s="186">
        <f>IFERROR(_xlfn.XLOOKUP($D315,'Modelling New'!$D:$D,'Modelling New'!$O:$O),"")</f>
        <v>0.79995571795505216</v>
      </c>
      <c r="AF315" s="186">
        <f>IFERROR(_xlfn.XLOOKUP($D315,'Modelling New'!$D:$D,'Modelling New'!$W:$W),"")</f>
        <v>0.19308454978022238</v>
      </c>
      <c r="AG315" s="186">
        <f>IFERROR(_xlfn.XLOOKUP($D315,'Modelling New'!$D:$D,'Modelling New'!$AE:$AE),"")</f>
        <v>0.995</v>
      </c>
      <c r="AH315" s="186">
        <f>IFERROR(_xlfn.XLOOKUP($D315,'Modelling New'!$D:$D,'Modelling New'!$AF:$AF),"")</f>
        <v>0.995</v>
      </c>
      <c r="AI315" s="177"/>
      <c r="AJ315" s="177"/>
      <c r="AK315" s="238"/>
      <c r="AL315" s="238"/>
      <c r="AM315" s="238"/>
      <c r="AN315" s="187"/>
      <c r="AO315" s="184"/>
      <c r="AP315" s="184"/>
      <c r="AQ315" s="184"/>
      <c r="AR315" s="176">
        <f>IFERROR(_xlfn.XLOOKUP($D314,'Modelling New'!$D:$D,'Modelling New'!$N:$N),"")</f>
        <v>66.754999999999995</v>
      </c>
      <c r="AS315" s="176"/>
    </row>
    <row r="316" spans="1:45" x14ac:dyDescent="0.25">
      <c r="A316" s="175">
        <f t="shared" si="23"/>
        <v>46059</v>
      </c>
      <c r="B316" s="176">
        <f>YEAR(Table13[[#This Row],[Date]])+IF(MONTH(Table13[[#This Row],[Date]])&gt;=4,1,0)</f>
        <v>2026</v>
      </c>
      <c r="C316" s="177">
        <f>YEAR(Table13[[#This Row],[Date]])</f>
        <v>2026</v>
      </c>
      <c r="D316" s="178">
        <f>Table13[[#This Row],[Date]]-DAY(Table13[[#This Row],[Date]])+1</f>
        <v>46054</v>
      </c>
      <c r="E316" s="177">
        <f t="shared" si="20"/>
        <v>28</v>
      </c>
      <c r="F316" s="179" t="str">
        <f>IFERROR(_xlfn.XLOOKUP($A316,Raw_Data!$B:$B,Raw_Data!$KG:$KG),"")</f>
        <v/>
      </c>
      <c r="G316" s="180" t="str">
        <f>IFERROR(_xlfn.XLOOKUP($A316,Raw_Data!$B:$B,Raw_Data!KH:KH),"")</f>
        <v/>
      </c>
      <c r="H316" s="180"/>
      <c r="I316" s="180" t="str">
        <f>IFERROR(_xlfn.XLOOKUP($A316,Raw_Data!$B:$B,Raw_Data!$KI:$KI),"")</f>
        <v/>
      </c>
      <c r="J316" s="180"/>
      <c r="K316" s="180" t="str">
        <f>IFERROR(_xlfn.XLOOKUP($A316,Raw_Data!$B:$B,Raw_Data!KJ:KJ),"")</f>
        <v/>
      </c>
      <c r="L316" s="180" t="str">
        <f>IFERROR(_xlfn.XLOOKUP($A316,Raw_Data!$B:$B,Raw_Data!KK:KK),"")</f>
        <v/>
      </c>
      <c r="M316" s="180" t="str">
        <f>IFERROR(_xlfn.XLOOKUP($A316,Raw_Data!$B:$B,Raw_Data!KL:KL),"")</f>
        <v/>
      </c>
      <c r="N316" s="180" t="str">
        <f>IFERROR(_xlfn.XLOOKUP($A316,Raw_Data!$B:$B,Raw_Data!KM:KM),"")</f>
        <v/>
      </c>
      <c r="O316" s="181" t="str">
        <f>IFERROR(1-SUMIF(PA!$B:$B,$A316,PA!AJ:AJ)/($AA316+SUMIF(PA!$B:$B,$A316,PA!AJ:AJ)),"")</f>
        <v/>
      </c>
      <c r="P316" s="181"/>
      <c r="Q316" s="182"/>
      <c r="R316" s="181" t="str">
        <f>IFERROR(1-SUMIF(GA!$C:$C,$A316,GA!$X:$X)/($AA316+SUMIF(GA!$C:$C,$A316,GA!$X:$X)),"")</f>
        <v/>
      </c>
      <c r="S316" s="177"/>
      <c r="T316" s="182"/>
      <c r="U316" s="183" t="str">
        <f t="shared" si="21"/>
        <v/>
      </c>
      <c r="V316" s="183" t="str">
        <f>IFERROR(_xlfn.XLOOKUP($A316,Raw_Data!$B:$B,Raw_Data!$KQ:$KQ),"")</f>
        <v/>
      </c>
      <c r="W316" s="184" t="str">
        <f t="shared" si="22"/>
        <v/>
      </c>
      <c r="X316" s="176" t="str">
        <f>IFERROR(_xlfn.XLOOKUP($A316,Raw_Data!$B:$B,Raw_Data!$KN:$KN),"")</f>
        <v/>
      </c>
      <c r="Y316" s="176" t="str">
        <f>IFERROR(_xlfn.XLOOKUP($A316,Raw_Data!$B:$B,Raw_Data!$KC:$KC),"")</f>
        <v/>
      </c>
      <c r="Z316" s="176" t="str">
        <f>IFERROR(_xlfn.XLOOKUP($A316,Raw_Data!$B:$B,Raw_Data!$KD:$KD),"")</f>
        <v/>
      </c>
      <c r="AA316" s="176" t="str">
        <f>IFERROR(_xlfn.XLOOKUP($A316,Raw_Data!$B:$B,Raw_Data!$KF:$KF),"")</f>
        <v/>
      </c>
      <c r="AB316" s="176" t="str">
        <f>IFERROR(_xlfn.XLOOKUP($A316,Raw_Data!$B:$B,Raw_Data!I:I)/1000,"")</f>
        <v/>
      </c>
      <c r="AC316" s="185">
        <f>IFERROR(_xlfn.XLOOKUP($D316,'Modelling New'!$D:$D,'Modelling New'!$P:$P),"")</f>
        <v>5.7928571428571427</v>
      </c>
      <c r="AD316" s="176">
        <f>IFERROR(_xlfn.XLOOKUP($D316,'Modelling New'!$D:$D,'Modelling New'!$T:$T)*1000,"")</f>
        <v>309344.61889388983</v>
      </c>
      <c r="AE316" s="186">
        <f>IFERROR(_xlfn.XLOOKUP($D316,'Modelling New'!$D:$D,'Modelling New'!$O:$O),"")</f>
        <v>0.79995571795505216</v>
      </c>
      <c r="AF316" s="186">
        <f>IFERROR(_xlfn.XLOOKUP($D316,'Modelling New'!$D:$D,'Modelling New'!$W:$W),"")</f>
        <v>0.19308454978022238</v>
      </c>
      <c r="AG316" s="186">
        <f>IFERROR(_xlfn.XLOOKUP($D316,'Modelling New'!$D:$D,'Modelling New'!$AE:$AE),"")</f>
        <v>0.995</v>
      </c>
      <c r="AH316" s="186">
        <f>IFERROR(_xlfn.XLOOKUP($D316,'Modelling New'!$D:$D,'Modelling New'!$AF:$AF),"")</f>
        <v>0.995</v>
      </c>
      <c r="AI316" s="177"/>
      <c r="AJ316" s="177"/>
      <c r="AK316" s="238"/>
      <c r="AL316" s="238"/>
      <c r="AM316" s="238"/>
      <c r="AN316" s="187"/>
      <c r="AO316" s="184"/>
      <c r="AP316" s="184"/>
      <c r="AQ316" s="184"/>
      <c r="AR316" s="176">
        <f>IFERROR(_xlfn.XLOOKUP($D315,'Modelling New'!$D:$D,'Modelling New'!$N:$N),"")</f>
        <v>66.754999999999995</v>
      </c>
      <c r="AS316" s="176"/>
    </row>
    <row r="317" spans="1:45" x14ac:dyDescent="0.25">
      <c r="A317" s="175">
        <f t="shared" si="23"/>
        <v>46060</v>
      </c>
      <c r="B317" s="176">
        <f>YEAR(Table13[[#This Row],[Date]])+IF(MONTH(Table13[[#This Row],[Date]])&gt;=4,1,0)</f>
        <v>2026</v>
      </c>
      <c r="C317" s="177">
        <f>YEAR(Table13[[#This Row],[Date]])</f>
        <v>2026</v>
      </c>
      <c r="D317" s="178">
        <f>Table13[[#This Row],[Date]]-DAY(Table13[[#This Row],[Date]])+1</f>
        <v>46054</v>
      </c>
      <c r="E317" s="177">
        <f t="shared" si="20"/>
        <v>28</v>
      </c>
      <c r="F317" s="179" t="str">
        <f>IFERROR(_xlfn.XLOOKUP($A317,Raw_Data!$B:$B,Raw_Data!$KG:$KG),"")</f>
        <v/>
      </c>
      <c r="G317" s="180" t="str">
        <f>IFERROR(_xlfn.XLOOKUP($A317,Raw_Data!$B:$B,Raw_Data!KH:KH),"")</f>
        <v/>
      </c>
      <c r="H317" s="180"/>
      <c r="I317" s="180" t="str">
        <f>IFERROR(_xlfn.XLOOKUP($A317,Raw_Data!$B:$B,Raw_Data!$KI:$KI),"")</f>
        <v/>
      </c>
      <c r="J317" s="180"/>
      <c r="K317" s="180" t="str">
        <f>IFERROR(_xlfn.XLOOKUP($A317,Raw_Data!$B:$B,Raw_Data!KJ:KJ),"")</f>
        <v/>
      </c>
      <c r="L317" s="180" t="str">
        <f>IFERROR(_xlfn.XLOOKUP($A317,Raw_Data!$B:$B,Raw_Data!KK:KK),"")</f>
        <v/>
      </c>
      <c r="M317" s="180" t="str">
        <f>IFERROR(_xlfn.XLOOKUP($A317,Raw_Data!$B:$B,Raw_Data!KL:KL),"")</f>
        <v/>
      </c>
      <c r="N317" s="180" t="str">
        <f>IFERROR(_xlfn.XLOOKUP($A317,Raw_Data!$B:$B,Raw_Data!KM:KM),"")</f>
        <v/>
      </c>
      <c r="O317" s="181" t="str">
        <f>IFERROR(1-SUMIF(PA!$B:$B,$A317,PA!AJ:AJ)/($AA317+SUMIF(PA!$B:$B,$A317,PA!AJ:AJ)),"")</f>
        <v/>
      </c>
      <c r="P317" s="181"/>
      <c r="Q317" s="182"/>
      <c r="R317" s="181" t="str">
        <f>IFERROR(1-SUMIF(GA!$C:$C,$A317,GA!$X:$X)/($AA317+SUMIF(GA!$C:$C,$A317,GA!$X:$X)),"")</f>
        <v/>
      </c>
      <c r="S317" s="177"/>
      <c r="T317" s="182"/>
      <c r="U317" s="183" t="str">
        <f t="shared" si="21"/>
        <v/>
      </c>
      <c r="V317" s="183" t="str">
        <f>IFERROR(_xlfn.XLOOKUP($A317,Raw_Data!$B:$B,Raw_Data!$KQ:$KQ),"")</f>
        <v/>
      </c>
      <c r="W317" s="184" t="str">
        <f t="shared" si="22"/>
        <v/>
      </c>
      <c r="X317" s="176" t="str">
        <f>IFERROR(_xlfn.XLOOKUP($A317,Raw_Data!$B:$B,Raw_Data!$KN:$KN),"")</f>
        <v/>
      </c>
      <c r="Y317" s="176" t="str">
        <f>IFERROR(_xlfn.XLOOKUP($A317,Raw_Data!$B:$B,Raw_Data!$KC:$KC),"")</f>
        <v/>
      </c>
      <c r="Z317" s="176" t="str">
        <f>IFERROR(_xlfn.XLOOKUP($A317,Raw_Data!$B:$B,Raw_Data!$KD:$KD),"")</f>
        <v/>
      </c>
      <c r="AA317" s="176" t="str">
        <f>IFERROR(_xlfn.XLOOKUP($A317,Raw_Data!$B:$B,Raw_Data!$KF:$KF),"")</f>
        <v/>
      </c>
      <c r="AB317" s="176" t="str">
        <f>IFERROR(_xlfn.XLOOKUP($A317,Raw_Data!$B:$B,Raw_Data!I:I)/1000,"")</f>
        <v/>
      </c>
      <c r="AC317" s="185">
        <f>IFERROR(_xlfn.XLOOKUP($D317,'Modelling New'!$D:$D,'Modelling New'!$P:$P),"")</f>
        <v>5.7928571428571427</v>
      </c>
      <c r="AD317" s="176">
        <f>IFERROR(_xlfn.XLOOKUP($D317,'Modelling New'!$D:$D,'Modelling New'!$T:$T)*1000,"")</f>
        <v>309344.61889388983</v>
      </c>
      <c r="AE317" s="186">
        <f>IFERROR(_xlfn.XLOOKUP($D317,'Modelling New'!$D:$D,'Modelling New'!$O:$O),"")</f>
        <v>0.79995571795505216</v>
      </c>
      <c r="AF317" s="186">
        <f>IFERROR(_xlfn.XLOOKUP($D317,'Modelling New'!$D:$D,'Modelling New'!$W:$W),"")</f>
        <v>0.19308454978022238</v>
      </c>
      <c r="AG317" s="186">
        <f>IFERROR(_xlfn.XLOOKUP($D317,'Modelling New'!$D:$D,'Modelling New'!$AE:$AE),"")</f>
        <v>0.995</v>
      </c>
      <c r="AH317" s="186">
        <f>IFERROR(_xlfn.XLOOKUP($D317,'Modelling New'!$D:$D,'Modelling New'!$AF:$AF),"")</f>
        <v>0.995</v>
      </c>
      <c r="AI317" s="177"/>
      <c r="AJ317" s="177"/>
      <c r="AK317" s="238"/>
      <c r="AL317" s="238"/>
      <c r="AM317" s="238"/>
      <c r="AN317" s="187"/>
      <c r="AO317" s="184"/>
      <c r="AP317" s="184"/>
      <c r="AQ317" s="184"/>
      <c r="AR317" s="176">
        <f>IFERROR(_xlfn.XLOOKUP($D316,'Modelling New'!$D:$D,'Modelling New'!$N:$N),"")</f>
        <v>66.754999999999995</v>
      </c>
      <c r="AS317" s="176"/>
    </row>
    <row r="318" spans="1:45" x14ac:dyDescent="0.25">
      <c r="A318" s="175">
        <f t="shared" si="23"/>
        <v>46061</v>
      </c>
      <c r="B318" s="176">
        <f>YEAR(Table13[[#This Row],[Date]])+IF(MONTH(Table13[[#This Row],[Date]])&gt;=4,1,0)</f>
        <v>2026</v>
      </c>
      <c r="C318" s="177">
        <f>YEAR(Table13[[#This Row],[Date]])</f>
        <v>2026</v>
      </c>
      <c r="D318" s="178">
        <f>Table13[[#This Row],[Date]]-DAY(Table13[[#This Row],[Date]])+1</f>
        <v>46054</v>
      </c>
      <c r="E318" s="177">
        <f t="shared" si="20"/>
        <v>28</v>
      </c>
      <c r="F318" s="179" t="str">
        <f>IFERROR(_xlfn.XLOOKUP($A318,Raw_Data!$B:$B,Raw_Data!$KG:$KG),"")</f>
        <v/>
      </c>
      <c r="G318" s="180" t="str">
        <f>IFERROR(_xlfn.XLOOKUP($A318,Raw_Data!$B:$B,Raw_Data!KH:KH),"")</f>
        <v/>
      </c>
      <c r="H318" s="180"/>
      <c r="I318" s="180" t="str">
        <f>IFERROR(_xlfn.XLOOKUP($A318,Raw_Data!$B:$B,Raw_Data!$KI:$KI),"")</f>
        <v/>
      </c>
      <c r="J318" s="180"/>
      <c r="K318" s="180" t="str">
        <f>IFERROR(_xlfn.XLOOKUP($A318,Raw_Data!$B:$B,Raw_Data!KJ:KJ),"")</f>
        <v/>
      </c>
      <c r="L318" s="180" t="str">
        <f>IFERROR(_xlfn.XLOOKUP($A318,Raw_Data!$B:$B,Raw_Data!KK:KK),"")</f>
        <v/>
      </c>
      <c r="M318" s="180" t="str">
        <f>IFERROR(_xlfn.XLOOKUP($A318,Raw_Data!$B:$B,Raw_Data!KL:KL),"")</f>
        <v/>
      </c>
      <c r="N318" s="180" t="str">
        <f>IFERROR(_xlfn.XLOOKUP($A318,Raw_Data!$B:$B,Raw_Data!KM:KM),"")</f>
        <v/>
      </c>
      <c r="O318" s="181" t="str">
        <f>IFERROR(1-SUMIF(PA!$B:$B,$A318,PA!AJ:AJ)/($AA318+SUMIF(PA!$B:$B,$A318,PA!AJ:AJ)),"")</f>
        <v/>
      </c>
      <c r="P318" s="181"/>
      <c r="Q318" s="182"/>
      <c r="R318" s="181" t="str">
        <f>IFERROR(1-SUMIF(GA!$C:$C,$A318,GA!$X:$X)/($AA318+SUMIF(GA!$C:$C,$A318,GA!$X:$X)),"")</f>
        <v/>
      </c>
      <c r="S318" s="177"/>
      <c r="T318" s="182"/>
      <c r="U318" s="183" t="str">
        <f t="shared" si="21"/>
        <v/>
      </c>
      <c r="V318" s="183" t="str">
        <f>IFERROR(_xlfn.XLOOKUP($A318,Raw_Data!$B:$B,Raw_Data!$KQ:$KQ),"")</f>
        <v/>
      </c>
      <c r="W318" s="184" t="str">
        <f t="shared" si="22"/>
        <v/>
      </c>
      <c r="X318" s="176" t="str">
        <f>IFERROR(_xlfn.XLOOKUP($A318,Raw_Data!$B:$B,Raw_Data!$KN:$KN),"")</f>
        <v/>
      </c>
      <c r="Y318" s="176" t="str">
        <f>IFERROR(_xlfn.XLOOKUP($A318,Raw_Data!$B:$B,Raw_Data!$KC:$KC),"")</f>
        <v/>
      </c>
      <c r="Z318" s="176" t="str">
        <f>IFERROR(_xlfn.XLOOKUP($A318,Raw_Data!$B:$B,Raw_Data!$KD:$KD),"")</f>
        <v/>
      </c>
      <c r="AA318" s="176" t="str">
        <f>IFERROR(_xlfn.XLOOKUP($A318,Raw_Data!$B:$B,Raw_Data!$KF:$KF),"")</f>
        <v/>
      </c>
      <c r="AB318" s="176" t="str">
        <f>IFERROR(_xlfn.XLOOKUP($A318,Raw_Data!$B:$B,Raw_Data!I:I)/1000,"")</f>
        <v/>
      </c>
      <c r="AC318" s="185">
        <f>IFERROR(_xlfn.XLOOKUP($D318,'Modelling New'!$D:$D,'Modelling New'!$P:$P),"")</f>
        <v>5.7928571428571427</v>
      </c>
      <c r="AD318" s="176">
        <f>IFERROR(_xlfn.XLOOKUP($D318,'Modelling New'!$D:$D,'Modelling New'!$T:$T)*1000,"")</f>
        <v>309344.61889388983</v>
      </c>
      <c r="AE318" s="186">
        <f>IFERROR(_xlfn.XLOOKUP($D318,'Modelling New'!$D:$D,'Modelling New'!$O:$O),"")</f>
        <v>0.79995571795505216</v>
      </c>
      <c r="AF318" s="186">
        <f>IFERROR(_xlfn.XLOOKUP($D318,'Modelling New'!$D:$D,'Modelling New'!$W:$W),"")</f>
        <v>0.19308454978022238</v>
      </c>
      <c r="AG318" s="186">
        <f>IFERROR(_xlfn.XLOOKUP($D318,'Modelling New'!$D:$D,'Modelling New'!$AE:$AE),"")</f>
        <v>0.995</v>
      </c>
      <c r="AH318" s="186">
        <f>IFERROR(_xlfn.XLOOKUP($D318,'Modelling New'!$D:$D,'Modelling New'!$AF:$AF),"")</f>
        <v>0.995</v>
      </c>
      <c r="AI318" s="177"/>
      <c r="AJ318" s="177"/>
      <c r="AK318" s="238"/>
      <c r="AL318" s="238"/>
      <c r="AM318" s="238"/>
      <c r="AN318" s="187"/>
      <c r="AO318" s="184"/>
      <c r="AP318" s="184"/>
      <c r="AQ318" s="184"/>
      <c r="AR318" s="176">
        <f>IFERROR(_xlfn.XLOOKUP($D317,'Modelling New'!$D:$D,'Modelling New'!$N:$N),"")</f>
        <v>66.754999999999995</v>
      </c>
      <c r="AS318" s="176"/>
    </row>
    <row r="319" spans="1:45" x14ac:dyDescent="0.25">
      <c r="A319" s="175">
        <f t="shared" si="23"/>
        <v>46062</v>
      </c>
      <c r="B319" s="176">
        <f>YEAR(Table13[[#This Row],[Date]])+IF(MONTH(Table13[[#This Row],[Date]])&gt;=4,1,0)</f>
        <v>2026</v>
      </c>
      <c r="C319" s="177">
        <f>YEAR(Table13[[#This Row],[Date]])</f>
        <v>2026</v>
      </c>
      <c r="D319" s="178">
        <f>Table13[[#This Row],[Date]]-DAY(Table13[[#This Row],[Date]])+1</f>
        <v>46054</v>
      </c>
      <c r="E319" s="177">
        <f t="shared" si="20"/>
        <v>28</v>
      </c>
      <c r="F319" s="179" t="str">
        <f>IFERROR(_xlfn.XLOOKUP($A319,Raw_Data!$B:$B,Raw_Data!$KG:$KG),"")</f>
        <v/>
      </c>
      <c r="G319" s="180" t="str">
        <f>IFERROR(_xlfn.XLOOKUP($A319,Raw_Data!$B:$B,Raw_Data!KH:KH),"")</f>
        <v/>
      </c>
      <c r="H319" s="180"/>
      <c r="I319" s="180" t="str">
        <f>IFERROR(_xlfn.XLOOKUP($A319,Raw_Data!$B:$B,Raw_Data!$KI:$KI),"")</f>
        <v/>
      </c>
      <c r="J319" s="180"/>
      <c r="K319" s="180" t="str">
        <f>IFERROR(_xlfn.XLOOKUP($A319,Raw_Data!$B:$B,Raw_Data!KJ:KJ),"")</f>
        <v/>
      </c>
      <c r="L319" s="180" t="str">
        <f>IFERROR(_xlfn.XLOOKUP($A319,Raw_Data!$B:$B,Raw_Data!KK:KK),"")</f>
        <v/>
      </c>
      <c r="M319" s="180" t="str">
        <f>IFERROR(_xlfn.XLOOKUP($A319,Raw_Data!$B:$B,Raw_Data!KL:KL),"")</f>
        <v/>
      </c>
      <c r="N319" s="180" t="str">
        <f>IFERROR(_xlfn.XLOOKUP($A319,Raw_Data!$B:$B,Raw_Data!KM:KM),"")</f>
        <v/>
      </c>
      <c r="O319" s="181" t="str">
        <f>IFERROR(1-SUMIF(PA!$B:$B,$A319,PA!AJ:AJ)/($AA319+SUMIF(PA!$B:$B,$A319,PA!AJ:AJ)),"")</f>
        <v/>
      </c>
      <c r="P319" s="181"/>
      <c r="Q319" s="182"/>
      <c r="R319" s="181" t="str">
        <f>IFERROR(1-SUMIF(GA!$C:$C,$A319,GA!$X:$X)/($AA319+SUMIF(GA!$C:$C,$A319,GA!$X:$X)),"")</f>
        <v/>
      </c>
      <c r="S319" s="177"/>
      <c r="T319" s="182"/>
      <c r="U319" s="183" t="str">
        <f t="shared" si="21"/>
        <v/>
      </c>
      <c r="V319" s="183" t="str">
        <f>IFERROR(_xlfn.XLOOKUP($A319,Raw_Data!$B:$B,Raw_Data!$KQ:$KQ),"")</f>
        <v/>
      </c>
      <c r="W319" s="184" t="str">
        <f t="shared" si="22"/>
        <v/>
      </c>
      <c r="X319" s="176" t="str">
        <f>IFERROR(_xlfn.XLOOKUP($A319,Raw_Data!$B:$B,Raw_Data!$KN:$KN),"")</f>
        <v/>
      </c>
      <c r="Y319" s="176" t="str">
        <f>IFERROR(_xlfn.XLOOKUP($A319,Raw_Data!$B:$B,Raw_Data!$KC:$KC),"")</f>
        <v/>
      </c>
      <c r="Z319" s="176" t="str">
        <f>IFERROR(_xlfn.XLOOKUP($A319,Raw_Data!$B:$B,Raw_Data!$KD:$KD),"")</f>
        <v/>
      </c>
      <c r="AA319" s="176" t="str">
        <f>IFERROR(_xlfn.XLOOKUP($A319,Raw_Data!$B:$B,Raw_Data!$KF:$KF),"")</f>
        <v/>
      </c>
      <c r="AB319" s="176" t="str">
        <f>IFERROR(_xlfn.XLOOKUP($A319,Raw_Data!$B:$B,Raw_Data!I:I)/1000,"")</f>
        <v/>
      </c>
      <c r="AC319" s="185">
        <f>IFERROR(_xlfn.XLOOKUP($D319,'Modelling New'!$D:$D,'Modelling New'!$P:$P),"")</f>
        <v>5.7928571428571427</v>
      </c>
      <c r="AD319" s="176">
        <f>IFERROR(_xlfn.XLOOKUP($D319,'Modelling New'!$D:$D,'Modelling New'!$T:$T)*1000,"")</f>
        <v>309344.61889388983</v>
      </c>
      <c r="AE319" s="186">
        <f>IFERROR(_xlfn.XLOOKUP($D319,'Modelling New'!$D:$D,'Modelling New'!$O:$O),"")</f>
        <v>0.79995571795505216</v>
      </c>
      <c r="AF319" s="186">
        <f>IFERROR(_xlfn.XLOOKUP($D319,'Modelling New'!$D:$D,'Modelling New'!$W:$W),"")</f>
        <v>0.19308454978022238</v>
      </c>
      <c r="AG319" s="186">
        <f>IFERROR(_xlfn.XLOOKUP($D319,'Modelling New'!$D:$D,'Modelling New'!$AE:$AE),"")</f>
        <v>0.995</v>
      </c>
      <c r="AH319" s="186">
        <f>IFERROR(_xlfn.XLOOKUP($D319,'Modelling New'!$D:$D,'Modelling New'!$AF:$AF),"")</f>
        <v>0.995</v>
      </c>
      <c r="AI319" s="177"/>
      <c r="AJ319" s="177"/>
      <c r="AK319" s="238"/>
      <c r="AL319" s="238"/>
      <c r="AM319" s="238"/>
      <c r="AN319" s="187"/>
      <c r="AO319" s="184"/>
      <c r="AP319" s="184"/>
      <c r="AQ319" s="184"/>
      <c r="AR319" s="176">
        <f>IFERROR(_xlfn.XLOOKUP($D318,'Modelling New'!$D:$D,'Modelling New'!$N:$N),"")</f>
        <v>66.754999999999995</v>
      </c>
      <c r="AS319" s="176"/>
    </row>
    <row r="320" spans="1:45" x14ac:dyDescent="0.25">
      <c r="A320" s="175">
        <f t="shared" si="23"/>
        <v>46063</v>
      </c>
      <c r="B320" s="176">
        <f>YEAR(Table13[[#This Row],[Date]])+IF(MONTH(Table13[[#This Row],[Date]])&gt;=4,1,0)</f>
        <v>2026</v>
      </c>
      <c r="C320" s="177">
        <f>YEAR(Table13[[#This Row],[Date]])</f>
        <v>2026</v>
      </c>
      <c r="D320" s="178">
        <f>Table13[[#This Row],[Date]]-DAY(Table13[[#This Row],[Date]])+1</f>
        <v>46054</v>
      </c>
      <c r="E320" s="177">
        <f t="shared" si="20"/>
        <v>28</v>
      </c>
      <c r="F320" s="179" t="str">
        <f>IFERROR(_xlfn.XLOOKUP($A320,Raw_Data!$B:$B,Raw_Data!$KG:$KG),"")</f>
        <v/>
      </c>
      <c r="G320" s="180" t="str">
        <f>IFERROR(_xlfn.XLOOKUP($A320,Raw_Data!$B:$B,Raw_Data!KH:KH),"")</f>
        <v/>
      </c>
      <c r="H320" s="180"/>
      <c r="I320" s="180" t="str">
        <f>IFERROR(_xlfn.XLOOKUP($A320,Raw_Data!$B:$B,Raw_Data!$KI:$KI),"")</f>
        <v/>
      </c>
      <c r="J320" s="180"/>
      <c r="K320" s="180" t="str">
        <f>IFERROR(_xlfn.XLOOKUP($A320,Raw_Data!$B:$B,Raw_Data!KJ:KJ),"")</f>
        <v/>
      </c>
      <c r="L320" s="180" t="str">
        <f>IFERROR(_xlfn.XLOOKUP($A320,Raw_Data!$B:$B,Raw_Data!KK:KK),"")</f>
        <v/>
      </c>
      <c r="M320" s="180" t="str">
        <f>IFERROR(_xlfn.XLOOKUP($A320,Raw_Data!$B:$B,Raw_Data!KL:KL),"")</f>
        <v/>
      </c>
      <c r="N320" s="180" t="str">
        <f>IFERROR(_xlfn.XLOOKUP($A320,Raw_Data!$B:$B,Raw_Data!KM:KM),"")</f>
        <v/>
      </c>
      <c r="O320" s="181" t="str">
        <f>IFERROR(1-SUMIF(PA!$B:$B,$A320,PA!AJ:AJ)/($AA320+SUMIF(PA!$B:$B,$A320,PA!AJ:AJ)),"")</f>
        <v/>
      </c>
      <c r="P320" s="181"/>
      <c r="Q320" s="182"/>
      <c r="R320" s="181" t="str">
        <f>IFERROR(1-SUMIF(GA!$C:$C,$A320,GA!$X:$X)/($AA320+SUMIF(GA!$C:$C,$A320,GA!$X:$X)),"")</f>
        <v/>
      </c>
      <c r="S320" s="177"/>
      <c r="T320" s="182"/>
      <c r="U320" s="183" t="str">
        <f t="shared" si="21"/>
        <v/>
      </c>
      <c r="V320" s="183" t="str">
        <f>IFERROR(_xlfn.XLOOKUP($A320,Raw_Data!$B:$B,Raw_Data!$KQ:$KQ),"")</f>
        <v/>
      </c>
      <c r="W320" s="184" t="str">
        <f t="shared" si="22"/>
        <v/>
      </c>
      <c r="X320" s="176" t="str">
        <f>IFERROR(_xlfn.XLOOKUP($A320,Raw_Data!$B:$B,Raw_Data!$KN:$KN),"")</f>
        <v/>
      </c>
      <c r="Y320" s="176" t="str">
        <f>IFERROR(_xlfn.XLOOKUP($A320,Raw_Data!$B:$B,Raw_Data!$KC:$KC),"")</f>
        <v/>
      </c>
      <c r="Z320" s="176" t="str">
        <f>IFERROR(_xlfn.XLOOKUP($A320,Raw_Data!$B:$B,Raw_Data!$KD:$KD),"")</f>
        <v/>
      </c>
      <c r="AA320" s="176" t="str">
        <f>IFERROR(_xlfn.XLOOKUP($A320,Raw_Data!$B:$B,Raw_Data!$KF:$KF),"")</f>
        <v/>
      </c>
      <c r="AB320" s="176" t="str">
        <f>IFERROR(_xlfn.XLOOKUP($A320,Raw_Data!$B:$B,Raw_Data!I:I)/1000,"")</f>
        <v/>
      </c>
      <c r="AC320" s="185">
        <f>IFERROR(_xlfn.XLOOKUP($D320,'Modelling New'!$D:$D,'Modelling New'!$P:$P),"")</f>
        <v>5.7928571428571427</v>
      </c>
      <c r="AD320" s="176">
        <f>IFERROR(_xlfn.XLOOKUP($D320,'Modelling New'!$D:$D,'Modelling New'!$T:$T)*1000,"")</f>
        <v>309344.61889388983</v>
      </c>
      <c r="AE320" s="186">
        <f>IFERROR(_xlfn.XLOOKUP($D320,'Modelling New'!$D:$D,'Modelling New'!$O:$O),"")</f>
        <v>0.79995571795505216</v>
      </c>
      <c r="AF320" s="186">
        <f>IFERROR(_xlfn.XLOOKUP($D320,'Modelling New'!$D:$D,'Modelling New'!$W:$W),"")</f>
        <v>0.19308454978022238</v>
      </c>
      <c r="AG320" s="186">
        <f>IFERROR(_xlfn.XLOOKUP($D320,'Modelling New'!$D:$D,'Modelling New'!$AE:$AE),"")</f>
        <v>0.995</v>
      </c>
      <c r="AH320" s="186">
        <f>IFERROR(_xlfn.XLOOKUP($D320,'Modelling New'!$D:$D,'Modelling New'!$AF:$AF),"")</f>
        <v>0.995</v>
      </c>
      <c r="AI320" s="177"/>
      <c r="AJ320" s="177"/>
      <c r="AK320" s="238"/>
      <c r="AL320" s="238"/>
      <c r="AM320" s="238"/>
      <c r="AN320" s="187"/>
      <c r="AO320" s="184"/>
      <c r="AP320" s="184"/>
      <c r="AQ320" s="184"/>
      <c r="AR320" s="176">
        <f>IFERROR(_xlfn.XLOOKUP($D319,'Modelling New'!$D:$D,'Modelling New'!$N:$N),"")</f>
        <v>66.754999999999995</v>
      </c>
      <c r="AS320" s="176"/>
    </row>
    <row r="321" spans="1:45" x14ac:dyDescent="0.25">
      <c r="A321" s="175">
        <f t="shared" si="23"/>
        <v>46064</v>
      </c>
      <c r="B321" s="176">
        <f>YEAR(Table13[[#This Row],[Date]])+IF(MONTH(Table13[[#This Row],[Date]])&gt;=4,1,0)</f>
        <v>2026</v>
      </c>
      <c r="C321" s="177">
        <f>YEAR(Table13[[#This Row],[Date]])</f>
        <v>2026</v>
      </c>
      <c r="D321" s="178">
        <f>Table13[[#This Row],[Date]]-DAY(Table13[[#This Row],[Date]])+1</f>
        <v>46054</v>
      </c>
      <c r="E321" s="177">
        <f t="shared" si="20"/>
        <v>28</v>
      </c>
      <c r="F321" s="179" t="str">
        <f>IFERROR(_xlfn.XLOOKUP($A321,Raw_Data!$B:$B,Raw_Data!$KG:$KG),"")</f>
        <v/>
      </c>
      <c r="G321" s="180" t="str">
        <f>IFERROR(_xlfn.XLOOKUP($A321,Raw_Data!$B:$B,Raw_Data!KH:KH),"")</f>
        <v/>
      </c>
      <c r="H321" s="180"/>
      <c r="I321" s="180" t="str">
        <f>IFERROR(_xlfn.XLOOKUP($A321,Raw_Data!$B:$B,Raw_Data!$KI:$KI),"")</f>
        <v/>
      </c>
      <c r="J321" s="180"/>
      <c r="K321" s="180" t="str">
        <f>IFERROR(_xlfn.XLOOKUP($A321,Raw_Data!$B:$B,Raw_Data!KJ:KJ),"")</f>
        <v/>
      </c>
      <c r="L321" s="180" t="str">
        <f>IFERROR(_xlfn.XLOOKUP($A321,Raw_Data!$B:$B,Raw_Data!KK:KK),"")</f>
        <v/>
      </c>
      <c r="M321" s="180" t="str">
        <f>IFERROR(_xlfn.XLOOKUP($A321,Raw_Data!$B:$B,Raw_Data!KL:KL),"")</f>
        <v/>
      </c>
      <c r="N321" s="180" t="str">
        <f>IFERROR(_xlfn.XLOOKUP($A321,Raw_Data!$B:$B,Raw_Data!KM:KM),"")</f>
        <v/>
      </c>
      <c r="O321" s="181" t="str">
        <f>IFERROR(1-SUMIF(PA!$B:$B,$A321,PA!AJ:AJ)/($AA321+SUMIF(PA!$B:$B,$A321,PA!AJ:AJ)),"")</f>
        <v/>
      </c>
      <c r="P321" s="181"/>
      <c r="Q321" s="182"/>
      <c r="R321" s="181" t="str">
        <f>IFERROR(1-SUMIF(GA!$C:$C,$A321,GA!$X:$X)/($AA321+SUMIF(GA!$C:$C,$A321,GA!$X:$X)),"")</f>
        <v/>
      </c>
      <c r="S321" s="177"/>
      <c r="T321" s="182"/>
      <c r="U321" s="183" t="str">
        <f t="shared" si="21"/>
        <v/>
      </c>
      <c r="V321" s="183" t="str">
        <f>IFERROR(_xlfn.XLOOKUP($A321,Raw_Data!$B:$B,Raw_Data!$KQ:$KQ),"")</f>
        <v/>
      </c>
      <c r="W321" s="184" t="str">
        <f t="shared" si="22"/>
        <v/>
      </c>
      <c r="X321" s="176" t="str">
        <f>IFERROR(_xlfn.XLOOKUP($A321,Raw_Data!$B:$B,Raw_Data!$KN:$KN),"")</f>
        <v/>
      </c>
      <c r="Y321" s="176" t="str">
        <f>IFERROR(_xlfn.XLOOKUP($A321,Raw_Data!$B:$B,Raw_Data!$KC:$KC),"")</f>
        <v/>
      </c>
      <c r="Z321" s="176" t="str">
        <f>IFERROR(_xlfn.XLOOKUP($A321,Raw_Data!$B:$B,Raw_Data!$KD:$KD),"")</f>
        <v/>
      </c>
      <c r="AA321" s="176" t="str">
        <f>IFERROR(_xlfn.XLOOKUP($A321,Raw_Data!$B:$B,Raw_Data!$KF:$KF),"")</f>
        <v/>
      </c>
      <c r="AB321" s="176" t="str">
        <f>IFERROR(_xlfn.XLOOKUP($A321,Raw_Data!$B:$B,Raw_Data!I:I)/1000,"")</f>
        <v/>
      </c>
      <c r="AC321" s="185">
        <f>IFERROR(_xlfn.XLOOKUP($D321,'Modelling New'!$D:$D,'Modelling New'!$P:$P),"")</f>
        <v>5.7928571428571427</v>
      </c>
      <c r="AD321" s="176">
        <f>IFERROR(_xlfn.XLOOKUP($D321,'Modelling New'!$D:$D,'Modelling New'!$T:$T)*1000,"")</f>
        <v>309344.61889388983</v>
      </c>
      <c r="AE321" s="186">
        <f>IFERROR(_xlfn.XLOOKUP($D321,'Modelling New'!$D:$D,'Modelling New'!$O:$O),"")</f>
        <v>0.79995571795505216</v>
      </c>
      <c r="AF321" s="186">
        <f>IFERROR(_xlfn.XLOOKUP($D321,'Modelling New'!$D:$D,'Modelling New'!$W:$W),"")</f>
        <v>0.19308454978022238</v>
      </c>
      <c r="AG321" s="186">
        <f>IFERROR(_xlfn.XLOOKUP($D321,'Modelling New'!$D:$D,'Modelling New'!$AE:$AE),"")</f>
        <v>0.995</v>
      </c>
      <c r="AH321" s="186">
        <f>IFERROR(_xlfn.XLOOKUP($D321,'Modelling New'!$D:$D,'Modelling New'!$AF:$AF),"")</f>
        <v>0.995</v>
      </c>
      <c r="AI321" s="177"/>
      <c r="AJ321" s="177"/>
      <c r="AK321" s="238"/>
      <c r="AL321" s="238"/>
      <c r="AM321" s="238"/>
      <c r="AN321" s="187"/>
      <c r="AO321" s="184"/>
      <c r="AP321" s="184"/>
      <c r="AQ321" s="184"/>
      <c r="AR321" s="176">
        <f>IFERROR(_xlfn.XLOOKUP($D320,'Modelling New'!$D:$D,'Modelling New'!$N:$N),"")</f>
        <v>66.754999999999995</v>
      </c>
      <c r="AS321" s="176"/>
    </row>
    <row r="322" spans="1:45" x14ac:dyDescent="0.25">
      <c r="A322" s="175">
        <f t="shared" si="23"/>
        <v>46065</v>
      </c>
      <c r="B322" s="176">
        <f>YEAR(Table13[[#This Row],[Date]])+IF(MONTH(Table13[[#This Row],[Date]])&gt;=4,1,0)</f>
        <v>2026</v>
      </c>
      <c r="C322" s="177">
        <f>YEAR(Table13[[#This Row],[Date]])</f>
        <v>2026</v>
      </c>
      <c r="D322" s="178">
        <f>Table13[[#This Row],[Date]]-DAY(Table13[[#This Row],[Date]])+1</f>
        <v>46054</v>
      </c>
      <c r="E322" s="177">
        <f t="shared" si="20"/>
        <v>28</v>
      </c>
      <c r="F322" s="179" t="str">
        <f>IFERROR(_xlfn.XLOOKUP($A322,Raw_Data!$B:$B,Raw_Data!$KG:$KG),"")</f>
        <v/>
      </c>
      <c r="G322" s="180" t="str">
        <f>IFERROR(_xlfn.XLOOKUP($A322,Raw_Data!$B:$B,Raw_Data!KH:KH),"")</f>
        <v/>
      </c>
      <c r="H322" s="180"/>
      <c r="I322" s="180" t="str">
        <f>IFERROR(_xlfn.XLOOKUP($A322,Raw_Data!$B:$B,Raw_Data!$KI:$KI),"")</f>
        <v/>
      </c>
      <c r="J322" s="180"/>
      <c r="K322" s="180" t="str">
        <f>IFERROR(_xlfn.XLOOKUP($A322,Raw_Data!$B:$B,Raw_Data!KJ:KJ),"")</f>
        <v/>
      </c>
      <c r="L322" s="180" t="str">
        <f>IFERROR(_xlfn.XLOOKUP($A322,Raw_Data!$B:$B,Raw_Data!KK:KK),"")</f>
        <v/>
      </c>
      <c r="M322" s="180" t="str">
        <f>IFERROR(_xlfn.XLOOKUP($A322,Raw_Data!$B:$B,Raw_Data!KL:KL),"")</f>
        <v/>
      </c>
      <c r="N322" s="180" t="str">
        <f>IFERROR(_xlfn.XLOOKUP($A322,Raw_Data!$B:$B,Raw_Data!KM:KM),"")</f>
        <v/>
      </c>
      <c r="O322" s="181" t="str">
        <f>IFERROR(1-SUMIF(PA!$B:$B,$A322,PA!AJ:AJ)/($AA322+SUMIF(PA!$B:$B,$A322,PA!AJ:AJ)),"")</f>
        <v/>
      </c>
      <c r="P322" s="181"/>
      <c r="Q322" s="182"/>
      <c r="R322" s="181" t="str">
        <f>IFERROR(1-SUMIF(GA!$C:$C,$A322,GA!$X:$X)/($AA322+SUMIF(GA!$C:$C,$A322,GA!$X:$X)),"")</f>
        <v/>
      </c>
      <c r="S322" s="177"/>
      <c r="T322" s="182"/>
      <c r="U322" s="183" t="str">
        <f t="shared" si="21"/>
        <v/>
      </c>
      <c r="V322" s="183" t="str">
        <f>IFERROR(_xlfn.XLOOKUP($A322,Raw_Data!$B:$B,Raw_Data!$KQ:$KQ),"")</f>
        <v/>
      </c>
      <c r="W322" s="184" t="str">
        <f t="shared" si="22"/>
        <v/>
      </c>
      <c r="X322" s="176" t="str">
        <f>IFERROR(_xlfn.XLOOKUP($A322,Raw_Data!$B:$B,Raw_Data!$KN:$KN),"")</f>
        <v/>
      </c>
      <c r="Y322" s="176" t="str">
        <f>IFERROR(_xlfn.XLOOKUP($A322,Raw_Data!$B:$B,Raw_Data!$KC:$KC),"")</f>
        <v/>
      </c>
      <c r="Z322" s="176" t="str">
        <f>IFERROR(_xlfn.XLOOKUP($A322,Raw_Data!$B:$B,Raw_Data!$KD:$KD),"")</f>
        <v/>
      </c>
      <c r="AA322" s="176" t="str">
        <f>IFERROR(_xlfn.XLOOKUP($A322,Raw_Data!$B:$B,Raw_Data!$KF:$KF),"")</f>
        <v/>
      </c>
      <c r="AB322" s="176" t="str">
        <f>IFERROR(_xlfn.XLOOKUP($A322,Raw_Data!$B:$B,Raw_Data!I:I)/1000,"")</f>
        <v/>
      </c>
      <c r="AC322" s="185">
        <f>IFERROR(_xlfn.XLOOKUP($D322,'Modelling New'!$D:$D,'Modelling New'!$P:$P),"")</f>
        <v>5.7928571428571427</v>
      </c>
      <c r="AD322" s="176">
        <f>IFERROR(_xlfn.XLOOKUP($D322,'Modelling New'!$D:$D,'Modelling New'!$T:$T)*1000,"")</f>
        <v>309344.61889388983</v>
      </c>
      <c r="AE322" s="186">
        <f>IFERROR(_xlfn.XLOOKUP($D322,'Modelling New'!$D:$D,'Modelling New'!$O:$O),"")</f>
        <v>0.79995571795505216</v>
      </c>
      <c r="AF322" s="186">
        <f>IFERROR(_xlfn.XLOOKUP($D322,'Modelling New'!$D:$D,'Modelling New'!$W:$W),"")</f>
        <v>0.19308454978022238</v>
      </c>
      <c r="AG322" s="186">
        <f>IFERROR(_xlfn.XLOOKUP($D322,'Modelling New'!$D:$D,'Modelling New'!$AE:$AE),"")</f>
        <v>0.995</v>
      </c>
      <c r="AH322" s="186">
        <f>IFERROR(_xlfn.XLOOKUP($D322,'Modelling New'!$D:$D,'Modelling New'!$AF:$AF),"")</f>
        <v>0.995</v>
      </c>
      <c r="AI322" s="177"/>
      <c r="AJ322" s="177"/>
      <c r="AK322" s="238"/>
      <c r="AL322" s="238"/>
      <c r="AM322" s="238"/>
      <c r="AN322" s="187"/>
      <c r="AO322" s="184"/>
      <c r="AP322" s="184"/>
      <c r="AQ322" s="184"/>
      <c r="AR322" s="176">
        <f>IFERROR(_xlfn.XLOOKUP($D321,'Modelling New'!$D:$D,'Modelling New'!$N:$N),"")</f>
        <v>66.754999999999995</v>
      </c>
      <c r="AS322" s="176"/>
    </row>
    <row r="323" spans="1:45" x14ac:dyDescent="0.25">
      <c r="A323" s="175">
        <f t="shared" si="23"/>
        <v>46066</v>
      </c>
      <c r="B323" s="176">
        <f>YEAR(Table13[[#This Row],[Date]])+IF(MONTH(Table13[[#This Row],[Date]])&gt;=4,1,0)</f>
        <v>2026</v>
      </c>
      <c r="C323" s="177">
        <f>YEAR(Table13[[#This Row],[Date]])</f>
        <v>2026</v>
      </c>
      <c r="D323" s="178">
        <f>Table13[[#This Row],[Date]]-DAY(Table13[[#This Row],[Date]])+1</f>
        <v>46054</v>
      </c>
      <c r="E323" s="177">
        <f t="shared" si="20"/>
        <v>28</v>
      </c>
      <c r="F323" s="179" t="str">
        <f>IFERROR(_xlfn.XLOOKUP($A323,Raw_Data!$B:$B,Raw_Data!$KG:$KG),"")</f>
        <v/>
      </c>
      <c r="G323" s="180" t="str">
        <f>IFERROR(_xlfn.XLOOKUP($A323,Raw_Data!$B:$B,Raw_Data!KH:KH),"")</f>
        <v/>
      </c>
      <c r="H323" s="180"/>
      <c r="I323" s="180" t="str">
        <f>IFERROR(_xlfn.XLOOKUP($A323,Raw_Data!$B:$B,Raw_Data!$KI:$KI),"")</f>
        <v/>
      </c>
      <c r="J323" s="180"/>
      <c r="K323" s="180" t="str">
        <f>IFERROR(_xlfn.XLOOKUP($A323,Raw_Data!$B:$B,Raw_Data!KJ:KJ),"")</f>
        <v/>
      </c>
      <c r="L323" s="180" t="str">
        <f>IFERROR(_xlfn.XLOOKUP($A323,Raw_Data!$B:$B,Raw_Data!KK:KK),"")</f>
        <v/>
      </c>
      <c r="M323" s="180" t="str">
        <f>IFERROR(_xlfn.XLOOKUP($A323,Raw_Data!$B:$B,Raw_Data!KL:KL),"")</f>
        <v/>
      </c>
      <c r="N323" s="180" t="str">
        <f>IFERROR(_xlfn.XLOOKUP($A323,Raw_Data!$B:$B,Raw_Data!KM:KM),"")</f>
        <v/>
      </c>
      <c r="O323" s="181" t="str">
        <f>IFERROR(1-SUMIF(PA!$B:$B,$A323,PA!AJ:AJ)/($AA323+SUMIF(PA!$B:$B,$A323,PA!AJ:AJ)),"")</f>
        <v/>
      </c>
      <c r="P323" s="181"/>
      <c r="Q323" s="182"/>
      <c r="R323" s="181" t="str">
        <f>IFERROR(1-SUMIF(GA!$C:$C,$A323,GA!$X:$X)/($AA323+SUMIF(GA!$C:$C,$A323,GA!$X:$X)),"")</f>
        <v/>
      </c>
      <c r="S323" s="177"/>
      <c r="T323" s="182"/>
      <c r="U323" s="183" t="str">
        <f t="shared" si="21"/>
        <v/>
      </c>
      <c r="V323" s="183" t="str">
        <f>IFERROR(_xlfn.XLOOKUP($A323,Raw_Data!$B:$B,Raw_Data!$KQ:$KQ),"")</f>
        <v/>
      </c>
      <c r="W323" s="184" t="str">
        <f t="shared" si="22"/>
        <v/>
      </c>
      <c r="X323" s="176" t="str">
        <f>IFERROR(_xlfn.XLOOKUP($A323,Raw_Data!$B:$B,Raw_Data!$KN:$KN),"")</f>
        <v/>
      </c>
      <c r="Y323" s="176" t="str">
        <f>IFERROR(_xlfn.XLOOKUP($A323,Raw_Data!$B:$B,Raw_Data!$KC:$KC),"")</f>
        <v/>
      </c>
      <c r="Z323" s="176" t="str">
        <f>IFERROR(_xlfn.XLOOKUP($A323,Raw_Data!$B:$B,Raw_Data!$KD:$KD),"")</f>
        <v/>
      </c>
      <c r="AA323" s="176" t="str">
        <f>IFERROR(_xlfn.XLOOKUP($A323,Raw_Data!$B:$B,Raw_Data!$KF:$KF),"")</f>
        <v/>
      </c>
      <c r="AB323" s="176" t="str">
        <f>IFERROR(_xlfn.XLOOKUP($A323,Raw_Data!$B:$B,Raw_Data!I:I)/1000,"")</f>
        <v/>
      </c>
      <c r="AC323" s="185">
        <f>IFERROR(_xlfn.XLOOKUP($D323,'Modelling New'!$D:$D,'Modelling New'!$P:$P),"")</f>
        <v>5.7928571428571427</v>
      </c>
      <c r="AD323" s="176">
        <f>IFERROR(_xlfn.XLOOKUP($D323,'Modelling New'!$D:$D,'Modelling New'!$T:$T)*1000,"")</f>
        <v>309344.61889388983</v>
      </c>
      <c r="AE323" s="186">
        <f>IFERROR(_xlfn.XLOOKUP($D323,'Modelling New'!$D:$D,'Modelling New'!$O:$O),"")</f>
        <v>0.79995571795505216</v>
      </c>
      <c r="AF323" s="186">
        <f>IFERROR(_xlfn.XLOOKUP($D323,'Modelling New'!$D:$D,'Modelling New'!$W:$W),"")</f>
        <v>0.19308454978022238</v>
      </c>
      <c r="AG323" s="186">
        <f>IFERROR(_xlfn.XLOOKUP($D323,'Modelling New'!$D:$D,'Modelling New'!$AE:$AE),"")</f>
        <v>0.995</v>
      </c>
      <c r="AH323" s="186">
        <f>IFERROR(_xlfn.XLOOKUP($D323,'Modelling New'!$D:$D,'Modelling New'!$AF:$AF),"")</f>
        <v>0.995</v>
      </c>
      <c r="AI323" s="177"/>
      <c r="AJ323" s="177"/>
      <c r="AK323" s="238"/>
      <c r="AL323" s="238"/>
      <c r="AM323" s="238"/>
      <c r="AN323" s="187"/>
      <c r="AO323" s="184"/>
      <c r="AP323" s="184"/>
      <c r="AQ323" s="184"/>
      <c r="AR323" s="176">
        <f>IFERROR(_xlfn.XLOOKUP($D322,'Modelling New'!$D:$D,'Modelling New'!$N:$N),"")</f>
        <v>66.754999999999995</v>
      </c>
      <c r="AS323" s="176"/>
    </row>
    <row r="324" spans="1:45" x14ac:dyDescent="0.25">
      <c r="A324" s="175">
        <f t="shared" si="23"/>
        <v>46067</v>
      </c>
      <c r="B324" s="176">
        <f>YEAR(Table13[[#This Row],[Date]])+IF(MONTH(Table13[[#This Row],[Date]])&gt;=4,1,0)</f>
        <v>2026</v>
      </c>
      <c r="C324" s="177">
        <f>YEAR(Table13[[#This Row],[Date]])</f>
        <v>2026</v>
      </c>
      <c r="D324" s="178">
        <f>Table13[[#This Row],[Date]]-DAY(Table13[[#This Row],[Date]])+1</f>
        <v>46054</v>
      </c>
      <c r="E324" s="177">
        <f t="shared" si="20"/>
        <v>28</v>
      </c>
      <c r="F324" s="179" t="str">
        <f>IFERROR(_xlfn.XLOOKUP($A324,Raw_Data!$B:$B,Raw_Data!$KG:$KG),"")</f>
        <v/>
      </c>
      <c r="G324" s="180" t="str">
        <f>IFERROR(_xlfn.XLOOKUP($A324,Raw_Data!$B:$B,Raw_Data!KH:KH),"")</f>
        <v/>
      </c>
      <c r="H324" s="180"/>
      <c r="I324" s="180" t="str">
        <f>IFERROR(_xlfn.XLOOKUP($A324,Raw_Data!$B:$B,Raw_Data!$KI:$KI),"")</f>
        <v/>
      </c>
      <c r="J324" s="180"/>
      <c r="K324" s="180" t="str">
        <f>IFERROR(_xlfn.XLOOKUP($A324,Raw_Data!$B:$B,Raw_Data!KJ:KJ),"")</f>
        <v/>
      </c>
      <c r="L324" s="180" t="str">
        <f>IFERROR(_xlfn.XLOOKUP($A324,Raw_Data!$B:$B,Raw_Data!KK:KK),"")</f>
        <v/>
      </c>
      <c r="M324" s="180" t="str">
        <f>IFERROR(_xlfn.XLOOKUP($A324,Raw_Data!$B:$B,Raw_Data!KL:KL),"")</f>
        <v/>
      </c>
      <c r="N324" s="180" t="str">
        <f>IFERROR(_xlfn.XLOOKUP($A324,Raw_Data!$B:$B,Raw_Data!KM:KM),"")</f>
        <v/>
      </c>
      <c r="O324" s="181" t="str">
        <f>IFERROR(1-SUMIF(PA!$B:$B,$A324,PA!AJ:AJ)/($AA324+SUMIF(PA!$B:$B,$A324,PA!AJ:AJ)),"")</f>
        <v/>
      </c>
      <c r="P324" s="181"/>
      <c r="Q324" s="182"/>
      <c r="R324" s="181" t="str">
        <f>IFERROR(1-SUMIF(GA!$C:$C,$A324,GA!$X:$X)/($AA324+SUMIF(GA!$C:$C,$A324,GA!$X:$X)),"")</f>
        <v/>
      </c>
      <c r="S324" s="177"/>
      <c r="T324" s="182"/>
      <c r="U324" s="183" t="str">
        <f t="shared" si="21"/>
        <v/>
      </c>
      <c r="V324" s="183" t="str">
        <f>IFERROR(_xlfn.XLOOKUP($A324,Raw_Data!$B:$B,Raw_Data!$KQ:$KQ),"")</f>
        <v/>
      </c>
      <c r="W324" s="184" t="str">
        <f t="shared" si="22"/>
        <v/>
      </c>
      <c r="X324" s="176" t="str">
        <f>IFERROR(_xlfn.XLOOKUP($A324,Raw_Data!$B:$B,Raw_Data!$KN:$KN),"")</f>
        <v/>
      </c>
      <c r="Y324" s="176" t="str">
        <f>IFERROR(_xlfn.XLOOKUP($A324,Raw_Data!$B:$B,Raw_Data!$KC:$KC),"")</f>
        <v/>
      </c>
      <c r="Z324" s="176" t="str">
        <f>IFERROR(_xlfn.XLOOKUP($A324,Raw_Data!$B:$B,Raw_Data!$KD:$KD),"")</f>
        <v/>
      </c>
      <c r="AA324" s="176" t="str">
        <f>IFERROR(_xlfn.XLOOKUP($A324,Raw_Data!$B:$B,Raw_Data!$KF:$KF),"")</f>
        <v/>
      </c>
      <c r="AB324" s="176" t="str">
        <f>IFERROR(_xlfn.XLOOKUP($A324,Raw_Data!$B:$B,Raw_Data!I:I)/1000,"")</f>
        <v/>
      </c>
      <c r="AC324" s="185">
        <f>IFERROR(_xlfn.XLOOKUP($D324,'Modelling New'!$D:$D,'Modelling New'!$P:$P),"")</f>
        <v>5.7928571428571427</v>
      </c>
      <c r="AD324" s="176">
        <f>IFERROR(_xlfn.XLOOKUP($D324,'Modelling New'!$D:$D,'Modelling New'!$T:$T)*1000,"")</f>
        <v>309344.61889388983</v>
      </c>
      <c r="AE324" s="186">
        <f>IFERROR(_xlfn.XLOOKUP($D324,'Modelling New'!$D:$D,'Modelling New'!$O:$O),"")</f>
        <v>0.79995571795505216</v>
      </c>
      <c r="AF324" s="186">
        <f>IFERROR(_xlfn.XLOOKUP($D324,'Modelling New'!$D:$D,'Modelling New'!$W:$W),"")</f>
        <v>0.19308454978022238</v>
      </c>
      <c r="AG324" s="186">
        <f>IFERROR(_xlfn.XLOOKUP($D324,'Modelling New'!$D:$D,'Modelling New'!$AE:$AE),"")</f>
        <v>0.995</v>
      </c>
      <c r="AH324" s="186">
        <f>IFERROR(_xlfn.XLOOKUP($D324,'Modelling New'!$D:$D,'Modelling New'!$AF:$AF),"")</f>
        <v>0.995</v>
      </c>
      <c r="AI324" s="177"/>
      <c r="AJ324" s="177"/>
      <c r="AK324" s="238"/>
      <c r="AL324" s="238"/>
      <c r="AM324" s="238"/>
      <c r="AN324" s="187"/>
      <c r="AO324" s="184"/>
      <c r="AP324" s="184"/>
      <c r="AQ324" s="184"/>
      <c r="AR324" s="176">
        <f>IFERROR(_xlfn.XLOOKUP($D323,'Modelling New'!$D:$D,'Modelling New'!$N:$N),"")</f>
        <v>66.754999999999995</v>
      </c>
      <c r="AS324" s="176"/>
    </row>
    <row r="325" spans="1:45" x14ac:dyDescent="0.25">
      <c r="A325" s="175">
        <f t="shared" si="23"/>
        <v>46068</v>
      </c>
      <c r="B325" s="176">
        <f>YEAR(Table13[[#This Row],[Date]])+IF(MONTH(Table13[[#This Row],[Date]])&gt;=4,1,0)</f>
        <v>2026</v>
      </c>
      <c r="C325" s="177">
        <f>YEAR(Table13[[#This Row],[Date]])</f>
        <v>2026</v>
      </c>
      <c r="D325" s="178">
        <f>Table13[[#This Row],[Date]]-DAY(Table13[[#This Row],[Date]])+1</f>
        <v>46054</v>
      </c>
      <c r="E325" s="177">
        <f t="shared" si="20"/>
        <v>28</v>
      </c>
      <c r="F325" s="179" t="str">
        <f>IFERROR(_xlfn.XLOOKUP($A325,Raw_Data!$B:$B,Raw_Data!$KG:$KG),"")</f>
        <v/>
      </c>
      <c r="G325" s="180" t="str">
        <f>IFERROR(_xlfn.XLOOKUP($A325,Raw_Data!$B:$B,Raw_Data!KH:KH),"")</f>
        <v/>
      </c>
      <c r="H325" s="180"/>
      <c r="I325" s="180" t="str">
        <f>IFERROR(_xlfn.XLOOKUP($A325,Raw_Data!$B:$B,Raw_Data!$KI:$KI),"")</f>
        <v/>
      </c>
      <c r="J325" s="180"/>
      <c r="K325" s="180" t="str">
        <f>IFERROR(_xlfn.XLOOKUP($A325,Raw_Data!$B:$B,Raw_Data!KJ:KJ),"")</f>
        <v/>
      </c>
      <c r="L325" s="180" t="str">
        <f>IFERROR(_xlfn.XLOOKUP($A325,Raw_Data!$B:$B,Raw_Data!KK:KK),"")</f>
        <v/>
      </c>
      <c r="M325" s="180" t="str">
        <f>IFERROR(_xlfn.XLOOKUP($A325,Raw_Data!$B:$B,Raw_Data!KL:KL),"")</f>
        <v/>
      </c>
      <c r="N325" s="180" t="str">
        <f>IFERROR(_xlfn.XLOOKUP($A325,Raw_Data!$B:$B,Raw_Data!KM:KM),"")</f>
        <v/>
      </c>
      <c r="O325" s="181" t="str">
        <f>IFERROR(1-SUMIF(PA!$B:$B,$A325,PA!AJ:AJ)/($AA325+SUMIF(PA!$B:$B,$A325,PA!AJ:AJ)),"")</f>
        <v/>
      </c>
      <c r="P325" s="181"/>
      <c r="Q325" s="182"/>
      <c r="R325" s="181" t="str">
        <f>IFERROR(1-SUMIF(GA!$C:$C,$A325,GA!$X:$X)/($AA325+SUMIF(GA!$C:$C,$A325,GA!$X:$X)),"")</f>
        <v/>
      </c>
      <c r="S325" s="177"/>
      <c r="T325" s="182"/>
      <c r="U325" s="183" t="str">
        <f t="shared" si="21"/>
        <v/>
      </c>
      <c r="V325" s="183" t="str">
        <f>IFERROR(_xlfn.XLOOKUP($A325,Raw_Data!$B:$B,Raw_Data!$KQ:$KQ),"")</f>
        <v/>
      </c>
      <c r="W325" s="184" t="str">
        <f t="shared" si="22"/>
        <v/>
      </c>
      <c r="X325" s="176" t="str">
        <f>IFERROR(_xlfn.XLOOKUP($A325,Raw_Data!$B:$B,Raw_Data!$KN:$KN),"")</f>
        <v/>
      </c>
      <c r="Y325" s="176" t="str">
        <f>IFERROR(_xlfn.XLOOKUP($A325,Raw_Data!$B:$B,Raw_Data!$KC:$KC),"")</f>
        <v/>
      </c>
      <c r="Z325" s="176" t="str">
        <f>IFERROR(_xlfn.XLOOKUP($A325,Raw_Data!$B:$B,Raw_Data!$KD:$KD),"")</f>
        <v/>
      </c>
      <c r="AA325" s="176" t="str">
        <f>IFERROR(_xlfn.XLOOKUP($A325,Raw_Data!$B:$B,Raw_Data!$KF:$KF),"")</f>
        <v/>
      </c>
      <c r="AB325" s="176" t="str">
        <f>IFERROR(_xlfn.XLOOKUP($A325,Raw_Data!$B:$B,Raw_Data!I:I)/1000,"")</f>
        <v/>
      </c>
      <c r="AC325" s="185">
        <f>IFERROR(_xlfn.XLOOKUP($D325,'Modelling New'!$D:$D,'Modelling New'!$P:$P),"")</f>
        <v>5.7928571428571427</v>
      </c>
      <c r="AD325" s="176">
        <f>IFERROR(_xlfn.XLOOKUP($D325,'Modelling New'!$D:$D,'Modelling New'!$T:$T)*1000,"")</f>
        <v>309344.61889388983</v>
      </c>
      <c r="AE325" s="186">
        <f>IFERROR(_xlfn.XLOOKUP($D325,'Modelling New'!$D:$D,'Modelling New'!$O:$O),"")</f>
        <v>0.79995571795505216</v>
      </c>
      <c r="AF325" s="186">
        <f>IFERROR(_xlfn.XLOOKUP($D325,'Modelling New'!$D:$D,'Modelling New'!$W:$W),"")</f>
        <v>0.19308454978022238</v>
      </c>
      <c r="AG325" s="186">
        <f>IFERROR(_xlfn.XLOOKUP($D325,'Modelling New'!$D:$D,'Modelling New'!$AE:$AE),"")</f>
        <v>0.995</v>
      </c>
      <c r="AH325" s="186">
        <f>IFERROR(_xlfn.XLOOKUP($D325,'Modelling New'!$D:$D,'Modelling New'!$AF:$AF),"")</f>
        <v>0.995</v>
      </c>
      <c r="AI325" s="177"/>
      <c r="AJ325" s="177"/>
      <c r="AK325" s="238"/>
      <c r="AL325" s="238"/>
      <c r="AM325" s="238"/>
      <c r="AN325" s="187"/>
      <c r="AO325" s="184"/>
      <c r="AP325" s="184"/>
      <c r="AQ325" s="184"/>
      <c r="AR325" s="176">
        <f>IFERROR(_xlfn.XLOOKUP($D324,'Modelling New'!$D:$D,'Modelling New'!$N:$N),"")</f>
        <v>66.754999999999995</v>
      </c>
      <c r="AS325" s="176"/>
    </row>
    <row r="326" spans="1:45" x14ac:dyDescent="0.25">
      <c r="A326" s="175">
        <f t="shared" si="23"/>
        <v>46069</v>
      </c>
      <c r="B326" s="176">
        <f>YEAR(Table13[[#This Row],[Date]])+IF(MONTH(Table13[[#This Row],[Date]])&gt;=4,1,0)</f>
        <v>2026</v>
      </c>
      <c r="C326" s="177">
        <f>YEAR(Table13[[#This Row],[Date]])</f>
        <v>2026</v>
      </c>
      <c r="D326" s="178">
        <f>Table13[[#This Row],[Date]]-DAY(Table13[[#This Row],[Date]])+1</f>
        <v>46054</v>
      </c>
      <c r="E326" s="177">
        <f t="shared" si="20"/>
        <v>28</v>
      </c>
      <c r="F326" s="179" t="str">
        <f>IFERROR(_xlfn.XLOOKUP($A326,Raw_Data!$B:$B,Raw_Data!$KG:$KG),"")</f>
        <v/>
      </c>
      <c r="G326" s="180" t="str">
        <f>IFERROR(_xlfn.XLOOKUP($A326,Raw_Data!$B:$B,Raw_Data!KH:KH),"")</f>
        <v/>
      </c>
      <c r="H326" s="180"/>
      <c r="I326" s="180" t="str">
        <f>IFERROR(_xlfn.XLOOKUP($A326,Raw_Data!$B:$B,Raw_Data!$KI:$KI),"")</f>
        <v/>
      </c>
      <c r="J326" s="180"/>
      <c r="K326" s="180" t="str">
        <f>IFERROR(_xlfn.XLOOKUP($A326,Raw_Data!$B:$B,Raw_Data!KJ:KJ),"")</f>
        <v/>
      </c>
      <c r="L326" s="180" t="str">
        <f>IFERROR(_xlfn.XLOOKUP($A326,Raw_Data!$B:$B,Raw_Data!KK:KK),"")</f>
        <v/>
      </c>
      <c r="M326" s="180" t="str">
        <f>IFERROR(_xlfn.XLOOKUP($A326,Raw_Data!$B:$B,Raw_Data!KL:KL),"")</f>
        <v/>
      </c>
      <c r="N326" s="180" t="str">
        <f>IFERROR(_xlfn.XLOOKUP($A326,Raw_Data!$B:$B,Raw_Data!KM:KM),"")</f>
        <v/>
      </c>
      <c r="O326" s="181" t="str">
        <f>IFERROR(1-SUMIF(PA!$B:$B,$A326,PA!AJ:AJ)/($AA326+SUMIF(PA!$B:$B,$A326,PA!AJ:AJ)),"")</f>
        <v/>
      </c>
      <c r="P326" s="181"/>
      <c r="Q326" s="182"/>
      <c r="R326" s="181" t="str">
        <f>IFERROR(1-SUMIF(GA!$C:$C,$A326,GA!$X:$X)/($AA326+SUMIF(GA!$C:$C,$A326,GA!$X:$X)),"")</f>
        <v/>
      </c>
      <c r="S326" s="177"/>
      <c r="T326" s="182"/>
      <c r="U326" s="183" t="str">
        <f t="shared" si="21"/>
        <v/>
      </c>
      <c r="V326" s="183" t="str">
        <f>IFERROR(_xlfn.XLOOKUP($A326,Raw_Data!$B:$B,Raw_Data!$KQ:$KQ),"")</f>
        <v/>
      </c>
      <c r="W326" s="184" t="str">
        <f t="shared" si="22"/>
        <v/>
      </c>
      <c r="X326" s="176" t="str">
        <f>IFERROR(_xlfn.XLOOKUP($A326,Raw_Data!$B:$B,Raw_Data!$KN:$KN),"")</f>
        <v/>
      </c>
      <c r="Y326" s="176" t="str">
        <f>IFERROR(_xlfn.XLOOKUP($A326,Raw_Data!$B:$B,Raw_Data!$KC:$KC),"")</f>
        <v/>
      </c>
      <c r="Z326" s="176" t="str">
        <f>IFERROR(_xlfn.XLOOKUP($A326,Raw_Data!$B:$B,Raw_Data!$KD:$KD),"")</f>
        <v/>
      </c>
      <c r="AA326" s="176" t="str">
        <f>IFERROR(_xlfn.XLOOKUP($A326,Raw_Data!$B:$B,Raw_Data!$KF:$KF),"")</f>
        <v/>
      </c>
      <c r="AB326" s="176" t="str">
        <f>IFERROR(_xlfn.XLOOKUP($A326,Raw_Data!$B:$B,Raw_Data!I:I)/1000,"")</f>
        <v/>
      </c>
      <c r="AC326" s="185">
        <f>IFERROR(_xlfn.XLOOKUP($D326,'Modelling New'!$D:$D,'Modelling New'!$P:$P),"")</f>
        <v>5.7928571428571427</v>
      </c>
      <c r="AD326" s="176">
        <f>IFERROR(_xlfn.XLOOKUP($D326,'Modelling New'!$D:$D,'Modelling New'!$T:$T)*1000,"")</f>
        <v>309344.61889388983</v>
      </c>
      <c r="AE326" s="186">
        <f>IFERROR(_xlfn.XLOOKUP($D326,'Modelling New'!$D:$D,'Modelling New'!$O:$O),"")</f>
        <v>0.79995571795505216</v>
      </c>
      <c r="AF326" s="186">
        <f>IFERROR(_xlfn.XLOOKUP($D326,'Modelling New'!$D:$D,'Modelling New'!$W:$W),"")</f>
        <v>0.19308454978022238</v>
      </c>
      <c r="AG326" s="186">
        <f>IFERROR(_xlfn.XLOOKUP($D326,'Modelling New'!$D:$D,'Modelling New'!$AE:$AE),"")</f>
        <v>0.995</v>
      </c>
      <c r="AH326" s="186">
        <f>IFERROR(_xlfn.XLOOKUP($D326,'Modelling New'!$D:$D,'Modelling New'!$AF:$AF),"")</f>
        <v>0.995</v>
      </c>
      <c r="AI326" s="177"/>
      <c r="AJ326" s="177"/>
      <c r="AK326" s="238"/>
      <c r="AL326" s="238"/>
      <c r="AM326" s="238"/>
      <c r="AN326" s="187"/>
      <c r="AO326" s="184"/>
      <c r="AP326" s="184"/>
      <c r="AQ326" s="184"/>
      <c r="AR326" s="176">
        <f>IFERROR(_xlfn.XLOOKUP($D325,'Modelling New'!$D:$D,'Modelling New'!$N:$N),"")</f>
        <v>66.754999999999995</v>
      </c>
      <c r="AS326" s="176"/>
    </row>
    <row r="327" spans="1:45" x14ac:dyDescent="0.25">
      <c r="A327" s="175">
        <f t="shared" si="23"/>
        <v>46070</v>
      </c>
      <c r="B327" s="176">
        <f>YEAR(Table13[[#This Row],[Date]])+IF(MONTH(Table13[[#This Row],[Date]])&gt;=4,1,0)</f>
        <v>2026</v>
      </c>
      <c r="C327" s="177">
        <f>YEAR(Table13[[#This Row],[Date]])</f>
        <v>2026</v>
      </c>
      <c r="D327" s="178">
        <f>Table13[[#This Row],[Date]]-DAY(Table13[[#This Row],[Date]])+1</f>
        <v>46054</v>
      </c>
      <c r="E327" s="177">
        <f t="shared" si="20"/>
        <v>28</v>
      </c>
      <c r="F327" s="179" t="str">
        <f>IFERROR(_xlfn.XLOOKUP($A327,Raw_Data!$B:$B,Raw_Data!$KG:$KG),"")</f>
        <v/>
      </c>
      <c r="G327" s="180" t="str">
        <f>IFERROR(_xlfn.XLOOKUP($A327,Raw_Data!$B:$B,Raw_Data!KH:KH),"")</f>
        <v/>
      </c>
      <c r="H327" s="180"/>
      <c r="I327" s="180" t="str">
        <f>IFERROR(_xlfn.XLOOKUP($A327,Raw_Data!$B:$B,Raw_Data!$KI:$KI),"")</f>
        <v/>
      </c>
      <c r="J327" s="180"/>
      <c r="K327" s="180" t="str">
        <f>IFERROR(_xlfn.XLOOKUP($A327,Raw_Data!$B:$B,Raw_Data!KJ:KJ),"")</f>
        <v/>
      </c>
      <c r="L327" s="180" t="str">
        <f>IFERROR(_xlfn.XLOOKUP($A327,Raw_Data!$B:$B,Raw_Data!KK:KK),"")</f>
        <v/>
      </c>
      <c r="M327" s="180" t="str">
        <f>IFERROR(_xlfn.XLOOKUP($A327,Raw_Data!$B:$B,Raw_Data!KL:KL),"")</f>
        <v/>
      </c>
      <c r="N327" s="180" t="str">
        <f>IFERROR(_xlfn.XLOOKUP($A327,Raw_Data!$B:$B,Raw_Data!KM:KM),"")</f>
        <v/>
      </c>
      <c r="O327" s="181" t="str">
        <f>IFERROR(1-SUMIF(PA!$B:$B,$A327,PA!AJ:AJ)/($AA327+SUMIF(PA!$B:$B,$A327,PA!AJ:AJ)),"")</f>
        <v/>
      </c>
      <c r="P327" s="181"/>
      <c r="Q327" s="182"/>
      <c r="R327" s="181" t="str">
        <f>IFERROR(1-SUMIF(GA!$C:$C,$A327,GA!$X:$X)/($AA327+SUMIF(GA!$C:$C,$A327,GA!$X:$X)),"")</f>
        <v/>
      </c>
      <c r="S327" s="177"/>
      <c r="T327" s="182"/>
      <c r="U327" s="183" t="str">
        <f t="shared" si="21"/>
        <v/>
      </c>
      <c r="V327" s="183" t="str">
        <f>IFERROR(_xlfn.XLOOKUP($A327,Raw_Data!$B:$B,Raw_Data!$KQ:$KQ),"")</f>
        <v/>
      </c>
      <c r="W327" s="184" t="str">
        <f t="shared" si="22"/>
        <v/>
      </c>
      <c r="X327" s="176" t="str">
        <f>IFERROR(_xlfn.XLOOKUP($A327,Raw_Data!$B:$B,Raw_Data!$KN:$KN),"")</f>
        <v/>
      </c>
      <c r="Y327" s="176" t="str">
        <f>IFERROR(_xlfn.XLOOKUP($A327,Raw_Data!$B:$B,Raw_Data!$KC:$KC),"")</f>
        <v/>
      </c>
      <c r="Z327" s="176" t="str">
        <f>IFERROR(_xlfn.XLOOKUP($A327,Raw_Data!$B:$B,Raw_Data!$KD:$KD),"")</f>
        <v/>
      </c>
      <c r="AA327" s="176" t="str">
        <f>IFERROR(_xlfn.XLOOKUP($A327,Raw_Data!$B:$B,Raw_Data!$KF:$KF),"")</f>
        <v/>
      </c>
      <c r="AB327" s="176" t="str">
        <f>IFERROR(_xlfn.XLOOKUP($A327,Raw_Data!$B:$B,Raw_Data!I:I)/1000,"")</f>
        <v/>
      </c>
      <c r="AC327" s="185">
        <f>IFERROR(_xlfn.XLOOKUP($D327,'Modelling New'!$D:$D,'Modelling New'!$P:$P),"")</f>
        <v>5.7928571428571427</v>
      </c>
      <c r="AD327" s="176">
        <f>IFERROR(_xlfn.XLOOKUP($D327,'Modelling New'!$D:$D,'Modelling New'!$T:$T)*1000,"")</f>
        <v>309344.61889388983</v>
      </c>
      <c r="AE327" s="186">
        <f>IFERROR(_xlfn.XLOOKUP($D327,'Modelling New'!$D:$D,'Modelling New'!$O:$O),"")</f>
        <v>0.79995571795505216</v>
      </c>
      <c r="AF327" s="186">
        <f>IFERROR(_xlfn.XLOOKUP($D327,'Modelling New'!$D:$D,'Modelling New'!$W:$W),"")</f>
        <v>0.19308454978022238</v>
      </c>
      <c r="AG327" s="186">
        <f>IFERROR(_xlfn.XLOOKUP($D327,'Modelling New'!$D:$D,'Modelling New'!$AE:$AE),"")</f>
        <v>0.995</v>
      </c>
      <c r="AH327" s="186">
        <f>IFERROR(_xlfn.XLOOKUP($D327,'Modelling New'!$D:$D,'Modelling New'!$AF:$AF),"")</f>
        <v>0.995</v>
      </c>
      <c r="AI327" s="177"/>
      <c r="AJ327" s="177"/>
      <c r="AK327" s="238"/>
      <c r="AL327" s="238"/>
      <c r="AM327" s="238"/>
      <c r="AN327" s="187"/>
      <c r="AO327" s="184"/>
      <c r="AP327" s="184"/>
      <c r="AQ327" s="184"/>
      <c r="AR327" s="176">
        <f>IFERROR(_xlfn.XLOOKUP($D326,'Modelling New'!$D:$D,'Modelling New'!$N:$N),"")</f>
        <v>66.754999999999995</v>
      </c>
      <c r="AS327" s="176"/>
    </row>
    <row r="328" spans="1:45" x14ac:dyDescent="0.25">
      <c r="A328" s="175">
        <f t="shared" si="23"/>
        <v>46071</v>
      </c>
      <c r="B328" s="176">
        <f>YEAR(Table13[[#This Row],[Date]])+IF(MONTH(Table13[[#This Row],[Date]])&gt;=4,1,0)</f>
        <v>2026</v>
      </c>
      <c r="C328" s="177">
        <f>YEAR(Table13[[#This Row],[Date]])</f>
        <v>2026</v>
      </c>
      <c r="D328" s="178">
        <f>Table13[[#This Row],[Date]]-DAY(Table13[[#This Row],[Date]])+1</f>
        <v>46054</v>
      </c>
      <c r="E328" s="177">
        <f t="shared" si="20"/>
        <v>28</v>
      </c>
      <c r="F328" s="179" t="str">
        <f>IFERROR(_xlfn.XLOOKUP($A328,Raw_Data!$B:$B,Raw_Data!$KG:$KG),"")</f>
        <v/>
      </c>
      <c r="G328" s="180" t="str">
        <f>IFERROR(_xlfn.XLOOKUP($A328,Raw_Data!$B:$B,Raw_Data!KH:KH),"")</f>
        <v/>
      </c>
      <c r="H328" s="180"/>
      <c r="I328" s="180" t="str">
        <f>IFERROR(_xlfn.XLOOKUP($A328,Raw_Data!$B:$B,Raw_Data!$KI:$KI),"")</f>
        <v/>
      </c>
      <c r="J328" s="180"/>
      <c r="K328" s="180" t="str">
        <f>IFERROR(_xlfn.XLOOKUP($A328,Raw_Data!$B:$B,Raw_Data!KJ:KJ),"")</f>
        <v/>
      </c>
      <c r="L328" s="180" t="str">
        <f>IFERROR(_xlfn.XLOOKUP($A328,Raw_Data!$B:$B,Raw_Data!KK:KK),"")</f>
        <v/>
      </c>
      <c r="M328" s="180" t="str">
        <f>IFERROR(_xlfn.XLOOKUP($A328,Raw_Data!$B:$B,Raw_Data!KL:KL),"")</f>
        <v/>
      </c>
      <c r="N328" s="180" t="str">
        <f>IFERROR(_xlfn.XLOOKUP($A328,Raw_Data!$B:$B,Raw_Data!KM:KM),"")</f>
        <v/>
      </c>
      <c r="O328" s="181" t="str">
        <f>IFERROR(1-SUMIF(PA!$B:$B,$A328,PA!AJ:AJ)/($AA328+SUMIF(PA!$B:$B,$A328,PA!AJ:AJ)),"")</f>
        <v/>
      </c>
      <c r="P328" s="181"/>
      <c r="Q328" s="182"/>
      <c r="R328" s="181" t="str">
        <f>IFERROR(1-SUMIF(GA!$C:$C,$A328,GA!$X:$X)/($AA328+SUMIF(GA!$C:$C,$A328,GA!$X:$X)),"")</f>
        <v/>
      </c>
      <c r="S328" s="177"/>
      <c r="T328" s="182"/>
      <c r="U328" s="183" t="str">
        <f t="shared" si="21"/>
        <v/>
      </c>
      <c r="V328" s="183" t="str">
        <f>IFERROR(_xlfn.XLOOKUP($A328,Raw_Data!$B:$B,Raw_Data!$KQ:$KQ),"")</f>
        <v/>
      </c>
      <c r="W328" s="184" t="str">
        <f t="shared" si="22"/>
        <v/>
      </c>
      <c r="X328" s="176" t="str">
        <f>IFERROR(_xlfn.XLOOKUP($A328,Raw_Data!$B:$B,Raw_Data!$KN:$KN),"")</f>
        <v/>
      </c>
      <c r="Y328" s="176" t="str">
        <f>IFERROR(_xlfn.XLOOKUP($A328,Raw_Data!$B:$B,Raw_Data!$KC:$KC),"")</f>
        <v/>
      </c>
      <c r="Z328" s="176" t="str">
        <f>IFERROR(_xlfn.XLOOKUP($A328,Raw_Data!$B:$B,Raw_Data!$KD:$KD),"")</f>
        <v/>
      </c>
      <c r="AA328" s="176" t="str">
        <f>IFERROR(_xlfn.XLOOKUP($A328,Raw_Data!$B:$B,Raw_Data!$KF:$KF),"")</f>
        <v/>
      </c>
      <c r="AB328" s="176" t="str">
        <f>IFERROR(_xlfn.XLOOKUP($A328,Raw_Data!$B:$B,Raw_Data!I:I)/1000,"")</f>
        <v/>
      </c>
      <c r="AC328" s="185">
        <f>IFERROR(_xlfn.XLOOKUP($D328,'Modelling New'!$D:$D,'Modelling New'!$P:$P),"")</f>
        <v>5.7928571428571427</v>
      </c>
      <c r="AD328" s="176">
        <f>IFERROR(_xlfn.XLOOKUP($D328,'Modelling New'!$D:$D,'Modelling New'!$T:$T)*1000,"")</f>
        <v>309344.61889388983</v>
      </c>
      <c r="AE328" s="186">
        <f>IFERROR(_xlfn.XLOOKUP($D328,'Modelling New'!$D:$D,'Modelling New'!$O:$O),"")</f>
        <v>0.79995571795505216</v>
      </c>
      <c r="AF328" s="186">
        <f>IFERROR(_xlfn.XLOOKUP($D328,'Modelling New'!$D:$D,'Modelling New'!$W:$W),"")</f>
        <v>0.19308454978022238</v>
      </c>
      <c r="AG328" s="186">
        <f>IFERROR(_xlfn.XLOOKUP($D328,'Modelling New'!$D:$D,'Modelling New'!$AE:$AE),"")</f>
        <v>0.995</v>
      </c>
      <c r="AH328" s="186">
        <f>IFERROR(_xlfn.XLOOKUP($D328,'Modelling New'!$D:$D,'Modelling New'!$AF:$AF),"")</f>
        <v>0.995</v>
      </c>
      <c r="AI328" s="177"/>
      <c r="AJ328" s="177"/>
      <c r="AK328" s="238"/>
      <c r="AL328" s="238"/>
      <c r="AM328" s="238"/>
      <c r="AN328" s="187"/>
      <c r="AO328" s="184"/>
      <c r="AP328" s="184"/>
      <c r="AQ328" s="184"/>
      <c r="AR328" s="176">
        <f>IFERROR(_xlfn.XLOOKUP($D327,'Modelling New'!$D:$D,'Modelling New'!$N:$N),"")</f>
        <v>66.754999999999995</v>
      </c>
      <c r="AS328" s="176"/>
    </row>
    <row r="329" spans="1:45" x14ac:dyDescent="0.25">
      <c r="A329" s="175">
        <f t="shared" si="23"/>
        <v>46072</v>
      </c>
      <c r="B329" s="176">
        <f>YEAR(Table13[[#This Row],[Date]])+IF(MONTH(Table13[[#This Row],[Date]])&gt;=4,1,0)</f>
        <v>2026</v>
      </c>
      <c r="C329" s="177">
        <f>YEAR(Table13[[#This Row],[Date]])</f>
        <v>2026</v>
      </c>
      <c r="D329" s="178">
        <f>Table13[[#This Row],[Date]]-DAY(Table13[[#This Row],[Date]])+1</f>
        <v>46054</v>
      </c>
      <c r="E329" s="177">
        <f t="shared" si="20"/>
        <v>28</v>
      </c>
      <c r="F329" s="179" t="str">
        <f>IFERROR(_xlfn.XLOOKUP($A329,Raw_Data!$B:$B,Raw_Data!$KG:$KG),"")</f>
        <v/>
      </c>
      <c r="G329" s="180" t="str">
        <f>IFERROR(_xlfn.XLOOKUP($A329,Raw_Data!$B:$B,Raw_Data!KH:KH),"")</f>
        <v/>
      </c>
      <c r="H329" s="180"/>
      <c r="I329" s="180" t="str">
        <f>IFERROR(_xlfn.XLOOKUP($A329,Raw_Data!$B:$B,Raw_Data!$KI:$KI),"")</f>
        <v/>
      </c>
      <c r="J329" s="180"/>
      <c r="K329" s="180" t="str">
        <f>IFERROR(_xlfn.XLOOKUP($A329,Raw_Data!$B:$B,Raw_Data!KJ:KJ),"")</f>
        <v/>
      </c>
      <c r="L329" s="180" t="str">
        <f>IFERROR(_xlfn.XLOOKUP($A329,Raw_Data!$B:$B,Raw_Data!KK:KK),"")</f>
        <v/>
      </c>
      <c r="M329" s="180" t="str">
        <f>IFERROR(_xlfn.XLOOKUP($A329,Raw_Data!$B:$B,Raw_Data!KL:KL),"")</f>
        <v/>
      </c>
      <c r="N329" s="180" t="str">
        <f>IFERROR(_xlfn.XLOOKUP($A329,Raw_Data!$B:$B,Raw_Data!KM:KM),"")</f>
        <v/>
      </c>
      <c r="O329" s="181" t="str">
        <f>IFERROR(1-SUMIF(PA!$B:$B,$A329,PA!AJ:AJ)/($AA329+SUMIF(PA!$B:$B,$A329,PA!AJ:AJ)),"")</f>
        <v/>
      </c>
      <c r="P329" s="181"/>
      <c r="Q329" s="182"/>
      <c r="R329" s="181" t="str">
        <f>IFERROR(1-SUMIF(GA!$C:$C,$A329,GA!$X:$X)/($AA329+SUMIF(GA!$C:$C,$A329,GA!$X:$X)),"")</f>
        <v/>
      </c>
      <c r="S329" s="177"/>
      <c r="T329" s="182"/>
      <c r="U329" s="183" t="str">
        <f t="shared" si="21"/>
        <v/>
      </c>
      <c r="V329" s="183" t="str">
        <f>IFERROR(_xlfn.XLOOKUP($A329,Raw_Data!$B:$B,Raw_Data!$KQ:$KQ),"")</f>
        <v/>
      </c>
      <c r="W329" s="184" t="str">
        <f t="shared" si="22"/>
        <v/>
      </c>
      <c r="X329" s="176" t="str">
        <f>IFERROR(_xlfn.XLOOKUP($A329,Raw_Data!$B:$B,Raw_Data!$KN:$KN),"")</f>
        <v/>
      </c>
      <c r="Y329" s="176" t="str">
        <f>IFERROR(_xlfn.XLOOKUP($A329,Raw_Data!$B:$B,Raw_Data!$KC:$KC),"")</f>
        <v/>
      </c>
      <c r="Z329" s="176" t="str">
        <f>IFERROR(_xlfn.XLOOKUP($A329,Raw_Data!$B:$B,Raw_Data!$KD:$KD),"")</f>
        <v/>
      </c>
      <c r="AA329" s="176" t="str">
        <f>IFERROR(_xlfn.XLOOKUP($A329,Raw_Data!$B:$B,Raw_Data!$KF:$KF),"")</f>
        <v/>
      </c>
      <c r="AB329" s="176" t="str">
        <f>IFERROR(_xlfn.XLOOKUP($A329,Raw_Data!$B:$B,Raw_Data!I:I)/1000,"")</f>
        <v/>
      </c>
      <c r="AC329" s="185">
        <f>IFERROR(_xlfn.XLOOKUP($D329,'Modelling New'!$D:$D,'Modelling New'!$P:$P),"")</f>
        <v>5.7928571428571427</v>
      </c>
      <c r="AD329" s="176">
        <f>IFERROR(_xlfn.XLOOKUP($D329,'Modelling New'!$D:$D,'Modelling New'!$T:$T)*1000,"")</f>
        <v>309344.61889388983</v>
      </c>
      <c r="AE329" s="186">
        <f>IFERROR(_xlfn.XLOOKUP($D329,'Modelling New'!$D:$D,'Modelling New'!$O:$O),"")</f>
        <v>0.79995571795505216</v>
      </c>
      <c r="AF329" s="186">
        <f>IFERROR(_xlfn.XLOOKUP($D329,'Modelling New'!$D:$D,'Modelling New'!$W:$W),"")</f>
        <v>0.19308454978022238</v>
      </c>
      <c r="AG329" s="186">
        <f>IFERROR(_xlfn.XLOOKUP($D329,'Modelling New'!$D:$D,'Modelling New'!$AE:$AE),"")</f>
        <v>0.995</v>
      </c>
      <c r="AH329" s="186">
        <f>IFERROR(_xlfn.XLOOKUP($D329,'Modelling New'!$D:$D,'Modelling New'!$AF:$AF),"")</f>
        <v>0.995</v>
      </c>
      <c r="AI329" s="177"/>
      <c r="AJ329" s="177"/>
      <c r="AK329" s="238"/>
      <c r="AL329" s="238"/>
      <c r="AM329" s="238"/>
      <c r="AN329" s="187"/>
      <c r="AO329" s="184"/>
      <c r="AP329" s="184"/>
      <c r="AQ329" s="184"/>
      <c r="AR329" s="176">
        <f>IFERROR(_xlfn.XLOOKUP($D328,'Modelling New'!$D:$D,'Modelling New'!$N:$N),"")</f>
        <v>66.754999999999995</v>
      </c>
      <c r="AS329" s="176"/>
    </row>
    <row r="330" spans="1:45" x14ac:dyDescent="0.25">
      <c r="A330" s="175">
        <f t="shared" si="23"/>
        <v>46073</v>
      </c>
      <c r="B330" s="176">
        <f>YEAR(Table13[[#This Row],[Date]])+IF(MONTH(Table13[[#This Row],[Date]])&gt;=4,1,0)</f>
        <v>2026</v>
      </c>
      <c r="C330" s="177">
        <f>YEAR(Table13[[#This Row],[Date]])</f>
        <v>2026</v>
      </c>
      <c r="D330" s="178">
        <f>Table13[[#This Row],[Date]]-DAY(Table13[[#This Row],[Date]])+1</f>
        <v>46054</v>
      </c>
      <c r="E330" s="177">
        <f t="shared" si="20"/>
        <v>28</v>
      </c>
      <c r="F330" s="179" t="str">
        <f>IFERROR(_xlfn.XLOOKUP($A330,Raw_Data!$B:$B,Raw_Data!$KG:$KG),"")</f>
        <v/>
      </c>
      <c r="G330" s="180" t="str">
        <f>IFERROR(_xlfn.XLOOKUP($A330,Raw_Data!$B:$B,Raw_Data!KH:KH),"")</f>
        <v/>
      </c>
      <c r="H330" s="180"/>
      <c r="I330" s="180" t="str">
        <f>IFERROR(_xlfn.XLOOKUP($A330,Raw_Data!$B:$B,Raw_Data!$KI:$KI),"")</f>
        <v/>
      </c>
      <c r="J330" s="180"/>
      <c r="K330" s="180" t="str">
        <f>IFERROR(_xlfn.XLOOKUP($A330,Raw_Data!$B:$B,Raw_Data!KJ:KJ),"")</f>
        <v/>
      </c>
      <c r="L330" s="180" t="str">
        <f>IFERROR(_xlfn.XLOOKUP($A330,Raw_Data!$B:$B,Raw_Data!KK:KK),"")</f>
        <v/>
      </c>
      <c r="M330" s="180" t="str">
        <f>IFERROR(_xlfn.XLOOKUP($A330,Raw_Data!$B:$B,Raw_Data!KL:KL),"")</f>
        <v/>
      </c>
      <c r="N330" s="180" t="str">
        <f>IFERROR(_xlfn.XLOOKUP($A330,Raw_Data!$B:$B,Raw_Data!KM:KM),"")</f>
        <v/>
      </c>
      <c r="O330" s="181" t="str">
        <f>IFERROR(1-SUMIF(PA!$B:$B,$A330,PA!AJ:AJ)/($AA330+SUMIF(PA!$B:$B,$A330,PA!AJ:AJ)),"")</f>
        <v/>
      </c>
      <c r="P330" s="181"/>
      <c r="Q330" s="182"/>
      <c r="R330" s="181" t="str">
        <f>IFERROR(1-SUMIF(GA!$C:$C,$A330,GA!$X:$X)/($AA330+SUMIF(GA!$C:$C,$A330,GA!$X:$X)),"")</f>
        <v/>
      </c>
      <c r="S330" s="177"/>
      <c r="T330" s="182"/>
      <c r="U330" s="183" t="str">
        <f t="shared" si="21"/>
        <v/>
      </c>
      <c r="V330" s="183" t="str">
        <f>IFERROR(_xlfn.XLOOKUP($A330,Raw_Data!$B:$B,Raw_Data!$KQ:$KQ),"")</f>
        <v/>
      </c>
      <c r="W330" s="184" t="str">
        <f t="shared" si="22"/>
        <v/>
      </c>
      <c r="X330" s="176" t="str">
        <f>IFERROR(_xlfn.XLOOKUP($A330,Raw_Data!$B:$B,Raw_Data!$KN:$KN),"")</f>
        <v/>
      </c>
      <c r="Y330" s="176" t="str">
        <f>IFERROR(_xlfn.XLOOKUP($A330,Raw_Data!$B:$B,Raw_Data!$KC:$KC),"")</f>
        <v/>
      </c>
      <c r="Z330" s="176" t="str">
        <f>IFERROR(_xlfn.XLOOKUP($A330,Raw_Data!$B:$B,Raw_Data!$KD:$KD),"")</f>
        <v/>
      </c>
      <c r="AA330" s="176" t="str">
        <f>IFERROR(_xlfn.XLOOKUP($A330,Raw_Data!$B:$B,Raw_Data!$KF:$KF),"")</f>
        <v/>
      </c>
      <c r="AB330" s="176" t="str">
        <f>IFERROR(_xlfn.XLOOKUP($A330,Raw_Data!$B:$B,Raw_Data!I:I)/1000,"")</f>
        <v/>
      </c>
      <c r="AC330" s="185">
        <f>IFERROR(_xlfn.XLOOKUP($D330,'Modelling New'!$D:$D,'Modelling New'!$P:$P),"")</f>
        <v>5.7928571428571427</v>
      </c>
      <c r="AD330" s="176">
        <f>IFERROR(_xlfn.XLOOKUP($D330,'Modelling New'!$D:$D,'Modelling New'!$T:$T)*1000,"")</f>
        <v>309344.61889388983</v>
      </c>
      <c r="AE330" s="186">
        <f>IFERROR(_xlfn.XLOOKUP($D330,'Modelling New'!$D:$D,'Modelling New'!$O:$O),"")</f>
        <v>0.79995571795505216</v>
      </c>
      <c r="AF330" s="186">
        <f>IFERROR(_xlfn.XLOOKUP($D330,'Modelling New'!$D:$D,'Modelling New'!$W:$W),"")</f>
        <v>0.19308454978022238</v>
      </c>
      <c r="AG330" s="186">
        <f>IFERROR(_xlfn.XLOOKUP($D330,'Modelling New'!$D:$D,'Modelling New'!$AE:$AE),"")</f>
        <v>0.995</v>
      </c>
      <c r="AH330" s="186">
        <f>IFERROR(_xlfn.XLOOKUP($D330,'Modelling New'!$D:$D,'Modelling New'!$AF:$AF),"")</f>
        <v>0.995</v>
      </c>
      <c r="AI330" s="177"/>
      <c r="AJ330" s="177"/>
      <c r="AK330" s="238"/>
      <c r="AL330" s="238"/>
      <c r="AM330" s="238"/>
      <c r="AN330" s="187"/>
      <c r="AO330" s="184"/>
      <c r="AP330" s="184"/>
      <c r="AQ330" s="184"/>
      <c r="AR330" s="176">
        <f>IFERROR(_xlfn.XLOOKUP($D329,'Modelling New'!$D:$D,'Modelling New'!$N:$N),"")</f>
        <v>66.754999999999995</v>
      </c>
      <c r="AS330" s="176"/>
    </row>
    <row r="331" spans="1:45" x14ac:dyDescent="0.25">
      <c r="A331" s="175">
        <f t="shared" si="23"/>
        <v>46074</v>
      </c>
      <c r="B331" s="176">
        <f>YEAR(Table13[[#This Row],[Date]])+IF(MONTH(Table13[[#This Row],[Date]])&gt;=4,1,0)</f>
        <v>2026</v>
      </c>
      <c r="C331" s="177">
        <f>YEAR(Table13[[#This Row],[Date]])</f>
        <v>2026</v>
      </c>
      <c r="D331" s="178">
        <f>Table13[[#This Row],[Date]]-DAY(Table13[[#This Row],[Date]])+1</f>
        <v>46054</v>
      </c>
      <c r="E331" s="177">
        <f t="shared" si="20"/>
        <v>28</v>
      </c>
      <c r="F331" s="179" t="str">
        <f>IFERROR(_xlfn.XLOOKUP($A331,Raw_Data!$B:$B,Raw_Data!$KG:$KG),"")</f>
        <v/>
      </c>
      <c r="G331" s="180" t="str">
        <f>IFERROR(_xlfn.XLOOKUP($A331,Raw_Data!$B:$B,Raw_Data!KH:KH),"")</f>
        <v/>
      </c>
      <c r="H331" s="180"/>
      <c r="I331" s="180" t="str">
        <f>IFERROR(_xlfn.XLOOKUP($A331,Raw_Data!$B:$B,Raw_Data!$KI:$KI),"")</f>
        <v/>
      </c>
      <c r="J331" s="180"/>
      <c r="K331" s="180" t="str">
        <f>IFERROR(_xlfn.XLOOKUP($A331,Raw_Data!$B:$B,Raw_Data!KJ:KJ),"")</f>
        <v/>
      </c>
      <c r="L331" s="180" t="str">
        <f>IFERROR(_xlfn.XLOOKUP($A331,Raw_Data!$B:$B,Raw_Data!KK:KK),"")</f>
        <v/>
      </c>
      <c r="M331" s="180" t="str">
        <f>IFERROR(_xlfn.XLOOKUP($A331,Raw_Data!$B:$B,Raw_Data!KL:KL),"")</f>
        <v/>
      </c>
      <c r="N331" s="180" t="str">
        <f>IFERROR(_xlfn.XLOOKUP($A331,Raw_Data!$B:$B,Raw_Data!KM:KM),"")</f>
        <v/>
      </c>
      <c r="O331" s="181" t="str">
        <f>IFERROR(1-SUMIF(PA!$B:$B,$A331,PA!AJ:AJ)/($AA331+SUMIF(PA!$B:$B,$A331,PA!AJ:AJ)),"")</f>
        <v/>
      </c>
      <c r="P331" s="181"/>
      <c r="Q331" s="182"/>
      <c r="R331" s="181" t="str">
        <f>IFERROR(1-SUMIF(GA!$C:$C,$A331,GA!$X:$X)/($AA331+SUMIF(GA!$C:$C,$A331,GA!$X:$X)),"")</f>
        <v/>
      </c>
      <c r="S331" s="177"/>
      <c r="T331" s="182"/>
      <c r="U331" s="183" t="str">
        <f t="shared" si="21"/>
        <v/>
      </c>
      <c r="V331" s="183" t="str">
        <f>IFERROR(_xlfn.XLOOKUP($A331,Raw_Data!$B:$B,Raw_Data!$KQ:$KQ),"")</f>
        <v/>
      </c>
      <c r="W331" s="184" t="str">
        <f t="shared" si="22"/>
        <v/>
      </c>
      <c r="X331" s="176" t="str">
        <f>IFERROR(_xlfn.XLOOKUP($A331,Raw_Data!$B:$B,Raw_Data!$KN:$KN),"")</f>
        <v/>
      </c>
      <c r="Y331" s="176" t="str">
        <f>IFERROR(_xlfn.XLOOKUP($A331,Raw_Data!$B:$B,Raw_Data!$KC:$KC),"")</f>
        <v/>
      </c>
      <c r="Z331" s="176" t="str">
        <f>IFERROR(_xlfn.XLOOKUP($A331,Raw_Data!$B:$B,Raw_Data!$KD:$KD),"")</f>
        <v/>
      </c>
      <c r="AA331" s="176" t="str">
        <f>IFERROR(_xlfn.XLOOKUP($A331,Raw_Data!$B:$B,Raw_Data!$KF:$KF),"")</f>
        <v/>
      </c>
      <c r="AB331" s="176" t="str">
        <f>IFERROR(_xlfn.XLOOKUP($A331,Raw_Data!$B:$B,Raw_Data!I:I)/1000,"")</f>
        <v/>
      </c>
      <c r="AC331" s="185">
        <f>IFERROR(_xlfn.XLOOKUP($D331,'Modelling New'!$D:$D,'Modelling New'!$P:$P),"")</f>
        <v>5.7928571428571427</v>
      </c>
      <c r="AD331" s="176">
        <f>IFERROR(_xlfn.XLOOKUP($D331,'Modelling New'!$D:$D,'Modelling New'!$T:$T)*1000,"")</f>
        <v>309344.61889388983</v>
      </c>
      <c r="AE331" s="186">
        <f>IFERROR(_xlfn.XLOOKUP($D331,'Modelling New'!$D:$D,'Modelling New'!$O:$O),"")</f>
        <v>0.79995571795505216</v>
      </c>
      <c r="AF331" s="186">
        <f>IFERROR(_xlfn.XLOOKUP($D331,'Modelling New'!$D:$D,'Modelling New'!$W:$W),"")</f>
        <v>0.19308454978022238</v>
      </c>
      <c r="AG331" s="186">
        <f>IFERROR(_xlfn.XLOOKUP($D331,'Modelling New'!$D:$D,'Modelling New'!$AE:$AE),"")</f>
        <v>0.995</v>
      </c>
      <c r="AH331" s="186">
        <f>IFERROR(_xlfn.XLOOKUP($D331,'Modelling New'!$D:$D,'Modelling New'!$AF:$AF),"")</f>
        <v>0.995</v>
      </c>
      <c r="AI331" s="177"/>
      <c r="AJ331" s="177"/>
      <c r="AK331" s="238"/>
      <c r="AL331" s="238"/>
      <c r="AM331" s="238"/>
      <c r="AN331" s="187"/>
      <c r="AO331" s="184"/>
      <c r="AP331" s="184"/>
      <c r="AQ331" s="184"/>
      <c r="AR331" s="176">
        <f>IFERROR(_xlfn.XLOOKUP($D330,'Modelling New'!$D:$D,'Modelling New'!$N:$N),"")</f>
        <v>66.754999999999995</v>
      </c>
      <c r="AS331" s="176"/>
    </row>
    <row r="332" spans="1:45" x14ac:dyDescent="0.25">
      <c r="A332" s="175">
        <f t="shared" si="23"/>
        <v>46075</v>
      </c>
      <c r="B332" s="176">
        <f>YEAR(Table13[[#This Row],[Date]])+IF(MONTH(Table13[[#This Row],[Date]])&gt;=4,1,0)</f>
        <v>2026</v>
      </c>
      <c r="C332" s="177">
        <f>YEAR(Table13[[#This Row],[Date]])</f>
        <v>2026</v>
      </c>
      <c r="D332" s="178">
        <f>Table13[[#This Row],[Date]]-DAY(Table13[[#This Row],[Date]])+1</f>
        <v>46054</v>
      </c>
      <c r="E332" s="177">
        <f t="shared" si="20"/>
        <v>28</v>
      </c>
      <c r="F332" s="179" t="str">
        <f>IFERROR(_xlfn.XLOOKUP($A332,Raw_Data!$B:$B,Raw_Data!$KG:$KG),"")</f>
        <v/>
      </c>
      <c r="G332" s="180" t="str">
        <f>IFERROR(_xlfn.XLOOKUP($A332,Raw_Data!$B:$B,Raw_Data!KH:KH),"")</f>
        <v/>
      </c>
      <c r="H332" s="180"/>
      <c r="I332" s="180" t="str">
        <f>IFERROR(_xlfn.XLOOKUP($A332,Raw_Data!$B:$B,Raw_Data!$KI:$KI),"")</f>
        <v/>
      </c>
      <c r="J332" s="180"/>
      <c r="K332" s="180" t="str">
        <f>IFERROR(_xlfn.XLOOKUP($A332,Raw_Data!$B:$B,Raw_Data!KJ:KJ),"")</f>
        <v/>
      </c>
      <c r="L332" s="180" t="str">
        <f>IFERROR(_xlfn.XLOOKUP($A332,Raw_Data!$B:$B,Raw_Data!KK:KK),"")</f>
        <v/>
      </c>
      <c r="M332" s="180" t="str">
        <f>IFERROR(_xlfn.XLOOKUP($A332,Raw_Data!$B:$B,Raw_Data!KL:KL),"")</f>
        <v/>
      </c>
      <c r="N332" s="180" t="str">
        <f>IFERROR(_xlfn.XLOOKUP($A332,Raw_Data!$B:$B,Raw_Data!KM:KM),"")</f>
        <v/>
      </c>
      <c r="O332" s="181" t="str">
        <f>IFERROR(1-SUMIF(PA!$B:$B,$A332,PA!AJ:AJ)/($AA332+SUMIF(PA!$B:$B,$A332,PA!AJ:AJ)),"")</f>
        <v/>
      </c>
      <c r="P332" s="181"/>
      <c r="Q332" s="182"/>
      <c r="R332" s="181" t="str">
        <f>IFERROR(1-SUMIF(GA!$C:$C,$A332,GA!$X:$X)/($AA332+SUMIF(GA!$C:$C,$A332,GA!$X:$X)),"")</f>
        <v/>
      </c>
      <c r="S332" s="177"/>
      <c r="T332" s="182"/>
      <c r="U332" s="183" t="str">
        <f t="shared" si="21"/>
        <v/>
      </c>
      <c r="V332" s="183" t="str">
        <f>IFERROR(_xlfn.XLOOKUP($A332,Raw_Data!$B:$B,Raw_Data!$KQ:$KQ),"")</f>
        <v/>
      </c>
      <c r="W332" s="184" t="str">
        <f t="shared" si="22"/>
        <v/>
      </c>
      <c r="X332" s="176" t="str">
        <f>IFERROR(_xlfn.XLOOKUP($A332,Raw_Data!$B:$B,Raw_Data!$KN:$KN),"")</f>
        <v/>
      </c>
      <c r="Y332" s="176" t="str">
        <f>IFERROR(_xlfn.XLOOKUP($A332,Raw_Data!$B:$B,Raw_Data!$KC:$KC),"")</f>
        <v/>
      </c>
      <c r="Z332" s="176" t="str">
        <f>IFERROR(_xlfn.XLOOKUP($A332,Raw_Data!$B:$B,Raw_Data!$KD:$KD),"")</f>
        <v/>
      </c>
      <c r="AA332" s="176" t="str">
        <f>IFERROR(_xlfn.XLOOKUP($A332,Raw_Data!$B:$B,Raw_Data!$KF:$KF),"")</f>
        <v/>
      </c>
      <c r="AB332" s="176" t="str">
        <f>IFERROR(_xlfn.XLOOKUP($A332,Raw_Data!$B:$B,Raw_Data!I:I)/1000,"")</f>
        <v/>
      </c>
      <c r="AC332" s="185">
        <f>IFERROR(_xlfn.XLOOKUP($D332,'Modelling New'!$D:$D,'Modelling New'!$P:$P),"")</f>
        <v>5.7928571428571427</v>
      </c>
      <c r="AD332" s="176">
        <f>IFERROR(_xlfn.XLOOKUP($D332,'Modelling New'!$D:$D,'Modelling New'!$T:$T)*1000,"")</f>
        <v>309344.61889388983</v>
      </c>
      <c r="AE332" s="186">
        <f>IFERROR(_xlfn.XLOOKUP($D332,'Modelling New'!$D:$D,'Modelling New'!$O:$O),"")</f>
        <v>0.79995571795505216</v>
      </c>
      <c r="AF332" s="186">
        <f>IFERROR(_xlfn.XLOOKUP($D332,'Modelling New'!$D:$D,'Modelling New'!$W:$W),"")</f>
        <v>0.19308454978022238</v>
      </c>
      <c r="AG332" s="186">
        <f>IFERROR(_xlfn.XLOOKUP($D332,'Modelling New'!$D:$D,'Modelling New'!$AE:$AE),"")</f>
        <v>0.995</v>
      </c>
      <c r="AH332" s="186">
        <f>IFERROR(_xlfn.XLOOKUP($D332,'Modelling New'!$D:$D,'Modelling New'!$AF:$AF),"")</f>
        <v>0.995</v>
      </c>
      <c r="AI332" s="177"/>
      <c r="AJ332" s="177"/>
      <c r="AK332" s="238"/>
      <c r="AL332" s="238"/>
      <c r="AM332" s="238"/>
      <c r="AN332" s="187"/>
      <c r="AO332" s="184"/>
      <c r="AP332" s="184"/>
      <c r="AQ332" s="184"/>
      <c r="AR332" s="176">
        <f>IFERROR(_xlfn.XLOOKUP($D331,'Modelling New'!$D:$D,'Modelling New'!$N:$N),"")</f>
        <v>66.754999999999995</v>
      </c>
      <c r="AS332" s="176"/>
    </row>
    <row r="333" spans="1:45" x14ac:dyDescent="0.25">
      <c r="A333" s="175">
        <f t="shared" si="23"/>
        <v>46076</v>
      </c>
      <c r="B333" s="176">
        <f>YEAR(Table13[[#This Row],[Date]])+IF(MONTH(Table13[[#This Row],[Date]])&gt;=4,1,0)</f>
        <v>2026</v>
      </c>
      <c r="C333" s="177">
        <f>YEAR(Table13[[#This Row],[Date]])</f>
        <v>2026</v>
      </c>
      <c r="D333" s="178">
        <f>Table13[[#This Row],[Date]]-DAY(Table13[[#This Row],[Date]])+1</f>
        <v>46054</v>
      </c>
      <c r="E333" s="177">
        <f t="shared" si="20"/>
        <v>28</v>
      </c>
      <c r="F333" s="179" t="str">
        <f>IFERROR(_xlfn.XLOOKUP($A333,Raw_Data!$B:$B,Raw_Data!$KG:$KG),"")</f>
        <v/>
      </c>
      <c r="G333" s="180" t="str">
        <f>IFERROR(_xlfn.XLOOKUP($A333,Raw_Data!$B:$B,Raw_Data!KH:KH),"")</f>
        <v/>
      </c>
      <c r="H333" s="180"/>
      <c r="I333" s="180" t="str">
        <f>IFERROR(_xlfn.XLOOKUP($A333,Raw_Data!$B:$B,Raw_Data!$KI:$KI),"")</f>
        <v/>
      </c>
      <c r="J333" s="180"/>
      <c r="K333" s="180" t="str">
        <f>IFERROR(_xlfn.XLOOKUP($A333,Raw_Data!$B:$B,Raw_Data!KJ:KJ),"")</f>
        <v/>
      </c>
      <c r="L333" s="180" t="str">
        <f>IFERROR(_xlfn.XLOOKUP($A333,Raw_Data!$B:$B,Raw_Data!KK:KK),"")</f>
        <v/>
      </c>
      <c r="M333" s="180" t="str">
        <f>IFERROR(_xlfn.XLOOKUP($A333,Raw_Data!$B:$B,Raw_Data!KL:KL),"")</f>
        <v/>
      </c>
      <c r="N333" s="180" t="str">
        <f>IFERROR(_xlfn.XLOOKUP($A333,Raw_Data!$B:$B,Raw_Data!KM:KM),"")</f>
        <v/>
      </c>
      <c r="O333" s="181" t="str">
        <f>IFERROR(1-SUMIF(PA!$B:$B,$A333,PA!AJ:AJ)/($AA333+SUMIF(PA!$B:$B,$A333,PA!AJ:AJ)),"")</f>
        <v/>
      </c>
      <c r="P333" s="181"/>
      <c r="Q333" s="182"/>
      <c r="R333" s="181" t="str">
        <f>IFERROR(1-SUMIF(GA!$C:$C,$A333,GA!$X:$X)/($AA333+SUMIF(GA!$C:$C,$A333,GA!$X:$X)),"")</f>
        <v/>
      </c>
      <c r="S333" s="177"/>
      <c r="T333" s="182"/>
      <c r="U333" s="183" t="str">
        <f t="shared" si="21"/>
        <v/>
      </c>
      <c r="V333" s="183" t="str">
        <f>IFERROR(_xlfn.XLOOKUP($A333,Raw_Data!$B:$B,Raw_Data!$KQ:$KQ),"")</f>
        <v/>
      </c>
      <c r="W333" s="184" t="str">
        <f t="shared" si="22"/>
        <v/>
      </c>
      <c r="X333" s="176" t="str">
        <f>IFERROR(_xlfn.XLOOKUP($A333,Raw_Data!$B:$B,Raw_Data!$KN:$KN),"")</f>
        <v/>
      </c>
      <c r="Y333" s="176" t="str">
        <f>IFERROR(_xlfn.XLOOKUP($A333,Raw_Data!$B:$B,Raw_Data!$KC:$KC),"")</f>
        <v/>
      </c>
      <c r="Z333" s="176" t="str">
        <f>IFERROR(_xlfn.XLOOKUP($A333,Raw_Data!$B:$B,Raw_Data!$KD:$KD),"")</f>
        <v/>
      </c>
      <c r="AA333" s="176" t="str">
        <f>IFERROR(_xlfn.XLOOKUP($A333,Raw_Data!$B:$B,Raw_Data!$KF:$KF),"")</f>
        <v/>
      </c>
      <c r="AB333" s="176" t="str">
        <f>IFERROR(_xlfn.XLOOKUP($A333,Raw_Data!$B:$B,Raw_Data!I:I)/1000,"")</f>
        <v/>
      </c>
      <c r="AC333" s="185">
        <f>IFERROR(_xlfn.XLOOKUP($D333,'Modelling New'!$D:$D,'Modelling New'!$P:$P),"")</f>
        <v>5.7928571428571427</v>
      </c>
      <c r="AD333" s="176">
        <f>IFERROR(_xlfn.XLOOKUP($D333,'Modelling New'!$D:$D,'Modelling New'!$T:$T)*1000,"")</f>
        <v>309344.61889388983</v>
      </c>
      <c r="AE333" s="186">
        <f>IFERROR(_xlfn.XLOOKUP($D333,'Modelling New'!$D:$D,'Modelling New'!$O:$O),"")</f>
        <v>0.79995571795505216</v>
      </c>
      <c r="AF333" s="186">
        <f>IFERROR(_xlfn.XLOOKUP($D333,'Modelling New'!$D:$D,'Modelling New'!$W:$W),"")</f>
        <v>0.19308454978022238</v>
      </c>
      <c r="AG333" s="186">
        <f>IFERROR(_xlfn.XLOOKUP($D333,'Modelling New'!$D:$D,'Modelling New'!$AE:$AE),"")</f>
        <v>0.995</v>
      </c>
      <c r="AH333" s="186">
        <f>IFERROR(_xlfn.XLOOKUP($D333,'Modelling New'!$D:$D,'Modelling New'!$AF:$AF),"")</f>
        <v>0.995</v>
      </c>
      <c r="AI333" s="177"/>
      <c r="AJ333" s="177"/>
      <c r="AK333" s="238"/>
      <c r="AL333" s="238"/>
      <c r="AM333" s="238"/>
      <c r="AN333" s="187"/>
      <c r="AO333" s="184"/>
      <c r="AP333" s="184"/>
      <c r="AQ333" s="184"/>
      <c r="AR333" s="176">
        <f>IFERROR(_xlfn.XLOOKUP($D332,'Modelling New'!$D:$D,'Modelling New'!$N:$N),"")</f>
        <v>66.754999999999995</v>
      </c>
      <c r="AS333" s="176"/>
    </row>
    <row r="334" spans="1:45" x14ac:dyDescent="0.25">
      <c r="A334" s="175">
        <f t="shared" si="23"/>
        <v>46077</v>
      </c>
      <c r="B334" s="176">
        <f>YEAR(Table13[[#This Row],[Date]])+IF(MONTH(Table13[[#This Row],[Date]])&gt;=4,1,0)</f>
        <v>2026</v>
      </c>
      <c r="C334" s="177">
        <f>YEAR(Table13[[#This Row],[Date]])</f>
        <v>2026</v>
      </c>
      <c r="D334" s="178">
        <f>Table13[[#This Row],[Date]]-DAY(Table13[[#This Row],[Date]])+1</f>
        <v>46054</v>
      </c>
      <c r="E334" s="177">
        <f t="shared" si="20"/>
        <v>28</v>
      </c>
      <c r="F334" s="179" t="str">
        <f>IFERROR(_xlfn.XLOOKUP($A334,Raw_Data!$B:$B,Raw_Data!$KG:$KG),"")</f>
        <v/>
      </c>
      <c r="G334" s="180" t="str">
        <f>IFERROR(_xlfn.XLOOKUP($A334,Raw_Data!$B:$B,Raw_Data!KH:KH),"")</f>
        <v/>
      </c>
      <c r="H334" s="180"/>
      <c r="I334" s="180" t="str">
        <f>IFERROR(_xlfn.XLOOKUP($A334,Raw_Data!$B:$B,Raw_Data!$KI:$KI),"")</f>
        <v/>
      </c>
      <c r="J334" s="180"/>
      <c r="K334" s="180" t="str">
        <f>IFERROR(_xlfn.XLOOKUP($A334,Raw_Data!$B:$B,Raw_Data!KJ:KJ),"")</f>
        <v/>
      </c>
      <c r="L334" s="180" t="str">
        <f>IFERROR(_xlfn.XLOOKUP($A334,Raw_Data!$B:$B,Raw_Data!KK:KK),"")</f>
        <v/>
      </c>
      <c r="M334" s="180" t="str">
        <f>IFERROR(_xlfn.XLOOKUP($A334,Raw_Data!$B:$B,Raw_Data!KL:KL),"")</f>
        <v/>
      </c>
      <c r="N334" s="180" t="str">
        <f>IFERROR(_xlfn.XLOOKUP($A334,Raw_Data!$B:$B,Raw_Data!KM:KM),"")</f>
        <v/>
      </c>
      <c r="O334" s="181" t="str">
        <f>IFERROR(1-SUMIF(PA!$B:$B,$A334,PA!AJ:AJ)/($AA334+SUMIF(PA!$B:$B,$A334,PA!AJ:AJ)),"")</f>
        <v/>
      </c>
      <c r="P334" s="181"/>
      <c r="Q334" s="182"/>
      <c r="R334" s="181" t="str">
        <f>IFERROR(1-SUMIF(GA!$C:$C,$A334,GA!$X:$X)/($AA334+SUMIF(GA!$C:$C,$A334,GA!$X:$X)),"")</f>
        <v/>
      </c>
      <c r="S334" s="177"/>
      <c r="T334" s="182"/>
      <c r="U334" s="183" t="str">
        <f t="shared" si="21"/>
        <v/>
      </c>
      <c r="V334" s="183" t="str">
        <f>IFERROR(_xlfn.XLOOKUP($A334,Raw_Data!$B:$B,Raw_Data!$KQ:$KQ),"")</f>
        <v/>
      </c>
      <c r="W334" s="184" t="str">
        <f t="shared" si="22"/>
        <v/>
      </c>
      <c r="X334" s="176" t="str">
        <f>IFERROR(_xlfn.XLOOKUP($A334,Raw_Data!$B:$B,Raw_Data!$KN:$KN),"")</f>
        <v/>
      </c>
      <c r="Y334" s="176" t="str">
        <f>IFERROR(_xlfn.XLOOKUP($A334,Raw_Data!$B:$B,Raw_Data!$KC:$KC),"")</f>
        <v/>
      </c>
      <c r="Z334" s="176" t="str">
        <f>IFERROR(_xlfn.XLOOKUP($A334,Raw_Data!$B:$B,Raw_Data!$KD:$KD),"")</f>
        <v/>
      </c>
      <c r="AA334" s="176" t="str">
        <f>IFERROR(_xlfn.XLOOKUP($A334,Raw_Data!$B:$B,Raw_Data!$KF:$KF),"")</f>
        <v/>
      </c>
      <c r="AB334" s="176" t="str">
        <f>IFERROR(_xlfn.XLOOKUP($A334,Raw_Data!$B:$B,Raw_Data!I:I)/1000,"")</f>
        <v/>
      </c>
      <c r="AC334" s="185">
        <f>IFERROR(_xlfn.XLOOKUP($D334,'Modelling New'!$D:$D,'Modelling New'!$P:$P),"")</f>
        <v>5.7928571428571427</v>
      </c>
      <c r="AD334" s="176">
        <f>IFERROR(_xlfn.XLOOKUP($D334,'Modelling New'!$D:$D,'Modelling New'!$T:$T)*1000,"")</f>
        <v>309344.61889388983</v>
      </c>
      <c r="AE334" s="186">
        <f>IFERROR(_xlfn.XLOOKUP($D334,'Modelling New'!$D:$D,'Modelling New'!$O:$O),"")</f>
        <v>0.79995571795505216</v>
      </c>
      <c r="AF334" s="186">
        <f>IFERROR(_xlfn.XLOOKUP($D334,'Modelling New'!$D:$D,'Modelling New'!$W:$W),"")</f>
        <v>0.19308454978022238</v>
      </c>
      <c r="AG334" s="186">
        <f>IFERROR(_xlfn.XLOOKUP($D334,'Modelling New'!$D:$D,'Modelling New'!$AE:$AE),"")</f>
        <v>0.995</v>
      </c>
      <c r="AH334" s="186">
        <f>IFERROR(_xlfn.XLOOKUP($D334,'Modelling New'!$D:$D,'Modelling New'!$AF:$AF),"")</f>
        <v>0.995</v>
      </c>
      <c r="AI334" s="177"/>
      <c r="AJ334" s="177"/>
      <c r="AK334" s="238"/>
      <c r="AL334" s="238"/>
      <c r="AM334" s="238"/>
      <c r="AN334" s="187"/>
      <c r="AO334" s="184"/>
      <c r="AP334" s="184"/>
      <c r="AQ334" s="184"/>
      <c r="AR334" s="176">
        <f>IFERROR(_xlfn.XLOOKUP($D333,'Modelling New'!$D:$D,'Modelling New'!$N:$N),"")</f>
        <v>66.754999999999995</v>
      </c>
      <c r="AS334" s="176"/>
    </row>
    <row r="335" spans="1:45" x14ac:dyDescent="0.25">
      <c r="A335" s="175">
        <f t="shared" si="23"/>
        <v>46078</v>
      </c>
      <c r="B335" s="176">
        <f>YEAR(Table13[[#This Row],[Date]])+IF(MONTH(Table13[[#This Row],[Date]])&gt;=4,1,0)</f>
        <v>2026</v>
      </c>
      <c r="C335" s="177">
        <f>YEAR(Table13[[#This Row],[Date]])</f>
        <v>2026</v>
      </c>
      <c r="D335" s="178">
        <f>Table13[[#This Row],[Date]]-DAY(Table13[[#This Row],[Date]])+1</f>
        <v>46054</v>
      </c>
      <c r="E335" s="177">
        <f t="shared" si="20"/>
        <v>28</v>
      </c>
      <c r="F335" s="179" t="str">
        <f>IFERROR(_xlfn.XLOOKUP($A335,Raw_Data!$B:$B,Raw_Data!$KG:$KG),"")</f>
        <v/>
      </c>
      <c r="G335" s="180" t="str">
        <f>IFERROR(_xlfn.XLOOKUP($A335,Raw_Data!$B:$B,Raw_Data!KH:KH),"")</f>
        <v/>
      </c>
      <c r="H335" s="180"/>
      <c r="I335" s="180" t="str">
        <f>IFERROR(_xlfn.XLOOKUP($A335,Raw_Data!$B:$B,Raw_Data!$KI:$KI),"")</f>
        <v/>
      </c>
      <c r="J335" s="180"/>
      <c r="K335" s="180" t="str">
        <f>IFERROR(_xlfn.XLOOKUP($A335,Raw_Data!$B:$B,Raw_Data!KJ:KJ),"")</f>
        <v/>
      </c>
      <c r="L335" s="180" t="str">
        <f>IFERROR(_xlfn.XLOOKUP($A335,Raw_Data!$B:$B,Raw_Data!KK:KK),"")</f>
        <v/>
      </c>
      <c r="M335" s="180" t="str">
        <f>IFERROR(_xlfn.XLOOKUP($A335,Raw_Data!$B:$B,Raw_Data!KL:KL),"")</f>
        <v/>
      </c>
      <c r="N335" s="180" t="str">
        <f>IFERROR(_xlfn.XLOOKUP($A335,Raw_Data!$B:$B,Raw_Data!KM:KM),"")</f>
        <v/>
      </c>
      <c r="O335" s="181" t="str">
        <f>IFERROR(1-SUMIF(PA!$B:$B,$A335,PA!AJ:AJ)/($AA335+SUMIF(PA!$B:$B,$A335,PA!AJ:AJ)),"")</f>
        <v/>
      </c>
      <c r="P335" s="181"/>
      <c r="Q335" s="182"/>
      <c r="R335" s="181" t="str">
        <f>IFERROR(1-SUMIF(GA!$C:$C,$A335,GA!$X:$X)/($AA335+SUMIF(GA!$C:$C,$A335,GA!$X:$X)),"")</f>
        <v/>
      </c>
      <c r="S335" s="177"/>
      <c r="T335" s="182"/>
      <c r="U335" s="183" t="str">
        <f t="shared" si="21"/>
        <v/>
      </c>
      <c r="V335" s="183" t="str">
        <f>IFERROR(_xlfn.XLOOKUP($A335,Raw_Data!$B:$B,Raw_Data!$KQ:$KQ),"")</f>
        <v/>
      </c>
      <c r="W335" s="184" t="str">
        <f t="shared" si="22"/>
        <v/>
      </c>
      <c r="X335" s="176" t="str">
        <f>IFERROR(_xlfn.XLOOKUP($A335,Raw_Data!$B:$B,Raw_Data!$KN:$KN),"")</f>
        <v/>
      </c>
      <c r="Y335" s="176" t="str">
        <f>IFERROR(_xlfn.XLOOKUP($A335,Raw_Data!$B:$B,Raw_Data!$KC:$KC),"")</f>
        <v/>
      </c>
      <c r="Z335" s="176" t="str">
        <f>IFERROR(_xlfn.XLOOKUP($A335,Raw_Data!$B:$B,Raw_Data!$KD:$KD),"")</f>
        <v/>
      </c>
      <c r="AA335" s="176" t="str">
        <f>IFERROR(_xlfn.XLOOKUP($A335,Raw_Data!$B:$B,Raw_Data!$KF:$KF),"")</f>
        <v/>
      </c>
      <c r="AB335" s="176" t="str">
        <f>IFERROR(_xlfn.XLOOKUP($A335,Raw_Data!$B:$B,Raw_Data!I:I)/1000,"")</f>
        <v/>
      </c>
      <c r="AC335" s="185">
        <f>IFERROR(_xlfn.XLOOKUP($D335,'Modelling New'!$D:$D,'Modelling New'!$P:$P),"")</f>
        <v>5.7928571428571427</v>
      </c>
      <c r="AD335" s="176">
        <f>IFERROR(_xlfn.XLOOKUP($D335,'Modelling New'!$D:$D,'Modelling New'!$T:$T)*1000,"")</f>
        <v>309344.61889388983</v>
      </c>
      <c r="AE335" s="186">
        <f>IFERROR(_xlfn.XLOOKUP($D335,'Modelling New'!$D:$D,'Modelling New'!$O:$O),"")</f>
        <v>0.79995571795505216</v>
      </c>
      <c r="AF335" s="186">
        <f>IFERROR(_xlfn.XLOOKUP($D335,'Modelling New'!$D:$D,'Modelling New'!$W:$W),"")</f>
        <v>0.19308454978022238</v>
      </c>
      <c r="AG335" s="186">
        <f>IFERROR(_xlfn.XLOOKUP($D335,'Modelling New'!$D:$D,'Modelling New'!$AE:$AE),"")</f>
        <v>0.995</v>
      </c>
      <c r="AH335" s="186">
        <f>IFERROR(_xlfn.XLOOKUP($D335,'Modelling New'!$D:$D,'Modelling New'!$AF:$AF),"")</f>
        <v>0.995</v>
      </c>
      <c r="AI335" s="177"/>
      <c r="AJ335" s="177"/>
      <c r="AK335" s="238"/>
      <c r="AL335" s="238"/>
      <c r="AM335" s="238"/>
      <c r="AN335" s="187"/>
      <c r="AO335" s="184"/>
      <c r="AP335" s="184"/>
      <c r="AQ335" s="184"/>
      <c r="AR335" s="176">
        <f>IFERROR(_xlfn.XLOOKUP($D334,'Modelling New'!$D:$D,'Modelling New'!$N:$N),"")</f>
        <v>66.754999999999995</v>
      </c>
      <c r="AS335" s="176"/>
    </row>
    <row r="336" spans="1:45" x14ac:dyDescent="0.25">
      <c r="A336" s="175">
        <f t="shared" si="23"/>
        <v>46079</v>
      </c>
      <c r="B336" s="176">
        <f>YEAR(Table13[[#This Row],[Date]])+IF(MONTH(Table13[[#This Row],[Date]])&gt;=4,1,0)</f>
        <v>2026</v>
      </c>
      <c r="C336" s="177">
        <f>YEAR(Table13[[#This Row],[Date]])</f>
        <v>2026</v>
      </c>
      <c r="D336" s="178">
        <f>Table13[[#This Row],[Date]]-DAY(Table13[[#This Row],[Date]])+1</f>
        <v>46054</v>
      </c>
      <c r="E336" s="177">
        <f t="shared" si="20"/>
        <v>28</v>
      </c>
      <c r="F336" s="179" t="str">
        <f>IFERROR(_xlfn.XLOOKUP($A336,Raw_Data!$B:$B,Raw_Data!$KG:$KG),"")</f>
        <v/>
      </c>
      <c r="G336" s="180" t="str">
        <f>IFERROR(_xlfn.XLOOKUP($A336,Raw_Data!$B:$B,Raw_Data!KH:KH),"")</f>
        <v/>
      </c>
      <c r="H336" s="180"/>
      <c r="I336" s="180" t="str">
        <f>IFERROR(_xlfn.XLOOKUP($A336,Raw_Data!$B:$B,Raw_Data!$KI:$KI),"")</f>
        <v/>
      </c>
      <c r="J336" s="180"/>
      <c r="K336" s="180" t="str">
        <f>IFERROR(_xlfn.XLOOKUP($A336,Raw_Data!$B:$B,Raw_Data!KJ:KJ),"")</f>
        <v/>
      </c>
      <c r="L336" s="180" t="str">
        <f>IFERROR(_xlfn.XLOOKUP($A336,Raw_Data!$B:$B,Raw_Data!KK:KK),"")</f>
        <v/>
      </c>
      <c r="M336" s="180" t="str">
        <f>IFERROR(_xlfn.XLOOKUP($A336,Raw_Data!$B:$B,Raw_Data!KL:KL),"")</f>
        <v/>
      </c>
      <c r="N336" s="180" t="str">
        <f>IFERROR(_xlfn.XLOOKUP($A336,Raw_Data!$B:$B,Raw_Data!KM:KM),"")</f>
        <v/>
      </c>
      <c r="O336" s="181" t="str">
        <f>IFERROR(1-SUMIF(PA!$B:$B,$A336,PA!AJ:AJ)/($AA336+SUMIF(PA!$B:$B,$A336,PA!AJ:AJ)),"")</f>
        <v/>
      </c>
      <c r="P336" s="181"/>
      <c r="Q336" s="182"/>
      <c r="R336" s="181" t="str">
        <f>IFERROR(1-SUMIF(GA!$C:$C,$A336,GA!$X:$X)/($AA336+SUMIF(GA!$C:$C,$A336,GA!$X:$X)),"")</f>
        <v/>
      </c>
      <c r="S336" s="177"/>
      <c r="T336" s="182"/>
      <c r="U336" s="183" t="str">
        <f t="shared" si="21"/>
        <v/>
      </c>
      <c r="V336" s="183" t="str">
        <f>IFERROR(_xlfn.XLOOKUP($A336,Raw_Data!$B:$B,Raw_Data!$KQ:$KQ),"")</f>
        <v/>
      </c>
      <c r="W336" s="184" t="str">
        <f t="shared" si="22"/>
        <v/>
      </c>
      <c r="X336" s="176" t="str">
        <f>IFERROR(_xlfn.XLOOKUP($A336,Raw_Data!$B:$B,Raw_Data!$KN:$KN),"")</f>
        <v/>
      </c>
      <c r="Y336" s="176" t="str">
        <f>IFERROR(_xlfn.XLOOKUP($A336,Raw_Data!$B:$B,Raw_Data!$KC:$KC),"")</f>
        <v/>
      </c>
      <c r="Z336" s="176" t="str">
        <f>IFERROR(_xlfn.XLOOKUP($A336,Raw_Data!$B:$B,Raw_Data!$KD:$KD),"")</f>
        <v/>
      </c>
      <c r="AA336" s="176" t="str">
        <f>IFERROR(_xlfn.XLOOKUP($A336,Raw_Data!$B:$B,Raw_Data!$KF:$KF),"")</f>
        <v/>
      </c>
      <c r="AB336" s="176" t="str">
        <f>IFERROR(_xlfn.XLOOKUP($A336,Raw_Data!$B:$B,Raw_Data!I:I)/1000,"")</f>
        <v/>
      </c>
      <c r="AC336" s="185">
        <f>IFERROR(_xlfn.XLOOKUP($D336,'Modelling New'!$D:$D,'Modelling New'!$P:$P),"")</f>
        <v>5.7928571428571427</v>
      </c>
      <c r="AD336" s="176">
        <f>IFERROR(_xlfn.XLOOKUP($D336,'Modelling New'!$D:$D,'Modelling New'!$T:$T)*1000,"")</f>
        <v>309344.61889388983</v>
      </c>
      <c r="AE336" s="186">
        <f>IFERROR(_xlfn.XLOOKUP($D336,'Modelling New'!$D:$D,'Modelling New'!$O:$O),"")</f>
        <v>0.79995571795505216</v>
      </c>
      <c r="AF336" s="186">
        <f>IFERROR(_xlfn.XLOOKUP($D336,'Modelling New'!$D:$D,'Modelling New'!$W:$W),"")</f>
        <v>0.19308454978022238</v>
      </c>
      <c r="AG336" s="186">
        <f>IFERROR(_xlfn.XLOOKUP($D336,'Modelling New'!$D:$D,'Modelling New'!$AE:$AE),"")</f>
        <v>0.995</v>
      </c>
      <c r="AH336" s="186">
        <f>IFERROR(_xlfn.XLOOKUP($D336,'Modelling New'!$D:$D,'Modelling New'!$AF:$AF),"")</f>
        <v>0.995</v>
      </c>
      <c r="AI336" s="177"/>
      <c r="AJ336" s="177"/>
      <c r="AK336" s="238"/>
      <c r="AL336" s="238"/>
      <c r="AM336" s="238"/>
      <c r="AN336" s="187"/>
      <c r="AO336" s="184"/>
      <c r="AP336" s="184"/>
      <c r="AQ336" s="184"/>
      <c r="AR336" s="176">
        <f>IFERROR(_xlfn.XLOOKUP($D335,'Modelling New'!$D:$D,'Modelling New'!$N:$N),"")</f>
        <v>66.754999999999995</v>
      </c>
      <c r="AS336" s="176"/>
    </row>
    <row r="337" spans="1:45" x14ac:dyDescent="0.25">
      <c r="A337" s="175">
        <f t="shared" si="23"/>
        <v>46080</v>
      </c>
      <c r="B337" s="176">
        <f>YEAR(Table13[[#This Row],[Date]])+IF(MONTH(Table13[[#This Row],[Date]])&gt;=4,1,0)</f>
        <v>2026</v>
      </c>
      <c r="C337" s="177">
        <f>YEAR(Table13[[#This Row],[Date]])</f>
        <v>2026</v>
      </c>
      <c r="D337" s="178">
        <f>Table13[[#This Row],[Date]]-DAY(Table13[[#This Row],[Date]])+1</f>
        <v>46054</v>
      </c>
      <c r="E337" s="177">
        <f t="shared" si="20"/>
        <v>28</v>
      </c>
      <c r="F337" s="179" t="str">
        <f>IFERROR(_xlfn.XLOOKUP($A337,Raw_Data!$B:$B,Raw_Data!$KG:$KG),"")</f>
        <v/>
      </c>
      <c r="G337" s="180" t="str">
        <f>IFERROR(_xlfn.XLOOKUP($A337,Raw_Data!$B:$B,Raw_Data!KH:KH),"")</f>
        <v/>
      </c>
      <c r="H337" s="180"/>
      <c r="I337" s="180" t="str">
        <f>IFERROR(_xlfn.XLOOKUP($A337,Raw_Data!$B:$B,Raw_Data!$KI:$KI),"")</f>
        <v/>
      </c>
      <c r="J337" s="180"/>
      <c r="K337" s="180" t="str">
        <f>IFERROR(_xlfn.XLOOKUP($A337,Raw_Data!$B:$B,Raw_Data!KJ:KJ),"")</f>
        <v/>
      </c>
      <c r="L337" s="180" t="str">
        <f>IFERROR(_xlfn.XLOOKUP($A337,Raw_Data!$B:$B,Raw_Data!KK:KK),"")</f>
        <v/>
      </c>
      <c r="M337" s="180" t="str">
        <f>IFERROR(_xlfn.XLOOKUP($A337,Raw_Data!$B:$B,Raw_Data!KL:KL),"")</f>
        <v/>
      </c>
      <c r="N337" s="180" t="str">
        <f>IFERROR(_xlfn.XLOOKUP($A337,Raw_Data!$B:$B,Raw_Data!KM:KM),"")</f>
        <v/>
      </c>
      <c r="O337" s="181" t="str">
        <f>IFERROR(1-SUMIF(PA!$B:$B,$A337,PA!AJ:AJ)/($AA337+SUMIF(PA!$B:$B,$A337,PA!AJ:AJ)),"")</f>
        <v/>
      </c>
      <c r="P337" s="181"/>
      <c r="Q337" s="182"/>
      <c r="R337" s="181" t="str">
        <f>IFERROR(1-SUMIF(GA!$C:$C,$A337,GA!$X:$X)/($AA337+SUMIF(GA!$C:$C,$A337,GA!$X:$X)),"")</f>
        <v/>
      </c>
      <c r="S337" s="177"/>
      <c r="T337" s="182"/>
      <c r="U337" s="183" t="str">
        <f t="shared" si="21"/>
        <v/>
      </c>
      <c r="V337" s="183" t="str">
        <f>IFERROR(_xlfn.XLOOKUP($A337,Raw_Data!$B:$B,Raw_Data!$KQ:$KQ),"")</f>
        <v/>
      </c>
      <c r="W337" s="184" t="str">
        <f t="shared" si="22"/>
        <v/>
      </c>
      <c r="X337" s="176" t="str">
        <f>IFERROR(_xlfn.XLOOKUP($A337,Raw_Data!$B:$B,Raw_Data!$KN:$KN),"")</f>
        <v/>
      </c>
      <c r="Y337" s="176" t="str">
        <f>IFERROR(_xlfn.XLOOKUP($A337,Raw_Data!$B:$B,Raw_Data!$KC:$KC),"")</f>
        <v/>
      </c>
      <c r="Z337" s="176" t="str">
        <f>IFERROR(_xlfn.XLOOKUP($A337,Raw_Data!$B:$B,Raw_Data!$KD:$KD),"")</f>
        <v/>
      </c>
      <c r="AA337" s="176" t="str">
        <f>IFERROR(_xlfn.XLOOKUP($A337,Raw_Data!$B:$B,Raw_Data!$KF:$KF),"")</f>
        <v/>
      </c>
      <c r="AB337" s="176" t="str">
        <f>IFERROR(_xlfn.XLOOKUP($A337,Raw_Data!$B:$B,Raw_Data!I:I)/1000,"")</f>
        <v/>
      </c>
      <c r="AC337" s="185">
        <f>IFERROR(_xlfn.XLOOKUP($D337,'Modelling New'!$D:$D,'Modelling New'!$P:$P),"")</f>
        <v>5.7928571428571427</v>
      </c>
      <c r="AD337" s="176">
        <f>IFERROR(_xlfn.XLOOKUP($D337,'Modelling New'!$D:$D,'Modelling New'!$T:$T)*1000,"")</f>
        <v>309344.61889388983</v>
      </c>
      <c r="AE337" s="186">
        <f>IFERROR(_xlfn.XLOOKUP($D337,'Modelling New'!$D:$D,'Modelling New'!$O:$O),"")</f>
        <v>0.79995571795505216</v>
      </c>
      <c r="AF337" s="186">
        <f>IFERROR(_xlfn.XLOOKUP($D337,'Modelling New'!$D:$D,'Modelling New'!$W:$W),"")</f>
        <v>0.19308454978022238</v>
      </c>
      <c r="AG337" s="186">
        <f>IFERROR(_xlfn.XLOOKUP($D337,'Modelling New'!$D:$D,'Modelling New'!$AE:$AE),"")</f>
        <v>0.995</v>
      </c>
      <c r="AH337" s="186">
        <f>IFERROR(_xlfn.XLOOKUP($D337,'Modelling New'!$D:$D,'Modelling New'!$AF:$AF),"")</f>
        <v>0.995</v>
      </c>
      <c r="AI337" s="177"/>
      <c r="AJ337" s="177"/>
      <c r="AK337" s="238"/>
      <c r="AL337" s="238"/>
      <c r="AM337" s="238"/>
      <c r="AN337" s="187"/>
      <c r="AO337" s="184"/>
      <c r="AP337" s="184"/>
      <c r="AQ337" s="184"/>
      <c r="AR337" s="176">
        <f>IFERROR(_xlfn.XLOOKUP($D336,'Modelling New'!$D:$D,'Modelling New'!$N:$N),"")</f>
        <v>66.754999999999995</v>
      </c>
      <c r="AS337" s="176"/>
    </row>
    <row r="338" spans="1:45" x14ac:dyDescent="0.25">
      <c r="A338" s="175">
        <f t="shared" si="23"/>
        <v>46081</v>
      </c>
      <c r="B338" s="176">
        <f>YEAR(Table13[[#This Row],[Date]])+IF(MONTH(Table13[[#This Row],[Date]])&gt;=4,1,0)</f>
        <v>2026</v>
      </c>
      <c r="C338" s="177">
        <f>YEAR(Table13[[#This Row],[Date]])</f>
        <v>2026</v>
      </c>
      <c r="D338" s="178">
        <f>Table13[[#This Row],[Date]]-DAY(Table13[[#This Row],[Date]])+1</f>
        <v>46054</v>
      </c>
      <c r="E338" s="177">
        <f t="shared" si="20"/>
        <v>28</v>
      </c>
      <c r="F338" s="179" t="str">
        <f>IFERROR(_xlfn.XLOOKUP($A338,Raw_Data!$B:$B,Raw_Data!$KG:$KG),"")</f>
        <v/>
      </c>
      <c r="G338" s="180" t="str">
        <f>IFERROR(_xlfn.XLOOKUP($A338,Raw_Data!$B:$B,Raw_Data!KH:KH),"")</f>
        <v/>
      </c>
      <c r="H338" s="180"/>
      <c r="I338" s="180" t="str">
        <f>IFERROR(_xlfn.XLOOKUP($A338,Raw_Data!$B:$B,Raw_Data!$KI:$KI),"")</f>
        <v/>
      </c>
      <c r="J338" s="180"/>
      <c r="K338" s="180" t="str">
        <f>IFERROR(_xlfn.XLOOKUP($A338,Raw_Data!$B:$B,Raw_Data!KJ:KJ),"")</f>
        <v/>
      </c>
      <c r="L338" s="180" t="str">
        <f>IFERROR(_xlfn.XLOOKUP($A338,Raw_Data!$B:$B,Raw_Data!KK:KK),"")</f>
        <v/>
      </c>
      <c r="M338" s="180" t="str">
        <f>IFERROR(_xlfn.XLOOKUP($A338,Raw_Data!$B:$B,Raw_Data!KL:KL),"")</f>
        <v/>
      </c>
      <c r="N338" s="180" t="str">
        <f>IFERROR(_xlfn.XLOOKUP($A338,Raw_Data!$B:$B,Raw_Data!KM:KM),"")</f>
        <v/>
      </c>
      <c r="O338" s="181" t="str">
        <f>IFERROR(1-SUMIF(PA!$B:$B,$A338,PA!AJ:AJ)/($AA338+SUMIF(PA!$B:$B,$A338,PA!AJ:AJ)),"")</f>
        <v/>
      </c>
      <c r="P338" s="181"/>
      <c r="Q338" s="182"/>
      <c r="R338" s="181" t="str">
        <f>IFERROR(1-SUMIF(GA!$C:$C,$A338,GA!$X:$X)/($AA338+SUMIF(GA!$C:$C,$A338,GA!$X:$X)),"")</f>
        <v/>
      </c>
      <c r="S338" s="177"/>
      <c r="T338" s="182"/>
      <c r="U338" s="183" t="str">
        <f t="shared" si="21"/>
        <v/>
      </c>
      <c r="V338" s="183" t="str">
        <f>IFERROR(_xlfn.XLOOKUP($A338,Raw_Data!$B:$B,Raw_Data!$KQ:$KQ),"")</f>
        <v/>
      </c>
      <c r="W338" s="184" t="str">
        <f t="shared" si="22"/>
        <v/>
      </c>
      <c r="X338" s="176" t="str">
        <f>IFERROR(_xlfn.XLOOKUP($A338,Raw_Data!$B:$B,Raw_Data!$KN:$KN),"")</f>
        <v/>
      </c>
      <c r="Y338" s="176" t="str">
        <f>IFERROR(_xlfn.XLOOKUP($A338,Raw_Data!$B:$B,Raw_Data!$KC:$KC),"")</f>
        <v/>
      </c>
      <c r="Z338" s="176" t="str">
        <f>IFERROR(_xlfn.XLOOKUP($A338,Raw_Data!$B:$B,Raw_Data!$KD:$KD),"")</f>
        <v/>
      </c>
      <c r="AA338" s="176" t="str">
        <f>IFERROR(_xlfn.XLOOKUP($A338,Raw_Data!$B:$B,Raw_Data!$KF:$KF),"")</f>
        <v/>
      </c>
      <c r="AB338" s="176" t="str">
        <f>IFERROR(_xlfn.XLOOKUP($A338,Raw_Data!$B:$B,Raw_Data!I:I)/1000,"")</f>
        <v/>
      </c>
      <c r="AC338" s="185">
        <f>IFERROR(_xlfn.XLOOKUP($D338,'Modelling New'!$D:$D,'Modelling New'!$P:$P),"")</f>
        <v>5.7928571428571427</v>
      </c>
      <c r="AD338" s="176">
        <f>IFERROR(_xlfn.XLOOKUP($D338,'Modelling New'!$D:$D,'Modelling New'!$T:$T)*1000,"")</f>
        <v>309344.61889388983</v>
      </c>
      <c r="AE338" s="186">
        <f>IFERROR(_xlfn.XLOOKUP($D338,'Modelling New'!$D:$D,'Modelling New'!$O:$O),"")</f>
        <v>0.79995571795505216</v>
      </c>
      <c r="AF338" s="186">
        <f>IFERROR(_xlfn.XLOOKUP($D338,'Modelling New'!$D:$D,'Modelling New'!$W:$W),"")</f>
        <v>0.19308454978022238</v>
      </c>
      <c r="AG338" s="186">
        <f>IFERROR(_xlfn.XLOOKUP($D338,'Modelling New'!$D:$D,'Modelling New'!$AE:$AE),"")</f>
        <v>0.995</v>
      </c>
      <c r="AH338" s="186">
        <f>IFERROR(_xlfn.XLOOKUP($D338,'Modelling New'!$D:$D,'Modelling New'!$AF:$AF),"")</f>
        <v>0.995</v>
      </c>
      <c r="AI338" s="177"/>
      <c r="AJ338" s="177"/>
      <c r="AK338" s="238"/>
      <c r="AL338" s="238"/>
      <c r="AM338" s="238"/>
      <c r="AN338" s="187"/>
      <c r="AO338" s="184"/>
      <c r="AP338" s="184"/>
      <c r="AQ338" s="184"/>
      <c r="AR338" s="176">
        <f>IFERROR(_xlfn.XLOOKUP($D337,'Modelling New'!$D:$D,'Modelling New'!$N:$N),"")</f>
        <v>66.754999999999995</v>
      </c>
      <c r="AS338" s="176"/>
    </row>
    <row r="339" spans="1:45" x14ac:dyDescent="0.25">
      <c r="A339" s="175">
        <f t="shared" si="23"/>
        <v>46082</v>
      </c>
      <c r="B339" s="176">
        <f>YEAR(Table13[[#This Row],[Date]])+IF(MONTH(Table13[[#This Row],[Date]])&gt;=4,1,0)</f>
        <v>2026</v>
      </c>
      <c r="C339" s="177">
        <f>YEAR(Table13[[#This Row],[Date]])</f>
        <v>2026</v>
      </c>
      <c r="D339" s="178">
        <f>Table13[[#This Row],[Date]]-DAY(Table13[[#This Row],[Date]])+1</f>
        <v>46082</v>
      </c>
      <c r="E339" s="177">
        <f t="shared" si="20"/>
        <v>31</v>
      </c>
      <c r="F339" s="179" t="str">
        <f>IFERROR(_xlfn.XLOOKUP($A339,Raw_Data!$B:$B,Raw_Data!$KG:$KG),"")</f>
        <v/>
      </c>
      <c r="G339" s="180" t="str">
        <f>IFERROR(_xlfn.XLOOKUP($A339,Raw_Data!$B:$B,Raw_Data!KH:KH),"")</f>
        <v/>
      </c>
      <c r="H339" s="180"/>
      <c r="I339" s="180" t="str">
        <f>IFERROR(_xlfn.XLOOKUP($A339,Raw_Data!$B:$B,Raw_Data!$KI:$KI),"")</f>
        <v/>
      </c>
      <c r="J339" s="180"/>
      <c r="K339" s="180" t="str">
        <f>IFERROR(_xlfn.XLOOKUP($A339,Raw_Data!$B:$B,Raw_Data!KJ:KJ),"")</f>
        <v/>
      </c>
      <c r="L339" s="180" t="str">
        <f>IFERROR(_xlfn.XLOOKUP($A339,Raw_Data!$B:$B,Raw_Data!KK:KK),"")</f>
        <v/>
      </c>
      <c r="M339" s="180" t="str">
        <f>IFERROR(_xlfn.XLOOKUP($A339,Raw_Data!$B:$B,Raw_Data!KL:KL),"")</f>
        <v/>
      </c>
      <c r="N339" s="180" t="str">
        <f>IFERROR(_xlfn.XLOOKUP($A339,Raw_Data!$B:$B,Raw_Data!KM:KM),"")</f>
        <v/>
      </c>
      <c r="O339" s="181" t="str">
        <f>IFERROR(1-SUMIF(PA!$B:$B,$A339,PA!AJ:AJ)/($AA339+SUMIF(PA!$B:$B,$A339,PA!AJ:AJ)),"")</f>
        <v/>
      </c>
      <c r="P339" s="181"/>
      <c r="Q339" s="182"/>
      <c r="R339" s="181" t="str">
        <f>IFERROR(1-SUMIF(GA!$C:$C,$A339,GA!$X:$X)/($AA339+SUMIF(GA!$C:$C,$A339,GA!$X:$X)),"")</f>
        <v/>
      </c>
      <c r="S339" s="177"/>
      <c r="T339" s="182"/>
      <c r="U339" s="183" t="str">
        <f t="shared" si="21"/>
        <v/>
      </c>
      <c r="V339" s="183" t="str">
        <f>IFERROR(_xlfn.XLOOKUP($A339,Raw_Data!$B:$B,Raw_Data!$KQ:$KQ),"")</f>
        <v/>
      </c>
      <c r="W339" s="184" t="str">
        <f t="shared" si="22"/>
        <v/>
      </c>
      <c r="X339" s="176" t="str">
        <f>IFERROR(_xlfn.XLOOKUP($A339,Raw_Data!$B:$B,Raw_Data!$KN:$KN),"")</f>
        <v/>
      </c>
      <c r="Y339" s="176" t="str">
        <f>IFERROR(_xlfn.XLOOKUP($A339,Raw_Data!$B:$B,Raw_Data!$KC:$KC),"")</f>
        <v/>
      </c>
      <c r="Z339" s="176" t="str">
        <f>IFERROR(_xlfn.XLOOKUP($A339,Raw_Data!$B:$B,Raw_Data!$KD:$KD),"")</f>
        <v/>
      </c>
      <c r="AA339" s="176" t="str">
        <f>IFERROR(_xlfn.XLOOKUP($A339,Raw_Data!$B:$B,Raw_Data!$KF:$KF),"")</f>
        <v/>
      </c>
      <c r="AB339" s="176" t="str">
        <f>IFERROR(_xlfn.XLOOKUP($A339,Raw_Data!$B:$B,Raw_Data!I:I)/1000,"")</f>
        <v/>
      </c>
      <c r="AC339" s="185">
        <f>IFERROR(_xlfn.XLOOKUP($D339,'Modelling New'!$D:$D,'Modelling New'!$P:$P),"")</f>
        <v>6.6838709677419352</v>
      </c>
      <c r="AD339" s="176">
        <f>IFERROR(_xlfn.XLOOKUP($D339,'Modelling New'!$D:$D,'Modelling New'!$T:$T)*1000,"")</f>
        <v>346293.36587598477</v>
      </c>
      <c r="AE339" s="186">
        <f>IFERROR(_xlfn.XLOOKUP($D339,'Modelling New'!$D:$D,'Modelling New'!$O:$O),"")</f>
        <v>0.77612614604342745</v>
      </c>
      <c r="AF339" s="186">
        <f>IFERROR(_xlfn.XLOOKUP($D339,'Modelling New'!$D:$D,'Modelling New'!$W:$W),"")</f>
        <v>0.21614695895187924</v>
      </c>
      <c r="AG339" s="186">
        <f>IFERROR(_xlfn.XLOOKUP($D339,'Modelling New'!$D:$D,'Modelling New'!$AE:$AE),"")</f>
        <v>0.995</v>
      </c>
      <c r="AH339" s="186">
        <f>IFERROR(_xlfn.XLOOKUP($D339,'Modelling New'!$D:$D,'Modelling New'!$AF:$AF),"")</f>
        <v>0.995</v>
      </c>
      <c r="AI339" s="177"/>
      <c r="AJ339" s="177"/>
      <c r="AK339" s="238"/>
      <c r="AL339" s="238"/>
      <c r="AM339" s="238"/>
      <c r="AN339" s="187"/>
      <c r="AO339" s="184"/>
      <c r="AP339" s="184"/>
      <c r="AQ339" s="184"/>
      <c r="AR339" s="176">
        <f>IFERROR(_xlfn.XLOOKUP($D338,'Modelling New'!$D:$D,'Modelling New'!$N:$N),"")</f>
        <v>66.754999999999995</v>
      </c>
      <c r="AS339" s="176"/>
    </row>
    <row r="340" spans="1:45" x14ac:dyDescent="0.25">
      <c r="A340" s="175">
        <f t="shared" si="23"/>
        <v>46083</v>
      </c>
      <c r="B340" s="176">
        <f>YEAR(Table13[[#This Row],[Date]])+IF(MONTH(Table13[[#This Row],[Date]])&gt;=4,1,0)</f>
        <v>2026</v>
      </c>
      <c r="C340" s="177">
        <f>YEAR(Table13[[#This Row],[Date]])</f>
        <v>2026</v>
      </c>
      <c r="D340" s="178">
        <f>Table13[[#This Row],[Date]]-DAY(Table13[[#This Row],[Date]])+1</f>
        <v>46082</v>
      </c>
      <c r="E340" s="177">
        <f t="shared" si="20"/>
        <v>31</v>
      </c>
      <c r="F340" s="179" t="str">
        <f>IFERROR(_xlfn.XLOOKUP($A340,Raw_Data!$B:$B,Raw_Data!$KG:$KG),"")</f>
        <v/>
      </c>
      <c r="G340" s="180" t="str">
        <f>IFERROR(_xlfn.XLOOKUP($A340,Raw_Data!$B:$B,Raw_Data!KH:KH),"")</f>
        <v/>
      </c>
      <c r="H340" s="180"/>
      <c r="I340" s="180" t="str">
        <f>IFERROR(_xlfn.XLOOKUP($A340,Raw_Data!$B:$B,Raw_Data!$KI:$KI),"")</f>
        <v/>
      </c>
      <c r="J340" s="180"/>
      <c r="K340" s="180" t="str">
        <f>IFERROR(_xlfn.XLOOKUP($A340,Raw_Data!$B:$B,Raw_Data!KJ:KJ),"")</f>
        <v/>
      </c>
      <c r="L340" s="180" t="str">
        <f>IFERROR(_xlfn.XLOOKUP($A340,Raw_Data!$B:$B,Raw_Data!KK:KK),"")</f>
        <v/>
      </c>
      <c r="M340" s="180" t="str">
        <f>IFERROR(_xlfn.XLOOKUP($A340,Raw_Data!$B:$B,Raw_Data!KL:KL),"")</f>
        <v/>
      </c>
      <c r="N340" s="180" t="str">
        <f>IFERROR(_xlfn.XLOOKUP($A340,Raw_Data!$B:$B,Raw_Data!KM:KM),"")</f>
        <v/>
      </c>
      <c r="O340" s="181" t="str">
        <f>IFERROR(1-SUMIF(PA!$B:$B,$A340,PA!AJ:AJ)/($AA340+SUMIF(PA!$B:$B,$A340,PA!AJ:AJ)),"")</f>
        <v/>
      </c>
      <c r="P340" s="181"/>
      <c r="Q340" s="182"/>
      <c r="R340" s="181" t="str">
        <f>IFERROR(1-SUMIF(GA!$C:$C,$A340,GA!$X:$X)/($AA340+SUMIF(GA!$C:$C,$A340,GA!$X:$X)),"")</f>
        <v/>
      </c>
      <c r="S340" s="177"/>
      <c r="T340" s="182"/>
      <c r="U340" s="183" t="str">
        <f t="shared" si="21"/>
        <v/>
      </c>
      <c r="V340" s="183" t="str">
        <f>IFERROR(_xlfn.XLOOKUP($A340,Raw_Data!$B:$B,Raw_Data!$KQ:$KQ),"")</f>
        <v/>
      </c>
      <c r="W340" s="184" t="str">
        <f t="shared" si="22"/>
        <v/>
      </c>
      <c r="X340" s="176" t="str">
        <f>IFERROR(_xlfn.XLOOKUP($A340,Raw_Data!$B:$B,Raw_Data!$KN:$KN),"")</f>
        <v/>
      </c>
      <c r="Y340" s="176" t="str">
        <f>IFERROR(_xlfn.XLOOKUP($A340,Raw_Data!$B:$B,Raw_Data!$KC:$KC),"")</f>
        <v/>
      </c>
      <c r="Z340" s="176" t="str">
        <f>IFERROR(_xlfn.XLOOKUP($A340,Raw_Data!$B:$B,Raw_Data!$KD:$KD),"")</f>
        <v/>
      </c>
      <c r="AA340" s="176" t="str">
        <f>IFERROR(_xlfn.XLOOKUP($A340,Raw_Data!$B:$B,Raw_Data!$KF:$KF),"")</f>
        <v/>
      </c>
      <c r="AB340" s="176" t="str">
        <f>IFERROR(_xlfn.XLOOKUP($A340,Raw_Data!$B:$B,Raw_Data!I:I)/1000,"")</f>
        <v/>
      </c>
      <c r="AC340" s="185">
        <f>IFERROR(_xlfn.XLOOKUP($D340,'Modelling New'!$D:$D,'Modelling New'!$P:$P),"")</f>
        <v>6.6838709677419352</v>
      </c>
      <c r="AD340" s="176">
        <f>IFERROR(_xlfn.XLOOKUP($D340,'Modelling New'!$D:$D,'Modelling New'!$T:$T)*1000,"")</f>
        <v>346293.36587598477</v>
      </c>
      <c r="AE340" s="186">
        <f>IFERROR(_xlfn.XLOOKUP($D340,'Modelling New'!$D:$D,'Modelling New'!$O:$O),"")</f>
        <v>0.77612614604342745</v>
      </c>
      <c r="AF340" s="186">
        <f>IFERROR(_xlfn.XLOOKUP($D340,'Modelling New'!$D:$D,'Modelling New'!$W:$W),"")</f>
        <v>0.21614695895187924</v>
      </c>
      <c r="AG340" s="186">
        <f>IFERROR(_xlfn.XLOOKUP($D340,'Modelling New'!$D:$D,'Modelling New'!$AE:$AE),"")</f>
        <v>0.995</v>
      </c>
      <c r="AH340" s="186">
        <f>IFERROR(_xlfn.XLOOKUP($D340,'Modelling New'!$D:$D,'Modelling New'!$AF:$AF),"")</f>
        <v>0.995</v>
      </c>
      <c r="AI340" s="177"/>
      <c r="AJ340" s="177"/>
      <c r="AK340" s="238"/>
      <c r="AL340" s="238"/>
      <c r="AM340" s="238"/>
      <c r="AN340" s="187"/>
      <c r="AO340" s="184"/>
      <c r="AP340" s="184"/>
      <c r="AQ340" s="184"/>
      <c r="AR340" s="176">
        <f>IFERROR(_xlfn.XLOOKUP($D339,'Modelling New'!$D:$D,'Modelling New'!$N:$N),"")</f>
        <v>66.754999999999995</v>
      </c>
      <c r="AS340" s="176"/>
    </row>
    <row r="341" spans="1:45" x14ac:dyDescent="0.25">
      <c r="A341" s="175">
        <f t="shared" si="23"/>
        <v>46084</v>
      </c>
      <c r="B341" s="176">
        <f>YEAR(Table13[[#This Row],[Date]])+IF(MONTH(Table13[[#This Row],[Date]])&gt;=4,1,0)</f>
        <v>2026</v>
      </c>
      <c r="C341" s="177">
        <f>YEAR(Table13[[#This Row],[Date]])</f>
        <v>2026</v>
      </c>
      <c r="D341" s="178">
        <f>Table13[[#This Row],[Date]]-DAY(Table13[[#This Row],[Date]])+1</f>
        <v>46082</v>
      </c>
      <c r="E341" s="177">
        <f t="shared" si="20"/>
        <v>31</v>
      </c>
      <c r="F341" s="179" t="str">
        <f>IFERROR(_xlfn.XLOOKUP($A341,Raw_Data!$B:$B,Raw_Data!$KG:$KG),"")</f>
        <v/>
      </c>
      <c r="G341" s="180" t="str">
        <f>IFERROR(_xlfn.XLOOKUP($A341,Raw_Data!$B:$B,Raw_Data!KH:KH),"")</f>
        <v/>
      </c>
      <c r="H341" s="180"/>
      <c r="I341" s="180" t="str">
        <f>IFERROR(_xlfn.XLOOKUP($A341,Raw_Data!$B:$B,Raw_Data!$KI:$KI),"")</f>
        <v/>
      </c>
      <c r="J341" s="180"/>
      <c r="K341" s="180" t="str">
        <f>IFERROR(_xlfn.XLOOKUP($A341,Raw_Data!$B:$B,Raw_Data!KJ:KJ),"")</f>
        <v/>
      </c>
      <c r="L341" s="180" t="str">
        <f>IFERROR(_xlfn.XLOOKUP($A341,Raw_Data!$B:$B,Raw_Data!KK:KK),"")</f>
        <v/>
      </c>
      <c r="M341" s="180" t="str">
        <f>IFERROR(_xlfn.XLOOKUP($A341,Raw_Data!$B:$B,Raw_Data!KL:KL),"")</f>
        <v/>
      </c>
      <c r="N341" s="180" t="str">
        <f>IFERROR(_xlfn.XLOOKUP($A341,Raw_Data!$B:$B,Raw_Data!KM:KM),"")</f>
        <v/>
      </c>
      <c r="O341" s="181" t="str">
        <f>IFERROR(1-SUMIF(PA!$B:$B,$A341,PA!AJ:AJ)/($AA341+SUMIF(PA!$B:$B,$A341,PA!AJ:AJ)),"")</f>
        <v/>
      </c>
      <c r="P341" s="181"/>
      <c r="Q341" s="182"/>
      <c r="R341" s="181" t="str">
        <f>IFERROR(1-SUMIF(GA!$C:$C,$A341,GA!$X:$X)/($AA341+SUMIF(GA!$C:$C,$A341,GA!$X:$X)),"")</f>
        <v/>
      </c>
      <c r="S341" s="177"/>
      <c r="T341" s="182"/>
      <c r="U341" s="183" t="str">
        <f t="shared" si="21"/>
        <v/>
      </c>
      <c r="V341" s="183" t="str">
        <f>IFERROR(_xlfn.XLOOKUP($A341,Raw_Data!$B:$B,Raw_Data!$KQ:$KQ),"")</f>
        <v/>
      </c>
      <c r="W341" s="184" t="str">
        <f t="shared" si="22"/>
        <v/>
      </c>
      <c r="X341" s="176" t="str">
        <f>IFERROR(_xlfn.XLOOKUP($A341,Raw_Data!$B:$B,Raw_Data!$KN:$KN),"")</f>
        <v/>
      </c>
      <c r="Y341" s="176" t="str">
        <f>IFERROR(_xlfn.XLOOKUP($A341,Raw_Data!$B:$B,Raw_Data!$KC:$KC),"")</f>
        <v/>
      </c>
      <c r="Z341" s="176" t="str">
        <f>IFERROR(_xlfn.XLOOKUP($A341,Raw_Data!$B:$B,Raw_Data!$KD:$KD),"")</f>
        <v/>
      </c>
      <c r="AA341" s="176" t="str">
        <f>IFERROR(_xlfn.XLOOKUP($A341,Raw_Data!$B:$B,Raw_Data!$KF:$KF),"")</f>
        <v/>
      </c>
      <c r="AB341" s="176" t="str">
        <f>IFERROR(_xlfn.XLOOKUP($A341,Raw_Data!$B:$B,Raw_Data!I:I)/1000,"")</f>
        <v/>
      </c>
      <c r="AC341" s="185">
        <f>IFERROR(_xlfn.XLOOKUP($D341,'Modelling New'!$D:$D,'Modelling New'!$P:$P),"")</f>
        <v>6.6838709677419352</v>
      </c>
      <c r="AD341" s="176">
        <f>IFERROR(_xlfn.XLOOKUP($D341,'Modelling New'!$D:$D,'Modelling New'!$T:$T)*1000,"")</f>
        <v>346293.36587598477</v>
      </c>
      <c r="AE341" s="186">
        <f>IFERROR(_xlfn.XLOOKUP($D341,'Modelling New'!$D:$D,'Modelling New'!$O:$O),"")</f>
        <v>0.77612614604342745</v>
      </c>
      <c r="AF341" s="186">
        <f>IFERROR(_xlfn.XLOOKUP($D341,'Modelling New'!$D:$D,'Modelling New'!$W:$W),"")</f>
        <v>0.21614695895187924</v>
      </c>
      <c r="AG341" s="186">
        <f>IFERROR(_xlfn.XLOOKUP($D341,'Modelling New'!$D:$D,'Modelling New'!$AE:$AE),"")</f>
        <v>0.995</v>
      </c>
      <c r="AH341" s="186">
        <f>IFERROR(_xlfn.XLOOKUP($D341,'Modelling New'!$D:$D,'Modelling New'!$AF:$AF),"")</f>
        <v>0.995</v>
      </c>
      <c r="AI341" s="177"/>
      <c r="AJ341" s="177"/>
      <c r="AK341" s="238"/>
      <c r="AL341" s="238"/>
      <c r="AM341" s="238"/>
      <c r="AN341" s="187"/>
      <c r="AO341" s="184"/>
      <c r="AP341" s="184"/>
      <c r="AQ341" s="184"/>
      <c r="AR341" s="176">
        <f>IFERROR(_xlfn.XLOOKUP($D340,'Modelling New'!$D:$D,'Modelling New'!$N:$N),"")</f>
        <v>66.754999999999995</v>
      </c>
      <c r="AS341" s="176"/>
    </row>
    <row r="342" spans="1:45" x14ac:dyDescent="0.25">
      <c r="A342" s="175">
        <f t="shared" si="23"/>
        <v>46085</v>
      </c>
      <c r="B342" s="176">
        <f>YEAR(Table13[[#This Row],[Date]])+IF(MONTH(Table13[[#This Row],[Date]])&gt;=4,1,0)</f>
        <v>2026</v>
      </c>
      <c r="C342" s="177">
        <f>YEAR(Table13[[#This Row],[Date]])</f>
        <v>2026</v>
      </c>
      <c r="D342" s="178">
        <f>Table13[[#This Row],[Date]]-DAY(Table13[[#This Row],[Date]])+1</f>
        <v>46082</v>
      </c>
      <c r="E342" s="177">
        <f t="shared" si="20"/>
        <v>31</v>
      </c>
      <c r="F342" s="179" t="str">
        <f>IFERROR(_xlfn.XLOOKUP($A342,Raw_Data!$B:$B,Raw_Data!$KG:$KG),"")</f>
        <v/>
      </c>
      <c r="G342" s="180" t="str">
        <f>IFERROR(_xlfn.XLOOKUP($A342,Raw_Data!$B:$B,Raw_Data!KH:KH),"")</f>
        <v/>
      </c>
      <c r="H342" s="180"/>
      <c r="I342" s="180" t="str">
        <f>IFERROR(_xlfn.XLOOKUP($A342,Raw_Data!$B:$B,Raw_Data!$KI:$KI),"")</f>
        <v/>
      </c>
      <c r="J342" s="180"/>
      <c r="K342" s="180" t="str">
        <f>IFERROR(_xlfn.XLOOKUP($A342,Raw_Data!$B:$B,Raw_Data!KJ:KJ),"")</f>
        <v/>
      </c>
      <c r="L342" s="180" t="str">
        <f>IFERROR(_xlfn.XLOOKUP($A342,Raw_Data!$B:$B,Raw_Data!KK:KK),"")</f>
        <v/>
      </c>
      <c r="M342" s="180" t="str">
        <f>IFERROR(_xlfn.XLOOKUP($A342,Raw_Data!$B:$B,Raw_Data!KL:KL),"")</f>
        <v/>
      </c>
      <c r="N342" s="180" t="str">
        <f>IFERROR(_xlfn.XLOOKUP($A342,Raw_Data!$B:$B,Raw_Data!KM:KM),"")</f>
        <v/>
      </c>
      <c r="O342" s="181" t="str">
        <f>IFERROR(1-SUMIF(PA!$B:$B,$A342,PA!AJ:AJ)/($AA342+SUMIF(PA!$B:$B,$A342,PA!AJ:AJ)),"")</f>
        <v/>
      </c>
      <c r="P342" s="181"/>
      <c r="Q342" s="182"/>
      <c r="R342" s="181" t="str">
        <f>IFERROR(1-SUMIF(GA!$C:$C,$A342,GA!$X:$X)/($AA342+SUMIF(GA!$C:$C,$A342,GA!$X:$X)),"")</f>
        <v/>
      </c>
      <c r="S342" s="177"/>
      <c r="T342" s="182"/>
      <c r="U342" s="183" t="str">
        <f t="shared" si="21"/>
        <v/>
      </c>
      <c r="V342" s="183" t="str">
        <f>IFERROR(_xlfn.XLOOKUP($A342,Raw_Data!$B:$B,Raw_Data!$KQ:$KQ),"")</f>
        <v/>
      </c>
      <c r="W342" s="184" t="str">
        <f t="shared" si="22"/>
        <v/>
      </c>
      <c r="X342" s="176" t="str">
        <f>IFERROR(_xlfn.XLOOKUP($A342,Raw_Data!$B:$B,Raw_Data!$KN:$KN),"")</f>
        <v/>
      </c>
      <c r="Y342" s="176" t="str">
        <f>IFERROR(_xlfn.XLOOKUP($A342,Raw_Data!$B:$B,Raw_Data!$KC:$KC),"")</f>
        <v/>
      </c>
      <c r="Z342" s="176" t="str">
        <f>IFERROR(_xlfn.XLOOKUP($A342,Raw_Data!$B:$B,Raw_Data!$KD:$KD),"")</f>
        <v/>
      </c>
      <c r="AA342" s="176" t="str">
        <f>IFERROR(_xlfn.XLOOKUP($A342,Raw_Data!$B:$B,Raw_Data!$KF:$KF),"")</f>
        <v/>
      </c>
      <c r="AB342" s="176" t="str">
        <f>IFERROR(_xlfn.XLOOKUP($A342,Raw_Data!$B:$B,Raw_Data!I:I)/1000,"")</f>
        <v/>
      </c>
      <c r="AC342" s="185">
        <f>IFERROR(_xlfn.XLOOKUP($D342,'Modelling New'!$D:$D,'Modelling New'!$P:$P),"")</f>
        <v>6.6838709677419352</v>
      </c>
      <c r="AD342" s="176">
        <f>IFERROR(_xlfn.XLOOKUP($D342,'Modelling New'!$D:$D,'Modelling New'!$T:$T)*1000,"")</f>
        <v>346293.36587598477</v>
      </c>
      <c r="AE342" s="186">
        <f>IFERROR(_xlfn.XLOOKUP($D342,'Modelling New'!$D:$D,'Modelling New'!$O:$O),"")</f>
        <v>0.77612614604342745</v>
      </c>
      <c r="AF342" s="186">
        <f>IFERROR(_xlfn.XLOOKUP($D342,'Modelling New'!$D:$D,'Modelling New'!$W:$W),"")</f>
        <v>0.21614695895187924</v>
      </c>
      <c r="AG342" s="186">
        <f>IFERROR(_xlfn.XLOOKUP($D342,'Modelling New'!$D:$D,'Modelling New'!$AE:$AE),"")</f>
        <v>0.995</v>
      </c>
      <c r="AH342" s="186">
        <f>IFERROR(_xlfn.XLOOKUP($D342,'Modelling New'!$D:$D,'Modelling New'!$AF:$AF),"")</f>
        <v>0.995</v>
      </c>
      <c r="AI342" s="177"/>
      <c r="AJ342" s="177"/>
      <c r="AK342" s="238"/>
      <c r="AL342" s="238"/>
      <c r="AM342" s="238"/>
      <c r="AN342" s="187"/>
      <c r="AO342" s="184"/>
      <c r="AP342" s="184"/>
      <c r="AQ342" s="184"/>
      <c r="AR342" s="176">
        <f>IFERROR(_xlfn.XLOOKUP($D341,'Modelling New'!$D:$D,'Modelling New'!$N:$N),"")</f>
        <v>66.754999999999995</v>
      </c>
      <c r="AS342" s="176"/>
    </row>
    <row r="343" spans="1:45" x14ac:dyDescent="0.25">
      <c r="A343" s="175">
        <f t="shared" si="23"/>
        <v>46086</v>
      </c>
      <c r="B343" s="176">
        <f>YEAR(Table13[[#This Row],[Date]])+IF(MONTH(Table13[[#This Row],[Date]])&gt;=4,1,0)</f>
        <v>2026</v>
      </c>
      <c r="C343" s="177">
        <f>YEAR(Table13[[#This Row],[Date]])</f>
        <v>2026</v>
      </c>
      <c r="D343" s="178">
        <f>Table13[[#This Row],[Date]]-DAY(Table13[[#This Row],[Date]])+1</f>
        <v>46082</v>
      </c>
      <c r="E343" s="177">
        <f t="shared" si="20"/>
        <v>31</v>
      </c>
      <c r="F343" s="179" t="str">
        <f>IFERROR(_xlfn.XLOOKUP($A343,Raw_Data!$B:$B,Raw_Data!$KG:$KG),"")</f>
        <v/>
      </c>
      <c r="G343" s="180" t="str">
        <f>IFERROR(_xlfn.XLOOKUP($A343,Raw_Data!$B:$B,Raw_Data!KH:KH),"")</f>
        <v/>
      </c>
      <c r="H343" s="180"/>
      <c r="I343" s="180" t="str">
        <f>IFERROR(_xlfn.XLOOKUP($A343,Raw_Data!$B:$B,Raw_Data!$KI:$KI),"")</f>
        <v/>
      </c>
      <c r="J343" s="180"/>
      <c r="K343" s="180" t="str">
        <f>IFERROR(_xlfn.XLOOKUP($A343,Raw_Data!$B:$B,Raw_Data!KJ:KJ),"")</f>
        <v/>
      </c>
      <c r="L343" s="180" t="str">
        <f>IFERROR(_xlfn.XLOOKUP($A343,Raw_Data!$B:$B,Raw_Data!KK:KK),"")</f>
        <v/>
      </c>
      <c r="M343" s="180" t="str">
        <f>IFERROR(_xlfn.XLOOKUP($A343,Raw_Data!$B:$B,Raw_Data!KL:KL),"")</f>
        <v/>
      </c>
      <c r="N343" s="180" t="str">
        <f>IFERROR(_xlfn.XLOOKUP($A343,Raw_Data!$B:$B,Raw_Data!KM:KM),"")</f>
        <v/>
      </c>
      <c r="O343" s="181" t="str">
        <f>IFERROR(1-SUMIF(PA!$B:$B,$A343,PA!AJ:AJ)/($AA343+SUMIF(PA!$B:$B,$A343,PA!AJ:AJ)),"")</f>
        <v/>
      </c>
      <c r="P343" s="181"/>
      <c r="Q343" s="182"/>
      <c r="R343" s="181" t="str">
        <f>IFERROR(1-SUMIF(GA!$C:$C,$A343,GA!$X:$X)/($AA343+SUMIF(GA!$C:$C,$A343,GA!$X:$X)),"")</f>
        <v/>
      </c>
      <c r="S343" s="177"/>
      <c r="T343" s="182"/>
      <c r="U343" s="183" t="str">
        <f t="shared" si="21"/>
        <v/>
      </c>
      <c r="V343" s="183" t="str">
        <f>IFERROR(_xlfn.XLOOKUP($A343,Raw_Data!$B:$B,Raw_Data!$KQ:$KQ),"")</f>
        <v/>
      </c>
      <c r="W343" s="184" t="str">
        <f t="shared" si="22"/>
        <v/>
      </c>
      <c r="X343" s="176" t="str">
        <f>IFERROR(_xlfn.XLOOKUP($A343,Raw_Data!$B:$B,Raw_Data!$KN:$KN),"")</f>
        <v/>
      </c>
      <c r="Y343" s="176" t="str">
        <f>IFERROR(_xlfn.XLOOKUP($A343,Raw_Data!$B:$B,Raw_Data!$KC:$KC),"")</f>
        <v/>
      </c>
      <c r="Z343" s="176" t="str">
        <f>IFERROR(_xlfn.XLOOKUP($A343,Raw_Data!$B:$B,Raw_Data!$KD:$KD),"")</f>
        <v/>
      </c>
      <c r="AA343" s="176" t="str">
        <f>IFERROR(_xlfn.XLOOKUP($A343,Raw_Data!$B:$B,Raw_Data!$KF:$KF),"")</f>
        <v/>
      </c>
      <c r="AB343" s="176" t="str">
        <f>IFERROR(_xlfn.XLOOKUP($A343,Raw_Data!$B:$B,Raw_Data!I:I)/1000,"")</f>
        <v/>
      </c>
      <c r="AC343" s="185">
        <f>IFERROR(_xlfn.XLOOKUP($D343,'Modelling New'!$D:$D,'Modelling New'!$P:$P),"")</f>
        <v>6.6838709677419352</v>
      </c>
      <c r="AD343" s="176">
        <f>IFERROR(_xlfn.XLOOKUP($D343,'Modelling New'!$D:$D,'Modelling New'!$T:$T)*1000,"")</f>
        <v>346293.36587598477</v>
      </c>
      <c r="AE343" s="186">
        <f>IFERROR(_xlfn.XLOOKUP($D343,'Modelling New'!$D:$D,'Modelling New'!$O:$O),"")</f>
        <v>0.77612614604342745</v>
      </c>
      <c r="AF343" s="186">
        <f>IFERROR(_xlfn.XLOOKUP($D343,'Modelling New'!$D:$D,'Modelling New'!$W:$W),"")</f>
        <v>0.21614695895187924</v>
      </c>
      <c r="AG343" s="186">
        <f>IFERROR(_xlfn.XLOOKUP($D343,'Modelling New'!$D:$D,'Modelling New'!$AE:$AE),"")</f>
        <v>0.995</v>
      </c>
      <c r="AH343" s="186">
        <f>IFERROR(_xlfn.XLOOKUP($D343,'Modelling New'!$D:$D,'Modelling New'!$AF:$AF),"")</f>
        <v>0.995</v>
      </c>
      <c r="AI343" s="177"/>
      <c r="AJ343" s="177"/>
      <c r="AK343" s="238"/>
      <c r="AL343" s="238"/>
      <c r="AM343" s="238"/>
      <c r="AN343" s="187"/>
      <c r="AO343" s="184"/>
      <c r="AP343" s="184"/>
      <c r="AQ343" s="184"/>
      <c r="AR343" s="176">
        <f>IFERROR(_xlfn.XLOOKUP($D342,'Modelling New'!$D:$D,'Modelling New'!$N:$N),"")</f>
        <v>66.754999999999995</v>
      </c>
      <c r="AS343" s="176"/>
    </row>
    <row r="344" spans="1:45" x14ac:dyDescent="0.25">
      <c r="A344" s="175">
        <f t="shared" si="23"/>
        <v>46087</v>
      </c>
      <c r="B344" s="176">
        <f>YEAR(Table13[[#This Row],[Date]])+IF(MONTH(Table13[[#This Row],[Date]])&gt;=4,1,0)</f>
        <v>2026</v>
      </c>
      <c r="C344" s="177">
        <f>YEAR(Table13[[#This Row],[Date]])</f>
        <v>2026</v>
      </c>
      <c r="D344" s="178">
        <f>Table13[[#This Row],[Date]]-DAY(Table13[[#This Row],[Date]])+1</f>
        <v>46082</v>
      </c>
      <c r="E344" s="177">
        <f t="shared" si="20"/>
        <v>31</v>
      </c>
      <c r="F344" s="179" t="str">
        <f>IFERROR(_xlfn.XLOOKUP($A344,Raw_Data!$B:$B,Raw_Data!$KG:$KG),"")</f>
        <v/>
      </c>
      <c r="G344" s="180" t="str">
        <f>IFERROR(_xlfn.XLOOKUP($A344,Raw_Data!$B:$B,Raw_Data!KH:KH),"")</f>
        <v/>
      </c>
      <c r="H344" s="180"/>
      <c r="I344" s="180" t="str">
        <f>IFERROR(_xlfn.XLOOKUP($A344,Raw_Data!$B:$B,Raw_Data!$KI:$KI),"")</f>
        <v/>
      </c>
      <c r="J344" s="180"/>
      <c r="K344" s="180" t="str">
        <f>IFERROR(_xlfn.XLOOKUP($A344,Raw_Data!$B:$B,Raw_Data!KJ:KJ),"")</f>
        <v/>
      </c>
      <c r="L344" s="180" t="str">
        <f>IFERROR(_xlfn.XLOOKUP($A344,Raw_Data!$B:$B,Raw_Data!KK:KK),"")</f>
        <v/>
      </c>
      <c r="M344" s="180" t="str">
        <f>IFERROR(_xlfn.XLOOKUP($A344,Raw_Data!$B:$B,Raw_Data!KL:KL),"")</f>
        <v/>
      </c>
      <c r="N344" s="180" t="str">
        <f>IFERROR(_xlfn.XLOOKUP($A344,Raw_Data!$B:$B,Raw_Data!KM:KM),"")</f>
        <v/>
      </c>
      <c r="O344" s="181" t="str">
        <f>IFERROR(1-SUMIF(PA!$B:$B,$A344,PA!AJ:AJ)/($AA344+SUMIF(PA!$B:$B,$A344,PA!AJ:AJ)),"")</f>
        <v/>
      </c>
      <c r="P344" s="181"/>
      <c r="Q344" s="182"/>
      <c r="R344" s="181" t="str">
        <f>IFERROR(1-SUMIF(GA!$C:$C,$A344,GA!$X:$X)/($AA344+SUMIF(GA!$C:$C,$A344,GA!$X:$X)),"")</f>
        <v/>
      </c>
      <c r="S344" s="177"/>
      <c r="T344" s="182"/>
      <c r="U344" s="183" t="str">
        <f t="shared" si="21"/>
        <v/>
      </c>
      <c r="V344" s="183" t="str">
        <f>IFERROR(_xlfn.XLOOKUP($A344,Raw_Data!$B:$B,Raw_Data!$KQ:$KQ),"")</f>
        <v/>
      </c>
      <c r="W344" s="184" t="str">
        <f t="shared" si="22"/>
        <v/>
      </c>
      <c r="X344" s="176" t="str">
        <f>IFERROR(_xlfn.XLOOKUP($A344,Raw_Data!$B:$B,Raw_Data!$KN:$KN),"")</f>
        <v/>
      </c>
      <c r="Y344" s="176" t="str">
        <f>IFERROR(_xlfn.XLOOKUP($A344,Raw_Data!$B:$B,Raw_Data!$KC:$KC),"")</f>
        <v/>
      </c>
      <c r="Z344" s="176" t="str">
        <f>IFERROR(_xlfn.XLOOKUP($A344,Raw_Data!$B:$B,Raw_Data!$KD:$KD),"")</f>
        <v/>
      </c>
      <c r="AA344" s="176" t="str">
        <f>IFERROR(_xlfn.XLOOKUP($A344,Raw_Data!$B:$B,Raw_Data!$KF:$KF),"")</f>
        <v/>
      </c>
      <c r="AB344" s="176" t="str">
        <f>IFERROR(_xlfn.XLOOKUP($A344,Raw_Data!$B:$B,Raw_Data!I:I)/1000,"")</f>
        <v/>
      </c>
      <c r="AC344" s="185">
        <f>IFERROR(_xlfn.XLOOKUP($D344,'Modelling New'!$D:$D,'Modelling New'!$P:$P),"")</f>
        <v>6.6838709677419352</v>
      </c>
      <c r="AD344" s="176">
        <f>IFERROR(_xlfn.XLOOKUP($D344,'Modelling New'!$D:$D,'Modelling New'!$T:$T)*1000,"")</f>
        <v>346293.36587598477</v>
      </c>
      <c r="AE344" s="186">
        <f>IFERROR(_xlfn.XLOOKUP($D344,'Modelling New'!$D:$D,'Modelling New'!$O:$O),"")</f>
        <v>0.77612614604342745</v>
      </c>
      <c r="AF344" s="186">
        <f>IFERROR(_xlfn.XLOOKUP($D344,'Modelling New'!$D:$D,'Modelling New'!$W:$W),"")</f>
        <v>0.21614695895187924</v>
      </c>
      <c r="AG344" s="186">
        <f>IFERROR(_xlfn.XLOOKUP($D344,'Modelling New'!$D:$D,'Modelling New'!$AE:$AE),"")</f>
        <v>0.995</v>
      </c>
      <c r="AH344" s="186">
        <f>IFERROR(_xlfn.XLOOKUP($D344,'Modelling New'!$D:$D,'Modelling New'!$AF:$AF),"")</f>
        <v>0.995</v>
      </c>
      <c r="AI344" s="177"/>
      <c r="AJ344" s="177"/>
      <c r="AK344" s="238"/>
      <c r="AL344" s="238"/>
      <c r="AM344" s="238"/>
      <c r="AN344" s="187"/>
      <c r="AO344" s="184"/>
      <c r="AP344" s="184"/>
      <c r="AQ344" s="184"/>
      <c r="AR344" s="176">
        <f>IFERROR(_xlfn.XLOOKUP($D343,'Modelling New'!$D:$D,'Modelling New'!$N:$N),"")</f>
        <v>66.754999999999995</v>
      </c>
      <c r="AS344" s="176"/>
    </row>
    <row r="345" spans="1:45" x14ac:dyDescent="0.25">
      <c r="A345" s="175">
        <f t="shared" si="23"/>
        <v>46088</v>
      </c>
      <c r="B345" s="176">
        <f>YEAR(Table13[[#This Row],[Date]])+IF(MONTH(Table13[[#This Row],[Date]])&gt;=4,1,0)</f>
        <v>2026</v>
      </c>
      <c r="C345" s="177">
        <f>YEAR(Table13[[#This Row],[Date]])</f>
        <v>2026</v>
      </c>
      <c r="D345" s="178">
        <f>Table13[[#This Row],[Date]]-DAY(Table13[[#This Row],[Date]])+1</f>
        <v>46082</v>
      </c>
      <c r="E345" s="177">
        <f t="shared" si="20"/>
        <v>31</v>
      </c>
      <c r="F345" s="179" t="str">
        <f>IFERROR(_xlfn.XLOOKUP($A345,Raw_Data!$B:$B,Raw_Data!$KG:$KG),"")</f>
        <v/>
      </c>
      <c r="G345" s="180" t="str">
        <f>IFERROR(_xlfn.XLOOKUP($A345,Raw_Data!$B:$B,Raw_Data!KH:KH),"")</f>
        <v/>
      </c>
      <c r="H345" s="180"/>
      <c r="I345" s="180" t="str">
        <f>IFERROR(_xlfn.XLOOKUP($A345,Raw_Data!$B:$B,Raw_Data!$KI:$KI),"")</f>
        <v/>
      </c>
      <c r="J345" s="180"/>
      <c r="K345" s="180" t="str">
        <f>IFERROR(_xlfn.XLOOKUP($A345,Raw_Data!$B:$B,Raw_Data!KJ:KJ),"")</f>
        <v/>
      </c>
      <c r="L345" s="180" t="str">
        <f>IFERROR(_xlfn.XLOOKUP($A345,Raw_Data!$B:$B,Raw_Data!KK:KK),"")</f>
        <v/>
      </c>
      <c r="M345" s="180" t="str">
        <f>IFERROR(_xlfn.XLOOKUP($A345,Raw_Data!$B:$B,Raw_Data!KL:KL),"")</f>
        <v/>
      </c>
      <c r="N345" s="180" t="str">
        <f>IFERROR(_xlfn.XLOOKUP($A345,Raw_Data!$B:$B,Raw_Data!KM:KM),"")</f>
        <v/>
      </c>
      <c r="O345" s="181" t="str">
        <f>IFERROR(1-SUMIF(PA!$B:$B,$A345,PA!AJ:AJ)/($AA345+SUMIF(PA!$B:$B,$A345,PA!AJ:AJ)),"")</f>
        <v/>
      </c>
      <c r="P345" s="181"/>
      <c r="Q345" s="182"/>
      <c r="R345" s="181" t="str">
        <f>IFERROR(1-SUMIF(GA!$C:$C,$A345,GA!$X:$X)/($AA345+SUMIF(GA!$C:$C,$A345,GA!$X:$X)),"")</f>
        <v/>
      </c>
      <c r="S345" s="177"/>
      <c r="T345" s="182"/>
      <c r="U345" s="183" t="str">
        <f t="shared" si="21"/>
        <v/>
      </c>
      <c r="V345" s="183" t="str">
        <f>IFERROR(_xlfn.XLOOKUP($A345,Raw_Data!$B:$B,Raw_Data!$KQ:$KQ),"")</f>
        <v/>
      </c>
      <c r="W345" s="184" t="str">
        <f t="shared" si="22"/>
        <v/>
      </c>
      <c r="X345" s="176" t="str">
        <f>IFERROR(_xlfn.XLOOKUP($A345,Raw_Data!$B:$B,Raw_Data!$KN:$KN),"")</f>
        <v/>
      </c>
      <c r="Y345" s="176" t="str">
        <f>IFERROR(_xlfn.XLOOKUP($A345,Raw_Data!$B:$B,Raw_Data!$KC:$KC),"")</f>
        <v/>
      </c>
      <c r="Z345" s="176" t="str">
        <f>IFERROR(_xlfn.XLOOKUP($A345,Raw_Data!$B:$B,Raw_Data!$KD:$KD),"")</f>
        <v/>
      </c>
      <c r="AA345" s="176" t="str">
        <f>IFERROR(_xlfn.XLOOKUP($A345,Raw_Data!$B:$B,Raw_Data!$KF:$KF),"")</f>
        <v/>
      </c>
      <c r="AB345" s="176" t="str">
        <f>IFERROR(_xlfn.XLOOKUP($A345,Raw_Data!$B:$B,Raw_Data!I:I)/1000,"")</f>
        <v/>
      </c>
      <c r="AC345" s="185">
        <f>IFERROR(_xlfn.XLOOKUP($D345,'Modelling New'!$D:$D,'Modelling New'!$P:$P),"")</f>
        <v>6.6838709677419352</v>
      </c>
      <c r="AD345" s="176">
        <f>IFERROR(_xlfn.XLOOKUP($D345,'Modelling New'!$D:$D,'Modelling New'!$T:$T)*1000,"")</f>
        <v>346293.36587598477</v>
      </c>
      <c r="AE345" s="186">
        <f>IFERROR(_xlfn.XLOOKUP($D345,'Modelling New'!$D:$D,'Modelling New'!$O:$O),"")</f>
        <v>0.77612614604342745</v>
      </c>
      <c r="AF345" s="186">
        <f>IFERROR(_xlfn.XLOOKUP($D345,'Modelling New'!$D:$D,'Modelling New'!$W:$W),"")</f>
        <v>0.21614695895187924</v>
      </c>
      <c r="AG345" s="186">
        <f>IFERROR(_xlfn.XLOOKUP($D345,'Modelling New'!$D:$D,'Modelling New'!$AE:$AE),"")</f>
        <v>0.995</v>
      </c>
      <c r="AH345" s="186">
        <f>IFERROR(_xlfn.XLOOKUP($D345,'Modelling New'!$D:$D,'Modelling New'!$AF:$AF),"")</f>
        <v>0.995</v>
      </c>
      <c r="AI345" s="177"/>
      <c r="AJ345" s="177"/>
      <c r="AK345" s="238"/>
      <c r="AL345" s="238"/>
      <c r="AM345" s="238"/>
      <c r="AN345" s="187"/>
      <c r="AO345" s="184"/>
      <c r="AP345" s="184"/>
      <c r="AQ345" s="184"/>
      <c r="AR345" s="176">
        <f>IFERROR(_xlfn.XLOOKUP($D344,'Modelling New'!$D:$D,'Modelling New'!$N:$N),"")</f>
        <v>66.754999999999995</v>
      </c>
      <c r="AS345" s="176"/>
    </row>
    <row r="346" spans="1:45" x14ac:dyDescent="0.25">
      <c r="A346" s="175">
        <f t="shared" si="23"/>
        <v>46089</v>
      </c>
      <c r="B346" s="176">
        <f>YEAR(Table13[[#This Row],[Date]])+IF(MONTH(Table13[[#This Row],[Date]])&gt;=4,1,0)</f>
        <v>2026</v>
      </c>
      <c r="C346" s="177">
        <f>YEAR(Table13[[#This Row],[Date]])</f>
        <v>2026</v>
      </c>
      <c r="D346" s="178">
        <f>Table13[[#This Row],[Date]]-DAY(Table13[[#This Row],[Date]])+1</f>
        <v>46082</v>
      </c>
      <c r="E346" s="177">
        <f t="shared" si="20"/>
        <v>31</v>
      </c>
      <c r="F346" s="179" t="str">
        <f>IFERROR(_xlfn.XLOOKUP($A346,Raw_Data!$B:$B,Raw_Data!$KG:$KG),"")</f>
        <v/>
      </c>
      <c r="G346" s="180" t="str">
        <f>IFERROR(_xlfn.XLOOKUP($A346,Raw_Data!$B:$B,Raw_Data!KH:KH),"")</f>
        <v/>
      </c>
      <c r="H346" s="180"/>
      <c r="I346" s="180" t="str">
        <f>IFERROR(_xlfn.XLOOKUP($A346,Raw_Data!$B:$B,Raw_Data!$KI:$KI),"")</f>
        <v/>
      </c>
      <c r="J346" s="180"/>
      <c r="K346" s="180" t="str">
        <f>IFERROR(_xlfn.XLOOKUP($A346,Raw_Data!$B:$B,Raw_Data!KJ:KJ),"")</f>
        <v/>
      </c>
      <c r="L346" s="180" t="str">
        <f>IFERROR(_xlfn.XLOOKUP($A346,Raw_Data!$B:$B,Raw_Data!KK:KK),"")</f>
        <v/>
      </c>
      <c r="M346" s="180" t="str">
        <f>IFERROR(_xlfn.XLOOKUP($A346,Raw_Data!$B:$B,Raw_Data!KL:KL),"")</f>
        <v/>
      </c>
      <c r="N346" s="180" t="str">
        <f>IFERROR(_xlfn.XLOOKUP($A346,Raw_Data!$B:$B,Raw_Data!KM:KM),"")</f>
        <v/>
      </c>
      <c r="O346" s="181" t="str">
        <f>IFERROR(1-SUMIF(PA!$B:$B,$A346,PA!AJ:AJ)/($AA346+SUMIF(PA!$B:$B,$A346,PA!AJ:AJ)),"")</f>
        <v/>
      </c>
      <c r="P346" s="181"/>
      <c r="Q346" s="182"/>
      <c r="R346" s="181" t="str">
        <f>IFERROR(1-SUMIF(GA!$C:$C,$A346,GA!$X:$X)/($AA346+SUMIF(GA!$C:$C,$A346,GA!$X:$X)),"")</f>
        <v/>
      </c>
      <c r="S346" s="177"/>
      <c r="T346" s="182"/>
      <c r="U346" s="183" t="str">
        <f t="shared" si="21"/>
        <v/>
      </c>
      <c r="V346" s="183" t="str">
        <f>IFERROR(_xlfn.XLOOKUP($A346,Raw_Data!$B:$B,Raw_Data!$KQ:$KQ),"")</f>
        <v/>
      </c>
      <c r="W346" s="184" t="str">
        <f t="shared" si="22"/>
        <v/>
      </c>
      <c r="X346" s="176" t="str">
        <f>IFERROR(_xlfn.XLOOKUP($A346,Raw_Data!$B:$B,Raw_Data!$KN:$KN),"")</f>
        <v/>
      </c>
      <c r="Y346" s="176" t="str">
        <f>IFERROR(_xlfn.XLOOKUP($A346,Raw_Data!$B:$B,Raw_Data!$KC:$KC),"")</f>
        <v/>
      </c>
      <c r="Z346" s="176" t="str">
        <f>IFERROR(_xlfn.XLOOKUP($A346,Raw_Data!$B:$B,Raw_Data!$KD:$KD),"")</f>
        <v/>
      </c>
      <c r="AA346" s="176" t="str">
        <f>IFERROR(_xlfn.XLOOKUP($A346,Raw_Data!$B:$B,Raw_Data!$KF:$KF),"")</f>
        <v/>
      </c>
      <c r="AB346" s="176" t="str">
        <f>IFERROR(_xlfn.XLOOKUP($A346,Raw_Data!$B:$B,Raw_Data!I:I)/1000,"")</f>
        <v/>
      </c>
      <c r="AC346" s="185">
        <f>IFERROR(_xlfn.XLOOKUP($D346,'Modelling New'!$D:$D,'Modelling New'!$P:$P),"")</f>
        <v>6.6838709677419352</v>
      </c>
      <c r="AD346" s="176">
        <f>IFERROR(_xlfn.XLOOKUP($D346,'Modelling New'!$D:$D,'Modelling New'!$T:$T)*1000,"")</f>
        <v>346293.36587598477</v>
      </c>
      <c r="AE346" s="186">
        <f>IFERROR(_xlfn.XLOOKUP($D346,'Modelling New'!$D:$D,'Modelling New'!$O:$O),"")</f>
        <v>0.77612614604342745</v>
      </c>
      <c r="AF346" s="186">
        <f>IFERROR(_xlfn.XLOOKUP($D346,'Modelling New'!$D:$D,'Modelling New'!$W:$W),"")</f>
        <v>0.21614695895187924</v>
      </c>
      <c r="AG346" s="186">
        <f>IFERROR(_xlfn.XLOOKUP($D346,'Modelling New'!$D:$D,'Modelling New'!$AE:$AE),"")</f>
        <v>0.995</v>
      </c>
      <c r="AH346" s="186">
        <f>IFERROR(_xlfn.XLOOKUP($D346,'Modelling New'!$D:$D,'Modelling New'!$AF:$AF),"")</f>
        <v>0.995</v>
      </c>
      <c r="AI346" s="177"/>
      <c r="AJ346" s="177"/>
      <c r="AK346" s="238"/>
      <c r="AL346" s="238"/>
      <c r="AM346" s="238"/>
      <c r="AN346" s="187"/>
      <c r="AO346" s="184"/>
      <c r="AP346" s="184"/>
      <c r="AQ346" s="184"/>
      <c r="AR346" s="176">
        <f>IFERROR(_xlfn.XLOOKUP($D345,'Modelling New'!$D:$D,'Modelling New'!$N:$N),"")</f>
        <v>66.754999999999995</v>
      </c>
      <c r="AS346" s="176"/>
    </row>
    <row r="347" spans="1:45" x14ac:dyDescent="0.25">
      <c r="A347" s="175">
        <f t="shared" si="23"/>
        <v>46090</v>
      </c>
      <c r="B347" s="176">
        <f>YEAR(Table13[[#This Row],[Date]])+IF(MONTH(Table13[[#This Row],[Date]])&gt;=4,1,0)</f>
        <v>2026</v>
      </c>
      <c r="C347" s="177">
        <f>YEAR(Table13[[#This Row],[Date]])</f>
        <v>2026</v>
      </c>
      <c r="D347" s="178">
        <f>Table13[[#This Row],[Date]]-DAY(Table13[[#This Row],[Date]])+1</f>
        <v>46082</v>
      </c>
      <c r="E347" s="177">
        <f t="shared" si="20"/>
        <v>31</v>
      </c>
      <c r="F347" s="179" t="str">
        <f>IFERROR(_xlfn.XLOOKUP($A347,Raw_Data!$B:$B,Raw_Data!$KG:$KG),"")</f>
        <v/>
      </c>
      <c r="G347" s="180" t="str">
        <f>IFERROR(_xlfn.XLOOKUP($A347,Raw_Data!$B:$B,Raw_Data!KH:KH),"")</f>
        <v/>
      </c>
      <c r="H347" s="180"/>
      <c r="I347" s="180" t="str">
        <f>IFERROR(_xlfn.XLOOKUP($A347,Raw_Data!$B:$B,Raw_Data!$KI:$KI),"")</f>
        <v/>
      </c>
      <c r="J347" s="180"/>
      <c r="K347" s="180" t="str">
        <f>IFERROR(_xlfn.XLOOKUP($A347,Raw_Data!$B:$B,Raw_Data!KJ:KJ),"")</f>
        <v/>
      </c>
      <c r="L347" s="180" t="str">
        <f>IFERROR(_xlfn.XLOOKUP($A347,Raw_Data!$B:$B,Raw_Data!KK:KK),"")</f>
        <v/>
      </c>
      <c r="M347" s="180" t="str">
        <f>IFERROR(_xlfn.XLOOKUP($A347,Raw_Data!$B:$B,Raw_Data!KL:KL),"")</f>
        <v/>
      </c>
      <c r="N347" s="180" t="str">
        <f>IFERROR(_xlfn.XLOOKUP($A347,Raw_Data!$B:$B,Raw_Data!KM:KM),"")</f>
        <v/>
      </c>
      <c r="O347" s="181" t="str">
        <f>IFERROR(1-SUMIF(PA!$B:$B,$A347,PA!AJ:AJ)/($AA347+SUMIF(PA!$B:$B,$A347,PA!AJ:AJ)),"")</f>
        <v/>
      </c>
      <c r="P347" s="181"/>
      <c r="Q347" s="182"/>
      <c r="R347" s="181" t="str">
        <f>IFERROR(1-SUMIF(GA!$C:$C,$A347,GA!$X:$X)/($AA347+SUMIF(GA!$C:$C,$A347,GA!$X:$X)),"")</f>
        <v/>
      </c>
      <c r="S347" s="177"/>
      <c r="T347" s="182"/>
      <c r="U347" s="183" t="str">
        <f t="shared" si="21"/>
        <v/>
      </c>
      <c r="V347" s="183" t="str">
        <f>IFERROR(_xlfn.XLOOKUP($A347,Raw_Data!$B:$B,Raw_Data!$KQ:$KQ),"")</f>
        <v/>
      </c>
      <c r="W347" s="184" t="str">
        <f t="shared" si="22"/>
        <v/>
      </c>
      <c r="X347" s="176" t="str">
        <f>IFERROR(_xlfn.XLOOKUP($A347,Raw_Data!$B:$B,Raw_Data!$KN:$KN),"")</f>
        <v/>
      </c>
      <c r="Y347" s="176" t="str">
        <f>IFERROR(_xlfn.XLOOKUP($A347,Raw_Data!$B:$B,Raw_Data!$KC:$KC),"")</f>
        <v/>
      </c>
      <c r="Z347" s="176" t="str">
        <f>IFERROR(_xlfn.XLOOKUP($A347,Raw_Data!$B:$B,Raw_Data!$KD:$KD),"")</f>
        <v/>
      </c>
      <c r="AA347" s="176" t="str">
        <f>IFERROR(_xlfn.XLOOKUP($A347,Raw_Data!$B:$B,Raw_Data!$KF:$KF),"")</f>
        <v/>
      </c>
      <c r="AB347" s="176" t="str">
        <f>IFERROR(_xlfn.XLOOKUP($A347,Raw_Data!$B:$B,Raw_Data!I:I)/1000,"")</f>
        <v/>
      </c>
      <c r="AC347" s="185">
        <f>IFERROR(_xlfn.XLOOKUP($D347,'Modelling New'!$D:$D,'Modelling New'!$P:$P),"")</f>
        <v>6.6838709677419352</v>
      </c>
      <c r="AD347" s="176">
        <f>IFERROR(_xlfn.XLOOKUP($D347,'Modelling New'!$D:$D,'Modelling New'!$T:$T)*1000,"")</f>
        <v>346293.36587598477</v>
      </c>
      <c r="AE347" s="186">
        <f>IFERROR(_xlfn.XLOOKUP($D347,'Modelling New'!$D:$D,'Modelling New'!$O:$O),"")</f>
        <v>0.77612614604342745</v>
      </c>
      <c r="AF347" s="186">
        <f>IFERROR(_xlfn.XLOOKUP($D347,'Modelling New'!$D:$D,'Modelling New'!$W:$W),"")</f>
        <v>0.21614695895187924</v>
      </c>
      <c r="AG347" s="186">
        <f>IFERROR(_xlfn.XLOOKUP($D347,'Modelling New'!$D:$D,'Modelling New'!$AE:$AE),"")</f>
        <v>0.995</v>
      </c>
      <c r="AH347" s="186">
        <f>IFERROR(_xlfn.XLOOKUP($D347,'Modelling New'!$D:$D,'Modelling New'!$AF:$AF),"")</f>
        <v>0.995</v>
      </c>
      <c r="AI347" s="177"/>
      <c r="AJ347" s="177"/>
      <c r="AK347" s="238"/>
      <c r="AL347" s="238"/>
      <c r="AM347" s="238"/>
      <c r="AN347" s="187"/>
      <c r="AO347" s="184"/>
      <c r="AP347" s="184"/>
      <c r="AQ347" s="184"/>
      <c r="AR347" s="176">
        <f>IFERROR(_xlfn.XLOOKUP($D346,'Modelling New'!$D:$D,'Modelling New'!$N:$N),"")</f>
        <v>66.754999999999995</v>
      </c>
      <c r="AS347" s="176"/>
    </row>
    <row r="348" spans="1:45" x14ac:dyDescent="0.25">
      <c r="A348" s="175">
        <f t="shared" si="23"/>
        <v>46091</v>
      </c>
      <c r="B348" s="176">
        <f>YEAR(Table13[[#This Row],[Date]])+IF(MONTH(Table13[[#This Row],[Date]])&gt;=4,1,0)</f>
        <v>2026</v>
      </c>
      <c r="C348" s="177">
        <f>YEAR(Table13[[#This Row],[Date]])</f>
        <v>2026</v>
      </c>
      <c r="D348" s="178">
        <f>Table13[[#This Row],[Date]]-DAY(Table13[[#This Row],[Date]])+1</f>
        <v>46082</v>
      </c>
      <c r="E348" s="177">
        <f t="shared" si="20"/>
        <v>31</v>
      </c>
      <c r="F348" s="179" t="str">
        <f>IFERROR(_xlfn.XLOOKUP($A348,Raw_Data!$B:$B,Raw_Data!$KG:$KG),"")</f>
        <v/>
      </c>
      <c r="G348" s="180" t="str">
        <f>IFERROR(_xlfn.XLOOKUP($A348,Raw_Data!$B:$B,Raw_Data!KH:KH),"")</f>
        <v/>
      </c>
      <c r="H348" s="180"/>
      <c r="I348" s="180" t="str">
        <f>IFERROR(_xlfn.XLOOKUP($A348,Raw_Data!$B:$B,Raw_Data!$KI:$KI),"")</f>
        <v/>
      </c>
      <c r="J348" s="180"/>
      <c r="K348" s="180" t="str">
        <f>IFERROR(_xlfn.XLOOKUP($A348,Raw_Data!$B:$B,Raw_Data!KJ:KJ),"")</f>
        <v/>
      </c>
      <c r="L348" s="180" t="str">
        <f>IFERROR(_xlfn.XLOOKUP($A348,Raw_Data!$B:$B,Raw_Data!KK:KK),"")</f>
        <v/>
      </c>
      <c r="M348" s="180" t="str">
        <f>IFERROR(_xlfn.XLOOKUP($A348,Raw_Data!$B:$B,Raw_Data!KL:KL),"")</f>
        <v/>
      </c>
      <c r="N348" s="180" t="str">
        <f>IFERROR(_xlfn.XLOOKUP($A348,Raw_Data!$B:$B,Raw_Data!KM:KM),"")</f>
        <v/>
      </c>
      <c r="O348" s="181" t="str">
        <f>IFERROR(1-SUMIF(PA!$B:$B,$A348,PA!AJ:AJ)/($AA348+SUMIF(PA!$B:$B,$A348,PA!AJ:AJ)),"")</f>
        <v/>
      </c>
      <c r="P348" s="181"/>
      <c r="Q348" s="182"/>
      <c r="R348" s="181" t="str">
        <f>IFERROR(1-SUMIF(GA!$C:$C,$A348,GA!$X:$X)/($AA348+SUMIF(GA!$C:$C,$A348,GA!$X:$X)),"")</f>
        <v/>
      </c>
      <c r="S348" s="177"/>
      <c r="T348" s="182"/>
      <c r="U348" s="183" t="str">
        <f t="shared" si="21"/>
        <v/>
      </c>
      <c r="V348" s="183" t="str">
        <f>IFERROR(_xlfn.XLOOKUP($A348,Raw_Data!$B:$B,Raw_Data!$KQ:$KQ),"")</f>
        <v/>
      </c>
      <c r="W348" s="184" t="str">
        <f t="shared" si="22"/>
        <v/>
      </c>
      <c r="X348" s="176" t="str">
        <f>IFERROR(_xlfn.XLOOKUP($A348,Raw_Data!$B:$B,Raw_Data!$KN:$KN),"")</f>
        <v/>
      </c>
      <c r="Y348" s="176" t="str">
        <f>IFERROR(_xlfn.XLOOKUP($A348,Raw_Data!$B:$B,Raw_Data!$KC:$KC),"")</f>
        <v/>
      </c>
      <c r="Z348" s="176" t="str">
        <f>IFERROR(_xlfn.XLOOKUP($A348,Raw_Data!$B:$B,Raw_Data!$KD:$KD),"")</f>
        <v/>
      </c>
      <c r="AA348" s="176" t="str">
        <f>IFERROR(_xlfn.XLOOKUP($A348,Raw_Data!$B:$B,Raw_Data!$KF:$KF),"")</f>
        <v/>
      </c>
      <c r="AB348" s="176" t="str">
        <f>IFERROR(_xlfn.XLOOKUP($A348,Raw_Data!$B:$B,Raw_Data!I:I)/1000,"")</f>
        <v/>
      </c>
      <c r="AC348" s="185">
        <f>IFERROR(_xlfn.XLOOKUP($D348,'Modelling New'!$D:$D,'Modelling New'!$P:$P),"")</f>
        <v>6.6838709677419352</v>
      </c>
      <c r="AD348" s="176">
        <f>IFERROR(_xlfn.XLOOKUP($D348,'Modelling New'!$D:$D,'Modelling New'!$T:$T)*1000,"")</f>
        <v>346293.36587598477</v>
      </c>
      <c r="AE348" s="186">
        <f>IFERROR(_xlfn.XLOOKUP($D348,'Modelling New'!$D:$D,'Modelling New'!$O:$O),"")</f>
        <v>0.77612614604342745</v>
      </c>
      <c r="AF348" s="186">
        <f>IFERROR(_xlfn.XLOOKUP($D348,'Modelling New'!$D:$D,'Modelling New'!$W:$W),"")</f>
        <v>0.21614695895187924</v>
      </c>
      <c r="AG348" s="186">
        <f>IFERROR(_xlfn.XLOOKUP($D348,'Modelling New'!$D:$D,'Modelling New'!$AE:$AE),"")</f>
        <v>0.995</v>
      </c>
      <c r="AH348" s="186">
        <f>IFERROR(_xlfn.XLOOKUP($D348,'Modelling New'!$D:$D,'Modelling New'!$AF:$AF),"")</f>
        <v>0.995</v>
      </c>
      <c r="AI348" s="177"/>
      <c r="AJ348" s="177"/>
      <c r="AK348" s="238"/>
      <c r="AL348" s="238"/>
      <c r="AM348" s="238"/>
      <c r="AN348" s="187"/>
      <c r="AO348" s="184"/>
      <c r="AP348" s="184"/>
      <c r="AQ348" s="184"/>
      <c r="AR348" s="176">
        <f>IFERROR(_xlfn.XLOOKUP($D347,'Modelling New'!$D:$D,'Modelling New'!$N:$N),"")</f>
        <v>66.754999999999995</v>
      </c>
      <c r="AS348" s="176"/>
    </row>
    <row r="349" spans="1:45" x14ac:dyDescent="0.25">
      <c r="A349" s="175">
        <f t="shared" si="23"/>
        <v>46092</v>
      </c>
      <c r="B349" s="176">
        <f>YEAR(Table13[[#This Row],[Date]])+IF(MONTH(Table13[[#This Row],[Date]])&gt;=4,1,0)</f>
        <v>2026</v>
      </c>
      <c r="C349" s="177">
        <f>YEAR(Table13[[#This Row],[Date]])</f>
        <v>2026</v>
      </c>
      <c r="D349" s="178">
        <f>Table13[[#This Row],[Date]]-DAY(Table13[[#This Row],[Date]])+1</f>
        <v>46082</v>
      </c>
      <c r="E349" s="177">
        <f t="shared" si="20"/>
        <v>31</v>
      </c>
      <c r="F349" s="179" t="str">
        <f>IFERROR(_xlfn.XLOOKUP($A349,Raw_Data!$B:$B,Raw_Data!$KG:$KG),"")</f>
        <v/>
      </c>
      <c r="G349" s="180" t="str">
        <f>IFERROR(_xlfn.XLOOKUP($A349,Raw_Data!$B:$B,Raw_Data!KH:KH),"")</f>
        <v/>
      </c>
      <c r="H349" s="180"/>
      <c r="I349" s="180" t="str">
        <f>IFERROR(_xlfn.XLOOKUP($A349,Raw_Data!$B:$B,Raw_Data!$KI:$KI),"")</f>
        <v/>
      </c>
      <c r="J349" s="180"/>
      <c r="K349" s="180" t="str">
        <f>IFERROR(_xlfn.XLOOKUP($A349,Raw_Data!$B:$B,Raw_Data!KJ:KJ),"")</f>
        <v/>
      </c>
      <c r="L349" s="180" t="str">
        <f>IFERROR(_xlfn.XLOOKUP($A349,Raw_Data!$B:$B,Raw_Data!KK:KK),"")</f>
        <v/>
      </c>
      <c r="M349" s="180" t="str">
        <f>IFERROR(_xlfn.XLOOKUP($A349,Raw_Data!$B:$B,Raw_Data!KL:KL),"")</f>
        <v/>
      </c>
      <c r="N349" s="180" t="str">
        <f>IFERROR(_xlfn.XLOOKUP($A349,Raw_Data!$B:$B,Raw_Data!KM:KM),"")</f>
        <v/>
      </c>
      <c r="O349" s="181" t="str">
        <f>IFERROR(1-SUMIF(PA!$B:$B,$A349,PA!AJ:AJ)/($AA349+SUMIF(PA!$B:$B,$A349,PA!AJ:AJ)),"")</f>
        <v/>
      </c>
      <c r="P349" s="181"/>
      <c r="Q349" s="182"/>
      <c r="R349" s="181" t="str">
        <f>IFERROR(1-SUMIF(GA!$C:$C,$A349,GA!$X:$X)/($AA349+SUMIF(GA!$C:$C,$A349,GA!$X:$X)),"")</f>
        <v/>
      </c>
      <c r="S349" s="177"/>
      <c r="T349" s="182"/>
      <c r="U349" s="183" t="str">
        <f t="shared" si="21"/>
        <v/>
      </c>
      <c r="V349" s="183" t="str">
        <f>IFERROR(_xlfn.XLOOKUP($A349,Raw_Data!$B:$B,Raw_Data!$KQ:$KQ),"")</f>
        <v/>
      </c>
      <c r="W349" s="184" t="str">
        <f t="shared" si="22"/>
        <v/>
      </c>
      <c r="X349" s="176" t="str">
        <f>IFERROR(_xlfn.XLOOKUP($A349,Raw_Data!$B:$B,Raw_Data!$KN:$KN),"")</f>
        <v/>
      </c>
      <c r="Y349" s="176" t="str">
        <f>IFERROR(_xlfn.XLOOKUP($A349,Raw_Data!$B:$B,Raw_Data!$KC:$KC),"")</f>
        <v/>
      </c>
      <c r="Z349" s="176" t="str">
        <f>IFERROR(_xlfn.XLOOKUP($A349,Raw_Data!$B:$B,Raw_Data!$KD:$KD),"")</f>
        <v/>
      </c>
      <c r="AA349" s="176" t="str">
        <f>IFERROR(_xlfn.XLOOKUP($A349,Raw_Data!$B:$B,Raw_Data!$KF:$KF),"")</f>
        <v/>
      </c>
      <c r="AB349" s="176" t="str">
        <f>IFERROR(_xlfn.XLOOKUP($A349,Raw_Data!$B:$B,Raw_Data!I:I)/1000,"")</f>
        <v/>
      </c>
      <c r="AC349" s="185">
        <f>IFERROR(_xlfn.XLOOKUP($D349,'Modelling New'!$D:$D,'Modelling New'!$P:$P),"")</f>
        <v>6.6838709677419352</v>
      </c>
      <c r="AD349" s="176">
        <f>IFERROR(_xlfn.XLOOKUP($D349,'Modelling New'!$D:$D,'Modelling New'!$T:$T)*1000,"")</f>
        <v>346293.36587598477</v>
      </c>
      <c r="AE349" s="186">
        <f>IFERROR(_xlfn.XLOOKUP($D349,'Modelling New'!$D:$D,'Modelling New'!$O:$O),"")</f>
        <v>0.77612614604342745</v>
      </c>
      <c r="AF349" s="186">
        <f>IFERROR(_xlfn.XLOOKUP($D349,'Modelling New'!$D:$D,'Modelling New'!$W:$W),"")</f>
        <v>0.21614695895187924</v>
      </c>
      <c r="AG349" s="186">
        <f>IFERROR(_xlfn.XLOOKUP($D349,'Modelling New'!$D:$D,'Modelling New'!$AE:$AE),"")</f>
        <v>0.995</v>
      </c>
      <c r="AH349" s="186">
        <f>IFERROR(_xlfn.XLOOKUP($D349,'Modelling New'!$D:$D,'Modelling New'!$AF:$AF),"")</f>
        <v>0.995</v>
      </c>
      <c r="AI349" s="177"/>
      <c r="AJ349" s="177"/>
      <c r="AK349" s="238"/>
      <c r="AL349" s="238"/>
      <c r="AM349" s="238"/>
      <c r="AN349" s="187"/>
      <c r="AO349" s="184"/>
      <c r="AP349" s="184"/>
      <c r="AQ349" s="184"/>
      <c r="AR349" s="176">
        <f>IFERROR(_xlfn.XLOOKUP($D348,'Modelling New'!$D:$D,'Modelling New'!$N:$N),"")</f>
        <v>66.754999999999995</v>
      </c>
      <c r="AS349" s="176"/>
    </row>
    <row r="350" spans="1:45" x14ac:dyDescent="0.25">
      <c r="A350" s="175">
        <f t="shared" si="23"/>
        <v>46093</v>
      </c>
      <c r="B350" s="176">
        <f>YEAR(Table13[[#This Row],[Date]])+IF(MONTH(Table13[[#This Row],[Date]])&gt;=4,1,0)</f>
        <v>2026</v>
      </c>
      <c r="C350" s="177">
        <f>YEAR(Table13[[#This Row],[Date]])</f>
        <v>2026</v>
      </c>
      <c r="D350" s="178">
        <f>Table13[[#This Row],[Date]]-DAY(Table13[[#This Row],[Date]])+1</f>
        <v>46082</v>
      </c>
      <c r="E350" s="177">
        <f t="shared" si="20"/>
        <v>31</v>
      </c>
      <c r="F350" s="179" t="str">
        <f>IFERROR(_xlfn.XLOOKUP($A350,Raw_Data!$B:$B,Raw_Data!$KG:$KG),"")</f>
        <v/>
      </c>
      <c r="G350" s="180" t="str">
        <f>IFERROR(_xlfn.XLOOKUP($A350,Raw_Data!$B:$B,Raw_Data!KH:KH),"")</f>
        <v/>
      </c>
      <c r="H350" s="180"/>
      <c r="I350" s="180" t="str">
        <f>IFERROR(_xlfn.XLOOKUP($A350,Raw_Data!$B:$B,Raw_Data!$KI:$KI),"")</f>
        <v/>
      </c>
      <c r="J350" s="180"/>
      <c r="K350" s="180" t="str">
        <f>IFERROR(_xlfn.XLOOKUP($A350,Raw_Data!$B:$B,Raw_Data!KJ:KJ),"")</f>
        <v/>
      </c>
      <c r="L350" s="180" t="str">
        <f>IFERROR(_xlfn.XLOOKUP($A350,Raw_Data!$B:$B,Raw_Data!KK:KK),"")</f>
        <v/>
      </c>
      <c r="M350" s="180" t="str">
        <f>IFERROR(_xlfn.XLOOKUP($A350,Raw_Data!$B:$B,Raw_Data!KL:KL),"")</f>
        <v/>
      </c>
      <c r="N350" s="180" t="str">
        <f>IFERROR(_xlfn.XLOOKUP($A350,Raw_Data!$B:$B,Raw_Data!KM:KM),"")</f>
        <v/>
      </c>
      <c r="O350" s="181" t="str">
        <f>IFERROR(1-SUMIF(PA!$B:$B,$A350,PA!AJ:AJ)/($AA350+SUMIF(PA!$B:$B,$A350,PA!AJ:AJ)),"")</f>
        <v/>
      </c>
      <c r="P350" s="181"/>
      <c r="Q350" s="182"/>
      <c r="R350" s="181" t="str">
        <f>IFERROR(1-SUMIF(GA!$C:$C,$A350,GA!$X:$X)/($AA350+SUMIF(GA!$C:$C,$A350,GA!$X:$X)),"")</f>
        <v/>
      </c>
      <c r="S350" s="177"/>
      <c r="T350" s="182"/>
      <c r="U350" s="183" t="str">
        <f t="shared" si="21"/>
        <v/>
      </c>
      <c r="V350" s="183" t="str">
        <f>IFERROR(_xlfn.XLOOKUP($A350,Raw_Data!$B:$B,Raw_Data!$KQ:$KQ),"")</f>
        <v/>
      </c>
      <c r="W350" s="184" t="str">
        <f t="shared" si="22"/>
        <v/>
      </c>
      <c r="X350" s="176" t="str">
        <f>IFERROR(_xlfn.XLOOKUP($A350,Raw_Data!$B:$B,Raw_Data!$KN:$KN),"")</f>
        <v/>
      </c>
      <c r="Y350" s="176" t="str">
        <f>IFERROR(_xlfn.XLOOKUP($A350,Raw_Data!$B:$B,Raw_Data!$KC:$KC),"")</f>
        <v/>
      </c>
      <c r="Z350" s="176" t="str">
        <f>IFERROR(_xlfn.XLOOKUP($A350,Raw_Data!$B:$B,Raw_Data!$KD:$KD),"")</f>
        <v/>
      </c>
      <c r="AA350" s="176" t="str">
        <f>IFERROR(_xlfn.XLOOKUP($A350,Raw_Data!$B:$B,Raw_Data!$KF:$KF),"")</f>
        <v/>
      </c>
      <c r="AB350" s="176" t="str">
        <f>IFERROR(_xlfn.XLOOKUP($A350,Raw_Data!$B:$B,Raw_Data!I:I)/1000,"")</f>
        <v/>
      </c>
      <c r="AC350" s="185">
        <f>IFERROR(_xlfn.XLOOKUP($D350,'Modelling New'!$D:$D,'Modelling New'!$P:$P),"")</f>
        <v>6.6838709677419352</v>
      </c>
      <c r="AD350" s="176">
        <f>IFERROR(_xlfn.XLOOKUP($D350,'Modelling New'!$D:$D,'Modelling New'!$T:$T)*1000,"")</f>
        <v>346293.36587598477</v>
      </c>
      <c r="AE350" s="186">
        <f>IFERROR(_xlfn.XLOOKUP($D350,'Modelling New'!$D:$D,'Modelling New'!$O:$O),"")</f>
        <v>0.77612614604342745</v>
      </c>
      <c r="AF350" s="186">
        <f>IFERROR(_xlfn.XLOOKUP($D350,'Modelling New'!$D:$D,'Modelling New'!$W:$W),"")</f>
        <v>0.21614695895187924</v>
      </c>
      <c r="AG350" s="186">
        <f>IFERROR(_xlfn.XLOOKUP($D350,'Modelling New'!$D:$D,'Modelling New'!$AE:$AE),"")</f>
        <v>0.995</v>
      </c>
      <c r="AH350" s="186">
        <f>IFERROR(_xlfn.XLOOKUP($D350,'Modelling New'!$D:$D,'Modelling New'!$AF:$AF),"")</f>
        <v>0.995</v>
      </c>
      <c r="AI350" s="177"/>
      <c r="AJ350" s="177"/>
      <c r="AK350" s="238"/>
      <c r="AL350" s="238"/>
      <c r="AM350" s="238"/>
      <c r="AN350" s="187"/>
      <c r="AO350" s="184"/>
      <c r="AP350" s="184"/>
      <c r="AQ350" s="184"/>
      <c r="AR350" s="176">
        <f>IFERROR(_xlfn.XLOOKUP($D349,'Modelling New'!$D:$D,'Modelling New'!$N:$N),"")</f>
        <v>66.754999999999995</v>
      </c>
      <c r="AS350" s="176"/>
    </row>
    <row r="351" spans="1:45" x14ac:dyDescent="0.25">
      <c r="A351" s="175">
        <f t="shared" si="23"/>
        <v>46094</v>
      </c>
      <c r="B351" s="176">
        <f>YEAR(Table13[[#This Row],[Date]])+IF(MONTH(Table13[[#This Row],[Date]])&gt;=4,1,0)</f>
        <v>2026</v>
      </c>
      <c r="C351" s="177">
        <f>YEAR(Table13[[#This Row],[Date]])</f>
        <v>2026</v>
      </c>
      <c r="D351" s="178">
        <f>Table13[[#This Row],[Date]]-DAY(Table13[[#This Row],[Date]])+1</f>
        <v>46082</v>
      </c>
      <c r="E351" s="177">
        <f t="shared" ref="E351:E369" si="24">DAY(EOMONTH(A351,0))</f>
        <v>31</v>
      </c>
      <c r="F351" s="179" t="str">
        <f>IFERROR(_xlfn.XLOOKUP($A351,Raw_Data!$B:$B,Raw_Data!$KG:$KG),"")</f>
        <v/>
      </c>
      <c r="G351" s="180" t="str">
        <f>IFERROR(_xlfn.XLOOKUP($A351,Raw_Data!$B:$B,Raw_Data!KH:KH),"")</f>
        <v/>
      </c>
      <c r="H351" s="180"/>
      <c r="I351" s="180" t="str">
        <f>IFERROR(_xlfn.XLOOKUP($A351,Raw_Data!$B:$B,Raw_Data!$KI:$KI),"")</f>
        <v/>
      </c>
      <c r="J351" s="180"/>
      <c r="K351" s="180" t="str">
        <f>IFERROR(_xlfn.XLOOKUP($A351,Raw_Data!$B:$B,Raw_Data!KJ:KJ),"")</f>
        <v/>
      </c>
      <c r="L351" s="180" t="str">
        <f>IFERROR(_xlfn.XLOOKUP($A351,Raw_Data!$B:$B,Raw_Data!KK:KK),"")</f>
        <v/>
      </c>
      <c r="M351" s="180" t="str">
        <f>IFERROR(_xlfn.XLOOKUP($A351,Raw_Data!$B:$B,Raw_Data!KL:KL),"")</f>
        <v/>
      </c>
      <c r="N351" s="180" t="str">
        <f>IFERROR(_xlfn.XLOOKUP($A351,Raw_Data!$B:$B,Raw_Data!KM:KM),"")</f>
        <v/>
      </c>
      <c r="O351" s="181" t="str">
        <f>IFERROR(1-SUMIF(PA!$B:$B,$A351,PA!AJ:AJ)/($AA351+SUMIF(PA!$B:$B,$A351,PA!AJ:AJ)),"")</f>
        <v/>
      </c>
      <c r="P351" s="181"/>
      <c r="Q351" s="182"/>
      <c r="R351" s="181" t="str">
        <f>IFERROR(1-SUMIF(GA!$C:$C,$A351,GA!$X:$X)/($AA351+SUMIF(GA!$C:$C,$A351,GA!$X:$X)),"")</f>
        <v/>
      </c>
      <c r="S351" s="177"/>
      <c r="T351" s="182"/>
      <c r="U351" s="183" t="str">
        <f t="shared" ref="U351:U369" si="25">IFERROR(AA351/I351/AB351/1000,"")</f>
        <v/>
      </c>
      <c r="V351" s="183" t="str">
        <f>IFERROR(_xlfn.XLOOKUP($A351,Raw_Data!$B:$B,Raw_Data!$KQ:$KQ),"")</f>
        <v/>
      </c>
      <c r="W351" s="184" t="str">
        <f t="shared" ref="W351:W369" si="26">IFERROR(AA351/(24*AB351*1000),"")</f>
        <v/>
      </c>
      <c r="X351" s="176" t="str">
        <f>IFERROR(_xlfn.XLOOKUP($A351,Raw_Data!$B:$B,Raw_Data!$KN:$KN),"")</f>
        <v/>
      </c>
      <c r="Y351" s="176" t="str">
        <f>IFERROR(_xlfn.XLOOKUP($A351,Raw_Data!$B:$B,Raw_Data!$KC:$KC),"")</f>
        <v/>
      </c>
      <c r="Z351" s="176" t="str">
        <f>IFERROR(_xlfn.XLOOKUP($A351,Raw_Data!$B:$B,Raw_Data!$KD:$KD),"")</f>
        <v/>
      </c>
      <c r="AA351" s="176" t="str">
        <f>IFERROR(_xlfn.XLOOKUP($A351,Raw_Data!$B:$B,Raw_Data!$KF:$KF),"")</f>
        <v/>
      </c>
      <c r="AB351" s="176" t="str">
        <f>IFERROR(_xlfn.XLOOKUP($A351,Raw_Data!$B:$B,Raw_Data!I:I)/1000,"")</f>
        <v/>
      </c>
      <c r="AC351" s="185">
        <f>IFERROR(_xlfn.XLOOKUP($D351,'Modelling New'!$D:$D,'Modelling New'!$P:$P),"")</f>
        <v>6.6838709677419352</v>
      </c>
      <c r="AD351" s="176">
        <f>IFERROR(_xlfn.XLOOKUP($D351,'Modelling New'!$D:$D,'Modelling New'!$T:$T)*1000,"")</f>
        <v>346293.36587598477</v>
      </c>
      <c r="AE351" s="186">
        <f>IFERROR(_xlfn.XLOOKUP($D351,'Modelling New'!$D:$D,'Modelling New'!$O:$O),"")</f>
        <v>0.77612614604342745</v>
      </c>
      <c r="AF351" s="186">
        <f>IFERROR(_xlfn.XLOOKUP($D351,'Modelling New'!$D:$D,'Modelling New'!$W:$W),"")</f>
        <v>0.21614695895187924</v>
      </c>
      <c r="AG351" s="186">
        <f>IFERROR(_xlfn.XLOOKUP($D351,'Modelling New'!$D:$D,'Modelling New'!$AE:$AE),"")</f>
        <v>0.995</v>
      </c>
      <c r="AH351" s="186">
        <f>IFERROR(_xlfn.XLOOKUP($D351,'Modelling New'!$D:$D,'Modelling New'!$AF:$AF),"")</f>
        <v>0.995</v>
      </c>
      <c r="AI351" s="177"/>
      <c r="AJ351" s="177"/>
      <c r="AK351" s="238"/>
      <c r="AL351" s="238"/>
      <c r="AM351" s="238"/>
      <c r="AN351" s="187"/>
      <c r="AO351" s="184"/>
      <c r="AP351" s="184"/>
      <c r="AQ351" s="184"/>
      <c r="AR351" s="176">
        <f>IFERROR(_xlfn.XLOOKUP($D350,'Modelling New'!$D:$D,'Modelling New'!$N:$N),"")</f>
        <v>66.754999999999995</v>
      </c>
      <c r="AS351" s="176"/>
    </row>
    <row r="352" spans="1:45" x14ac:dyDescent="0.25">
      <c r="A352" s="175">
        <f t="shared" si="23"/>
        <v>46095</v>
      </c>
      <c r="B352" s="176">
        <f>YEAR(Table13[[#This Row],[Date]])+IF(MONTH(Table13[[#This Row],[Date]])&gt;=4,1,0)</f>
        <v>2026</v>
      </c>
      <c r="C352" s="177">
        <f>YEAR(Table13[[#This Row],[Date]])</f>
        <v>2026</v>
      </c>
      <c r="D352" s="178">
        <f>Table13[[#This Row],[Date]]-DAY(Table13[[#This Row],[Date]])+1</f>
        <v>46082</v>
      </c>
      <c r="E352" s="177">
        <f t="shared" si="24"/>
        <v>31</v>
      </c>
      <c r="F352" s="179" t="str">
        <f>IFERROR(_xlfn.XLOOKUP($A352,Raw_Data!$B:$B,Raw_Data!$KG:$KG),"")</f>
        <v/>
      </c>
      <c r="G352" s="180" t="str">
        <f>IFERROR(_xlfn.XLOOKUP($A352,Raw_Data!$B:$B,Raw_Data!KH:KH),"")</f>
        <v/>
      </c>
      <c r="H352" s="180"/>
      <c r="I352" s="180" t="str">
        <f>IFERROR(_xlfn.XLOOKUP($A352,Raw_Data!$B:$B,Raw_Data!$KI:$KI),"")</f>
        <v/>
      </c>
      <c r="J352" s="180"/>
      <c r="K352" s="180" t="str">
        <f>IFERROR(_xlfn.XLOOKUP($A352,Raw_Data!$B:$B,Raw_Data!KJ:KJ),"")</f>
        <v/>
      </c>
      <c r="L352" s="180" t="str">
        <f>IFERROR(_xlfn.XLOOKUP($A352,Raw_Data!$B:$B,Raw_Data!KK:KK),"")</f>
        <v/>
      </c>
      <c r="M352" s="180" t="str">
        <f>IFERROR(_xlfn.XLOOKUP($A352,Raw_Data!$B:$B,Raw_Data!KL:KL),"")</f>
        <v/>
      </c>
      <c r="N352" s="180" t="str">
        <f>IFERROR(_xlfn.XLOOKUP($A352,Raw_Data!$B:$B,Raw_Data!KM:KM),"")</f>
        <v/>
      </c>
      <c r="O352" s="181" t="str">
        <f>IFERROR(1-SUMIF(PA!$B:$B,$A352,PA!AJ:AJ)/($AA352+SUMIF(PA!$B:$B,$A352,PA!AJ:AJ)),"")</f>
        <v/>
      </c>
      <c r="P352" s="181"/>
      <c r="Q352" s="182"/>
      <c r="R352" s="181" t="str">
        <f>IFERROR(1-SUMIF(GA!$C:$C,$A352,GA!$X:$X)/($AA352+SUMIF(GA!$C:$C,$A352,GA!$X:$X)),"")</f>
        <v/>
      </c>
      <c r="S352" s="177"/>
      <c r="T352" s="182"/>
      <c r="U352" s="183" t="str">
        <f t="shared" si="25"/>
        <v/>
      </c>
      <c r="V352" s="183" t="str">
        <f>IFERROR(_xlfn.XLOOKUP($A352,Raw_Data!$B:$B,Raw_Data!$KQ:$KQ),"")</f>
        <v/>
      </c>
      <c r="W352" s="184" t="str">
        <f t="shared" si="26"/>
        <v/>
      </c>
      <c r="X352" s="176" t="str">
        <f>IFERROR(_xlfn.XLOOKUP($A352,Raw_Data!$B:$B,Raw_Data!$KN:$KN),"")</f>
        <v/>
      </c>
      <c r="Y352" s="176" t="str">
        <f>IFERROR(_xlfn.XLOOKUP($A352,Raw_Data!$B:$B,Raw_Data!$KC:$KC),"")</f>
        <v/>
      </c>
      <c r="Z352" s="176" t="str">
        <f>IFERROR(_xlfn.XLOOKUP($A352,Raw_Data!$B:$B,Raw_Data!$KD:$KD),"")</f>
        <v/>
      </c>
      <c r="AA352" s="176" t="str">
        <f>IFERROR(_xlfn.XLOOKUP($A352,Raw_Data!$B:$B,Raw_Data!$KF:$KF),"")</f>
        <v/>
      </c>
      <c r="AB352" s="176" t="str">
        <f>IFERROR(_xlfn.XLOOKUP($A352,Raw_Data!$B:$B,Raw_Data!I:I)/1000,"")</f>
        <v/>
      </c>
      <c r="AC352" s="185">
        <f>IFERROR(_xlfn.XLOOKUP($D352,'Modelling New'!$D:$D,'Modelling New'!$P:$P),"")</f>
        <v>6.6838709677419352</v>
      </c>
      <c r="AD352" s="176">
        <f>IFERROR(_xlfn.XLOOKUP($D352,'Modelling New'!$D:$D,'Modelling New'!$T:$T)*1000,"")</f>
        <v>346293.36587598477</v>
      </c>
      <c r="AE352" s="186">
        <f>IFERROR(_xlfn.XLOOKUP($D352,'Modelling New'!$D:$D,'Modelling New'!$O:$O),"")</f>
        <v>0.77612614604342745</v>
      </c>
      <c r="AF352" s="186">
        <f>IFERROR(_xlfn.XLOOKUP($D352,'Modelling New'!$D:$D,'Modelling New'!$W:$W),"")</f>
        <v>0.21614695895187924</v>
      </c>
      <c r="AG352" s="186">
        <f>IFERROR(_xlfn.XLOOKUP($D352,'Modelling New'!$D:$D,'Modelling New'!$AE:$AE),"")</f>
        <v>0.995</v>
      </c>
      <c r="AH352" s="186">
        <f>IFERROR(_xlfn.XLOOKUP($D352,'Modelling New'!$D:$D,'Modelling New'!$AF:$AF),"")</f>
        <v>0.995</v>
      </c>
      <c r="AI352" s="177"/>
      <c r="AJ352" s="177"/>
      <c r="AK352" s="238"/>
      <c r="AL352" s="238"/>
      <c r="AM352" s="238"/>
      <c r="AN352" s="187"/>
      <c r="AO352" s="184"/>
      <c r="AP352" s="184"/>
      <c r="AQ352" s="184"/>
      <c r="AR352" s="176">
        <f>IFERROR(_xlfn.XLOOKUP($D351,'Modelling New'!$D:$D,'Modelling New'!$N:$N),"")</f>
        <v>66.754999999999995</v>
      </c>
      <c r="AS352" s="176"/>
    </row>
    <row r="353" spans="1:45" x14ac:dyDescent="0.25">
      <c r="A353" s="175">
        <f t="shared" si="23"/>
        <v>46096</v>
      </c>
      <c r="B353" s="176">
        <f>YEAR(Table13[[#This Row],[Date]])+IF(MONTH(Table13[[#This Row],[Date]])&gt;=4,1,0)</f>
        <v>2026</v>
      </c>
      <c r="C353" s="177">
        <f>YEAR(Table13[[#This Row],[Date]])</f>
        <v>2026</v>
      </c>
      <c r="D353" s="178">
        <f>Table13[[#This Row],[Date]]-DAY(Table13[[#This Row],[Date]])+1</f>
        <v>46082</v>
      </c>
      <c r="E353" s="177">
        <f t="shared" si="24"/>
        <v>31</v>
      </c>
      <c r="F353" s="179" t="str">
        <f>IFERROR(_xlfn.XLOOKUP($A353,Raw_Data!$B:$B,Raw_Data!$KG:$KG),"")</f>
        <v/>
      </c>
      <c r="G353" s="180" t="str">
        <f>IFERROR(_xlfn.XLOOKUP($A353,Raw_Data!$B:$B,Raw_Data!KH:KH),"")</f>
        <v/>
      </c>
      <c r="H353" s="180"/>
      <c r="I353" s="180" t="str">
        <f>IFERROR(_xlfn.XLOOKUP($A353,Raw_Data!$B:$B,Raw_Data!$KI:$KI),"")</f>
        <v/>
      </c>
      <c r="J353" s="180"/>
      <c r="K353" s="180" t="str">
        <f>IFERROR(_xlfn.XLOOKUP($A353,Raw_Data!$B:$B,Raw_Data!KJ:KJ),"")</f>
        <v/>
      </c>
      <c r="L353" s="180" t="str">
        <f>IFERROR(_xlfn.XLOOKUP($A353,Raw_Data!$B:$B,Raw_Data!KK:KK),"")</f>
        <v/>
      </c>
      <c r="M353" s="180" t="str">
        <f>IFERROR(_xlfn.XLOOKUP($A353,Raw_Data!$B:$B,Raw_Data!KL:KL),"")</f>
        <v/>
      </c>
      <c r="N353" s="180" t="str">
        <f>IFERROR(_xlfn.XLOOKUP($A353,Raw_Data!$B:$B,Raw_Data!KM:KM),"")</f>
        <v/>
      </c>
      <c r="O353" s="181" t="str">
        <f>IFERROR(1-SUMIF(PA!$B:$B,$A353,PA!AJ:AJ)/($AA353+SUMIF(PA!$B:$B,$A353,PA!AJ:AJ)),"")</f>
        <v/>
      </c>
      <c r="P353" s="181"/>
      <c r="Q353" s="182"/>
      <c r="R353" s="181" t="str">
        <f>IFERROR(1-SUMIF(GA!$C:$C,$A353,GA!$X:$X)/($AA353+SUMIF(GA!$C:$C,$A353,GA!$X:$X)),"")</f>
        <v/>
      </c>
      <c r="S353" s="177"/>
      <c r="T353" s="182"/>
      <c r="U353" s="183" t="str">
        <f t="shared" si="25"/>
        <v/>
      </c>
      <c r="V353" s="183" t="str">
        <f>IFERROR(_xlfn.XLOOKUP($A353,Raw_Data!$B:$B,Raw_Data!$KQ:$KQ),"")</f>
        <v/>
      </c>
      <c r="W353" s="184" t="str">
        <f t="shared" si="26"/>
        <v/>
      </c>
      <c r="X353" s="176" t="str">
        <f>IFERROR(_xlfn.XLOOKUP($A353,Raw_Data!$B:$B,Raw_Data!$KN:$KN),"")</f>
        <v/>
      </c>
      <c r="Y353" s="176" t="str">
        <f>IFERROR(_xlfn.XLOOKUP($A353,Raw_Data!$B:$B,Raw_Data!$KC:$KC),"")</f>
        <v/>
      </c>
      <c r="Z353" s="176" t="str">
        <f>IFERROR(_xlfn.XLOOKUP($A353,Raw_Data!$B:$B,Raw_Data!$KD:$KD),"")</f>
        <v/>
      </c>
      <c r="AA353" s="176" t="str">
        <f>IFERROR(_xlfn.XLOOKUP($A353,Raw_Data!$B:$B,Raw_Data!$KF:$KF),"")</f>
        <v/>
      </c>
      <c r="AB353" s="176" t="str">
        <f>IFERROR(_xlfn.XLOOKUP($A353,Raw_Data!$B:$B,Raw_Data!I:I)/1000,"")</f>
        <v/>
      </c>
      <c r="AC353" s="185">
        <f>IFERROR(_xlfn.XLOOKUP($D353,'Modelling New'!$D:$D,'Modelling New'!$P:$P),"")</f>
        <v>6.6838709677419352</v>
      </c>
      <c r="AD353" s="176">
        <f>IFERROR(_xlfn.XLOOKUP($D353,'Modelling New'!$D:$D,'Modelling New'!$T:$T)*1000,"")</f>
        <v>346293.36587598477</v>
      </c>
      <c r="AE353" s="186">
        <f>IFERROR(_xlfn.XLOOKUP($D353,'Modelling New'!$D:$D,'Modelling New'!$O:$O),"")</f>
        <v>0.77612614604342745</v>
      </c>
      <c r="AF353" s="186">
        <f>IFERROR(_xlfn.XLOOKUP($D353,'Modelling New'!$D:$D,'Modelling New'!$W:$W),"")</f>
        <v>0.21614695895187924</v>
      </c>
      <c r="AG353" s="186">
        <f>IFERROR(_xlfn.XLOOKUP($D353,'Modelling New'!$D:$D,'Modelling New'!$AE:$AE),"")</f>
        <v>0.995</v>
      </c>
      <c r="AH353" s="186">
        <f>IFERROR(_xlfn.XLOOKUP($D353,'Modelling New'!$D:$D,'Modelling New'!$AF:$AF),"")</f>
        <v>0.995</v>
      </c>
      <c r="AI353" s="177"/>
      <c r="AJ353" s="177"/>
      <c r="AK353" s="238"/>
      <c r="AL353" s="238"/>
      <c r="AM353" s="238"/>
      <c r="AN353" s="187"/>
      <c r="AO353" s="184"/>
      <c r="AP353" s="184"/>
      <c r="AQ353" s="184"/>
      <c r="AR353" s="176">
        <f>IFERROR(_xlfn.XLOOKUP($D352,'Modelling New'!$D:$D,'Modelling New'!$N:$N),"")</f>
        <v>66.754999999999995</v>
      </c>
      <c r="AS353" s="176"/>
    </row>
    <row r="354" spans="1:45" x14ac:dyDescent="0.25">
      <c r="A354" s="175">
        <f t="shared" si="23"/>
        <v>46097</v>
      </c>
      <c r="B354" s="176">
        <f>YEAR(Table13[[#This Row],[Date]])+IF(MONTH(Table13[[#This Row],[Date]])&gt;=4,1,0)</f>
        <v>2026</v>
      </c>
      <c r="C354" s="177">
        <f>YEAR(Table13[[#This Row],[Date]])</f>
        <v>2026</v>
      </c>
      <c r="D354" s="178">
        <f>Table13[[#This Row],[Date]]-DAY(Table13[[#This Row],[Date]])+1</f>
        <v>46082</v>
      </c>
      <c r="E354" s="177">
        <f t="shared" si="24"/>
        <v>31</v>
      </c>
      <c r="F354" s="179" t="str">
        <f>IFERROR(_xlfn.XLOOKUP($A354,Raw_Data!$B:$B,Raw_Data!$KG:$KG),"")</f>
        <v/>
      </c>
      <c r="G354" s="180" t="str">
        <f>IFERROR(_xlfn.XLOOKUP($A354,Raw_Data!$B:$B,Raw_Data!KH:KH),"")</f>
        <v/>
      </c>
      <c r="H354" s="180"/>
      <c r="I354" s="180" t="str">
        <f>IFERROR(_xlfn.XLOOKUP($A354,Raw_Data!$B:$B,Raw_Data!$KI:$KI),"")</f>
        <v/>
      </c>
      <c r="J354" s="180"/>
      <c r="K354" s="180" t="str">
        <f>IFERROR(_xlfn.XLOOKUP($A354,Raw_Data!$B:$B,Raw_Data!KJ:KJ),"")</f>
        <v/>
      </c>
      <c r="L354" s="180" t="str">
        <f>IFERROR(_xlfn.XLOOKUP($A354,Raw_Data!$B:$B,Raw_Data!KK:KK),"")</f>
        <v/>
      </c>
      <c r="M354" s="180" t="str">
        <f>IFERROR(_xlfn.XLOOKUP($A354,Raw_Data!$B:$B,Raw_Data!KL:KL),"")</f>
        <v/>
      </c>
      <c r="N354" s="180" t="str">
        <f>IFERROR(_xlfn.XLOOKUP($A354,Raw_Data!$B:$B,Raw_Data!KM:KM),"")</f>
        <v/>
      </c>
      <c r="O354" s="181" t="str">
        <f>IFERROR(1-SUMIF(PA!$B:$B,$A354,PA!AJ:AJ)/($AA354+SUMIF(PA!$B:$B,$A354,PA!AJ:AJ)),"")</f>
        <v/>
      </c>
      <c r="P354" s="181"/>
      <c r="Q354" s="182"/>
      <c r="R354" s="181" t="str">
        <f>IFERROR(1-SUMIF(GA!$C:$C,$A354,GA!$X:$X)/($AA354+SUMIF(GA!$C:$C,$A354,GA!$X:$X)),"")</f>
        <v/>
      </c>
      <c r="S354" s="177"/>
      <c r="T354" s="182"/>
      <c r="U354" s="183" t="str">
        <f t="shared" si="25"/>
        <v/>
      </c>
      <c r="V354" s="183" t="str">
        <f>IFERROR(_xlfn.XLOOKUP($A354,Raw_Data!$B:$B,Raw_Data!$KQ:$KQ),"")</f>
        <v/>
      </c>
      <c r="W354" s="184" t="str">
        <f t="shared" si="26"/>
        <v/>
      </c>
      <c r="X354" s="176" t="str">
        <f>IFERROR(_xlfn.XLOOKUP($A354,Raw_Data!$B:$B,Raw_Data!$KN:$KN),"")</f>
        <v/>
      </c>
      <c r="Y354" s="176" t="str">
        <f>IFERROR(_xlfn.XLOOKUP($A354,Raw_Data!$B:$B,Raw_Data!$KC:$KC),"")</f>
        <v/>
      </c>
      <c r="Z354" s="176" t="str">
        <f>IFERROR(_xlfn.XLOOKUP($A354,Raw_Data!$B:$B,Raw_Data!$KD:$KD),"")</f>
        <v/>
      </c>
      <c r="AA354" s="176" t="str">
        <f>IFERROR(_xlfn.XLOOKUP($A354,Raw_Data!$B:$B,Raw_Data!$KF:$KF),"")</f>
        <v/>
      </c>
      <c r="AB354" s="176" t="str">
        <f>IFERROR(_xlfn.XLOOKUP($A354,Raw_Data!$B:$B,Raw_Data!I:I)/1000,"")</f>
        <v/>
      </c>
      <c r="AC354" s="185">
        <f>IFERROR(_xlfn.XLOOKUP($D354,'Modelling New'!$D:$D,'Modelling New'!$P:$P),"")</f>
        <v>6.6838709677419352</v>
      </c>
      <c r="AD354" s="176">
        <f>IFERROR(_xlfn.XLOOKUP($D354,'Modelling New'!$D:$D,'Modelling New'!$T:$T)*1000,"")</f>
        <v>346293.36587598477</v>
      </c>
      <c r="AE354" s="186">
        <f>IFERROR(_xlfn.XLOOKUP($D354,'Modelling New'!$D:$D,'Modelling New'!$O:$O),"")</f>
        <v>0.77612614604342745</v>
      </c>
      <c r="AF354" s="186">
        <f>IFERROR(_xlfn.XLOOKUP($D354,'Modelling New'!$D:$D,'Modelling New'!$W:$W),"")</f>
        <v>0.21614695895187924</v>
      </c>
      <c r="AG354" s="186">
        <f>IFERROR(_xlfn.XLOOKUP($D354,'Modelling New'!$D:$D,'Modelling New'!$AE:$AE),"")</f>
        <v>0.995</v>
      </c>
      <c r="AH354" s="186">
        <f>IFERROR(_xlfn.XLOOKUP($D354,'Modelling New'!$D:$D,'Modelling New'!$AF:$AF),"")</f>
        <v>0.995</v>
      </c>
      <c r="AI354" s="177"/>
      <c r="AJ354" s="177"/>
      <c r="AK354" s="238"/>
      <c r="AL354" s="238"/>
      <c r="AM354" s="238"/>
      <c r="AN354" s="187"/>
      <c r="AO354" s="184"/>
      <c r="AP354" s="184"/>
      <c r="AQ354" s="184"/>
      <c r="AR354" s="176">
        <f>IFERROR(_xlfn.XLOOKUP($D353,'Modelling New'!$D:$D,'Modelling New'!$N:$N),"")</f>
        <v>66.754999999999995</v>
      </c>
      <c r="AS354" s="176"/>
    </row>
    <row r="355" spans="1:45" x14ac:dyDescent="0.25">
      <c r="A355" s="175">
        <f t="shared" si="23"/>
        <v>46098</v>
      </c>
      <c r="B355" s="176">
        <f>YEAR(Table13[[#This Row],[Date]])+IF(MONTH(Table13[[#This Row],[Date]])&gt;=4,1,0)</f>
        <v>2026</v>
      </c>
      <c r="C355" s="177">
        <f>YEAR(Table13[[#This Row],[Date]])</f>
        <v>2026</v>
      </c>
      <c r="D355" s="178">
        <f>Table13[[#This Row],[Date]]-DAY(Table13[[#This Row],[Date]])+1</f>
        <v>46082</v>
      </c>
      <c r="E355" s="177">
        <f t="shared" si="24"/>
        <v>31</v>
      </c>
      <c r="F355" s="179" t="str">
        <f>IFERROR(_xlfn.XLOOKUP($A355,Raw_Data!$B:$B,Raw_Data!$KG:$KG),"")</f>
        <v/>
      </c>
      <c r="G355" s="180" t="str">
        <f>IFERROR(_xlfn.XLOOKUP($A355,Raw_Data!$B:$B,Raw_Data!KH:KH),"")</f>
        <v/>
      </c>
      <c r="H355" s="180"/>
      <c r="I355" s="180" t="str">
        <f>IFERROR(_xlfn.XLOOKUP($A355,Raw_Data!$B:$B,Raw_Data!$KI:$KI),"")</f>
        <v/>
      </c>
      <c r="J355" s="180"/>
      <c r="K355" s="180" t="str">
        <f>IFERROR(_xlfn.XLOOKUP($A355,Raw_Data!$B:$B,Raw_Data!KJ:KJ),"")</f>
        <v/>
      </c>
      <c r="L355" s="180" t="str">
        <f>IFERROR(_xlfn.XLOOKUP($A355,Raw_Data!$B:$B,Raw_Data!KK:KK),"")</f>
        <v/>
      </c>
      <c r="M355" s="180" t="str">
        <f>IFERROR(_xlfn.XLOOKUP($A355,Raw_Data!$B:$B,Raw_Data!KL:KL),"")</f>
        <v/>
      </c>
      <c r="N355" s="180" t="str">
        <f>IFERROR(_xlfn.XLOOKUP($A355,Raw_Data!$B:$B,Raw_Data!KM:KM),"")</f>
        <v/>
      </c>
      <c r="O355" s="181" t="str">
        <f>IFERROR(1-SUMIF(PA!$B:$B,$A355,PA!AJ:AJ)/($AA355+SUMIF(PA!$B:$B,$A355,PA!AJ:AJ)),"")</f>
        <v/>
      </c>
      <c r="P355" s="181"/>
      <c r="Q355" s="182"/>
      <c r="R355" s="181" t="str">
        <f>IFERROR(1-SUMIF(GA!$C:$C,$A355,GA!$X:$X)/($AA355+SUMIF(GA!$C:$C,$A355,GA!$X:$X)),"")</f>
        <v/>
      </c>
      <c r="S355" s="177"/>
      <c r="T355" s="182"/>
      <c r="U355" s="183" t="str">
        <f t="shared" si="25"/>
        <v/>
      </c>
      <c r="V355" s="183" t="str">
        <f>IFERROR(_xlfn.XLOOKUP($A355,Raw_Data!$B:$B,Raw_Data!$KQ:$KQ),"")</f>
        <v/>
      </c>
      <c r="W355" s="184" t="str">
        <f t="shared" si="26"/>
        <v/>
      </c>
      <c r="X355" s="176" t="str">
        <f>IFERROR(_xlfn.XLOOKUP($A355,Raw_Data!$B:$B,Raw_Data!$KN:$KN),"")</f>
        <v/>
      </c>
      <c r="Y355" s="176" t="str">
        <f>IFERROR(_xlfn.XLOOKUP($A355,Raw_Data!$B:$B,Raw_Data!$KC:$KC),"")</f>
        <v/>
      </c>
      <c r="Z355" s="176" t="str">
        <f>IFERROR(_xlfn.XLOOKUP($A355,Raw_Data!$B:$B,Raw_Data!$KD:$KD),"")</f>
        <v/>
      </c>
      <c r="AA355" s="176" t="str">
        <f>IFERROR(_xlfn.XLOOKUP($A355,Raw_Data!$B:$B,Raw_Data!$KF:$KF),"")</f>
        <v/>
      </c>
      <c r="AB355" s="176" t="str">
        <f>IFERROR(_xlfn.XLOOKUP($A355,Raw_Data!$B:$B,Raw_Data!I:I)/1000,"")</f>
        <v/>
      </c>
      <c r="AC355" s="185">
        <f>IFERROR(_xlfn.XLOOKUP($D355,'Modelling New'!$D:$D,'Modelling New'!$P:$P),"")</f>
        <v>6.6838709677419352</v>
      </c>
      <c r="AD355" s="176">
        <f>IFERROR(_xlfn.XLOOKUP($D355,'Modelling New'!$D:$D,'Modelling New'!$T:$T)*1000,"")</f>
        <v>346293.36587598477</v>
      </c>
      <c r="AE355" s="186">
        <f>IFERROR(_xlfn.XLOOKUP($D355,'Modelling New'!$D:$D,'Modelling New'!$O:$O),"")</f>
        <v>0.77612614604342745</v>
      </c>
      <c r="AF355" s="186">
        <f>IFERROR(_xlfn.XLOOKUP($D355,'Modelling New'!$D:$D,'Modelling New'!$W:$W),"")</f>
        <v>0.21614695895187924</v>
      </c>
      <c r="AG355" s="186">
        <f>IFERROR(_xlfn.XLOOKUP($D355,'Modelling New'!$D:$D,'Modelling New'!$AE:$AE),"")</f>
        <v>0.995</v>
      </c>
      <c r="AH355" s="186">
        <f>IFERROR(_xlfn.XLOOKUP($D355,'Modelling New'!$D:$D,'Modelling New'!$AF:$AF),"")</f>
        <v>0.995</v>
      </c>
      <c r="AI355" s="177"/>
      <c r="AJ355" s="177"/>
      <c r="AK355" s="238"/>
      <c r="AL355" s="238"/>
      <c r="AM355" s="238"/>
      <c r="AN355" s="187"/>
      <c r="AO355" s="184"/>
      <c r="AP355" s="184"/>
      <c r="AQ355" s="184"/>
      <c r="AR355" s="176">
        <f>IFERROR(_xlfn.XLOOKUP($D354,'Modelling New'!$D:$D,'Modelling New'!$N:$N),"")</f>
        <v>66.754999999999995</v>
      </c>
      <c r="AS355" s="176"/>
    </row>
    <row r="356" spans="1:45" x14ac:dyDescent="0.25">
      <c r="A356" s="175">
        <f t="shared" si="23"/>
        <v>46099</v>
      </c>
      <c r="B356" s="176">
        <f>YEAR(Table13[[#This Row],[Date]])+IF(MONTH(Table13[[#This Row],[Date]])&gt;=4,1,0)</f>
        <v>2026</v>
      </c>
      <c r="C356" s="177">
        <f>YEAR(Table13[[#This Row],[Date]])</f>
        <v>2026</v>
      </c>
      <c r="D356" s="178">
        <f>Table13[[#This Row],[Date]]-DAY(Table13[[#This Row],[Date]])+1</f>
        <v>46082</v>
      </c>
      <c r="E356" s="177">
        <f t="shared" si="24"/>
        <v>31</v>
      </c>
      <c r="F356" s="179" t="str">
        <f>IFERROR(_xlfn.XLOOKUP($A356,Raw_Data!$B:$B,Raw_Data!$KG:$KG),"")</f>
        <v/>
      </c>
      <c r="G356" s="180" t="str">
        <f>IFERROR(_xlfn.XLOOKUP($A356,Raw_Data!$B:$B,Raw_Data!KH:KH),"")</f>
        <v/>
      </c>
      <c r="H356" s="180"/>
      <c r="I356" s="180" t="str">
        <f>IFERROR(_xlfn.XLOOKUP($A356,Raw_Data!$B:$B,Raw_Data!$KI:$KI),"")</f>
        <v/>
      </c>
      <c r="J356" s="180"/>
      <c r="K356" s="180" t="str">
        <f>IFERROR(_xlfn.XLOOKUP($A356,Raw_Data!$B:$B,Raw_Data!KJ:KJ),"")</f>
        <v/>
      </c>
      <c r="L356" s="180" t="str">
        <f>IFERROR(_xlfn.XLOOKUP($A356,Raw_Data!$B:$B,Raw_Data!KK:KK),"")</f>
        <v/>
      </c>
      <c r="M356" s="180" t="str">
        <f>IFERROR(_xlfn.XLOOKUP($A356,Raw_Data!$B:$B,Raw_Data!KL:KL),"")</f>
        <v/>
      </c>
      <c r="N356" s="180" t="str">
        <f>IFERROR(_xlfn.XLOOKUP($A356,Raw_Data!$B:$B,Raw_Data!KM:KM),"")</f>
        <v/>
      </c>
      <c r="O356" s="181" t="str">
        <f>IFERROR(1-SUMIF(PA!$B:$B,$A356,PA!AJ:AJ)/($AA356+SUMIF(PA!$B:$B,$A356,PA!AJ:AJ)),"")</f>
        <v/>
      </c>
      <c r="P356" s="181"/>
      <c r="Q356" s="182"/>
      <c r="R356" s="181" t="str">
        <f>IFERROR(1-SUMIF(GA!$C:$C,$A356,GA!$X:$X)/($AA356+SUMIF(GA!$C:$C,$A356,GA!$X:$X)),"")</f>
        <v/>
      </c>
      <c r="S356" s="177"/>
      <c r="T356" s="182"/>
      <c r="U356" s="183" t="str">
        <f t="shared" si="25"/>
        <v/>
      </c>
      <c r="V356" s="183" t="str">
        <f>IFERROR(_xlfn.XLOOKUP($A356,Raw_Data!$B:$B,Raw_Data!$KQ:$KQ),"")</f>
        <v/>
      </c>
      <c r="W356" s="184" t="str">
        <f t="shared" si="26"/>
        <v/>
      </c>
      <c r="X356" s="176" t="str">
        <f>IFERROR(_xlfn.XLOOKUP($A356,Raw_Data!$B:$B,Raw_Data!$KN:$KN),"")</f>
        <v/>
      </c>
      <c r="Y356" s="176" t="str">
        <f>IFERROR(_xlfn.XLOOKUP($A356,Raw_Data!$B:$B,Raw_Data!$KC:$KC),"")</f>
        <v/>
      </c>
      <c r="Z356" s="176" t="str">
        <f>IFERROR(_xlfn.XLOOKUP($A356,Raw_Data!$B:$B,Raw_Data!$KD:$KD),"")</f>
        <v/>
      </c>
      <c r="AA356" s="176" t="str">
        <f>IFERROR(_xlfn.XLOOKUP($A356,Raw_Data!$B:$B,Raw_Data!$KF:$KF),"")</f>
        <v/>
      </c>
      <c r="AB356" s="176" t="str">
        <f>IFERROR(_xlfn.XLOOKUP($A356,Raw_Data!$B:$B,Raw_Data!I:I)/1000,"")</f>
        <v/>
      </c>
      <c r="AC356" s="185">
        <f>IFERROR(_xlfn.XLOOKUP($D356,'Modelling New'!$D:$D,'Modelling New'!$P:$P),"")</f>
        <v>6.6838709677419352</v>
      </c>
      <c r="AD356" s="176">
        <f>IFERROR(_xlfn.XLOOKUP($D356,'Modelling New'!$D:$D,'Modelling New'!$T:$T)*1000,"")</f>
        <v>346293.36587598477</v>
      </c>
      <c r="AE356" s="186">
        <f>IFERROR(_xlfn.XLOOKUP($D356,'Modelling New'!$D:$D,'Modelling New'!$O:$O),"")</f>
        <v>0.77612614604342745</v>
      </c>
      <c r="AF356" s="186">
        <f>IFERROR(_xlfn.XLOOKUP($D356,'Modelling New'!$D:$D,'Modelling New'!$W:$W),"")</f>
        <v>0.21614695895187924</v>
      </c>
      <c r="AG356" s="186">
        <f>IFERROR(_xlfn.XLOOKUP($D356,'Modelling New'!$D:$D,'Modelling New'!$AE:$AE),"")</f>
        <v>0.995</v>
      </c>
      <c r="AH356" s="186">
        <f>IFERROR(_xlfn.XLOOKUP($D356,'Modelling New'!$D:$D,'Modelling New'!$AF:$AF),"")</f>
        <v>0.995</v>
      </c>
      <c r="AI356" s="177"/>
      <c r="AJ356" s="177"/>
      <c r="AK356" s="238"/>
      <c r="AL356" s="238"/>
      <c r="AM356" s="238"/>
      <c r="AN356" s="187"/>
      <c r="AO356" s="184"/>
      <c r="AP356" s="184"/>
      <c r="AQ356" s="184"/>
      <c r="AR356" s="176">
        <f>IFERROR(_xlfn.XLOOKUP($D355,'Modelling New'!$D:$D,'Modelling New'!$N:$N),"")</f>
        <v>66.754999999999995</v>
      </c>
      <c r="AS356" s="176"/>
    </row>
    <row r="357" spans="1:45" x14ac:dyDescent="0.25">
      <c r="A357" s="175">
        <f t="shared" si="23"/>
        <v>46100</v>
      </c>
      <c r="B357" s="176">
        <f>YEAR(Table13[[#This Row],[Date]])+IF(MONTH(Table13[[#This Row],[Date]])&gt;=4,1,0)</f>
        <v>2026</v>
      </c>
      <c r="C357" s="177">
        <f>YEAR(Table13[[#This Row],[Date]])</f>
        <v>2026</v>
      </c>
      <c r="D357" s="178">
        <f>Table13[[#This Row],[Date]]-DAY(Table13[[#This Row],[Date]])+1</f>
        <v>46082</v>
      </c>
      <c r="E357" s="177">
        <f t="shared" si="24"/>
        <v>31</v>
      </c>
      <c r="F357" s="179" t="str">
        <f>IFERROR(_xlfn.XLOOKUP($A357,Raw_Data!$B:$B,Raw_Data!$KG:$KG),"")</f>
        <v/>
      </c>
      <c r="G357" s="180" t="str">
        <f>IFERROR(_xlfn.XLOOKUP($A357,Raw_Data!$B:$B,Raw_Data!KH:KH),"")</f>
        <v/>
      </c>
      <c r="H357" s="180"/>
      <c r="I357" s="180" t="str">
        <f>IFERROR(_xlfn.XLOOKUP($A357,Raw_Data!$B:$B,Raw_Data!$KI:$KI),"")</f>
        <v/>
      </c>
      <c r="J357" s="180"/>
      <c r="K357" s="180" t="str">
        <f>IFERROR(_xlfn.XLOOKUP($A357,Raw_Data!$B:$B,Raw_Data!KJ:KJ),"")</f>
        <v/>
      </c>
      <c r="L357" s="180" t="str">
        <f>IFERROR(_xlfn.XLOOKUP($A357,Raw_Data!$B:$B,Raw_Data!KK:KK),"")</f>
        <v/>
      </c>
      <c r="M357" s="180" t="str">
        <f>IFERROR(_xlfn.XLOOKUP($A357,Raw_Data!$B:$B,Raw_Data!KL:KL),"")</f>
        <v/>
      </c>
      <c r="N357" s="180" t="str">
        <f>IFERROR(_xlfn.XLOOKUP($A357,Raw_Data!$B:$B,Raw_Data!KM:KM),"")</f>
        <v/>
      </c>
      <c r="O357" s="181" t="str">
        <f>IFERROR(1-SUMIF(PA!$B:$B,$A357,PA!AJ:AJ)/($AA357+SUMIF(PA!$B:$B,$A357,PA!AJ:AJ)),"")</f>
        <v/>
      </c>
      <c r="P357" s="181"/>
      <c r="Q357" s="182"/>
      <c r="R357" s="181" t="str">
        <f>IFERROR(1-SUMIF(GA!$C:$C,$A357,GA!$X:$X)/($AA357+SUMIF(GA!$C:$C,$A357,GA!$X:$X)),"")</f>
        <v/>
      </c>
      <c r="S357" s="177"/>
      <c r="T357" s="182"/>
      <c r="U357" s="183" t="str">
        <f t="shared" si="25"/>
        <v/>
      </c>
      <c r="V357" s="183" t="str">
        <f>IFERROR(_xlfn.XLOOKUP($A357,Raw_Data!$B:$B,Raw_Data!$KQ:$KQ),"")</f>
        <v/>
      </c>
      <c r="W357" s="184" t="str">
        <f t="shared" si="26"/>
        <v/>
      </c>
      <c r="X357" s="176" t="str">
        <f>IFERROR(_xlfn.XLOOKUP($A357,Raw_Data!$B:$B,Raw_Data!$KN:$KN),"")</f>
        <v/>
      </c>
      <c r="Y357" s="176" t="str">
        <f>IFERROR(_xlfn.XLOOKUP($A357,Raw_Data!$B:$B,Raw_Data!$KC:$KC),"")</f>
        <v/>
      </c>
      <c r="Z357" s="176" t="str">
        <f>IFERROR(_xlfn.XLOOKUP($A357,Raw_Data!$B:$B,Raw_Data!$KD:$KD),"")</f>
        <v/>
      </c>
      <c r="AA357" s="176" t="str">
        <f>IFERROR(_xlfn.XLOOKUP($A357,Raw_Data!$B:$B,Raw_Data!$KF:$KF),"")</f>
        <v/>
      </c>
      <c r="AB357" s="176" t="str">
        <f>IFERROR(_xlfn.XLOOKUP($A357,Raw_Data!$B:$B,Raw_Data!I:I)/1000,"")</f>
        <v/>
      </c>
      <c r="AC357" s="185">
        <f>IFERROR(_xlfn.XLOOKUP($D357,'Modelling New'!$D:$D,'Modelling New'!$P:$P),"")</f>
        <v>6.6838709677419352</v>
      </c>
      <c r="AD357" s="176">
        <f>IFERROR(_xlfn.XLOOKUP($D357,'Modelling New'!$D:$D,'Modelling New'!$T:$T)*1000,"")</f>
        <v>346293.36587598477</v>
      </c>
      <c r="AE357" s="186">
        <f>IFERROR(_xlfn.XLOOKUP($D357,'Modelling New'!$D:$D,'Modelling New'!$O:$O),"")</f>
        <v>0.77612614604342745</v>
      </c>
      <c r="AF357" s="186">
        <f>IFERROR(_xlfn.XLOOKUP($D357,'Modelling New'!$D:$D,'Modelling New'!$W:$W),"")</f>
        <v>0.21614695895187924</v>
      </c>
      <c r="AG357" s="186">
        <f>IFERROR(_xlfn.XLOOKUP($D357,'Modelling New'!$D:$D,'Modelling New'!$AE:$AE),"")</f>
        <v>0.995</v>
      </c>
      <c r="AH357" s="186">
        <f>IFERROR(_xlfn.XLOOKUP($D357,'Modelling New'!$D:$D,'Modelling New'!$AF:$AF),"")</f>
        <v>0.995</v>
      </c>
      <c r="AI357" s="177"/>
      <c r="AJ357" s="177"/>
      <c r="AK357" s="238"/>
      <c r="AL357" s="238"/>
      <c r="AM357" s="238"/>
      <c r="AN357" s="187"/>
      <c r="AO357" s="184"/>
      <c r="AP357" s="184"/>
      <c r="AQ357" s="184"/>
      <c r="AR357" s="176">
        <f>IFERROR(_xlfn.XLOOKUP($D356,'Modelling New'!$D:$D,'Modelling New'!$N:$N),"")</f>
        <v>66.754999999999995</v>
      </c>
      <c r="AS357" s="176"/>
    </row>
    <row r="358" spans="1:45" x14ac:dyDescent="0.25">
      <c r="A358" s="175">
        <f t="shared" si="23"/>
        <v>46101</v>
      </c>
      <c r="B358" s="176">
        <f>YEAR(Table13[[#This Row],[Date]])+IF(MONTH(Table13[[#This Row],[Date]])&gt;=4,1,0)</f>
        <v>2026</v>
      </c>
      <c r="C358" s="177">
        <f>YEAR(Table13[[#This Row],[Date]])</f>
        <v>2026</v>
      </c>
      <c r="D358" s="178">
        <f>Table13[[#This Row],[Date]]-DAY(Table13[[#This Row],[Date]])+1</f>
        <v>46082</v>
      </c>
      <c r="E358" s="177">
        <f t="shared" si="24"/>
        <v>31</v>
      </c>
      <c r="F358" s="179" t="str">
        <f>IFERROR(_xlfn.XLOOKUP($A358,Raw_Data!$B:$B,Raw_Data!$KG:$KG),"")</f>
        <v/>
      </c>
      <c r="G358" s="180" t="str">
        <f>IFERROR(_xlfn.XLOOKUP($A358,Raw_Data!$B:$B,Raw_Data!KH:KH),"")</f>
        <v/>
      </c>
      <c r="H358" s="180"/>
      <c r="I358" s="180" t="str">
        <f>IFERROR(_xlfn.XLOOKUP($A358,Raw_Data!$B:$B,Raw_Data!$KI:$KI),"")</f>
        <v/>
      </c>
      <c r="J358" s="180"/>
      <c r="K358" s="180" t="str">
        <f>IFERROR(_xlfn.XLOOKUP($A358,Raw_Data!$B:$B,Raw_Data!KJ:KJ),"")</f>
        <v/>
      </c>
      <c r="L358" s="180" t="str">
        <f>IFERROR(_xlfn.XLOOKUP($A358,Raw_Data!$B:$B,Raw_Data!KK:KK),"")</f>
        <v/>
      </c>
      <c r="M358" s="180" t="str">
        <f>IFERROR(_xlfn.XLOOKUP($A358,Raw_Data!$B:$B,Raw_Data!KL:KL),"")</f>
        <v/>
      </c>
      <c r="N358" s="180" t="str">
        <f>IFERROR(_xlfn.XLOOKUP($A358,Raw_Data!$B:$B,Raw_Data!KM:KM),"")</f>
        <v/>
      </c>
      <c r="O358" s="181" t="str">
        <f>IFERROR(1-SUMIF(PA!$B:$B,$A358,PA!AJ:AJ)/($AA358+SUMIF(PA!$B:$B,$A358,PA!AJ:AJ)),"")</f>
        <v/>
      </c>
      <c r="P358" s="181"/>
      <c r="Q358" s="182"/>
      <c r="R358" s="181" t="str">
        <f>IFERROR(1-SUMIF(GA!$C:$C,$A358,GA!$X:$X)/($AA358+SUMIF(GA!$C:$C,$A358,GA!$X:$X)),"")</f>
        <v/>
      </c>
      <c r="S358" s="177"/>
      <c r="T358" s="182"/>
      <c r="U358" s="183" t="str">
        <f t="shared" si="25"/>
        <v/>
      </c>
      <c r="V358" s="183" t="str">
        <f>IFERROR(_xlfn.XLOOKUP($A358,Raw_Data!$B:$B,Raw_Data!$KQ:$KQ),"")</f>
        <v/>
      </c>
      <c r="W358" s="184" t="str">
        <f t="shared" si="26"/>
        <v/>
      </c>
      <c r="X358" s="176" t="str">
        <f>IFERROR(_xlfn.XLOOKUP($A358,Raw_Data!$B:$B,Raw_Data!$KN:$KN),"")</f>
        <v/>
      </c>
      <c r="Y358" s="176" t="str">
        <f>IFERROR(_xlfn.XLOOKUP($A358,Raw_Data!$B:$B,Raw_Data!$KC:$KC),"")</f>
        <v/>
      </c>
      <c r="Z358" s="176" t="str">
        <f>IFERROR(_xlfn.XLOOKUP($A358,Raw_Data!$B:$B,Raw_Data!$KD:$KD),"")</f>
        <v/>
      </c>
      <c r="AA358" s="176" t="str">
        <f>IFERROR(_xlfn.XLOOKUP($A358,Raw_Data!$B:$B,Raw_Data!$KF:$KF),"")</f>
        <v/>
      </c>
      <c r="AB358" s="176" t="str">
        <f>IFERROR(_xlfn.XLOOKUP($A358,Raw_Data!$B:$B,Raw_Data!I:I)/1000,"")</f>
        <v/>
      </c>
      <c r="AC358" s="185">
        <f>IFERROR(_xlfn.XLOOKUP($D358,'Modelling New'!$D:$D,'Modelling New'!$P:$P),"")</f>
        <v>6.6838709677419352</v>
      </c>
      <c r="AD358" s="176">
        <f>IFERROR(_xlfn.XLOOKUP($D358,'Modelling New'!$D:$D,'Modelling New'!$T:$T)*1000,"")</f>
        <v>346293.36587598477</v>
      </c>
      <c r="AE358" s="186">
        <f>IFERROR(_xlfn.XLOOKUP($D358,'Modelling New'!$D:$D,'Modelling New'!$O:$O),"")</f>
        <v>0.77612614604342745</v>
      </c>
      <c r="AF358" s="186">
        <f>IFERROR(_xlfn.XLOOKUP($D358,'Modelling New'!$D:$D,'Modelling New'!$W:$W),"")</f>
        <v>0.21614695895187924</v>
      </c>
      <c r="AG358" s="186">
        <f>IFERROR(_xlfn.XLOOKUP($D358,'Modelling New'!$D:$D,'Modelling New'!$AE:$AE),"")</f>
        <v>0.995</v>
      </c>
      <c r="AH358" s="186">
        <f>IFERROR(_xlfn.XLOOKUP($D358,'Modelling New'!$D:$D,'Modelling New'!$AF:$AF),"")</f>
        <v>0.995</v>
      </c>
      <c r="AI358" s="177"/>
      <c r="AJ358" s="177"/>
      <c r="AK358" s="238"/>
      <c r="AL358" s="238"/>
      <c r="AM358" s="238"/>
      <c r="AN358" s="187"/>
      <c r="AO358" s="184"/>
      <c r="AP358" s="184"/>
      <c r="AQ358" s="184"/>
      <c r="AR358" s="176">
        <f>IFERROR(_xlfn.XLOOKUP($D357,'Modelling New'!$D:$D,'Modelling New'!$N:$N),"")</f>
        <v>66.754999999999995</v>
      </c>
      <c r="AS358" s="176"/>
    </row>
    <row r="359" spans="1:45" x14ac:dyDescent="0.25">
      <c r="A359" s="175">
        <f t="shared" si="23"/>
        <v>46102</v>
      </c>
      <c r="B359" s="176">
        <f>YEAR(Table13[[#This Row],[Date]])+IF(MONTH(Table13[[#This Row],[Date]])&gt;=4,1,0)</f>
        <v>2026</v>
      </c>
      <c r="C359" s="177">
        <f>YEAR(Table13[[#This Row],[Date]])</f>
        <v>2026</v>
      </c>
      <c r="D359" s="178">
        <f>Table13[[#This Row],[Date]]-DAY(Table13[[#This Row],[Date]])+1</f>
        <v>46082</v>
      </c>
      <c r="E359" s="177">
        <f t="shared" si="24"/>
        <v>31</v>
      </c>
      <c r="F359" s="179" t="str">
        <f>IFERROR(_xlfn.XLOOKUP($A359,Raw_Data!$B:$B,Raw_Data!$KG:$KG),"")</f>
        <v/>
      </c>
      <c r="G359" s="180" t="str">
        <f>IFERROR(_xlfn.XLOOKUP($A359,Raw_Data!$B:$B,Raw_Data!KH:KH),"")</f>
        <v/>
      </c>
      <c r="H359" s="180"/>
      <c r="I359" s="180" t="str">
        <f>IFERROR(_xlfn.XLOOKUP($A359,Raw_Data!$B:$B,Raw_Data!$KI:$KI),"")</f>
        <v/>
      </c>
      <c r="J359" s="180"/>
      <c r="K359" s="180" t="str">
        <f>IFERROR(_xlfn.XLOOKUP($A359,Raw_Data!$B:$B,Raw_Data!KJ:KJ),"")</f>
        <v/>
      </c>
      <c r="L359" s="180" t="str">
        <f>IFERROR(_xlfn.XLOOKUP($A359,Raw_Data!$B:$B,Raw_Data!KK:KK),"")</f>
        <v/>
      </c>
      <c r="M359" s="180" t="str">
        <f>IFERROR(_xlfn.XLOOKUP($A359,Raw_Data!$B:$B,Raw_Data!KL:KL),"")</f>
        <v/>
      </c>
      <c r="N359" s="180" t="str">
        <f>IFERROR(_xlfn.XLOOKUP($A359,Raw_Data!$B:$B,Raw_Data!KM:KM),"")</f>
        <v/>
      </c>
      <c r="O359" s="181" t="str">
        <f>IFERROR(1-SUMIF(PA!$B:$B,$A359,PA!AJ:AJ)/($AA359+SUMIF(PA!$B:$B,$A359,PA!AJ:AJ)),"")</f>
        <v/>
      </c>
      <c r="P359" s="181"/>
      <c r="Q359" s="182"/>
      <c r="R359" s="181" t="str">
        <f>IFERROR(1-SUMIF(GA!$C:$C,$A359,GA!$X:$X)/($AA359+SUMIF(GA!$C:$C,$A359,GA!$X:$X)),"")</f>
        <v/>
      </c>
      <c r="S359" s="177"/>
      <c r="T359" s="182"/>
      <c r="U359" s="183" t="str">
        <f t="shared" si="25"/>
        <v/>
      </c>
      <c r="V359" s="183" t="str">
        <f>IFERROR(_xlfn.XLOOKUP($A359,Raw_Data!$B:$B,Raw_Data!$KQ:$KQ),"")</f>
        <v/>
      </c>
      <c r="W359" s="184" t="str">
        <f t="shared" si="26"/>
        <v/>
      </c>
      <c r="X359" s="176" t="str">
        <f>IFERROR(_xlfn.XLOOKUP($A359,Raw_Data!$B:$B,Raw_Data!$KN:$KN),"")</f>
        <v/>
      </c>
      <c r="Y359" s="176" t="str">
        <f>IFERROR(_xlfn.XLOOKUP($A359,Raw_Data!$B:$B,Raw_Data!$KC:$KC),"")</f>
        <v/>
      </c>
      <c r="Z359" s="176" t="str">
        <f>IFERROR(_xlfn.XLOOKUP($A359,Raw_Data!$B:$B,Raw_Data!$KD:$KD),"")</f>
        <v/>
      </c>
      <c r="AA359" s="176" t="str">
        <f>IFERROR(_xlfn.XLOOKUP($A359,Raw_Data!$B:$B,Raw_Data!$KF:$KF),"")</f>
        <v/>
      </c>
      <c r="AB359" s="176" t="str">
        <f>IFERROR(_xlfn.XLOOKUP($A359,Raw_Data!$B:$B,Raw_Data!I:I)/1000,"")</f>
        <v/>
      </c>
      <c r="AC359" s="185">
        <f>IFERROR(_xlfn.XLOOKUP($D359,'Modelling New'!$D:$D,'Modelling New'!$P:$P),"")</f>
        <v>6.6838709677419352</v>
      </c>
      <c r="AD359" s="176">
        <f>IFERROR(_xlfn.XLOOKUP($D359,'Modelling New'!$D:$D,'Modelling New'!$T:$T)*1000,"")</f>
        <v>346293.36587598477</v>
      </c>
      <c r="AE359" s="186">
        <f>IFERROR(_xlfn.XLOOKUP($D359,'Modelling New'!$D:$D,'Modelling New'!$O:$O),"")</f>
        <v>0.77612614604342745</v>
      </c>
      <c r="AF359" s="186">
        <f>IFERROR(_xlfn.XLOOKUP($D359,'Modelling New'!$D:$D,'Modelling New'!$W:$W),"")</f>
        <v>0.21614695895187924</v>
      </c>
      <c r="AG359" s="186">
        <f>IFERROR(_xlfn.XLOOKUP($D359,'Modelling New'!$D:$D,'Modelling New'!$AE:$AE),"")</f>
        <v>0.995</v>
      </c>
      <c r="AH359" s="186">
        <f>IFERROR(_xlfn.XLOOKUP($D359,'Modelling New'!$D:$D,'Modelling New'!$AF:$AF),"")</f>
        <v>0.995</v>
      </c>
      <c r="AI359" s="177"/>
      <c r="AJ359" s="177"/>
      <c r="AK359" s="238"/>
      <c r="AL359" s="238"/>
      <c r="AM359" s="238"/>
      <c r="AN359" s="187"/>
      <c r="AO359" s="184"/>
      <c r="AP359" s="184"/>
      <c r="AQ359" s="184"/>
      <c r="AR359" s="176">
        <f>IFERROR(_xlfn.XLOOKUP($D358,'Modelling New'!$D:$D,'Modelling New'!$N:$N),"")</f>
        <v>66.754999999999995</v>
      </c>
      <c r="AS359" s="176"/>
    </row>
    <row r="360" spans="1:45" x14ac:dyDescent="0.25">
      <c r="A360" s="175">
        <f t="shared" si="23"/>
        <v>46103</v>
      </c>
      <c r="B360" s="176">
        <f>YEAR(Table13[[#This Row],[Date]])+IF(MONTH(Table13[[#This Row],[Date]])&gt;=4,1,0)</f>
        <v>2026</v>
      </c>
      <c r="C360" s="177">
        <f>YEAR(Table13[[#This Row],[Date]])</f>
        <v>2026</v>
      </c>
      <c r="D360" s="178">
        <f>Table13[[#This Row],[Date]]-DAY(Table13[[#This Row],[Date]])+1</f>
        <v>46082</v>
      </c>
      <c r="E360" s="177">
        <f t="shared" si="24"/>
        <v>31</v>
      </c>
      <c r="F360" s="179" t="str">
        <f>IFERROR(_xlfn.XLOOKUP($A360,Raw_Data!$B:$B,Raw_Data!$KG:$KG),"")</f>
        <v/>
      </c>
      <c r="G360" s="180" t="str">
        <f>IFERROR(_xlfn.XLOOKUP($A360,Raw_Data!$B:$B,Raw_Data!KH:KH),"")</f>
        <v/>
      </c>
      <c r="H360" s="180"/>
      <c r="I360" s="180" t="str">
        <f>IFERROR(_xlfn.XLOOKUP($A360,Raw_Data!$B:$B,Raw_Data!$KI:$KI),"")</f>
        <v/>
      </c>
      <c r="J360" s="180"/>
      <c r="K360" s="180" t="str">
        <f>IFERROR(_xlfn.XLOOKUP($A360,Raw_Data!$B:$B,Raw_Data!KJ:KJ),"")</f>
        <v/>
      </c>
      <c r="L360" s="180" t="str">
        <f>IFERROR(_xlfn.XLOOKUP($A360,Raw_Data!$B:$B,Raw_Data!KK:KK),"")</f>
        <v/>
      </c>
      <c r="M360" s="180" t="str">
        <f>IFERROR(_xlfn.XLOOKUP($A360,Raw_Data!$B:$B,Raw_Data!KL:KL),"")</f>
        <v/>
      </c>
      <c r="N360" s="180" t="str">
        <f>IFERROR(_xlfn.XLOOKUP($A360,Raw_Data!$B:$B,Raw_Data!KM:KM),"")</f>
        <v/>
      </c>
      <c r="O360" s="181" t="str">
        <f>IFERROR(1-SUMIF(PA!$B:$B,$A360,PA!AJ:AJ)/($AA360+SUMIF(PA!$B:$B,$A360,PA!AJ:AJ)),"")</f>
        <v/>
      </c>
      <c r="P360" s="181"/>
      <c r="Q360" s="182"/>
      <c r="R360" s="181" t="str">
        <f>IFERROR(1-SUMIF(GA!$C:$C,$A360,GA!$X:$X)/($AA360+SUMIF(GA!$C:$C,$A360,GA!$X:$X)),"")</f>
        <v/>
      </c>
      <c r="S360" s="177"/>
      <c r="T360" s="182"/>
      <c r="U360" s="183" t="str">
        <f t="shared" si="25"/>
        <v/>
      </c>
      <c r="V360" s="183" t="str">
        <f>IFERROR(_xlfn.XLOOKUP($A360,Raw_Data!$B:$B,Raw_Data!$KQ:$KQ),"")</f>
        <v/>
      </c>
      <c r="W360" s="184" t="str">
        <f t="shared" si="26"/>
        <v/>
      </c>
      <c r="X360" s="176" t="str">
        <f>IFERROR(_xlfn.XLOOKUP($A360,Raw_Data!$B:$B,Raw_Data!$KN:$KN),"")</f>
        <v/>
      </c>
      <c r="Y360" s="176" t="str">
        <f>IFERROR(_xlfn.XLOOKUP($A360,Raw_Data!$B:$B,Raw_Data!$KC:$KC),"")</f>
        <v/>
      </c>
      <c r="Z360" s="176" t="str">
        <f>IFERROR(_xlfn.XLOOKUP($A360,Raw_Data!$B:$B,Raw_Data!$KD:$KD),"")</f>
        <v/>
      </c>
      <c r="AA360" s="176" t="str">
        <f>IFERROR(_xlfn.XLOOKUP($A360,Raw_Data!$B:$B,Raw_Data!$KF:$KF),"")</f>
        <v/>
      </c>
      <c r="AB360" s="176" t="str">
        <f>IFERROR(_xlfn.XLOOKUP($A360,Raw_Data!$B:$B,Raw_Data!I:I)/1000,"")</f>
        <v/>
      </c>
      <c r="AC360" s="185">
        <f>IFERROR(_xlfn.XLOOKUP($D360,'Modelling New'!$D:$D,'Modelling New'!$P:$P),"")</f>
        <v>6.6838709677419352</v>
      </c>
      <c r="AD360" s="176">
        <f>IFERROR(_xlfn.XLOOKUP($D360,'Modelling New'!$D:$D,'Modelling New'!$T:$T)*1000,"")</f>
        <v>346293.36587598477</v>
      </c>
      <c r="AE360" s="186">
        <f>IFERROR(_xlfn.XLOOKUP($D360,'Modelling New'!$D:$D,'Modelling New'!$O:$O),"")</f>
        <v>0.77612614604342745</v>
      </c>
      <c r="AF360" s="186">
        <f>IFERROR(_xlfn.XLOOKUP($D360,'Modelling New'!$D:$D,'Modelling New'!$W:$W),"")</f>
        <v>0.21614695895187924</v>
      </c>
      <c r="AG360" s="186">
        <f>IFERROR(_xlfn.XLOOKUP($D360,'Modelling New'!$D:$D,'Modelling New'!$AE:$AE),"")</f>
        <v>0.995</v>
      </c>
      <c r="AH360" s="186">
        <f>IFERROR(_xlfn.XLOOKUP($D360,'Modelling New'!$D:$D,'Modelling New'!$AF:$AF),"")</f>
        <v>0.995</v>
      </c>
      <c r="AI360" s="177"/>
      <c r="AJ360" s="177"/>
      <c r="AK360" s="238"/>
      <c r="AL360" s="238"/>
      <c r="AM360" s="238"/>
      <c r="AN360" s="187"/>
      <c r="AO360" s="184"/>
      <c r="AP360" s="184"/>
      <c r="AQ360" s="184"/>
      <c r="AR360" s="176">
        <f>IFERROR(_xlfn.XLOOKUP($D359,'Modelling New'!$D:$D,'Modelling New'!$N:$N),"")</f>
        <v>66.754999999999995</v>
      </c>
      <c r="AS360" s="176"/>
    </row>
    <row r="361" spans="1:45" x14ac:dyDescent="0.25">
      <c r="A361" s="175">
        <f t="shared" si="23"/>
        <v>46104</v>
      </c>
      <c r="B361" s="176">
        <f>YEAR(Table13[[#This Row],[Date]])+IF(MONTH(Table13[[#This Row],[Date]])&gt;=4,1,0)</f>
        <v>2026</v>
      </c>
      <c r="C361" s="177">
        <f>YEAR(Table13[[#This Row],[Date]])</f>
        <v>2026</v>
      </c>
      <c r="D361" s="178">
        <f>Table13[[#This Row],[Date]]-DAY(Table13[[#This Row],[Date]])+1</f>
        <v>46082</v>
      </c>
      <c r="E361" s="177">
        <f t="shared" si="24"/>
        <v>31</v>
      </c>
      <c r="F361" s="179" t="str">
        <f>IFERROR(_xlfn.XLOOKUP($A361,Raw_Data!$B:$B,Raw_Data!$KG:$KG),"")</f>
        <v/>
      </c>
      <c r="G361" s="180" t="str">
        <f>IFERROR(_xlfn.XLOOKUP($A361,Raw_Data!$B:$B,Raw_Data!KH:KH),"")</f>
        <v/>
      </c>
      <c r="H361" s="180"/>
      <c r="I361" s="180" t="str">
        <f>IFERROR(_xlfn.XLOOKUP($A361,Raw_Data!$B:$B,Raw_Data!$KI:$KI),"")</f>
        <v/>
      </c>
      <c r="J361" s="180"/>
      <c r="K361" s="180" t="str">
        <f>IFERROR(_xlfn.XLOOKUP($A361,Raw_Data!$B:$B,Raw_Data!KJ:KJ),"")</f>
        <v/>
      </c>
      <c r="L361" s="180" t="str">
        <f>IFERROR(_xlfn.XLOOKUP($A361,Raw_Data!$B:$B,Raw_Data!KK:KK),"")</f>
        <v/>
      </c>
      <c r="M361" s="180" t="str">
        <f>IFERROR(_xlfn.XLOOKUP($A361,Raw_Data!$B:$B,Raw_Data!KL:KL),"")</f>
        <v/>
      </c>
      <c r="N361" s="180" t="str">
        <f>IFERROR(_xlfn.XLOOKUP($A361,Raw_Data!$B:$B,Raw_Data!KM:KM),"")</f>
        <v/>
      </c>
      <c r="O361" s="181" t="str">
        <f>IFERROR(1-SUMIF(PA!$B:$B,$A361,PA!AJ:AJ)/($AA361+SUMIF(PA!$B:$B,$A361,PA!AJ:AJ)),"")</f>
        <v/>
      </c>
      <c r="P361" s="181"/>
      <c r="Q361" s="182"/>
      <c r="R361" s="181" t="str">
        <f>IFERROR(1-SUMIF(GA!$C:$C,$A361,GA!$X:$X)/($AA361+SUMIF(GA!$C:$C,$A361,GA!$X:$X)),"")</f>
        <v/>
      </c>
      <c r="S361" s="177"/>
      <c r="T361" s="182"/>
      <c r="U361" s="183" t="str">
        <f t="shared" si="25"/>
        <v/>
      </c>
      <c r="V361" s="183" t="str">
        <f>IFERROR(_xlfn.XLOOKUP($A361,Raw_Data!$B:$B,Raw_Data!$KQ:$KQ),"")</f>
        <v/>
      </c>
      <c r="W361" s="184" t="str">
        <f t="shared" si="26"/>
        <v/>
      </c>
      <c r="X361" s="176" t="str">
        <f>IFERROR(_xlfn.XLOOKUP($A361,Raw_Data!$B:$B,Raw_Data!$KN:$KN),"")</f>
        <v/>
      </c>
      <c r="Y361" s="176" t="str">
        <f>IFERROR(_xlfn.XLOOKUP($A361,Raw_Data!$B:$B,Raw_Data!$KC:$KC),"")</f>
        <v/>
      </c>
      <c r="Z361" s="176" t="str">
        <f>IFERROR(_xlfn.XLOOKUP($A361,Raw_Data!$B:$B,Raw_Data!$KD:$KD),"")</f>
        <v/>
      </c>
      <c r="AA361" s="176" t="str">
        <f>IFERROR(_xlfn.XLOOKUP($A361,Raw_Data!$B:$B,Raw_Data!$KF:$KF),"")</f>
        <v/>
      </c>
      <c r="AB361" s="176" t="str">
        <f>IFERROR(_xlfn.XLOOKUP($A361,Raw_Data!$B:$B,Raw_Data!I:I)/1000,"")</f>
        <v/>
      </c>
      <c r="AC361" s="185">
        <f>IFERROR(_xlfn.XLOOKUP($D361,'Modelling New'!$D:$D,'Modelling New'!$P:$P),"")</f>
        <v>6.6838709677419352</v>
      </c>
      <c r="AD361" s="176">
        <f>IFERROR(_xlfn.XLOOKUP($D361,'Modelling New'!$D:$D,'Modelling New'!$T:$T)*1000,"")</f>
        <v>346293.36587598477</v>
      </c>
      <c r="AE361" s="186">
        <f>IFERROR(_xlfn.XLOOKUP($D361,'Modelling New'!$D:$D,'Modelling New'!$O:$O),"")</f>
        <v>0.77612614604342745</v>
      </c>
      <c r="AF361" s="186">
        <f>IFERROR(_xlfn.XLOOKUP($D361,'Modelling New'!$D:$D,'Modelling New'!$W:$W),"")</f>
        <v>0.21614695895187924</v>
      </c>
      <c r="AG361" s="186">
        <f>IFERROR(_xlfn.XLOOKUP($D361,'Modelling New'!$D:$D,'Modelling New'!$AE:$AE),"")</f>
        <v>0.995</v>
      </c>
      <c r="AH361" s="186">
        <f>IFERROR(_xlfn.XLOOKUP($D361,'Modelling New'!$D:$D,'Modelling New'!$AF:$AF),"")</f>
        <v>0.995</v>
      </c>
      <c r="AI361" s="177"/>
      <c r="AJ361" s="177"/>
      <c r="AK361" s="238"/>
      <c r="AL361" s="238"/>
      <c r="AM361" s="238"/>
      <c r="AN361" s="187"/>
      <c r="AO361" s="184"/>
      <c r="AP361" s="184"/>
      <c r="AQ361" s="184"/>
      <c r="AR361" s="176">
        <f>IFERROR(_xlfn.XLOOKUP($D360,'Modelling New'!$D:$D,'Modelling New'!$N:$N),"")</f>
        <v>66.754999999999995</v>
      </c>
      <c r="AS361" s="176"/>
    </row>
    <row r="362" spans="1:45" x14ac:dyDescent="0.25">
      <c r="A362" s="175">
        <f t="shared" si="23"/>
        <v>46105</v>
      </c>
      <c r="B362" s="176">
        <f>YEAR(Table13[[#This Row],[Date]])+IF(MONTH(Table13[[#This Row],[Date]])&gt;=4,1,0)</f>
        <v>2026</v>
      </c>
      <c r="C362" s="177">
        <f>YEAR(Table13[[#This Row],[Date]])</f>
        <v>2026</v>
      </c>
      <c r="D362" s="178">
        <f>Table13[[#This Row],[Date]]-DAY(Table13[[#This Row],[Date]])+1</f>
        <v>46082</v>
      </c>
      <c r="E362" s="177">
        <f t="shared" si="24"/>
        <v>31</v>
      </c>
      <c r="F362" s="179" t="str">
        <f>IFERROR(_xlfn.XLOOKUP($A362,Raw_Data!$B:$B,Raw_Data!$KG:$KG),"")</f>
        <v/>
      </c>
      <c r="G362" s="180" t="str">
        <f>IFERROR(_xlfn.XLOOKUP($A362,Raw_Data!$B:$B,Raw_Data!KH:KH),"")</f>
        <v/>
      </c>
      <c r="H362" s="180"/>
      <c r="I362" s="180" t="str">
        <f>IFERROR(_xlfn.XLOOKUP($A362,Raw_Data!$B:$B,Raw_Data!$KI:$KI),"")</f>
        <v/>
      </c>
      <c r="J362" s="180"/>
      <c r="K362" s="180" t="str">
        <f>IFERROR(_xlfn.XLOOKUP($A362,Raw_Data!$B:$B,Raw_Data!KJ:KJ),"")</f>
        <v/>
      </c>
      <c r="L362" s="180" t="str">
        <f>IFERROR(_xlfn.XLOOKUP($A362,Raw_Data!$B:$B,Raw_Data!KK:KK),"")</f>
        <v/>
      </c>
      <c r="M362" s="180" t="str">
        <f>IFERROR(_xlfn.XLOOKUP($A362,Raw_Data!$B:$B,Raw_Data!KL:KL),"")</f>
        <v/>
      </c>
      <c r="N362" s="180" t="str">
        <f>IFERROR(_xlfn.XLOOKUP($A362,Raw_Data!$B:$B,Raw_Data!KM:KM),"")</f>
        <v/>
      </c>
      <c r="O362" s="181" t="str">
        <f>IFERROR(1-SUMIF(PA!$B:$B,$A362,PA!AJ:AJ)/($AA362+SUMIF(PA!$B:$B,$A362,PA!AJ:AJ)),"")</f>
        <v/>
      </c>
      <c r="P362" s="181"/>
      <c r="Q362" s="182"/>
      <c r="R362" s="181" t="str">
        <f>IFERROR(1-SUMIF(GA!$C:$C,$A362,GA!$X:$X)/($AA362+SUMIF(GA!$C:$C,$A362,GA!$X:$X)),"")</f>
        <v/>
      </c>
      <c r="S362" s="177"/>
      <c r="T362" s="182"/>
      <c r="U362" s="183" t="str">
        <f t="shared" si="25"/>
        <v/>
      </c>
      <c r="V362" s="183" t="str">
        <f>IFERROR(_xlfn.XLOOKUP($A362,Raw_Data!$B:$B,Raw_Data!$KQ:$KQ),"")</f>
        <v/>
      </c>
      <c r="W362" s="184" t="str">
        <f t="shared" si="26"/>
        <v/>
      </c>
      <c r="X362" s="176" t="str">
        <f>IFERROR(_xlfn.XLOOKUP($A362,Raw_Data!$B:$B,Raw_Data!$KN:$KN),"")</f>
        <v/>
      </c>
      <c r="Y362" s="176" t="str">
        <f>IFERROR(_xlfn.XLOOKUP($A362,Raw_Data!$B:$B,Raw_Data!$KC:$KC),"")</f>
        <v/>
      </c>
      <c r="Z362" s="176" t="str">
        <f>IFERROR(_xlfn.XLOOKUP($A362,Raw_Data!$B:$B,Raw_Data!$KD:$KD),"")</f>
        <v/>
      </c>
      <c r="AA362" s="176" t="str">
        <f>IFERROR(_xlfn.XLOOKUP($A362,Raw_Data!$B:$B,Raw_Data!$KF:$KF),"")</f>
        <v/>
      </c>
      <c r="AB362" s="176" t="str">
        <f>IFERROR(_xlfn.XLOOKUP($A362,Raw_Data!$B:$B,Raw_Data!I:I)/1000,"")</f>
        <v/>
      </c>
      <c r="AC362" s="185">
        <f>IFERROR(_xlfn.XLOOKUP($D362,'Modelling New'!$D:$D,'Modelling New'!$P:$P),"")</f>
        <v>6.6838709677419352</v>
      </c>
      <c r="AD362" s="176">
        <f>IFERROR(_xlfn.XLOOKUP($D362,'Modelling New'!$D:$D,'Modelling New'!$T:$T)*1000,"")</f>
        <v>346293.36587598477</v>
      </c>
      <c r="AE362" s="186">
        <f>IFERROR(_xlfn.XLOOKUP($D362,'Modelling New'!$D:$D,'Modelling New'!$O:$O),"")</f>
        <v>0.77612614604342745</v>
      </c>
      <c r="AF362" s="186">
        <f>IFERROR(_xlfn.XLOOKUP($D362,'Modelling New'!$D:$D,'Modelling New'!$W:$W),"")</f>
        <v>0.21614695895187924</v>
      </c>
      <c r="AG362" s="186">
        <f>IFERROR(_xlfn.XLOOKUP($D362,'Modelling New'!$D:$D,'Modelling New'!$AE:$AE),"")</f>
        <v>0.995</v>
      </c>
      <c r="AH362" s="186">
        <f>IFERROR(_xlfn.XLOOKUP($D362,'Modelling New'!$D:$D,'Modelling New'!$AF:$AF),"")</f>
        <v>0.995</v>
      </c>
      <c r="AI362" s="177"/>
      <c r="AJ362" s="177"/>
      <c r="AK362" s="238"/>
      <c r="AL362" s="238"/>
      <c r="AM362" s="238"/>
      <c r="AN362" s="187"/>
      <c r="AO362" s="184"/>
      <c r="AP362" s="184"/>
      <c r="AQ362" s="184"/>
      <c r="AR362" s="176">
        <f>IFERROR(_xlfn.XLOOKUP($D361,'Modelling New'!$D:$D,'Modelling New'!$N:$N),"")</f>
        <v>66.754999999999995</v>
      </c>
      <c r="AS362" s="176"/>
    </row>
    <row r="363" spans="1:45" x14ac:dyDescent="0.25">
      <c r="A363" s="175">
        <f t="shared" si="23"/>
        <v>46106</v>
      </c>
      <c r="B363" s="176">
        <f>YEAR(Table13[[#This Row],[Date]])+IF(MONTH(Table13[[#This Row],[Date]])&gt;=4,1,0)</f>
        <v>2026</v>
      </c>
      <c r="C363" s="177">
        <f>YEAR(Table13[[#This Row],[Date]])</f>
        <v>2026</v>
      </c>
      <c r="D363" s="178">
        <f>Table13[[#This Row],[Date]]-DAY(Table13[[#This Row],[Date]])+1</f>
        <v>46082</v>
      </c>
      <c r="E363" s="177">
        <f t="shared" si="24"/>
        <v>31</v>
      </c>
      <c r="F363" s="179" t="str">
        <f>IFERROR(_xlfn.XLOOKUP($A363,Raw_Data!$B:$B,Raw_Data!$KG:$KG),"")</f>
        <v/>
      </c>
      <c r="G363" s="180" t="str">
        <f>IFERROR(_xlfn.XLOOKUP($A363,Raw_Data!$B:$B,Raw_Data!KH:KH),"")</f>
        <v/>
      </c>
      <c r="H363" s="180"/>
      <c r="I363" s="180" t="str">
        <f>IFERROR(_xlfn.XLOOKUP($A363,Raw_Data!$B:$B,Raw_Data!$KI:$KI),"")</f>
        <v/>
      </c>
      <c r="J363" s="180"/>
      <c r="K363" s="180" t="str">
        <f>IFERROR(_xlfn.XLOOKUP($A363,Raw_Data!$B:$B,Raw_Data!KJ:KJ),"")</f>
        <v/>
      </c>
      <c r="L363" s="180" t="str">
        <f>IFERROR(_xlfn.XLOOKUP($A363,Raw_Data!$B:$B,Raw_Data!KK:KK),"")</f>
        <v/>
      </c>
      <c r="M363" s="180" t="str">
        <f>IFERROR(_xlfn.XLOOKUP($A363,Raw_Data!$B:$B,Raw_Data!KL:KL),"")</f>
        <v/>
      </c>
      <c r="N363" s="180" t="str">
        <f>IFERROR(_xlfn.XLOOKUP($A363,Raw_Data!$B:$B,Raw_Data!KM:KM),"")</f>
        <v/>
      </c>
      <c r="O363" s="181" t="str">
        <f>IFERROR(1-SUMIF(PA!$B:$B,$A363,PA!AJ:AJ)/($AA363+SUMIF(PA!$B:$B,$A363,PA!AJ:AJ)),"")</f>
        <v/>
      </c>
      <c r="P363" s="181"/>
      <c r="Q363" s="182"/>
      <c r="R363" s="181" t="str">
        <f>IFERROR(1-SUMIF(GA!$C:$C,$A363,GA!$X:$X)/($AA363+SUMIF(GA!$C:$C,$A363,GA!$X:$X)),"")</f>
        <v/>
      </c>
      <c r="S363" s="177"/>
      <c r="T363" s="182"/>
      <c r="U363" s="183" t="str">
        <f t="shared" si="25"/>
        <v/>
      </c>
      <c r="V363" s="183" t="str">
        <f>IFERROR(_xlfn.XLOOKUP($A363,Raw_Data!$B:$B,Raw_Data!$KQ:$KQ),"")</f>
        <v/>
      </c>
      <c r="W363" s="184" t="str">
        <f t="shared" si="26"/>
        <v/>
      </c>
      <c r="X363" s="176" t="str">
        <f>IFERROR(_xlfn.XLOOKUP($A363,Raw_Data!$B:$B,Raw_Data!$KN:$KN),"")</f>
        <v/>
      </c>
      <c r="Y363" s="176" t="str">
        <f>IFERROR(_xlfn.XLOOKUP($A363,Raw_Data!$B:$B,Raw_Data!$KC:$KC),"")</f>
        <v/>
      </c>
      <c r="Z363" s="176" t="str">
        <f>IFERROR(_xlfn.XLOOKUP($A363,Raw_Data!$B:$B,Raw_Data!$KD:$KD),"")</f>
        <v/>
      </c>
      <c r="AA363" s="176" t="str">
        <f>IFERROR(_xlfn.XLOOKUP($A363,Raw_Data!$B:$B,Raw_Data!$KF:$KF),"")</f>
        <v/>
      </c>
      <c r="AB363" s="176" t="str">
        <f>IFERROR(_xlfn.XLOOKUP($A363,Raw_Data!$B:$B,Raw_Data!I:I)/1000,"")</f>
        <v/>
      </c>
      <c r="AC363" s="185">
        <f>IFERROR(_xlfn.XLOOKUP($D363,'Modelling New'!$D:$D,'Modelling New'!$P:$P),"")</f>
        <v>6.6838709677419352</v>
      </c>
      <c r="AD363" s="176">
        <f>IFERROR(_xlfn.XLOOKUP($D363,'Modelling New'!$D:$D,'Modelling New'!$T:$T)*1000,"")</f>
        <v>346293.36587598477</v>
      </c>
      <c r="AE363" s="186">
        <f>IFERROR(_xlfn.XLOOKUP($D363,'Modelling New'!$D:$D,'Modelling New'!$O:$O),"")</f>
        <v>0.77612614604342745</v>
      </c>
      <c r="AF363" s="186">
        <f>IFERROR(_xlfn.XLOOKUP($D363,'Modelling New'!$D:$D,'Modelling New'!$W:$W),"")</f>
        <v>0.21614695895187924</v>
      </c>
      <c r="AG363" s="186">
        <f>IFERROR(_xlfn.XLOOKUP($D363,'Modelling New'!$D:$D,'Modelling New'!$AE:$AE),"")</f>
        <v>0.995</v>
      </c>
      <c r="AH363" s="186">
        <f>IFERROR(_xlfn.XLOOKUP($D363,'Modelling New'!$D:$D,'Modelling New'!$AF:$AF),"")</f>
        <v>0.995</v>
      </c>
      <c r="AI363" s="177"/>
      <c r="AJ363" s="177"/>
      <c r="AK363" s="238"/>
      <c r="AL363" s="238"/>
      <c r="AM363" s="238"/>
      <c r="AN363" s="187"/>
      <c r="AO363" s="184"/>
      <c r="AP363" s="184"/>
      <c r="AQ363" s="184"/>
      <c r="AR363" s="176">
        <f>IFERROR(_xlfn.XLOOKUP($D362,'Modelling New'!$D:$D,'Modelling New'!$N:$N),"")</f>
        <v>66.754999999999995</v>
      </c>
      <c r="AS363" s="176"/>
    </row>
    <row r="364" spans="1:45" x14ac:dyDescent="0.25">
      <c r="A364" s="175">
        <f t="shared" si="23"/>
        <v>46107</v>
      </c>
      <c r="B364" s="176">
        <f>YEAR(Table13[[#This Row],[Date]])+IF(MONTH(Table13[[#This Row],[Date]])&gt;=4,1,0)</f>
        <v>2026</v>
      </c>
      <c r="C364" s="177">
        <f>YEAR(Table13[[#This Row],[Date]])</f>
        <v>2026</v>
      </c>
      <c r="D364" s="178">
        <f>Table13[[#This Row],[Date]]-DAY(Table13[[#This Row],[Date]])+1</f>
        <v>46082</v>
      </c>
      <c r="E364" s="177">
        <f t="shared" si="24"/>
        <v>31</v>
      </c>
      <c r="F364" s="179" t="str">
        <f>IFERROR(_xlfn.XLOOKUP($A364,Raw_Data!$B:$B,Raw_Data!$KG:$KG),"")</f>
        <v/>
      </c>
      <c r="G364" s="180" t="str">
        <f>IFERROR(_xlfn.XLOOKUP($A364,Raw_Data!$B:$B,Raw_Data!KH:KH),"")</f>
        <v/>
      </c>
      <c r="H364" s="180"/>
      <c r="I364" s="180" t="str">
        <f>IFERROR(_xlfn.XLOOKUP($A364,Raw_Data!$B:$B,Raw_Data!$KI:$KI),"")</f>
        <v/>
      </c>
      <c r="J364" s="180"/>
      <c r="K364" s="180" t="str">
        <f>IFERROR(_xlfn.XLOOKUP($A364,Raw_Data!$B:$B,Raw_Data!KJ:KJ),"")</f>
        <v/>
      </c>
      <c r="L364" s="180" t="str">
        <f>IFERROR(_xlfn.XLOOKUP($A364,Raw_Data!$B:$B,Raw_Data!KK:KK),"")</f>
        <v/>
      </c>
      <c r="M364" s="180" t="str">
        <f>IFERROR(_xlfn.XLOOKUP($A364,Raw_Data!$B:$B,Raw_Data!KL:KL),"")</f>
        <v/>
      </c>
      <c r="N364" s="180" t="str">
        <f>IFERROR(_xlfn.XLOOKUP($A364,Raw_Data!$B:$B,Raw_Data!KM:KM),"")</f>
        <v/>
      </c>
      <c r="O364" s="181" t="str">
        <f>IFERROR(1-SUMIF(PA!$B:$B,$A364,PA!AJ:AJ)/($AA364+SUMIF(PA!$B:$B,$A364,PA!AJ:AJ)),"")</f>
        <v/>
      </c>
      <c r="P364" s="181"/>
      <c r="Q364" s="182"/>
      <c r="R364" s="181" t="str">
        <f>IFERROR(1-SUMIF(GA!$C:$C,$A364,GA!$X:$X)/($AA364+SUMIF(GA!$C:$C,$A364,GA!$X:$X)),"")</f>
        <v/>
      </c>
      <c r="S364" s="177"/>
      <c r="T364" s="182"/>
      <c r="U364" s="183" t="str">
        <f t="shared" si="25"/>
        <v/>
      </c>
      <c r="V364" s="183" t="str">
        <f>IFERROR(_xlfn.XLOOKUP($A364,Raw_Data!$B:$B,Raw_Data!$KQ:$KQ),"")</f>
        <v/>
      </c>
      <c r="W364" s="184" t="str">
        <f t="shared" si="26"/>
        <v/>
      </c>
      <c r="X364" s="176" t="str">
        <f>IFERROR(_xlfn.XLOOKUP($A364,Raw_Data!$B:$B,Raw_Data!$KN:$KN),"")</f>
        <v/>
      </c>
      <c r="Y364" s="176" t="str">
        <f>IFERROR(_xlfn.XLOOKUP($A364,Raw_Data!$B:$B,Raw_Data!$KC:$KC),"")</f>
        <v/>
      </c>
      <c r="Z364" s="176" t="str">
        <f>IFERROR(_xlfn.XLOOKUP($A364,Raw_Data!$B:$B,Raw_Data!$KD:$KD),"")</f>
        <v/>
      </c>
      <c r="AA364" s="176" t="str">
        <f>IFERROR(_xlfn.XLOOKUP($A364,Raw_Data!$B:$B,Raw_Data!$KF:$KF),"")</f>
        <v/>
      </c>
      <c r="AB364" s="176" t="str">
        <f>IFERROR(_xlfn.XLOOKUP($A364,Raw_Data!$B:$B,Raw_Data!I:I)/1000,"")</f>
        <v/>
      </c>
      <c r="AC364" s="185">
        <f>IFERROR(_xlfn.XLOOKUP($D364,'Modelling New'!$D:$D,'Modelling New'!$P:$P),"")</f>
        <v>6.6838709677419352</v>
      </c>
      <c r="AD364" s="176">
        <f>IFERROR(_xlfn.XLOOKUP($D364,'Modelling New'!$D:$D,'Modelling New'!$T:$T)*1000,"")</f>
        <v>346293.36587598477</v>
      </c>
      <c r="AE364" s="186">
        <f>IFERROR(_xlfn.XLOOKUP($D364,'Modelling New'!$D:$D,'Modelling New'!$O:$O),"")</f>
        <v>0.77612614604342745</v>
      </c>
      <c r="AF364" s="186">
        <f>IFERROR(_xlfn.XLOOKUP($D364,'Modelling New'!$D:$D,'Modelling New'!$W:$W),"")</f>
        <v>0.21614695895187924</v>
      </c>
      <c r="AG364" s="186">
        <f>IFERROR(_xlfn.XLOOKUP($D364,'Modelling New'!$D:$D,'Modelling New'!$AE:$AE),"")</f>
        <v>0.995</v>
      </c>
      <c r="AH364" s="186">
        <f>IFERROR(_xlfn.XLOOKUP($D364,'Modelling New'!$D:$D,'Modelling New'!$AF:$AF),"")</f>
        <v>0.995</v>
      </c>
      <c r="AI364" s="177"/>
      <c r="AJ364" s="177"/>
      <c r="AK364" s="238"/>
      <c r="AL364" s="238"/>
      <c r="AM364" s="238"/>
      <c r="AN364" s="187"/>
      <c r="AO364" s="184"/>
      <c r="AP364" s="184"/>
      <c r="AQ364" s="184"/>
      <c r="AR364" s="176">
        <f>IFERROR(_xlfn.XLOOKUP($D363,'Modelling New'!$D:$D,'Modelling New'!$N:$N),"")</f>
        <v>66.754999999999995</v>
      </c>
      <c r="AS364" s="176"/>
    </row>
    <row r="365" spans="1:45" x14ac:dyDescent="0.25">
      <c r="A365" s="175">
        <f t="shared" si="23"/>
        <v>46108</v>
      </c>
      <c r="B365" s="176">
        <f>YEAR(Table13[[#This Row],[Date]])+IF(MONTH(Table13[[#This Row],[Date]])&gt;=4,1,0)</f>
        <v>2026</v>
      </c>
      <c r="C365" s="177">
        <f>YEAR(Table13[[#This Row],[Date]])</f>
        <v>2026</v>
      </c>
      <c r="D365" s="178">
        <f>Table13[[#This Row],[Date]]-DAY(Table13[[#This Row],[Date]])+1</f>
        <v>46082</v>
      </c>
      <c r="E365" s="177">
        <f t="shared" si="24"/>
        <v>31</v>
      </c>
      <c r="F365" s="179" t="str">
        <f>IFERROR(_xlfn.XLOOKUP($A365,Raw_Data!$B:$B,Raw_Data!$KG:$KG),"")</f>
        <v/>
      </c>
      <c r="G365" s="180" t="str">
        <f>IFERROR(_xlfn.XLOOKUP($A365,Raw_Data!$B:$B,Raw_Data!KH:KH),"")</f>
        <v/>
      </c>
      <c r="H365" s="180"/>
      <c r="I365" s="180" t="str">
        <f>IFERROR(_xlfn.XLOOKUP($A365,Raw_Data!$B:$B,Raw_Data!$KI:$KI),"")</f>
        <v/>
      </c>
      <c r="J365" s="180"/>
      <c r="K365" s="180" t="str">
        <f>IFERROR(_xlfn.XLOOKUP($A365,Raw_Data!$B:$B,Raw_Data!KJ:KJ),"")</f>
        <v/>
      </c>
      <c r="L365" s="180" t="str">
        <f>IFERROR(_xlfn.XLOOKUP($A365,Raw_Data!$B:$B,Raw_Data!KK:KK),"")</f>
        <v/>
      </c>
      <c r="M365" s="180" t="str">
        <f>IFERROR(_xlfn.XLOOKUP($A365,Raw_Data!$B:$B,Raw_Data!KL:KL),"")</f>
        <v/>
      </c>
      <c r="N365" s="180" t="str">
        <f>IFERROR(_xlfn.XLOOKUP($A365,Raw_Data!$B:$B,Raw_Data!KM:KM),"")</f>
        <v/>
      </c>
      <c r="O365" s="181" t="str">
        <f>IFERROR(1-SUMIF(PA!$B:$B,$A365,PA!AJ:AJ)/($AA365+SUMIF(PA!$B:$B,$A365,PA!AJ:AJ)),"")</f>
        <v/>
      </c>
      <c r="P365" s="181"/>
      <c r="Q365" s="182"/>
      <c r="R365" s="181" t="str">
        <f>IFERROR(1-SUMIF(GA!$C:$C,$A365,GA!$X:$X)/($AA365+SUMIF(GA!$C:$C,$A365,GA!$X:$X)),"")</f>
        <v/>
      </c>
      <c r="S365" s="177"/>
      <c r="T365" s="182"/>
      <c r="U365" s="183" t="str">
        <f t="shared" si="25"/>
        <v/>
      </c>
      <c r="V365" s="183" t="str">
        <f>IFERROR(_xlfn.XLOOKUP($A365,Raw_Data!$B:$B,Raw_Data!$KQ:$KQ),"")</f>
        <v/>
      </c>
      <c r="W365" s="184" t="str">
        <f t="shared" si="26"/>
        <v/>
      </c>
      <c r="X365" s="176" t="str">
        <f>IFERROR(_xlfn.XLOOKUP($A365,Raw_Data!$B:$B,Raw_Data!$KN:$KN),"")</f>
        <v/>
      </c>
      <c r="Y365" s="176" t="str">
        <f>IFERROR(_xlfn.XLOOKUP($A365,Raw_Data!$B:$B,Raw_Data!$KC:$KC),"")</f>
        <v/>
      </c>
      <c r="Z365" s="176" t="str">
        <f>IFERROR(_xlfn.XLOOKUP($A365,Raw_Data!$B:$B,Raw_Data!$KD:$KD),"")</f>
        <v/>
      </c>
      <c r="AA365" s="176" t="str">
        <f>IFERROR(_xlfn.XLOOKUP($A365,Raw_Data!$B:$B,Raw_Data!$KF:$KF),"")</f>
        <v/>
      </c>
      <c r="AB365" s="176" t="str">
        <f>IFERROR(_xlfn.XLOOKUP($A365,Raw_Data!$B:$B,Raw_Data!I:I)/1000,"")</f>
        <v/>
      </c>
      <c r="AC365" s="185">
        <f>IFERROR(_xlfn.XLOOKUP($D365,'Modelling New'!$D:$D,'Modelling New'!$P:$P),"")</f>
        <v>6.6838709677419352</v>
      </c>
      <c r="AD365" s="176">
        <f>IFERROR(_xlfn.XLOOKUP($D365,'Modelling New'!$D:$D,'Modelling New'!$T:$T)*1000,"")</f>
        <v>346293.36587598477</v>
      </c>
      <c r="AE365" s="186">
        <f>IFERROR(_xlfn.XLOOKUP($D365,'Modelling New'!$D:$D,'Modelling New'!$O:$O),"")</f>
        <v>0.77612614604342745</v>
      </c>
      <c r="AF365" s="186">
        <f>IFERROR(_xlfn.XLOOKUP($D365,'Modelling New'!$D:$D,'Modelling New'!$W:$W),"")</f>
        <v>0.21614695895187924</v>
      </c>
      <c r="AG365" s="186">
        <f>IFERROR(_xlfn.XLOOKUP($D365,'Modelling New'!$D:$D,'Modelling New'!$AE:$AE),"")</f>
        <v>0.995</v>
      </c>
      <c r="AH365" s="186">
        <f>IFERROR(_xlfn.XLOOKUP($D365,'Modelling New'!$D:$D,'Modelling New'!$AF:$AF),"")</f>
        <v>0.995</v>
      </c>
      <c r="AI365" s="177"/>
      <c r="AJ365" s="177"/>
      <c r="AK365" s="238"/>
      <c r="AL365" s="238"/>
      <c r="AM365" s="238"/>
      <c r="AN365" s="187"/>
      <c r="AO365" s="184"/>
      <c r="AP365" s="184"/>
      <c r="AQ365" s="184"/>
      <c r="AR365" s="176">
        <f>IFERROR(_xlfn.XLOOKUP($D364,'Modelling New'!$D:$D,'Modelling New'!$N:$N),"")</f>
        <v>66.754999999999995</v>
      </c>
      <c r="AS365" s="176"/>
    </row>
    <row r="366" spans="1:45" x14ac:dyDescent="0.25">
      <c r="A366" s="175">
        <f t="shared" si="23"/>
        <v>46109</v>
      </c>
      <c r="B366" s="176">
        <f>YEAR(Table13[[#This Row],[Date]])+IF(MONTH(Table13[[#This Row],[Date]])&gt;=4,1,0)</f>
        <v>2026</v>
      </c>
      <c r="C366" s="177">
        <f>YEAR(Table13[[#This Row],[Date]])</f>
        <v>2026</v>
      </c>
      <c r="D366" s="178">
        <f>Table13[[#This Row],[Date]]-DAY(Table13[[#This Row],[Date]])+1</f>
        <v>46082</v>
      </c>
      <c r="E366" s="177">
        <f t="shared" si="24"/>
        <v>31</v>
      </c>
      <c r="F366" s="179" t="str">
        <f>IFERROR(_xlfn.XLOOKUP($A366,Raw_Data!$B:$B,Raw_Data!$KG:$KG),"")</f>
        <v/>
      </c>
      <c r="G366" s="180" t="str">
        <f>IFERROR(_xlfn.XLOOKUP($A366,Raw_Data!$B:$B,Raw_Data!KH:KH),"")</f>
        <v/>
      </c>
      <c r="H366" s="180"/>
      <c r="I366" s="180" t="str">
        <f>IFERROR(_xlfn.XLOOKUP($A366,Raw_Data!$B:$B,Raw_Data!$KI:$KI),"")</f>
        <v/>
      </c>
      <c r="J366" s="180"/>
      <c r="K366" s="180" t="str">
        <f>IFERROR(_xlfn.XLOOKUP($A366,Raw_Data!$B:$B,Raw_Data!KJ:KJ),"")</f>
        <v/>
      </c>
      <c r="L366" s="180" t="str">
        <f>IFERROR(_xlfn.XLOOKUP($A366,Raw_Data!$B:$B,Raw_Data!KK:KK),"")</f>
        <v/>
      </c>
      <c r="M366" s="180" t="str">
        <f>IFERROR(_xlfn.XLOOKUP($A366,Raw_Data!$B:$B,Raw_Data!KL:KL),"")</f>
        <v/>
      </c>
      <c r="N366" s="180" t="str">
        <f>IFERROR(_xlfn.XLOOKUP($A366,Raw_Data!$B:$B,Raw_Data!KM:KM),"")</f>
        <v/>
      </c>
      <c r="O366" s="181" t="str">
        <f>IFERROR(1-SUMIF(PA!$B:$B,$A366,PA!AJ:AJ)/($AA366+SUMIF(PA!$B:$B,$A366,PA!AJ:AJ)),"")</f>
        <v/>
      </c>
      <c r="P366" s="181"/>
      <c r="Q366" s="182"/>
      <c r="R366" s="181" t="str">
        <f>IFERROR(1-SUMIF(GA!$C:$C,$A366,GA!$X:$X)/($AA366+SUMIF(GA!$C:$C,$A366,GA!$X:$X)),"")</f>
        <v/>
      </c>
      <c r="S366" s="177"/>
      <c r="T366" s="182"/>
      <c r="U366" s="183" t="str">
        <f t="shared" si="25"/>
        <v/>
      </c>
      <c r="V366" s="183" t="str">
        <f>IFERROR(_xlfn.XLOOKUP($A366,Raw_Data!$B:$B,Raw_Data!$KQ:$KQ),"")</f>
        <v/>
      </c>
      <c r="W366" s="184" t="str">
        <f t="shared" si="26"/>
        <v/>
      </c>
      <c r="X366" s="176" t="str">
        <f>IFERROR(_xlfn.XLOOKUP($A366,Raw_Data!$B:$B,Raw_Data!$KN:$KN),"")</f>
        <v/>
      </c>
      <c r="Y366" s="176" t="str">
        <f>IFERROR(_xlfn.XLOOKUP($A366,Raw_Data!$B:$B,Raw_Data!$KC:$KC),"")</f>
        <v/>
      </c>
      <c r="Z366" s="176" t="str">
        <f>IFERROR(_xlfn.XLOOKUP($A366,Raw_Data!$B:$B,Raw_Data!$KD:$KD),"")</f>
        <v/>
      </c>
      <c r="AA366" s="176" t="str">
        <f>IFERROR(_xlfn.XLOOKUP($A366,Raw_Data!$B:$B,Raw_Data!$KF:$KF),"")</f>
        <v/>
      </c>
      <c r="AB366" s="176" t="str">
        <f>IFERROR(_xlfn.XLOOKUP($A366,Raw_Data!$B:$B,Raw_Data!I:I)/1000,"")</f>
        <v/>
      </c>
      <c r="AC366" s="185">
        <f>IFERROR(_xlfn.XLOOKUP($D366,'Modelling New'!$D:$D,'Modelling New'!$P:$P),"")</f>
        <v>6.6838709677419352</v>
      </c>
      <c r="AD366" s="176">
        <f>IFERROR(_xlfn.XLOOKUP($D366,'Modelling New'!$D:$D,'Modelling New'!$T:$T)*1000,"")</f>
        <v>346293.36587598477</v>
      </c>
      <c r="AE366" s="186">
        <f>IFERROR(_xlfn.XLOOKUP($D366,'Modelling New'!$D:$D,'Modelling New'!$O:$O),"")</f>
        <v>0.77612614604342745</v>
      </c>
      <c r="AF366" s="186">
        <f>IFERROR(_xlfn.XLOOKUP($D366,'Modelling New'!$D:$D,'Modelling New'!$W:$W),"")</f>
        <v>0.21614695895187924</v>
      </c>
      <c r="AG366" s="186">
        <f>IFERROR(_xlfn.XLOOKUP($D366,'Modelling New'!$D:$D,'Modelling New'!$AE:$AE),"")</f>
        <v>0.995</v>
      </c>
      <c r="AH366" s="186">
        <f>IFERROR(_xlfn.XLOOKUP($D366,'Modelling New'!$D:$D,'Modelling New'!$AF:$AF),"")</f>
        <v>0.995</v>
      </c>
      <c r="AI366" s="177"/>
      <c r="AJ366" s="177"/>
      <c r="AK366" s="238"/>
      <c r="AL366" s="238"/>
      <c r="AM366" s="238"/>
      <c r="AN366" s="187"/>
      <c r="AO366" s="184"/>
      <c r="AP366" s="184"/>
      <c r="AQ366" s="184"/>
      <c r="AR366" s="176">
        <f>IFERROR(_xlfn.XLOOKUP($D365,'Modelling New'!$D:$D,'Modelling New'!$N:$N),"")</f>
        <v>66.754999999999995</v>
      </c>
      <c r="AS366" s="176"/>
    </row>
    <row r="367" spans="1:45" x14ac:dyDescent="0.25">
      <c r="A367" s="175">
        <f t="shared" si="23"/>
        <v>46110</v>
      </c>
      <c r="B367" s="176">
        <f>YEAR(Table13[[#This Row],[Date]])+IF(MONTH(Table13[[#This Row],[Date]])&gt;=4,1,0)</f>
        <v>2026</v>
      </c>
      <c r="C367" s="177">
        <f>YEAR(Table13[[#This Row],[Date]])</f>
        <v>2026</v>
      </c>
      <c r="D367" s="178">
        <f>Table13[[#This Row],[Date]]-DAY(Table13[[#This Row],[Date]])+1</f>
        <v>46082</v>
      </c>
      <c r="E367" s="177">
        <f t="shared" si="24"/>
        <v>31</v>
      </c>
      <c r="F367" s="179" t="str">
        <f>IFERROR(_xlfn.XLOOKUP($A367,Raw_Data!$B:$B,Raw_Data!$KG:$KG),"")</f>
        <v/>
      </c>
      <c r="G367" s="180" t="str">
        <f>IFERROR(_xlfn.XLOOKUP($A367,Raw_Data!$B:$B,Raw_Data!KH:KH),"")</f>
        <v/>
      </c>
      <c r="H367" s="180"/>
      <c r="I367" s="180" t="str">
        <f>IFERROR(_xlfn.XLOOKUP($A367,Raw_Data!$B:$B,Raw_Data!$KI:$KI),"")</f>
        <v/>
      </c>
      <c r="J367" s="180"/>
      <c r="K367" s="180" t="str">
        <f>IFERROR(_xlfn.XLOOKUP($A367,Raw_Data!$B:$B,Raw_Data!KJ:KJ),"")</f>
        <v/>
      </c>
      <c r="L367" s="180" t="str">
        <f>IFERROR(_xlfn.XLOOKUP($A367,Raw_Data!$B:$B,Raw_Data!KK:KK),"")</f>
        <v/>
      </c>
      <c r="M367" s="180" t="str">
        <f>IFERROR(_xlfn.XLOOKUP($A367,Raw_Data!$B:$B,Raw_Data!KL:KL),"")</f>
        <v/>
      </c>
      <c r="N367" s="180" t="str">
        <f>IFERROR(_xlfn.XLOOKUP($A367,Raw_Data!$B:$B,Raw_Data!KM:KM),"")</f>
        <v/>
      </c>
      <c r="O367" s="181" t="str">
        <f>IFERROR(1-SUMIF(PA!$B:$B,$A367,PA!AJ:AJ)/($AA367+SUMIF(PA!$B:$B,$A367,PA!AJ:AJ)),"")</f>
        <v/>
      </c>
      <c r="P367" s="181"/>
      <c r="Q367" s="182"/>
      <c r="R367" s="181" t="str">
        <f>IFERROR(1-SUMIF(GA!$C:$C,$A367,GA!$X:$X)/($AA367+SUMIF(GA!$C:$C,$A367,GA!$X:$X)),"")</f>
        <v/>
      </c>
      <c r="S367" s="177"/>
      <c r="T367" s="182"/>
      <c r="U367" s="183" t="str">
        <f t="shared" si="25"/>
        <v/>
      </c>
      <c r="V367" s="183" t="str">
        <f>IFERROR(_xlfn.XLOOKUP($A367,Raw_Data!$B:$B,Raw_Data!$KQ:$KQ),"")</f>
        <v/>
      </c>
      <c r="W367" s="184" t="str">
        <f t="shared" si="26"/>
        <v/>
      </c>
      <c r="X367" s="176" t="str">
        <f>IFERROR(_xlfn.XLOOKUP($A367,Raw_Data!$B:$B,Raw_Data!$KN:$KN),"")</f>
        <v/>
      </c>
      <c r="Y367" s="176" t="str">
        <f>IFERROR(_xlfn.XLOOKUP($A367,Raw_Data!$B:$B,Raw_Data!$KC:$KC),"")</f>
        <v/>
      </c>
      <c r="Z367" s="176" t="str">
        <f>IFERROR(_xlfn.XLOOKUP($A367,Raw_Data!$B:$B,Raw_Data!$KD:$KD),"")</f>
        <v/>
      </c>
      <c r="AA367" s="176" t="str">
        <f>IFERROR(_xlfn.XLOOKUP($A367,Raw_Data!$B:$B,Raw_Data!$KF:$KF),"")</f>
        <v/>
      </c>
      <c r="AB367" s="176" t="str">
        <f>IFERROR(_xlfn.XLOOKUP($A367,Raw_Data!$B:$B,Raw_Data!I:I)/1000,"")</f>
        <v/>
      </c>
      <c r="AC367" s="185">
        <f>IFERROR(_xlfn.XLOOKUP($D367,'Modelling New'!$D:$D,'Modelling New'!$P:$P),"")</f>
        <v>6.6838709677419352</v>
      </c>
      <c r="AD367" s="176">
        <f>IFERROR(_xlfn.XLOOKUP($D367,'Modelling New'!$D:$D,'Modelling New'!$T:$T)*1000,"")</f>
        <v>346293.36587598477</v>
      </c>
      <c r="AE367" s="186">
        <f>IFERROR(_xlfn.XLOOKUP($D367,'Modelling New'!$D:$D,'Modelling New'!$O:$O),"")</f>
        <v>0.77612614604342745</v>
      </c>
      <c r="AF367" s="186">
        <f>IFERROR(_xlfn.XLOOKUP($D367,'Modelling New'!$D:$D,'Modelling New'!$W:$W),"")</f>
        <v>0.21614695895187924</v>
      </c>
      <c r="AG367" s="186">
        <f>IFERROR(_xlfn.XLOOKUP($D367,'Modelling New'!$D:$D,'Modelling New'!$AE:$AE),"")</f>
        <v>0.995</v>
      </c>
      <c r="AH367" s="186">
        <f>IFERROR(_xlfn.XLOOKUP($D367,'Modelling New'!$D:$D,'Modelling New'!$AF:$AF),"")</f>
        <v>0.995</v>
      </c>
      <c r="AI367" s="177"/>
      <c r="AJ367" s="177"/>
      <c r="AK367" s="238"/>
      <c r="AL367" s="238"/>
      <c r="AM367" s="238"/>
      <c r="AN367" s="187"/>
      <c r="AO367" s="184"/>
      <c r="AP367" s="184"/>
      <c r="AQ367" s="184"/>
      <c r="AR367" s="176">
        <f>IFERROR(_xlfn.XLOOKUP($D366,'Modelling New'!$D:$D,'Modelling New'!$N:$N),"")</f>
        <v>66.754999999999995</v>
      </c>
      <c r="AS367" s="176"/>
    </row>
    <row r="368" spans="1:45" x14ac:dyDescent="0.25">
      <c r="A368" s="175">
        <f t="shared" si="23"/>
        <v>46111</v>
      </c>
      <c r="B368" s="176">
        <f>YEAR(Table13[[#This Row],[Date]])+IF(MONTH(Table13[[#This Row],[Date]])&gt;=4,1,0)</f>
        <v>2026</v>
      </c>
      <c r="C368" s="177">
        <f>YEAR(Table13[[#This Row],[Date]])</f>
        <v>2026</v>
      </c>
      <c r="D368" s="178">
        <f>Table13[[#This Row],[Date]]-DAY(Table13[[#This Row],[Date]])+1</f>
        <v>46082</v>
      </c>
      <c r="E368" s="177">
        <f t="shared" si="24"/>
        <v>31</v>
      </c>
      <c r="F368" s="179" t="str">
        <f>IFERROR(_xlfn.XLOOKUP($A368,Raw_Data!$B:$B,Raw_Data!$KG:$KG),"")</f>
        <v/>
      </c>
      <c r="G368" s="180" t="str">
        <f>IFERROR(_xlfn.XLOOKUP($A368,Raw_Data!$B:$B,Raw_Data!KH:KH),"")</f>
        <v/>
      </c>
      <c r="H368" s="180"/>
      <c r="I368" s="180" t="str">
        <f>IFERROR(_xlfn.XLOOKUP($A368,Raw_Data!$B:$B,Raw_Data!$KI:$KI),"")</f>
        <v/>
      </c>
      <c r="J368" s="180"/>
      <c r="K368" s="180" t="str">
        <f>IFERROR(_xlfn.XLOOKUP($A368,Raw_Data!$B:$B,Raw_Data!KJ:KJ),"")</f>
        <v/>
      </c>
      <c r="L368" s="180" t="str">
        <f>IFERROR(_xlfn.XLOOKUP($A368,Raw_Data!$B:$B,Raw_Data!KK:KK),"")</f>
        <v/>
      </c>
      <c r="M368" s="180" t="str">
        <f>IFERROR(_xlfn.XLOOKUP($A368,Raw_Data!$B:$B,Raw_Data!KL:KL),"")</f>
        <v/>
      </c>
      <c r="N368" s="180" t="str">
        <f>IFERROR(_xlfn.XLOOKUP($A368,Raw_Data!$B:$B,Raw_Data!KM:KM),"")</f>
        <v/>
      </c>
      <c r="O368" s="181" t="str">
        <f>IFERROR(1-SUMIF(PA!$B:$B,$A368,PA!AJ:AJ)/($AA368+SUMIF(PA!$B:$B,$A368,PA!AJ:AJ)),"")</f>
        <v/>
      </c>
      <c r="P368" s="181"/>
      <c r="Q368" s="182"/>
      <c r="R368" s="181" t="str">
        <f>IFERROR(1-SUMIF(GA!$C:$C,$A368,GA!$X:$X)/($AA368+SUMIF(GA!$C:$C,$A368,GA!$X:$X)),"")</f>
        <v/>
      </c>
      <c r="S368" s="177"/>
      <c r="T368" s="182"/>
      <c r="U368" s="183" t="str">
        <f t="shared" si="25"/>
        <v/>
      </c>
      <c r="V368" s="183" t="str">
        <f>IFERROR(_xlfn.XLOOKUP($A368,Raw_Data!$B:$B,Raw_Data!$KQ:$KQ),"")</f>
        <v/>
      </c>
      <c r="W368" s="184" t="str">
        <f t="shared" si="26"/>
        <v/>
      </c>
      <c r="X368" s="176" t="str">
        <f>IFERROR(_xlfn.XLOOKUP($A368,Raw_Data!$B:$B,Raw_Data!$KN:$KN),"")</f>
        <v/>
      </c>
      <c r="Y368" s="176" t="str">
        <f>IFERROR(_xlfn.XLOOKUP($A368,Raw_Data!$B:$B,Raw_Data!$KC:$KC),"")</f>
        <v/>
      </c>
      <c r="Z368" s="176" t="str">
        <f>IFERROR(_xlfn.XLOOKUP($A368,Raw_Data!$B:$B,Raw_Data!$KD:$KD),"")</f>
        <v/>
      </c>
      <c r="AA368" s="176" t="str">
        <f>IFERROR(_xlfn.XLOOKUP($A368,Raw_Data!$B:$B,Raw_Data!$KF:$KF),"")</f>
        <v/>
      </c>
      <c r="AB368" s="176" t="str">
        <f>IFERROR(_xlfn.XLOOKUP($A368,Raw_Data!$B:$B,Raw_Data!I:I)/1000,"")</f>
        <v/>
      </c>
      <c r="AC368" s="185">
        <f>IFERROR(_xlfn.XLOOKUP($D368,'Modelling New'!$D:$D,'Modelling New'!$P:$P),"")</f>
        <v>6.6838709677419352</v>
      </c>
      <c r="AD368" s="176">
        <f>IFERROR(_xlfn.XLOOKUP($D368,'Modelling New'!$D:$D,'Modelling New'!$T:$T)*1000,"")</f>
        <v>346293.36587598477</v>
      </c>
      <c r="AE368" s="186">
        <f>IFERROR(_xlfn.XLOOKUP($D368,'Modelling New'!$D:$D,'Modelling New'!$O:$O),"")</f>
        <v>0.77612614604342745</v>
      </c>
      <c r="AF368" s="186">
        <f>IFERROR(_xlfn.XLOOKUP($D368,'Modelling New'!$D:$D,'Modelling New'!$W:$W),"")</f>
        <v>0.21614695895187924</v>
      </c>
      <c r="AG368" s="186">
        <f>IFERROR(_xlfn.XLOOKUP($D368,'Modelling New'!$D:$D,'Modelling New'!$AE:$AE),"")</f>
        <v>0.995</v>
      </c>
      <c r="AH368" s="186">
        <f>IFERROR(_xlfn.XLOOKUP($D368,'Modelling New'!$D:$D,'Modelling New'!$AF:$AF),"")</f>
        <v>0.995</v>
      </c>
      <c r="AI368" s="177"/>
      <c r="AJ368" s="177"/>
      <c r="AK368" s="238"/>
      <c r="AL368" s="238"/>
      <c r="AM368" s="238"/>
      <c r="AN368" s="187"/>
      <c r="AO368" s="184"/>
      <c r="AP368" s="184"/>
      <c r="AQ368" s="184"/>
      <c r="AR368" s="176">
        <f>IFERROR(_xlfn.XLOOKUP($D367,'Modelling New'!$D:$D,'Modelling New'!$N:$N),"")</f>
        <v>66.754999999999995</v>
      </c>
      <c r="AS368" s="176"/>
    </row>
    <row r="369" spans="1:45" x14ac:dyDescent="0.25">
      <c r="A369" s="175">
        <f t="shared" si="23"/>
        <v>46112</v>
      </c>
      <c r="B369" s="176">
        <f>YEAR(Table13[[#This Row],[Date]])+IF(MONTH(Table13[[#This Row],[Date]])&gt;=4,1,0)</f>
        <v>2026</v>
      </c>
      <c r="C369" s="177">
        <f>YEAR(Table13[[#This Row],[Date]])</f>
        <v>2026</v>
      </c>
      <c r="D369" s="178">
        <f>Table13[[#This Row],[Date]]-DAY(Table13[[#This Row],[Date]])+1</f>
        <v>46082</v>
      </c>
      <c r="E369" s="177">
        <f t="shared" si="24"/>
        <v>31</v>
      </c>
      <c r="F369" s="179" t="str">
        <f>IFERROR(_xlfn.XLOOKUP($A369,Raw_Data!$B:$B,Raw_Data!$KG:$KG),"")</f>
        <v/>
      </c>
      <c r="G369" s="180" t="str">
        <f>IFERROR(_xlfn.XLOOKUP($A369,Raw_Data!$B:$B,Raw_Data!KH:KH),"")</f>
        <v/>
      </c>
      <c r="H369" s="180"/>
      <c r="I369" s="180" t="str">
        <f>IFERROR(_xlfn.XLOOKUP($A369,Raw_Data!$B:$B,Raw_Data!$KI:$KI),"")</f>
        <v/>
      </c>
      <c r="J369" s="180"/>
      <c r="K369" s="180" t="str">
        <f>IFERROR(_xlfn.XLOOKUP($A369,Raw_Data!$B:$B,Raw_Data!KJ:KJ),"")</f>
        <v/>
      </c>
      <c r="L369" s="180" t="str">
        <f>IFERROR(_xlfn.XLOOKUP($A369,Raw_Data!$B:$B,Raw_Data!KK:KK),"")</f>
        <v/>
      </c>
      <c r="M369" s="180" t="str">
        <f>IFERROR(_xlfn.XLOOKUP($A369,Raw_Data!$B:$B,Raw_Data!KL:KL),"")</f>
        <v/>
      </c>
      <c r="N369" s="180" t="str">
        <f>IFERROR(_xlfn.XLOOKUP($A369,Raw_Data!$B:$B,Raw_Data!KM:KM),"")</f>
        <v/>
      </c>
      <c r="O369" s="181" t="str">
        <f>IFERROR(1-SUMIF(PA!$B:$B,$A369,PA!AJ:AJ)/($AA369+SUMIF(PA!$B:$B,$A369,PA!AJ:AJ)),"")</f>
        <v/>
      </c>
      <c r="P369" s="181"/>
      <c r="Q369" s="182"/>
      <c r="R369" s="181" t="str">
        <f>IFERROR(1-SUMIF(GA!$C:$C,$A369,GA!$X:$X)/($AA369+SUMIF(GA!$C:$C,$A369,GA!$X:$X)),"")</f>
        <v/>
      </c>
      <c r="S369" s="177"/>
      <c r="T369" s="182"/>
      <c r="U369" s="183" t="str">
        <f t="shared" si="25"/>
        <v/>
      </c>
      <c r="V369" s="183" t="str">
        <f>IFERROR(_xlfn.XLOOKUP($A369,Raw_Data!$B:$B,Raw_Data!$KQ:$KQ),"")</f>
        <v/>
      </c>
      <c r="W369" s="184" t="str">
        <f t="shared" si="26"/>
        <v/>
      </c>
      <c r="X369" s="176" t="str">
        <f>IFERROR(_xlfn.XLOOKUP($A369,Raw_Data!$B:$B,Raw_Data!$KN:$KN),"")</f>
        <v/>
      </c>
      <c r="Y369" s="176" t="str">
        <f>IFERROR(_xlfn.XLOOKUP($A369,Raw_Data!$B:$B,Raw_Data!$KC:$KC),"")</f>
        <v/>
      </c>
      <c r="Z369" s="176" t="str">
        <f>IFERROR(_xlfn.XLOOKUP($A369,Raw_Data!$B:$B,Raw_Data!$KD:$KD),"")</f>
        <v/>
      </c>
      <c r="AA369" s="176" t="str">
        <f>IFERROR(_xlfn.XLOOKUP($A369,Raw_Data!$B:$B,Raw_Data!$KF:$KF),"")</f>
        <v/>
      </c>
      <c r="AB369" s="176" t="str">
        <f>IFERROR(_xlfn.XLOOKUP($A369,Raw_Data!$B:$B,Raw_Data!I:I)/1000,"")</f>
        <v/>
      </c>
      <c r="AC369" s="185">
        <f>IFERROR(_xlfn.XLOOKUP($D369,'Modelling New'!$D:$D,'Modelling New'!$P:$P),"")</f>
        <v>6.6838709677419352</v>
      </c>
      <c r="AD369" s="176">
        <f>IFERROR(_xlfn.XLOOKUP($D369,'Modelling New'!$D:$D,'Modelling New'!$T:$T)*1000,"")</f>
        <v>346293.36587598477</v>
      </c>
      <c r="AE369" s="186">
        <f>IFERROR(_xlfn.XLOOKUP($D369,'Modelling New'!$D:$D,'Modelling New'!$O:$O),"")</f>
        <v>0.77612614604342745</v>
      </c>
      <c r="AF369" s="186">
        <f>IFERROR(_xlfn.XLOOKUP($D369,'Modelling New'!$D:$D,'Modelling New'!$W:$W),"")</f>
        <v>0.21614695895187924</v>
      </c>
      <c r="AG369" s="186">
        <f>IFERROR(_xlfn.XLOOKUP($D369,'Modelling New'!$D:$D,'Modelling New'!$AE:$AE),"")</f>
        <v>0.995</v>
      </c>
      <c r="AH369" s="186">
        <f>IFERROR(_xlfn.XLOOKUP($D369,'Modelling New'!$D:$D,'Modelling New'!$AF:$AF),"")</f>
        <v>0.995</v>
      </c>
      <c r="AI369" s="177"/>
      <c r="AJ369" s="177"/>
      <c r="AK369" s="238"/>
      <c r="AL369" s="238"/>
      <c r="AM369" s="238"/>
      <c r="AN369" s="187"/>
      <c r="AO369" s="184"/>
      <c r="AP369" s="184"/>
      <c r="AQ369" s="184"/>
      <c r="AR369" s="176">
        <f>IFERROR(_xlfn.XLOOKUP($D368,'Modelling New'!$D:$D,'Modelling New'!$N:$N),"")</f>
        <v>66.754999999999995</v>
      </c>
      <c r="AS369" s="176"/>
    </row>
  </sheetData>
  <sheetProtection algorithmName="SHA-512" hashValue="ZziYnOT5Dfauw0WXUrDRozlEhyFE7iKoy+09MjRzDd9qYPXWCZLwA2pK+lOr4+VwjMwJ463CXCOTsbD5BNIwjw==" saltValue="1Z0KzisZGvNxSzLaRO84Sw==" spinCount="100000" sheet="1" objects="1" scenarios="1"/>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63CB-C2ED-4DF5-903C-02AE857C243F}">
  <dimension ref="A1:AQ25"/>
  <sheetViews>
    <sheetView zoomScale="61" zoomScaleNormal="85" workbookViewId="0">
      <pane xSplit="4" ySplit="1" topLeftCell="E137" activePane="bottomRight" state="frozen"/>
      <selection pane="topRight" activeCell="C1" sqref="C1"/>
      <selection pane="bottomLeft" activeCell="C1" sqref="C1"/>
      <selection pane="bottomRight" activeCell="Q3" sqref="Q3"/>
    </sheetView>
  </sheetViews>
  <sheetFormatPr defaultColWidth="8.7109375" defaultRowHeight="15" x14ac:dyDescent="0.25"/>
  <cols>
    <col min="1" max="2" width="9.28515625" style="177" customWidth="1"/>
    <col min="3" max="3" width="15.85546875" style="177" customWidth="1"/>
    <col min="4" max="6" width="8.7109375" style="177"/>
    <col min="7" max="7" width="20.42578125" style="177" customWidth="1"/>
    <col min="8" max="8" width="8.7109375" style="177"/>
    <col min="9" max="9" width="9.42578125" style="177" bestFit="1" customWidth="1"/>
    <col min="10" max="14" width="8.7109375" style="177"/>
    <col min="15" max="15" width="9.85546875" style="177" bestFit="1" customWidth="1"/>
    <col min="16" max="16" width="11" style="177" customWidth="1"/>
    <col min="17" max="17" width="15.28515625" style="177" customWidth="1"/>
    <col min="18" max="19" width="10.85546875" style="177" customWidth="1"/>
    <col min="20" max="20" width="13" style="177" customWidth="1"/>
    <col min="21" max="25" width="12.85546875" style="177" customWidth="1"/>
    <col min="26" max="27" width="14.42578125" style="177" customWidth="1"/>
    <col min="28" max="29" width="15.42578125" style="177" customWidth="1"/>
    <col min="30" max="38" width="9.85546875" style="177" customWidth="1"/>
    <col min="39" max="39" width="11.28515625" style="177" customWidth="1"/>
    <col min="40" max="40" width="12.42578125" style="177" bestFit="1" customWidth="1"/>
    <col min="41" max="16384" width="8.7109375" style="177"/>
  </cols>
  <sheetData>
    <row r="1" spans="1:43" ht="45" x14ac:dyDescent="0.25">
      <c r="A1" s="189" t="s">
        <v>7</v>
      </c>
      <c r="B1" s="189" t="s">
        <v>478</v>
      </c>
      <c r="C1" s="189" t="s">
        <v>479</v>
      </c>
      <c r="D1" s="189" t="s">
        <v>480</v>
      </c>
      <c r="E1" s="189" t="s">
        <v>481</v>
      </c>
      <c r="F1" s="189" t="s">
        <v>482</v>
      </c>
      <c r="G1" s="189" t="s">
        <v>483</v>
      </c>
      <c r="H1" s="189" t="s">
        <v>484</v>
      </c>
      <c r="I1" s="189" t="s">
        <v>402</v>
      </c>
      <c r="J1" s="189" t="s">
        <v>485</v>
      </c>
      <c r="K1" s="189" t="s">
        <v>486</v>
      </c>
      <c r="L1" s="189" t="s">
        <v>487</v>
      </c>
      <c r="M1" s="189" t="s">
        <v>488</v>
      </c>
      <c r="N1" s="189" t="s">
        <v>489</v>
      </c>
      <c r="O1" s="189" t="s">
        <v>490</v>
      </c>
      <c r="P1" s="189" t="s">
        <v>491</v>
      </c>
      <c r="Q1" s="189" t="s">
        <v>492</v>
      </c>
      <c r="R1" s="189" t="s">
        <v>493</v>
      </c>
      <c r="S1" s="189" t="s">
        <v>494</v>
      </c>
      <c r="T1" s="189" t="s">
        <v>495</v>
      </c>
      <c r="U1" s="189" t="s">
        <v>496</v>
      </c>
      <c r="V1" s="189" t="s">
        <v>497</v>
      </c>
      <c r="W1" s="189" t="s">
        <v>498</v>
      </c>
      <c r="X1" s="189" t="s">
        <v>499</v>
      </c>
      <c r="Y1" s="189" t="s">
        <v>500</v>
      </c>
      <c r="Z1" s="189" t="s">
        <v>501</v>
      </c>
      <c r="AA1" s="189" t="s">
        <v>502</v>
      </c>
      <c r="AB1" s="189" t="s">
        <v>503</v>
      </c>
      <c r="AC1" s="189" t="s">
        <v>504</v>
      </c>
      <c r="AD1" s="189" t="s">
        <v>505</v>
      </c>
      <c r="AE1" s="189" t="s">
        <v>506</v>
      </c>
      <c r="AF1" s="189" t="s">
        <v>507</v>
      </c>
      <c r="AG1" s="189" t="s">
        <v>508</v>
      </c>
      <c r="AH1" s="189" t="s">
        <v>509</v>
      </c>
      <c r="AI1" s="189" t="s">
        <v>510</v>
      </c>
      <c r="AJ1" s="189" t="s">
        <v>511</v>
      </c>
      <c r="AK1" s="189" t="s">
        <v>512</v>
      </c>
      <c r="AL1" s="189" t="s">
        <v>513</v>
      </c>
      <c r="AM1" s="190" t="s">
        <v>514</v>
      </c>
      <c r="AN1" s="190" t="s">
        <v>515</v>
      </c>
      <c r="AP1" s="177" t="s">
        <v>516</v>
      </c>
      <c r="AQ1" s="191">
        <v>66.754999999999995</v>
      </c>
    </row>
    <row r="2" spans="1:43" x14ac:dyDescent="0.25">
      <c r="A2" s="192">
        <v>1</v>
      </c>
      <c r="B2" s="193" t="s">
        <v>517</v>
      </c>
      <c r="C2" s="192">
        <v>4</v>
      </c>
      <c r="D2" s="194">
        <v>45383</v>
      </c>
      <c r="E2" s="195">
        <f>YEAR(D2)</f>
        <v>2024</v>
      </c>
      <c r="F2" s="195" t="s">
        <v>518</v>
      </c>
      <c r="G2" s="196">
        <f>DAY(EOMONTH(D2,0))</f>
        <v>30</v>
      </c>
      <c r="H2" s="197">
        <v>200.3</v>
      </c>
      <c r="I2" s="197">
        <v>206.6</v>
      </c>
      <c r="J2" s="198"/>
      <c r="K2" s="197">
        <v>29.100055555555599</v>
      </c>
      <c r="L2" s="196"/>
      <c r="M2" s="199">
        <v>10502</v>
      </c>
      <c r="N2" s="199">
        <v>66.754999999999995</v>
      </c>
      <c r="O2" s="200">
        <f>IFERROR(M2/I2/N2,"")</f>
        <v>0.76147893972722358</v>
      </c>
      <c r="P2" s="198">
        <f>IFERROR(I2/G2,"")</f>
        <v>6.8866666666666667</v>
      </c>
      <c r="Q2" s="196">
        <f>COUNTIFS('Daily KPI'!$D:$D,D2,'Daily KPI'!$F:$F,"&gt;0")</f>
        <v>0</v>
      </c>
      <c r="R2" s="199">
        <f>I2/G2*Q2</f>
        <v>0</v>
      </c>
      <c r="S2" s="199">
        <f>SUMIF($F$2:F2,F2,$R$2:R2)</f>
        <v>0</v>
      </c>
      <c r="T2" s="198">
        <f>M2/G2</f>
        <v>350.06666666666666</v>
      </c>
      <c r="U2" s="199">
        <f>M2/G2*Q2</f>
        <v>0</v>
      </c>
      <c r="V2" s="199">
        <f>SUMIF($F$2:F2,F2,$U$2:U2)</f>
        <v>0</v>
      </c>
      <c r="W2" s="200">
        <f>IFERROR(T2/(24*N2),"")</f>
        <v>0.21850215131617276</v>
      </c>
      <c r="X2" s="200">
        <f>IFERROR(U2/(24*N2*G2),"")</f>
        <v>0</v>
      </c>
      <c r="Y2" s="200" t="str">
        <f t="shared" ref="Y2:Y25" si="0">IFERROR(V2/(24*N2*SUMIFS($Q:$Q,$F:$F,$F2,$D:$D,"&lt;="&amp;D2)),"")</f>
        <v/>
      </c>
      <c r="Z2" s="198" t="str">
        <f>IFERROR(AVERAGEIF('Daily KPI'!$D:$D,Table14[[#This Row],[Month]],'Daily KPI'!AB:AB),"")</f>
        <v/>
      </c>
      <c r="AA2" s="201">
        <f>IFERROR(AVERAGEIF($F$2:F2,F2,$N$2:N2),"")</f>
        <v>66.754999999999995</v>
      </c>
      <c r="AB2" s="199"/>
      <c r="AC2" s="198"/>
      <c r="AD2" s="198"/>
      <c r="AE2" s="200">
        <v>0.995</v>
      </c>
      <c r="AF2" s="200">
        <v>0.995</v>
      </c>
      <c r="AG2" s="200"/>
      <c r="AH2" s="200"/>
      <c r="AI2" s="200"/>
      <c r="AJ2" s="200"/>
      <c r="AK2" s="200"/>
      <c r="AL2" s="200"/>
      <c r="AM2" s="202"/>
      <c r="AN2" s="202"/>
    </row>
    <row r="3" spans="1:43" x14ac:dyDescent="0.25">
      <c r="A3" s="193">
        <f t="shared" ref="A3:A25" si="1">A2+1</f>
        <v>2</v>
      </c>
      <c r="B3" s="193" t="s">
        <v>519</v>
      </c>
      <c r="C3" s="192">
        <v>5</v>
      </c>
      <c r="D3" s="194">
        <v>45413</v>
      </c>
      <c r="E3" s="203">
        <f>YEAR(D3)</f>
        <v>2024</v>
      </c>
      <c r="F3" s="195" t="s">
        <v>518</v>
      </c>
      <c r="G3" s="204">
        <f>DAY(EOMONTH(D3,0))</f>
        <v>31</v>
      </c>
      <c r="H3" s="201">
        <v>197.9</v>
      </c>
      <c r="I3" s="201">
        <v>191.7</v>
      </c>
      <c r="J3" s="205"/>
      <c r="K3" s="201">
        <v>33.399973118279597</v>
      </c>
      <c r="L3" s="204"/>
      <c r="M3" s="206">
        <v>9693</v>
      </c>
      <c r="N3" s="199">
        <v>66.754999999999995</v>
      </c>
      <c r="O3" s="207">
        <f>IFERROR(M3/I3/N3,"")</f>
        <v>0.75744708683529549</v>
      </c>
      <c r="P3" s="205">
        <f>IFERROR(I3/G3,"")</f>
        <v>6.1838709677419352</v>
      </c>
      <c r="Q3" s="204">
        <f>COUNTIFS('Daily KPI'!$D:$D,D3,'Daily KPI'!$F:$F,"&gt;0")</f>
        <v>0</v>
      </c>
      <c r="R3" s="206">
        <f>I3/G3*Q3</f>
        <v>0</v>
      </c>
      <c r="S3" s="199">
        <f>SUMIF($F$2:F3,F3,$R$2:R3)</f>
        <v>0</v>
      </c>
      <c r="T3" s="205">
        <f>M3/G3</f>
        <v>312.67741935483872</v>
      </c>
      <c r="U3" s="206">
        <f>M3/G3*Q3</f>
        <v>0</v>
      </c>
      <c r="V3" s="199">
        <f>SUMIF($F$2:F3,F3,$U$2:U3)</f>
        <v>0</v>
      </c>
      <c r="W3" s="207">
        <f>IFERROR(T3/(24*N3),"")</f>
        <v>0.19516479374506202</v>
      </c>
      <c r="X3" s="207">
        <f>IFERROR(U3/(24*N3*G3),"")</f>
        <v>0</v>
      </c>
      <c r="Y3" s="207" t="str">
        <f t="shared" si="0"/>
        <v/>
      </c>
      <c r="Z3" s="205" t="str">
        <f>IFERROR(AVERAGEIF('Daily KPI'!$D:$D,Table14[[#This Row],[Month]],'Daily KPI'!AB:AB),"")</f>
        <v/>
      </c>
      <c r="AA3" s="201">
        <f>IFERROR(AVERAGEIF($F$2:F3,F3,$N$2:N3),"")</f>
        <v>66.754999999999995</v>
      </c>
      <c r="AB3" s="206"/>
      <c r="AC3" s="205"/>
      <c r="AD3" s="205"/>
      <c r="AE3" s="200">
        <v>0.995</v>
      </c>
      <c r="AF3" s="200">
        <v>0.995</v>
      </c>
      <c r="AG3" s="200"/>
      <c r="AH3" s="207"/>
      <c r="AI3" s="207"/>
      <c r="AJ3" s="207"/>
      <c r="AK3" s="207"/>
      <c r="AL3" s="207"/>
      <c r="AM3" s="202"/>
      <c r="AN3" s="202"/>
    </row>
    <row r="4" spans="1:43" x14ac:dyDescent="0.25">
      <c r="A4" s="192">
        <f t="shared" si="1"/>
        <v>3</v>
      </c>
      <c r="B4" s="193" t="s">
        <v>520</v>
      </c>
      <c r="C4" s="192">
        <v>6</v>
      </c>
      <c r="D4" s="194">
        <v>45444</v>
      </c>
      <c r="E4" s="195">
        <f>YEAR(D4)</f>
        <v>2024</v>
      </c>
      <c r="F4" s="195" t="s">
        <v>518</v>
      </c>
      <c r="G4" s="196">
        <f>DAY(EOMONTH(D4,0))</f>
        <v>30</v>
      </c>
      <c r="H4" s="201">
        <v>165.8</v>
      </c>
      <c r="I4" s="201">
        <v>157.1</v>
      </c>
      <c r="J4" s="198"/>
      <c r="K4" s="201">
        <v>34.800083333333298</v>
      </c>
      <c r="L4" s="196"/>
      <c r="M4" s="199">
        <v>7976.9</v>
      </c>
      <c r="N4" s="199">
        <v>66.754999999999995</v>
      </c>
      <c r="O4" s="200">
        <f>IFERROR(M4/I4/N4,"")</f>
        <v>0.76063124698412421</v>
      </c>
      <c r="P4" s="198">
        <f>IFERROR(I4/G4,"")</f>
        <v>5.2366666666666664</v>
      </c>
      <c r="Q4" s="196">
        <f>COUNTIFS('Daily KPI'!$D:$D,D4,'Daily KPI'!$F:$F,"&gt;0")</f>
        <v>0</v>
      </c>
      <c r="R4" s="199">
        <f>I4/G4*Q4</f>
        <v>0</v>
      </c>
      <c r="S4" s="199">
        <f>SUMIF($F$2:F4,F4,$R$2:R4)</f>
        <v>0</v>
      </c>
      <c r="T4" s="198">
        <f>M4/G4</f>
        <v>265.89666666666665</v>
      </c>
      <c r="U4" s="199">
        <f>M4/G4*Q4</f>
        <v>0</v>
      </c>
      <c r="V4" s="199">
        <f>SUMIF($F$2:F4,F4,$U$2:U4)</f>
        <v>0</v>
      </c>
      <c r="W4" s="200">
        <f>IFERROR(T4/(24*N4),"")</f>
        <v>0.16596551236278598</v>
      </c>
      <c r="X4" s="200">
        <f>IFERROR(U4/(24*N4*G4),"")</f>
        <v>0</v>
      </c>
      <c r="Y4" s="200" t="str">
        <f t="shared" si="0"/>
        <v/>
      </c>
      <c r="Z4" s="198" t="str">
        <f>IFERROR(AVERAGEIF('Daily KPI'!$D:$D,Table14[[#This Row],[Month]],'Daily KPI'!AB:AB),"")</f>
        <v/>
      </c>
      <c r="AA4" s="201">
        <f>IFERROR(AVERAGEIF($F$2:F4,F4,$N$2:N4),"")</f>
        <v>66.754999999999995</v>
      </c>
      <c r="AB4" s="199"/>
      <c r="AC4" s="198"/>
      <c r="AD4" s="198"/>
      <c r="AE4" s="200">
        <v>0.995</v>
      </c>
      <c r="AF4" s="200">
        <v>0.995</v>
      </c>
      <c r="AG4" s="200"/>
      <c r="AH4" s="200"/>
      <c r="AI4" s="200"/>
      <c r="AJ4" s="200"/>
      <c r="AK4" s="200"/>
      <c r="AL4" s="200"/>
      <c r="AM4" s="202"/>
      <c r="AN4" s="202"/>
    </row>
    <row r="5" spans="1:43" x14ac:dyDescent="0.25">
      <c r="A5" s="193">
        <f t="shared" si="1"/>
        <v>4</v>
      </c>
      <c r="B5" s="193" t="s">
        <v>521</v>
      </c>
      <c r="C5" s="192">
        <v>7</v>
      </c>
      <c r="D5" s="194">
        <v>45474</v>
      </c>
      <c r="E5" s="203">
        <f>YEAR(D5)</f>
        <v>2024</v>
      </c>
      <c r="F5" s="195" t="s">
        <v>518</v>
      </c>
      <c r="G5" s="204">
        <f>DAY(EOMONTH(D5,0))</f>
        <v>31</v>
      </c>
      <c r="H5" s="201">
        <v>141.9</v>
      </c>
      <c r="I5" s="201">
        <v>135</v>
      </c>
      <c r="J5" s="205"/>
      <c r="K5" s="201">
        <v>33.099892473118302</v>
      </c>
      <c r="L5" s="204"/>
      <c r="M5" s="206">
        <v>6950.5</v>
      </c>
      <c r="N5" s="199">
        <v>66.754999999999995</v>
      </c>
      <c r="O5" s="207">
        <f>IFERROR(M5/I5/N5,"")</f>
        <v>0.77125586375829813</v>
      </c>
      <c r="P5" s="205">
        <f>IFERROR(I5/G5,"")</f>
        <v>4.354838709677419</v>
      </c>
      <c r="Q5" s="204">
        <f>COUNTIFS('Daily KPI'!$D:$D,D5,'Daily KPI'!$F:$F,"&gt;0")</f>
        <v>0</v>
      </c>
      <c r="R5" s="206">
        <f>I5/G5*Q5</f>
        <v>0</v>
      </c>
      <c r="S5" s="199">
        <f>SUMIF($F$2:F5,F5,$R$2:R5)</f>
        <v>0</v>
      </c>
      <c r="T5" s="205">
        <f>M5/G5</f>
        <v>224.20967741935485</v>
      </c>
      <c r="U5" s="206">
        <f>M5/G5*Q5</f>
        <v>0</v>
      </c>
      <c r="V5" s="199">
        <f>SUMIF($F$2:F5,F5,$U$2:U5)</f>
        <v>0</v>
      </c>
      <c r="W5" s="207">
        <f>IFERROR(T5/(24*N5),"")</f>
        <v>0.13994562044001377</v>
      </c>
      <c r="X5" s="207">
        <f>IFERROR(U5/(24*N5*G5),"")</f>
        <v>0</v>
      </c>
      <c r="Y5" s="207" t="str">
        <f t="shared" si="0"/>
        <v/>
      </c>
      <c r="Z5" s="205" t="str">
        <f>IFERROR(AVERAGEIF('Daily KPI'!$D:$D,Table14[[#This Row],[Month]],'Daily KPI'!AB:AB),"")</f>
        <v/>
      </c>
      <c r="AA5" s="201">
        <f>IFERROR(AVERAGEIF($F$2:F5,F5,$N$2:N5),"")</f>
        <v>66.754999999999995</v>
      </c>
      <c r="AB5" s="206"/>
      <c r="AC5" s="205"/>
      <c r="AD5" s="205"/>
      <c r="AE5" s="200">
        <v>0.995</v>
      </c>
      <c r="AF5" s="200">
        <v>0.995</v>
      </c>
      <c r="AG5" s="200"/>
      <c r="AH5" s="207"/>
      <c r="AI5" s="207"/>
      <c r="AJ5" s="207"/>
      <c r="AK5" s="207"/>
      <c r="AL5" s="207"/>
      <c r="AM5" s="202"/>
      <c r="AN5" s="202"/>
    </row>
    <row r="6" spans="1:43" x14ac:dyDescent="0.25">
      <c r="A6" s="192">
        <f t="shared" si="1"/>
        <v>5</v>
      </c>
      <c r="B6" s="193" t="s">
        <v>522</v>
      </c>
      <c r="C6" s="192">
        <v>8</v>
      </c>
      <c r="D6" s="194">
        <v>45505</v>
      </c>
      <c r="E6" s="195">
        <f t="shared" ref="E6:E13" si="2">YEAR(D6)</f>
        <v>2024</v>
      </c>
      <c r="F6" s="195" t="s">
        <v>518</v>
      </c>
      <c r="G6" s="196">
        <f t="shared" ref="G6:G13" si="3">DAY(EOMONTH(D6,0))</f>
        <v>31</v>
      </c>
      <c r="H6" s="201">
        <v>145</v>
      </c>
      <c r="I6" s="201">
        <v>143.9</v>
      </c>
      <c r="J6" s="198"/>
      <c r="K6" s="201">
        <v>31.799973118279599</v>
      </c>
      <c r="L6" s="196"/>
      <c r="M6" s="199">
        <v>7459</v>
      </c>
      <c r="N6" s="199">
        <v>66.754999999999995</v>
      </c>
      <c r="O6" s="200">
        <f t="shared" ref="O6:O25" si="4">IFERROR(M6/I6/N6,"")</f>
        <v>0.77649026089770867</v>
      </c>
      <c r="P6" s="198">
        <f t="shared" ref="P6:P25" si="5">IFERROR(I6/G6,"")</f>
        <v>4.6419354838709683</v>
      </c>
      <c r="Q6" s="196">
        <f>COUNTIFS('Daily KPI'!$D:$D,D6,'Daily KPI'!$F:$F,"&gt;0")</f>
        <v>0</v>
      </c>
      <c r="R6" s="199">
        <f t="shared" ref="R6:R25" si="6">I6/G6*Q6</f>
        <v>0</v>
      </c>
      <c r="S6" s="199">
        <f>SUMIF($F$2:F6,F6,$R$2:R6)</f>
        <v>0</v>
      </c>
      <c r="T6" s="198">
        <f t="shared" ref="T6:T25" si="7">M6/G6</f>
        <v>240.61290322580646</v>
      </c>
      <c r="U6" s="199">
        <f t="shared" ref="U6:U25" si="8">M6/G6*Q6</f>
        <v>0</v>
      </c>
      <c r="V6" s="199">
        <f>SUMIF($F$2:F6,F6,$U$2:U6)</f>
        <v>0</v>
      </c>
      <c r="W6" s="200">
        <f t="shared" ref="W6:W25" si="9">IFERROR(T6/(24*N6),"")</f>
        <v>0.15018407062255418</v>
      </c>
      <c r="X6" s="200">
        <f t="shared" ref="X6:X25" si="10">IFERROR(U6/(24*N6*G6),"")</f>
        <v>0</v>
      </c>
      <c r="Y6" s="200" t="str">
        <f t="shared" si="0"/>
        <v/>
      </c>
      <c r="Z6" s="198" t="str">
        <f>IFERROR(AVERAGEIF('Daily KPI'!$D:$D,Table14[[#This Row],[Month]],'Daily KPI'!AB:AB),"")</f>
        <v/>
      </c>
      <c r="AA6" s="201">
        <f>IFERROR(AVERAGEIF($F$2:F6,F6,$N$2:N6),"")</f>
        <v>66.754999999999995</v>
      </c>
      <c r="AB6" s="199"/>
      <c r="AC6" s="198"/>
      <c r="AD6" s="198"/>
      <c r="AE6" s="200">
        <v>0.995</v>
      </c>
      <c r="AF6" s="200">
        <v>0.995</v>
      </c>
      <c r="AG6" s="200"/>
      <c r="AH6" s="200"/>
      <c r="AI6" s="200"/>
      <c r="AJ6" s="200"/>
      <c r="AK6" s="200"/>
      <c r="AL6" s="200"/>
      <c r="AM6" s="202"/>
      <c r="AN6" s="202"/>
    </row>
    <row r="7" spans="1:43" x14ac:dyDescent="0.25">
      <c r="A7" s="192">
        <f t="shared" si="1"/>
        <v>6</v>
      </c>
      <c r="B7" s="193" t="s">
        <v>523</v>
      </c>
      <c r="C7" s="192">
        <v>9</v>
      </c>
      <c r="D7" s="194">
        <v>45536</v>
      </c>
      <c r="E7" s="195">
        <f t="shared" si="2"/>
        <v>2024</v>
      </c>
      <c r="F7" s="195" t="s">
        <v>518</v>
      </c>
      <c r="G7" s="204">
        <f t="shared" si="3"/>
        <v>30</v>
      </c>
      <c r="H7" s="201">
        <v>153</v>
      </c>
      <c r="I7" s="201">
        <v>163.30000000000001</v>
      </c>
      <c r="J7" s="198"/>
      <c r="K7" s="201">
        <v>31.199874999999999</v>
      </c>
      <c r="L7" s="196"/>
      <c r="M7" s="199">
        <v>8419.6</v>
      </c>
      <c r="N7" s="199">
        <v>66.754999999999995</v>
      </c>
      <c r="O7" s="200">
        <f t="shared" si="4"/>
        <v>0.77236302438154936</v>
      </c>
      <c r="P7" s="198">
        <f t="shared" si="5"/>
        <v>5.4433333333333334</v>
      </c>
      <c r="Q7" s="196">
        <f>COUNTIFS('Daily KPI'!$D:$D,D7,'Daily KPI'!$F:$F,"&gt;0")</f>
        <v>0</v>
      </c>
      <c r="R7" s="199">
        <f t="shared" si="6"/>
        <v>0</v>
      </c>
      <c r="S7" s="199">
        <f>SUMIF($F$2:F7,F7,$R$2:R7)</f>
        <v>0</v>
      </c>
      <c r="T7" s="198">
        <f t="shared" si="7"/>
        <v>280.65333333333336</v>
      </c>
      <c r="U7" s="199">
        <f t="shared" si="8"/>
        <v>0</v>
      </c>
      <c r="V7" s="199">
        <f>SUMIF($F$2:F7,F7,$U$2:U7)</f>
        <v>0</v>
      </c>
      <c r="W7" s="200">
        <f t="shared" si="9"/>
        <v>0.17517622483542641</v>
      </c>
      <c r="X7" s="200">
        <f t="shared" si="10"/>
        <v>0</v>
      </c>
      <c r="Y7" s="200" t="str">
        <f t="shared" si="0"/>
        <v/>
      </c>
      <c r="Z7" s="198" t="str">
        <f>IFERROR(AVERAGEIF('Daily KPI'!$D:$D,Table14[[#This Row],[Month]],'Daily KPI'!AB:AB),"")</f>
        <v/>
      </c>
      <c r="AA7" s="201">
        <f>IFERROR(AVERAGEIF($F$2:F7,F7,$N$2:N7),"")</f>
        <v>66.754999999999995</v>
      </c>
      <c r="AB7" s="199"/>
      <c r="AC7" s="198"/>
      <c r="AD7" s="198"/>
      <c r="AE7" s="200">
        <v>0.995</v>
      </c>
      <c r="AF7" s="200">
        <v>0.995</v>
      </c>
      <c r="AG7" s="200"/>
      <c r="AH7" s="200"/>
      <c r="AI7" s="200"/>
      <c r="AJ7" s="200"/>
      <c r="AK7" s="200"/>
      <c r="AL7" s="200"/>
      <c r="AM7" s="202"/>
      <c r="AN7" s="202"/>
    </row>
    <row r="8" spans="1:43" x14ac:dyDescent="0.25">
      <c r="A8" s="193">
        <f t="shared" si="1"/>
        <v>7</v>
      </c>
      <c r="B8" s="193" t="s">
        <v>524</v>
      </c>
      <c r="C8" s="192">
        <v>10</v>
      </c>
      <c r="D8" s="194">
        <v>45566</v>
      </c>
      <c r="E8" s="203">
        <f t="shared" si="2"/>
        <v>2024</v>
      </c>
      <c r="F8" s="195" t="s">
        <v>518</v>
      </c>
      <c r="G8" s="196">
        <f t="shared" si="3"/>
        <v>31</v>
      </c>
      <c r="H8" s="201">
        <v>153.5</v>
      </c>
      <c r="I8" s="201">
        <v>177.1</v>
      </c>
      <c r="J8" s="205"/>
      <c r="K8" s="197">
        <v>27.1001075268817</v>
      </c>
      <c r="L8" s="204"/>
      <c r="M8" s="206">
        <v>9198.8000000000011</v>
      </c>
      <c r="N8" s="206">
        <v>66.754999999999995</v>
      </c>
      <c r="O8" s="207">
        <f t="shared" si="4"/>
        <v>0.77808817489610027</v>
      </c>
      <c r="P8" s="205">
        <f t="shared" si="5"/>
        <v>5.7129032258064516</v>
      </c>
      <c r="Q8" s="204">
        <f>COUNTIFS('Daily KPI'!$D:$D,D8,'Daily KPI'!$F:$F,"&gt;0")</f>
        <v>0</v>
      </c>
      <c r="R8" s="206">
        <f t="shared" si="6"/>
        <v>0</v>
      </c>
      <c r="S8" s="199">
        <f>SUMIF($F$2:F8,F8,$R$2:R8)</f>
        <v>0</v>
      </c>
      <c r="T8" s="205">
        <f t="shared" si="7"/>
        <v>296.73548387096776</v>
      </c>
      <c r="U8" s="206">
        <f t="shared" si="8"/>
        <v>0</v>
      </c>
      <c r="V8" s="199">
        <f>SUMIF($F$2:F8,F8,$U$2:U8)</f>
        <v>0</v>
      </c>
      <c r="W8" s="207">
        <f t="shared" si="9"/>
        <v>0.18521426851357436</v>
      </c>
      <c r="X8" s="207">
        <f t="shared" si="10"/>
        <v>0</v>
      </c>
      <c r="Y8" s="207" t="str">
        <f t="shared" si="0"/>
        <v/>
      </c>
      <c r="Z8" s="205" t="str">
        <f>IFERROR(AVERAGEIF('Daily KPI'!$D:$D,Table14[[#This Row],[Month]],'Daily KPI'!AB:AB),"")</f>
        <v/>
      </c>
      <c r="AA8" s="201">
        <f>IFERROR(AVERAGEIF($F$2:F8,F8,$N$2:N8),"")</f>
        <v>66.754999999999995</v>
      </c>
      <c r="AB8" s="206"/>
      <c r="AC8" s="205"/>
      <c r="AD8" s="205"/>
      <c r="AE8" s="200">
        <v>0.995</v>
      </c>
      <c r="AF8" s="200">
        <v>0.995</v>
      </c>
      <c r="AG8" s="200"/>
      <c r="AH8" s="207"/>
      <c r="AI8" s="207"/>
      <c r="AJ8" s="207"/>
      <c r="AK8" s="207"/>
      <c r="AL8" s="207"/>
      <c r="AM8" s="202"/>
      <c r="AN8" s="202"/>
    </row>
    <row r="9" spans="1:43" x14ac:dyDescent="0.25">
      <c r="A9" s="192">
        <f t="shared" si="1"/>
        <v>8</v>
      </c>
      <c r="B9" s="193" t="s">
        <v>525</v>
      </c>
      <c r="C9" s="192">
        <v>11</v>
      </c>
      <c r="D9" s="194">
        <v>45597</v>
      </c>
      <c r="E9" s="195">
        <f t="shared" si="2"/>
        <v>2024</v>
      </c>
      <c r="F9" s="195" t="s">
        <v>518</v>
      </c>
      <c r="G9" s="196">
        <f t="shared" si="3"/>
        <v>30</v>
      </c>
      <c r="H9" s="201">
        <v>117.4</v>
      </c>
      <c r="I9" s="201">
        <v>144.5</v>
      </c>
      <c r="J9" s="198"/>
      <c r="K9" s="201">
        <v>20.900027777777801</v>
      </c>
      <c r="L9" s="196"/>
      <c r="M9" s="199">
        <v>7717.8</v>
      </c>
      <c r="N9" s="199">
        <v>66.754999999999995</v>
      </c>
      <c r="O9" s="200">
        <f t="shared" si="4"/>
        <v>0.80009558269548908</v>
      </c>
      <c r="P9" s="198">
        <f t="shared" si="5"/>
        <v>4.8166666666666664</v>
      </c>
      <c r="Q9" s="196">
        <f>COUNTIFS('Daily KPI'!$D:$D,D9,'Daily KPI'!$F:$F,"&gt;0")</f>
        <v>0</v>
      </c>
      <c r="R9" s="199">
        <f t="shared" si="6"/>
        <v>0</v>
      </c>
      <c r="S9" s="199">
        <f>SUMIF($F$2:F9,F9,$R$2:R9)</f>
        <v>0</v>
      </c>
      <c r="T9" s="198">
        <f t="shared" si="7"/>
        <v>257.26</v>
      </c>
      <c r="U9" s="199">
        <f t="shared" si="8"/>
        <v>0</v>
      </c>
      <c r="V9" s="199">
        <f>SUMIF($F$2:F9,F9,$U$2:U9)</f>
        <v>0</v>
      </c>
      <c r="W9" s="200">
        <f t="shared" si="9"/>
        <v>0.16057473847152523</v>
      </c>
      <c r="X9" s="200">
        <f t="shared" si="10"/>
        <v>0</v>
      </c>
      <c r="Y9" s="200" t="str">
        <f t="shared" si="0"/>
        <v/>
      </c>
      <c r="Z9" s="198" t="str">
        <f>IFERROR(AVERAGEIF('Daily KPI'!$D:$D,Table14[[#This Row],[Month]],'Daily KPI'!AB:AB),"")</f>
        <v/>
      </c>
      <c r="AA9" s="201">
        <f>IFERROR(AVERAGEIF($F$2:F9,F9,$N$2:N9),"")</f>
        <v>66.754999999999995</v>
      </c>
      <c r="AB9" s="199"/>
      <c r="AC9" s="198"/>
      <c r="AD9" s="198"/>
      <c r="AE9" s="200">
        <v>0.995</v>
      </c>
      <c r="AF9" s="200">
        <v>0.995</v>
      </c>
      <c r="AG9" s="200"/>
      <c r="AH9" s="200"/>
      <c r="AI9" s="200"/>
      <c r="AJ9" s="200"/>
      <c r="AK9" s="200"/>
      <c r="AL9" s="200"/>
      <c r="AM9" s="202"/>
      <c r="AN9" s="202"/>
    </row>
    <row r="10" spans="1:43" x14ac:dyDescent="0.25">
      <c r="A10" s="193">
        <f t="shared" si="1"/>
        <v>9</v>
      </c>
      <c r="B10" s="193" t="s">
        <v>526</v>
      </c>
      <c r="C10" s="192">
        <v>12</v>
      </c>
      <c r="D10" s="194">
        <v>45627</v>
      </c>
      <c r="E10" s="203">
        <f t="shared" si="2"/>
        <v>2024</v>
      </c>
      <c r="F10" s="195" t="s">
        <v>518</v>
      </c>
      <c r="G10" s="204">
        <f t="shared" si="3"/>
        <v>31</v>
      </c>
      <c r="H10" s="201">
        <v>103.2</v>
      </c>
      <c r="I10" s="201">
        <v>132.4</v>
      </c>
      <c r="J10" s="205"/>
      <c r="K10" s="197">
        <v>15.891489381720399</v>
      </c>
      <c r="L10" s="204"/>
      <c r="M10" s="206">
        <v>7215.2000000000007</v>
      </c>
      <c r="N10" s="206">
        <v>66.754999999999995</v>
      </c>
      <c r="O10" s="207">
        <f t="shared" si="4"/>
        <v>0.81635035994226079</v>
      </c>
      <c r="P10" s="205">
        <f t="shared" si="5"/>
        <v>4.2709677419354843</v>
      </c>
      <c r="Q10" s="204">
        <f>COUNTIFS('Daily KPI'!$D:$D,D10,'Daily KPI'!$F:$F,"&gt;0")</f>
        <v>0</v>
      </c>
      <c r="R10" s="206">
        <f t="shared" si="6"/>
        <v>0</v>
      </c>
      <c r="S10" s="199">
        <f>SUMIF($F$2:F10,F10,$R$2:R10)</f>
        <v>0</v>
      </c>
      <c r="T10" s="205">
        <f t="shared" si="7"/>
        <v>232.74838709677422</v>
      </c>
      <c r="U10" s="206">
        <f t="shared" si="8"/>
        <v>0</v>
      </c>
      <c r="V10" s="199">
        <f>SUMIF($F$2:F10,F10,$U$2:U10)</f>
        <v>0</v>
      </c>
      <c r="W10" s="207">
        <f t="shared" si="9"/>
        <v>0.14527525222628407</v>
      </c>
      <c r="X10" s="207">
        <f t="shared" si="10"/>
        <v>0</v>
      </c>
      <c r="Y10" s="207" t="str">
        <f t="shared" si="0"/>
        <v/>
      </c>
      <c r="Z10" s="205" t="str">
        <f>IFERROR(AVERAGEIF('Daily KPI'!$D:$D,Table14[[#This Row],[Month]],'Daily KPI'!AB:AB),"")</f>
        <v/>
      </c>
      <c r="AA10" s="201">
        <f>IFERROR(AVERAGEIF($F$2:F10,F10,$N$2:N10),"")</f>
        <v>66.754999999999995</v>
      </c>
      <c r="AB10" s="206"/>
      <c r="AC10" s="205"/>
      <c r="AD10" s="205"/>
      <c r="AE10" s="200">
        <v>0.995</v>
      </c>
      <c r="AF10" s="200">
        <v>0.995</v>
      </c>
      <c r="AG10" s="200"/>
      <c r="AH10" s="207"/>
      <c r="AI10" s="207"/>
      <c r="AJ10" s="207"/>
      <c r="AK10" s="207"/>
      <c r="AL10" s="207"/>
      <c r="AM10" s="202"/>
      <c r="AN10" s="202"/>
    </row>
    <row r="11" spans="1:43" x14ac:dyDescent="0.25">
      <c r="A11" s="192">
        <f t="shared" si="1"/>
        <v>10</v>
      </c>
      <c r="B11" s="193" t="s">
        <v>527</v>
      </c>
      <c r="C11" s="192">
        <v>1</v>
      </c>
      <c r="D11" s="194">
        <v>45658</v>
      </c>
      <c r="E11" s="195">
        <f t="shared" si="2"/>
        <v>2025</v>
      </c>
      <c r="F11" s="195" t="s">
        <v>518</v>
      </c>
      <c r="G11" s="196">
        <f t="shared" si="3"/>
        <v>31</v>
      </c>
      <c r="H11" s="201">
        <v>102.5</v>
      </c>
      <c r="I11" s="201">
        <v>127.5</v>
      </c>
      <c r="J11" s="198"/>
      <c r="K11" s="201">
        <v>14.399918279569899</v>
      </c>
      <c r="L11" s="196"/>
      <c r="M11" s="199">
        <v>6983</v>
      </c>
      <c r="N11" s="199">
        <v>66.754999999999995</v>
      </c>
      <c r="O11" s="200">
        <f t="shared" si="4"/>
        <v>0.82044232568317566</v>
      </c>
      <c r="P11" s="198">
        <f t="shared" si="5"/>
        <v>4.112903225806452</v>
      </c>
      <c r="Q11" s="196">
        <f>COUNTIFS('Daily KPI'!$D:$D,D11,'Daily KPI'!$F:$F,"&gt;0")</f>
        <v>0</v>
      </c>
      <c r="R11" s="199">
        <f t="shared" si="6"/>
        <v>0</v>
      </c>
      <c r="S11" s="199">
        <f>SUMIF($F$2:F11,F11,$R$2:R11)</f>
        <v>0</v>
      </c>
      <c r="T11" s="198">
        <f t="shared" si="7"/>
        <v>225.25806451612902</v>
      </c>
      <c r="U11" s="199">
        <f t="shared" si="8"/>
        <v>0</v>
      </c>
      <c r="V11" s="199">
        <f>SUMIF($F$2:F11,F11,$U$2:U11)</f>
        <v>0</v>
      </c>
      <c r="W11" s="200">
        <f t="shared" si="9"/>
        <v>0.14059999532877002</v>
      </c>
      <c r="X11" s="200">
        <f t="shared" si="10"/>
        <v>0</v>
      </c>
      <c r="Y11" s="200" t="str">
        <f t="shared" si="0"/>
        <v/>
      </c>
      <c r="Z11" s="198" t="str">
        <f>IFERROR(AVERAGEIF('Daily KPI'!$D:$D,Table14[[#This Row],[Month]],'Daily KPI'!AB:AB),"")</f>
        <v/>
      </c>
      <c r="AA11" s="201">
        <f>IFERROR(AVERAGEIF($F$2:F11,F11,$N$2:N11),"")</f>
        <v>66.754999999999995</v>
      </c>
      <c r="AB11" s="199"/>
      <c r="AC11" s="198"/>
      <c r="AD11" s="198"/>
      <c r="AE11" s="200">
        <v>0.995</v>
      </c>
      <c r="AF11" s="200">
        <v>0.995</v>
      </c>
      <c r="AG11" s="200"/>
      <c r="AH11" s="200"/>
      <c r="AI11" s="200"/>
      <c r="AJ11" s="200"/>
      <c r="AK11" s="200"/>
      <c r="AL11" s="200"/>
      <c r="AM11" s="202"/>
      <c r="AN11" s="202"/>
    </row>
    <row r="12" spans="1:43" x14ac:dyDescent="0.25">
      <c r="A12" s="193">
        <f t="shared" si="1"/>
        <v>11</v>
      </c>
      <c r="B12" s="193" t="s">
        <v>528</v>
      </c>
      <c r="C12" s="192">
        <v>2</v>
      </c>
      <c r="D12" s="194">
        <v>45689</v>
      </c>
      <c r="E12" s="203">
        <f t="shared" si="2"/>
        <v>2025</v>
      </c>
      <c r="F12" s="195" t="s">
        <v>518</v>
      </c>
      <c r="G12" s="204">
        <f t="shared" si="3"/>
        <v>28</v>
      </c>
      <c r="H12" s="201">
        <v>134.19999999999999</v>
      </c>
      <c r="I12" s="201">
        <v>162.19999999999999</v>
      </c>
      <c r="J12" s="205"/>
      <c r="K12" s="197">
        <v>17.800145982142901</v>
      </c>
      <c r="L12" s="204"/>
      <c r="M12" s="206">
        <v>8614.5999999999985</v>
      </c>
      <c r="N12" s="206">
        <v>66.754999999999995</v>
      </c>
      <c r="O12" s="207">
        <f t="shared" si="4"/>
        <v>0.79561042777382851</v>
      </c>
      <c r="P12" s="205">
        <f t="shared" si="5"/>
        <v>5.7928571428571427</v>
      </c>
      <c r="Q12" s="204">
        <f>COUNTIFS('Daily KPI'!$D:$D,D12,'Daily KPI'!$F:$F,"&gt;0")</f>
        <v>0</v>
      </c>
      <c r="R12" s="206">
        <f>I12/G12*Q12</f>
        <v>0</v>
      </c>
      <c r="S12" s="199">
        <f>SUMIF($F$2:F12,F12,$R$2:R12)</f>
        <v>0</v>
      </c>
      <c r="T12" s="205">
        <f t="shared" si="7"/>
        <v>307.66428571428565</v>
      </c>
      <c r="U12" s="206">
        <f t="shared" si="8"/>
        <v>0</v>
      </c>
      <c r="V12" s="199">
        <f>SUMIF($F$2:F12,F12,$U$2:U12)</f>
        <v>0</v>
      </c>
      <c r="W12" s="207">
        <f t="shared" si="9"/>
        <v>0.19203573122755205</v>
      </c>
      <c r="X12" s="207">
        <f t="shared" si="10"/>
        <v>0</v>
      </c>
      <c r="Y12" s="207" t="str">
        <f t="shared" si="0"/>
        <v/>
      </c>
      <c r="Z12" s="205" t="str">
        <f>IFERROR(AVERAGEIF('Daily KPI'!$D:$D,Table14[[#This Row],[Month]],'Daily KPI'!AB:AB),"")</f>
        <v/>
      </c>
      <c r="AA12" s="201">
        <f>IFERROR(AVERAGEIF($F$2:F12,F12,$N$2:N12),"")</f>
        <v>66.754999999999995</v>
      </c>
      <c r="AB12" s="206"/>
      <c r="AC12" s="205"/>
      <c r="AD12" s="205"/>
      <c r="AE12" s="200">
        <v>0.995</v>
      </c>
      <c r="AF12" s="200">
        <v>0.995</v>
      </c>
      <c r="AG12" s="200"/>
      <c r="AH12" s="207"/>
      <c r="AI12" s="207"/>
      <c r="AJ12" s="207"/>
      <c r="AK12" s="207"/>
      <c r="AL12" s="207"/>
      <c r="AM12" s="208"/>
      <c r="AN12" s="208"/>
    </row>
    <row r="13" spans="1:43" x14ac:dyDescent="0.25">
      <c r="A13" s="192">
        <f t="shared" si="1"/>
        <v>12</v>
      </c>
      <c r="B13" s="193" t="s">
        <v>529</v>
      </c>
      <c r="C13" s="192">
        <v>3</v>
      </c>
      <c r="D13" s="194">
        <v>45717</v>
      </c>
      <c r="E13" s="195">
        <f t="shared" si="2"/>
        <v>2025</v>
      </c>
      <c r="F13" s="195" t="s">
        <v>518</v>
      </c>
      <c r="G13" s="196">
        <f t="shared" si="3"/>
        <v>31</v>
      </c>
      <c r="H13" s="201">
        <v>185.4</v>
      </c>
      <c r="I13" s="201">
        <v>207.2</v>
      </c>
      <c r="J13" s="198"/>
      <c r="K13" s="201">
        <v>23.6002284946236</v>
      </c>
      <c r="L13" s="196"/>
      <c r="M13" s="199">
        <v>10739.699999999999</v>
      </c>
      <c r="N13" s="206">
        <v>66.754999999999995</v>
      </c>
      <c r="O13" s="200">
        <f t="shared" si="4"/>
        <v>0.77645912602095668</v>
      </c>
      <c r="P13" s="198">
        <f t="shared" si="5"/>
        <v>6.6838709677419352</v>
      </c>
      <c r="Q13" s="196">
        <f>COUNTIFS('Daily KPI'!$D:$D,D13,'Daily KPI'!$F:$F,"&gt;0")</f>
        <v>3</v>
      </c>
      <c r="R13" s="199">
        <f t="shared" si="6"/>
        <v>20.051612903225806</v>
      </c>
      <c r="S13" s="199">
        <f>SUMIF($F$2:F13,F13,$R$2:R13)</f>
        <v>20.051612903225806</v>
      </c>
      <c r="T13" s="198">
        <f t="shared" si="7"/>
        <v>346.44193548387091</v>
      </c>
      <c r="U13" s="199">
        <f t="shared" si="8"/>
        <v>1039.3258064516126</v>
      </c>
      <c r="V13" s="199">
        <f>SUMIF($F$2:F13,F13,$U$2:U13)</f>
        <v>1039.3258064516126</v>
      </c>
      <c r="W13" s="200">
        <f t="shared" si="9"/>
        <v>0.21623969208540617</v>
      </c>
      <c r="X13" s="200">
        <f t="shared" si="10"/>
        <v>2.0926421814716725E-2</v>
      </c>
      <c r="Y13" s="200">
        <f t="shared" si="0"/>
        <v>0.21623969208540614</v>
      </c>
      <c r="Z13" s="198">
        <f>IFERROR(AVERAGEIF('Daily KPI'!$D:$D,Table14[[#This Row],[Month]],'Daily KPI'!AB:AB),"")</f>
        <v>66.75</v>
      </c>
      <c r="AA13" s="201">
        <f>IFERROR(AVERAGEIF($F$2:F13,F13,$N$2:N13),"")</f>
        <v>66.754999999999995</v>
      </c>
      <c r="AB13" s="199"/>
      <c r="AC13" s="198"/>
      <c r="AD13" s="198"/>
      <c r="AE13" s="200">
        <v>0.995</v>
      </c>
      <c r="AF13" s="200">
        <v>0.995</v>
      </c>
      <c r="AG13" s="200"/>
      <c r="AH13" s="200"/>
      <c r="AI13" s="200"/>
      <c r="AJ13" s="200"/>
      <c r="AK13" s="200"/>
      <c r="AL13" s="200"/>
      <c r="AM13" s="208"/>
      <c r="AN13" s="208"/>
    </row>
    <row r="14" spans="1:43" x14ac:dyDescent="0.25">
      <c r="A14" s="193">
        <f t="shared" si="1"/>
        <v>13</v>
      </c>
      <c r="B14" s="193" t="str">
        <f>B2</f>
        <v>April</v>
      </c>
      <c r="C14" s="193">
        <f>C2</f>
        <v>4</v>
      </c>
      <c r="D14" s="194">
        <v>45748</v>
      </c>
      <c r="E14" s="203">
        <f>YEAR(D14)</f>
        <v>2025</v>
      </c>
      <c r="F14" s="195" t="s">
        <v>4</v>
      </c>
      <c r="G14" s="204">
        <f>DAY(EOMONTH(D14,0))</f>
        <v>30</v>
      </c>
      <c r="H14" s="201">
        <v>167.2996761</v>
      </c>
      <c r="I14" s="201">
        <v>206.6</v>
      </c>
      <c r="J14" s="205"/>
      <c r="K14" s="197">
        <f>K2</f>
        <v>29.100055555555599</v>
      </c>
      <c r="L14" s="204"/>
      <c r="M14" s="206">
        <v>10495.262683955169</v>
      </c>
      <c r="N14" s="206">
        <v>66.754999999999995</v>
      </c>
      <c r="O14" s="207">
        <f t="shared" si="4"/>
        <v>0.76099043046437598</v>
      </c>
      <c r="P14" s="205">
        <f t="shared" si="5"/>
        <v>6.8866666666666667</v>
      </c>
      <c r="Q14" s="204">
        <f>COUNTIFS('Daily KPI'!$D:$D,D14,'Daily KPI'!$F:$F,"&gt;0")</f>
        <v>30</v>
      </c>
      <c r="R14" s="206">
        <f t="shared" si="6"/>
        <v>206.6</v>
      </c>
      <c r="S14" s="199">
        <f>SUMIF($F$2:F14,F14,$R$2:R14)</f>
        <v>206.6</v>
      </c>
      <c r="T14" s="205">
        <f t="shared" si="7"/>
        <v>349.84208946517231</v>
      </c>
      <c r="U14" s="206">
        <f t="shared" si="8"/>
        <v>10495.262683955169</v>
      </c>
      <c r="V14" s="199">
        <f>SUMIF($F$2:F14,F14,$U$2:U14)</f>
        <v>10495.262683955169</v>
      </c>
      <c r="W14" s="207">
        <f t="shared" si="9"/>
        <v>0.21836197629713899</v>
      </c>
      <c r="X14" s="207">
        <f t="shared" si="10"/>
        <v>0.21836197629713897</v>
      </c>
      <c r="Y14" s="207">
        <f t="shared" si="0"/>
        <v>0.21836197629713897</v>
      </c>
      <c r="Z14" s="205">
        <f>IFERROR(AVERAGEIF('Daily KPI'!$D:$D,Table14[[#This Row],[Month]],'Daily KPI'!AB:AB),"")</f>
        <v>66.75</v>
      </c>
      <c r="AA14" s="201">
        <f>IFERROR(AVERAGEIF($F$2:F14,F14,$N$2:N14),"")</f>
        <v>66.754999999999995</v>
      </c>
      <c r="AB14" s="206"/>
      <c r="AC14" s="205"/>
      <c r="AD14" s="205"/>
      <c r="AE14" s="200">
        <v>0.995</v>
      </c>
      <c r="AF14" s="200">
        <v>0.995</v>
      </c>
      <c r="AG14" s="200"/>
      <c r="AH14" s="207"/>
      <c r="AI14" s="207"/>
      <c r="AJ14" s="207"/>
      <c r="AK14" s="207"/>
      <c r="AL14" s="207"/>
      <c r="AM14" s="208"/>
      <c r="AN14" s="208"/>
    </row>
    <row r="15" spans="1:43" x14ac:dyDescent="0.25">
      <c r="A15" s="192">
        <f t="shared" si="1"/>
        <v>14</v>
      </c>
      <c r="B15" s="193" t="str">
        <f t="shared" ref="B15:C25" si="11">B3</f>
        <v>May</v>
      </c>
      <c r="C15" s="193">
        <f t="shared" si="11"/>
        <v>5</v>
      </c>
      <c r="D15" s="194">
        <v>45778</v>
      </c>
      <c r="E15" s="195">
        <f>YEAR(D15)</f>
        <v>2025</v>
      </c>
      <c r="F15" s="195" t="s">
        <v>4</v>
      </c>
      <c r="G15" s="196">
        <f>DAY(EOMONTH(D15,0))</f>
        <v>31</v>
      </c>
      <c r="H15" s="201">
        <v>203.10123010000001</v>
      </c>
      <c r="I15" s="201">
        <v>191.7</v>
      </c>
      <c r="J15" s="198"/>
      <c r="K15" s="197">
        <f t="shared" ref="K15:K25" si="12">K3</f>
        <v>33.399973118279597</v>
      </c>
      <c r="L15" s="196"/>
      <c r="M15" s="199">
        <v>9688.8167894487815</v>
      </c>
      <c r="N15" s="199">
        <v>66.754999999999995</v>
      </c>
      <c r="O15" s="200">
        <f t="shared" si="4"/>
        <v>0.75712019519744966</v>
      </c>
      <c r="P15" s="198">
        <f t="shared" si="5"/>
        <v>6.1838709677419352</v>
      </c>
      <c r="Q15" s="196">
        <f>COUNTIFS('Daily KPI'!$D:$D,D15,'Daily KPI'!$F:$F,"&gt;0")</f>
        <v>31</v>
      </c>
      <c r="R15" s="199">
        <f t="shared" si="6"/>
        <v>191.7</v>
      </c>
      <c r="S15" s="199">
        <f>SUMIF($F$2:F15,F15,$R$2:R15)</f>
        <v>398.29999999999995</v>
      </c>
      <c r="T15" s="198">
        <f t="shared" si="7"/>
        <v>312.54247707899293</v>
      </c>
      <c r="U15" s="199">
        <f t="shared" si="8"/>
        <v>9688.8167894487815</v>
      </c>
      <c r="V15" s="199">
        <f>SUMIF($F$2:F15,F15,$U$2:U15)</f>
        <v>20184.079473403952</v>
      </c>
      <c r="W15" s="200">
        <f t="shared" si="9"/>
        <v>0.19508056642385899</v>
      </c>
      <c r="X15" s="200">
        <f t="shared" si="10"/>
        <v>0.19508056642385901</v>
      </c>
      <c r="Y15" s="200">
        <f t="shared" si="0"/>
        <v>0.20653044013202951</v>
      </c>
      <c r="Z15" s="198">
        <f>IFERROR(AVERAGEIF('Daily KPI'!$D:$D,Table14[[#This Row],[Month]],'Daily KPI'!AB:AB),"")</f>
        <v>66.75</v>
      </c>
      <c r="AA15" s="201">
        <f>IFERROR(AVERAGEIF($F$2:F15,F15,$N$2:N15),"")</f>
        <v>66.754999999999995</v>
      </c>
      <c r="AB15" s="199"/>
      <c r="AC15" s="198"/>
      <c r="AD15" s="198"/>
      <c r="AE15" s="200">
        <v>0.995</v>
      </c>
      <c r="AF15" s="200">
        <v>0.995</v>
      </c>
      <c r="AG15" s="200"/>
      <c r="AH15" s="200"/>
      <c r="AI15" s="200"/>
      <c r="AJ15" s="200"/>
      <c r="AK15" s="200"/>
      <c r="AL15" s="200"/>
      <c r="AM15" s="208"/>
      <c r="AN15" s="208"/>
    </row>
    <row r="16" spans="1:43" x14ac:dyDescent="0.25">
      <c r="A16" s="192">
        <f t="shared" si="1"/>
        <v>15</v>
      </c>
      <c r="B16" s="193" t="str">
        <f t="shared" si="11"/>
        <v>June</v>
      </c>
      <c r="C16" s="193">
        <f t="shared" si="11"/>
        <v>6</v>
      </c>
      <c r="D16" s="194">
        <v>45809</v>
      </c>
      <c r="E16" s="195">
        <f t="shared" ref="E16:E25" si="13">YEAR(D16)</f>
        <v>2025</v>
      </c>
      <c r="F16" s="195" t="s">
        <v>4</v>
      </c>
      <c r="G16" s="196">
        <f t="shared" ref="G16:G25" si="14">DAY(EOMONTH(D16,0))</f>
        <v>30</v>
      </c>
      <c r="H16" s="201">
        <f t="shared" ref="H16:H25" si="15">H4</f>
        <v>165.8</v>
      </c>
      <c r="I16" s="201">
        <v>157.1</v>
      </c>
      <c r="J16" s="198"/>
      <c r="K16" s="197">
        <f t="shared" si="12"/>
        <v>34.800083333333298</v>
      </c>
      <c r="L16" s="196"/>
      <c r="M16" s="199">
        <v>7971.7749974725029</v>
      </c>
      <c r="N16" s="199">
        <v>66.754999999999995</v>
      </c>
      <c r="O16" s="200">
        <f t="shared" si="4"/>
        <v>0.7601425562567381</v>
      </c>
      <c r="P16" s="198">
        <f t="shared" si="5"/>
        <v>5.2366666666666664</v>
      </c>
      <c r="Q16" s="196">
        <f>COUNTIFS('Daily KPI'!$D:$D,D16,'Daily KPI'!$F:$F,"&gt;0")</f>
        <v>30</v>
      </c>
      <c r="R16" s="199">
        <f t="shared" si="6"/>
        <v>157.1</v>
      </c>
      <c r="S16" s="199">
        <f>SUMIF($F$2:F16,F16,$R$2:R16)</f>
        <v>555.4</v>
      </c>
      <c r="T16" s="198">
        <f t="shared" si="7"/>
        <v>265.72583324908345</v>
      </c>
      <c r="U16" s="199">
        <f t="shared" si="8"/>
        <v>7971.7749974725039</v>
      </c>
      <c r="V16" s="199">
        <f>SUMIF($F$2:F16,F16,$U$2:U16)</f>
        <v>28155.854470876457</v>
      </c>
      <c r="W16" s="200">
        <f t="shared" si="9"/>
        <v>0.16585888276101882</v>
      </c>
      <c r="X16" s="200">
        <f t="shared" si="10"/>
        <v>0.16585888276101882</v>
      </c>
      <c r="Y16" s="200">
        <f t="shared" si="0"/>
        <v>0.1931222344053227</v>
      </c>
      <c r="Z16" s="198">
        <f>IFERROR(AVERAGEIF('Daily KPI'!$D:$D,Table14[[#This Row],[Month]],'Daily KPI'!AB:AB),"")</f>
        <v>66.75</v>
      </c>
      <c r="AA16" s="201">
        <f>IFERROR(AVERAGEIF($F$2:F16,F16,$N$2:N16),"")</f>
        <v>66.754999999999995</v>
      </c>
      <c r="AB16" s="199"/>
      <c r="AC16" s="198"/>
      <c r="AD16" s="198"/>
      <c r="AE16" s="200">
        <v>0.995</v>
      </c>
      <c r="AF16" s="200">
        <v>0.995</v>
      </c>
      <c r="AG16" s="200"/>
      <c r="AH16" s="200"/>
      <c r="AI16" s="200"/>
      <c r="AJ16" s="200"/>
      <c r="AK16" s="200"/>
      <c r="AL16" s="200"/>
      <c r="AM16" s="208"/>
      <c r="AN16" s="208"/>
    </row>
    <row r="17" spans="1:40" x14ac:dyDescent="0.25">
      <c r="A17" s="192">
        <f t="shared" si="1"/>
        <v>16</v>
      </c>
      <c r="B17" s="193" t="str">
        <f t="shared" si="11"/>
        <v>July</v>
      </c>
      <c r="C17" s="193">
        <f t="shared" si="11"/>
        <v>7</v>
      </c>
      <c r="D17" s="194">
        <v>45839</v>
      </c>
      <c r="E17" s="195">
        <f t="shared" si="13"/>
        <v>2025</v>
      </c>
      <c r="F17" s="195" t="s">
        <v>4</v>
      </c>
      <c r="G17" s="196">
        <f t="shared" si="14"/>
        <v>31</v>
      </c>
      <c r="H17" s="201">
        <f t="shared" si="15"/>
        <v>141.9</v>
      </c>
      <c r="I17" s="201">
        <v>135</v>
      </c>
      <c r="J17" s="198"/>
      <c r="K17" s="197">
        <f t="shared" si="12"/>
        <v>33.099892473118302</v>
      </c>
      <c r="L17" s="196"/>
      <c r="M17" s="199">
        <v>6947.4740508956693</v>
      </c>
      <c r="N17" s="199">
        <v>66.754999999999995</v>
      </c>
      <c r="O17" s="200">
        <f t="shared" si="4"/>
        <v>0.77092009208861256</v>
      </c>
      <c r="P17" s="198">
        <f t="shared" si="5"/>
        <v>4.354838709677419</v>
      </c>
      <c r="Q17" s="196">
        <f>COUNTIFS('Daily KPI'!$D:$D,D17,'Daily KPI'!$F:$F,"&gt;0")</f>
        <v>23</v>
      </c>
      <c r="R17" s="199">
        <f t="shared" si="6"/>
        <v>100.16129032258064</v>
      </c>
      <c r="S17" s="199">
        <f>SUMIF($F$2:F17,F17,$R$2:R17)</f>
        <v>655.56129032258059</v>
      </c>
      <c r="T17" s="198">
        <f t="shared" si="7"/>
        <v>224.11206615792483</v>
      </c>
      <c r="U17" s="199">
        <f t="shared" si="8"/>
        <v>5154.5775216322709</v>
      </c>
      <c r="V17" s="199">
        <f>SUMIF($F$2:F17,F17,$U$2:U17)</f>
        <v>33310.431992508726</v>
      </c>
      <c r="W17" s="200">
        <f t="shared" si="9"/>
        <v>0.13988469412898213</v>
      </c>
      <c r="X17" s="200">
        <f t="shared" si="10"/>
        <v>0.10378541822472867</v>
      </c>
      <c r="Y17" s="200">
        <f t="shared" si="0"/>
        <v>0.18238132715658731</v>
      </c>
      <c r="Z17" s="198">
        <f>IFERROR(AVERAGEIF('Daily KPI'!$D:$D,Table14[[#This Row],[Month]],'Daily KPI'!AB:AB),"")</f>
        <v>66.75</v>
      </c>
      <c r="AA17" s="201">
        <f>IFERROR(AVERAGEIF($F$2:F17,F17,$N$2:N17),"")</f>
        <v>66.754999999999995</v>
      </c>
      <c r="AB17" s="199"/>
      <c r="AC17" s="198"/>
      <c r="AD17" s="209"/>
      <c r="AE17" s="200">
        <v>0.995</v>
      </c>
      <c r="AF17" s="200">
        <v>0.995</v>
      </c>
      <c r="AG17" s="200"/>
      <c r="AH17" s="200"/>
      <c r="AI17" s="200"/>
      <c r="AJ17" s="200"/>
      <c r="AK17" s="200"/>
      <c r="AL17" s="200"/>
      <c r="AM17" s="208"/>
      <c r="AN17" s="208"/>
    </row>
    <row r="18" spans="1:40" x14ac:dyDescent="0.25">
      <c r="A18" s="192">
        <f t="shared" si="1"/>
        <v>17</v>
      </c>
      <c r="B18" s="193" t="str">
        <f t="shared" si="11"/>
        <v>August</v>
      </c>
      <c r="C18" s="193">
        <f t="shared" si="11"/>
        <v>8</v>
      </c>
      <c r="D18" s="194">
        <v>45870</v>
      </c>
      <c r="E18" s="195">
        <f t="shared" si="13"/>
        <v>2025</v>
      </c>
      <c r="F18" s="195" t="s">
        <v>4</v>
      </c>
      <c r="G18" s="196">
        <f t="shared" si="14"/>
        <v>31</v>
      </c>
      <c r="H18" s="201">
        <f t="shared" si="15"/>
        <v>145</v>
      </c>
      <c r="I18" s="201">
        <v>143.9</v>
      </c>
      <c r="J18" s="198"/>
      <c r="K18" s="197">
        <f t="shared" si="12"/>
        <v>31.799973118279599</v>
      </c>
      <c r="L18" s="196"/>
      <c r="M18" s="199">
        <v>7455.8025057267105</v>
      </c>
      <c r="N18" s="199">
        <v>66.754999999999995</v>
      </c>
      <c r="O18" s="200">
        <f t="shared" si="4"/>
        <v>0.77615739815974316</v>
      </c>
      <c r="P18" s="198">
        <f t="shared" si="5"/>
        <v>4.6419354838709683</v>
      </c>
      <c r="Q18" s="196">
        <f>COUNTIFS('Daily KPI'!$D:$D,D18,'Daily KPI'!$F:$F,"&gt;0")</f>
        <v>0</v>
      </c>
      <c r="R18" s="199">
        <f t="shared" si="6"/>
        <v>0</v>
      </c>
      <c r="S18" s="199">
        <f>SUMIF($F$2:F18,F18,$R$2:R18)</f>
        <v>655.56129032258059</v>
      </c>
      <c r="T18" s="198">
        <f t="shared" si="7"/>
        <v>240.50975824924873</v>
      </c>
      <c r="U18" s="199">
        <f t="shared" si="8"/>
        <v>0</v>
      </c>
      <c r="V18" s="199">
        <f>SUMIF($F$2:F18,F18,$U$2:U18)</f>
        <v>33310.431992508726</v>
      </c>
      <c r="W18" s="200">
        <f t="shared" si="9"/>
        <v>0.15011969031611161</v>
      </c>
      <c r="X18" s="200">
        <f t="shared" si="10"/>
        <v>0</v>
      </c>
      <c r="Y18" s="200">
        <f t="shared" si="0"/>
        <v>0.18238132715658731</v>
      </c>
      <c r="Z18" s="198">
        <f>IFERROR(AVERAGEIF('Daily KPI'!$D:$D,Table14[[#This Row],[Month]],'Daily KPI'!AB:AB),"")</f>
        <v>66.75</v>
      </c>
      <c r="AA18" s="201">
        <f>IFERROR(AVERAGEIF($F$2:F18,F18,$N$2:N18),"")</f>
        <v>66.754999999999995</v>
      </c>
      <c r="AB18" s="199"/>
      <c r="AC18" s="198"/>
      <c r="AD18" s="198"/>
      <c r="AE18" s="200">
        <v>0.995</v>
      </c>
      <c r="AF18" s="200">
        <v>0.995</v>
      </c>
      <c r="AG18" s="200"/>
      <c r="AH18" s="200"/>
      <c r="AI18" s="200"/>
      <c r="AJ18" s="200"/>
      <c r="AK18" s="200"/>
      <c r="AL18" s="200"/>
      <c r="AM18" s="208"/>
      <c r="AN18" s="208"/>
    </row>
    <row r="19" spans="1:40" x14ac:dyDescent="0.25">
      <c r="A19" s="192">
        <f t="shared" si="1"/>
        <v>18</v>
      </c>
      <c r="B19" s="193" t="str">
        <f t="shared" si="11"/>
        <v>September</v>
      </c>
      <c r="C19" s="193">
        <f t="shared" si="11"/>
        <v>9</v>
      </c>
      <c r="D19" s="194">
        <v>45901</v>
      </c>
      <c r="E19" s="195">
        <f t="shared" si="13"/>
        <v>2025</v>
      </c>
      <c r="F19" s="195" t="s">
        <v>4</v>
      </c>
      <c r="G19" s="196">
        <f t="shared" si="14"/>
        <v>30</v>
      </c>
      <c r="H19" s="201">
        <f t="shared" si="15"/>
        <v>153</v>
      </c>
      <c r="I19" s="201">
        <v>163.30000000000001</v>
      </c>
      <c r="J19" s="198"/>
      <c r="K19" s="197">
        <f t="shared" si="12"/>
        <v>31.199874999999999</v>
      </c>
      <c r="L19" s="196"/>
      <c r="M19" s="199">
        <v>8414.1736339138042</v>
      </c>
      <c r="N19" s="199">
        <v>66.754999999999995</v>
      </c>
      <c r="O19" s="200">
        <f t="shared" si="4"/>
        <v>0.77186524247721466</v>
      </c>
      <c r="P19" s="198">
        <f t="shared" si="5"/>
        <v>5.4433333333333334</v>
      </c>
      <c r="Q19" s="196">
        <f>COUNTIFS('Daily KPI'!$D:$D,D19,'Daily KPI'!$F:$F,"&gt;0")</f>
        <v>0</v>
      </c>
      <c r="R19" s="199">
        <f t="shared" si="6"/>
        <v>0</v>
      </c>
      <c r="S19" s="199">
        <f>SUMIF($F$2:F19,F19,$R$2:R19)</f>
        <v>655.56129032258059</v>
      </c>
      <c r="T19" s="198">
        <f t="shared" si="7"/>
        <v>280.4724544637935</v>
      </c>
      <c r="U19" s="199">
        <f t="shared" si="8"/>
        <v>0</v>
      </c>
      <c r="V19" s="199">
        <f>SUMIF($F$2:F19,F19,$U$2:U19)</f>
        <v>33310.431992508726</v>
      </c>
      <c r="W19" s="200">
        <f t="shared" si="9"/>
        <v>0.1750633251340683</v>
      </c>
      <c r="X19" s="200">
        <f t="shared" si="10"/>
        <v>0</v>
      </c>
      <c r="Y19" s="200">
        <f t="shared" si="0"/>
        <v>0.18238132715658731</v>
      </c>
      <c r="Z19" s="198" t="str">
        <f>IFERROR(AVERAGEIF('Daily KPI'!$D:$D,Table14[[#This Row],[Month]],'Daily KPI'!AB:AB),"")</f>
        <v/>
      </c>
      <c r="AA19" s="201">
        <f>IFERROR(AVERAGEIF($F$2:F19,F19,$N$2:N19),"")</f>
        <v>66.754999999999995</v>
      </c>
      <c r="AB19" s="199"/>
      <c r="AC19" s="198"/>
      <c r="AD19" s="209"/>
      <c r="AE19" s="200">
        <v>0.995</v>
      </c>
      <c r="AF19" s="200">
        <v>0.995</v>
      </c>
      <c r="AG19" s="200"/>
      <c r="AH19" s="200"/>
      <c r="AI19" s="200"/>
      <c r="AJ19" s="200"/>
      <c r="AK19" s="200"/>
      <c r="AL19" s="200"/>
      <c r="AM19" s="208"/>
      <c r="AN19" s="208"/>
    </row>
    <row r="20" spans="1:40" x14ac:dyDescent="0.25">
      <c r="A20" s="192">
        <f t="shared" si="1"/>
        <v>19</v>
      </c>
      <c r="B20" s="193" t="str">
        <f t="shared" si="11"/>
        <v>October</v>
      </c>
      <c r="C20" s="193">
        <f t="shared" si="11"/>
        <v>10</v>
      </c>
      <c r="D20" s="194">
        <v>45931</v>
      </c>
      <c r="E20" s="195">
        <f t="shared" si="13"/>
        <v>2025</v>
      </c>
      <c r="F20" s="195" t="s">
        <v>4</v>
      </c>
      <c r="G20" s="196">
        <f t="shared" si="14"/>
        <v>31</v>
      </c>
      <c r="H20" s="201">
        <f t="shared" si="15"/>
        <v>153.5</v>
      </c>
      <c r="I20" s="201">
        <v>177.1</v>
      </c>
      <c r="J20" s="198"/>
      <c r="K20" s="197">
        <f t="shared" si="12"/>
        <v>27.1001075268817</v>
      </c>
      <c r="L20" s="196"/>
      <c r="M20" s="199">
        <v>9194.8209038329023</v>
      </c>
      <c r="N20" s="199">
        <v>66.754999999999995</v>
      </c>
      <c r="O20" s="200">
        <f t="shared" si="4"/>
        <v>0.77775159972603525</v>
      </c>
      <c r="P20" s="198">
        <f t="shared" si="5"/>
        <v>5.7129032258064516</v>
      </c>
      <c r="Q20" s="196">
        <f>COUNTIFS('Daily KPI'!$D:$D,D20,'Daily KPI'!$F:$F,"&gt;0")</f>
        <v>0</v>
      </c>
      <c r="R20" s="199">
        <f t="shared" si="6"/>
        <v>0</v>
      </c>
      <c r="S20" s="199">
        <f>SUMIF($F$2:F20,F20,$R$2:R20)</f>
        <v>655.56129032258059</v>
      </c>
      <c r="T20" s="198">
        <f t="shared" si="7"/>
        <v>296.60712593009362</v>
      </c>
      <c r="U20" s="199">
        <f t="shared" si="8"/>
        <v>0</v>
      </c>
      <c r="V20" s="199">
        <f>SUMIF($F$2:F20,F20,$U$2:U20)</f>
        <v>33310.431992508726</v>
      </c>
      <c r="W20" s="200">
        <f t="shared" si="9"/>
        <v>0.18513415095629143</v>
      </c>
      <c r="X20" s="200">
        <f t="shared" si="10"/>
        <v>0</v>
      </c>
      <c r="Y20" s="200">
        <f t="shared" si="0"/>
        <v>0.18238132715658731</v>
      </c>
      <c r="Z20" s="198" t="str">
        <f>IFERROR(AVERAGEIF('Daily KPI'!$D:$D,Table14[[#This Row],[Month]],'Daily KPI'!AB:AB),"")</f>
        <v/>
      </c>
      <c r="AA20" s="201">
        <f>IFERROR(AVERAGEIF($F$2:F20,F20,$N$2:N20),"")</f>
        <v>66.754999999999995</v>
      </c>
      <c r="AB20" s="199"/>
      <c r="AC20" s="198"/>
      <c r="AD20" s="198"/>
      <c r="AE20" s="200">
        <v>0.995</v>
      </c>
      <c r="AF20" s="200">
        <v>0.995</v>
      </c>
      <c r="AG20" s="200"/>
      <c r="AH20" s="200"/>
      <c r="AI20" s="200"/>
      <c r="AJ20" s="200"/>
      <c r="AK20" s="200"/>
      <c r="AL20" s="200"/>
      <c r="AM20" s="208"/>
      <c r="AN20" s="208"/>
    </row>
    <row r="21" spans="1:40" x14ac:dyDescent="0.25">
      <c r="A21" s="192">
        <f t="shared" si="1"/>
        <v>20</v>
      </c>
      <c r="B21" s="193" t="str">
        <f t="shared" si="11"/>
        <v>November</v>
      </c>
      <c r="C21" s="193">
        <f t="shared" si="11"/>
        <v>11</v>
      </c>
      <c r="D21" s="194">
        <v>45962</v>
      </c>
      <c r="E21" s="195">
        <f t="shared" si="13"/>
        <v>2025</v>
      </c>
      <c r="F21" s="195" t="s">
        <v>4</v>
      </c>
      <c r="G21" s="196">
        <f t="shared" si="14"/>
        <v>30</v>
      </c>
      <c r="H21" s="201">
        <f t="shared" si="15"/>
        <v>117.4</v>
      </c>
      <c r="I21" s="201">
        <v>144.5</v>
      </c>
      <c r="J21" s="198"/>
      <c r="K21" s="197">
        <f t="shared" si="12"/>
        <v>20.900027777777801</v>
      </c>
      <c r="L21" s="196"/>
      <c r="M21" s="199">
        <v>7712.8332469852621</v>
      </c>
      <c r="N21" s="199">
        <v>66.754999999999995</v>
      </c>
      <c r="O21" s="200">
        <f t="shared" si="4"/>
        <v>0.79958068503716273</v>
      </c>
      <c r="P21" s="198">
        <f t="shared" si="5"/>
        <v>4.8166666666666664</v>
      </c>
      <c r="Q21" s="196">
        <f>COUNTIFS('Daily KPI'!$D:$D,D21,'Daily KPI'!$F:$F,"&gt;0")</f>
        <v>0</v>
      </c>
      <c r="R21" s="199">
        <f t="shared" si="6"/>
        <v>0</v>
      </c>
      <c r="S21" s="199">
        <f>SUMIF($F$2:F21,F21,$R$2:R21)</f>
        <v>655.56129032258059</v>
      </c>
      <c r="T21" s="198">
        <f t="shared" si="7"/>
        <v>257.09444156617542</v>
      </c>
      <c r="U21" s="199">
        <f t="shared" si="8"/>
        <v>0</v>
      </c>
      <c r="V21" s="199">
        <f>SUMIF($F$2:F21,F21,$U$2:U21)</f>
        <v>33310.431992508726</v>
      </c>
      <c r="W21" s="200">
        <f t="shared" si="9"/>
        <v>0.16047140137204169</v>
      </c>
      <c r="X21" s="200">
        <f t="shared" si="10"/>
        <v>0</v>
      </c>
      <c r="Y21" s="200">
        <f t="shared" si="0"/>
        <v>0.18238132715658731</v>
      </c>
      <c r="Z21" s="198" t="str">
        <f>IFERROR(AVERAGEIF('Daily KPI'!$D:$D,Table14[[#This Row],[Month]],'Daily KPI'!AB:AB),"")</f>
        <v/>
      </c>
      <c r="AA21" s="201">
        <f>IFERROR(AVERAGEIF($F$2:F21,F21,$N$2:N21),"")</f>
        <v>66.754999999999995</v>
      </c>
      <c r="AB21" s="199"/>
      <c r="AC21" s="198"/>
      <c r="AD21" s="209"/>
      <c r="AE21" s="200">
        <v>0.995</v>
      </c>
      <c r="AF21" s="200">
        <v>0.995</v>
      </c>
      <c r="AG21" s="200"/>
      <c r="AH21" s="200"/>
      <c r="AI21" s="200"/>
      <c r="AJ21" s="200"/>
      <c r="AK21" s="200"/>
      <c r="AL21" s="200"/>
      <c r="AM21" s="208"/>
      <c r="AN21" s="208"/>
    </row>
    <row r="22" spans="1:40" x14ac:dyDescent="0.25">
      <c r="A22" s="192">
        <f t="shared" si="1"/>
        <v>21</v>
      </c>
      <c r="B22" s="193" t="str">
        <f t="shared" si="11"/>
        <v>December</v>
      </c>
      <c r="C22" s="193">
        <f t="shared" si="11"/>
        <v>12</v>
      </c>
      <c r="D22" s="194">
        <v>45992</v>
      </c>
      <c r="E22" s="195">
        <f t="shared" si="13"/>
        <v>2025</v>
      </c>
      <c r="F22" s="195" t="s">
        <v>4</v>
      </c>
      <c r="G22" s="196">
        <f t="shared" si="14"/>
        <v>31</v>
      </c>
      <c r="H22" s="201">
        <f t="shared" si="15"/>
        <v>103.2</v>
      </c>
      <c r="I22" s="201">
        <v>132.4</v>
      </c>
      <c r="J22" s="198"/>
      <c r="K22" s="197">
        <f t="shared" si="12"/>
        <v>15.891489381720399</v>
      </c>
      <c r="L22" s="196"/>
      <c r="M22" s="199">
        <v>7212.148829068974</v>
      </c>
      <c r="N22" s="199">
        <v>66.754999999999995</v>
      </c>
      <c r="O22" s="200">
        <f t="shared" si="4"/>
        <v>0.81600514089250631</v>
      </c>
      <c r="P22" s="198">
        <f t="shared" si="5"/>
        <v>4.2709677419354843</v>
      </c>
      <c r="Q22" s="196">
        <f>COUNTIFS('Daily KPI'!$D:$D,D22,'Daily KPI'!$F:$F,"&gt;0")</f>
        <v>0</v>
      </c>
      <c r="R22" s="199">
        <f t="shared" si="6"/>
        <v>0</v>
      </c>
      <c r="S22" s="199">
        <f>SUMIF($F$2:F22,F22,$R$2:R22)</f>
        <v>655.56129032258059</v>
      </c>
      <c r="T22" s="198">
        <f t="shared" si="7"/>
        <v>232.64996222803143</v>
      </c>
      <c r="U22" s="199">
        <f t="shared" si="8"/>
        <v>0</v>
      </c>
      <c r="V22" s="199">
        <f>SUMIF($F$2:F22,F22,$U$2:U22)</f>
        <v>33310.431992508726</v>
      </c>
      <c r="W22" s="200">
        <f t="shared" si="9"/>
        <v>0.14521381808355893</v>
      </c>
      <c r="X22" s="200">
        <f t="shared" si="10"/>
        <v>0</v>
      </c>
      <c r="Y22" s="200">
        <f t="shared" si="0"/>
        <v>0.18238132715658731</v>
      </c>
      <c r="Z22" s="198" t="str">
        <f>IFERROR(AVERAGEIF('Daily KPI'!$D:$D,Table14[[#This Row],[Month]],'Daily KPI'!AB:AB),"")</f>
        <v/>
      </c>
      <c r="AA22" s="201">
        <f>IFERROR(AVERAGEIF($F$2:F22,F22,$N$2:N22),"")</f>
        <v>66.754999999999995</v>
      </c>
      <c r="AB22" s="199"/>
      <c r="AC22" s="198"/>
      <c r="AD22" s="198"/>
      <c r="AE22" s="200">
        <v>0.995</v>
      </c>
      <c r="AF22" s="200">
        <v>0.995</v>
      </c>
      <c r="AG22" s="200"/>
      <c r="AH22" s="200"/>
      <c r="AI22" s="200"/>
      <c r="AJ22" s="200"/>
      <c r="AK22" s="200"/>
      <c r="AL22" s="200"/>
      <c r="AM22" s="208"/>
      <c r="AN22" s="208"/>
    </row>
    <row r="23" spans="1:40" x14ac:dyDescent="0.25">
      <c r="A23" s="192">
        <f t="shared" si="1"/>
        <v>22</v>
      </c>
      <c r="B23" s="193" t="str">
        <f t="shared" si="11"/>
        <v>January</v>
      </c>
      <c r="C23" s="193">
        <f t="shared" si="11"/>
        <v>1</v>
      </c>
      <c r="D23" s="194">
        <v>46023</v>
      </c>
      <c r="E23" s="195">
        <f t="shared" si="13"/>
        <v>2026</v>
      </c>
      <c r="F23" s="195" t="s">
        <v>4</v>
      </c>
      <c r="G23" s="196">
        <f t="shared" si="14"/>
        <v>31</v>
      </c>
      <c r="H23" s="201">
        <f t="shared" si="15"/>
        <v>102.5</v>
      </c>
      <c r="I23" s="201">
        <v>127.5</v>
      </c>
      <c r="J23" s="198"/>
      <c r="K23" s="197">
        <f t="shared" si="12"/>
        <v>14.399918279569899</v>
      </c>
      <c r="L23" s="196"/>
      <c r="M23" s="199">
        <v>6979.9612077833672</v>
      </c>
      <c r="N23" s="199">
        <v>66.754999999999995</v>
      </c>
      <c r="O23" s="200">
        <f t="shared" si="4"/>
        <v>0.8200852937837797</v>
      </c>
      <c r="P23" s="198">
        <f t="shared" si="5"/>
        <v>4.112903225806452</v>
      </c>
      <c r="Q23" s="196">
        <f>COUNTIFS('Daily KPI'!$D:$D,D23,'Daily KPI'!$F:$F,"&gt;0")</f>
        <v>0</v>
      </c>
      <c r="R23" s="199">
        <f t="shared" si="6"/>
        <v>0</v>
      </c>
      <c r="S23" s="199">
        <f>SUMIF($F$2:F23,F23,$R$2:R23)</f>
        <v>655.56129032258059</v>
      </c>
      <c r="T23" s="198">
        <f t="shared" si="7"/>
        <v>225.16003896075378</v>
      </c>
      <c r="U23" s="199">
        <f t="shared" si="8"/>
        <v>0</v>
      </c>
      <c r="V23" s="199">
        <f>SUMIF($F$2:F23,F23,$U$2:U23)</f>
        <v>33310.431992508726</v>
      </c>
      <c r="W23" s="200">
        <f t="shared" si="9"/>
        <v>0.14053881042665581</v>
      </c>
      <c r="X23" s="200">
        <f t="shared" si="10"/>
        <v>0</v>
      </c>
      <c r="Y23" s="200">
        <f t="shared" si="0"/>
        <v>0.18238132715658731</v>
      </c>
      <c r="Z23" s="198" t="str">
        <f>IFERROR(AVERAGEIF('Daily KPI'!$D:$D,Table14[[#This Row],[Month]],'Daily KPI'!AB:AB),"")</f>
        <v/>
      </c>
      <c r="AA23" s="201">
        <f>IFERROR(AVERAGEIF($F$2:F23,F23,$N$2:N23),"")</f>
        <v>66.754999999999995</v>
      </c>
      <c r="AB23" s="199"/>
      <c r="AC23" s="198"/>
      <c r="AD23" s="209"/>
      <c r="AE23" s="200">
        <v>0.995</v>
      </c>
      <c r="AF23" s="200">
        <v>0.995</v>
      </c>
      <c r="AG23" s="200"/>
      <c r="AH23" s="200"/>
      <c r="AI23" s="200"/>
      <c r="AJ23" s="200"/>
      <c r="AK23" s="200"/>
      <c r="AL23" s="200"/>
      <c r="AM23" s="208"/>
      <c r="AN23" s="208"/>
    </row>
    <row r="24" spans="1:40" x14ac:dyDescent="0.25">
      <c r="A24" s="192">
        <f t="shared" si="1"/>
        <v>23</v>
      </c>
      <c r="B24" s="193" t="str">
        <f t="shared" si="11"/>
        <v>February</v>
      </c>
      <c r="C24" s="193">
        <f t="shared" si="11"/>
        <v>2</v>
      </c>
      <c r="D24" s="194">
        <v>46054</v>
      </c>
      <c r="E24" s="195">
        <f t="shared" si="13"/>
        <v>2026</v>
      </c>
      <c r="F24" s="195" t="s">
        <v>4</v>
      </c>
      <c r="G24" s="196">
        <f t="shared" si="14"/>
        <v>28</v>
      </c>
      <c r="H24" s="201">
        <f t="shared" si="15"/>
        <v>134.19999999999999</v>
      </c>
      <c r="I24" s="201">
        <v>162.19999999999999</v>
      </c>
      <c r="J24" s="198"/>
      <c r="K24" s="197">
        <f t="shared" si="12"/>
        <v>17.800145982142901</v>
      </c>
      <c r="L24" s="196"/>
      <c r="M24" s="199">
        <v>8661.6493290289163</v>
      </c>
      <c r="N24" s="199">
        <v>66.754999999999995</v>
      </c>
      <c r="O24" s="200">
        <f t="shared" si="4"/>
        <v>0.79995571795505216</v>
      </c>
      <c r="P24" s="198">
        <f t="shared" si="5"/>
        <v>5.7928571428571427</v>
      </c>
      <c r="Q24" s="196">
        <f>COUNTIFS('Daily KPI'!$D:$D,D24,'Daily KPI'!$F:$F,"&gt;0")</f>
        <v>0</v>
      </c>
      <c r="R24" s="199">
        <f t="shared" si="6"/>
        <v>0</v>
      </c>
      <c r="S24" s="199">
        <f>SUMIF($F$2:F24,F24,$R$2:R24)</f>
        <v>655.56129032258059</v>
      </c>
      <c r="T24" s="198">
        <f t="shared" si="7"/>
        <v>309.34461889388984</v>
      </c>
      <c r="U24" s="199">
        <f t="shared" si="8"/>
        <v>0</v>
      </c>
      <c r="V24" s="199">
        <f>SUMIF($F$2:F24,F24,$U$2:U24)</f>
        <v>33310.431992508726</v>
      </c>
      <c r="W24" s="200">
        <f t="shared" si="9"/>
        <v>0.19308454978022238</v>
      </c>
      <c r="X24" s="200">
        <f t="shared" si="10"/>
        <v>0</v>
      </c>
      <c r="Y24" s="200">
        <f t="shared" si="0"/>
        <v>0.18238132715658731</v>
      </c>
      <c r="Z24" s="198" t="str">
        <f>IFERROR(AVERAGEIF('Daily KPI'!$D:$D,Table14[[#This Row],[Month]],'Daily KPI'!AB:AB),"")</f>
        <v/>
      </c>
      <c r="AA24" s="201">
        <f>IFERROR(AVERAGEIF($F$2:F24,F24,$N$2:N24),"")</f>
        <v>66.754999999999995</v>
      </c>
      <c r="AB24" s="199"/>
      <c r="AC24" s="198"/>
      <c r="AD24" s="198"/>
      <c r="AE24" s="200">
        <v>0.995</v>
      </c>
      <c r="AF24" s="200">
        <v>0.995</v>
      </c>
      <c r="AG24" s="200"/>
      <c r="AH24" s="200"/>
      <c r="AI24" s="200"/>
      <c r="AJ24" s="200"/>
      <c r="AK24" s="200"/>
      <c r="AL24" s="200"/>
      <c r="AM24" s="208"/>
      <c r="AN24" s="208"/>
    </row>
    <row r="25" spans="1:40" x14ac:dyDescent="0.25">
      <c r="A25" s="192">
        <f t="shared" si="1"/>
        <v>24</v>
      </c>
      <c r="B25" s="193" t="str">
        <f t="shared" si="11"/>
        <v>March</v>
      </c>
      <c r="C25" s="193">
        <f t="shared" si="11"/>
        <v>3</v>
      </c>
      <c r="D25" s="194">
        <v>46082</v>
      </c>
      <c r="E25" s="195">
        <f t="shared" si="13"/>
        <v>2026</v>
      </c>
      <c r="F25" s="195" t="s">
        <v>4</v>
      </c>
      <c r="G25" s="196">
        <f t="shared" si="14"/>
        <v>31</v>
      </c>
      <c r="H25" s="201">
        <f t="shared" si="15"/>
        <v>185.4</v>
      </c>
      <c r="I25" s="201">
        <v>207.2</v>
      </c>
      <c r="J25" s="198"/>
      <c r="K25" s="197">
        <f t="shared" si="12"/>
        <v>23.6002284946236</v>
      </c>
      <c r="L25" s="196"/>
      <c r="M25" s="199">
        <v>10735.094342155528</v>
      </c>
      <c r="N25" s="199">
        <v>66.754999999999995</v>
      </c>
      <c r="O25" s="200">
        <f t="shared" si="4"/>
        <v>0.77612614604342745</v>
      </c>
      <c r="P25" s="198">
        <f t="shared" si="5"/>
        <v>6.6838709677419352</v>
      </c>
      <c r="Q25" s="196">
        <f>COUNTIFS('Daily KPI'!$D:$D,D25,'Daily KPI'!$F:$F,"&gt;0")</f>
        <v>0</v>
      </c>
      <c r="R25" s="199">
        <f t="shared" si="6"/>
        <v>0</v>
      </c>
      <c r="S25" s="211">
        <f>SUMIF($F$2:F25,F25,$R$2:R25)</f>
        <v>655.56129032258059</v>
      </c>
      <c r="T25" s="198">
        <f t="shared" si="7"/>
        <v>346.29336587598476</v>
      </c>
      <c r="U25" s="199">
        <f t="shared" si="8"/>
        <v>0</v>
      </c>
      <c r="V25" s="211">
        <f>SUMIF($F$2:F25,F25,$U$2:U25)</f>
        <v>33310.431992508726</v>
      </c>
      <c r="W25" s="200">
        <f t="shared" si="9"/>
        <v>0.21614695895187924</v>
      </c>
      <c r="X25" s="200">
        <f t="shared" si="10"/>
        <v>0</v>
      </c>
      <c r="Y25" s="200">
        <f t="shared" si="0"/>
        <v>0.18238132715658731</v>
      </c>
      <c r="Z25" s="198" t="str">
        <f>IFERROR(AVERAGEIF('Daily KPI'!$D:$D,Table14[[#This Row],[Month]],'Daily KPI'!AB:AB),"")</f>
        <v/>
      </c>
      <c r="AA25" s="201">
        <f>IFERROR(AVERAGEIF($F$2:F25,F25,$N$2:N25),"")</f>
        <v>66.754999999999995</v>
      </c>
      <c r="AB25" s="199"/>
      <c r="AC25" s="198"/>
      <c r="AD25" s="209"/>
      <c r="AE25" s="200">
        <v>0.995</v>
      </c>
      <c r="AF25" s="200">
        <v>0.995</v>
      </c>
      <c r="AG25" s="200"/>
      <c r="AH25" s="200"/>
      <c r="AI25" s="200"/>
      <c r="AJ25" s="200"/>
      <c r="AK25" s="200"/>
      <c r="AL25" s="200"/>
      <c r="AM25" s="208"/>
      <c r="AN25" s="210"/>
    </row>
  </sheetData>
  <phoneticPr fontId="5" type="noConversion"/>
  <pageMargins left="0.7" right="0.7" top="0.75" bottom="0.75" header="0.3" footer="0.3"/>
  <ignoredErrors>
    <ignoredError sqref="AA3:AA25" formulaRange="1"/>
  </ignoredErrors>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430"/>
  <sheetViews>
    <sheetView zoomScale="85" zoomScaleNormal="85" workbookViewId="0">
      <selection activeCell="E6" sqref="E6"/>
    </sheetView>
  </sheetViews>
  <sheetFormatPr defaultColWidth="8.85546875" defaultRowHeight="15" x14ac:dyDescent="0.25"/>
  <cols>
    <col min="1" max="1" width="18.85546875" bestFit="1" customWidth="1"/>
    <col min="2" max="2" width="18.42578125" style="1" bestFit="1" customWidth="1"/>
    <col min="3" max="3" width="18.42578125" style="1" customWidth="1"/>
    <col min="5" max="5" width="27.42578125" bestFit="1" customWidth="1"/>
    <col min="6" max="6" width="4.7109375" customWidth="1"/>
    <col min="7" max="7" width="27.42578125" bestFit="1" customWidth="1"/>
    <col min="8" max="8" width="2.85546875" customWidth="1"/>
    <col min="9" max="9" width="20.85546875" style="25" bestFit="1" customWidth="1"/>
    <col min="10" max="10" width="2.85546875" style="1" customWidth="1"/>
    <col min="11" max="11" width="19.7109375" style="1" customWidth="1"/>
    <col min="12" max="12" width="2.28515625" style="1" customWidth="1"/>
    <col min="13" max="13" width="19.7109375" style="1" customWidth="1"/>
    <col min="14" max="14" width="3.7109375" style="1" customWidth="1"/>
    <col min="15" max="15" width="23.42578125" style="1" bestFit="1" customWidth="1"/>
    <col min="19" max="19" width="12.28515625" bestFit="1" customWidth="1"/>
  </cols>
  <sheetData>
    <row r="1" spans="1:21" s="20" customFormat="1" ht="30" x14ac:dyDescent="0.25">
      <c r="A1" s="17" t="s">
        <v>775</v>
      </c>
      <c r="B1" s="18" t="s">
        <v>776</v>
      </c>
      <c r="C1" s="19" t="s">
        <v>540</v>
      </c>
      <c r="E1" s="17" t="s">
        <v>777</v>
      </c>
      <c r="G1" s="17" t="s">
        <v>778</v>
      </c>
      <c r="H1"/>
      <c r="I1" s="17" t="s">
        <v>779</v>
      </c>
      <c r="J1"/>
      <c r="K1" s="17" t="s">
        <v>780</v>
      </c>
      <c r="M1" s="17" t="s">
        <v>775</v>
      </c>
      <c r="O1" s="17" t="s">
        <v>781</v>
      </c>
      <c r="Q1" s="21" t="s">
        <v>553</v>
      </c>
      <c r="S1" s="21" t="s">
        <v>782</v>
      </c>
      <c r="U1" s="17" t="s">
        <v>779</v>
      </c>
    </row>
    <row r="2" spans="1:21" x14ac:dyDescent="0.25">
      <c r="A2" s="70" t="s">
        <v>783</v>
      </c>
      <c r="B2" s="26">
        <v>289.25</v>
      </c>
      <c r="C2" s="23">
        <f>IFERROR(B2/$S$2,"")</f>
        <v>4.3333333333333331E-3</v>
      </c>
      <c r="E2" s="22" t="s">
        <v>784</v>
      </c>
      <c r="G2" t="s">
        <v>587</v>
      </c>
      <c r="I2" t="s">
        <v>785</v>
      </c>
      <c r="J2"/>
      <c r="K2" t="s">
        <v>695</v>
      </c>
      <c r="L2"/>
      <c r="M2" t="s">
        <v>786</v>
      </c>
      <c r="N2"/>
      <c r="O2" s="93" t="s">
        <v>565</v>
      </c>
      <c r="Q2" t="s">
        <v>568</v>
      </c>
      <c r="S2" s="25">
        <v>66750</v>
      </c>
      <c r="U2" t="s">
        <v>588</v>
      </c>
    </row>
    <row r="3" spans="1:21" x14ac:dyDescent="0.25">
      <c r="A3" s="70" t="s">
        <v>787</v>
      </c>
      <c r="B3" s="26">
        <v>289.25</v>
      </c>
      <c r="C3" s="23">
        <f t="shared" ref="C3:C68" si="0">IFERROR(B3/$S$2,"")</f>
        <v>4.3333333333333331E-3</v>
      </c>
      <c r="E3" s="22" t="s">
        <v>604</v>
      </c>
      <c r="G3" t="s">
        <v>559</v>
      </c>
      <c r="I3" t="s">
        <v>788</v>
      </c>
      <c r="J3"/>
      <c r="K3" t="s">
        <v>696</v>
      </c>
      <c r="L3"/>
      <c r="M3" t="s">
        <v>789</v>
      </c>
      <c r="N3"/>
      <c r="O3" s="93" t="s">
        <v>571</v>
      </c>
      <c r="Q3" t="s">
        <v>563</v>
      </c>
      <c r="U3" t="s">
        <v>560</v>
      </c>
    </row>
    <row r="4" spans="1:21" x14ac:dyDescent="0.25">
      <c r="A4" s="70" t="s">
        <v>790</v>
      </c>
      <c r="B4" s="26">
        <v>267</v>
      </c>
      <c r="C4" s="23">
        <f t="shared" si="0"/>
        <v>4.0000000000000001E-3</v>
      </c>
      <c r="E4" s="22" t="s">
        <v>602</v>
      </c>
      <c r="G4" t="s">
        <v>597</v>
      </c>
      <c r="I4" t="s">
        <v>791</v>
      </c>
      <c r="J4"/>
      <c r="K4" t="s">
        <v>792</v>
      </c>
      <c r="L4"/>
      <c r="M4" t="s">
        <v>793</v>
      </c>
      <c r="N4"/>
      <c r="O4" s="93" t="s">
        <v>607</v>
      </c>
    </row>
    <row r="5" spans="1:21" x14ac:dyDescent="0.25">
      <c r="A5" s="70" t="s">
        <v>794</v>
      </c>
      <c r="B5" s="26">
        <v>267</v>
      </c>
      <c r="C5" s="23">
        <f t="shared" si="0"/>
        <v>4.0000000000000001E-3</v>
      </c>
      <c r="E5" s="22" t="s">
        <v>795</v>
      </c>
      <c r="G5" t="s">
        <v>621</v>
      </c>
      <c r="I5" t="s">
        <v>796</v>
      </c>
      <c r="J5"/>
      <c r="K5" t="s">
        <v>681</v>
      </c>
      <c r="L5"/>
      <c r="M5" t="s">
        <v>797</v>
      </c>
      <c r="N5"/>
      <c r="O5" s="93" t="s">
        <v>644</v>
      </c>
    </row>
    <row r="6" spans="1:21" x14ac:dyDescent="0.25">
      <c r="A6" s="70" t="s">
        <v>798</v>
      </c>
      <c r="B6" s="26">
        <v>289.25</v>
      </c>
      <c r="C6" s="23">
        <f t="shared" si="0"/>
        <v>4.3333333333333331E-3</v>
      </c>
      <c r="E6" s="22" t="s">
        <v>566</v>
      </c>
      <c r="G6" t="s">
        <v>564</v>
      </c>
      <c r="I6" t="s">
        <v>799</v>
      </c>
      <c r="J6"/>
      <c r="K6"/>
      <c r="L6"/>
      <c r="M6" t="s">
        <v>800</v>
      </c>
      <c r="N6"/>
      <c r="O6" s="93" t="s">
        <v>591</v>
      </c>
    </row>
    <row r="7" spans="1:21" x14ac:dyDescent="0.25">
      <c r="A7" s="70" t="s">
        <v>801</v>
      </c>
      <c r="B7" s="26">
        <v>267</v>
      </c>
      <c r="C7" s="23">
        <f t="shared" si="0"/>
        <v>4.0000000000000001E-3</v>
      </c>
      <c r="E7" s="22" t="s">
        <v>589</v>
      </c>
      <c r="G7" t="s">
        <v>615</v>
      </c>
      <c r="I7" t="s">
        <v>802</v>
      </c>
      <c r="J7"/>
      <c r="K7"/>
      <c r="L7"/>
      <c r="M7" t="s">
        <v>803</v>
      </c>
      <c r="N7"/>
      <c r="O7" s="93" t="s">
        <v>598</v>
      </c>
    </row>
    <row r="8" spans="1:21" x14ac:dyDescent="0.25">
      <c r="A8" s="70" t="s">
        <v>804</v>
      </c>
      <c r="B8" s="26">
        <v>267</v>
      </c>
      <c r="C8" s="23">
        <f t="shared" si="0"/>
        <v>4.0000000000000001E-3</v>
      </c>
      <c r="E8" s="22" t="s">
        <v>805</v>
      </c>
      <c r="G8" t="s">
        <v>606</v>
      </c>
      <c r="I8" t="s">
        <v>806</v>
      </c>
      <c r="J8"/>
      <c r="K8"/>
      <c r="L8"/>
      <c r="M8" t="s">
        <v>807</v>
      </c>
      <c r="N8"/>
      <c r="O8" s="93" t="s">
        <v>616</v>
      </c>
    </row>
    <row r="9" spans="1:21" x14ac:dyDescent="0.25">
      <c r="A9" s="70" t="s">
        <v>808</v>
      </c>
      <c r="B9" s="26">
        <v>267</v>
      </c>
      <c r="C9" s="23">
        <f t="shared" si="0"/>
        <v>4.0000000000000001E-3</v>
      </c>
      <c r="E9" s="22" t="s">
        <v>809</v>
      </c>
      <c r="G9" t="s">
        <v>579</v>
      </c>
      <c r="I9" t="s">
        <v>810</v>
      </c>
      <c r="J9"/>
      <c r="K9"/>
      <c r="L9"/>
      <c r="M9" t="s">
        <v>811</v>
      </c>
      <c r="N9"/>
      <c r="O9" s="93" t="s">
        <v>617</v>
      </c>
    </row>
    <row r="10" spans="1:21" x14ac:dyDescent="0.25">
      <c r="A10" s="70" t="s">
        <v>812</v>
      </c>
      <c r="B10" s="26">
        <v>278.125</v>
      </c>
      <c r="C10" s="23">
        <f t="shared" si="0"/>
        <v>4.1666666666666666E-3</v>
      </c>
      <c r="E10" s="22" t="s">
        <v>813</v>
      </c>
      <c r="I10"/>
      <c r="J10"/>
      <c r="K10"/>
      <c r="L10"/>
      <c r="M10" t="s">
        <v>814</v>
      </c>
      <c r="N10"/>
      <c r="O10" s="93" t="s">
        <v>634</v>
      </c>
    </row>
    <row r="11" spans="1:21" x14ac:dyDescent="0.25">
      <c r="A11" s="70" t="s">
        <v>815</v>
      </c>
      <c r="B11" s="26">
        <v>278.125</v>
      </c>
      <c r="C11" s="23">
        <f t="shared" si="0"/>
        <v>4.1666666666666666E-3</v>
      </c>
      <c r="E11" s="22" t="s">
        <v>816</v>
      </c>
      <c r="I11"/>
      <c r="J11"/>
      <c r="K11"/>
      <c r="L11"/>
      <c r="M11" t="s">
        <v>817</v>
      </c>
      <c r="N11"/>
      <c r="O11" s="93" t="s">
        <v>594</v>
      </c>
    </row>
    <row r="12" spans="1:21" x14ac:dyDescent="0.25">
      <c r="A12" s="70" t="s">
        <v>818</v>
      </c>
      <c r="B12" s="26">
        <v>267</v>
      </c>
      <c r="C12" s="23">
        <f t="shared" si="0"/>
        <v>4.0000000000000001E-3</v>
      </c>
      <c r="E12" s="22" t="s">
        <v>819</v>
      </c>
      <c r="I12"/>
      <c r="J12"/>
      <c r="K12"/>
      <c r="L12"/>
      <c r="M12"/>
      <c r="N12"/>
      <c r="O12" s="93" t="s">
        <v>595</v>
      </c>
    </row>
    <row r="13" spans="1:21" x14ac:dyDescent="0.25">
      <c r="A13" s="70" t="s">
        <v>820</v>
      </c>
      <c r="B13" s="26">
        <v>267</v>
      </c>
      <c r="C13" s="23">
        <f t="shared" si="0"/>
        <v>4.0000000000000001E-3</v>
      </c>
      <c r="E13" s="22" t="s">
        <v>821</v>
      </c>
      <c r="I13"/>
      <c r="J13"/>
      <c r="K13"/>
      <c r="L13"/>
      <c r="M13"/>
      <c r="N13"/>
      <c r="O13" s="93" t="s">
        <v>578</v>
      </c>
    </row>
    <row r="14" spans="1:21" x14ac:dyDescent="0.25">
      <c r="A14" s="70" t="s">
        <v>822</v>
      </c>
      <c r="B14" s="26">
        <v>267</v>
      </c>
      <c r="C14" s="23">
        <f t="shared" si="0"/>
        <v>4.0000000000000001E-3</v>
      </c>
      <c r="E14" s="22" t="s">
        <v>823</v>
      </c>
      <c r="I14"/>
      <c r="J14"/>
      <c r="K14"/>
      <c r="L14"/>
      <c r="M14"/>
      <c r="N14"/>
      <c r="O14" s="93" t="s">
        <v>596</v>
      </c>
    </row>
    <row r="15" spans="1:21" x14ac:dyDescent="0.25">
      <c r="A15" s="70" t="s">
        <v>824</v>
      </c>
      <c r="B15" s="26">
        <v>244.75</v>
      </c>
      <c r="C15" s="23">
        <f t="shared" si="0"/>
        <v>3.6666666666666666E-3</v>
      </c>
      <c r="E15" s="22" t="s">
        <v>825</v>
      </c>
      <c r="I15"/>
      <c r="J15"/>
      <c r="K15"/>
      <c r="L15"/>
      <c r="M15"/>
      <c r="N15"/>
      <c r="O15" s="93" t="s">
        <v>648</v>
      </c>
    </row>
    <row r="16" spans="1:21" x14ac:dyDescent="0.25">
      <c r="A16" s="70" t="s">
        <v>826</v>
      </c>
      <c r="B16" s="26">
        <v>267</v>
      </c>
      <c r="C16" s="23">
        <f t="shared" si="0"/>
        <v>4.0000000000000001E-3</v>
      </c>
      <c r="E16" s="22" t="s">
        <v>827</v>
      </c>
      <c r="I16"/>
      <c r="J16"/>
      <c r="K16"/>
      <c r="L16"/>
      <c r="M16"/>
      <c r="N16"/>
      <c r="O16" s="93" t="s">
        <v>618</v>
      </c>
    </row>
    <row r="17" spans="1:15" x14ac:dyDescent="0.25">
      <c r="A17" s="70" t="s">
        <v>828</v>
      </c>
      <c r="B17" s="26">
        <v>267</v>
      </c>
      <c r="C17" s="23">
        <f t="shared" si="0"/>
        <v>4.0000000000000001E-3</v>
      </c>
      <c r="E17" s="22" t="s">
        <v>829</v>
      </c>
      <c r="I17"/>
      <c r="J17"/>
      <c r="K17"/>
      <c r="L17"/>
      <c r="M17"/>
      <c r="N17"/>
      <c r="O17" s="93" t="s">
        <v>663</v>
      </c>
    </row>
    <row r="18" spans="1:15" x14ac:dyDescent="0.25">
      <c r="A18" s="70" t="s">
        <v>830</v>
      </c>
      <c r="B18" s="26">
        <v>267</v>
      </c>
      <c r="C18" s="23">
        <f t="shared" si="0"/>
        <v>4.0000000000000001E-3</v>
      </c>
      <c r="E18" s="22" t="s">
        <v>831</v>
      </c>
      <c r="I18"/>
      <c r="J18"/>
      <c r="K18"/>
      <c r="L18"/>
      <c r="M18"/>
      <c r="N18"/>
      <c r="O18" s="93" t="s">
        <v>600</v>
      </c>
    </row>
    <row r="19" spans="1:15" x14ac:dyDescent="0.25">
      <c r="A19" s="70" t="s">
        <v>832</v>
      </c>
      <c r="B19" s="26">
        <v>267</v>
      </c>
      <c r="C19" s="23">
        <f t="shared" si="0"/>
        <v>4.0000000000000001E-3</v>
      </c>
      <c r="E19" s="22" t="s">
        <v>833</v>
      </c>
      <c r="I19"/>
      <c r="J19"/>
      <c r="K19"/>
      <c r="L19"/>
      <c r="M19"/>
      <c r="N19"/>
      <c r="O19" s="93" t="s">
        <v>601</v>
      </c>
    </row>
    <row r="20" spans="1:15" x14ac:dyDescent="0.25">
      <c r="A20" s="70" t="s">
        <v>834</v>
      </c>
      <c r="B20" s="26">
        <v>289.25</v>
      </c>
      <c r="C20" s="23">
        <f t="shared" si="0"/>
        <v>4.3333333333333331E-3</v>
      </c>
      <c r="E20" s="24" t="s">
        <v>592</v>
      </c>
      <c r="I20"/>
      <c r="J20"/>
      <c r="K20"/>
      <c r="L20"/>
      <c r="M20"/>
      <c r="N20"/>
      <c r="O20" s="93" t="s">
        <v>641</v>
      </c>
    </row>
    <row r="21" spans="1:15" x14ac:dyDescent="0.25">
      <c r="A21" s="70" t="s">
        <v>835</v>
      </c>
      <c r="B21" s="26">
        <v>289.25</v>
      </c>
      <c r="C21" s="23">
        <f t="shared" si="0"/>
        <v>4.3333333333333331E-3</v>
      </c>
      <c r="E21" s="22" t="s">
        <v>573</v>
      </c>
      <c r="I21"/>
      <c r="J21"/>
      <c r="K21"/>
      <c r="L21"/>
      <c r="M21"/>
      <c r="N21"/>
      <c r="O21" s="93" t="s">
        <v>599</v>
      </c>
    </row>
    <row r="22" spans="1:15" x14ac:dyDescent="0.25">
      <c r="A22" s="70" t="s">
        <v>836</v>
      </c>
      <c r="B22" s="26">
        <v>267</v>
      </c>
      <c r="C22" s="23">
        <f t="shared" si="0"/>
        <v>4.0000000000000001E-3</v>
      </c>
      <c r="E22" s="22" t="s">
        <v>837</v>
      </c>
      <c r="I22"/>
      <c r="J22"/>
      <c r="K22"/>
      <c r="L22"/>
      <c r="M22"/>
      <c r="N22"/>
      <c r="O22" s="93" t="s">
        <v>627</v>
      </c>
    </row>
    <row r="23" spans="1:15" x14ac:dyDescent="0.25">
      <c r="A23" s="70" t="s">
        <v>838</v>
      </c>
      <c r="B23" s="26">
        <v>267</v>
      </c>
      <c r="C23" s="23">
        <f t="shared" si="0"/>
        <v>4.0000000000000001E-3</v>
      </c>
      <c r="E23" s="22" t="s">
        <v>839</v>
      </c>
      <c r="I23"/>
      <c r="J23"/>
      <c r="K23"/>
      <c r="L23"/>
      <c r="M23"/>
      <c r="N23"/>
      <c r="O23" s="93" t="s">
        <v>714</v>
      </c>
    </row>
    <row r="24" spans="1:15" x14ac:dyDescent="0.25">
      <c r="A24" s="70" t="s">
        <v>840</v>
      </c>
      <c r="B24" s="26">
        <v>289.25</v>
      </c>
      <c r="C24" s="23">
        <f t="shared" si="0"/>
        <v>4.3333333333333331E-3</v>
      </c>
      <c r="E24" s="22"/>
      <c r="I24"/>
      <c r="J24"/>
      <c r="K24"/>
      <c r="L24"/>
      <c r="M24"/>
      <c r="N24"/>
      <c r="O24" s="93" t="s">
        <v>575</v>
      </c>
    </row>
    <row r="25" spans="1:15" x14ac:dyDescent="0.25">
      <c r="A25" s="70" t="s">
        <v>841</v>
      </c>
      <c r="B25" s="26">
        <v>300.375</v>
      </c>
      <c r="C25" s="23">
        <f t="shared" si="0"/>
        <v>4.4999999999999997E-3</v>
      </c>
      <c r="E25" s="24"/>
      <c r="I25"/>
      <c r="J25"/>
      <c r="K25"/>
      <c r="L25"/>
      <c r="M25"/>
      <c r="N25"/>
      <c r="O25" s="93" t="s">
        <v>610</v>
      </c>
    </row>
    <row r="26" spans="1:15" x14ac:dyDescent="0.25">
      <c r="A26" s="70" t="s">
        <v>842</v>
      </c>
      <c r="B26" s="26">
        <v>289.25</v>
      </c>
      <c r="C26" s="23">
        <f t="shared" si="0"/>
        <v>4.3333333333333331E-3</v>
      </c>
      <c r="E26" s="24"/>
      <c r="I26"/>
      <c r="J26"/>
      <c r="K26"/>
      <c r="L26"/>
      <c r="M26"/>
      <c r="N26"/>
      <c r="O26" s="93" t="s">
        <v>661</v>
      </c>
    </row>
    <row r="27" spans="1:15" x14ac:dyDescent="0.25">
      <c r="A27" s="70" t="s">
        <v>843</v>
      </c>
      <c r="B27" s="26">
        <v>289.25</v>
      </c>
      <c r="C27" s="23">
        <f t="shared" si="0"/>
        <v>4.3333333333333331E-3</v>
      </c>
      <c r="I27"/>
      <c r="J27"/>
      <c r="K27"/>
      <c r="L27"/>
      <c r="M27"/>
      <c r="N27"/>
      <c r="O27" s="93" t="s">
        <v>654</v>
      </c>
    </row>
    <row r="28" spans="1:15" x14ac:dyDescent="0.25">
      <c r="A28" s="70" t="s">
        <v>844</v>
      </c>
      <c r="B28" s="26">
        <v>289.25</v>
      </c>
      <c r="C28" s="23">
        <f t="shared" si="0"/>
        <v>4.3333333333333331E-3</v>
      </c>
      <c r="I28"/>
      <c r="J28"/>
      <c r="K28"/>
      <c r="L28"/>
      <c r="M28"/>
      <c r="N28"/>
      <c r="O28" s="93" t="s">
        <v>637</v>
      </c>
    </row>
    <row r="29" spans="1:15" x14ac:dyDescent="0.25">
      <c r="A29" s="70" t="s">
        <v>845</v>
      </c>
      <c r="B29" s="26">
        <v>300.375</v>
      </c>
      <c r="C29" s="23">
        <f t="shared" si="0"/>
        <v>4.4999999999999997E-3</v>
      </c>
      <c r="I29"/>
      <c r="J29"/>
      <c r="K29"/>
      <c r="L29"/>
      <c r="M29"/>
      <c r="N29"/>
      <c r="O29" s="93" t="s">
        <v>612</v>
      </c>
    </row>
    <row r="30" spans="1:15" x14ac:dyDescent="0.25">
      <c r="A30" s="70" t="s">
        <v>846</v>
      </c>
      <c r="B30" s="26">
        <v>300.375</v>
      </c>
      <c r="C30" s="23">
        <f t="shared" si="0"/>
        <v>4.4999999999999997E-3</v>
      </c>
      <c r="I30"/>
      <c r="J30"/>
      <c r="K30"/>
      <c r="L30"/>
      <c r="M30"/>
      <c r="N30"/>
      <c r="O30" s="93" t="s">
        <v>721</v>
      </c>
    </row>
    <row r="31" spans="1:15" x14ac:dyDescent="0.25">
      <c r="A31" s="70" t="s">
        <v>847</v>
      </c>
      <c r="B31" s="26">
        <v>300.375</v>
      </c>
      <c r="C31" s="23">
        <f t="shared" si="0"/>
        <v>4.4999999999999997E-3</v>
      </c>
      <c r="I31"/>
      <c r="J31"/>
      <c r="K31"/>
      <c r="L31"/>
      <c r="M31"/>
      <c r="N31"/>
      <c r="O31" s="93" t="s">
        <v>583</v>
      </c>
    </row>
    <row r="32" spans="1:15" x14ac:dyDescent="0.25">
      <c r="A32" s="70" t="s">
        <v>848</v>
      </c>
      <c r="B32" s="26">
        <v>300.375</v>
      </c>
      <c r="C32" s="23">
        <f t="shared" si="0"/>
        <v>4.4999999999999997E-3</v>
      </c>
      <c r="I32"/>
      <c r="J32"/>
      <c r="K32"/>
      <c r="L32"/>
      <c r="M32"/>
      <c r="N32"/>
      <c r="O32" s="93" t="s">
        <v>580</v>
      </c>
    </row>
    <row r="33" spans="1:15" s="354" customFormat="1" x14ac:dyDescent="0.25">
      <c r="A33" s="70" t="s">
        <v>1246</v>
      </c>
      <c r="B33" s="26">
        <v>300.375</v>
      </c>
      <c r="C33" s="23">
        <f t="shared" ref="C33" si="1">IFERROR(B33/$S$2,"")</f>
        <v>4.4999999999999997E-3</v>
      </c>
      <c r="O33" s="93" t="s">
        <v>580</v>
      </c>
    </row>
    <row r="34" spans="1:15" x14ac:dyDescent="0.25">
      <c r="A34" s="70" t="s">
        <v>849</v>
      </c>
      <c r="B34" s="26">
        <v>300.375</v>
      </c>
      <c r="C34" s="23">
        <f t="shared" si="0"/>
        <v>4.4999999999999997E-3</v>
      </c>
      <c r="I34"/>
      <c r="J34"/>
      <c r="K34"/>
      <c r="L34"/>
      <c r="M34"/>
      <c r="N34"/>
      <c r="O34" s="93" t="s">
        <v>581</v>
      </c>
    </row>
    <row r="35" spans="1:15" x14ac:dyDescent="0.25">
      <c r="A35" s="70" t="s">
        <v>850</v>
      </c>
      <c r="B35" s="26">
        <v>222.5</v>
      </c>
      <c r="C35" s="23">
        <f t="shared" si="0"/>
        <v>3.3333333333333335E-3</v>
      </c>
      <c r="I35"/>
      <c r="J35"/>
      <c r="K35"/>
      <c r="L35"/>
      <c r="M35"/>
      <c r="N35"/>
      <c r="O35" s="157" t="s">
        <v>585</v>
      </c>
    </row>
    <row r="36" spans="1:15" x14ac:dyDescent="0.25">
      <c r="A36" s="70" t="s">
        <v>851</v>
      </c>
      <c r="B36" s="26">
        <v>111.25</v>
      </c>
      <c r="C36" s="23">
        <f t="shared" si="0"/>
        <v>1.6666666666666668E-3</v>
      </c>
      <c r="I36"/>
      <c r="J36"/>
      <c r="K36"/>
      <c r="L36"/>
      <c r="M36"/>
      <c r="N36"/>
      <c r="O36"/>
    </row>
    <row r="37" spans="1:15" x14ac:dyDescent="0.25">
      <c r="A37" s="70" t="s">
        <v>852</v>
      </c>
      <c r="B37" s="26">
        <v>267</v>
      </c>
      <c r="C37" s="23">
        <f t="shared" si="0"/>
        <v>4.0000000000000001E-3</v>
      </c>
      <c r="I37"/>
      <c r="J37"/>
      <c r="K37"/>
      <c r="L37"/>
      <c r="M37"/>
      <c r="N37"/>
      <c r="O37"/>
    </row>
    <row r="38" spans="1:15" x14ac:dyDescent="0.25">
      <c r="A38" s="70" t="s">
        <v>853</v>
      </c>
      <c r="B38" s="26">
        <v>267</v>
      </c>
      <c r="C38" s="23">
        <f t="shared" si="0"/>
        <v>4.0000000000000001E-3</v>
      </c>
      <c r="I38"/>
      <c r="J38"/>
      <c r="K38"/>
      <c r="L38"/>
      <c r="M38"/>
      <c r="N38"/>
      <c r="O38"/>
    </row>
    <row r="39" spans="1:15" x14ac:dyDescent="0.25">
      <c r="A39" s="70" t="s">
        <v>854</v>
      </c>
      <c r="B39" s="26">
        <v>267</v>
      </c>
      <c r="C39" s="23">
        <f t="shared" si="0"/>
        <v>4.0000000000000001E-3</v>
      </c>
      <c r="I39"/>
      <c r="J39"/>
      <c r="K39"/>
      <c r="L39"/>
      <c r="M39"/>
      <c r="N39"/>
      <c r="O39"/>
    </row>
    <row r="40" spans="1:15" x14ac:dyDescent="0.25">
      <c r="A40" s="70" t="s">
        <v>855</v>
      </c>
      <c r="B40" s="26">
        <v>267</v>
      </c>
      <c r="C40" s="23">
        <f t="shared" si="0"/>
        <v>4.0000000000000001E-3</v>
      </c>
      <c r="I40"/>
      <c r="J40"/>
      <c r="K40"/>
      <c r="L40"/>
      <c r="M40"/>
      <c r="N40"/>
      <c r="O40"/>
    </row>
    <row r="41" spans="1:15" x14ac:dyDescent="0.25">
      <c r="A41" s="70" t="s">
        <v>856</v>
      </c>
      <c r="B41" s="26">
        <v>267</v>
      </c>
      <c r="C41" s="23">
        <f t="shared" si="0"/>
        <v>4.0000000000000001E-3</v>
      </c>
      <c r="I41"/>
      <c r="J41"/>
      <c r="K41"/>
      <c r="L41"/>
      <c r="M41"/>
      <c r="N41"/>
      <c r="O41"/>
    </row>
    <row r="42" spans="1:15" x14ac:dyDescent="0.25">
      <c r="A42" s="70" t="s">
        <v>857</v>
      </c>
      <c r="B42" s="26">
        <v>267</v>
      </c>
      <c r="C42" s="23">
        <f t="shared" si="0"/>
        <v>4.0000000000000001E-3</v>
      </c>
      <c r="I42"/>
      <c r="J42"/>
      <c r="K42"/>
      <c r="L42"/>
      <c r="M42"/>
      <c r="N42"/>
      <c r="O42"/>
    </row>
    <row r="43" spans="1:15" x14ac:dyDescent="0.25">
      <c r="A43" s="70" t="s">
        <v>858</v>
      </c>
      <c r="B43" s="26">
        <v>267</v>
      </c>
      <c r="C43" s="23">
        <f t="shared" si="0"/>
        <v>4.0000000000000001E-3</v>
      </c>
      <c r="I43"/>
      <c r="J43"/>
      <c r="K43"/>
      <c r="L43"/>
      <c r="M43"/>
      <c r="N43"/>
      <c r="O43"/>
    </row>
    <row r="44" spans="1:15" x14ac:dyDescent="0.25">
      <c r="A44" s="70" t="s">
        <v>859</v>
      </c>
      <c r="B44" s="26">
        <v>267</v>
      </c>
      <c r="C44" s="23">
        <f t="shared" si="0"/>
        <v>4.0000000000000001E-3</v>
      </c>
      <c r="I44"/>
      <c r="J44"/>
      <c r="K44"/>
      <c r="L44"/>
      <c r="M44"/>
      <c r="N44"/>
      <c r="O44"/>
    </row>
    <row r="45" spans="1:15" x14ac:dyDescent="0.25">
      <c r="A45" s="70" t="s">
        <v>860</v>
      </c>
      <c r="B45" s="26">
        <v>267</v>
      </c>
      <c r="C45" s="23">
        <f t="shared" si="0"/>
        <v>4.0000000000000001E-3</v>
      </c>
      <c r="I45"/>
      <c r="J45"/>
      <c r="K45"/>
      <c r="L45"/>
      <c r="M45"/>
      <c r="N45"/>
      <c r="O45"/>
    </row>
    <row r="46" spans="1:15" x14ac:dyDescent="0.25">
      <c r="A46" s="70" t="s">
        <v>861</v>
      </c>
      <c r="B46" s="26">
        <v>267</v>
      </c>
      <c r="C46" s="23">
        <f t="shared" si="0"/>
        <v>4.0000000000000001E-3</v>
      </c>
      <c r="I46"/>
      <c r="J46"/>
      <c r="K46"/>
      <c r="L46"/>
      <c r="M46"/>
      <c r="N46"/>
      <c r="O46"/>
    </row>
    <row r="47" spans="1:15" x14ac:dyDescent="0.25">
      <c r="A47" s="70" t="s">
        <v>862</v>
      </c>
      <c r="B47" s="26">
        <v>267</v>
      </c>
      <c r="C47" s="23">
        <f t="shared" si="0"/>
        <v>4.0000000000000001E-3</v>
      </c>
      <c r="I47"/>
      <c r="J47"/>
      <c r="K47"/>
      <c r="L47"/>
      <c r="M47"/>
      <c r="N47"/>
      <c r="O47"/>
    </row>
    <row r="48" spans="1:15" x14ac:dyDescent="0.25">
      <c r="A48" s="70" t="s">
        <v>863</v>
      </c>
      <c r="B48" s="26">
        <v>267</v>
      </c>
      <c r="C48" s="23">
        <f t="shared" si="0"/>
        <v>4.0000000000000001E-3</v>
      </c>
      <c r="I48"/>
      <c r="J48"/>
      <c r="K48"/>
      <c r="L48"/>
      <c r="M48"/>
      <c r="N48"/>
      <c r="O48"/>
    </row>
    <row r="49" spans="1:15" x14ac:dyDescent="0.25">
      <c r="A49" s="70" t="s">
        <v>864</v>
      </c>
      <c r="B49" s="26">
        <v>289.25</v>
      </c>
      <c r="C49" s="23">
        <f t="shared" si="0"/>
        <v>4.3333333333333331E-3</v>
      </c>
      <c r="I49"/>
      <c r="J49"/>
      <c r="K49"/>
      <c r="L49"/>
      <c r="M49"/>
      <c r="N49"/>
      <c r="O49"/>
    </row>
    <row r="50" spans="1:15" x14ac:dyDescent="0.25">
      <c r="A50" s="70" t="s">
        <v>865</v>
      </c>
      <c r="B50" s="26">
        <v>267</v>
      </c>
      <c r="C50" s="23">
        <f t="shared" si="0"/>
        <v>4.0000000000000001E-3</v>
      </c>
      <c r="I50"/>
      <c r="J50"/>
      <c r="K50"/>
      <c r="L50"/>
      <c r="M50"/>
      <c r="N50"/>
      <c r="O50"/>
    </row>
    <row r="51" spans="1:15" x14ac:dyDescent="0.25">
      <c r="A51" s="70" t="s">
        <v>866</v>
      </c>
      <c r="B51" s="26">
        <v>278.125</v>
      </c>
      <c r="C51" s="23">
        <f t="shared" si="0"/>
        <v>4.1666666666666666E-3</v>
      </c>
      <c r="I51"/>
      <c r="J51"/>
      <c r="K51"/>
      <c r="L51"/>
      <c r="M51"/>
      <c r="N51"/>
      <c r="O51"/>
    </row>
    <row r="52" spans="1:15" x14ac:dyDescent="0.25">
      <c r="A52" s="70" t="s">
        <v>867</v>
      </c>
      <c r="B52" s="26">
        <v>278.125</v>
      </c>
      <c r="C52" s="23">
        <f t="shared" si="0"/>
        <v>4.1666666666666666E-3</v>
      </c>
      <c r="I52"/>
      <c r="J52"/>
      <c r="K52"/>
      <c r="L52"/>
      <c r="M52"/>
      <c r="N52"/>
      <c r="O52"/>
    </row>
    <row r="53" spans="1:15" x14ac:dyDescent="0.25">
      <c r="A53" s="70" t="s">
        <v>868</v>
      </c>
      <c r="B53" s="26">
        <v>267</v>
      </c>
      <c r="C53" s="23">
        <f t="shared" si="0"/>
        <v>4.0000000000000001E-3</v>
      </c>
      <c r="I53"/>
      <c r="J53"/>
      <c r="K53"/>
      <c r="L53"/>
      <c r="M53"/>
      <c r="N53"/>
      <c r="O53"/>
    </row>
    <row r="54" spans="1:15" x14ac:dyDescent="0.25">
      <c r="A54" s="70" t="s">
        <v>869</v>
      </c>
      <c r="B54" s="26">
        <v>267</v>
      </c>
      <c r="C54" s="23">
        <f t="shared" si="0"/>
        <v>4.0000000000000001E-3</v>
      </c>
      <c r="I54"/>
      <c r="J54"/>
      <c r="K54"/>
      <c r="L54"/>
      <c r="M54"/>
      <c r="N54"/>
      <c r="O54"/>
    </row>
    <row r="55" spans="1:15" x14ac:dyDescent="0.25">
      <c r="A55" s="70" t="s">
        <v>870</v>
      </c>
      <c r="B55" s="26">
        <v>300.375</v>
      </c>
      <c r="C55" s="23">
        <f t="shared" si="0"/>
        <v>4.4999999999999997E-3</v>
      </c>
      <c r="I55"/>
      <c r="J55"/>
      <c r="K55"/>
      <c r="L55"/>
      <c r="M55"/>
      <c r="N55"/>
      <c r="O55"/>
    </row>
    <row r="56" spans="1:15" x14ac:dyDescent="0.25">
      <c r="A56" s="70" t="s">
        <v>871</v>
      </c>
      <c r="B56" s="26">
        <v>300.375</v>
      </c>
      <c r="C56" s="23">
        <f t="shared" si="0"/>
        <v>4.4999999999999997E-3</v>
      </c>
      <c r="I56"/>
      <c r="J56"/>
      <c r="K56"/>
      <c r="L56"/>
      <c r="M56"/>
      <c r="N56"/>
      <c r="O56"/>
    </row>
    <row r="57" spans="1:15" x14ac:dyDescent="0.25">
      <c r="A57" s="70" t="s">
        <v>872</v>
      </c>
      <c r="B57" s="26">
        <v>289.25</v>
      </c>
      <c r="C57" s="23">
        <f t="shared" si="0"/>
        <v>4.3333333333333331E-3</v>
      </c>
      <c r="I57"/>
      <c r="J57"/>
      <c r="K57"/>
      <c r="L57"/>
      <c r="M57"/>
      <c r="N57"/>
      <c r="O57"/>
    </row>
    <row r="58" spans="1:15" x14ac:dyDescent="0.25">
      <c r="A58" s="70" t="s">
        <v>873</v>
      </c>
      <c r="B58" s="26">
        <v>300.375</v>
      </c>
      <c r="C58" s="23">
        <f t="shared" si="0"/>
        <v>4.4999999999999997E-3</v>
      </c>
      <c r="I58"/>
      <c r="J58"/>
      <c r="K58"/>
      <c r="L58"/>
      <c r="M58"/>
      <c r="N58"/>
      <c r="O58"/>
    </row>
    <row r="59" spans="1:15" x14ac:dyDescent="0.25">
      <c r="A59" s="70" t="s">
        <v>874</v>
      </c>
      <c r="B59" s="26">
        <v>300.375</v>
      </c>
      <c r="C59" s="23">
        <f t="shared" si="0"/>
        <v>4.4999999999999997E-3</v>
      </c>
      <c r="I59"/>
      <c r="J59"/>
      <c r="K59"/>
      <c r="L59"/>
      <c r="M59"/>
      <c r="N59"/>
      <c r="O59"/>
    </row>
    <row r="60" spans="1:15" x14ac:dyDescent="0.25">
      <c r="A60" s="70" t="s">
        <v>875</v>
      </c>
      <c r="B60" s="26">
        <v>267</v>
      </c>
      <c r="C60" s="23">
        <f t="shared" si="0"/>
        <v>4.0000000000000001E-3</v>
      </c>
      <c r="I60"/>
      <c r="J60"/>
      <c r="K60"/>
      <c r="L60"/>
      <c r="M60"/>
      <c r="N60"/>
      <c r="O60"/>
    </row>
    <row r="61" spans="1:15" x14ac:dyDescent="0.25">
      <c r="A61" s="70" t="s">
        <v>876</v>
      </c>
      <c r="B61" s="26">
        <v>300.375</v>
      </c>
      <c r="C61" s="23">
        <f t="shared" si="0"/>
        <v>4.4999999999999997E-3</v>
      </c>
      <c r="I61"/>
      <c r="J61"/>
      <c r="K61"/>
      <c r="L61"/>
      <c r="M61"/>
      <c r="N61"/>
      <c r="O61"/>
    </row>
    <row r="62" spans="1:15" x14ac:dyDescent="0.25">
      <c r="A62" s="70" t="s">
        <v>877</v>
      </c>
      <c r="B62" s="26">
        <v>300.375</v>
      </c>
      <c r="C62" s="23">
        <f t="shared" si="0"/>
        <v>4.4999999999999997E-3</v>
      </c>
      <c r="I62"/>
      <c r="J62"/>
      <c r="K62"/>
      <c r="L62"/>
      <c r="M62"/>
      <c r="N62"/>
      <c r="O62"/>
    </row>
    <row r="63" spans="1:15" x14ac:dyDescent="0.25">
      <c r="A63" s="70" t="s">
        <v>878</v>
      </c>
      <c r="B63" s="26">
        <v>267</v>
      </c>
      <c r="C63" s="23">
        <f t="shared" si="0"/>
        <v>4.0000000000000001E-3</v>
      </c>
      <c r="I63"/>
      <c r="J63"/>
      <c r="K63"/>
      <c r="L63"/>
      <c r="M63"/>
      <c r="N63"/>
      <c r="O63"/>
    </row>
    <row r="64" spans="1:15" x14ac:dyDescent="0.25">
      <c r="A64" s="70" t="s">
        <v>879</v>
      </c>
      <c r="B64" s="26">
        <v>267</v>
      </c>
      <c r="C64" s="23">
        <f t="shared" si="0"/>
        <v>4.0000000000000001E-3</v>
      </c>
      <c r="I64"/>
      <c r="J64"/>
      <c r="K64"/>
      <c r="L64"/>
      <c r="M64"/>
      <c r="N64"/>
      <c r="O64"/>
    </row>
    <row r="65" spans="1:15" s="354" customFormat="1" x14ac:dyDescent="0.25">
      <c r="A65" s="70" t="s">
        <v>1247</v>
      </c>
      <c r="B65" s="26">
        <v>239.25</v>
      </c>
      <c r="C65" s="23">
        <f t="shared" ref="C65" si="2">IFERROR(B65/$S$2,"")</f>
        <v>3.5842696629213482E-3</v>
      </c>
    </row>
    <row r="66" spans="1:15" x14ac:dyDescent="0.25">
      <c r="A66" s="70" t="s">
        <v>880</v>
      </c>
      <c r="B66" s="26">
        <v>267</v>
      </c>
      <c r="C66" s="23">
        <f t="shared" si="0"/>
        <v>4.0000000000000001E-3</v>
      </c>
      <c r="I66"/>
      <c r="J66"/>
      <c r="K66"/>
      <c r="L66"/>
      <c r="M66"/>
      <c r="N66"/>
      <c r="O66"/>
    </row>
    <row r="67" spans="1:15" x14ac:dyDescent="0.25">
      <c r="A67" s="70" t="s">
        <v>881</v>
      </c>
      <c r="B67" s="26">
        <v>289.25</v>
      </c>
      <c r="C67" s="23">
        <f t="shared" si="0"/>
        <v>4.3333333333333331E-3</v>
      </c>
      <c r="I67"/>
      <c r="J67"/>
      <c r="K67"/>
      <c r="L67"/>
      <c r="M67"/>
      <c r="N67"/>
      <c r="O67"/>
    </row>
    <row r="68" spans="1:15" x14ac:dyDescent="0.25">
      <c r="A68" s="70" t="s">
        <v>882</v>
      </c>
      <c r="B68" s="26">
        <v>289.25</v>
      </c>
      <c r="C68" s="23">
        <f t="shared" si="0"/>
        <v>4.3333333333333331E-3</v>
      </c>
      <c r="I68"/>
      <c r="J68"/>
      <c r="K68"/>
      <c r="L68"/>
      <c r="M68"/>
      <c r="N68"/>
      <c r="O68"/>
    </row>
    <row r="69" spans="1:15" x14ac:dyDescent="0.25">
      <c r="A69" s="70" t="s">
        <v>883</v>
      </c>
      <c r="B69" s="26">
        <v>289.25</v>
      </c>
      <c r="C69" s="23">
        <f t="shared" ref="C69:C107" si="3">IFERROR(B69/$S$2,"")</f>
        <v>4.3333333333333331E-3</v>
      </c>
      <c r="I69"/>
      <c r="J69"/>
      <c r="K69"/>
      <c r="L69"/>
      <c r="M69"/>
      <c r="N69"/>
      <c r="O69"/>
    </row>
    <row r="70" spans="1:15" x14ac:dyDescent="0.25">
      <c r="A70" s="70" t="s">
        <v>884</v>
      </c>
      <c r="B70" s="26">
        <v>289.25</v>
      </c>
      <c r="C70" s="23">
        <f t="shared" si="3"/>
        <v>4.3333333333333331E-3</v>
      </c>
      <c r="I70"/>
      <c r="J70"/>
      <c r="K70"/>
      <c r="L70"/>
      <c r="M70"/>
      <c r="N70"/>
      <c r="O70"/>
    </row>
    <row r="71" spans="1:15" x14ac:dyDescent="0.25">
      <c r="A71" s="70" t="s">
        <v>885</v>
      </c>
      <c r="B71" s="26">
        <v>267</v>
      </c>
      <c r="C71" s="23">
        <f t="shared" si="3"/>
        <v>4.0000000000000001E-3</v>
      </c>
      <c r="I71"/>
      <c r="J71"/>
      <c r="K71"/>
      <c r="L71"/>
      <c r="M71"/>
      <c r="N71"/>
      <c r="O71"/>
    </row>
    <row r="72" spans="1:15" x14ac:dyDescent="0.25">
      <c r="A72" s="70" t="s">
        <v>886</v>
      </c>
      <c r="B72" s="26">
        <v>267</v>
      </c>
      <c r="C72" s="23">
        <f t="shared" si="3"/>
        <v>4.0000000000000001E-3</v>
      </c>
      <c r="I72"/>
      <c r="J72"/>
      <c r="K72"/>
      <c r="L72"/>
      <c r="M72"/>
      <c r="N72"/>
      <c r="O72"/>
    </row>
    <row r="73" spans="1:15" x14ac:dyDescent="0.25">
      <c r="A73" s="70" t="s">
        <v>887</v>
      </c>
      <c r="B73" s="26">
        <v>267</v>
      </c>
      <c r="C73" s="23">
        <f t="shared" si="3"/>
        <v>4.0000000000000001E-3</v>
      </c>
      <c r="I73"/>
      <c r="J73"/>
      <c r="K73"/>
      <c r="L73"/>
      <c r="M73"/>
      <c r="N73"/>
      <c r="O73"/>
    </row>
    <row r="74" spans="1:15" x14ac:dyDescent="0.25">
      <c r="A74" s="70" t="s">
        <v>888</v>
      </c>
      <c r="B74" s="26">
        <v>267</v>
      </c>
      <c r="C74" s="23">
        <f t="shared" si="3"/>
        <v>4.0000000000000001E-3</v>
      </c>
    </row>
    <row r="75" spans="1:15" x14ac:dyDescent="0.25">
      <c r="A75" s="70" t="s">
        <v>889</v>
      </c>
      <c r="B75" s="26">
        <v>267</v>
      </c>
      <c r="C75" s="23">
        <f t="shared" si="3"/>
        <v>4.0000000000000001E-3</v>
      </c>
    </row>
    <row r="76" spans="1:15" x14ac:dyDescent="0.25">
      <c r="A76" s="70" t="s">
        <v>890</v>
      </c>
      <c r="B76" s="26">
        <v>267</v>
      </c>
      <c r="C76" s="23">
        <f t="shared" si="3"/>
        <v>4.0000000000000001E-3</v>
      </c>
    </row>
    <row r="77" spans="1:15" x14ac:dyDescent="0.25">
      <c r="A77" s="70" t="s">
        <v>891</v>
      </c>
      <c r="B77" s="26">
        <v>300.375</v>
      </c>
      <c r="C77" s="23">
        <f t="shared" si="3"/>
        <v>4.4999999999999997E-3</v>
      </c>
    </row>
    <row r="78" spans="1:15" x14ac:dyDescent="0.25">
      <c r="A78" s="70" t="s">
        <v>892</v>
      </c>
      <c r="B78" s="26">
        <v>300.375</v>
      </c>
      <c r="C78" s="23">
        <f t="shared" si="3"/>
        <v>4.4999999999999997E-3</v>
      </c>
    </row>
    <row r="79" spans="1:15" x14ac:dyDescent="0.25">
      <c r="A79" s="70" t="s">
        <v>893</v>
      </c>
      <c r="B79" s="26">
        <v>300.375</v>
      </c>
      <c r="C79" s="23">
        <f t="shared" si="3"/>
        <v>4.4999999999999997E-3</v>
      </c>
    </row>
    <row r="80" spans="1:15" x14ac:dyDescent="0.25">
      <c r="A80" s="70" t="s">
        <v>894</v>
      </c>
      <c r="B80" s="26">
        <v>267</v>
      </c>
      <c r="C80" s="23">
        <f t="shared" si="3"/>
        <v>4.0000000000000001E-3</v>
      </c>
    </row>
    <row r="81" spans="1:3" x14ac:dyDescent="0.25">
      <c r="A81" s="70" t="s">
        <v>711</v>
      </c>
      <c r="B81" s="26">
        <v>267</v>
      </c>
      <c r="C81" s="23">
        <f t="shared" si="3"/>
        <v>4.0000000000000001E-3</v>
      </c>
    </row>
    <row r="82" spans="1:3" x14ac:dyDescent="0.25">
      <c r="A82" s="70" t="s">
        <v>895</v>
      </c>
      <c r="B82" s="26">
        <v>289.25</v>
      </c>
      <c r="C82" s="23">
        <f t="shared" si="3"/>
        <v>4.3333333333333331E-3</v>
      </c>
    </row>
    <row r="83" spans="1:3" x14ac:dyDescent="0.25">
      <c r="A83" s="70" t="s">
        <v>896</v>
      </c>
      <c r="B83" s="26">
        <v>267</v>
      </c>
      <c r="C83" s="23">
        <f t="shared" si="3"/>
        <v>4.0000000000000001E-3</v>
      </c>
    </row>
    <row r="84" spans="1:3" x14ac:dyDescent="0.25">
      <c r="A84" s="70" t="s">
        <v>897</v>
      </c>
      <c r="B84" s="26">
        <v>267</v>
      </c>
      <c r="C84" s="23">
        <f t="shared" si="3"/>
        <v>4.0000000000000001E-3</v>
      </c>
    </row>
    <row r="85" spans="1:3" x14ac:dyDescent="0.25">
      <c r="A85" s="70" t="s">
        <v>898</v>
      </c>
      <c r="B85" s="26">
        <v>267</v>
      </c>
      <c r="C85" s="23">
        <f t="shared" si="3"/>
        <v>4.0000000000000001E-3</v>
      </c>
    </row>
    <row r="86" spans="1:3" x14ac:dyDescent="0.25">
      <c r="A86" s="70" t="s">
        <v>899</v>
      </c>
      <c r="B86" s="26">
        <v>267</v>
      </c>
      <c r="C86" s="23">
        <f t="shared" si="3"/>
        <v>4.0000000000000001E-3</v>
      </c>
    </row>
    <row r="87" spans="1:3" x14ac:dyDescent="0.25">
      <c r="A87" s="70" t="s">
        <v>900</v>
      </c>
      <c r="B87" s="26">
        <v>267</v>
      </c>
      <c r="C87" s="23">
        <f t="shared" si="3"/>
        <v>4.0000000000000001E-3</v>
      </c>
    </row>
    <row r="88" spans="1:3" x14ac:dyDescent="0.25">
      <c r="A88" s="70" t="s">
        <v>901</v>
      </c>
      <c r="B88" s="26">
        <v>267</v>
      </c>
      <c r="C88" s="23">
        <f t="shared" si="3"/>
        <v>4.0000000000000001E-3</v>
      </c>
    </row>
    <row r="89" spans="1:3" x14ac:dyDescent="0.25">
      <c r="A89" s="70" t="s">
        <v>902</v>
      </c>
      <c r="B89" s="26">
        <v>267</v>
      </c>
      <c r="C89" s="23">
        <f t="shared" si="3"/>
        <v>4.0000000000000001E-3</v>
      </c>
    </row>
    <row r="90" spans="1:3" x14ac:dyDescent="0.25">
      <c r="A90" s="70" t="s">
        <v>903</v>
      </c>
      <c r="B90" s="26">
        <v>267</v>
      </c>
      <c r="C90" s="23">
        <f t="shared" si="3"/>
        <v>4.0000000000000001E-3</v>
      </c>
    </row>
    <row r="91" spans="1:3" x14ac:dyDescent="0.25">
      <c r="A91" s="70" t="s">
        <v>904</v>
      </c>
      <c r="B91" s="26">
        <v>267</v>
      </c>
      <c r="C91" s="23">
        <f t="shared" si="3"/>
        <v>4.0000000000000001E-3</v>
      </c>
    </row>
    <row r="92" spans="1:3" x14ac:dyDescent="0.25">
      <c r="A92" s="70" t="s">
        <v>905</v>
      </c>
      <c r="B92" s="26">
        <v>267</v>
      </c>
      <c r="C92" s="23">
        <f t="shared" si="3"/>
        <v>4.0000000000000001E-3</v>
      </c>
    </row>
    <row r="93" spans="1:3" x14ac:dyDescent="0.25">
      <c r="A93" s="70" t="s">
        <v>906</v>
      </c>
      <c r="B93" s="26">
        <v>278.125</v>
      </c>
      <c r="C93" s="23">
        <f t="shared" si="3"/>
        <v>4.1666666666666666E-3</v>
      </c>
    </row>
    <row r="94" spans="1:3" x14ac:dyDescent="0.25">
      <c r="A94" s="70" t="s">
        <v>907</v>
      </c>
      <c r="B94" s="26">
        <v>289.25</v>
      </c>
      <c r="C94" s="23">
        <f t="shared" si="3"/>
        <v>4.3333333333333331E-3</v>
      </c>
    </row>
    <row r="95" spans="1:3" x14ac:dyDescent="0.25">
      <c r="A95" s="70" t="s">
        <v>908</v>
      </c>
      <c r="B95" s="26">
        <v>267</v>
      </c>
      <c r="C95" s="23">
        <f t="shared" si="3"/>
        <v>4.0000000000000001E-3</v>
      </c>
    </row>
    <row r="96" spans="1:3" x14ac:dyDescent="0.25">
      <c r="A96" s="70" t="s">
        <v>909</v>
      </c>
      <c r="B96" s="26">
        <v>267</v>
      </c>
      <c r="C96" s="23">
        <f t="shared" si="3"/>
        <v>4.0000000000000001E-3</v>
      </c>
    </row>
    <row r="97" spans="1:3" x14ac:dyDescent="0.25">
      <c r="A97" s="70" t="s">
        <v>910</v>
      </c>
      <c r="B97" s="26">
        <v>300.375</v>
      </c>
      <c r="C97" s="23">
        <f t="shared" si="3"/>
        <v>4.4999999999999997E-3</v>
      </c>
    </row>
    <row r="98" spans="1:3" x14ac:dyDescent="0.25">
      <c r="A98" s="70" t="s">
        <v>911</v>
      </c>
      <c r="B98" s="26">
        <v>267</v>
      </c>
      <c r="C98" s="23">
        <f t="shared" si="3"/>
        <v>4.0000000000000001E-3</v>
      </c>
    </row>
    <row r="99" spans="1:3" x14ac:dyDescent="0.25">
      <c r="A99" s="70" t="s">
        <v>912</v>
      </c>
      <c r="B99" s="26">
        <v>267</v>
      </c>
      <c r="C99" s="23">
        <f t="shared" si="3"/>
        <v>4.0000000000000001E-3</v>
      </c>
    </row>
    <row r="100" spans="1:3" x14ac:dyDescent="0.25">
      <c r="A100" s="70" t="s">
        <v>913</v>
      </c>
      <c r="B100" s="26">
        <v>267</v>
      </c>
      <c r="C100" s="23">
        <f t="shared" si="3"/>
        <v>4.0000000000000001E-3</v>
      </c>
    </row>
    <row r="101" spans="1:3" x14ac:dyDescent="0.25">
      <c r="A101" s="70" t="s">
        <v>914</v>
      </c>
      <c r="B101" s="26">
        <v>267</v>
      </c>
      <c r="C101" s="23">
        <f t="shared" si="3"/>
        <v>4.0000000000000001E-3</v>
      </c>
    </row>
    <row r="102" spans="1:3" x14ac:dyDescent="0.25">
      <c r="A102" s="70" t="s">
        <v>915</v>
      </c>
      <c r="B102" s="26">
        <v>267</v>
      </c>
      <c r="C102" s="23">
        <f t="shared" si="3"/>
        <v>4.0000000000000001E-3</v>
      </c>
    </row>
    <row r="103" spans="1:3" x14ac:dyDescent="0.25">
      <c r="A103" s="70" t="s">
        <v>916</v>
      </c>
      <c r="B103" s="26">
        <v>267</v>
      </c>
      <c r="C103" s="23">
        <f t="shared" si="3"/>
        <v>4.0000000000000001E-3</v>
      </c>
    </row>
    <row r="104" spans="1:3" x14ac:dyDescent="0.25">
      <c r="A104" s="70" t="s">
        <v>917</v>
      </c>
      <c r="B104" s="26">
        <v>267</v>
      </c>
      <c r="C104" s="23">
        <f t="shared" si="3"/>
        <v>4.0000000000000001E-3</v>
      </c>
    </row>
    <row r="105" spans="1:3" x14ac:dyDescent="0.25">
      <c r="A105" s="70" t="s">
        <v>918</v>
      </c>
      <c r="B105" s="26">
        <v>267</v>
      </c>
      <c r="C105" s="23">
        <f t="shared" si="3"/>
        <v>4.0000000000000001E-3</v>
      </c>
    </row>
    <row r="106" spans="1:3" x14ac:dyDescent="0.25">
      <c r="A106" s="70" t="s">
        <v>919</v>
      </c>
      <c r="B106" s="26">
        <v>267</v>
      </c>
      <c r="C106" s="23">
        <f t="shared" si="3"/>
        <v>4.0000000000000001E-3</v>
      </c>
    </row>
    <row r="107" spans="1:3" x14ac:dyDescent="0.25">
      <c r="A107" s="70" t="s">
        <v>920</v>
      </c>
      <c r="B107" s="26">
        <v>300.375</v>
      </c>
      <c r="C107" s="23">
        <f t="shared" si="3"/>
        <v>4.4999999999999997E-3</v>
      </c>
    </row>
    <row r="108" spans="1:3" x14ac:dyDescent="0.25">
      <c r="A108" t="s">
        <v>921</v>
      </c>
      <c r="B108" s="26">
        <v>267</v>
      </c>
      <c r="C108" s="23">
        <f>IFERROR(B108/$S$2,"")</f>
        <v>4.0000000000000001E-3</v>
      </c>
    </row>
    <row r="109" spans="1:3" x14ac:dyDescent="0.25">
      <c r="A109" t="s">
        <v>922</v>
      </c>
      <c r="B109" s="26">
        <v>300.375</v>
      </c>
      <c r="C109" s="23">
        <f t="shared" ref="C109:C172" si="4">IFERROR(B109/$S$2,"")</f>
        <v>4.4999999999999997E-3</v>
      </c>
    </row>
    <row r="110" spans="1:3" x14ac:dyDescent="0.25">
      <c r="A110" t="s">
        <v>923</v>
      </c>
      <c r="B110" s="26">
        <v>267</v>
      </c>
      <c r="C110" s="23">
        <f t="shared" si="4"/>
        <v>4.0000000000000001E-3</v>
      </c>
    </row>
    <row r="111" spans="1:3" x14ac:dyDescent="0.25">
      <c r="A111" t="s">
        <v>924</v>
      </c>
      <c r="B111" s="26">
        <v>267</v>
      </c>
      <c r="C111" s="23">
        <f t="shared" si="4"/>
        <v>4.0000000000000001E-3</v>
      </c>
    </row>
    <row r="112" spans="1:3" x14ac:dyDescent="0.25">
      <c r="A112" t="s">
        <v>925</v>
      </c>
      <c r="B112" s="26">
        <v>300.375</v>
      </c>
      <c r="C112" s="23">
        <f t="shared" si="4"/>
        <v>4.4999999999999997E-3</v>
      </c>
    </row>
    <row r="113" spans="1:3" x14ac:dyDescent="0.25">
      <c r="A113" t="s">
        <v>926</v>
      </c>
      <c r="B113" s="26">
        <v>289.25</v>
      </c>
      <c r="C113" s="23">
        <f t="shared" si="4"/>
        <v>4.3333333333333331E-3</v>
      </c>
    </row>
    <row r="114" spans="1:3" x14ac:dyDescent="0.25">
      <c r="A114" t="s">
        <v>927</v>
      </c>
      <c r="B114" s="26">
        <v>289.25</v>
      </c>
      <c r="C114" s="23">
        <f t="shared" si="4"/>
        <v>4.3333333333333331E-3</v>
      </c>
    </row>
    <row r="115" spans="1:3" x14ac:dyDescent="0.25">
      <c r="A115" t="s">
        <v>928</v>
      </c>
      <c r="B115" s="26">
        <v>300.375</v>
      </c>
      <c r="C115" s="23">
        <f t="shared" si="4"/>
        <v>4.4999999999999997E-3</v>
      </c>
    </row>
    <row r="116" spans="1:3" x14ac:dyDescent="0.25">
      <c r="A116" t="s">
        <v>929</v>
      </c>
      <c r="B116" s="26">
        <v>300.375</v>
      </c>
      <c r="C116" s="23">
        <f t="shared" si="4"/>
        <v>4.4999999999999997E-3</v>
      </c>
    </row>
    <row r="117" spans="1:3" x14ac:dyDescent="0.25">
      <c r="A117" t="s">
        <v>930</v>
      </c>
      <c r="B117" s="26">
        <v>267</v>
      </c>
      <c r="C117" s="23">
        <f t="shared" si="4"/>
        <v>4.0000000000000001E-3</v>
      </c>
    </row>
    <row r="118" spans="1:3" x14ac:dyDescent="0.25">
      <c r="A118" t="s">
        <v>931</v>
      </c>
      <c r="B118" s="26">
        <v>267</v>
      </c>
      <c r="C118" s="23">
        <f t="shared" si="4"/>
        <v>4.0000000000000001E-3</v>
      </c>
    </row>
    <row r="119" spans="1:3" x14ac:dyDescent="0.25">
      <c r="A119" t="s">
        <v>932</v>
      </c>
      <c r="B119" s="26">
        <v>267</v>
      </c>
      <c r="C119" s="23">
        <f t="shared" si="4"/>
        <v>4.0000000000000001E-3</v>
      </c>
    </row>
    <row r="120" spans="1:3" x14ac:dyDescent="0.25">
      <c r="A120" t="s">
        <v>933</v>
      </c>
      <c r="B120" s="26">
        <v>300.375</v>
      </c>
      <c r="C120" s="23">
        <f t="shared" si="4"/>
        <v>4.4999999999999997E-3</v>
      </c>
    </row>
    <row r="121" spans="1:3" x14ac:dyDescent="0.25">
      <c r="A121" t="s">
        <v>934</v>
      </c>
      <c r="B121" s="26">
        <v>300.375</v>
      </c>
      <c r="C121" s="23">
        <f t="shared" si="4"/>
        <v>4.4999999999999997E-3</v>
      </c>
    </row>
    <row r="122" spans="1:3" x14ac:dyDescent="0.25">
      <c r="A122" t="s">
        <v>935</v>
      </c>
      <c r="B122" s="26">
        <v>267</v>
      </c>
      <c r="C122" s="23">
        <f t="shared" si="4"/>
        <v>4.0000000000000001E-3</v>
      </c>
    </row>
    <row r="123" spans="1:3" x14ac:dyDescent="0.25">
      <c r="A123" t="s">
        <v>936</v>
      </c>
      <c r="B123" s="26">
        <v>267</v>
      </c>
      <c r="C123" s="23">
        <f t="shared" si="4"/>
        <v>4.0000000000000001E-3</v>
      </c>
    </row>
    <row r="124" spans="1:3" x14ac:dyDescent="0.25">
      <c r="A124" t="s">
        <v>937</v>
      </c>
      <c r="B124" s="26">
        <v>300.375</v>
      </c>
      <c r="C124" s="23">
        <f t="shared" si="4"/>
        <v>4.4999999999999997E-3</v>
      </c>
    </row>
    <row r="125" spans="1:3" x14ac:dyDescent="0.25">
      <c r="A125" t="s">
        <v>938</v>
      </c>
      <c r="B125" s="26">
        <v>300.375</v>
      </c>
      <c r="C125" s="23">
        <f t="shared" si="4"/>
        <v>4.4999999999999997E-3</v>
      </c>
    </row>
    <row r="126" spans="1:3" x14ac:dyDescent="0.25">
      <c r="A126" t="s">
        <v>939</v>
      </c>
      <c r="B126" s="26">
        <v>267</v>
      </c>
      <c r="C126" s="23">
        <f t="shared" si="4"/>
        <v>4.0000000000000001E-3</v>
      </c>
    </row>
    <row r="127" spans="1:3" x14ac:dyDescent="0.25">
      <c r="A127" t="s">
        <v>940</v>
      </c>
      <c r="B127" s="26">
        <v>267</v>
      </c>
      <c r="C127" s="23">
        <f t="shared" si="4"/>
        <v>4.0000000000000001E-3</v>
      </c>
    </row>
    <row r="128" spans="1:3" x14ac:dyDescent="0.25">
      <c r="A128" t="s">
        <v>941</v>
      </c>
      <c r="B128" s="26">
        <v>300.375</v>
      </c>
      <c r="C128" s="23">
        <f t="shared" si="4"/>
        <v>4.4999999999999997E-3</v>
      </c>
    </row>
    <row r="129" spans="1:3" x14ac:dyDescent="0.25">
      <c r="A129" t="s">
        <v>942</v>
      </c>
      <c r="B129" s="26">
        <v>267</v>
      </c>
      <c r="C129" s="23">
        <f t="shared" si="4"/>
        <v>4.0000000000000001E-3</v>
      </c>
    </row>
    <row r="130" spans="1:3" x14ac:dyDescent="0.25">
      <c r="A130" t="s">
        <v>943</v>
      </c>
      <c r="B130" s="26">
        <v>267</v>
      </c>
      <c r="C130" s="23">
        <f t="shared" si="4"/>
        <v>4.0000000000000001E-3</v>
      </c>
    </row>
    <row r="131" spans="1:3" x14ac:dyDescent="0.25">
      <c r="A131" t="s">
        <v>944</v>
      </c>
      <c r="B131" s="26">
        <v>300.375</v>
      </c>
      <c r="C131" s="23">
        <f t="shared" si="4"/>
        <v>4.4999999999999997E-3</v>
      </c>
    </row>
    <row r="132" spans="1:3" x14ac:dyDescent="0.25">
      <c r="A132" t="s">
        <v>945</v>
      </c>
      <c r="B132" s="26">
        <v>300.375</v>
      </c>
      <c r="C132" s="23">
        <f t="shared" si="4"/>
        <v>4.4999999999999997E-3</v>
      </c>
    </row>
    <row r="133" spans="1:3" x14ac:dyDescent="0.25">
      <c r="A133" t="s">
        <v>946</v>
      </c>
      <c r="B133" s="26">
        <v>289.25</v>
      </c>
      <c r="C133" s="23">
        <f t="shared" si="4"/>
        <v>4.3333333333333331E-3</v>
      </c>
    </row>
    <row r="134" spans="1:3" x14ac:dyDescent="0.25">
      <c r="A134" t="s">
        <v>947</v>
      </c>
      <c r="B134" s="26">
        <v>289.25</v>
      </c>
      <c r="C134" s="23">
        <f t="shared" si="4"/>
        <v>4.3333333333333331E-3</v>
      </c>
    </row>
    <row r="135" spans="1:3" x14ac:dyDescent="0.25">
      <c r="A135" t="s">
        <v>948</v>
      </c>
      <c r="B135" s="26">
        <v>289.25</v>
      </c>
      <c r="C135" s="23">
        <f t="shared" si="4"/>
        <v>4.3333333333333331E-3</v>
      </c>
    </row>
    <row r="136" spans="1:3" x14ac:dyDescent="0.25">
      <c r="A136" t="s">
        <v>949</v>
      </c>
      <c r="B136" s="26">
        <v>244.75</v>
      </c>
      <c r="C136" s="23">
        <f t="shared" si="4"/>
        <v>3.6666666666666666E-3</v>
      </c>
    </row>
    <row r="137" spans="1:3" x14ac:dyDescent="0.25">
      <c r="A137" t="s">
        <v>950</v>
      </c>
      <c r="B137" s="26">
        <v>286</v>
      </c>
      <c r="C137" s="23">
        <f t="shared" si="4"/>
        <v>4.2846441947565544E-3</v>
      </c>
    </row>
    <row r="138" spans="1:3" x14ac:dyDescent="0.25">
      <c r="A138" t="s">
        <v>951</v>
      </c>
      <c r="B138" s="26">
        <v>286</v>
      </c>
      <c r="C138" s="23">
        <f t="shared" si="4"/>
        <v>4.2846441947565544E-3</v>
      </c>
    </row>
    <row r="139" spans="1:3" x14ac:dyDescent="0.25">
      <c r="A139" t="s">
        <v>952</v>
      </c>
      <c r="B139" s="26">
        <v>286</v>
      </c>
      <c r="C139" s="23">
        <f t="shared" si="4"/>
        <v>4.2846441947565544E-3</v>
      </c>
    </row>
    <row r="140" spans="1:3" x14ac:dyDescent="0.25">
      <c r="A140" t="s">
        <v>953</v>
      </c>
      <c r="B140" s="26">
        <v>286</v>
      </c>
      <c r="C140" s="23">
        <f t="shared" si="4"/>
        <v>4.2846441947565544E-3</v>
      </c>
    </row>
    <row r="141" spans="1:3" x14ac:dyDescent="0.25">
      <c r="A141" t="s">
        <v>954</v>
      </c>
      <c r="B141" s="26">
        <v>278.125</v>
      </c>
      <c r="C141" s="23">
        <f t="shared" si="4"/>
        <v>4.1666666666666666E-3</v>
      </c>
    </row>
    <row r="142" spans="1:3" x14ac:dyDescent="0.25">
      <c r="A142" t="s">
        <v>955</v>
      </c>
      <c r="B142" s="26">
        <v>267</v>
      </c>
      <c r="C142" s="23">
        <f t="shared" si="4"/>
        <v>4.0000000000000001E-3</v>
      </c>
    </row>
    <row r="143" spans="1:3" x14ac:dyDescent="0.25">
      <c r="A143" t="s">
        <v>956</v>
      </c>
      <c r="B143" s="26">
        <v>289.25</v>
      </c>
      <c r="C143" s="23">
        <f t="shared" si="4"/>
        <v>4.3333333333333331E-3</v>
      </c>
    </row>
    <row r="144" spans="1:3" x14ac:dyDescent="0.25">
      <c r="A144" t="s">
        <v>957</v>
      </c>
      <c r="B144" s="26">
        <v>289.25</v>
      </c>
      <c r="C144" s="23">
        <f t="shared" si="4"/>
        <v>4.3333333333333331E-3</v>
      </c>
    </row>
    <row r="145" spans="1:3" x14ac:dyDescent="0.25">
      <c r="A145" t="s">
        <v>958</v>
      </c>
      <c r="B145" s="26">
        <v>267</v>
      </c>
      <c r="C145" s="23">
        <f t="shared" si="4"/>
        <v>4.0000000000000001E-3</v>
      </c>
    </row>
    <row r="146" spans="1:3" x14ac:dyDescent="0.25">
      <c r="A146" t="s">
        <v>959</v>
      </c>
      <c r="B146" s="26">
        <v>289.25</v>
      </c>
      <c r="C146" s="23">
        <f t="shared" si="4"/>
        <v>4.3333333333333331E-3</v>
      </c>
    </row>
    <row r="147" spans="1:3" x14ac:dyDescent="0.25">
      <c r="A147" t="s">
        <v>960</v>
      </c>
      <c r="B147" s="26">
        <v>267</v>
      </c>
      <c r="C147" s="23">
        <f t="shared" si="4"/>
        <v>4.0000000000000001E-3</v>
      </c>
    </row>
    <row r="148" spans="1:3" x14ac:dyDescent="0.25">
      <c r="A148" t="s">
        <v>961</v>
      </c>
      <c r="B148" s="26">
        <v>289.25</v>
      </c>
      <c r="C148" s="23">
        <f t="shared" si="4"/>
        <v>4.3333333333333331E-3</v>
      </c>
    </row>
    <row r="149" spans="1:3" x14ac:dyDescent="0.25">
      <c r="A149" t="s">
        <v>962</v>
      </c>
      <c r="B149" s="26">
        <v>267</v>
      </c>
      <c r="C149" s="23">
        <f t="shared" si="4"/>
        <v>4.0000000000000001E-3</v>
      </c>
    </row>
    <row r="150" spans="1:3" x14ac:dyDescent="0.25">
      <c r="A150" t="s">
        <v>963</v>
      </c>
      <c r="B150" s="26">
        <v>244.75</v>
      </c>
      <c r="C150" s="23">
        <f t="shared" si="4"/>
        <v>3.6666666666666666E-3</v>
      </c>
    </row>
    <row r="151" spans="1:3" x14ac:dyDescent="0.25">
      <c r="A151" t="s">
        <v>964</v>
      </c>
      <c r="B151" s="26">
        <v>267</v>
      </c>
      <c r="C151" s="23">
        <f t="shared" si="4"/>
        <v>4.0000000000000001E-3</v>
      </c>
    </row>
    <row r="152" spans="1:3" x14ac:dyDescent="0.25">
      <c r="A152" t="s">
        <v>965</v>
      </c>
      <c r="B152" s="26">
        <v>267</v>
      </c>
      <c r="C152" s="23">
        <f t="shared" si="4"/>
        <v>4.0000000000000001E-3</v>
      </c>
    </row>
    <row r="153" spans="1:3" x14ac:dyDescent="0.25">
      <c r="A153" t="s">
        <v>966</v>
      </c>
      <c r="B153" s="26">
        <v>289.25</v>
      </c>
      <c r="C153" s="23">
        <f t="shared" si="4"/>
        <v>4.3333333333333331E-3</v>
      </c>
    </row>
    <row r="154" spans="1:3" x14ac:dyDescent="0.25">
      <c r="A154" t="s">
        <v>967</v>
      </c>
      <c r="B154" s="26">
        <v>267</v>
      </c>
      <c r="C154" s="23">
        <f t="shared" si="4"/>
        <v>4.0000000000000001E-3</v>
      </c>
    </row>
    <row r="155" spans="1:3" x14ac:dyDescent="0.25">
      <c r="A155" t="s">
        <v>968</v>
      </c>
      <c r="B155" s="26">
        <v>300.375</v>
      </c>
      <c r="C155" s="23">
        <f t="shared" si="4"/>
        <v>4.4999999999999997E-3</v>
      </c>
    </row>
    <row r="156" spans="1:3" x14ac:dyDescent="0.25">
      <c r="A156" t="s">
        <v>969</v>
      </c>
      <c r="B156" s="26">
        <v>267</v>
      </c>
      <c r="C156" s="23">
        <f t="shared" si="4"/>
        <v>4.0000000000000001E-3</v>
      </c>
    </row>
    <row r="157" spans="1:3" x14ac:dyDescent="0.25">
      <c r="A157" t="s">
        <v>970</v>
      </c>
      <c r="B157" s="26">
        <v>267</v>
      </c>
      <c r="C157" s="23">
        <f t="shared" si="4"/>
        <v>4.0000000000000001E-3</v>
      </c>
    </row>
    <row r="158" spans="1:3" x14ac:dyDescent="0.25">
      <c r="A158" t="s">
        <v>971</v>
      </c>
      <c r="B158" s="26">
        <v>267</v>
      </c>
      <c r="C158" s="23">
        <f t="shared" si="4"/>
        <v>4.0000000000000001E-3</v>
      </c>
    </row>
    <row r="159" spans="1:3" x14ac:dyDescent="0.25">
      <c r="A159" t="s">
        <v>972</v>
      </c>
      <c r="B159" s="26">
        <v>267</v>
      </c>
      <c r="C159" s="23">
        <f t="shared" si="4"/>
        <v>4.0000000000000001E-3</v>
      </c>
    </row>
    <row r="160" spans="1:3" x14ac:dyDescent="0.25">
      <c r="A160" t="s">
        <v>973</v>
      </c>
      <c r="B160" s="26">
        <v>267</v>
      </c>
      <c r="C160" s="23">
        <f t="shared" si="4"/>
        <v>4.0000000000000001E-3</v>
      </c>
    </row>
    <row r="161" spans="1:3" x14ac:dyDescent="0.25">
      <c r="A161" t="s">
        <v>974</v>
      </c>
      <c r="B161" s="26">
        <v>264</v>
      </c>
      <c r="C161" s="23">
        <f t="shared" si="4"/>
        <v>3.9550561797752808E-3</v>
      </c>
    </row>
    <row r="162" spans="1:3" x14ac:dyDescent="0.25">
      <c r="A162" t="s">
        <v>975</v>
      </c>
      <c r="B162" s="26">
        <v>264</v>
      </c>
      <c r="C162" s="23">
        <f t="shared" si="4"/>
        <v>3.9550561797752808E-3</v>
      </c>
    </row>
    <row r="163" spans="1:3" x14ac:dyDescent="0.25">
      <c r="A163" t="s">
        <v>976</v>
      </c>
      <c r="B163" s="26">
        <v>297</v>
      </c>
      <c r="C163" s="23">
        <f t="shared" si="4"/>
        <v>4.4494382022471912E-3</v>
      </c>
    </row>
    <row r="164" spans="1:3" x14ac:dyDescent="0.25">
      <c r="A164" t="s">
        <v>977</v>
      </c>
      <c r="B164" s="26">
        <v>264</v>
      </c>
      <c r="C164" s="23">
        <f t="shared" si="4"/>
        <v>3.9550561797752808E-3</v>
      </c>
    </row>
    <row r="165" spans="1:3" x14ac:dyDescent="0.25">
      <c r="A165" t="s">
        <v>978</v>
      </c>
      <c r="B165" s="26">
        <v>297</v>
      </c>
      <c r="C165" s="23">
        <f t="shared" si="4"/>
        <v>4.4494382022471912E-3</v>
      </c>
    </row>
    <row r="166" spans="1:3" x14ac:dyDescent="0.25">
      <c r="A166" t="s">
        <v>979</v>
      </c>
      <c r="B166" s="26">
        <v>297</v>
      </c>
      <c r="C166" s="23">
        <f t="shared" si="4"/>
        <v>4.4494382022471912E-3</v>
      </c>
    </row>
    <row r="167" spans="1:3" x14ac:dyDescent="0.25">
      <c r="A167" t="s">
        <v>980</v>
      </c>
      <c r="B167" s="26">
        <v>297</v>
      </c>
      <c r="C167" s="23">
        <f t="shared" si="4"/>
        <v>4.4494382022471912E-3</v>
      </c>
    </row>
    <row r="168" spans="1:3" x14ac:dyDescent="0.25">
      <c r="A168" t="s">
        <v>981</v>
      </c>
      <c r="B168" s="26">
        <v>275</v>
      </c>
      <c r="C168" s="23">
        <f t="shared" si="4"/>
        <v>4.1198501872659176E-3</v>
      </c>
    </row>
    <row r="169" spans="1:3" x14ac:dyDescent="0.25">
      <c r="A169" t="s">
        <v>982</v>
      </c>
      <c r="B169" s="26">
        <v>264</v>
      </c>
      <c r="C169" s="23">
        <f t="shared" si="4"/>
        <v>3.9550561797752808E-3</v>
      </c>
    </row>
    <row r="170" spans="1:3" x14ac:dyDescent="0.25">
      <c r="A170" t="s">
        <v>983</v>
      </c>
      <c r="B170" s="26">
        <v>297</v>
      </c>
      <c r="C170" s="23">
        <f t="shared" si="4"/>
        <v>4.4494382022471912E-3</v>
      </c>
    </row>
    <row r="171" spans="1:3" x14ac:dyDescent="0.25">
      <c r="A171" t="s">
        <v>984</v>
      </c>
      <c r="B171" s="26">
        <v>264</v>
      </c>
      <c r="C171" s="23">
        <f t="shared" si="4"/>
        <v>3.9550561797752808E-3</v>
      </c>
    </row>
    <row r="172" spans="1:3" x14ac:dyDescent="0.25">
      <c r="A172" t="s">
        <v>985</v>
      </c>
      <c r="B172" s="26">
        <v>275</v>
      </c>
      <c r="C172" s="23">
        <f t="shared" si="4"/>
        <v>4.1198501872659176E-3</v>
      </c>
    </row>
    <row r="173" spans="1:3" x14ac:dyDescent="0.25">
      <c r="A173" t="s">
        <v>986</v>
      </c>
      <c r="B173" s="26">
        <v>275</v>
      </c>
      <c r="C173" s="23">
        <f t="shared" ref="C173:C240" si="5">IFERROR(B173/$S$2,"")</f>
        <v>4.1198501872659176E-3</v>
      </c>
    </row>
    <row r="174" spans="1:3" x14ac:dyDescent="0.25">
      <c r="A174" t="s">
        <v>987</v>
      </c>
      <c r="B174" s="26">
        <v>275</v>
      </c>
      <c r="C174" s="23">
        <f t="shared" si="5"/>
        <v>4.1198501872659176E-3</v>
      </c>
    </row>
    <row r="175" spans="1:3" x14ac:dyDescent="0.25">
      <c r="A175" t="s">
        <v>988</v>
      </c>
      <c r="B175" s="26">
        <v>297</v>
      </c>
      <c r="C175" s="23">
        <f t="shared" si="5"/>
        <v>4.4494382022471912E-3</v>
      </c>
    </row>
    <row r="176" spans="1:3" x14ac:dyDescent="0.25">
      <c r="A176" t="s">
        <v>989</v>
      </c>
      <c r="B176" s="26">
        <v>275</v>
      </c>
      <c r="C176" s="23">
        <f t="shared" si="5"/>
        <v>4.1198501872659176E-3</v>
      </c>
    </row>
    <row r="177" spans="1:3" x14ac:dyDescent="0.25">
      <c r="A177" t="s">
        <v>990</v>
      </c>
      <c r="B177" s="26">
        <v>297</v>
      </c>
      <c r="C177" s="23">
        <f t="shared" si="5"/>
        <v>4.4494382022471912E-3</v>
      </c>
    </row>
    <row r="178" spans="1:3" x14ac:dyDescent="0.25">
      <c r="A178" t="s">
        <v>991</v>
      </c>
      <c r="B178" s="26">
        <v>264</v>
      </c>
      <c r="C178" s="23">
        <f t="shared" si="5"/>
        <v>3.9550561797752808E-3</v>
      </c>
    </row>
    <row r="179" spans="1:3" x14ac:dyDescent="0.25">
      <c r="A179" t="s">
        <v>992</v>
      </c>
      <c r="B179" s="26">
        <v>264</v>
      </c>
      <c r="C179" s="23">
        <f t="shared" si="5"/>
        <v>3.9550561797752808E-3</v>
      </c>
    </row>
    <row r="180" spans="1:3" x14ac:dyDescent="0.25">
      <c r="A180" t="s">
        <v>993</v>
      </c>
      <c r="B180" s="26">
        <v>264</v>
      </c>
      <c r="C180" s="23">
        <f t="shared" si="5"/>
        <v>3.9550561797752808E-3</v>
      </c>
    </row>
    <row r="181" spans="1:3" x14ac:dyDescent="0.25">
      <c r="A181" t="s">
        <v>994</v>
      </c>
      <c r="B181" s="26">
        <v>297</v>
      </c>
      <c r="C181" s="23">
        <f t="shared" si="5"/>
        <v>4.4494382022471912E-3</v>
      </c>
    </row>
    <row r="182" spans="1:3" x14ac:dyDescent="0.25">
      <c r="A182" t="s">
        <v>995</v>
      </c>
      <c r="B182" s="26">
        <v>264</v>
      </c>
      <c r="C182" s="23">
        <f t="shared" si="5"/>
        <v>3.9550561797752808E-3</v>
      </c>
    </row>
    <row r="183" spans="1:3" x14ac:dyDescent="0.25">
      <c r="A183" t="s">
        <v>996</v>
      </c>
      <c r="B183" s="26">
        <v>286</v>
      </c>
      <c r="C183" s="23">
        <f t="shared" si="5"/>
        <v>4.2846441947565544E-3</v>
      </c>
    </row>
    <row r="184" spans="1:3" x14ac:dyDescent="0.25">
      <c r="A184" t="s">
        <v>997</v>
      </c>
      <c r="B184" s="26">
        <v>297</v>
      </c>
      <c r="C184" s="23">
        <f t="shared" si="5"/>
        <v>4.4494382022471912E-3</v>
      </c>
    </row>
    <row r="185" spans="1:3" x14ac:dyDescent="0.25">
      <c r="A185" t="s">
        <v>998</v>
      </c>
      <c r="B185" s="26">
        <v>297</v>
      </c>
      <c r="C185" s="23">
        <f t="shared" si="5"/>
        <v>4.4494382022471912E-3</v>
      </c>
    </row>
    <row r="186" spans="1:3" x14ac:dyDescent="0.25">
      <c r="A186" t="s">
        <v>999</v>
      </c>
      <c r="B186" s="26">
        <v>275</v>
      </c>
      <c r="C186" s="23">
        <f t="shared" si="5"/>
        <v>4.1198501872659176E-3</v>
      </c>
    </row>
    <row r="187" spans="1:3" x14ac:dyDescent="0.25">
      <c r="A187" t="s">
        <v>1000</v>
      </c>
      <c r="B187" s="26">
        <v>286</v>
      </c>
      <c r="C187" s="23">
        <f t="shared" si="5"/>
        <v>4.2846441947565544E-3</v>
      </c>
    </row>
    <row r="188" spans="1:3" x14ac:dyDescent="0.25">
      <c r="A188" t="s">
        <v>1001</v>
      </c>
      <c r="B188" s="26">
        <v>297</v>
      </c>
      <c r="C188" s="23">
        <f t="shared" si="5"/>
        <v>4.4494382022471912E-3</v>
      </c>
    </row>
    <row r="189" spans="1:3" x14ac:dyDescent="0.25">
      <c r="A189" t="s">
        <v>1002</v>
      </c>
      <c r="B189" s="26">
        <v>275</v>
      </c>
      <c r="C189" s="23">
        <f t="shared" si="5"/>
        <v>4.1198501872659176E-3</v>
      </c>
    </row>
    <row r="190" spans="1:3" x14ac:dyDescent="0.25">
      <c r="A190" t="s">
        <v>1003</v>
      </c>
      <c r="B190" s="26">
        <v>275</v>
      </c>
      <c r="C190" s="23">
        <f t="shared" si="5"/>
        <v>4.1198501872659176E-3</v>
      </c>
    </row>
    <row r="191" spans="1:3" x14ac:dyDescent="0.25">
      <c r="A191" t="s">
        <v>1004</v>
      </c>
      <c r="B191" s="26">
        <v>275</v>
      </c>
      <c r="C191" s="23">
        <f t="shared" si="5"/>
        <v>4.1198501872659176E-3</v>
      </c>
    </row>
    <row r="192" spans="1:3" x14ac:dyDescent="0.25">
      <c r="A192" t="s">
        <v>1005</v>
      </c>
      <c r="B192" s="26">
        <v>286</v>
      </c>
      <c r="C192" s="23">
        <f t="shared" si="5"/>
        <v>4.2846441947565544E-3</v>
      </c>
    </row>
    <row r="193" spans="1:3" x14ac:dyDescent="0.25">
      <c r="A193" t="s">
        <v>1006</v>
      </c>
      <c r="B193" s="26">
        <v>264</v>
      </c>
      <c r="C193" s="23">
        <f t="shared" si="5"/>
        <v>3.9550561797752808E-3</v>
      </c>
    </row>
    <row r="194" spans="1:3" x14ac:dyDescent="0.25">
      <c r="A194" t="s">
        <v>1007</v>
      </c>
      <c r="B194" s="26">
        <v>264</v>
      </c>
      <c r="C194" s="23">
        <f t="shared" si="5"/>
        <v>3.9550561797752808E-3</v>
      </c>
    </row>
    <row r="195" spans="1:3" x14ac:dyDescent="0.25">
      <c r="A195" t="s">
        <v>1008</v>
      </c>
      <c r="B195" s="26">
        <v>264</v>
      </c>
      <c r="C195" s="23">
        <f t="shared" si="5"/>
        <v>3.9550561797752808E-3</v>
      </c>
    </row>
    <row r="196" spans="1:3" x14ac:dyDescent="0.25">
      <c r="A196" t="s">
        <v>1009</v>
      </c>
      <c r="B196" s="26">
        <v>264</v>
      </c>
      <c r="C196" s="23">
        <f t="shared" si="5"/>
        <v>3.9550561797752808E-3</v>
      </c>
    </row>
    <row r="197" spans="1:3" x14ac:dyDescent="0.25">
      <c r="A197" t="s">
        <v>1010</v>
      </c>
      <c r="B197" s="26">
        <v>264</v>
      </c>
      <c r="C197" s="23">
        <f t="shared" si="5"/>
        <v>3.9550561797752808E-3</v>
      </c>
    </row>
    <row r="198" spans="1:3" x14ac:dyDescent="0.25">
      <c r="A198" t="s">
        <v>1011</v>
      </c>
      <c r="B198" s="26">
        <v>264</v>
      </c>
      <c r="C198" s="23">
        <f t="shared" si="5"/>
        <v>3.9550561797752808E-3</v>
      </c>
    </row>
    <row r="199" spans="1:3" x14ac:dyDescent="0.25">
      <c r="A199" t="s">
        <v>1012</v>
      </c>
      <c r="B199" s="26">
        <v>220</v>
      </c>
      <c r="C199" s="23">
        <f t="shared" si="5"/>
        <v>3.295880149812734E-3</v>
      </c>
    </row>
    <row r="200" spans="1:3" x14ac:dyDescent="0.25">
      <c r="A200" t="s">
        <v>1013</v>
      </c>
      <c r="B200" s="26">
        <v>264</v>
      </c>
      <c r="C200" s="23">
        <f t="shared" si="5"/>
        <v>3.9550561797752808E-3</v>
      </c>
    </row>
    <row r="201" spans="1:3" x14ac:dyDescent="0.25">
      <c r="A201" t="s">
        <v>1014</v>
      </c>
      <c r="B201" s="26">
        <v>257.40000000000003</v>
      </c>
      <c r="C201" s="23">
        <f t="shared" si="5"/>
        <v>3.8561797752808993E-3</v>
      </c>
    </row>
    <row r="202" spans="1:3" x14ac:dyDescent="0.25">
      <c r="A202" t="s">
        <v>1015</v>
      </c>
      <c r="B202" s="26">
        <v>190.35</v>
      </c>
      <c r="C202" s="23">
        <f t="shared" si="5"/>
        <v>2.8516853932584268E-3</v>
      </c>
    </row>
    <row r="203" spans="1:3" x14ac:dyDescent="0.25">
      <c r="A203" t="s">
        <v>1016</v>
      </c>
      <c r="B203" s="26">
        <v>270.60000000000002</v>
      </c>
      <c r="C203" s="23">
        <f t="shared" si="5"/>
        <v>4.0539325842696636E-3</v>
      </c>
    </row>
    <row r="204" spans="1:3" x14ac:dyDescent="0.25">
      <c r="A204" t="s">
        <v>1017</v>
      </c>
      <c r="B204" s="26">
        <v>244.75</v>
      </c>
      <c r="C204" s="23">
        <f t="shared" si="5"/>
        <v>3.6666666666666666E-3</v>
      </c>
    </row>
    <row r="205" spans="1:3" x14ac:dyDescent="0.25">
      <c r="A205" t="s">
        <v>1018</v>
      </c>
      <c r="B205" s="26">
        <v>267</v>
      </c>
      <c r="C205" s="23">
        <f t="shared" si="5"/>
        <v>4.0000000000000001E-3</v>
      </c>
    </row>
    <row r="206" spans="1:3" x14ac:dyDescent="0.25">
      <c r="A206" t="s">
        <v>1019</v>
      </c>
      <c r="B206" s="26">
        <v>267</v>
      </c>
      <c r="C206" s="23">
        <f t="shared" si="5"/>
        <v>4.0000000000000001E-3</v>
      </c>
    </row>
    <row r="207" spans="1:3" x14ac:dyDescent="0.25">
      <c r="A207" t="s">
        <v>1020</v>
      </c>
      <c r="B207" s="26">
        <v>267</v>
      </c>
      <c r="C207" s="23">
        <f t="shared" si="5"/>
        <v>4.0000000000000001E-3</v>
      </c>
    </row>
    <row r="208" spans="1:3" x14ac:dyDescent="0.25">
      <c r="A208" t="s">
        <v>1021</v>
      </c>
      <c r="B208" s="26">
        <v>267</v>
      </c>
      <c r="C208" s="23">
        <f t="shared" si="5"/>
        <v>4.0000000000000001E-3</v>
      </c>
    </row>
    <row r="209" spans="1:15" x14ac:dyDescent="0.25">
      <c r="A209" t="s">
        <v>1022</v>
      </c>
      <c r="B209" s="26">
        <v>267</v>
      </c>
      <c r="C209" s="23">
        <f t="shared" si="5"/>
        <v>4.0000000000000001E-3</v>
      </c>
    </row>
    <row r="210" spans="1:15" x14ac:dyDescent="0.25">
      <c r="A210" t="s">
        <v>1023</v>
      </c>
      <c r="B210" s="26">
        <v>267</v>
      </c>
      <c r="C210" s="23">
        <f t="shared" si="5"/>
        <v>4.0000000000000001E-3</v>
      </c>
    </row>
    <row r="211" spans="1:15" x14ac:dyDescent="0.25">
      <c r="A211" t="s">
        <v>1024</v>
      </c>
      <c r="B211" s="26">
        <v>267</v>
      </c>
      <c r="C211" s="23">
        <f t="shared" si="5"/>
        <v>4.0000000000000001E-3</v>
      </c>
    </row>
    <row r="212" spans="1:15" x14ac:dyDescent="0.25">
      <c r="A212" t="s">
        <v>1025</v>
      </c>
      <c r="B212" s="26">
        <v>267</v>
      </c>
      <c r="C212" s="23">
        <f t="shared" si="5"/>
        <v>4.0000000000000001E-3</v>
      </c>
    </row>
    <row r="213" spans="1:15" x14ac:dyDescent="0.25">
      <c r="A213" t="s">
        <v>1026</v>
      </c>
      <c r="B213" s="26">
        <v>267</v>
      </c>
      <c r="C213" s="23">
        <f t="shared" si="5"/>
        <v>4.0000000000000001E-3</v>
      </c>
    </row>
    <row r="214" spans="1:15" x14ac:dyDescent="0.25">
      <c r="A214" t="s">
        <v>1027</v>
      </c>
      <c r="B214" s="26">
        <v>267</v>
      </c>
      <c r="C214" s="23">
        <f t="shared" si="5"/>
        <v>4.0000000000000001E-3</v>
      </c>
    </row>
    <row r="215" spans="1:15" x14ac:dyDescent="0.25">
      <c r="A215" t="s">
        <v>1028</v>
      </c>
      <c r="B215" s="26">
        <v>267</v>
      </c>
      <c r="C215" s="23">
        <f t="shared" si="5"/>
        <v>4.0000000000000001E-3</v>
      </c>
    </row>
    <row r="216" spans="1:15" x14ac:dyDescent="0.25">
      <c r="A216" t="s">
        <v>1029</v>
      </c>
      <c r="B216" s="26">
        <v>300.375</v>
      </c>
      <c r="C216" s="23">
        <f t="shared" si="5"/>
        <v>4.4999999999999997E-3</v>
      </c>
    </row>
    <row r="217" spans="1:15" x14ac:dyDescent="0.25">
      <c r="A217" t="s">
        <v>1030</v>
      </c>
      <c r="B217" s="26">
        <v>300.375</v>
      </c>
      <c r="C217" s="23">
        <f t="shared" si="5"/>
        <v>4.4999999999999997E-3</v>
      </c>
    </row>
    <row r="218" spans="1:15" x14ac:dyDescent="0.25">
      <c r="A218" t="s">
        <v>1031</v>
      </c>
      <c r="B218" s="26">
        <v>267</v>
      </c>
      <c r="C218" s="23">
        <f t="shared" si="5"/>
        <v>4.0000000000000001E-3</v>
      </c>
    </row>
    <row r="219" spans="1:15" x14ac:dyDescent="0.25">
      <c r="A219" t="s">
        <v>1032</v>
      </c>
      <c r="B219" s="26">
        <v>267</v>
      </c>
      <c r="C219" s="23">
        <f t="shared" si="5"/>
        <v>4.0000000000000001E-3</v>
      </c>
    </row>
    <row r="220" spans="1:15" x14ac:dyDescent="0.25">
      <c r="A220" t="s">
        <v>1033</v>
      </c>
      <c r="B220" s="26">
        <v>267</v>
      </c>
      <c r="C220" s="23">
        <f t="shared" si="5"/>
        <v>4.0000000000000001E-3</v>
      </c>
    </row>
    <row r="221" spans="1:15" x14ac:dyDescent="0.25">
      <c r="A221" t="s">
        <v>1034</v>
      </c>
      <c r="B221" s="26">
        <v>267</v>
      </c>
      <c r="C221" s="23">
        <f t="shared" si="5"/>
        <v>4.0000000000000001E-3</v>
      </c>
    </row>
    <row r="222" spans="1:15" x14ac:dyDescent="0.25">
      <c r="A222" t="s">
        <v>1035</v>
      </c>
      <c r="B222" s="26">
        <v>267</v>
      </c>
      <c r="C222" s="23">
        <f t="shared" si="5"/>
        <v>4.0000000000000001E-3</v>
      </c>
    </row>
    <row r="223" spans="1:15" s="354" customFormat="1" x14ac:dyDescent="0.25">
      <c r="A223" s="354" t="s">
        <v>1248</v>
      </c>
      <c r="B223" s="26">
        <v>159.5</v>
      </c>
      <c r="C223" s="23">
        <f t="shared" ref="C223" si="6">IFERROR(B223/$S$2,"")</f>
        <v>2.3895131086142324E-3</v>
      </c>
      <c r="I223" s="25"/>
      <c r="J223" s="1"/>
      <c r="K223" s="1"/>
      <c r="L223" s="1"/>
      <c r="M223" s="1"/>
      <c r="N223" s="1"/>
      <c r="O223" s="1"/>
    </row>
    <row r="224" spans="1:15" x14ac:dyDescent="0.25">
      <c r="A224" t="s">
        <v>1036</v>
      </c>
      <c r="B224" s="26">
        <v>267</v>
      </c>
      <c r="C224" s="23">
        <f t="shared" si="5"/>
        <v>4.0000000000000001E-3</v>
      </c>
    </row>
    <row r="225" spans="1:3" x14ac:dyDescent="0.25">
      <c r="A225" t="s">
        <v>1037</v>
      </c>
      <c r="B225" s="26">
        <v>198</v>
      </c>
      <c r="C225" s="23">
        <f t="shared" si="5"/>
        <v>2.9662921348314608E-3</v>
      </c>
    </row>
    <row r="226" spans="1:3" x14ac:dyDescent="0.25">
      <c r="A226" t="s">
        <v>1038</v>
      </c>
      <c r="B226" s="26">
        <v>188.1</v>
      </c>
      <c r="C226" s="23">
        <f t="shared" si="5"/>
        <v>2.8179775280898875E-3</v>
      </c>
    </row>
    <row r="227" spans="1:3" x14ac:dyDescent="0.25">
      <c r="A227" t="s">
        <v>1039</v>
      </c>
      <c r="B227" s="26">
        <v>278.125</v>
      </c>
      <c r="C227" s="23">
        <f t="shared" si="5"/>
        <v>4.1666666666666666E-3</v>
      </c>
    </row>
    <row r="228" spans="1:3" x14ac:dyDescent="0.25">
      <c r="A228" t="s">
        <v>1040</v>
      </c>
      <c r="B228" s="26">
        <v>300.375</v>
      </c>
      <c r="C228" s="23">
        <f t="shared" si="5"/>
        <v>4.4999999999999997E-3</v>
      </c>
    </row>
    <row r="229" spans="1:3" x14ac:dyDescent="0.25">
      <c r="A229" t="s">
        <v>1041</v>
      </c>
      <c r="B229" s="26">
        <v>289.25</v>
      </c>
      <c r="C229" s="23">
        <f t="shared" si="5"/>
        <v>4.3333333333333331E-3</v>
      </c>
    </row>
    <row r="230" spans="1:3" x14ac:dyDescent="0.25">
      <c r="A230" t="s">
        <v>1042</v>
      </c>
      <c r="B230" s="26">
        <v>289.25</v>
      </c>
      <c r="C230" s="23">
        <f t="shared" si="5"/>
        <v>4.3333333333333331E-3</v>
      </c>
    </row>
    <row r="231" spans="1:3" x14ac:dyDescent="0.25">
      <c r="A231" t="s">
        <v>1043</v>
      </c>
      <c r="B231" s="26">
        <v>267</v>
      </c>
      <c r="C231" s="23">
        <f t="shared" si="5"/>
        <v>4.0000000000000001E-3</v>
      </c>
    </row>
    <row r="232" spans="1:3" x14ac:dyDescent="0.25">
      <c r="A232" t="s">
        <v>1044</v>
      </c>
      <c r="B232" s="26">
        <v>289.25</v>
      </c>
      <c r="C232" s="23">
        <f t="shared" si="5"/>
        <v>4.3333333333333331E-3</v>
      </c>
    </row>
    <row r="233" spans="1:3" x14ac:dyDescent="0.25">
      <c r="A233" t="s">
        <v>1045</v>
      </c>
      <c r="B233" s="26">
        <v>300.375</v>
      </c>
      <c r="C233" s="23">
        <f t="shared" si="5"/>
        <v>4.4999999999999997E-3</v>
      </c>
    </row>
    <row r="234" spans="1:3" x14ac:dyDescent="0.25">
      <c r="A234" t="s">
        <v>1046</v>
      </c>
      <c r="B234" s="26">
        <v>300.375</v>
      </c>
      <c r="C234" s="23">
        <f t="shared" si="5"/>
        <v>4.4999999999999997E-3</v>
      </c>
    </row>
    <row r="235" spans="1:3" x14ac:dyDescent="0.25">
      <c r="A235" t="s">
        <v>1047</v>
      </c>
      <c r="B235" s="26">
        <v>257.40000000000003</v>
      </c>
      <c r="C235" s="23">
        <f t="shared" si="5"/>
        <v>3.8561797752808993E-3</v>
      </c>
    </row>
    <row r="236" spans="1:3" x14ac:dyDescent="0.25">
      <c r="A236" t="s">
        <v>1048</v>
      </c>
      <c r="B236" s="26">
        <v>277.2</v>
      </c>
      <c r="C236" s="23">
        <f t="shared" si="5"/>
        <v>4.1528089887640446E-3</v>
      </c>
    </row>
    <row r="237" spans="1:3" x14ac:dyDescent="0.25">
      <c r="A237" t="s">
        <v>1049</v>
      </c>
      <c r="B237" s="26">
        <v>257.40000000000003</v>
      </c>
      <c r="C237" s="23">
        <f t="shared" si="5"/>
        <v>3.8561797752808993E-3</v>
      </c>
    </row>
    <row r="238" spans="1:3" x14ac:dyDescent="0.25">
      <c r="A238" t="s">
        <v>1050</v>
      </c>
      <c r="B238" s="26">
        <v>267.29999999999995</v>
      </c>
      <c r="C238" s="23">
        <f t="shared" si="5"/>
        <v>4.0044943820224709E-3</v>
      </c>
    </row>
    <row r="239" spans="1:3" x14ac:dyDescent="0.25">
      <c r="A239" t="s">
        <v>1051</v>
      </c>
      <c r="B239" s="26">
        <v>188.1</v>
      </c>
      <c r="C239" s="23">
        <f t="shared" si="5"/>
        <v>2.8179775280898875E-3</v>
      </c>
    </row>
    <row r="240" spans="1:3" x14ac:dyDescent="0.25">
      <c r="A240" t="s">
        <v>1052</v>
      </c>
      <c r="B240" s="26">
        <v>178</v>
      </c>
      <c r="C240" s="23">
        <f t="shared" si="5"/>
        <v>2.6666666666666666E-3</v>
      </c>
    </row>
    <row r="241" spans="1:3" x14ac:dyDescent="0.25">
      <c r="A241" t="s">
        <v>1053</v>
      </c>
      <c r="B241" s="26">
        <v>222.5</v>
      </c>
      <c r="C241" s="23">
        <f t="shared" ref="C241:C250" si="7">IFERROR(B241/$S$2,"")</f>
        <v>3.3333333333333335E-3</v>
      </c>
    </row>
    <row r="242" spans="1:3" x14ac:dyDescent="0.25">
      <c r="A242" t="s">
        <v>1054</v>
      </c>
      <c r="B242" s="26">
        <v>287.10000000000002</v>
      </c>
      <c r="C242" s="23">
        <f t="shared" si="7"/>
        <v>4.3011235955056184E-3</v>
      </c>
    </row>
    <row r="243" spans="1:3" x14ac:dyDescent="0.25">
      <c r="A243" t="s">
        <v>1055</v>
      </c>
      <c r="B243" s="26">
        <v>257.40000000000003</v>
      </c>
      <c r="C243" s="23">
        <f t="shared" si="7"/>
        <v>3.8561797752808993E-3</v>
      </c>
    </row>
    <row r="244" spans="1:3" x14ac:dyDescent="0.25">
      <c r="A244" t="s">
        <v>1056</v>
      </c>
      <c r="B244" s="26">
        <v>267.29999999999995</v>
      </c>
      <c r="C244" s="23">
        <f t="shared" si="7"/>
        <v>4.0044943820224709E-3</v>
      </c>
    </row>
    <row r="245" spans="1:3" x14ac:dyDescent="0.25">
      <c r="A245" t="s">
        <v>1057</v>
      </c>
      <c r="B245" s="26">
        <v>257.40000000000003</v>
      </c>
      <c r="C245" s="23">
        <f t="shared" si="7"/>
        <v>3.8561797752808993E-3</v>
      </c>
    </row>
    <row r="246" spans="1:3" x14ac:dyDescent="0.25">
      <c r="A246" t="s">
        <v>1058</v>
      </c>
      <c r="B246" s="26">
        <v>271.34999999999997</v>
      </c>
      <c r="C246" s="23">
        <f t="shared" si="7"/>
        <v>4.0651685393258419E-3</v>
      </c>
    </row>
    <row r="247" spans="1:3" x14ac:dyDescent="0.25">
      <c r="A247" t="s">
        <v>1059</v>
      </c>
      <c r="B247" s="26">
        <v>271.34999999999997</v>
      </c>
      <c r="C247" s="23">
        <f t="shared" si="7"/>
        <v>4.0651685393258419E-3</v>
      </c>
    </row>
    <row r="248" spans="1:3" x14ac:dyDescent="0.25">
      <c r="A248" t="s">
        <v>1060</v>
      </c>
      <c r="B248" s="26">
        <v>261.29999999999995</v>
      </c>
      <c r="C248" s="23">
        <f t="shared" si="7"/>
        <v>3.9146067415730332E-3</v>
      </c>
    </row>
    <row r="249" spans="1:3" x14ac:dyDescent="0.25">
      <c r="A249" t="s">
        <v>1061</v>
      </c>
      <c r="B249" s="26">
        <v>271.34999999999997</v>
      </c>
      <c r="C249" s="23">
        <f t="shared" si="7"/>
        <v>4.0651685393258419E-3</v>
      </c>
    </row>
    <row r="250" spans="1:3" x14ac:dyDescent="0.25">
      <c r="A250" t="s">
        <v>1062</v>
      </c>
      <c r="B250" s="26">
        <v>291.45</v>
      </c>
      <c r="C250" s="23">
        <f t="shared" si="7"/>
        <v>4.3662921348314601E-3</v>
      </c>
    </row>
    <row r="251" spans="1:3" x14ac:dyDescent="0.25">
      <c r="A251" t="s">
        <v>1063</v>
      </c>
      <c r="B251" s="1">
        <v>257.40000000000003</v>
      </c>
      <c r="C251" s="23">
        <f t="shared" ref="C251:C259" si="8">IFERROR(B251/$S$2,"")</f>
        <v>3.8561797752808993E-3</v>
      </c>
    </row>
    <row r="252" spans="1:3" x14ac:dyDescent="0.25">
      <c r="A252" t="s">
        <v>1064</v>
      </c>
      <c r="B252" s="1">
        <v>4338.75</v>
      </c>
      <c r="C252" s="23">
        <f t="shared" si="8"/>
        <v>6.5000000000000002E-2</v>
      </c>
    </row>
    <row r="253" spans="1:3" x14ac:dyDescent="0.25">
      <c r="A253" t="s">
        <v>1065</v>
      </c>
      <c r="B253" s="1">
        <v>4605.75</v>
      </c>
      <c r="C253" s="23">
        <f t="shared" si="8"/>
        <v>6.9000000000000006E-2</v>
      </c>
    </row>
    <row r="254" spans="1:3" x14ac:dyDescent="0.25">
      <c r="A254" t="s">
        <v>1066</v>
      </c>
      <c r="B254" s="1">
        <v>4094</v>
      </c>
      <c r="C254" s="23">
        <f t="shared" si="8"/>
        <v>6.133333333333333E-2</v>
      </c>
    </row>
    <row r="255" spans="1:3" x14ac:dyDescent="0.25">
      <c r="A255" t="s">
        <v>1067</v>
      </c>
      <c r="B255" s="1">
        <v>4249.75</v>
      </c>
      <c r="C255" s="23">
        <f t="shared" si="8"/>
        <v>6.3666666666666663E-2</v>
      </c>
    </row>
    <row r="256" spans="1:3" x14ac:dyDescent="0.25">
      <c r="A256" t="s">
        <v>1068</v>
      </c>
      <c r="B256" s="1">
        <v>4483.375</v>
      </c>
      <c r="C256" s="23">
        <f t="shared" si="8"/>
        <v>6.7166666666666666E-2</v>
      </c>
    </row>
    <row r="257" spans="1:3" x14ac:dyDescent="0.25">
      <c r="A257" t="s">
        <v>1069</v>
      </c>
      <c r="B257" s="1">
        <v>4071.75</v>
      </c>
      <c r="C257" s="23">
        <f t="shared" si="8"/>
        <v>6.0999999999999999E-2</v>
      </c>
    </row>
    <row r="258" spans="1:3" x14ac:dyDescent="0.25">
      <c r="A258" t="s">
        <v>1070</v>
      </c>
      <c r="B258" s="1">
        <v>4394.375</v>
      </c>
      <c r="C258" s="23">
        <f t="shared" si="8"/>
        <v>6.5833333333333327E-2</v>
      </c>
    </row>
    <row r="259" spans="1:3" x14ac:dyDescent="0.25">
      <c r="A259" t="s">
        <v>1071</v>
      </c>
      <c r="B259" s="1">
        <v>4260.875</v>
      </c>
      <c r="C259" s="23">
        <f t="shared" si="8"/>
        <v>6.3833333333333339E-2</v>
      </c>
    </row>
    <row r="260" spans="1:3" x14ac:dyDescent="0.25">
      <c r="A260" t="s">
        <v>1072</v>
      </c>
      <c r="B260" s="1">
        <v>4514.875</v>
      </c>
      <c r="C260" s="23">
        <f t="shared" ref="C260:C323" si="9">IFERROR(B260/$S$2,"")</f>
        <v>6.763857677902621E-2</v>
      </c>
    </row>
    <row r="261" spans="1:3" x14ac:dyDescent="0.25">
      <c r="A261" t="s">
        <v>1073</v>
      </c>
      <c r="B261" s="1">
        <v>4349.875</v>
      </c>
      <c r="C261" s="23">
        <f t="shared" si="9"/>
        <v>6.5166666666666664E-2</v>
      </c>
    </row>
    <row r="262" spans="1:3" x14ac:dyDescent="0.25">
      <c r="A262" t="s">
        <v>1074</v>
      </c>
      <c r="B262" s="1">
        <v>4477</v>
      </c>
      <c r="C262" s="23">
        <f t="shared" si="9"/>
        <v>6.707116104868914E-2</v>
      </c>
    </row>
    <row r="263" spans="1:3" x14ac:dyDescent="0.25">
      <c r="A263" t="s">
        <v>1075</v>
      </c>
      <c r="B263" s="1">
        <v>4499</v>
      </c>
      <c r="C263" s="23">
        <f t="shared" si="9"/>
        <v>6.7400749063670412E-2</v>
      </c>
    </row>
    <row r="264" spans="1:3" x14ac:dyDescent="0.25">
      <c r="A264" t="s">
        <v>1076</v>
      </c>
      <c r="B264" s="1">
        <v>3298.1</v>
      </c>
      <c r="C264" s="23">
        <f t="shared" si="9"/>
        <v>4.9409737827715357E-2</v>
      </c>
    </row>
    <row r="265" spans="1:3" x14ac:dyDescent="0.25">
      <c r="A265" t="s">
        <v>1077</v>
      </c>
      <c r="B265" s="1">
        <v>4071.75</v>
      </c>
      <c r="C265" s="23">
        <f t="shared" si="9"/>
        <v>6.0999999999999999E-2</v>
      </c>
    </row>
    <row r="266" spans="1:3" x14ac:dyDescent="0.25">
      <c r="A266" t="s">
        <v>1078</v>
      </c>
      <c r="B266" s="1">
        <v>3947.5</v>
      </c>
      <c r="C266" s="23">
        <f t="shared" si="9"/>
        <v>5.9138576779026217E-2</v>
      </c>
    </row>
    <row r="267" spans="1:3" x14ac:dyDescent="0.25">
      <c r="A267" t="s">
        <v>1079</v>
      </c>
      <c r="B267" s="1">
        <v>3093.9</v>
      </c>
      <c r="C267" s="23">
        <f t="shared" si="9"/>
        <v>4.6350561797752814E-2</v>
      </c>
    </row>
    <row r="268" spans="1:3" x14ac:dyDescent="0.25">
      <c r="A268" t="s">
        <v>1080</v>
      </c>
      <c r="B268" s="92">
        <f>B2+B3</f>
        <v>578.5</v>
      </c>
      <c r="C268" s="23">
        <f t="shared" si="9"/>
        <v>8.6666666666666663E-3</v>
      </c>
    </row>
    <row r="269" spans="1:3" x14ac:dyDescent="0.25">
      <c r="A269" t="s">
        <v>1081</v>
      </c>
      <c r="B269" s="92">
        <v>534</v>
      </c>
      <c r="C269" s="23">
        <f t="shared" si="9"/>
        <v>8.0000000000000002E-3</v>
      </c>
    </row>
    <row r="270" spans="1:3" x14ac:dyDescent="0.25">
      <c r="A270" t="s">
        <v>1082</v>
      </c>
      <c r="B270" s="92">
        <v>556.25</v>
      </c>
      <c r="C270" s="23">
        <f t="shared" si="9"/>
        <v>8.3333333333333332E-3</v>
      </c>
    </row>
    <row r="271" spans="1:3" x14ac:dyDescent="0.25">
      <c r="A271" t="s">
        <v>1083</v>
      </c>
      <c r="B271" s="92">
        <v>534</v>
      </c>
      <c r="C271" s="23">
        <f t="shared" si="9"/>
        <v>8.0000000000000002E-3</v>
      </c>
    </row>
    <row r="272" spans="1:3" x14ac:dyDescent="0.25">
      <c r="A272" t="s">
        <v>1084</v>
      </c>
      <c r="B272" s="92">
        <v>556.25</v>
      </c>
      <c r="C272" s="23">
        <f t="shared" si="9"/>
        <v>8.3333333333333332E-3</v>
      </c>
    </row>
    <row r="273" spans="1:3" x14ac:dyDescent="0.25">
      <c r="A273" t="s">
        <v>1085</v>
      </c>
      <c r="B273" s="92">
        <v>534</v>
      </c>
      <c r="C273" s="23">
        <f t="shared" si="9"/>
        <v>8.0000000000000002E-3</v>
      </c>
    </row>
    <row r="274" spans="1:3" x14ac:dyDescent="0.25">
      <c r="A274" t="s">
        <v>1086</v>
      </c>
      <c r="B274" s="1">
        <v>511.75</v>
      </c>
      <c r="C274" s="23">
        <f t="shared" si="9"/>
        <v>7.6666666666666662E-3</v>
      </c>
    </row>
    <row r="275" spans="1:3" x14ac:dyDescent="0.25">
      <c r="A275" t="s">
        <v>1087</v>
      </c>
      <c r="B275" s="1">
        <v>534</v>
      </c>
      <c r="C275" s="23">
        <f t="shared" si="9"/>
        <v>8.0000000000000002E-3</v>
      </c>
    </row>
    <row r="276" spans="1:3" x14ac:dyDescent="0.25">
      <c r="A276" t="s">
        <v>1088</v>
      </c>
      <c r="B276" s="1">
        <v>534</v>
      </c>
      <c r="C276" s="23">
        <f t="shared" si="9"/>
        <v>8.0000000000000002E-3</v>
      </c>
    </row>
    <row r="277" spans="1:3" x14ac:dyDescent="0.25">
      <c r="A277" t="s">
        <v>1089</v>
      </c>
      <c r="B277" s="1">
        <v>578.5</v>
      </c>
      <c r="C277" s="23">
        <f t="shared" si="9"/>
        <v>8.6666666666666663E-3</v>
      </c>
    </row>
    <row r="278" spans="1:3" x14ac:dyDescent="0.25">
      <c r="A278" t="s">
        <v>1090</v>
      </c>
      <c r="B278" s="1">
        <v>534</v>
      </c>
      <c r="C278" s="23">
        <f t="shared" si="9"/>
        <v>8.0000000000000002E-3</v>
      </c>
    </row>
    <row r="279" spans="1:3" x14ac:dyDescent="0.25">
      <c r="A279" t="s">
        <v>1091</v>
      </c>
      <c r="B279" s="1">
        <v>589.625</v>
      </c>
      <c r="C279" s="23">
        <f t="shared" si="9"/>
        <v>8.8333333333333337E-3</v>
      </c>
    </row>
    <row r="280" spans="1:3" x14ac:dyDescent="0.25">
      <c r="A280" t="s">
        <v>1092</v>
      </c>
      <c r="B280" s="1">
        <v>578.5</v>
      </c>
      <c r="C280" s="23">
        <f t="shared" si="9"/>
        <v>8.6666666666666663E-3</v>
      </c>
    </row>
    <row r="281" spans="1:3" x14ac:dyDescent="0.25">
      <c r="A281" t="s">
        <v>1093</v>
      </c>
      <c r="B281" s="1">
        <v>589.625</v>
      </c>
      <c r="C281" s="23">
        <f t="shared" si="9"/>
        <v>8.8333333333333337E-3</v>
      </c>
    </row>
    <row r="282" spans="1:3" x14ac:dyDescent="0.25">
      <c r="A282" t="s">
        <v>1094</v>
      </c>
      <c r="B282" s="1">
        <v>600.75</v>
      </c>
      <c r="C282" s="23">
        <f t="shared" si="9"/>
        <v>8.9999999999999993E-3</v>
      </c>
    </row>
    <row r="283" spans="1:3" x14ac:dyDescent="0.25">
      <c r="A283" t="s">
        <v>1095</v>
      </c>
      <c r="B283" s="1">
        <v>600.75</v>
      </c>
      <c r="C283" s="23">
        <f t="shared" si="9"/>
        <v>8.9999999999999993E-3</v>
      </c>
    </row>
    <row r="284" spans="1:3" x14ac:dyDescent="0.25">
      <c r="A284" t="s">
        <v>1096</v>
      </c>
      <c r="B284" s="1">
        <v>333.75</v>
      </c>
      <c r="C284" s="23">
        <f t="shared" si="9"/>
        <v>5.0000000000000001E-3</v>
      </c>
    </row>
    <row r="285" spans="1:3" x14ac:dyDescent="0.25">
      <c r="A285" t="s">
        <v>1097</v>
      </c>
      <c r="B285" s="1">
        <v>534</v>
      </c>
      <c r="C285" s="23">
        <f t="shared" si="9"/>
        <v>8.0000000000000002E-3</v>
      </c>
    </row>
    <row r="286" spans="1:3" x14ac:dyDescent="0.25">
      <c r="A286" t="s">
        <v>1098</v>
      </c>
      <c r="B286" s="1">
        <v>534</v>
      </c>
      <c r="C286" s="23">
        <f t="shared" si="9"/>
        <v>8.0000000000000002E-3</v>
      </c>
    </row>
    <row r="287" spans="1:3" x14ac:dyDescent="0.25">
      <c r="A287" t="s">
        <v>1099</v>
      </c>
      <c r="B287" s="1">
        <v>534</v>
      </c>
      <c r="C287" s="23">
        <f t="shared" si="9"/>
        <v>8.0000000000000002E-3</v>
      </c>
    </row>
    <row r="288" spans="1:3" x14ac:dyDescent="0.25">
      <c r="A288" t="s">
        <v>1100</v>
      </c>
      <c r="B288" s="1">
        <v>534</v>
      </c>
      <c r="C288" s="23">
        <f t="shared" si="9"/>
        <v>8.0000000000000002E-3</v>
      </c>
    </row>
    <row r="289" spans="1:3" x14ac:dyDescent="0.25">
      <c r="A289" t="s">
        <v>1101</v>
      </c>
      <c r="B289" s="1">
        <v>534</v>
      </c>
      <c r="C289" s="23">
        <f t="shared" si="9"/>
        <v>8.0000000000000002E-3</v>
      </c>
    </row>
    <row r="290" spans="1:3" x14ac:dyDescent="0.25">
      <c r="A290" t="s">
        <v>1102</v>
      </c>
      <c r="B290" s="1">
        <v>534</v>
      </c>
      <c r="C290" s="23">
        <f t="shared" si="9"/>
        <v>8.0000000000000002E-3</v>
      </c>
    </row>
    <row r="291" spans="1:3" x14ac:dyDescent="0.25">
      <c r="A291" t="s">
        <v>1103</v>
      </c>
      <c r="B291" s="1">
        <v>556.25</v>
      </c>
      <c r="C291" s="23">
        <f t="shared" si="9"/>
        <v>8.3333333333333332E-3</v>
      </c>
    </row>
    <row r="292" spans="1:3" x14ac:dyDescent="0.25">
      <c r="A292" t="s">
        <v>1104</v>
      </c>
      <c r="B292" s="1">
        <v>556.25</v>
      </c>
      <c r="C292" s="23">
        <f t="shared" si="9"/>
        <v>8.3333333333333332E-3</v>
      </c>
    </row>
    <row r="293" spans="1:3" x14ac:dyDescent="0.25">
      <c r="A293" t="s">
        <v>1105</v>
      </c>
      <c r="B293" s="1">
        <v>534</v>
      </c>
      <c r="C293" s="23">
        <f t="shared" si="9"/>
        <v>8.0000000000000002E-3</v>
      </c>
    </row>
    <row r="294" spans="1:3" x14ac:dyDescent="0.25">
      <c r="A294" t="s">
        <v>1106</v>
      </c>
      <c r="B294" s="1">
        <v>600.75</v>
      </c>
      <c r="C294" s="23">
        <f t="shared" si="9"/>
        <v>8.9999999999999993E-3</v>
      </c>
    </row>
    <row r="295" spans="1:3" x14ac:dyDescent="0.25">
      <c r="A295" t="s">
        <v>1107</v>
      </c>
      <c r="B295" s="1">
        <v>589.625</v>
      </c>
      <c r="C295" s="23">
        <f t="shared" si="9"/>
        <v>8.8333333333333337E-3</v>
      </c>
    </row>
    <row r="296" spans="1:3" x14ac:dyDescent="0.25">
      <c r="A296" t="s">
        <v>1108</v>
      </c>
      <c r="B296" s="1">
        <v>567.375</v>
      </c>
      <c r="C296" s="23">
        <f t="shared" si="9"/>
        <v>8.5000000000000006E-3</v>
      </c>
    </row>
    <row r="297" spans="1:3" x14ac:dyDescent="0.25">
      <c r="A297" t="s">
        <v>1109</v>
      </c>
      <c r="B297" s="1">
        <v>600.75</v>
      </c>
      <c r="C297" s="23">
        <f t="shared" si="9"/>
        <v>8.9999999999999993E-3</v>
      </c>
    </row>
    <row r="298" spans="1:3" x14ac:dyDescent="0.25">
      <c r="A298" t="s">
        <v>1110</v>
      </c>
      <c r="B298" s="1">
        <v>534</v>
      </c>
      <c r="C298" s="23">
        <f t="shared" si="9"/>
        <v>8.0000000000000002E-3</v>
      </c>
    </row>
    <row r="299" spans="1:3" x14ac:dyDescent="0.25">
      <c r="A299" t="s">
        <v>1111</v>
      </c>
      <c r="B299" s="1">
        <v>267</v>
      </c>
      <c r="C299" s="23">
        <f t="shared" si="9"/>
        <v>4.0000000000000001E-3</v>
      </c>
    </row>
    <row r="300" spans="1:3" x14ac:dyDescent="0.25">
      <c r="A300" t="s">
        <v>1112</v>
      </c>
      <c r="B300" s="1">
        <v>578.5</v>
      </c>
      <c r="C300" s="23">
        <f t="shared" si="9"/>
        <v>8.6666666666666663E-3</v>
      </c>
    </row>
    <row r="301" spans="1:3" x14ac:dyDescent="0.25">
      <c r="A301" t="s">
        <v>1113</v>
      </c>
      <c r="B301" s="1">
        <v>556.25</v>
      </c>
      <c r="C301" s="23">
        <f t="shared" si="9"/>
        <v>8.3333333333333332E-3</v>
      </c>
    </row>
    <row r="302" spans="1:3" x14ac:dyDescent="0.25">
      <c r="A302" t="s">
        <v>1114</v>
      </c>
      <c r="B302" s="1">
        <v>534</v>
      </c>
      <c r="C302" s="23">
        <f t="shared" si="9"/>
        <v>8.0000000000000002E-3</v>
      </c>
    </row>
    <row r="303" spans="1:3" x14ac:dyDescent="0.25">
      <c r="A303" t="s">
        <v>1115</v>
      </c>
      <c r="B303" s="1">
        <v>534</v>
      </c>
      <c r="C303" s="23">
        <f t="shared" si="9"/>
        <v>8.0000000000000002E-3</v>
      </c>
    </row>
    <row r="304" spans="1:3" x14ac:dyDescent="0.25">
      <c r="A304" t="s">
        <v>1116</v>
      </c>
      <c r="B304" s="1">
        <v>567.375</v>
      </c>
      <c r="C304" s="23">
        <f t="shared" si="9"/>
        <v>8.5000000000000006E-3</v>
      </c>
    </row>
    <row r="305" spans="1:3" x14ac:dyDescent="0.25">
      <c r="A305" t="s">
        <v>1117</v>
      </c>
      <c r="B305" s="1">
        <v>600.75</v>
      </c>
      <c r="C305" s="23">
        <f t="shared" si="9"/>
        <v>8.9999999999999993E-3</v>
      </c>
    </row>
    <row r="306" spans="1:3" x14ac:dyDescent="0.25">
      <c r="A306" t="s">
        <v>1118</v>
      </c>
      <c r="B306" s="1">
        <v>534</v>
      </c>
      <c r="C306" s="23">
        <f t="shared" si="9"/>
        <v>8.0000000000000002E-3</v>
      </c>
    </row>
    <row r="307" spans="1:3" x14ac:dyDescent="0.25">
      <c r="A307" t="s">
        <v>1119</v>
      </c>
      <c r="B307" s="1">
        <v>578.5</v>
      </c>
      <c r="C307" s="23">
        <f t="shared" si="9"/>
        <v>8.6666666666666663E-3</v>
      </c>
    </row>
    <row r="308" spans="1:3" x14ac:dyDescent="0.25">
      <c r="A308" t="s">
        <v>1120</v>
      </c>
      <c r="B308" s="1">
        <v>534</v>
      </c>
      <c r="C308" s="23">
        <f t="shared" si="9"/>
        <v>8.0000000000000002E-3</v>
      </c>
    </row>
    <row r="309" spans="1:3" x14ac:dyDescent="0.25">
      <c r="A309" t="s">
        <v>1121</v>
      </c>
      <c r="B309" s="1">
        <v>534</v>
      </c>
      <c r="C309" s="23">
        <f t="shared" si="9"/>
        <v>8.0000000000000002E-3</v>
      </c>
    </row>
    <row r="310" spans="1:3" x14ac:dyDescent="0.25">
      <c r="A310" t="s">
        <v>1122</v>
      </c>
      <c r="B310" s="1">
        <v>534</v>
      </c>
      <c r="C310" s="23">
        <f t="shared" si="9"/>
        <v>8.0000000000000002E-3</v>
      </c>
    </row>
    <row r="311" spans="1:3" x14ac:dyDescent="0.25">
      <c r="A311" t="s">
        <v>1123</v>
      </c>
      <c r="B311" s="1">
        <v>534</v>
      </c>
      <c r="C311" s="23">
        <f t="shared" si="9"/>
        <v>8.0000000000000002E-3</v>
      </c>
    </row>
    <row r="312" spans="1:3" x14ac:dyDescent="0.25">
      <c r="A312" t="s">
        <v>1124</v>
      </c>
      <c r="B312" s="1">
        <v>545.125</v>
      </c>
      <c r="C312" s="23">
        <f t="shared" si="9"/>
        <v>8.1666666666666658E-3</v>
      </c>
    </row>
    <row r="313" spans="1:3" x14ac:dyDescent="0.25">
      <c r="A313" t="s">
        <v>1125</v>
      </c>
      <c r="B313" s="1">
        <v>556.25</v>
      </c>
      <c r="C313" s="23">
        <f t="shared" si="9"/>
        <v>8.3333333333333332E-3</v>
      </c>
    </row>
    <row r="314" spans="1:3" x14ac:dyDescent="0.25">
      <c r="A314" t="s">
        <v>1126</v>
      </c>
      <c r="B314" s="1">
        <v>567.375</v>
      </c>
      <c r="C314" s="23">
        <f t="shared" si="9"/>
        <v>8.5000000000000006E-3</v>
      </c>
    </row>
    <row r="315" spans="1:3" x14ac:dyDescent="0.25">
      <c r="A315" t="s">
        <v>1127</v>
      </c>
      <c r="B315" s="1">
        <v>267</v>
      </c>
      <c r="C315" s="23">
        <f t="shared" si="9"/>
        <v>4.0000000000000001E-3</v>
      </c>
    </row>
    <row r="316" spans="1:3" x14ac:dyDescent="0.25">
      <c r="A316" t="s">
        <v>1128</v>
      </c>
      <c r="B316" s="1">
        <v>534</v>
      </c>
      <c r="C316" s="23">
        <f t="shared" si="9"/>
        <v>8.0000000000000002E-3</v>
      </c>
    </row>
    <row r="317" spans="1:3" x14ac:dyDescent="0.25">
      <c r="A317" t="s">
        <v>1129</v>
      </c>
      <c r="B317" s="1">
        <v>534</v>
      </c>
      <c r="C317" s="23">
        <f t="shared" si="9"/>
        <v>8.0000000000000002E-3</v>
      </c>
    </row>
    <row r="318" spans="1:3" x14ac:dyDescent="0.25">
      <c r="A318" t="s">
        <v>1130</v>
      </c>
      <c r="B318" s="1">
        <v>534</v>
      </c>
      <c r="C318" s="23">
        <f t="shared" si="9"/>
        <v>8.0000000000000002E-3</v>
      </c>
    </row>
    <row r="319" spans="1:3" x14ac:dyDescent="0.25">
      <c r="A319" t="s">
        <v>1131</v>
      </c>
      <c r="B319" s="1">
        <v>534</v>
      </c>
      <c r="C319" s="23">
        <f t="shared" si="9"/>
        <v>8.0000000000000002E-3</v>
      </c>
    </row>
    <row r="320" spans="1:3" x14ac:dyDescent="0.25">
      <c r="A320" t="s">
        <v>1132</v>
      </c>
      <c r="B320" s="1">
        <v>567.375</v>
      </c>
      <c r="C320" s="23">
        <f t="shared" si="9"/>
        <v>8.5000000000000006E-3</v>
      </c>
    </row>
    <row r="321" spans="1:3" x14ac:dyDescent="0.25">
      <c r="A321" t="s">
        <v>1133</v>
      </c>
      <c r="B321" s="1">
        <v>567.375</v>
      </c>
      <c r="C321" s="23">
        <f t="shared" si="9"/>
        <v>8.5000000000000006E-3</v>
      </c>
    </row>
    <row r="322" spans="1:3" x14ac:dyDescent="0.25">
      <c r="A322" t="s">
        <v>1134</v>
      </c>
      <c r="B322" s="1">
        <v>534</v>
      </c>
      <c r="C322" s="23">
        <f t="shared" si="9"/>
        <v>8.0000000000000002E-3</v>
      </c>
    </row>
    <row r="323" spans="1:3" x14ac:dyDescent="0.25">
      <c r="A323" t="s">
        <v>1135</v>
      </c>
      <c r="B323" s="1">
        <v>589.625</v>
      </c>
      <c r="C323" s="23">
        <f t="shared" si="9"/>
        <v>8.8333333333333337E-3</v>
      </c>
    </row>
    <row r="324" spans="1:3" x14ac:dyDescent="0.25">
      <c r="A324" t="s">
        <v>1136</v>
      </c>
      <c r="B324" s="1">
        <v>589.625</v>
      </c>
      <c r="C324" s="23">
        <f t="shared" ref="C324:C387" si="10">IFERROR(B324/$S$2,"")</f>
        <v>8.8333333333333337E-3</v>
      </c>
    </row>
    <row r="325" spans="1:3" x14ac:dyDescent="0.25">
      <c r="A325" t="s">
        <v>1137</v>
      </c>
      <c r="B325" s="1">
        <v>567.375</v>
      </c>
      <c r="C325" s="23">
        <f t="shared" si="10"/>
        <v>8.5000000000000006E-3</v>
      </c>
    </row>
    <row r="326" spans="1:3" x14ac:dyDescent="0.25">
      <c r="A326" t="s">
        <v>1138</v>
      </c>
      <c r="B326" s="1">
        <v>534</v>
      </c>
      <c r="C326" s="23">
        <f t="shared" si="10"/>
        <v>8.0000000000000002E-3</v>
      </c>
    </row>
    <row r="327" spans="1:3" x14ac:dyDescent="0.25">
      <c r="A327" t="s">
        <v>1139</v>
      </c>
      <c r="B327" s="1">
        <v>600.75</v>
      </c>
      <c r="C327" s="23">
        <f t="shared" si="10"/>
        <v>8.9999999999999993E-3</v>
      </c>
    </row>
    <row r="328" spans="1:3" x14ac:dyDescent="0.25">
      <c r="A328" t="s">
        <v>1140</v>
      </c>
      <c r="B328" s="1">
        <v>534</v>
      </c>
      <c r="C328" s="23">
        <f t="shared" si="10"/>
        <v>8.0000000000000002E-3</v>
      </c>
    </row>
    <row r="329" spans="1:3" x14ac:dyDescent="0.25">
      <c r="A329" t="s">
        <v>1141</v>
      </c>
      <c r="B329" s="1">
        <v>600.75</v>
      </c>
      <c r="C329" s="23">
        <f t="shared" si="10"/>
        <v>8.9999999999999993E-3</v>
      </c>
    </row>
    <row r="330" spans="1:3" x14ac:dyDescent="0.25">
      <c r="A330" t="s">
        <v>1142</v>
      </c>
      <c r="B330" s="1">
        <v>534</v>
      </c>
      <c r="C330" s="23">
        <f t="shared" si="10"/>
        <v>8.0000000000000002E-3</v>
      </c>
    </row>
    <row r="331" spans="1:3" x14ac:dyDescent="0.25">
      <c r="A331" t="s">
        <v>1143</v>
      </c>
      <c r="B331" s="1">
        <v>300.375</v>
      </c>
      <c r="C331" s="23">
        <f t="shared" si="10"/>
        <v>4.4999999999999997E-3</v>
      </c>
    </row>
    <row r="332" spans="1:3" x14ac:dyDescent="0.25">
      <c r="A332" t="s">
        <v>1144</v>
      </c>
      <c r="B332" s="1">
        <v>534</v>
      </c>
      <c r="C332" s="23">
        <f t="shared" si="10"/>
        <v>8.0000000000000002E-3</v>
      </c>
    </row>
    <row r="333" spans="1:3" x14ac:dyDescent="0.25">
      <c r="A333" t="s">
        <v>1145</v>
      </c>
      <c r="B333" s="1">
        <v>600.75</v>
      </c>
      <c r="C333" s="23">
        <f t="shared" si="10"/>
        <v>8.9999999999999993E-3</v>
      </c>
    </row>
    <row r="334" spans="1:3" x14ac:dyDescent="0.25">
      <c r="A334" t="s">
        <v>1146</v>
      </c>
      <c r="B334" s="1">
        <v>578.5</v>
      </c>
      <c r="C334" s="23">
        <f t="shared" si="10"/>
        <v>8.6666666666666663E-3</v>
      </c>
    </row>
    <row r="335" spans="1:3" x14ac:dyDescent="0.25">
      <c r="A335" t="s">
        <v>1147</v>
      </c>
      <c r="B335" s="1">
        <v>534</v>
      </c>
      <c r="C335" s="23">
        <f t="shared" si="10"/>
        <v>8.0000000000000002E-3</v>
      </c>
    </row>
    <row r="336" spans="1:3" x14ac:dyDescent="0.25">
      <c r="A336" t="s">
        <v>1148</v>
      </c>
      <c r="B336" s="1">
        <v>572</v>
      </c>
      <c r="C336" s="23">
        <f t="shared" si="10"/>
        <v>8.5692883895131088E-3</v>
      </c>
    </row>
    <row r="337" spans="1:3" x14ac:dyDescent="0.25">
      <c r="A337" t="s">
        <v>1149</v>
      </c>
      <c r="B337" s="1">
        <v>572</v>
      </c>
      <c r="C337" s="23">
        <f t="shared" si="10"/>
        <v>8.5692883895131088E-3</v>
      </c>
    </row>
    <row r="338" spans="1:3" x14ac:dyDescent="0.25">
      <c r="A338" t="s">
        <v>1150</v>
      </c>
      <c r="B338" s="1">
        <v>545.125</v>
      </c>
      <c r="C338" s="23">
        <f t="shared" si="10"/>
        <v>8.1666666666666658E-3</v>
      </c>
    </row>
    <row r="339" spans="1:3" x14ac:dyDescent="0.25">
      <c r="A339" t="s">
        <v>1151</v>
      </c>
      <c r="B339" s="1">
        <v>578.5</v>
      </c>
      <c r="C339" s="23">
        <f t="shared" si="10"/>
        <v>8.6666666666666663E-3</v>
      </c>
    </row>
    <row r="340" spans="1:3" x14ac:dyDescent="0.25">
      <c r="A340" t="s">
        <v>1152</v>
      </c>
      <c r="B340" s="1">
        <v>556.25</v>
      </c>
      <c r="C340" s="23">
        <f t="shared" si="10"/>
        <v>8.3333333333333332E-3</v>
      </c>
    </row>
    <row r="341" spans="1:3" x14ac:dyDescent="0.25">
      <c r="A341" t="s">
        <v>1153</v>
      </c>
      <c r="B341" s="1">
        <v>556.25</v>
      </c>
      <c r="C341" s="23">
        <f t="shared" si="10"/>
        <v>8.3333333333333332E-3</v>
      </c>
    </row>
    <row r="342" spans="1:3" x14ac:dyDescent="0.25">
      <c r="A342" t="s">
        <v>1154</v>
      </c>
      <c r="B342" s="1">
        <v>511.75</v>
      </c>
      <c r="C342" s="23">
        <f t="shared" si="10"/>
        <v>7.6666666666666662E-3</v>
      </c>
    </row>
    <row r="343" spans="1:3" x14ac:dyDescent="0.25">
      <c r="A343" t="s">
        <v>1155</v>
      </c>
      <c r="B343" s="1">
        <v>534</v>
      </c>
      <c r="C343" s="23">
        <f t="shared" si="10"/>
        <v>8.0000000000000002E-3</v>
      </c>
    </row>
    <row r="344" spans="1:3" x14ac:dyDescent="0.25">
      <c r="A344" t="s">
        <v>1156</v>
      </c>
      <c r="B344" s="1">
        <v>556.25</v>
      </c>
      <c r="C344" s="23">
        <f t="shared" si="10"/>
        <v>8.3333333333333332E-3</v>
      </c>
    </row>
    <row r="345" spans="1:3" x14ac:dyDescent="0.25">
      <c r="A345" t="s">
        <v>1157</v>
      </c>
      <c r="B345" s="1">
        <v>567.375</v>
      </c>
      <c r="C345" s="23">
        <f t="shared" si="10"/>
        <v>8.5000000000000006E-3</v>
      </c>
    </row>
    <row r="346" spans="1:3" x14ac:dyDescent="0.25">
      <c r="A346" t="s">
        <v>1158</v>
      </c>
      <c r="B346" s="1">
        <v>534</v>
      </c>
      <c r="C346" s="23">
        <f t="shared" si="10"/>
        <v>8.0000000000000002E-3</v>
      </c>
    </row>
    <row r="347" spans="1:3" x14ac:dyDescent="0.25">
      <c r="A347" t="s">
        <v>1159</v>
      </c>
      <c r="B347" s="1">
        <v>534</v>
      </c>
      <c r="C347" s="23">
        <f t="shared" si="10"/>
        <v>8.0000000000000002E-3</v>
      </c>
    </row>
    <row r="348" spans="1:3" x14ac:dyDescent="0.25">
      <c r="A348" t="s">
        <v>1160</v>
      </c>
      <c r="B348" s="1">
        <v>528</v>
      </c>
      <c r="C348" s="23">
        <f t="shared" si="10"/>
        <v>7.9101123595505616E-3</v>
      </c>
    </row>
    <row r="349" spans="1:3" x14ac:dyDescent="0.25">
      <c r="A349" t="s">
        <v>1161</v>
      </c>
      <c r="B349" s="1">
        <v>561</v>
      </c>
      <c r="C349" s="23">
        <f t="shared" si="10"/>
        <v>8.4044943820224711E-3</v>
      </c>
    </row>
    <row r="350" spans="1:3" x14ac:dyDescent="0.25">
      <c r="A350" t="s">
        <v>1162</v>
      </c>
      <c r="B350" s="1">
        <v>594</v>
      </c>
      <c r="C350" s="23">
        <f t="shared" si="10"/>
        <v>8.8988764044943824E-3</v>
      </c>
    </row>
    <row r="351" spans="1:3" x14ac:dyDescent="0.25">
      <c r="A351" t="s">
        <v>1163</v>
      </c>
      <c r="B351" s="1">
        <v>572</v>
      </c>
      <c r="C351" s="23">
        <f t="shared" si="10"/>
        <v>8.5692883895131088E-3</v>
      </c>
    </row>
    <row r="352" spans="1:3" x14ac:dyDescent="0.25">
      <c r="A352" t="s">
        <v>1164</v>
      </c>
      <c r="B352" s="1">
        <v>561</v>
      </c>
      <c r="C352" s="23">
        <f t="shared" si="10"/>
        <v>8.4044943820224711E-3</v>
      </c>
    </row>
    <row r="353" spans="1:3" x14ac:dyDescent="0.25">
      <c r="A353" t="s">
        <v>1165</v>
      </c>
      <c r="B353" s="1">
        <v>539</v>
      </c>
      <c r="C353" s="23">
        <f t="shared" si="10"/>
        <v>8.0749063670411993E-3</v>
      </c>
    </row>
    <row r="354" spans="1:3" x14ac:dyDescent="0.25">
      <c r="A354" t="s">
        <v>1166</v>
      </c>
      <c r="B354" s="1">
        <v>550</v>
      </c>
      <c r="C354" s="23">
        <f t="shared" si="10"/>
        <v>8.2397003745318352E-3</v>
      </c>
    </row>
    <row r="355" spans="1:3" x14ac:dyDescent="0.25">
      <c r="A355" t="s">
        <v>1167</v>
      </c>
      <c r="B355" s="1">
        <v>572</v>
      </c>
      <c r="C355" s="23">
        <f t="shared" si="10"/>
        <v>8.5692883895131088E-3</v>
      </c>
    </row>
    <row r="356" spans="1:3" x14ac:dyDescent="0.25">
      <c r="A356" t="s">
        <v>1168</v>
      </c>
      <c r="B356" s="1">
        <v>561</v>
      </c>
      <c r="C356" s="23">
        <f t="shared" si="10"/>
        <v>8.4044943820224711E-3</v>
      </c>
    </row>
    <row r="357" spans="1:3" x14ac:dyDescent="0.25">
      <c r="A357" t="s">
        <v>1169</v>
      </c>
      <c r="B357" s="1">
        <v>528</v>
      </c>
      <c r="C357" s="23">
        <f t="shared" si="10"/>
        <v>7.9101123595505616E-3</v>
      </c>
    </row>
    <row r="358" spans="1:3" x14ac:dyDescent="0.25">
      <c r="A358" t="s">
        <v>1170</v>
      </c>
      <c r="B358" s="1">
        <v>561</v>
      </c>
      <c r="C358" s="23">
        <f t="shared" si="10"/>
        <v>8.4044943820224711E-3</v>
      </c>
    </row>
    <row r="359" spans="1:3" x14ac:dyDescent="0.25">
      <c r="A359" t="s">
        <v>1171</v>
      </c>
      <c r="B359" s="1">
        <v>583</v>
      </c>
      <c r="C359" s="23">
        <f t="shared" si="10"/>
        <v>8.7340823970037448E-3</v>
      </c>
    </row>
    <row r="360" spans="1:3" x14ac:dyDescent="0.25">
      <c r="A360" t="s">
        <v>1172</v>
      </c>
      <c r="B360" s="1">
        <v>572</v>
      </c>
      <c r="C360" s="23">
        <f t="shared" si="10"/>
        <v>8.5692883895131088E-3</v>
      </c>
    </row>
    <row r="361" spans="1:3" x14ac:dyDescent="0.25">
      <c r="A361" t="s">
        <v>1173</v>
      </c>
      <c r="B361" s="1">
        <v>583</v>
      </c>
      <c r="C361" s="23">
        <f t="shared" si="10"/>
        <v>8.7340823970037448E-3</v>
      </c>
    </row>
    <row r="362" spans="1:3" x14ac:dyDescent="0.25">
      <c r="A362" t="s">
        <v>1174</v>
      </c>
      <c r="B362" s="1">
        <v>550</v>
      </c>
      <c r="C362" s="23">
        <f t="shared" si="10"/>
        <v>8.2397003745318352E-3</v>
      </c>
    </row>
    <row r="363" spans="1:3" x14ac:dyDescent="0.25">
      <c r="A363" t="s">
        <v>1175</v>
      </c>
      <c r="B363" s="1">
        <v>561</v>
      </c>
      <c r="C363" s="23">
        <f t="shared" si="10"/>
        <v>8.4044943820224711E-3</v>
      </c>
    </row>
    <row r="364" spans="1:3" x14ac:dyDescent="0.25">
      <c r="A364" t="s">
        <v>1176</v>
      </c>
      <c r="B364" s="1">
        <v>528</v>
      </c>
      <c r="C364" s="23">
        <f t="shared" si="10"/>
        <v>7.9101123595505616E-3</v>
      </c>
    </row>
    <row r="365" spans="1:3" x14ac:dyDescent="0.25">
      <c r="A365" t="s">
        <v>1177</v>
      </c>
      <c r="B365" s="1">
        <v>528</v>
      </c>
      <c r="C365" s="23">
        <f t="shared" si="10"/>
        <v>7.9101123595505616E-3</v>
      </c>
    </row>
    <row r="366" spans="1:3" x14ac:dyDescent="0.25">
      <c r="A366" t="s">
        <v>1178</v>
      </c>
      <c r="B366" s="1">
        <v>528</v>
      </c>
      <c r="C366" s="23">
        <f t="shared" si="10"/>
        <v>7.9101123595505616E-3</v>
      </c>
    </row>
    <row r="367" spans="1:3" x14ac:dyDescent="0.25">
      <c r="A367" t="s">
        <v>1179</v>
      </c>
      <c r="B367" s="1">
        <v>484</v>
      </c>
      <c r="C367" s="23">
        <f t="shared" si="10"/>
        <v>7.2509363295880152E-3</v>
      </c>
    </row>
    <row r="368" spans="1:3" x14ac:dyDescent="0.25">
      <c r="A368" t="s">
        <v>1180</v>
      </c>
      <c r="C368" s="23">
        <f t="shared" si="10"/>
        <v>0</v>
      </c>
    </row>
    <row r="369" spans="1:3" x14ac:dyDescent="0.25">
      <c r="A369" t="s">
        <v>1181</v>
      </c>
      <c r="B369" s="1">
        <v>447.75</v>
      </c>
      <c r="C369" s="23">
        <f t="shared" si="10"/>
        <v>6.7078651685393261E-3</v>
      </c>
    </row>
    <row r="370" spans="1:3" x14ac:dyDescent="0.25">
      <c r="A370" t="s">
        <v>1182</v>
      </c>
      <c r="B370" s="1">
        <v>270.5</v>
      </c>
      <c r="C370" s="23">
        <f t="shared" si="10"/>
        <v>4.0524344569288391E-3</v>
      </c>
    </row>
    <row r="371" spans="1:3" x14ac:dyDescent="0.25">
      <c r="A371" t="s">
        <v>1183</v>
      </c>
      <c r="B371" s="1">
        <v>511.75</v>
      </c>
      <c r="C371" s="23">
        <f t="shared" si="10"/>
        <v>7.6666666666666662E-3</v>
      </c>
    </row>
    <row r="372" spans="1:3" x14ac:dyDescent="0.25">
      <c r="A372" t="s">
        <v>1184</v>
      </c>
      <c r="B372" s="1">
        <v>534</v>
      </c>
      <c r="C372" s="23">
        <f t="shared" si="10"/>
        <v>8.0000000000000002E-3</v>
      </c>
    </row>
    <row r="373" spans="1:3" x14ac:dyDescent="0.25">
      <c r="A373" t="s">
        <v>1185</v>
      </c>
      <c r="B373" s="1">
        <v>534</v>
      </c>
      <c r="C373" s="23">
        <f t="shared" si="10"/>
        <v>8.0000000000000002E-3</v>
      </c>
    </row>
    <row r="374" spans="1:3" x14ac:dyDescent="0.25">
      <c r="A374" t="s">
        <v>1186</v>
      </c>
      <c r="B374" s="1">
        <v>534</v>
      </c>
      <c r="C374" s="23">
        <f t="shared" si="10"/>
        <v>8.0000000000000002E-3</v>
      </c>
    </row>
    <row r="375" spans="1:3" x14ac:dyDescent="0.25">
      <c r="A375" t="s">
        <v>1187</v>
      </c>
      <c r="B375" s="1">
        <v>534</v>
      </c>
      <c r="C375" s="23">
        <f t="shared" si="10"/>
        <v>8.0000000000000002E-3</v>
      </c>
    </row>
    <row r="376" spans="1:3" x14ac:dyDescent="0.25">
      <c r="A376" t="s">
        <v>1188</v>
      </c>
      <c r="B376" s="1">
        <v>534</v>
      </c>
      <c r="C376" s="23">
        <f t="shared" si="10"/>
        <v>8.0000000000000002E-3</v>
      </c>
    </row>
    <row r="377" spans="1:3" x14ac:dyDescent="0.25">
      <c r="A377" t="s">
        <v>1189</v>
      </c>
      <c r="B377" s="1">
        <v>600.75</v>
      </c>
      <c r="C377" s="23">
        <f t="shared" si="10"/>
        <v>8.9999999999999993E-3</v>
      </c>
    </row>
    <row r="378" spans="1:3" x14ac:dyDescent="0.25">
      <c r="A378" t="s">
        <v>1190</v>
      </c>
      <c r="B378" s="1">
        <v>534</v>
      </c>
      <c r="C378" s="23">
        <f t="shared" si="10"/>
        <v>8.0000000000000002E-3</v>
      </c>
    </row>
    <row r="379" spans="1:3" x14ac:dyDescent="0.25">
      <c r="A379" t="s">
        <v>1191</v>
      </c>
      <c r="B379" s="1">
        <v>267</v>
      </c>
      <c r="C379" s="23">
        <f t="shared" si="10"/>
        <v>4.0000000000000001E-3</v>
      </c>
    </row>
    <row r="380" spans="1:3" x14ac:dyDescent="0.25">
      <c r="A380" t="s">
        <v>1192</v>
      </c>
      <c r="B380" s="1">
        <v>386.1</v>
      </c>
      <c r="C380" s="23">
        <f t="shared" si="10"/>
        <v>5.7842696629213488E-3</v>
      </c>
    </row>
    <row r="381" spans="1:3" x14ac:dyDescent="0.25">
      <c r="A381" t="s">
        <v>1193</v>
      </c>
      <c r="B381" s="1">
        <v>578.5</v>
      </c>
      <c r="C381" s="23">
        <f t="shared" si="10"/>
        <v>8.6666666666666663E-3</v>
      </c>
    </row>
    <row r="382" spans="1:3" x14ac:dyDescent="0.25">
      <c r="A382" t="s">
        <v>1194</v>
      </c>
      <c r="B382" s="1">
        <v>578.5</v>
      </c>
      <c r="C382" s="23">
        <f t="shared" si="10"/>
        <v>8.6666666666666663E-3</v>
      </c>
    </row>
    <row r="383" spans="1:3" x14ac:dyDescent="0.25">
      <c r="A383" t="s">
        <v>1195</v>
      </c>
      <c r="B383" s="1">
        <v>556.25</v>
      </c>
      <c r="C383" s="23">
        <f t="shared" si="10"/>
        <v>8.3333333333333332E-3</v>
      </c>
    </row>
    <row r="384" spans="1:3" x14ac:dyDescent="0.25">
      <c r="A384" t="s">
        <v>1196</v>
      </c>
      <c r="B384" s="1">
        <v>600.75</v>
      </c>
      <c r="C384" s="23">
        <f t="shared" si="10"/>
        <v>8.9999999999999993E-3</v>
      </c>
    </row>
    <row r="385" spans="1:3" x14ac:dyDescent="0.25">
      <c r="A385" t="s">
        <v>1197</v>
      </c>
      <c r="B385" s="1">
        <v>534.6</v>
      </c>
      <c r="C385" s="23">
        <f t="shared" si="10"/>
        <v>8.0089887640449435E-3</v>
      </c>
    </row>
    <row r="386" spans="1:3" x14ac:dyDescent="0.25">
      <c r="A386" t="s">
        <v>1198</v>
      </c>
      <c r="B386" s="1">
        <v>524.70000000000005</v>
      </c>
      <c r="C386" s="23">
        <f t="shared" si="10"/>
        <v>7.8606741573033715E-3</v>
      </c>
    </row>
    <row r="387" spans="1:3" x14ac:dyDescent="0.25">
      <c r="A387" t="s">
        <v>1199</v>
      </c>
      <c r="B387" s="1">
        <v>188.1</v>
      </c>
      <c r="C387" s="23">
        <f t="shared" si="10"/>
        <v>2.8179775280898875E-3</v>
      </c>
    </row>
    <row r="388" spans="1:3" x14ac:dyDescent="0.25">
      <c r="A388" t="s">
        <v>1200</v>
      </c>
      <c r="B388" s="1">
        <v>400.5</v>
      </c>
      <c r="C388" s="23">
        <f t="shared" ref="C388:C408" si="11">IFERROR(B388/$S$2,"")</f>
        <v>6.0000000000000001E-3</v>
      </c>
    </row>
    <row r="389" spans="1:3" x14ac:dyDescent="0.25">
      <c r="A389" t="s">
        <v>1201</v>
      </c>
      <c r="B389" s="1">
        <v>544.5</v>
      </c>
      <c r="C389" s="23">
        <f t="shared" si="11"/>
        <v>8.1573033707865172E-3</v>
      </c>
    </row>
    <row r="390" spans="1:3" x14ac:dyDescent="0.25">
      <c r="A390" t="s">
        <v>1202</v>
      </c>
      <c r="B390" s="1">
        <v>524.70000000000005</v>
      </c>
      <c r="C390" s="23">
        <f t="shared" si="11"/>
        <v>7.8606741573033715E-3</v>
      </c>
    </row>
    <row r="391" spans="1:3" x14ac:dyDescent="0.25">
      <c r="A391" t="s">
        <v>1203</v>
      </c>
      <c r="B391" s="1">
        <v>542.70000000000005</v>
      </c>
      <c r="C391" s="23">
        <f t="shared" si="11"/>
        <v>8.1303370786516855E-3</v>
      </c>
    </row>
    <row r="392" spans="1:3" x14ac:dyDescent="0.25">
      <c r="A392" t="s">
        <v>1204</v>
      </c>
      <c r="B392" s="1">
        <v>532.65</v>
      </c>
      <c r="C392" s="23">
        <f t="shared" si="11"/>
        <v>7.9797752808988768E-3</v>
      </c>
    </row>
    <row r="393" spans="1:3" x14ac:dyDescent="0.25">
      <c r="A393" t="s">
        <v>1205</v>
      </c>
      <c r="B393" s="1">
        <v>548.85</v>
      </c>
      <c r="C393" s="23">
        <f t="shared" si="11"/>
        <v>8.222471910112359E-3</v>
      </c>
    </row>
    <row r="394" spans="1:3" x14ac:dyDescent="0.25">
      <c r="A394" t="s">
        <v>1206</v>
      </c>
      <c r="B394" s="1">
        <v>8944.5</v>
      </c>
      <c r="C394" s="23">
        <f t="shared" si="11"/>
        <v>0.13400000000000001</v>
      </c>
    </row>
    <row r="395" spans="1:3" x14ac:dyDescent="0.25">
      <c r="A395" t="s">
        <v>1207</v>
      </c>
      <c r="B395" s="1">
        <v>8343.75</v>
      </c>
      <c r="C395" s="23">
        <f t="shared" si="11"/>
        <v>0.125</v>
      </c>
    </row>
    <row r="396" spans="1:3" x14ac:dyDescent="0.25">
      <c r="A396" t="s">
        <v>1208</v>
      </c>
      <c r="B396" s="1">
        <v>8555.125</v>
      </c>
      <c r="C396" s="23">
        <f t="shared" si="11"/>
        <v>0.12816666666666668</v>
      </c>
    </row>
    <row r="397" spans="1:3" x14ac:dyDescent="0.25">
      <c r="A397" t="s">
        <v>1209</v>
      </c>
      <c r="B397" s="1">
        <v>8655.25</v>
      </c>
      <c r="C397" s="23">
        <f t="shared" si="11"/>
        <v>0.12966666666666668</v>
      </c>
    </row>
    <row r="398" spans="1:3" x14ac:dyDescent="0.25">
      <c r="A398" t="s">
        <v>1210</v>
      </c>
      <c r="B398" s="1">
        <v>8864.75</v>
      </c>
      <c r="C398" s="23">
        <f t="shared" si="11"/>
        <v>0.13280524344569289</v>
      </c>
    </row>
    <row r="399" spans="1:3" x14ac:dyDescent="0.25">
      <c r="A399" t="s">
        <v>1211</v>
      </c>
      <c r="B399" s="1">
        <v>8976</v>
      </c>
      <c r="C399" s="23">
        <f t="shared" si="11"/>
        <v>0.13447191011235954</v>
      </c>
    </row>
    <row r="400" spans="1:3" x14ac:dyDescent="0.25">
      <c r="A400" t="s">
        <v>1212</v>
      </c>
      <c r="B400" s="1">
        <v>7369.85</v>
      </c>
      <c r="C400" s="23">
        <f t="shared" si="11"/>
        <v>0.11040973782771536</v>
      </c>
    </row>
    <row r="401" spans="1:3" x14ac:dyDescent="0.25">
      <c r="A401" t="s">
        <v>1213</v>
      </c>
      <c r="B401" s="1">
        <v>7041.4</v>
      </c>
      <c r="C401" s="23">
        <f t="shared" si="11"/>
        <v>0.10548913857677902</v>
      </c>
    </row>
    <row r="402" spans="1:3" x14ac:dyDescent="0.25">
      <c r="A402" t="s">
        <v>797</v>
      </c>
      <c r="B402" s="1">
        <v>17288.25</v>
      </c>
      <c r="C402" s="23">
        <f t="shared" si="11"/>
        <v>0.25900000000000001</v>
      </c>
    </row>
    <row r="403" spans="1:3" x14ac:dyDescent="0.25">
      <c r="A403" t="s">
        <v>800</v>
      </c>
      <c r="B403" s="1">
        <v>17210.375</v>
      </c>
      <c r="C403" s="23">
        <f t="shared" si="11"/>
        <v>0.25783333333333336</v>
      </c>
    </row>
    <row r="404" spans="1:3" x14ac:dyDescent="0.25">
      <c r="A404" t="s">
        <v>803</v>
      </c>
      <c r="B404" s="1">
        <v>17840.75</v>
      </c>
      <c r="C404" s="23">
        <f t="shared" si="11"/>
        <v>0.26727715355805243</v>
      </c>
    </row>
    <row r="405" spans="1:3" x14ac:dyDescent="0.25">
      <c r="A405" t="s">
        <v>807</v>
      </c>
      <c r="B405" s="1">
        <v>14411.25</v>
      </c>
      <c r="C405" s="23">
        <f t="shared" si="11"/>
        <v>0.21589887640449437</v>
      </c>
    </row>
    <row r="406" spans="1:3" x14ac:dyDescent="0.25">
      <c r="A406" t="s">
        <v>811</v>
      </c>
      <c r="B406" s="1">
        <v>66750.25</v>
      </c>
      <c r="C406" s="23">
        <f t="shared" si="11"/>
        <v>1.0000037453183521</v>
      </c>
    </row>
    <row r="407" spans="1:3" x14ac:dyDescent="0.25">
      <c r="A407" t="s">
        <v>1214</v>
      </c>
      <c r="B407" s="1">
        <v>66750.25</v>
      </c>
      <c r="C407" s="23">
        <f t="shared" si="11"/>
        <v>1.0000037453183521</v>
      </c>
    </row>
    <row r="408" spans="1:3" x14ac:dyDescent="0.25">
      <c r="A408" t="s">
        <v>1215</v>
      </c>
      <c r="B408" s="1">
        <v>66750.25</v>
      </c>
      <c r="C408" s="23">
        <f t="shared" si="11"/>
        <v>1.0000037453183521</v>
      </c>
    </row>
    <row r="409" spans="1:3" x14ac:dyDescent="0.25">
      <c r="A409" t="s">
        <v>817</v>
      </c>
      <c r="B409" s="1">
        <v>66750.25</v>
      </c>
      <c r="C409" s="23">
        <f t="shared" ref="C409:C421" si="12">IFERROR(B409/$S$2,"")</f>
        <v>1.0000037453183521</v>
      </c>
    </row>
    <row r="410" spans="1:3" x14ac:dyDescent="0.25">
      <c r="A410" t="s">
        <v>695</v>
      </c>
      <c r="B410" s="1">
        <f>(445*50)/1000</f>
        <v>22.25</v>
      </c>
      <c r="C410" s="28">
        <f t="shared" si="12"/>
        <v>3.3333333333333332E-4</v>
      </c>
    </row>
    <row r="411" spans="1:3" x14ac:dyDescent="0.25">
      <c r="A411" t="s">
        <v>696</v>
      </c>
      <c r="B411" s="1">
        <f>(330*60)/1000</f>
        <v>19.8</v>
      </c>
      <c r="C411" s="28">
        <f t="shared" si="12"/>
        <v>2.9662921348314606E-4</v>
      </c>
    </row>
    <row r="412" spans="1:3" x14ac:dyDescent="0.25">
      <c r="A412" t="s">
        <v>792</v>
      </c>
      <c r="B412" s="1">
        <f>(335*60)/1000</f>
        <v>20.100000000000001</v>
      </c>
      <c r="C412" s="28">
        <f t="shared" si="12"/>
        <v>3.01123595505618E-4</v>
      </c>
    </row>
    <row r="413" spans="1:3" x14ac:dyDescent="0.25">
      <c r="A413" t="s">
        <v>681</v>
      </c>
      <c r="B413" s="1">
        <f>(440*50)/1000</f>
        <v>22</v>
      </c>
      <c r="C413" s="28">
        <f t="shared" si="12"/>
        <v>3.295880149812734E-4</v>
      </c>
    </row>
    <row r="414" spans="1:3" x14ac:dyDescent="0.25">
      <c r="A414" t="s">
        <v>1216</v>
      </c>
      <c r="B414" s="1">
        <v>8944.5</v>
      </c>
      <c r="C414" s="23">
        <f t="shared" si="12"/>
        <v>0.13400000000000001</v>
      </c>
    </row>
    <row r="415" spans="1:3" x14ac:dyDescent="0.25">
      <c r="A415" t="s">
        <v>1217</v>
      </c>
      <c r="B415" s="1">
        <v>8343.75</v>
      </c>
      <c r="C415" s="23">
        <f t="shared" si="12"/>
        <v>0.125</v>
      </c>
    </row>
    <row r="416" spans="1:3" x14ac:dyDescent="0.25">
      <c r="A416" t="s">
        <v>1218</v>
      </c>
      <c r="B416" s="1">
        <v>8555.125</v>
      </c>
      <c r="C416" s="23">
        <f t="shared" si="12"/>
        <v>0.12816666666666668</v>
      </c>
    </row>
    <row r="417" spans="1:3" x14ac:dyDescent="0.25">
      <c r="A417" t="s">
        <v>1219</v>
      </c>
      <c r="B417" s="1">
        <v>8655.25</v>
      </c>
      <c r="C417" s="23">
        <f t="shared" si="12"/>
        <v>0.12966666666666668</v>
      </c>
    </row>
    <row r="418" spans="1:3" x14ac:dyDescent="0.25">
      <c r="A418" t="s">
        <v>1220</v>
      </c>
      <c r="B418" s="1">
        <v>8864.75</v>
      </c>
      <c r="C418" s="23">
        <f t="shared" si="12"/>
        <v>0.13280524344569289</v>
      </c>
    </row>
    <row r="419" spans="1:3" x14ac:dyDescent="0.25">
      <c r="A419" t="s">
        <v>1221</v>
      </c>
      <c r="B419" s="1">
        <v>8976</v>
      </c>
      <c r="C419" s="23">
        <f t="shared" si="12"/>
        <v>0.13447191011235954</v>
      </c>
    </row>
    <row r="420" spans="1:3" x14ac:dyDescent="0.25">
      <c r="A420" t="s">
        <v>1222</v>
      </c>
      <c r="B420" s="1">
        <v>7369.85</v>
      </c>
      <c r="C420" s="23">
        <f t="shared" si="12"/>
        <v>0.11040973782771536</v>
      </c>
    </row>
    <row r="421" spans="1:3" x14ac:dyDescent="0.25">
      <c r="A421" t="s">
        <v>1223</v>
      </c>
      <c r="B421" s="1">
        <v>7041.4</v>
      </c>
      <c r="C421" s="23">
        <f t="shared" si="12"/>
        <v>0.10548913857677902</v>
      </c>
    </row>
    <row r="422" spans="1:3" x14ac:dyDescent="0.25">
      <c r="A422" t="s">
        <v>1224</v>
      </c>
      <c r="B422" s="1">
        <v>8944.5</v>
      </c>
      <c r="C422" s="23">
        <f t="shared" ref="C422:C430" si="13">IFERROR(B422/$S$2,"")</f>
        <v>0.13400000000000001</v>
      </c>
    </row>
    <row r="423" spans="1:3" x14ac:dyDescent="0.25">
      <c r="A423" t="s">
        <v>1225</v>
      </c>
      <c r="B423" s="1">
        <v>8343.75</v>
      </c>
      <c r="C423" s="23">
        <f t="shared" si="13"/>
        <v>0.125</v>
      </c>
    </row>
    <row r="424" spans="1:3" x14ac:dyDescent="0.25">
      <c r="A424" t="s">
        <v>1226</v>
      </c>
      <c r="B424" s="1">
        <v>8555.125</v>
      </c>
      <c r="C424" s="23">
        <f t="shared" si="13"/>
        <v>0.12816666666666668</v>
      </c>
    </row>
    <row r="425" spans="1:3" x14ac:dyDescent="0.25">
      <c r="A425" t="s">
        <v>1227</v>
      </c>
      <c r="B425" s="1">
        <v>8655.25</v>
      </c>
      <c r="C425" s="23">
        <f t="shared" si="13"/>
        <v>0.12966666666666668</v>
      </c>
    </row>
    <row r="426" spans="1:3" x14ac:dyDescent="0.25">
      <c r="A426" t="s">
        <v>1228</v>
      </c>
      <c r="B426" s="1">
        <v>8864.75</v>
      </c>
      <c r="C426" s="23">
        <f t="shared" si="13"/>
        <v>0.13280524344569289</v>
      </c>
    </row>
    <row r="427" spans="1:3" x14ac:dyDescent="0.25">
      <c r="A427" t="s">
        <v>1229</v>
      </c>
      <c r="B427" s="1">
        <v>8976</v>
      </c>
      <c r="C427" s="23">
        <f t="shared" si="13"/>
        <v>0.13447191011235954</v>
      </c>
    </row>
    <row r="428" spans="1:3" x14ac:dyDescent="0.25">
      <c r="A428" t="s">
        <v>1230</v>
      </c>
      <c r="B428" s="1">
        <v>7369.85</v>
      </c>
      <c r="C428" s="23">
        <f t="shared" si="13"/>
        <v>0.11040973782771536</v>
      </c>
    </row>
    <row r="429" spans="1:3" x14ac:dyDescent="0.25">
      <c r="A429" t="s">
        <v>1231</v>
      </c>
      <c r="B429" s="1">
        <v>7041.4</v>
      </c>
      <c r="C429" s="23">
        <f t="shared" si="13"/>
        <v>0.10548913857677902</v>
      </c>
    </row>
    <row r="430" spans="1:3" x14ac:dyDescent="0.25">
      <c r="A430" t="s">
        <v>585</v>
      </c>
      <c r="B430" s="1">
        <v>66750.25</v>
      </c>
      <c r="C430" s="23">
        <f t="shared" si="13"/>
        <v>1.0000037453183521</v>
      </c>
    </row>
  </sheetData>
  <phoneticPr fontId="5"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X11"/>
  <sheetViews>
    <sheetView topLeftCell="A4" zoomScale="60" zoomScaleNormal="100" workbookViewId="0">
      <pane xSplit="8" ySplit="1" topLeftCell="AT134" activePane="bottomRight" state="frozen"/>
      <selection pane="topRight" activeCell="I4" sqref="I4"/>
      <selection pane="bottomLeft" activeCell="A5" sqref="A5"/>
      <selection pane="bottomRight" activeCell="J14" sqref="J14"/>
    </sheetView>
  </sheetViews>
  <sheetFormatPr defaultColWidth="8.85546875" defaultRowHeight="15" x14ac:dyDescent="0.25"/>
  <cols>
    <col min="1" max="1" width="0.85546875" customWidth="1"/>
    <col min="3" max="3" width="10.7109375" bestFit="1" customWidth="1"/>
    <col min="4" max="5" width="12.28515625" customWidth="1"/>
    <col min="6" max="6" width="14.140625" customWidth="1"/>
    <col min="7" max="7" width="13" customWidth="1"/>
    <col min="8" max="8" width="10.7109375" customWidth="1"/>
    <col min="10" max="10" width="11.85546875" customWidth="1"/>
    <col min="11" max="11" width="11.140625" customWidth="1"/>
    <col min="12" max="12" width="16.140625" bestFit="1" customWidth="1"/>
    <col min="13" max="13" width="12.28515625" customWidth="1"/>
    <col min="16" max="16" width="30.42578125" customWidth="1"/>
    <col min="20" max="20" width="29.42578125" bestFit="1" customWidth="1"/>
    <col min="22" max="22" width="9.42578125" customWidth="1"/>
  </cols>
  <sheetData>
    <row r="1" spans="2:24" hidden="1" x14ac:dyDescent="0.25"/>
    <row r="2" spans="2:24" hidden="1" x14ac:dyDescent="0.25"/>
    <row r="3" spans="2:24" hidden="1" x14ac:dyDescent="0.25">
      <c r="C3">
        <v>1</v>
      </c>
      <c r="D3">
        <f>C3+1</f>
        <v>2</v>
      </c>
      <c r="E3">
        <f t="shared" ref="E3:X3" si="0">D3+1</f>
        <v>3</v>
      </c>
      <c r="F3">
        <f t="shared" si="0"/>
        <v>4</v>
      </c>
      <c r="G3">
        <f t="shared" si="0"/>
        <v>5</v>
      </c>
      <c r="H3">
        <f t="shared" si="0"/>
        <v>6</v>
      </c>
      <c r="I3">
        <f t="shared" si="0"/>
        <v>7</v>
      </c>
      <c r="J3">
        <f t="shared" si="0"/>
        <v>8</v>
      </c>
      <c r="K3">
        <f t="shared" si="0"/>
        <v>9</v>
      </c>
      <c r="L3">
        <f t="shared" si="0"/>
        <v>10</v>
      </c>
      <c r="M3">
        <f t="shared" si="0"/>
        <v>11</v>
      </c>
      <c r="N3">
        <f t="shared" si="0"/>
        <v>12</v>
      </c>
      <c r="O3">
        <f t="shared" si="0"/>
        <v>13</v>
      </c>
      <c r="P3">
        <f t="shared" si="0"/>
        <v>14</v>
      </c>
      <c r="Q3">
        <f t="shared" si="0"/>
        <v>15</v>
      </c>
      <c r="R3">
        <f t="shared" si="0"/>
        <v>16</v>
      </c>
      <c r="S3">
        <f t="shared" si="0"/>
        <v>17</v>
      </c>
      <c r="T3">
        <f t="shared" si="0"/>
        <v>18</v>
      </c>
      <c r="U3">
        <f t="shared" si="0"/>
        <v>19</v>
      </c>
      <c r="V3">
        <f t="shared" si="0"/>
        <v>20</v>
      </c>
      <c r="W3">
        <f t="shared" si="0"/>
        <v>21</v>
      </c>
      <c r="X3">
        <f t="shared" si="0"/>
        <v>22</v>
      </c>
    </row>
    <row r="4" spans="2:24" ht="48" x14ac:dyDescent="0.25">
      <c r="B4" s="2" t="s">
        <v>7</v>
      </c>
      <c r="C4" s="4" t="s">
        <v>54</v>
      </c>
      <c r="D4" s="3" t="s">
        <v>440</v>
      </c>
      <c r="E4" s="3" t="s">
        <v>441</v>
      </c>
      <c r="F4" s="3" t="s">
        <v>1232</v>
      </c>
      <c r="G4" s="3" t="s">
        <v>58</v>
      </c>
      <c r="H4" s="3" t="s">
        <v>59</v>
      </c>
      <c r="I4" s="3" t="s">
        <v>34</v>
      </c>
      <c r="J4" s="3" t="s">
        <v>144</v>
      </c>
      <c r="K4" s="3" t="s">
        <v>145</v>
      </c>
      <c r="L4" s="3" t="s">
        <v>531</v>
      </c>
      <c r="M4" s="3" t="s">
        <v>538</v>
      </c>
      <c r="N4" s="3" t="s">
        <v>539</v>
      </c>
      <c r="O4" s="3" t="s">
        <v>540</v>
      </c>
      <c r="P4" s="3" t="s">
        <v>543</v>
      </c>
      <c r="Q4" s="3" t="s">
        <v>544</v>
      </c>
      <c r="R4" s="3" t="s">
        <v>547</v>
      </c>
      <c r="S4" s="3" t="s">
        <v>551</v>
      </c>
      <c r="T4" s="3" t="s">
        <v>552</v>
      </c>
      <c r="U4" s="3" t="s">
        <v>553</v>
      </c>
      <c r="V4" s="3" t="s">
        <v>554</v>
      </c>
      <c r="W4" s="3" t="s">
        <v>555</v>
      </c>
      <c r="X4" s="5" t="s">
        <v>556</v>
      </c>
    </row>
    <row r="5" spans="2:24" x14ac:dyDescent="0.25">
      <c r="B5" s="64">
        <v>1</v>
      </c>
      <c r="C5" s="58"/>
      <c r="D5" s="54">
        <f>YEAR(GA[[#This Row],[Date]])+IF(MONTH(GA[[#This Row],[Date]])&gt;=4,1,0)</f>
        <v>1900</v>
      </c>
      <c r="E5" s="6">
        <f>YEAR(GA[[#This Row],[Date]])</f>
        <v>1900</v>
      </c>
      <c r="F5" s="59" t="s">
        <v>1233</v>
      </c>
      <c r="G5" s="59" t="s">
        <v>1233</v>
      </c>
      <c r="H5" s="96">
        <f>GA[[#This Row],[Date]]-DAY(GA[[#This Row],[Date]])+1</f>
        <v>1</v>
      </c>
      <c r="I5" s="56">
        <f>DAY(EOMONTH(GA[[#This Row],[Month Year]],0))</f>
        <v>31</v>
      </c>
      <c r="J5" s="60">
        <f>_xlfn.XLOOKUP(GA[[#This Row],[Date]],RD[Date],RD[Sunrise Time (POA&gt;20 W/m2)],0)</f>
        <v>0</v>
      </c>
      <c r="K5" s="60">
        <f>_xlfn.XLOOKUP(GA[[#This Row],[Date]],RD[Date],RD[Sunset Time (POA&lt;20 W/m2)],0)</f>
        <v>0</v>
      </c>
      <c r="L5" s="53">
        <f>(GA[[#This Row],[Sunset Time (POA&lt;20 W/m2)]]-GA[[#This Row],[Sunrise Time (POA&gt;20 W/m2)]])*24</f>
        <v>0</v>
      </c>
      <c r="M5" s="65"/>
      <c r="N5" s="54">
        <f>_xlfn.XLOOKUP(GA[[#This Row],[Affected Equipment ]],'Basic Data '!$A:$A,'Basic Data '!$B:$B,0)</f>
        <v>0</v>
      </c>
      <c r="O5" s="97">
        <f>_xlfn.XLOOKUP(GA[[#This Row],[Affected Equipment ]],'Basic Data '!$A:$A,'Basic Data '!$C:$C,0)</f>
        <v>0</v>
      </c>
      <c r="P5" s="66"/>
      <c r="Q5" s="63"/>
      <c r="R5" s="63"/>
      <c r="S5" s="67">
        <f>(GA[[#This Row],[Work Completion time on fault]]-GA[[#This Row],[Fault Time]])*24</f>
        <v>0</v>
      </c>
      <c r="T5" s="66"/>
      <c r="U5" s="66"/>
      <c r="V5" s="53">
        <f>GA[[#This Row],[Breakdown Time]]*GA[[#This Row],[Plant Equivalent Weightage]]</f>
        <v>0</v>
      </c>
      <c r="W5" s="59"/>
      <c r="X5" s="68"/>
    </row>
    <row r="6" spans="2:24" x14ac:dyDescent="0.25">
      <c r="B6" s="136">
        <v>2</v>
      </c>
      <c r="C6" s="137"/>
      <c r="D6" s="54">
        <f>YEAR(GA[[#This Row],[Date]])+IF(MONTH(GA[[#This Row],[Date]])&gt;=4,1,0)</f>
        <v>1900</v>
      </c>
      <c r="E6" s="138">
        <f>YEAR(GA[[#This Row],[Date]])</f>
        <v>1900</v>
      </c>
      <c r="F6" s="59" t="s">
        <v>1233</v>
      </c>
      <c r="G6" s="59" t="s">
        <v>1233</v>
      </c>
      <c r="H6" s="96">
        <f>GA[[#This Row],[Date]]-DAY(GA[[#This Row],[Date]])+1</f>
        <v>1</v>
      </c>
      <c r="I6" s="139">
        <f>DAY(EOMONTH(GA[[#This Row],[Month Year]],0))</f>
        <v>31</v>
      </c>
      <c r="J6" s="140">
        <f>_xlfn.XLOOKUP(GA[[#This Row],[Date]],RD[Date],RD[Sunrise Time (POA&gt;20 W/m2)],0)</f>
        <v>0</v>
      </c>
      <c r="K6" s="140">
        <f>_xlfn.XLOOKUP(GA[[#This Row],[Date]],RD[Date],RD[Sunset Time (POA&lt;20 W/m2)],0)</f>
        <v>0</v>
      </c>
      <c r="L6" s="141">
        <f>(GA[[#This Row],[Sunset Time (POA&lt;20 W/m2)]]-GA[[#This Row],[Sunrise Time (POA&gt;20 W/m2)]])*24</f>
        <v>0</v>
      </c>
      <c r="M6" s="142"/>
      <c r="N6" s="141">
        <f>_xlfn.XLOOKUP(GA[[#This Row],[Affected Equipment ]],'Basic Data '!$A:$A,'Basic Data '!$B:$B,0)</f>
        <v>0</v>
      </c>
      <c r="O6" s="143">
        <f>_xlfn.XLOOKUP(GA[[#This Row],[Affected Equipment ]],'Basic Data '!$A:$A,'Basic Data '!$C:$C,0)</f>
        <v>0</v>
      </c>
      <c r="P6" s="119"/>
      <c r="Q6" s="144"/>
      <c r="R6" s="144"/>
      <c r="S6" s="145">
        <f>(GA[[#This Row],[Work Completion time on fault]]-GA[[#This Row],[Fault Time]])*24</f>
        <v>0</v>
      </c>
      <c r="T6" s="146"/>
      <c r="U6" s="147"/>
      <c r="V6" s="141">
        <f>GA[[#This Row],[Breakdown Time]]*GA[[#This Row],[Plant Equivalent Weightage]]</f>
        <v>0</v>
      </c>
      <c r="W6" s="148"/>
      <c r="X6" s="68"/>
    </row>
    <row r="7" spans="2:24" x14ac:dyDescent="0.25">
      <c r="B7" s="136">
        <v>3</v>
      </c>
      <c r="C7" s="137"/>
      <c r="D7" s="54">
        <f>YEAR(GA[[#This Row],[Date]])+IF(MONTH(GA[[#This Row],[Date]])&gt;=4,1,0)</f>
        <v>1900</v>
      </c>
      <c r="E7" s="138">
        <f>YEAR(GA[[#This Row],[Date]])</f>
        <v>1900</v>
      </c>
      <c r="F7" s="59" t="s">
        <v>1233</v>
      </c>
      <c r="G7" s="59" t="s">
        <v>1233</v>
      </c>
      <c r="H7" s="96">
        <f>GA[[#This Row],[Date]]-DAY(GA[[#This Row],[Date]])+1</f>
        <v>1</v>
      </c>
      <c r="I7" s="139">
        <f>DAY(EOMONTH(GA[[#This Row],[Month Year]],0))</f>
        <v>31</v>
      </c>
      <c r="J7" s="140">
        <f>_xlfn.XLOOKUP(GA[[#This Row],[Date]],RD[Date],RD[Sunrise Time (POA&gt;20 W/m2)],0)</f>
        <v>0</v>
      </c>
      <c r="K7" s="140">
        <f>_xlfn.XLOOKUP(GA[[#This Row],[Date]],RD[Date],RD[Sunset Time (POA&lt;20 W/m2)],0)</f>
        <v>0</v>
      </c>
      <c r="L7" s="141">
        <f>(GA[[#This Row],[Sunset Time (POA&lt;20 W/m2)]]-GA[[#This Row],[Sunrise Time (POA&gt;20 W/m2)]])*24</f>
        <v>0</v>
      </c>
      <c r="M7" s="142"/>
      <c r="N7" s="141">
        <f>_xlfn.XLOOKUP(GA[[#This Row],[Affected Equipment ]],'Basic Data '!$A:$A,'Basic Data '!$B:$B,0)</f>
        <v>0</v>
      </c>
      <c r="O7" s="143">
        <f>_xlfn.XLOOKUP(GA[[#This Row],[Affected Equipment ]],'Basic Data '!$A:$A,'Basic Data '!$C:$C,0)</f>
        <v>0</v>
      </c>
      <c r="P7" s="149"/>
      <c r="Q7" s="150"/>
      <c r="R7" s="150"/>
      <c r="S7" s="151">
        <f>(GA[[#This Row],[Work Completion time on fault]]-GA[[#This Row],[Fault Time]])*24</f>
        <v>0</v>
      </c>
      <c r="T7" s="149"/>
      <c r="U7" s="152"/>
      <c r="V7" s="141">
        <f>GA[[#This Row],[Breakdown Time]]*GA[[#This Row],[Plant Equivalent Weightage]]</f>
        <v>0</v>
      </c>
      <c r="W7" s="153"/>
      <c r="X7" s="68"/>
    </row>
    <row r="8" spans="2:24" x14ac:dyDescent="0.25">
      <c r="B8" s="136">
        <v>4</v>
      </c>
      <c r="C8" s="137"/>
      <c r="D8" s="54">
        <f>YEAR(GA[[#This Row],[Date]])+IF(MONTH(GA[[#This Row],[Date]])&gt;=4,1,0)</f>
        <v>1900</v>
      </c>
      <c r="E8" s="138">
        <f>YEAR(GA[[#This Row],[Date]])</f>
        <v>1900</v>
      </c>
      <c r="F8" s="59" t="s">
        <v>1233</v>
      </c>
      <c r="G8" s="59" t="s">
        <v>1233</v>
      </c>
      <c r="H8" s="96">
        <f>GA[[#This Row],[Date]]-DAY(GA[[#This Row],[Date]])+1</f>
        <v>1</v>
      </c>
      <c r="I8" s="139">
        <f>DAY(EOMONTH(GA[[#This Row],[Month Year]],0))</f>
        <v>31</v>
      </c>
      <c r="J8" s="140">
        <f>_xlfn.XLOOKUP(GA[[#This Row],[Date]],RD[Date],RD[Sunrise Time (POA&gt;20 W/m2)],0)</f>
        <v>0</v>
      </c>
      <c r="K8" s="140">
        <f>_xlfn.XLOOKUP(GA[[#This Row],[Date]],RD[Date],RD[Sunset Time (POA&lt;20 W/m2)],0)</f>
        <v>0</v>
      </c>
      <c r="L8" s="141">
        <f>(GA[[#This Row],[Sunset Time (POA&lt;20 W/m2)]]-GA[[#This Row],[Sunrise Time (POA&gt;20 W/m2)]])*24</f>
        <v>0</v>
      </c>
      <c r="M8" s="142"/>
      <c r="N8" s="141">
        <f>_xlfn.XLOOKUP(GA[[#This Row],[Affected Equipment ]],'Basic Data '!$A:$A,'Basic Data '!$B:$B,0)</f>
        <v>0</v>
      </c>
      <c r="O8" s="143">
        <f>_xlfn.XLOOKUP(GA[[#This Row],[Affected Equipment ]],'Basic Data '!$A:$A,'Basic Data '!$C:$C,0)</f>
        <v>0</v>
      </c>
      <c r="P8" s="149"/>
      <c r="Q8" s="150"/>
      <c r="R8" s="150"/>
      <c r="S8" s="151">
        <f>(GA[[#This Row],[Work Completion time on fault]]-GA[[#This Row],[Fault Time]])*24</f>
        <v>0</v>
      </c>
      <c r="T8" s="149"/>
      <c r="U8" s="152"/>
      <c r="V8" s="141">
        <f>GA[[#This Row],[Breakdown Time]]*GA[[#This Row],[Plant Equivalent Weightage]]</f>
        <v>0</v>
      </c>
      <c r="W8" s="153"/>
      <c r="X8" s="154"/>
    </row>
    <row r="9" spans="2:24" x14ac:dyDescent="0.25">
      <c r="B9" s="136"/>
      <c r="C9" s="137"/>
      <c r="D9" s="54"/>
      <c r="E9" s="138"/>
      <c r="F9" s="59"/>
      <c r="G9" s="59"/>
      <c r="H9" s="96">
        <f>GA[[#This Row],[Date]]-DAY(GA[[#This Row],[Date]])+1</f>
        <v>1</v>
      </c>
      <c r="I9" s="139"/>
      <c r="J9" s="140"/>
      <c r="K9" s="140"/>
      <c r="L9" s="141"/>
      <c r="M9" s="142"/>
      <c r="N9" s="141"/>
      <c r="O9" s="155"/>
      <c r="P9" s="152"/>
      <c r="Q9" s="150"/>
      <c r="R9" s="150"/>
      <c r="S9" s="151">
        <f>(GA[[#This Row],[Work Completion time on fault]]-GA[[#This Row],[Fault Time]])*24</f>
        <v>0</v>
      </c>
      <c r="T9" s="152"/>
      <c r="U9" s="152"/>
      <c r="V9" s="156">
        <f>GA[[#This Row],[Breakdown Time]]*GA[[#This Row],[Plant Equivalent Weightage]]</f>
        <v>0</v>
      </c>
      <c r="W9" s="153"/>
      <c r="X9" s="154"/>
    </row>
    <row r="10" spans="2:24" x14ac:dyDescent="0.25">
      <c r="B10" s="136"/>
      <c r="C10" s="137"/>
      <c r="D10" s="54"/>
      <c r="E10" s="138"/>
      <c r="F10" s="59"/>
      <c r="G10" s="59"/>
      <c r="H10" s="96">
        <f>GA[[#This Row],[Date]]-DAY(GA[[#This Row],[Date]])+1</f>
        <v>1</v>
      </c>
      <c r="I10" s="139"/>
      <c r="J10" s="140"/>
      <c r="K10" s="140"/>
      <c r="L10" s="141"/>
      <c r="M10" s="142"/>
      <c r="N10" s="141"/>
      <c r="O10" s="155"/>
      <c r="P10" s="152"/>
      <c r="Q10" s="150"/>
      <c r="R10" s="150"/>
      <c r="S10" s="151">
        <f>(GA[[#This Row],[Work Completion time on fault]]-GA[[#This Row],[Fault Time]])*24</f>
        <v>0</v>
      </c>
      <c r="T10" s="152"/>
      <c r="U10" s="152"/>
      <c r="V10" s="156">
        <f>GA[[#This Row],[Breakdown Time]]*GA[[#This Row],[Plant Equivalent Weightage]]</f>
        <v>0</v>
      </c>
      <c r="W10" s="153"/>
      <c r="X10" s="154"/>
    </row>
    <row r="11" spans="2:24" x14ac:dyDescent="0.25">
      <c r="B11" s="136"/>
      <c r="C11" s="137"/>
      <c r="D11" s="54"/>
      <c r="E11" s="138"/>
      <c r="F11" s="59"/>
      <c r="G11" s="59"/>
      <c r="H11" s="96">
        <f>GA[[#This Row],[Date]]-DAY(GA[[#This Row],[Date]])+1</f>
        <v>1</v>
      </c>
      <c r="I11" s="139"/>
      <c r="J11" s="140"/>
      <c r="K11" s="140"/>
      <c r="L11" s="141"/>
      <c r="M11" s="142"/>
      <c r="N11" s="141"/>
      <c r="O11" s="155"/>
      <c r="P11" s="152"/>
      <c r="Q11" s="150"/>
      <c r="R11" s="150"/>
      <c r="S11" s="151">
        <f>(GA[[#This Row],[Work Completion time on fault]]-GA[[#This Row],[Fault Time]])*24</f>
        <v>0</v>
      </c>
      <c r="T11" s="152"/>
      <c r="U11" s="152"/>
      <c r="V11" s="156">
        <f>GA[[#This Row],[Breakdown Time]]*GA[[#This Row],[Plant Equivalent Weightage]]</f>
        <v>0</v>
      </c>
      <c r="W11" s="153"/>
      <c r="X11" s="154"/>
    </row>
  </sheetData>
  <phoneticPr fontId="5" type="noConversion"/>
  <pageMargins left="0.7" right="0.7" top="0.75" bottom="0.75" header="0.3" footer="0.3"/>
  <ignoredErrors>
    <ignoredError sqref="H5" calculatedColumn="1"/>
  </ignoredErrors>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0000000}">
          <x14:formula1>
            <xm:f>'Basic Data '!$Q$2:$Q$3</xm:f>
          </x14:formula1>
          <xm:sqref>U5:U11</xm:sqref>
        </x14:dataValidation>
        <x14:dataValidation type="list" allowBlank="1" showInputMessage="1" showErrorMessage="1" xr:uid="{00000000-0002-0000-0B00-000001000000}">
          <x14:formula1>
            <xm:f>'Basic Data '!$M$11</xm:f>
          </x14:formula1>
          <xm:sqref>M5:M11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596"/>
  <sheetViews>
    <sheetView tabSelected="1" topLeftCell="A3" zoomScale="80" zoomScaleNormal="80" workbookViewId="0">
      <pane xSplit="2" ySplit="1" topLeftCell="T588" activePane="bottomRight" state="frozen"/>
      <selection pane="topRight" activeCell="C3" sqref="C3"/>
      <selection pane="bottomLeft" activeCell="A4" sqref="A4"/>
      <selection pane="bottomRight" activeCell="T596" sqref="T596"/>
    </sheetView>
  </sheetViews>
  <sheetFormatPr defaultColWidth="8.85546875" defaultRowHeight="15" x14ac:dyDescent="0.25"/>
  <cols>
    <col min="1" max="1" width="10.140625" style="1" bestFit="1" customWidth="1"/>
    <col min="2" max="2" width="13.140625" customWidth="1"/>
    <col min="3" max="3" width="11.28515625" style="1" customWidth="1"/>
    <col min="4" max="4" width="12.42578125" style="1" customWidth="1"/>
    <col min="5" max="5" width="19.28515625" style="1" bestFit="1" customWidth="1"/>
    <col min="6" max="6" width="18.140625" bestFit="1" customWidth="1"/>
    <col min="7" max="7" width="13" style="1" bestFit="1" customWidth="1"/>
    <col min="8" max="8" width="9.140625" customWidth="1"/>
    <col min="9" max="9" width="14.85546875" style="1" bestFit="1" customWidth="1"/>
    <col min="10" max="10" width="10.7109375" style="1" customWidth="1"/>
    <col min="11" max="11" width="10.140625" customWidth="1"/>
    <col min="12" max="13" width="14.42578125" customWidth="1"/>
    <col min="14" max="14" width="12.42578125" customWidth="1"/>
    <col min="15" max="15" width="12.28515625" customWidth="1"/>
    <col min="16" max="16" width="26.42578125" customWidth="1"/>
    <col min="17" max="17" width="14.42578125" customWidth="1"/>
    <col min="18" max="18" width="27.140625" bestFit="1" customWidth="1"/>
    <col min="19" max="19" width="34.140625" customWidth="1"/>
    <col min="20" max="20" width="23" style="1" customWidth="1"/>
    <col min="21" max="21" width="19.28515625" style="1" customWidth="1"/>
    <col min="22" max="22" width="17.42578125" style="1" customWidth="1"/>
    <col min="23" max="23" width="68.5703125" customWidth="1"/>
    <col min="24" max="24" width="15.42578125" customWidth="1"/>
    <col min="25" max="25" width="37.140625" customWidth="1"/>
    <col min="26" max="26" width="18" customWidth="1"/>
    <col min="27" max="27" width="15.140625" customWidth="1"/>
    <col min="28" max="28" width="11.42578125" style="25" customWidth="1"/>
    <col min="29" max="29" width="14.85546875" style="25" customWidth="1"/>
    <col min="30" max="30" width="19.42578125" customWidth="1"/>
    <col min="31" max="31" width="13.140625" customWidth="1"/>
    <col min="32" max="32" width="81" customWidth="1"/>
    <col min="33" max="33" width="14.42578125" customWidth="1"/>
    <col min="34" max="34" width="36.7109375" customWidth="1"/>
    <col min="35" max="35" width="32.42578125" style="1" customWidth="1"/>
    <col min="36" max="36" width="22.85546875" customWidth="1"/>
    <col min="37" max="37" width="32.140625" customWidth="1"/>
  </cols>
  <sheetData>
    <row r="1" spans="1:38" hidden="1" x14ac:dyDescent="0.25">
      <c r="Q1" s="1"/>
      <c r="R1" s="1"/>
      <c r="S1" s="1"/>
      <c r="T1"/>
      <c r="U1"/>
      <c r="V1"/>
      <c r="Y1" s="25"/>
      <c r="Z1" s="25"/>
      <c r="AB1"/>
      <c r="AC1"/>
      <c r="AF1" s="1"/>
      <c r="AI1"/>
    </row>
    <row r="2" spans="1:38" hidden="1" x14ac:dyDescent="0.25">
      <c r="B2">
        <v>1</v>
      </c>
      <c r="C2" s="1">
        <f>B2+1</f>
        <v>2</v>
      </c>
      <c r="D2" s="1">
        <f t="shared" ref="D2:AJ2" si="0">C2+1</f>
        <v>3</v>
      </c>
      <c r="E2" s="1">
        <f t="shared" si="0"/>
        <v>4</v>
      </c>
      <c r="F2" s="1">
        <f t="shared" si="0"/>
        <v>5</v>
      </c>
      <c r="G2" s="1">
        <f t="shared" si="0"/>
        <v>6</v>
      </c>
      <c r="H2" s="1">
        <f t="shared" si="0"/>
        <v>7</v>
      </c>
      <c r="I2" s="1">
        <f t="shared" si="0"/>
        <v>8</v>
      </c>
      <c r="J2" s="1">
        <f t="shared" si="0"/>
        <v>9</v>
      </c>
      <c r="K2" s="1">
        <f t="shared" si="0"/>
        <v>10</v>
      </c>
      <c r="L2" s="1">
        <f t="shared" si="0"/>
        <v>11</v>
      </c>
      <c r="M2" s="1"/>
      <c r="N2" s="1"/>
      <c r="O2" s="1">
        <f>L2+1</f>
        <v>12</v>
      </c>
      <c r="P2" s="1" t="e">
        <f>#REF!+1</f>
        <v>#REF!</v>
      </c>
      <c r="Q2" s="1" t="e">
        <f t="shared" si="0"/>
        <v>#REF!</v>
      </c>
      <c r="R2" s="1" t="e">
        <f>#REF!+1</f>
        <v>#REF!</v>
      </c>
      <c r="S2" s="1" t="e">
        <f t="shared" si="0"/>
        <v>#REF!</v>
      </c>
      <c r="T2" s="1" t="e">
        <f t="shared" si="0"/>
        <v>#REF!</v>
      </c>
      <c r="U2" s="1" t="e">
        <f t="shared" si="0"/>
        <v>#REF!</v>
      </c>
      <c r="V2" s="1" t="e">
        <f t="shared" si="0"/>
        <v>#REF!</v>
      </c>
      <c r="W2" s="1" t="e">
        <f t="shared" si="0"/>
        <v>#REF!</v>
      </c>
      <c r="X2" s="1" t="e">
        <f t="shared" si="0"/>
        <v>#REF!</v>
      </c>
      <c r="Y2" s="25" t="e">
        <f t="shared" si="0"/>
        <v>#REF!</v>
      </c>
      <c r="Z2" s="25" t="e">
        <f t="shared" si="0"/>
        <v>#REF!</v>
      </c>
      <c r="AA2" s="1" t="e">
        <f t="shared" si="0"/>
        <v>#REF!</v>
      </c>
      <c r="AB2" s="1" t="e">
        <f t="shared" si="0"/>
        <v>#REF!</v>
      </c>
      <c r="AC2" s="1" t="e">
        <f t="shared" si="0"/>
        <v>#REF!</v>
      </c>
      <c r="AD2" s="1" t="e">
        <f t="shared" si="0"/>
        <v>#REF!</v>
      </c>
      <c r="AE2" s="1" t="e">
        <f t="shared" si="0"/>
        <v>#REF!</v>
      </c>
      <c r="AF2" s="1" t="e">
        <f t="shared" si="0"/>
        <v>#REF!</v>
      </c>
      <c r="AG2" s="1" t="e">
        <f t="shared" si="0"/>
        <v>#REF!</v>
      </c>
      <c r="AH2" s="1" t="e">
        <f t="shared" si="0"/>
        <v>#REF!</v>
      </c>
      <c r="AI2" s="1" t="e">
        <f t="shared" si="0"/>
        <v>#REF!</v>
      </c>
      <c r="AJ2" s="1" t="e">
        <f t="shared" si="0"/>
        <v>#REF!</v>
      </c>
    </row>
    <row r="3" spans="1:38" ht="36" x14ac:dyDescent="0.25">
      <c r="A3" s="2" t="s">
        <v>7</v>
      </c>
      <c r="B3" s="4" t="s">
        <v>54</v>
      </c>
      <c r="C3" s="3" t="s">
        <v>440</v>
      </c>
      <c r="D3" s="3" t="s">
        <v>441</v>
      </c>
      <c r="E3" s="3" t="s">
        <v>530</v>
      </c>
      <c r="F3" s="3" t="s">
        <v>58</v>
      </c>
      <c r="G3" s="3" t="s">
        <v>59</v>
      </c>
      <c r="H3" s="3" t="s">
        <v>34</v>
      </c>
      <c r="I3" s="3" t="s">
        <v>144</v>
      </c>
      <c r="J3" s="3" t="s">
        <v>145</v>
      </c>
      <c r="K3" s="3" t="s">
        <v>531</v>
      </c>
      <c r="L3" s="3" t="s">
        <v>532</v>
      </c>
      <c r="M3" s="3" t="s">
        <v>533</v>
      </c>
      <c r="N3" s="3" t="s">
        <v>534</v>
      </c>
      <c r="O3" s="3" t="s">
        <v>535</v>
      </c>
      <c r="P3" s="3" t="s">
        <v>536</v>
      </c>
      <c r="Q3" s="3" t="s">
        <v>537</v>
      </c>
      <c r="R3" s="3" t="s">
        <v>538</v>
      </c>
      <c r="S3" s="94" t="s">
        <v>539</v>
      </c>
      <c r="T3" s="3" t="s">
        <v>540</v>
      </c>
      <c r="U3" s="3" t="s">
        <v>541</v>
      </c>
      <c r="V3" s="3" t="s">
        <v>542</v>
      </c>
      <c r="W3" s="3" t="s">
        <v>543</v>
      </c>
      <c r="X3" s="3" t="s">
        <v>544</v>
      </c>
      <c r="Y3" s="82" t="s">
        <v>545</v>
      </c>
      <c r="Z3" s="82" t="s">
        <v>546</v>
      </c>
      <c r="AA3" s="3" t="s">
        <v>547</v>
      </c>
      <c r="AB3" s="3" t="s">
        <v>548</v>
      </c>
      <c r="AC3" s="3" t="s">
        <v>549</v>
      </c>
      <c r="AD3" s="3" t="s">
        <v>550</v>
      </c>
      <c r="AE3" s="3" t="s">
        <v>551</v>
      </c>
      <c r="AF3" s="3" t="s">
        <v>552</v>
      </c>
      <c r="AG3" s="3" t="s">
        <v>553</v>
      </c>
      <c r="AH3" s="3" t="s">
        <v>554</v>
      </c>
      <c r="AI3" s="3" t="s">
        <v>555</v>
      </c>
      <c r="AJ3" s="5" t="s">
        <v>556</v>
      </c>
      <c r="AK3" s="3" t="s">
        <v>557</v>
      </c>
      <c r="AL3" s="3" t="s">
        <v>558</v>
      </c>
    </row>
    <row r="4" spans="1:38" hidden="1" x14ac:dyDescent="0.25">
      <c r="A4" s="166">
        <v>1</v>
      </c>
      <c r="B4" s="162">
        <v>45748</v>
      </c>
      <c r="C4" s="163">
        <v>2025</v>
      </c>
      <c r="D4" s="6">
        <f>YEAR(PA[[#This Row],[Date]])</f>
        <v>2025</v>
      </c>
      <c r="E4" s="164" t="s">
        <v>73</v>
      </c>
      <c r="F4" s="164" t="s">
        <v>73</v>
      </c>
      <c r="G4" s="96">
        <v>45748</v>
      </c>
      <c r="H4" s="56">
        <f>DAY(EOMONTH(PA[[#This Row],[Date]], 0))</f>
        <v>30</v>
      </c>
      <c r="I4" s="60">
        <f>_xlfn.XLOOKUP(PA[[#This Row],[Date]],RD[Date],RD[Sunrise Time (POA&gt;20 W/m2)],0)</f>
        <v>0.29166666666666702</v>
      </c>
      <c r="J4" s="60">
        <f>_xlfn.XLOOKUP(PA[[#This Row],[Financial Year]],RD[Finacial Year],RD[Sunset Time (POA&lt;20 W/m2)],0)</f>
        <v>0.79166666666666696</v>
      </c>
      <c r="K4" s="53">
        <f>IFERROR((PA[[#This Row],[Sunset Time (POA&lt;20 W/m2)]]-PA[[#This Row],[Sunrise Time (POA&gt;20 W/m2)]])*24,"")</f>
        <v>11.999999999999998</v>
      </c>
      <c r="L4" s="59" t="s">
        <v>559</v>
      </c>
      <c r="M4" s="59" t="s">
        <v>560</v>
      </c>
      <c r="N4" s="59"/>
      <c r="O4" s="59"/>
      <c r="P4" s="56"/>
      <c r="Q4" s="6"/>
      <c r="R4"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BLK2LT2</v>
      </c>
      <c r="S4" s="53">
        <f>_xlfn.XLOOKUP(PA[[#This Row],[Affected Equipment ]],'Basic Data '!$A:$A,'Basic Data '!$B:$B)</f>
        <v>4249.75</v>
      </c>
      <c r="T4" s="90">
        <f>IFERROR(_xlfn.XLOOKUP(PA[[#This Row],[Affected Equipment ]],'Basic Data '!A:A,'Basic Data '!C:C),"")</f>
        <v>6.3666666666666663E-2</v>
      </c>
      <c r="U4" s="59"/>
      <c r="V4" s="88"/>
      <c r="W4" s="114" t="s">
        <v>561</v>
      </c>
      <c r="X4" s="60">
        <v>0.48680555555555555</v>
      </c>
      <c r="Y4" s="60">
        <v>0.48680555555555555</v>
      </c>
      <c r="Z4" s="60">
        <v>0.48888888888888887</v>
      </c>
      <c r="AA4" s="160">
        <v>0.48888888888888887</v>
      </c>
      <c r="AB4" s="158">
        <f>IF(PA[[#This Row],[Acknowledgement Time ]]="NA","",(PA[[#This Row],[Acknowledgement Time ]]-PA[[#This Row],[Fault Time]])*24)</f>
        <v>0</v>
      </c>
      <c r="AC4" s="158">
        <f>IF(PA[[#This Row],[Work Start time on Fault]]="NA","",(PA[[#This Row],[Work Start time on Fault]]-PA[[#This Row],[Fault Time]])*24)</f>
        <v>4.9999999999999822E-2</v>
      </c>
      <c r="AD4" s="112">
        <f>IF(PA[[#This Row],[Status]]="Open","",(PA[[#This Row],[Work Completion time on fault]]-PA[[#This Row],[Fault Time]])*24)</f>
        <v>4.9999999999999822E-2</v>
      </c>
      <c r="AE4" s="111">
        <f>IFERROR((PA[[#This Row],[Work Completion time on fault]]-PA[[#This Row],[Fault Time]])*24,"")</f>
        <v>4.9999999999999822E-2</v>
      </c>
      <c r="AF4" s="61" t="s">
        <v>562</v>
      </c>
      <c r="AG4" s="6" t="s">
        <v>1275</v>
      </c>
      <c r="AH4" s="53">
        <f>IFERROR(PA[[#This Row],[Breakdown Time]]*PA[[#This Row],[Plant Equivalent Weightage]],"")</f>
        <v>3.1833333333333219E-3</v>
      </c>
      <c r="AI4" s="59">
        <v>1.4999999999999999E-2</v>
      </c>
      <c r="AJ4" s="89">
        <f>IFERROR(IF(PA[[#This Row],[Lost PoA(kWh/m2)]]&gt;0,_xlfn.XLOOKUP(G4,'Modelling New'!$D:$D,'Modelling New'!$O:$O)*PA[[#This Row],[Lost PoA(kWh/m2)]]*S4,0),"")</f>
        <v>48.510286227989731</v>
      </c>
    </row>
    <row r="5" spans="1:38" hidden="1" x14ac:dyDescent="0.25">
      <c r="A5" s="166">
        <f>A4+1</f>
        <v>2</v>
      </c>
      <c r="B5" s="162">
        <v>45748</v>
      </c>
      <c r="C5" s="163">
        <v>2025</v>
      </c>
      <c r="D5" s="129">
        <f>YEAR(PA[[#This Row],[Date]])</f>
        <v>2025</v>
      </c>
      <c r="E5" s="164" t="s">
        <v>73</v>
      </c>
      <c r="F5" s="164" t="s">
        <v>73</v>
      </c>
      <c r="G5" s="96">
        <v>45748</v>
      </c>
      <c r="H5" s="130">
        <f>DAY(EOMONTH(PA[[#This Row],[Date]], 0))</f>
        <v>30</v>
      </c>
      <c r="I5" s="60">
        <f>_xlfn.XLOOKUP(PA[[#This Row],[Date]],RD[Date],RD[Sunrise Time (POA&gt;20 W/m2)],0)</f>
        <v>0.29166666666666702</v>
      </c>
      <c r="J5" s="60">
        <f>_xlfn.XLOOKUP(PA[[#This Row],[Financial Year]],RD[Finacial Year],RD[Sunset Time (POA&lt;20 W/m2)],0)</f>
        <v>0.79166666666666696</v>
      </c>
      <c r="K5" s="131">
        <f>IFERROR((PA[[#This Row],[Sunset Time (POA&lt;20 W/m2)]]-PA[[#This Row],[Sunrise Time (POA&gt;20 W/m2)]])*24,"")</f>
        <v>11.999999999999998</v>
      </c>
      <c r="L5" s="128" t="s">
        <v>564</v>
      </c>
      <c r="M5" s="128"/>
      <c r="N5" s="128"/>
      <c r="O5" s="128" t="s">
        <v>565</v>
      </c>
      <c r="P5" s="130"/>
      <c r="Q5" s="129"/>
      <c r="R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v>
      </c>
      <c r="S5" s="53">
        <f>_xlfn.XLOOKUP(PA[[#This Row],[Affected Equipment ]],'Basic Data '!$A:$A,'Basic Data '!$B:$B)</f>
        <v>300.375</v>
      </c>
      <c r="T5" s="90">
        <f>IFERROR(_xlfn.XLOOKUP(PA[[#This Row],[Affected Equipment ]],'Basic Data '!A:A,'Basic Data '!C:C),"")</f>
        <v>4.4999999999999997E-3</v>
      </c>
      <c r="U5" s="128" t="s">
        <v>566</v>
      </c>
      <c r="V5" s="117"/>
      <c r="W5" s="114" t="s">
        <v>561</v>
      </c>
      <c r="X5" s="60">
        <v>0.74513888888888891</v>
      </c>
      <c r="Y5" s="60">
        <v>0.74513888888888891</v>
      </c>
      <c r="Z5" s="60">
        <v>0.75347222222222221</v>
      </c>
      <c r="AA5" s="160">
        <v>0.75347222222222221</v>
      </c>
      <c r="AB5" s="158">
        <f>IF(PA[[#This Row],[Acknowledgement Time ]]="NA","",(PA[[#This Row],[Acknowledgement Time ]]-PA[[#This Row],[Fault Time]])*24)</f>
        <v>0</v>
      </c>
      <c r="AC5" s="158">
        <f>IF(PA[[#This Row],[Work Start time on Fault]]="NA","",(PA[[#This Row],[Work Start time on Fault]]-PA[[#This Row],[Fault Time]])*24)</f>
        <v>0.19999999999999929</v>
      </c>
      <c r="AD5" s="112">
        <f>IF(PA[[#This Row],[Status]]="Open","",(PA[[#This Row],[Work Completion time on fault]]-PA[[#This Row],[Fault Time]])*24)</f>
        <v>0.19999999999999929</v>
      </c>
      <c r="AE5" s="134">
        <f>IFERROR((PA[[#This Row],[Work Completion time on fault]]-PA[[#This Row],[Fault Time]])*24,"")</f>
        <v>0.19999999999999929</v>
      </c>
      <c r="AF5" s="133" t="s">
        <v>567</v>
      </c>
      <c r="AG5" s="6" t="s">
        <v>1275</v>
      </c>
      <c r="AH5" s="53">
        <f>IFERROR(PA[[#This Row],[Breakdown Time]]*PA[[#This Row],[Plant Equivalent Weightage]],"")</f>
        <v>8.9999999999999672E-4</v>
      </c>
      <c r="AI5" s="128">
        <v>0.01</v>
      </c>
      <c r="AJ5" s="89">
        <f>IFERROR(IF(PA[[#This Row],[Lost PoA(kWh/m2)]]&gt;0,_xlfn.XLOOKUP(G5,'Modelling New'!$D:$D,'Modelling New'!$O:$O)*PA[[#This Row],[Lost PoA(kWh/m2)]]*S5,0),"")</f>
        <v>2.2858250055073692</v>
      </c>
    </row>
    <row r="6" spans="1:38" hidden="1" x14ac:dyDescent="0.25">
      <c r="A6" s="166">
        <f t="shared" ref="A6:A23" si="1">A5+1</f>
        <v>3</v>
      </c>
      <c r="B6" s="162">
        <v>45749</v>
      </c>
      <c r="C6" s="163">
        <v>2025</v>
      </c>
      <c r="D6" s="6">
        <f>YEAR(PA[[#This Row],[Date]])</f>
        <v>2025</v>
      </c>
      <c r="E6" s="164" t="s">
        <v>73</v>
      </c>
      <c r="F6" s="164" t="s">
        <v>73</v>
      </c>
      <c r="G6" s="96">
        <v>45748</v>
      </c>
      <c r="H6" s="56">
        <f>DAY(EOMONTH(PA[[#This Row],[Date]], 0))</f>
        <v>30</v>
      </c>
      <c r="I6" s="60">
        <f>_xlfn.XLOOKUP(PA[[#This Row],[Date]],RD[Date],RD[Sunrise Time (POA&gt;20 W/m2)],0)</f>
        <v>0.29166666666666702</v>
      </c>
      <c r="J6" s="60">
        <f>_xlfn.XLOOKUP(PA[[#This Row],[Financial Year]],RD[Finacial Year],RD[Sunset Time (POA&lt;20 W/m2)],0)</f>
        <v>0.79166666666666696</v>
      </c>
      <c r="K6" s="53">
        <f>IFERROR((PA[[#This Row],[Sunset Time (POA&lt;20 W/m2)]]-PA[[#This Row],[Sunrise Time (POA&gt;20 W/m2)]])*24,"")</f>
        <v>11.999999999999998</v>
      </c>
      <c r="L6" s="128" t="s">
        <v>564</v>
      </c>
      <c r="M6" s="59"/>
      <c r="N6" s="59"/>
      <c r="O6" s="128" t="s">
        <v>565</v>
      </c>
      <c r="P6" s="56"/>
      <c r="Q6" s="6"/>
      <c r="R6"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v>
      </c>
      <c r="S6" s="53">
        <f>_xlfn.XLOOKUP(PA[[#This Row],[Affected Equipment ]],'Basic Data '!$A:$A,'Basic Data '!$B:$B)</f>
        <v>300.375</v>
      </c>
      <c r="T6" s="90">
        <f>IFERROR(_xlfn.XLOOKUP(PA[[#This Row],[Affected Equipment ]],'Basic Data '!A:A,'Basic Data '!C:C),"")</f>
        <v>4.4999999999999997E-3</v>
      </c>
      <c r="U6" s="128" t="s">
        <v>566</v>
      </c>
      <c r="V6" s="88"/>
      <c r="W6" s="114" t="s">
        <v>569</v>
      </c>
      <c r="X6" s="60">
        <v>0.24374999999999999</v>
      </c>
      <c r="Y6" s="60">
        <v>0.24374999999999999</v>
      </c>
      <c r="Z6" s="60">
        <v>0.75277777777777777</v>
      </c>
      <c r="AA6" s="160">
        <v>0.75277777777777777</v>
      </c>
      <c r="AB6" s="158">
        <f>IF(PA[[#This Row],[Acknowledgement Time ]]="NA","",(PA[[#This Row],[Acknowledgement Time ]]-PA[[#This Row],[Fault Time]])*24)</f>
        <v>0</v>
      </c>
      <c r="AC6" s="158">
        <f>IF(PA[[#This Row],[Work Start time on Fault]]="NA","",(PA[[#This Row],[Work Start time on Fault]]-PA[[#This Row],[Fault Time]])*24)</f>
        <v>12.216666666666665</v>
      </c>
      <c r="AD6" s="112">
        <f>IF(PA[[#This Row],[Status]]="Open","",(PA[[#This Row],[Work Completion time on fault]]-PA[[#This Row],[Fault Time]])*24)</f>
        <v>12.216666666666665</v>
      </c>
      <c r="AE6" s="111">
        <f>IFERROR((PA[[#This Row],[Work Completion time on fault]]-PA[[#This Row],[Fault Time]])*24,"")</f>
        <v>12.216666666666665</v>
      </c>
      <c r="AF6" s="133" t="s">
        <v>567</v>
      </c>
      <c r="AG6" s="6" t="s">
        <v>1275</v>
      </c>
      <c r="AH6" s="53">
        <f>IFERROR(PA[[#This Row],[Breakdown Time]]*PA[[#This Row],[Plant Equivalent Weightage]],"")</f>
        <v>5.4974999999999989E-2</v>
      </c>
      <c r="AI6" s="59">
        <v>3.05</v>
      </c>
      <c r="AJ6" s="89">
        <f>IFERROR(IF(PA[[#This Row],[Lost PoA(kWh/m2)]]&gt;0,_xlfn.XLOOKUP(G6,'Modelling New'!$D:$D,'Modelling New'!$O:$O)*PA[[#This Row],[Lost PoA(kWh/m2)]]*S6,0),"")</f>
        <v>697.17662667974764</v>
      </c>
    </row>
    <row r="7" spans="1:38" ht="30" hidden="1" x14ac:dyDescent="0.25">
      <c r="A7" s="166">
        <f t="shared" si="1"/>
        <v>4</v>
      </c>
      <c r="B7" s="162">
        <v>45750</v>
      </c>
      <c r="C7" s="163">
        <v>2025</v>
      </c>
      <c r="D7" s="6">
        <f>YEAR(PA[[#This Row],[Date]])</f>
        <v>2025</v>
      </c>
      <c r="E7" s="164" t="s">
        <v>73</v>
      </c>
      <c r="F7" s="164" t="s">
        <v>73</v>
      </c>
      <c r="G7" s="96">
        <v>45748</v>
      </c>
      <c r="H7" s="56">
        <f>DAY(EOMONTH(PA[[#This Row],[Date]], 0))</f>
        <v>30</v>
      </c>
      <c r="I7" s="60">
        <f>_xlfn.XLOOKUP(PA[[#This Row],[Date]],RD[Date],RD[Sunrise Time (POA&gt;20 W/m2)],0)</f>
        <v>0.29166666666666702</v>
      </c>
      <c r="J7" s="60">
        <f>_xlfn.XLOOKUP(PA[[#This Row],[Financial Year]],RD[Finacial Year],RD[Sunset Time (POA&lt;20 W/m2)],0)</f>
        <v>0.79166666666666696</v>
      </c>
      <c r="K7" s="53">
        <f>IFERROR((PA[[#This Row],[Sunset Time (POA&lt;20 W/m2)]]-PA[[#This Row],[Sunrise Time (POA&gt;20 W/m2)]])*24,"")</f>
        <v>11.999999999999998</v>
      </c>
      <c r="L7" s="128" t="s">
        <v>564</v>
      </c>
      <c r="M7" s="59"/>
      <c r="N7" s="59"/>
      <c r="O7" s="128" t="s">
        <v>565</v>
      </c>
      <c r="P7" s="56"/>
      <c r="Q7" s="6"/>
      <c r="R7"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v>
      </c>
      <c r="S7" s="53">
        <f>_xlfn.XLOOKUP(PA[[#This Row],[Affected Equipment ]],'Basic Data '!$A:$A,'Basic Data '!$B:$B)</f>
        <v>300.375</v>
      </c>
      <c r="T7" s="90">
        <f>IFERROR(_xlfn.XLOOKUP(PA[[#This Row],[Affected Equipment ]],'Basic Data '!A:A,'Basic Data '!C:C),"")</f>
        <v>4.4999999999999997E-3</v>
      </c>
      <c r="U7" s="128" t="s">
        <v>566</v>
      </c>
      <c r="V7" s="88"/>
      <c r="W7" s="114" t="s">
        <v>569</v>
      </c>
      <c r="X7" s="60">
        <v>0.24513888888888888</v>
      </c>
      <c r="Y7" s="60">
        <v>0.24513888888888888</v>
      </c>
      <c r="Z7" s="60">
        <v>0.42430555555555555</v>
      </c>
      <c r="AA7" s="60">
        <v>0.53194444444444444</v>
      </c>
      <c r="AB7" s="158">
        <f>IF(PA[[#This Row],[Acknowledgement Time ]]="NA","",(PA[[#This Row],[Acknowledgement Time ]]-PA[[#This Row],[Fault Time]])*24)</f>
        <v>0</v>
      </c>
      <c r="AC7" s="158">
        <f>IF(PA[[#This Row],[Work Start time on Fault]]="NA","",(PA[[#This Row],[Work Start time on Fault]]-PA[[#This Row],[Fault Time]])*24)</f>
        <v>4.3</v>
      </c>
      <c r="AD7" s="112">
        <f>IF(PA[[#This Row],[Status]]="Open","",(PA[[#This Row],[Work Completion time on fault]]-PA[[#This Row],[Fault Time]])*24)</f>
        <v>6.8833333333333329</v>
      </c>
      <c r="AE7" s="111">
        <f>IFERROR((PA[[#This Row],[Work Completion time on fault]]-PA[[#This Row],[Fault Time]])*24,"")</f>
        <v>6.8833333333333329</v>
      </c>
      <c r="AF7" s="226" t="s">
        <v>570</v>
      </c>
      <c r="AG7" s="6" t="s">
        <v>1275</v>
      </c>
      <c r="AH7" s="53">
        <f>IFERROR(PA[[#This Row],[Breakdown Time]]*PA[[#This Row],[Plant Equivalent Weightage]],"")</f>
        <v>3.0974999999999996E-2</v>
      </c>
      <c r="AI7" s="59">
        <v>2.2000000000000002</v>
      </c>
      <c r="AJ7" s="89">
        <f>IFERROR(IF(PA[[#This Row],[Lost PoA(kWh/m2)]]&gt;0,_xlfn.XLOOKUP(G7,'Modelling New'!$D:$D,'Modelling New'!$O:$O)*PA[[#This Row],[Lost PoA(kWh/m2)]]*S7,0),"")</f>
        <v>502.8815012116213</v>
      </c>
    </row>
    <row r="8" spans="1:38" ht="30" hidden="1" x14ac:dyDescent="0.25">
      <c r="A8" s="166">
        <f t="shared" si="1"/>
        <v>5</v>
      </c>
      <c r="B8" s="162">
        <v>45750</v>
      </c>
      <c r="C8" s="163">
        <v>2025</v>
      </c>
      <c r="D8" s="6">
        <f>YEAR(PA[[#This Row],[Date]])</f>
        <v>2025</v>
      </c>
      <c r="E8" s="164" t="s">
        <v>73</v>
      </c>
      <c r="F8" s="164" t="s">
        <v>73</v>
      </c>
      <c r="G8" s="96">
        <v>45748</v>
      </c>
      <c r="H8" s="56">
        <f>DAY(EOMONTH(PA[[#This Row],[Date]], 0))</f>
        <v>30</v>
      </c>
      <c r="I8" s="60">
        <f>_xlfn.XLOOKUP(PA[[#This Row],[Date]],RD[Date],RD[Sunrise Time (POA&gt;20 W/m2)],0)</f>
        <v>0.29166666666666702</v>
      </c>
      <c r="J8" s="60">
        <f>_xlfn.XLOOKUP(PA[[#This Row],[Financial Year]],RD[Finacial Year],RD[Sunset Time (POA&lt;20 W/m2)],0)</f>
        <v>0.79166666666666696</v>
      </c>
      <c r="K8" s="53">
        <f>IFERROR((PA[[#This Row],[Sunset Time (POA&lt;20 W/m2)]]-PA[[#This Row],[Sunrise Time (POA&gt;20 W/m2)]])*24,"")</f>
        <v>11.999999999999998</v>
      </c>
      <c r="L8" s="128" t="s">
        <v>564</v>
      </c>
      <c r="M8" s="59"/>
      <c r="N8" s="59"/>
      <c r="O8" s="59" t="s">
        <v>571</v>
      </c>
      <c r="P8" s="56"/>
      <c r="Q8" s="6"/>
      <c r="R8"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v>
      </c>
      <c r="S8" s="53">
        <f>_xlfn.XLOOKUP(PA[[#This Row],[Affected Equipment ]],'Basic Data '!$A:$A,'Basic Data '!$B:$B)</f>
        <v>267</v>
      </c>
      <c r="T8" s="90">
        <f>IFERROR(_xlfn.XLOOKUP(PA[[#This Row],[Affected Equipment ]],'Basic Data '!A:A,'Basic Data '!C:C),"")</f>
        <v>4.0000000000000001E-3</v>
      </c>
      <c r="U8" s="128" t="s">
        <v>566</v>
      </c>
      <c r="V8" s="88"/>
      <c r="W8" s="114" t="s">
        <v>572</v>
      </c>
      <c r="X8" s="60">
        <v>0.42430555555555555</v>
      </c>
      <c r="Y8" s="60">
        <v>0.42430555555555555</v>
      </c>
      <c r="Z8" s="60">
        <v>0.42430555555555555</v>
      </c>
      <c r="AA8" s="60">
        <v>0.53194444444444444</v>
      </c>
      <c r="AB8" s="158">
        <f>IF(PA[[#This Row],[Acknowledgement Time ]]="NA","",(PA[[#This Row],[Acknowledgement Time ]]-PA[[#This Row],[Fault Time]])*24)</f>
        <v>0</v>
      </c>
      <c r="AC8" s="158">
        <f>IF(PA[[#This Row],[Work Start time on Fault]]="NA","",(PA[[#This Row],[Work Start time on Fault]]-PA[[#This Row],[Fault Time]])*24)</f>
        <v>0</v>
      </c>
      <c r="AD8" s="112">
        <f>IF(PA[[#This Row],[Status]]="Open","",(PA[[#This Row],[Work Completion time on fault]]-PA[[#This Row],[Fault Time]])*24)</f>
        <v>2.5833333333333335</v>
      </c>
      <c r="AE8" s="111">
        <f>IFERROR((PA[[#This Row],[Work Completion time on fault]]-PA[[#This Row],[Fault Time]])*24,"")</f>
        <v>2.5833333333333335</v>
      </c>
      <c r="AF8" s="226" t="s">
        <v>570</v>
      </c>
      <c r="AG8" s="6" t="s">
        <v>1275</v>
      </c>
      <c r="AH8" s="53">
        <f>IFERROR(PA[[#This Row],[Breakdown Time]]*PA[[#This Row],[Plant Equivalent Weightage]],"")</f>
        <v>1.0333333333333335E-2</v>
      </c>
      <c r="AI8" s="59">
        <v>4.0999999999999996</v>
      </c>
      <c r="AJ8" s="89">
        <f>IFERROR(IF(PA[[#This Row],[Lost PoA(kWh/m2)]]&gt;0,_xlfn.XLOOKUP(G8,'Modelling New'!$D:$D,'Modelling New'!$O:$O)*PA[[#This Row],[Lost PoA(kWh/m2)]]*S8,0),"")</f>
        <v>833.05622422935232</v>
      </c>
    </row>
    <row r="9" spans="1:38" hidden="1" x14ac:dyDescent="0.25">
      <c r="A9" s="166">
        <f t="shared" si="1"/>
        <v>6</v>
      </c>
      <c r="B9" s="162">
        <v>45754</v>
      </c>
      <c r="C9" s="163">
        <v>2025</v>
      </c>
      <c r="D9" s="6">
        <f>YEAR(PA[[#This Row],[Date]])</f>
        <v>2025</v>
      </c>
      <c r="E9" s="164" t="s">
        <v>73</v>
      </c>
      <c r="F9" s="164" t="s">
        <v>73</v>
      </c>
      <c r="G9" s="96">
        <v>45748</v>
      </c>
      <c r="H9" s="56">
        <f>DAY(EOMONTH(PA[[#This Row],[Date]], 0))</f>
        <v>30</v>
      </c>
      <c r="I9" s="60">
        <f>_xlfn.XLOOKUP(PA[[#This Row],[Date]],RD[Date],RD[Sunrise Time (POA&gt;20 W/m2)],0)</f>
        <v>0.29166666666666702</v>
      </c>
      <c r="J9" s="60">
        <f>_xlfn.XLOOKUP(PA[[#This Row],[Financial Year]],RD[Finacial Year],RD[Sunset Time (POA&lt;20 W/m2)],0)</f>
        <v>0.79166666666666696</v>
      </c>
      <c r="K9" s="53">
        <f>IFERROR((PA[[#This Row],[Sunset Time (POA&lt;20 W/m2)]]-PA[[#This Row],[Sunrise Time (POA&gt;20 W/m2)]])*24,"")</f>
        <v>11.999999999999998</v>
      </c>
      <c r="L9" s="59" t="s">
        <v>559</v>
      </c>
      <c r="M9" s="59" t="s">
        <v>560</v>
      </c>
      <c r="N9" s="59"/>
      <c r="O9" s="59"/>
      <c r="P9" s="56"/>
      <c r="Q9" s="6"/>
      <c r="R9"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BLK2LT2</v>
      </c>
      <c r="S9" s="53">
        <v>267</v>
      </c>
      <c r="T9" s="90">
        <f>IFERROR(_xlfn.XLOOKUP(PA[[#This Row],[Affected Equipment ]],'Basic Data '!A:A,'Basic Data '!C:C),"")</f>
        <v>6.3666666666666663E-2</v>
      </c>
      <c r="U9" s="59" t="s">
        <v>573</v>
      </c>
      <c r="V9" s="88"/>
      <c r="W9" s="165" t="s">
        <v>574</v>
      </c>
      <c r="X9" s="60">
        <v>0.47708333333333336</v>
      </c>
      <c r="Y9" s="60">
        <v>0.47708333333333336</v>
      </c>
      <c r="Z9" s="60">
        <v>0.4826388888888889</v>
      </c>
      <c r="AA9" s="60">
        <v>0.49305555555555558</v>
      </c>
      <c r="AB9" s="158">
        <f>IF(PA[[#This Row],[Acknowledgement Time ]]="NA","",(PA[[#This Row],[Acknowledgement Time ]]-PA[[#This Row],[Fault Time]])*24)</f>
        <v>0</v>
      </c>
      <c r="AC9" s="158">
        <f>IF(PA[[#This Row],[Work Start time on Fault]]="NA","",(PA[[#This Row],[Work Start time on Fault]]-PA[[#This Row],[Fault Time]])*24)</f>
        <v>0.13333333333333286</v>
      </c>
      <c r="AD9" s="112">
        <f>IF(PA[[#This Row],[Status]]="Open","",(PA[[#This Row],[Work Completion time on fault]]-PA[[#This Row],[Fault Time]])*24)</f>
        <v>0.3833333333333333</v>
      </c>
      <c r="AE9" s="111">
        <f>IFERROR((PA[[#This Row],[Work Completion time on fault]]-PA[[#This Row],[Fault Time]])*24,"")</f>
        <v>0.3833333333333333</v>
      </c>
      <c r="AF9" s="228" t="s">
        <v>562</v>
      </c>
      <c r="AG9" s="6" t="s">
        <v>1275</v>
      </c>
      <c r="AH9" s="53">
        <f>IFERROR(PA[[#This Row],[Breakdown Time]]*PA[[#This Row],[Plant Equivalent Weightage]],"")</f>
        <v>2.4405555555555552E-2</v>
      </c>
      <c r="AI9" s="59">
        <v>0.32800000000000001</v>
      </c>
      <c r="AJ9" s="89">
        <f>IFERROR(IF(PA[[#This Row],[Lost PoA(kWh/m2)]]&gt;0,_xlfn.XLOOKUP(G9,'Modelling New'!$D:$D,'Modelling New'!$O:$O)*PA[[#This Row],[Lost PoA(kWh/m2)]]*S9,0),"")</f>
        <v>66.644497938348195</v>
      </c>
    </row>
    <row r="10" spans="1:38" hidden="1" x14ac:dyDescent="0.25">
      <c r="A10" s="166">
        <f t="shared" si="1"/>
        <v>7</v>
      </c>
      <c r="B10" s="162">
        <v>45755</v>
      </c>
      <c r="C10" s="163">
        <v>2025</v>
      </c>
      <c r="D10" s="6">
        <f>YEAR(PA[[#This Row],[Date]])</f>
        <v>2025</v>
      </c>
      <c r="E10" s="164" t="s">
        <v>73</v>
      </c>
      <c r="F10" s="164" t="s">
        <v>73</v>
      </c>
      <c r="G10" s="96">
        <v>45748</v>
      </c>
      <c r="H10" s="56">
        <f>DAY(EOMONTH(PA[[#This Row],[Date]], 0))</f>
        <v>30</v>
      </c>
      <c r="I10" s="60">
        <f>_xlfn.XLOOKUP(PA[[#This Row],[Date]],RD[Date],RD[Sunrise Time (POA&gt;20 W/m2)],0)</f>
        <v>0.29166666666666702</v>
      </c>
      <c r="J10" s="60">
        <f>_xlfn.XLOOKUP(PA[[#This Row],[Financial Year]],RD[Finacial Year],RD[Sunset Time (POA&lt;20 W/m2)],0)</f>
        <v>0.79166666666666696</v>
      </c>
      <c r="K10" s="53">
        <f>IFERROR((PA[[#This Row],[Sunset Time (POA&lt;20 W/m2)]]-PA[[#This Row],[Sunrise Time (POA&gt;20 W/m2)]])*24,"")</f>
        <v>11.999999999999998</v>
      </c>
      <c r="L10" s="59" t="s">
        <v>559</v>
      </c>
      <c r="M10" s="59" t="s">
        <v>560</v>
      </c>
      <c r="N10" s="59"/>
      <c r="O10" s="59"/>
      <c r="P10" s="56"/>
      <c r="Q10" s="6"/>
      <c r="R10"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BLK2LT2</v>
      </c>
      <c r="S10" s="53">
        <v>240</v>
      </c>
      <c r="T10" s="90">
        <f>IFERROR(_xlfn.XLOOKUP(PA[[#This Row],[Affected Equipment ]],'Basic Data '!A:A,'Basic Data '!C:C),"")</f>
        <v>6.3666666666666663E-2</v>
      </c>
      <c r="U10" s="59" t="s">
        <v>573</v>
      </c>
      <c r="V10" s="88"/>
      <c r="W10" s="165" t="s">
        <v>574</v>
      </c>
      <c r="X10" s="60">
        <v>0.49305555555555558</v>
      </c>
      <c r="Y10" s="60">
        <v>0.49305555555555558</v>
      </c>
      <c r="Z10" s="60">
        <v>0.49652777777777779</v>
      </c>
      <c r="AA10" s="60">
        <v>0.51388888888888884</v>
      </c>
      <c r="AB10" s="158">
        <f>IF(PA[[#This Row],[Acknowledgement Time ]]="NA","",(PA[[#This Row],[Acknowledgement Time ]]-PA[[#This Row],[Fault Time]])*24)</f>
        <v>0</v>
      </c>
      <c r="AC10" s="158">
        <f>IF(PA[[#This Row],[Work Start time on Fault]]="NA","",(PA[[#This Row],[Work Start time on Fault]]-PA[[#This Row],[Fault Time]])*24)</f>
        <v>8.3333333333333037E-2</v>
      </c>
      <c r="AD10" s="112">
        <f>IF(PA[[#This Row],[Status]]="Open","",(PA[[#This Row],[Work Completion time on fault]]-PA[[#This Row],[Fault Time]])*24)</f>
        <v>0.49999999999999822</v>
      </c>
      <c r="AE10" s="111">
        <f>IFERROR((PA[[#This Row],[Work Completion time on fault]]-PA[[#This Row],[Fault Time]])*24,"")</f>
        <v>0.49999999999999822</v>
      </c>
      <c r="AF10" s="228" t="s">
        <v>562</v>
      </c>
      <c r="AG10" s="6" t="s">
        <v>1275</v>
      </c>
      <c r="AH10" s="53">
        <f>IFERROR(PA[[#This Row],[Breakdown Time]]*PA[[#This Row],[Plant Equivalent Weightage]],"")</f>
        <v>3.1833333333333221E-2</v>
      </c>
      <c r="AI10" s="59">
        <v>0.34799999999999998</v>
      </c>
      <c r="AJ10" s="89">
        <f>IFERROR(IF(PA[[#This Row],[Lost PoA(kWh/m2)]]&gt;0,_xlfn.XLOOKUP(G10,'Modelling New'!$D:$D,'Modelling New'!$O:$O)*PA[[#This Row],[Lost PoA(kWh/m2)]]*S10,0),"")</f>
        <v>63.557920752384675</v>
      </c>
    </row>
    <row r="11" spans="1:38" ht="30" hidden="1" x14ac:dyDescent="0.25">
      <c r="A11" s="166">
        <f t="shared" si="1"/>
        <v>8</v>
      </c>
      <c r="B11" s="162">
        <v>45755</v>
      </c>
      <c r="C11" s="163">
        <v>2025</v>
      </c>
      <c r="D11" s="6">
        <f>YEAR(PA[[#This Row],[Date]])</f>
        <v>2025</v>
      </c>
      <c r="E11" s="164" t="s">
        <v>73</v>
      </c>
      <c r="F11" s="164" t="s">
        <v>73</v>
      </c>
      <c r="G11" s="96">
        <v>45748</v>
      </c>
      <c r="H11" s="56">
        <f>DAY(EOMONTH(PA[[#This Row],[Date]], 0))</f>
        <v>30</v>
      </c>
      <c r="I11" s="60">
        <f>_xlfn.XLOOKUP(PA[[#This Row],[Date]],RD[Date],RD[Sunrise Time (POA&gt;20 W/m2)],0)</f>
        <v>0.29166666666666702</v>
      </c>
      <c r="J11" s="60">
        <f>_xlfn.XLOOKUP(PA[[#This Row],[Financial Year]],RD[Finacial Year],RD[Sunset Time (POA&lt;20 W/m2)],0)</f>
        <v>0.79166666666666696</v>
      </c>
      <c r="K11" s="53">
        <f>IFERROR((PA[[#This Row],[Sunset Time (POA&lt;20 W/m2)]]-PA[[#This Row],[Sunrise Time (POA&gt;20 W/m2)]])*24,"")</f>
        <v>11.999999999999998</v>
      </c>
      <c r="L11" s="59" t="s">
        <v>559</v>
      </c>
      <c r="M11" s="59"/>
      <c r="N11" s="59"/>
      <c r="O11" s="59" t="s">
        <v>575</v>
      </c>
      <c r="P11" s="56"/>
      <c r="Q11" s="6"/>
      <c r="R11"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BLK2INV23</v>
      </c>
      <c r="S11" s="53">
        <f>_xlfn.XLOOKUP(PA[[#This Row],[Affected Equipment ]],'Basic Data '!$A:$A,'Basic Data '!$B:$B)</f>
        <v>300.375</v>
      </c>
      <c r="T11" s="90">
        <f>IFERROR(_xlfn.XLOOKUP(PA[[#This Row],[Affected Equipment ]],'Basic Data '!A:A,'Basic Data '!C:C),"")</f>
        <v>4.4999999999999997E-3</v>
      </c>
      <c r="U11" s="59" t="s">
        <v>566</v>
      </c>
      <c r="V11" s="88"/>
      <c r="W11" s="114" t="s">
        <v>576</v>
      </c>
      <c r="X11" s="60">
        <v>0.49652777777777779</v>
      </c>
      <c r="Y11" s="60">
        <v>0.49305555555555558</v>
      </c>
      <c r="Z11" s="60">
        <v>0.58333333333333337</v>
      </c>
      <c r="AA11" s="60">
        <v>0.58333333333333337</v>
      </c>
      <c r="AB11" s="158">
        <f>IF(PA[[#This Row],[Acknowledgement Time ]]="NA","",(PA[[#This Row],[Acknowledgement Time ]]-PA[[#This Row],[Fault Time]])*24)</f>
        <v>-8.3333333333333037E-2</v>
      </c>
      <c r="AC11" s="158">
        <f>IF(PA[[#This Row],[Work Start time on Fault]]="NA","",(PA[[#This Row],[Work Start time on Fault]]-PA[[#This Row],[Fault Time]])*24)</f>
        <v>2.0833333333333339</v>
      </c>
      <c r="AD11" s="112">
        <f>IF(PA[[#This Row],[Status]]="Open","",(PA[[#This Row],[Work Completion time on fault]]-PA[[#This Row],[Fault Time]])*24)</f>
        <v>2.0833333333333339</v>
      </c>
      <c r="AE11" s="111">
        <f>IFERROR((PA[[#This Row],[Work Completion time on fault]]-PA[[#This Row],[Fault Time]])*24,"")</f>
        <v>2.0833333333333339</v>
      </c>
      <c r="AF11" s="228" t="s">
        <v>577</v>
      </c>
      <c r="AG11" s="6" t="s">
        <v>1275</v>
      </c>
      <c r="AH11" s="53">
        <f>IFERROR(PA[[#This Row],[Breakdown Time]]*PA[[#This Row],[Plant Equivalent Weightage]],"")</f>
        <v>9.3750000000000014E-3</v>
      </c>
      <c r="AI11" s="59">
        <v>1.8</v>
      </c>
      <c r="AJ11" s="89">
        <f>IFERROR(IF(PA[[#This Row],[Lost PoA(kWh/m2)]]&gt;0,_xlfn.XLOOKUP(G11,'Modelling New'!$D:$D,'Modelling New'!$O:$O)*PA[[#This Row],[Lost PoA(kWh/m2)]]*S11,0),"")</f>
        <v>411.44850099132651</v>
      </c>
    </row>
    <row r="12" spans="1:38" ht="30" hidden="1" x14ac:dyDescent="0.25">
      <c r="A12" s="166">
        <f t="shared" si="1"/>
        <v>9</v>
      </c>
      <c r="B12" s="162">
        <v>45755</v>
      </c>
      <c r="C12" s="163">
        <v>2025</v>
      </c>
      <c r="D12" s="6">
        <f>YEAR(PA[[#This Row],[Date]])</f>
        <v>2025</v>
      </c>
      <c r="E12" s="164" t="s">
        <v>73</v>
      </c>
      <c r="F12" s="164" t="s">
        <v>73</v>
      </c>
      <c r="G12" s="96">
        <v>45748</v>
      </c>
      <c r="H12" s="56">
        <f>DAY(EOMONTH(PA[[#This Row],[Date]], 0))</f>
        <v>30</v>
      </c>
      <c r="I12" s="60">
        <f>_xlfn.XLOOKUP(PA[[#This Row],[Date]],RD[Date],RD[Sunrise Time (POA&gt;20 W/m2)],0)</f>
        <v>0.29166666666666702</v>
      </c>
      <c r="J12" s="60">
        <f>_xlfn.XLOOKUP(PA[[#This Row],[Financial Year]],RD[Finacial Year],RD[Sunset Time (POA&lt;20 W/m2)],0)</f>
        <v>0.79166666666666696</v>
      </c>
      <c r="K12" s="53">
        <f>IFERROR((PA[[#This Row],[Sunset Time (POA&lt;20 W/m2)]]-PA[[#This Row],[Sunrise Time (POA&gt;20 W/m2)]])*24,"")</f>
        <v>11.999999999999998</v>
      </c>
      <c r="L12" s="59" t="s">
        <v>559</v>
      </c>
      <c r="M12" s="59"/>
      <c r="N12" s="59"/>
      <c r="O12" s="59" t="s">
        <v>578</v>
      </c>
      <c r="P12" s="56"/>
      <c r="Q12" s="6"/>
      <c r="R12"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BLK2INV12</v>
      </c>
      <c r="S12" s="53">
        <f>_xlfn.XLOOKUP(PA[[#This Row],[Affected Equipment ]],'Basic Data '!$A:$A,'Basic Data '!$B:$B)</f>
        <v>267</v>
      </c>
      <c r="T12" s="90">
        <f>IFERROR(_xlfn.XLOOKUP(PA[[#This Row],[Affected Equipment ]],'Basic Data '!A:A,'Basic Data '!C:C),"")</f>
        <v>4.0000000000000001E-3</v>
      </c>
      <c r="U12" s="59" t="s">
        <v>566</v>
      </c>
      <c r="V12" s="88"/>
      <c r="W12" s="114" t="s">
        <v>576</v>
      </c>
      <c r="X12" s="60">
        <v>0.49652777777777779</v>
      </c>
      <c r="Y12" s="60">
        <v>0.49305555555555558</v>
      </c>
      <c r="Z12" s="60">
        <v>0.58333333333333337</v>
      </c>
      <c r="AA12" s="60">
        <v>0.58333333333333337</v>
      </c>
      <c r="AB12" s="158">
        <f>IF(PA[[#This Row],[Acknowledgement Time ]]="NA","",(PA[[#This Row],[Acknowledgement Time ]]-PA[[#This Row],[Fault Time]])*24)</f>
        <v>-8.3333333333333037E-2</v>
      </c>
      <c r="AC12" s="158">
        <f>IF(PA[[#This Row],[Work Start time on Fault]]="NA","",(PA[[#This Row],[Work Start time on Fault]]-PA[[#This Row],[Fault Time]])*24)</f>
        <v>2.0833333333333339</v>
      </c>
      <c r="AD12" s="112">
        <f>IF(PA[[#This Row],[Status]]="Open","",(PA[[#This Row],[Work Completion time on fault]]-PA[[#This Row],[Fault Time]])*24)</f>
        <v>2.0833333333333339</v>
      </c>
      <c r="AE12" s="111">
        <f>IFERROR((PA[[#This Row],[Work Completion time on fault]]-PA[[#This Row],[Fault Time]])*24,"")</f>
        <v>2.0833333333333339</v>
      </c>
      <c r="AF12" s="228" t="s">
        <v>577</v>
      </c>
      <c r="AG12" s="6" t="s">
        <v>1275</v>
      </c>
      <c r="AH12" s="53">
        <f>IFERROR(PA[[#This Row],[Breakdown Time]]*PA[[#This Row],[Plant Equivalent Weightage]],"")</f>
        <v>8.3333333333333367E-3</v>
      </c>
      <c r="AI12" s="59">
        <v>1.8</v>
      </c>
      <c r="AJ12" s="89">
        <f>IFERROR(IF(PA[[#This Row],[Lost PoA(kWh/m2)]]&gt;0,_xlfn.XLOOKUP(G12,'Modelling New'!$D:$D,'Modelling New'!$O:$O)*PA[[#This Row],[Lost PoA(kWh/m2)]]*S12,0),"")</f>
        <v>365.73200088117915</v>
      </c>
    </row>
    <row r="13" spans="1:38" hidden="1" x14ac:dyDescent="0.25">
      <c r="A13" s="166">
        <f t="shared" si="1"/>
        <v>10</v>
      </c>
      <c r="B13" s="162">
        <v>45757</v>
      </c>
      <c r="C13" s="163">
        <v>2025</v>
      </c>
      <c r="D13" s="6">
        <f>YEAR(PA[[#This Row],[Date]])</f>
        <v>2025</v>
      </c>
      <c r="E13" s="164" t="s">
        <v>73</v>
      </c>
      <c r="F13" s="164" t="s">
        <v>73</v>
      </c>
      <c r="G13" s="96">
        <v>45748</v>
      </c>
      <c r="H13" s="56">
        <f>DAY(EOMONTH(PA[[#This Row],[Date]], 0))</f>
        <v>30</v>
      </c>
      <c r="I13" s="60">
        <f>_xlfn.XLOOKUP(PA[[#This Row],[Date]],RD[Date],RD[Sunrise Time (POA&gt;20 W/m2)],0)</f>
        <v>0.29166666666666702</v>
      </c>
      <c r="J13" s="60">
        <f>_xlfn.XLOOKUP(PA[[#This Row],[Financial Year]],RD[Finacial Year],RD[Sunset Time (POA&lt;20 W/m2)],0)</f>
        <v>0.79166666666666696</v>
      </c>
      <c r="K13" s="53">
        <f>IFERROR((PA[[#This Row],[Sunset Time (POA&lt;20 W/m2)]]-PA[[#This Row],[Sunrise Time (POA&gt;20 W/m2)]])*24,"")</f>
        <v>11.999999999999998</v>
      </c>
      <c r="L13" s="59" t="s">
        <v>559</v>
      </c>
      <c r="M13" s="59" t="s">
        <v>560</v>
      </c>
      <c r="N13" s="59"/>
      <c r="O13" s="59"/>
      <c r="P13" s="56"/>
      <c r="Q13" s="6"/>
      <c r="R13"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BLK2LT2</v>
      </c>
      <c r="S13" s="53">
        <v>267</v>
      </c>
      <c r="T13" s="90">
        <f>IFERROR(_xlfn.XLOOKUP(PA[[#This Row],[Affected Equipment ]],'Basic Data '!A:A,'Basic Data '!C:C),"")</f>
        <v>6.3666666666666663E-2</v>
      </c>
      <c r="U13" s="59"/>
      <c r="V13" s="88"/>
      <c r="W13" s="114"/>
      <c r="X13" s="60">
        <v>0.4861111111111111</v>
      </c>
      <c r="Y13" s="60">
        <v>0.4861111111111111</v>
      </c>
      <c r="Z13" s="60">
        <v>0.48958333333333331</v>
      </c>
      <c r="AA13" s="60">
        <v>0.5</v>
      </c>
      <c r="AB13" s="158">
        <f>IF(PA[[#This Row],[Acknowledgement Time ]]="NA","",(PA[[#This Row],[Acknowledgement Time ]]-PA[[#This Row],[Fault Time]])*24)</f>
        <v>0</v>
      </c>
      <c r="AC13" s="158">
        <f>IF(PA[[#This Row],[Work Start time on Fault]]="NA","",(PA[[#This Row],[Work Start time on Fault]]-PA[[#This Row],[Fault Time]])*24)</f>
        <v>8.3333333333333037E-2</v>
      </c>
      <c r="AD13" s="112">
        <f>IF(PA[[#This Row],[Status]]="Open","",(PA[[#This Row],[Work Completion time on fault]]-PA[[#This Row],[Fault Time]])*24)</f>
        <v>0.33333333333333348</v>
      </c>
      <c r="AE13" s="111">
        <f>IFERROR((PA[[#This Row],[Work Completion time on fault]]-PA[[#This Row],[Fault Time]])*24,"")</f>
        <v>0.33333333333333348</v>
      </c>
      <c r="AF13" s="228" t="s">
        <v>562</v>
      </c>
      <c r="AG13" s="6" t="s">
        <v>1275</v>
      </c>
      <c r="AH13" s="53">
        <f>IFERROR(PA[[#This Row],[Breakdown Time]]*PA[[#This Row],[Plant Equivalent Weightage]],"")</f>
        <v>2.1222222222222229E-2</v>
      </c>
      <c r="AI13" s="59">
        <v>0.23</v>
      </c>
      <c r="AJ13" s="89">
        <f>IFERROR(IF(PA[[#This Row],[Lost PoA(kWh/m2)]]&gt;0,_xlfn.XLOOKUP(G13,'Modelling New'!$D:$D,'Modelling New'!$O:$O)*PA[[#This Row],[Lost PoA(kWh/m2)]]*S13,0),"")</f>
        <v>46.732422334817329</v>
      </c>
    </row>
    <row r="14" spans="1:38" hidden="1" x14ac:dyDescent="0.25">
      <c r="A14" s="166">
        <f t="shared" si="1"/>
        <v>11</v>
      </c>
      <c r="B14" s="162">
        <v>45757</v>
      </c>
      <c r="C14" s="163">
        <v>2025</v>
      </c>
      <c r="D14" s="6">
        <f>YEAR(PA[[#This Row],[Date]])</f>
        <v>2025</v>
      </c>
      <c r="E14" s="164" t="s">
        <v>73</v>
      </c>
      <c r="F14" s="164" t="s">
        <v>73</v>
      </c>
      <c r="G14" s="96">
        <v>45748</v>
      </c>
      <c r="H14" s="56">
        <f>DAY(EOMONTH(PA[[#This Row],[Date]], 0))</f>
        <v>30</v>
      </c>
      <c r="I14" s="60">
        <f>_xlfn.XLOOKUP(PA[[#This Row],[Date]],RD[Date],RD[Sunrise Time (POA&gt;20 W/m2)],0)</f>
        <v>0.29166666666666702</v>
      </c>
      <c r="J14" s="60">
        <f>_xlfn.XLOOKUP(PA[[#This Row],[Financial Year]],RD[Finacial Year],RD[Sunset Time (POA&lt;20 W/m2)],0)</f>
        <v>0.79166666666666696</v>
      </c>
      <c r="K14" s="53">
        <f>IFERROR((PA[[#This Row],[Sunset Time (POA&lt;20 W/m2)]]-PA[[#This Row],[Sunrise Time (POA&gt;20 W/m2)]])*24,"")</f>
        <v>11.999999999999998</v>
      </c>
      <c r="L14" s="59" t="s">
        <v>579</v>
      </c>
      <c r="M14" s="59" t="s">
        <v>560</v>
      </c>
      <c r="N14" s="59"/>
      <c r="O14" s="59"/>
      <c r="P14" s="56"/>
      <c r="Q14" s="6"/>
      <c r="R14"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BLK8LT2</v>
      </c>
      <c r="S14" s="53">
        <v>240</v>
      </c>
      <c r="T14" s="90">
        <f>IFERROR(_xlfn.XLOOKUP(PA[[#This Row],[Affected Equipment ]],'Basic Data '!A:A,'Basic Data '!C:C),"")</f>
        <v>4.6350561797752814E-2</v>
      </c>
      <c r="U14" s="59" t="s">
        <v>573</v>
      </c>
      <c r="V14" s="88"/>
      <c r="W14" s="114"/>
      <c r="X14" s="60">
        <v>0.50347222222222221</v>
      </c>
      <c r="Y14" s="60">
        <v>0.50347222222222221</v>
      </c>
      <c r="Z14" s="60">
        <v>0.50694444444444442</v>
      </c>
      <c r="AA14" s="60">
        <v>0.52083333333333337</v>
      </c>
      <c r="AB14" s="158">
        <f>IF(PA[[#This Row],[Acknowledgement Time ]]="NA","",(PA[[#This Row],[Acknowledgement Time ]]-PA[[#This Row],[Fault Time]])*24)</f>
        <v>0</v>
      </c>
      <c r="AC14" s="158">
        <f>IF(PA[[#This Row],[Work Start time on Fault]]="NA","",(PA[[#This Row],[Work Start time on Fault]]-PA[[#This Row],[Fault Time]])*24)</f>
        <v>8.3333333333333037E-2</v>
      </c>
      <c r="AD14" s="112">
        <f>IF(PA[[#This Row],[Status]]="Open","",(PA[[#This Row],[Work Completion time on fault]]-PA[[#This Row],[Fault Time]])*24)</f>
        <v>0.41666666666666785</v>
      </c>
      <c r="AE14" s="111">
        <f>IFERROR((PA[[#This Row],[Work Completion time on fault]]-PA[[#This Row],[Fault Time]])*24,"")</f>
        <v>0.41666666666666785</v>
      </c>
      <c r="AF14" s="228" t="s">
        <v>562</v>
      </c>
      <c r="AG14" s="6" t="s">
        <v>1275</v>
      </c>
      <c r="AH14" s="53">
        <f>IFERROR(PA[[#This Row],[Breakdown Time]]*PA[[#This Row],[Plant Equivalent Weightage]],"")</f>
        <v>1.9312734082397059E-2</v>
      </c>
      <c r="AI14" s="59">
        <v>0.24</v>
      </c>
      <c r="AJ14" s="89">
        <f>IFERROR(IF(PA[[#This Row],[Lost PoA(kWh/m2)]]&gt;0,_xlfn.XLOOKUP(G14,'Modelling New'!$D:$D,'Modelling New'!$O:$O)*PA[[#This Row],[Lost PoA(kWh/m2)]]*S14,0),"")</f>
        <v>43.833048794748059</v>
      </c>
    </row>
    <row r="15" spans="1:38" hidden="1" x14ac:dyDescent="0.25">
      <c r="A15" s="166">
        <f t="shared" si="1"/>
        <v>12</v>
      </c>
      <c r="B15" s="162">
        <v>45759</v>
      </c>
      <c r="C15" s="163">
        <v>2025</v>
      </c>
      <c r="D15" s="129">
        <f>YEAR(PA[[#This Row],[Date]])</f>
        <v>2025</v>
      </c>
      <c r="E15" s="164" t="s">
        <v>73</v>
      </c>
      <c r="F15" s="164" t="s">
        <v>73</v>
      </c>
      <c r="G15" s="96">
        <v>45748</v>
      </c>
      <c r="H15" s="130">
        <f>DAY(EOMONTH(PA[[#This Row],[Date]], 0))</f>
        <v>30</v>
      </c>
      <c r="I15" s="60">
        <f>_xlfn.XLOOKUP(PA[[#This Row],[Date]],RD[Date],RD[Sunrise Time (POA&gt;20 W/m2)],0)</f>
        <v>0.29166666666666702</v>
      </c>
      <c r="J15" s="60">
        <f>_xlfn.XLOOKUP(PA[[#This Row],[Financial Year]],RD[Finacial Year],RD[Sunset Time (POA&lt;20 W/m2)],0)</f>
        <v>0.79166666666666696</v>
      </c>
      <c r="K15" s="53">
        <f>IFERROR((PA[[#This Row],[Sunset Time (POA&lt;20 W/m2)]]-PA[[#This Row],[Sunrise Time (POA&gt;20 W/m2)]])*24,"")</f>
        <v>11.999999999999998</v>
      </c>
      <c r="L15" s="59" t="s">
        <v>559</v>
      </c>
      <c r="M15" s="59" t="s">
        <v>560</v>
      </c>
      <c r="N15" s="59"/>
      <c r="O15" s="59"/>
      <c r="P15" s="56"/>
      <c r="Q15" s="6"/>
      <c r="R15"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BLK2LT2</v>
      </c>
      <c r="S15" s="53">
        <v>267</v>
      </c>
      <c r="T15" s="90">
        <f>IFERROR(_xlfn.XLOOKUP(PA[[#This Row],[Affected Equipment ]],'Basic Data '!A:A,'Basic Data '!C:C),"")</f>
        <v>6.3666666666666663E-2</v>
      </c>
      <c r="U15" s="59" t="s">
        <v>573</v>
      </c>
      <c r="V15" s="88"/>
      <c r="W15" s="114" t="s">
        <v>561</v>
      </c>
      <c r="X15" s="60">
        <v>0.53125</v>
      </c>
      <c r="Y15" s="60">
        <v>0.53125</v>
      </c>
      <c r="Z15" s="60">
        <v>0.53472222222222221</v>
      </c>
      <c r="AA15" s="60">
        <v>0.55555555555555558</v>
      </c>
      <c r="AB15" s="158">
        <f>IF(PA[[#This Row],[Acknowledgement Time ]]="NA","",(PA[[#This Row],[Acknowledgement Time ]]-PA[[#This Row],[Fault Time]])*24)</f>
        <v>0</v>
      </c>
      <c r="AC15" s="158">
        <f>IF(PA[[#This Row],[Work Start time on Fault]]="NA","",(PA[[#This Row],[Work Start time on Fault]]-PA[[#This Row],[Fault Time]])*24)</f>
        <v>8.3333333333333037E-2</v>
      </c>
      <c r="AD15" s="112">
        <f>IF(PA[[#This Row],[Status]]="Open","",(PA[[#This Row],[Work Completion time on fault]]-PA[[#This Row],[Fault Time]])*24)</f>
        <v>0.58333333333333393</v>
      </c>
      <c r="AE15" s="111">
        <f>IFERROR((PA[[#This Row],[Work Completion time on fault]]-PA[[#This Row],[Fault Time]])*24,"")</f>
        <v>0.58333333333333393</v>
      </c>
      <c r="AF15" s="228" t="s">
        <v>562</v>
      </c>
      <c r="AG15" s="6" t="s">
        <v>1275</v>
      </c>
      <c r="AH15" s="53">
        <f>IFERROR(PA[[#This Row],[Breakdown Time]]*PA[[#This Row],[Plant Equivalent Weightage]],"")</f>
        <v>3.7138888888888923E-2</v>
      </c>
      <c r="AI15" s="59">
        <v>2.13</v>
      </c>
      <c r="AJ15" s="89">
        <f>IFERROR(IF(PA[[#This Row],[Lost PoA(kWh/m2)]]&gt;0,_xlfn.XLOOKUP(G15,'Modelling New'!$D:$D,'Modelling New'!$O:$O)*PA[[#This Row],[Lost PoA(kWh/m2)]]*S15,0),"")</f>
        <v>432.78286770939525</v>
      </c>
    </row>
    <row r="16" spans="1:38" hidden="1" x14ac:dyDescent="0.25">
      <c r="A16" s="166">
        <f t="shared" si="1"/>
        <v>13</v>
      </c>
      <c r="B16" s="162">
        <v>45759</v>
      </c>
      <c r="C16" s="163">
        <v>2025</v>
      </c>
      <c r="D16" s="129">
        <f>YEAR(PA[[#This Row],[Date]])</f>
        <v>2025</v>
      </c>
      <c r="E16" s="164" t="s">
        <v>73</v>
      </c>
      <c r="F16" s="164" t="s">
        <v>73</v>
      </c>
      <c r="G16" s="96">
        <v>45748</v>
      </c>
      <c r="H16" s="130">
        <f>DAY(EOMONTH(PA[[#This Row],[Date]], 0))</f>
        <v>30</v>
      </c>
      <c r="I16" s="60">
        <f>_xlfn.XLOOKUP(PA[[#This Row],[Date]],RD[Date],RD[Sunrise Time (POA&gt;20 W/m2)],0)</f>
        <v>0.29166666666666702</v>
      </c>
      <c r="J16" s="60">
        <f>_xlfn.XLOOKUP(PA[[#This Row],[Financial Year]],RD[Finacial Year],RD[Sunset Time (POA&lt;20 W/m2)],0)</f>
        <v>0.79166666666666696</v>
      </c>
      <c r="K16" s="53">
        <f>IFERROR((PA[[#This Row],[Sunset Time (POA&lt;20 W/m2)]]-PA[[#This Row],[Sunrise Time (POA&gt;20 W/m2)]])*24,"")</f>
        <v>11.999999999999998</v>
      </c>
      <c r="L16" s="59" t="s">
        <v>559</v>
      </c>
      <c r="M16" s="59" t="s">
        <v>560</v>
      </c>
      <c r="N16" s="59"/>
      <c r="O16" s="59"/>
      <c r="P16" s="56"/>
      <c r="Q16" s="6"/>
      <c r="R16"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BLK2LT2</v>
      </c>
      <c r="S16" s="53">
        <v>240</v>
      </c>
      <c r="T16" s="90">
        <f>IFERROR(_xlfn.XLOOKUP(PA[[#This Row],[Affected Equipment ]],'Basic Data '!A:A,'Basic Data '!C:C),"")</f>
        <v>6.3666666666666663E-2</v>
      </c>
      <c r="U16" s="59" t="s">
        <v>573</v>
      </c>
      <c r="V16" s="88"/>
      <c r="W16" s="114" t="s">
        <v>561</v>
      </c>
      <c r="X16" s="60">
        <v>0.48888888888888887</v>
      </c>
      <c r="Y16" s="60">
        <v>0.48888888888888887</v>
      </c>
      <c r="Z16" s="60">
        <v>0.49236111111111114</v>
      </c>
      <c r="AA16" s="60">
        <v>0.51388888888888884</v>
      </c>
      <c r="AB16" s="158">
        <f>IF(PA[[#This Row],[Acknowledgement Time ]]="NA","",(PA[[#This Row],[Acknowledgement Time ]]-PA[[#This Row],[Fault Time]])*24)</f>
        <v>0</v>
      </c>
      <c r="AC16" s="158">
        <f>IF(PA[[#This Row],[Work Start time on Fault]]="NA","",(PA[[#This Row],[Work Start time on Fault]]-PA[[#This Row],[Fault Time]])*24)</f>
        <v>8.333333333333437E-2</v>
      </c>
      <c r="AD16" s="112">
        <f>IF(PA[[#This Row],[Status]]="Open","",(PA[[#This Row],[Work Completion time on fault]]-PA[[#This Row],[Fault Time]])*24)</f>
        <v>0.5999999999999992</v>
      </c>
      <c r="AE16" s="111">
        <f>IFERROR((PA[[#This Row],[Work Completion time on fault]]-PA[[#This Row],[Fault Time]])*24,"")</f>
        <v>0.5999999999999992</v>
      </c>
      <c r="AF16" s="228" t="s">
        <v>562</v>
      </c>
      <c r="AG16" s="6" t="s">
        <v>1275</v>
      </c>
      <c r="AH16" s="53">
        <f>IFERROR(PA[[#This Row],[Breakdown Time]]*PA[[#This Row],[Plant Equivalent Weightage]],"")</f>
        <v>3.8199999999999949E-2</v>
      </c>
      <c r="AI16" s="59">
        <v>2.11</v>
      </c>
      <c r="AJ16" s="89">
        <f>IFERROR(IF(PA[[#This Row],[Lost PoA(kWh/m2)]]&gt;0,_xlfn.XLOOKUP(G16,'Modelling New'!$D:$D,'Modelling New'!$O:$O)*PA[[#This Row],[Lost PoA(kWh/m2)]]*S16,0),"")</f>
        <v>385.36555398715996</v>
      </c>
    </row>
    <row r="17" spans="1:36" hidden="1" x14ac:dyDescent="0.25">
      <c r="A17" s="166">
        <f t="shared" si="1"/>
        <v>14</v>
      </c>
      <c r="B17" s="162">
        <v>45760</v>
      </c>
      <c r="C17" s="163">
        <v>2025</v>
      </c>
      <c r="D17" s="6">
        <f>YEAR(PA[[#This Row],[Date]])</f>
        <v>2025</v>
      </c>
      <c r="E17" s="164" t="s">
        <v>73</v>
      </c>
      <c r="F17" s="164" t="s">
        <v>73</v>
      </c>
      <c r="G17" s="96">
        <v>45748</v>
      </c>
      <c r="H17" s="56">
        <f>DAY(EOMONTH(PA[[#This Row],[Date]], 0))</f>
        <v>30</v>
      </c>
      <c r="I17" s="60">
        <f>_xlfn.XLOOKUP(PA[[#This Row],[Date]],RD[Date],RD[Sunrise Time (POA&gt;20 W/m2)],0)</f>
        <v>0.29166666666666702</v>
      </c>
      <c r="J17" s="60">
        <f>_xlfn.XLOOKUP(PA[[#This Row],[Financial Year]],RD[Finacial Year],RD[Sunset Time (POA&lt;20 W/m2)],0)</f>
        <v>0.79166666666666696</v>
      </c>
      <c r="K17" s="53">
        <f>IFERROR((PA[[#This Row],[Sunset Time (POA&lt;20 W/m2)]]-PA[[#This Row],[Sunrise Time (POA&gt;20 W/m2)]])*24,"")</f>
        <v>11.999999999999998</v>
      </c>
      <c r="L17" s="59" t="s">
        <v>559</v>
      </c>
      <c r="M17" s="59" t="s">
        <v>560</v>
      </c>
      <c r="N17" s="59"/>
      <c r="O17" s="59"/>
      <c r="P17" s="56"/>
      <c r="Q17" s="6"/>
      <c r="R17"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BLK2LT2</v>
      </c>
      <c r="S17" s="53">
        <v>507</v>
      </c>
      <c r="T17" s="90">
        <f>IFERROR(_xlfn.XLOOKUP(PA[[#This Row],[Affected Equipment ]],'Basic Data '!A:A,'Basic Data '!C:C),"")</f>
        <v>6.3666666666666663E-2</v>
      </c>
      <c r="U17" s="59" t="s">
        <v>573</v>
      </c>
      <c r="V17" s="88"/>
      <c r="W17" s="114" t="s">
        <v>561</v>
      </c>
      <c r="X17" s="60">
        <v>0.45694444444444443</v>
      </c>
      <c r="Y17" s="60">
        <v>0.45694444444444443</v>
      </c>
      <c r="Z17" s="60">
        <v>0.46527777777777773</v>
      </c>
      <c r="AA17" s="60">
        <v>0.47222222222222227</v>
      </c>
      <c r="AB17" s="158">
        <f>IF(PA[[#This Row],[Acknowledgement Time ]]="NA","",(PA[[#This Row],[Acknowledgement Time ]]-PA[[#This Row],[Fault Time]])*24)</f>
        <v>0</v>
      </c>
      <c r="AC17" s="158">
        <f>IF(PA[[#This Row],[Work Start time on Fault]]="NA","",(PA[[#This Row],[Work Start time on Fault]]-PA[[#This Row],[Fault Time]])*24)</f>
        <v>0.19999999999999929</v>
      </c>
      <c r="AD17" s="112">
        <f>IF(PA[[#This Row],[Status]]="Open","",(PA[[#This Row],[Work Completion time on fault]]-PA[[#This Row],[Fault Time]])*24)</f>
        <v>0.36666666666666803</v>
      </c>
      <c r="AE17" s="111">
        <f>IFERROR((PA[[#This Row],[Work Completion time on fault]]-PA[[#This Row],[Fault Time]])*24,"")</f>
        <v>0.36666666666666803</v>
      </c>
      <c r="AF17" s="228" t="s">
        <v>562</v>
      </c>
      <c r="AG17" s="6" t="s">
        <v>1275</v>
      </c>
      <c r="AH17" s="53">
        <f>IFERROR(PA[[#This Row],[Breakdown Time]]*PA[[#This Row],[Plant Equivalent Weightage]],"")</f>
        <v>2.3344444444444529E-2</v>
      </c>
      <c r="AI17" s="59">
        <v>1.32</v>
      </c>
      <c r="AJ17" s="89">
        <f>IFERROR(IF(PA[[#This Row],[Lost PoA(kWh/m2)]]&gt;0,_xlfn.XLOOKUP(G17,'Modelling New'!$D:$D,'Modelling New'!$O:$O)*PA[[#This Row],[Lost PoA(kWh/m2)]]*S17,0),"")</f>
        <v>509.28523568397901</v>
      </c>
    </row>
    <row r="18" spans="1:36" hidden="1" x14ac:dyDescent="0.25">
      <c r="A18" s="166">
        <f t="shared" si="1"/>
        <v>15</v>
      </c>
      <c r="B18" s="162">
        <v>45761</v>
      </c>
      <c r="C18" s="163">
        <v>2025</v>
      </c>
      <c r="D18" s="6">
        <f>YEAR(PA[[#This Row],[Date]])</f>
        <v>2025</v>
      </c>
      <c r="E18" s="164" t="s">
        <v>73</v>
      </c>
      <c r="F18" s="164" t="s">
        <v>73</v>
      </c>
      <c r="G18" s="96">
        <v>45748</v>
      </c>
      <c r="H18" s="56">
        <f>DAY(EOMONTH(PA[[#This Row],[Date]], 0))</f>
        <v>30</v>
      </c>
      <c r="I18" s="120">
        <v>0.29166666666666669</v>
      </c>
      <c r="J18" s="120">
        <v>0.79166666666666663</v>
      </c>
      <c r="K18" s="131">
        <f>IFERROR((PA[[#This Row],[Sunset Time (POA&lt;20 W/m2)]]-PA[[#This Row],[Sunrise Time (POA&gt;20 W/m2)]])*24,"")</f>
        <v>11.999999999999998</v>
      </c>
      <c r="L18" s="128" t="s">
        <v>559</v>
      </c>
      <c r="M18" s="128" t="s">
        <v>560</v>
      </c>
      <c r="N18" s="128"/>
      <c r="O18" s="128"/>
      <c r="P18" s="130"/>
      <c r="Q18" s="129"/>
      <c r="R1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BLK2LT2</v>
      </c>
      <c r="S18" s="131">
        <v>507</v>
      </c>
      <c r="T18" s="90">
        <f>IFERROR(_xlfn.XLOOKUP(PA[[#This Row],[Affected Equipment ]],'Basic Data '!A:A,'Basic Data '!C:C),"")</f>
        <v>6.3666666666666663E-2</v>
      </c>
      <c r="U18" s="128" t="s">
        <v>573</v>
      </c>
      <c r="V18" s="117"/>
      <c r="W18" s="114" t="s">
        <v>561</v>
      </c>
      <c r="X18" s="120">
        <v>0.47916666666666669</v>
      </c>
      <c r="Y18" s="120">
        <v>0.47916666666666669</v>
      </c>
      <c r="Z18" s="120">
        <v>0.47916666666666669</v>
      </c>
      <c r="AA18" s="60">
        <v>0.58333333333333337</v>
      </c>
      <c r="AB18" s="158">
        <f>IF(PA[[#This Row],[Acknowledgement Time ]]="NA","",(PA[[#This Row],[Acknowledgement Time ]]-PA[[#This Row],[Fault Time]])*24)</f>
        <v>0</v>
      </c>
      <c r="AC18" s="158">
        <f>IF(PA[[#This Row],[Work Start time on Fault]]="NA","",(PA[[#This Row],[Work Start time on Fault]]-PA[[#This Row],[Fault Time]])*24)</f>
        <v>0</v>
      </c>
      <c r="AD18" s="112">
        <f>IF(PA[[#This Row],[Status]]="Open","",(PA[[#This Row],[Work Completion time on fault]]-PA[[#This Row],[Fault Time]])*24)</f>
        <v>2.5000000000000004</v>
      </c>
      <c r="AE18" s="111">
        <f>IFERROR((PA[[#This Row],[Work Completion time on fault]]-PA[[#This Row],[Fault Time]])*24,"")</f>
        <v>2.5000000000000004</v>
      </c>
      <c r="AF18" s="228" t="s">
        <v>562</v>
      </c>
      <c r="AG18" s="6" t="s">
        <v>1275</v>
      </c>
      <c r="AH18" s="131">
        <v>0</v>
      </c>
      <c r="AI18" s="128">
        <v>2.2999999999999998</v>
      </c>
      <c r="AJ18" s="89">
        <f>IFERROR(IF(PA[[#This Row],[Lost PoA(kWh/m2)]]&gt;0,_xlfn.XLOOKUP(G18,'Modelling New'!$D:$D,'Modelling New'!$O:$O)*PA[[#This Row],[Lost PoA(kWh/m2)]]*S18,0),"")</f>
        <v>887.39094096450867</v>
      </c>
    </row>
    <row r="19" spans="1:36" hidden="1" x14ac:dyDescent="0.25">
      <c r="A19" s="166">
        <f t="shared" si="1"/>
        <v>16</v>
      </c>
      <c r="B19" s="162">
        <v>45762</v>
      </c>
      <c r="C19" s="163">
        <v>2025</v>
      </c>
      <c r="D19" s="6">
        <f>YEAR(PA[[#This Row],[Date]])</f>
        <v>2025</v>
      </c>
      <c r="E19" s="164" t="s">
        <v>73</v>
      </c>
      <c r="F19" s="164" t="s">
        <v>73</v>
      </c>
      <c r="G19" s="96">
        <v>45748</v>
      </c>
      <c r="H19" s="56">
        <f>DAY(EOMONTH(PA[[#This Row],[Date]], 0))</f>
        <v>30</v>
      </c>
      <c r="I19" s="120">
        <v>0.29166666666666669</v>
      </c>
      <c r="J19" s="120">
        <v>0.79166666666666663</v>
      </c>
      <c r="K19" s="131">
        <f>IFERROR((PA[[#This Row],[Sunset Time (POA&lt;20 W/m2)]]-PA[[#This Row],[Sunrise Time (POA&gt;20 W/m2)]])*24,"")</f>
        <v>11.999999999999998</v>
      </c>
      <c r="L19" s="128" t="s">
        <v>559</v>
      </c>
      <c r="M19" s="128" t="s">
        <v>560</v>
      </c>
      <c r="N19" s="128"/>
      <c r="O19" s="128"/>
      <c r="P19" s="130"/>
      <c r="Q19" s="129"/>
      <c r="R1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BLK2LT2</v>
      </c>
      <c r="S19" s="131">
        <v>507</v>
      </c>
      <c r="T19" s="90">
        <f>IFERROR(_xlfn.XLOOKUP(PA[[#This Row],[Affected Equipment ]],'Basic Data '!A:A,'Basic Data '!C:C),"")</f>
        <v>6.3666666666666663E-2</v>
      </c>
      <c r="U19" s="128" t="s">
        <v>573</v>
      </c>
      <c r="V19" s="117"/>
      <c r="W19" s="114" t="s">
        <v>561</v>
      </c>
      <c r="X19" s="120">
        <v>0.45069444444444445</v>
      </c>
      <c r="Y19" s="120">
        <v>0.45069444444444445</v>
      </c>
      <c r="Z19" s="120">
        <v>0.45763888888888887</v>
      </c>
      <c r="AA19" s="60">
        <v>0.45833333333333331</v>
      </c>
      <c r="AB19" s="158">
        <v>5</v>
      </c>
      <c r="AC19" s="158">
        <f>IF(PA[[#This Row],[Work Start time on Fault]]="NA","",(PA[[#This Row],[Work Start time on Fault]]-PA[[#This Row],[Fault Time]])*24)</f>
        <v>0.16666666666666607</v>
      </c>
      <c r="AD19" s="112">
        <f>IF(PA[[#This Row],[Status]]="Open","",(PA[[#This Row],[Work Completion time on fault]]-PA[[#This Row],[Fault Time]])*24)</f>
        <v>0.18333333333333268</v>
      </c>
      <c r="AE19" s="111">
        <f>IFERROR((PA[[#This Row],[Work Completion time on fault]]-PA[[#This Row],[Fault Time]])*24,"")</f>
        <v>0.18333333333333268</v>
      </c>
      <c r="AF19" s="228" t="s">
        <v>562</v>
      </c>
      <c r="AG19" s="6" t="s">
        <v>1275</v>
      </c>
      <c r="AH19" s="131">
        <v>0</v>
      </c>
      <c r="AI19" s="128">
        <v>0.1</v>
      </c>
      <c r="AJ19" s="89">
        <f>IFERROR(IF(PA[[#This Row],[Lost PoA(kWh/m2)]]&gt;0,_xlfn.XLOOKUP(G19,'Modelling New'!$D:$D,'Modelling New'!$O:$O)*PA[[#This Row],[Lost PoA(kWh/m2)]]*S19,0),"")</f>
        <v>38.582214824543868</v>
      </c>
    </row>
    <row r="20" spans="1:36" ht="30" hidden="1" x14ac:dyDescent="0.25">
      <c r="A20" s="166">
        <f t="shared" si="1"/>
        <v>17</v>
      </c>
      <c r="B20" s="162">
        <v>45766</v>
      </c>
      <c r="C20" s="163">
        <v>2025</v>
      </c>
      <c r="D20" s="6">
        <f>YEAR(PA[[#This Row],[Date]])</f>
        <v>2025</v>
      </c>
      <c r="E20" s="164" t="s">
        <v>73</v>
      </c>
      <c r="F20" s="164" t="s">
        <v>73</v>
      </c>
      <c r="G20" s="96">
        <v>45748</v>
      </c>
      <c r="H20" s="56">
        <f>DAY(EOMONTH(PA[[#This Row],[Date]], 0))</f>
        <v>30</v>
      </c>
      <c r="I20" s="120">
        <v>0.29166666666666669</v>
      </c>
      <c r="J20" s="120">
        <v>0.79166666666666663</v>
      </c>
      <c r="K20" s="53">
        <f>IFERROR((PA[[#This Row],[Sunset Time (POA&lt;20 W/m2)]]-PA[[#This Row],[Sunrise Time (POA&gt;20 W/m2)]])*24,"")</f>
        <v>11.999999999999998</v>
      </c>
      <c r="L20" s="128" t="s">
        <v>559</v>
      </c>
      <c r="M20" s="128"/>
      <c r="N20" s="59"/>
      <c r="O20" s="59" t="s">
        <v>580</v>
      </c>
      <c r="P20" s="56"/>
      <c r="Q20" s="6"/>
      <c r="R20"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BLK2INV31</v>
      </c>
      <c r="S20" s="53">
        <v>267</v>
      </c>
      <c r="T20" s="90">
        <f>IFERROR(_xlfn.XLOOKUP(PA[[#This Row],[Affected Equipment ]],'Basic Data '!A:A,'Basic Data '!C:C),"")</f>
        <v>4.0000000000000001E-3</v>
      </c>
      <c r="U20" s="59" t="s">
        <v>566</v>
      </c>
      <c r="V20" s="88"/>
      <c r="W20" s="114" t="s">
        <v>576</v>
      </c>
      <c r="X20" s="60">
        <v>0.46527777777777773</v>
      </c>
      <c r="Y20" s="60">
        <v>0.46180555555555558</v>
      </c>
      <c r="Z20" s="60">
        <v>0.58333333333333337</v>
      </c>
      <c r="AA20" s="60">
        <v>0.58333333333333337</v>
      </c>
      <c r="AB20" s="158">
        <f>IF(PA[[#This Row],[Acknowledgement Time ]]="NA","",(PA[[#This Row],[Acknowledgement Time ]]-PA[[#This Row],[Fault Time]])*24)</f>
        <v>-8.3333333333331705E-2</v>
      </c>
      <c r="AC20" s="158">
        <f>IF(PA[[#This Row],[Work Start time on Fault]]="NA","",(PA[[#This Row],[Work Start time on Fault]]-PA[[#This Row],[Fault Time]])*24)</f>
        <v>2.8333333333333353</v>
      </c>
      <c r="AD20" s="112">
        <f>IF(PA[[#This Row],[Status]]="Open","",(PA[[#This Row],[Work Completion time on fault]]-PA[[#This Row],[Fault Time]])*24)</f>
        <v>2.8333333333333353</v>
      </c>
      <c r="AE20" s="111">
        <f>IFERROR((PA[[#This Row],[Work Completion time on fault]]-PA[[#This Row],[Fault Time]])*24,"")</f>
        <v>2.8333333333333353</v>
      </c>
      <c r="AF20" s="228" t="s">
        <v>577</v>
      </c>
      <c r="AG20" s="6" t="s">
        <v>1275</v>
      </c>
      <c r="AH20" s="131">
        <v>0</v>
      </c>
      <c r="AI20" s="128">
        <v>2.83</v>
      </c>
      <c r="AJ20" s="89">
        <f>IFERROR(IF(PA[[#This Row],[Lost PoA(kWh/m2)]]&gt;0,_xlfn.XLOOKUP(G20,'Modelling New'!$D:$D,'Modelling New'!$O:$O)*PA[[#This Row],[Lost PoA(kWh/m2)]]*S20,0),"")</f>
        <v>575.01197916318711</v>
      </c>
    </row>
    <row r="21" spans="1:36" ht="30" hidden="1" x14ac:dyDescent="0.25">
      <c r="A21" s="166">
        <f t="shared" si="1"/>
        <v>18</v>
      </c>
      <c r="B21" s="162">
        <v>45766</v>
      </c>
      <c r="C21" s="163">
        <v>2025</v>
      </c>
      <c r="D21" s="6">
        <f>YEAR(PA[[#This Row],[Date]])</f>
        <v>2025</v>
      </c>
      <c r="E21" s="164" t="s">
        <v>73</v>
      </c>
      <c r="F21" s="164" t="s">
        <v>73</v>
      </c>
      <c r="G21" s="96">
        <v>45748</v>
      </c>
      <c r="H21" s="56">
        <f>DAY(EOMONTH(PA[[#This Row],[Date]], 0))</f>
        <v>30</v>
      </c>
      <c r="I21" s="120">
        <v>0.29166666666666669</v>
      </c>
      <c r="J21" s="120">
        <v>0.79166666666666663</v>
      </c>
      <c r="K21" s="53">
        <f>IFERROR((PA[[#This Row],[Sunset Time (POA&lt;20 W/m2)]]-PA[[#This Row],[Sunrise Time (POA&gt;20 W/m2)]])*24,"")</f>
        <v>11.999999999999998</v>
      </c>
      <c r="L21" s="128" t="s">
        <v>559</v>
      </c>
      <c r="M21" s="128"/>
      <c r="N21" s="59"/>
      <c r="O21" s="59" t="s">
        <v>581</v>
      </c>
      <c r="P21" s="56"/>
      <c r="Q21" s="6"/>
      <c r="R21"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BLK2INV32</v>
      </c>
      <c r="S21" s="53">
        <v>240</v>
      </c>
      <c r="T21" s="90">
        <f>IFERROR(_xlfn.XLOOKUP(PA[[#This Row],[Affected Equipment ]],'Basic Data '!A:A,'Basic Data '!C:C),"")</f>
        <v>3.5842696629213482E-3</v>
      </c>
      <c r="U21" s="59" t="s">
        <v>566</v>
      </c>
      <c r="V21" s="88"/>
      <c r="W21" s="114" t="s">
        <v>576</v>
      </c>
      <c r="X21" s="60">
        <v>0.46527777777777773</v>
      </c>
      <c r="Y21" s="60">
        <v>0.46180555555555558</v>
      </c>
      <c r="Z21" s="60">
        <v>0.58333333333333337</v>
      </c>
      <c r="AA21" s="60">
        <v>0.58333333333333337</v>
      </c>
      <c r="AB21" s="158">
        <f>IF(PA[[#This Row],[Acknowledgement Time ]]="NA","",(PA[[#This Row],[Acknowledgement Time ]]-PA[[#This Row],[Fault Time]])*24)</f>
        <v>-8.3333333333331705E-2</v>
      </c>
      <c r="AC21" s="158">
        <f>IF(PA[[#This Row],[Work Start time on Fault]]="NA","",(PA[[#This Row],[Work Start time on Fault]]-PA[[#This Row],[Fault Time]])*24)</f>
        <v>2.8333333333333353</v>
      </c>
      <c r="AD21" s="112">
        <f>IF(PA[[#This Row],[Status]]="Open","",(PA[[#This Row],[Work Completion time on fault]]-PA[[#This Row],[Fault Time]])*24)</f>
        <v>2.8333333333333353</v>
      </c>
      <c r="AE21" s="111">
        <f>IFERROR((PA[[#This Row],[Work Completion time on fault]]-PA[[#This Row],[Fault Time]])*24,"")</f>
        <v>2.8333333333333353</v>
      </c>
      <c r="AF21" s="228" t="s">
        <v>577</v>
      </c>
      <c r="AG21" s="6" t="s">
        <v>1275</v>
      </c>
      <c r="AH21" s="131">
        <v>0</v>
      </c>
      <c r="AI21" s="128">
        <v>2.83</v>
      </c>
      <c r="AJ21" s="89">
        <f>IFERROR(IF(PA[[#This Row],[Lost PoA(kWh/m2)]]&gt;0,_xlfn.XLOOKUP(G21,'Modelling New'!$D:$D,'Modelling New'!$O:$O)*PA[[#This Row],[Lost PoA(kWh/m2)]]*S21,0),"")</f>
        <v>516.86470037140418</v>
      </c>
    </row>
    <row r="22" spans="1:36" ht="30" hidden="1" x14ac:dyDescent="0.25">
      <c r="A22" s="166">
        <f t="shared" si="1"/>
        <v>19</v>
      </c>
      <c r="B22" s="162">
        <v>45768</v>
      </c>
      <c r="C22" s="163">
        <v>2025</v>
      </c>
      <c r="D22" s="6">
        <f>YEAR(PA[[#This Row],[Date]])</f>
        <v>2025</v>
      </c>
      <c r="E22" s="164" t="s">
        <v>73</v>
      </c>
      <c r="F22" s="164" t="s">
        <v>73</v>
      </c>
      <c r="G22" s="96">
        <v>45748</v>
      </c>
      <c r="H22" s="56">
        <f>DAY(EOMONTH(PA[[#This Row],[Date]], 0))</f>
        <v>30</v>
      </c>
      <c r="I22" s="120">
        <v>0.29166666666666669</v>
      </c>
      <c r="J22" s="120">
        <v>0.79166666666666663</v>
      </c>
      <c r="K22" s="53">
        <f>IFERROR((PA[[#This Row],[Sunset Time (POA&lt;20 W/m2)]]-PA[[#This Row],[Sunrise Time (POA&gt;20 W/m2)]])*24,"")</f>
        <v>11.999999999999998</v>
      </c>
      <c r="L22" s="128" t="s">
        <v>559</v>
      </c>
      <c r="M22" s="128"/>
      <c r="N22" s="59"/>
      <c r="O22" s="59" t="s">
        <v>580</v>
      </c>
      <c r="P22" s="56"/>
      <c r="Q22" s="6"/>
      <c r="R22"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BLK2INV31</v>
      </c>
      <c r="S22" s="53">
        <v>267</v>
      </c>
      <c r="T22" s="90">
        <f>IFERROR(_xlfn.XLOOKUP(PA[[#This Row],[Affected Equipment ]],'Basic Data '!A:A,'Basic Data '!C:C),"")</f>
        <v>4.0000000000000001E-3</v>
      </c>
      <c r="U22" s="59" t="s">
        <v>566</v>
      </c>
      <c r="V22" s="88"/>
      <c r="W22" s="114" t="s">
        <v>576</v>
      </c>
      <c r="X22" s="60">
        <v>0.46527777777777773</v>
      </c>
      <c r="Y22" s="60">
        <v>0.46180555555555558</v>
      </c>
      <c r="Z22" s="60">
        <v>0.58333333333333337</v>
      </c>
      <c r="AA22" s="60">
        <v>0.58333333333333337</v>
      </c>
      <c r="AB22" s="158">
        <f>IF(PA[[#This Row],[Acknowledgement Time ]]="NA","",(PA[[#This Row],[Acknowledgement Time ]]-PA[[#This Row],[Fault Time]])*24)</f>
        <v>-8.3333333333331705E-2</v>
      </c>
      <c r="AC22" s="158">
        <f>IF(PA[[#This Row],[Work Start time on Fault]]="NA","",(PA[[#This Row],[Work Start time on Fault]]-PA[[#This Row],[Fault Time]])*24)</f>
        <v>2.8333333333333353</v>
      </c>
      <c r="AD22" s="112">
        <f>IF(PA[[#This Row],[Status]]="Open","",(PA[[#This Row],[Work Completion time on fault]]-PA[[#This Row],[Fault Time]])*24)</f>
        <v>2.8333333333333353</v>
      </c>
      <c r="AE22" s="111">
        <f>IFERROR((PA[[#This Row],[Work Completion time on fault]]-PA[[#This Row],[Fault Time]])*24,"")</f>
        <v>2.8333333333333353</v>
      </c>
      <c r="AF22" s="228" t="s">
        <v>577</v>
      </c>
      <c r="AG22" s="6" t="s">
        <v>1275</v>
      </c>
      <c r="AH22" s="131">
        <v>0</v>
      </c>
      <c r="AI22" s="128">
        <v>2.95</v>
      </c>
      <c r="AJ22" s="89">
        <f>IFERROR(IF(PA[[#This Row],[Lost PoA(kWh/m2)]]&gt;0,_xlfn.XLOOKUP(G22,'Modelling New'!$D:$D,'Modelling New'!$O:$O)*PA[[#This Row],[Lost PoA(kWh/m2)]]*S22,0),"")</f>
        <v>599.39411255526579</v>
      </c>
    </row>
    <row r="23" spans="1:36" ht="30" hidden="1" x14ac:dyDescent="0.25">
      <c r="A23" s="166">
        <f t="shared" si="1"/>
        <v>20</v>
      </c>
      <c r="B23" s="162">
        <v>45768</v>
      </c>
      <c r="C23" s="163">
        <v>2025</v>
      </c>
      <c r="D23" s="6">
        <f>YEAR(PA[[#This Row],[Date]])</f>
        <v>2025</v>
      </c>
      <c r="E23" s="164" t="s">
        <v>73</v>
      </c>
      <c r="F23" s="164" t="s">
        <v>73</v>
      </c>
      <c r="G23" s="96">
        <v>45748</v>
      </c>
      <c r="H23" s="56">
        <f>DAY(EOMONTH(PA[[#This Row],[Date]], 0))</f>
        <v>30</v>
      </c>
      <c r="I23" s="120">
        <v>0.29166666666666669</v>
      </c>
      <c r="J23" s="120">
        <v>0.79166666666666663</v>
      </c>
      <c r="K23" s="53">
        <f>IFERROR((PA[[#This Row],[Sunset Time (POA&lt;20 W/m2)]]-PA[[#This Row],[Sunrise Time (POA&gt;20 W/m2)]])*24,"")</f>
        <v>11.999999999999998</v>
      </c>
      <c r="L23" s="128" t="s">
        <v>559</v>
      </c>
      <c r="M23" s="128"/>
      <c r="N23" s="59"/>
      <c r="O23" s="59" t="s">
        <v>581</v>
      </c>
      <c r="P23" s="56"/>
      <c r="Q23" s="6"/>
      <c r="R23"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BLK2INV32</v>
      </c>
      <c r="S23" s="53">
        <v>240</v>
      </c>
      <c r="T23" s="90">
        <f>IFERROR(_xlfn.XLOOKUP(PA[[#This Row],[Affected Equipment ]],'Basic Data '!A:A,'Basic Data '!C:C),"")</f>
        <v>3.5842696629213482E-3</v>
      </c>
      <c r="U23" s="59" t="s">
        <v>566</v>
      </c>
      <c r="V23" s="88"/>
      <c r="W23" s="114" t="s">
        <v>576</v>
      </c>
      <c r="X23" s="60">
        <v>0.46527777777777773</v>
      </c>
      <c r="Y23" s="60">
        <v>0.46180555555555558</v>
      </c>
      <c r="Z23" s="60">
        <v>0.58333333333333337</v>
      </c>
      <c r="AA23" s="60">
        <v>0.58333333333333337</v>
      </c>
      <c r="AB23" s="158">
        <f>IF(PA[[#This Row],[Acknowledgement Time ]]="NA","",(PA[[#This Row],[Acknowledgement Time ]]-PA[[#This Row],[Fault Time]])*24)</f>
        <v>-8.3333333333331705E-2</v>
      </c>
      <c r="AC23" s="158">
        <f>IF(PA[[#This Row],[Work Start time on Fault]]="NA","",(PA[[#This Row],[Work Start time on Fault]]-PA[[#This Row],[Fault Time]])*24)</f>
        <v>2.8333333333333353</v>
      </c>
      <c r="AD23" s="112">
        <f>IF(PA[[#This Row],[Status]]="Open","",(PA[[#This Row],[Work Completion time on fault]]-PA[[#This Row],[Fault Time]])*24)</f>
        <v>2.8333333333333353</v>
      </c>
      <c r="AE23" s="111">
        <f>IFERROR((PA[[#This Row],[Work Completion time on fault]]-PA[[#This Row],[Fault Time]])*24,"")</f>
        <v>2.8333333333333353</v>
      </c>
      <c r="AF23" s="228" t="s">
        <v>577</v>
      </c>
      <c r="AG23" s="6" t="s">
        <v>1275</v>
      </c>
      <c r="AH23" s="131">
        <v>0</v>
      </c>
      <c r="AI23" s="128">
        <v>2.95</v>
      </c>
      <c r="AJ23" s="89">
        <f>IFERROR(IF(PA[[#This Row],[Lost PoA(kWh/m2)]]&gt;0,_xlfn.XLOOKUP(G23,'Modelling New'!$D:$D,'Modelling New'!$O:$O)*PA[[#This Row],[Lost PoA(kWh/m2)]]*S23,0),"")</f>
        <v>538.7812247687782</v>
      </c>
    </row>
    <row r="24" spans="1:36" hidden="1" x14ac:dyDescent="0.25">
      <c r="A24" s="229"/>
      <c r="B24" s="233"/>
      <c r="C24" s="128"/>
      <c r="D24" s="129"/>
      <c r="E24" s="129"/>
      <c r="F24" s="130"/>
      <c r="G24" s="129"/>
      <c r="H24" s="130"/>
      <c r="I24" s="129"/>
      <c r="J24" s="129"/>
      <c r="K24" s="131"/>
      <c r="L24" s="128"/>
      <c r="M24" s="128"/>
      <c r="N24" s="128"/>
      <c r="O24" s="128"/>
      <c r="P24" s="130"/>
      <c r="Q24" s="129"/>
      <c r="R2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
      </c>
      <c r="S24" s="131" t="e">
        <f>_xlfn.XLOOKUP(PA[[#This Row],[Affected Equipment ]],'Basic Data '!$A:$A,'Basic Data '!$B:$B)</f>
        <v>#N/A</v>
      </c>
      <c r="T24" s="90" t="str">
        <f>IFERROR(_xlfn.XLOOKUP(PA[[#This Row],[Affected Equipment ]],'Basic Data '!A:A,'Basic Data '!C:C),"")</f>
        <v/>
      </c>
      <c r="U24" s="128"/>
      <c r="V24" s="117"/>
      <c r="W24" s="118"/>
      <c r="X24" s="129"/>
      <c r="Y24" s="120"/>
      <c r="Z24" s="120"/>
      <c r="AA24" s="120"/>
      <c r="AB24" s="159">
        <f>IF(PA[[#This Row],[Acknowledgement Time ]]="NA","",(PA[[#This Row],[Acknowledgement Time ]]-PA[[#This Row],[Fault Time]])*24)</f>
        <v>0</v>
      </c>
      <c r="AC24" s="159">
        <f>IF(PA[[#This Row],[Work Start time on Fault]]="NA","",(PA[[#This Row],[Work Start time on Fault]]-PA[[#This Row],[Fault Time]])*24)</f>
        <v>0</v>
      </c>
      <c r="AD24" s="135">
        <f>IF(PA[[#This Row],[Status]]="Open","",(PA[[#This Row],[Work Completion time on fault]]-PA[[#This Row],[Fault Time]])*24)</f>
        <v>0</v>
      </c>
      <c r="AE24" s="134">
        <f>IFERROR((PA[[#This Row],[Work Completion time on fault]]-PA[[#This Row],[Fault Time]])*24,"")</f>
        <v>0</v>
      </c>
      <c r="AF24" s="226"/>
      <c r="AG24" s="6" t="s">
        <v>1275</v>
      </c>
      <c r="AH24" s="131" t="str">
        <f>IFERROR(PA[[#This Row],[Breakdown Time]]*PA[[#This Row],[Plant Equivalent Weightage]],"")</f>
        <v/>
      </c>
      <c r="AI24" s="128"/>
      <c r="AJ24" s="89">
        <f>IFERROR(IF(PA[[#This Row],[Lost PoA(kWh/m2)]]&gt;0,_xlfn.XLOOKUP(G24,'Modelling New'!$D:$D,'Modelling New'!$O:$O)*PA[[#This Row],[Lost PoA(kWh/m2)]]*S24,0),"")</f>
        <v>0</v>
      </c>
    </row>
    <row r="25" spans="1:36" ht="30" hidden="1" x14ac:dyDescent="0.25">
      <c r="A25" s="57">
        <v>1724</v>
      </c>
      <c r="B25" s="233">
        <v>45769</v>
      </c>
      <c r="C25" s="163">
        <v>2025</v>
      </c>
      <c r="D25" s="6">
        <f>YEAR(PA[[#This Row],[Date]])</f>
        <v>2025</v>
      </c>
      <c r="E25" s="164" t="s">
        <v>73</v>
      </c>
      <c r="F25" s="164" t="s">
        <v>73</v>
      </c>
      <c r="G25" s="96">
        <v>45748</v>
      </c>
      <c r="H25" s="56">
        <f>DAY(EOMONTH(PA[[#This Row],[Date]], 0))</f>
        <v>30</v>
      </c>
      <c r="I25" s="120">
        <v>0.29166666666666669</v>
      </c>
      <c r="J25" s="120">
        <v>0.79166666666666663</v>
      </c>
      <c r="K25" s="53">
        <f>IFERROR((PA[[#This Row],[Sunset Time (POA&lt;20 W/m2)]]-PA[[#This Row],[Sunrise Time (POA&gt;20 W/m2)]])*24,"")</f>
        <v>11.999999999999998</v>
      </c>
      <c r="L25" s="128" t="s">
        <v>559</v>
      </c>
      <c r="M25" s="128"/>
      <c r="N25" s="59"/>
      <c r="O25" s="59" t="s">
        <v>580</v>
      </c>
      <c r="P25" s="56"/>
      <c r="Q25" s="6"/>
      <c r="R25"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BLK2INV31</v>
      </c>
      <c r="S25" s="53">
        <v>267</v>
      </c>
      <c r="T25" s="90">
        <f>IFERROR(_xlfn.XLOOKUP(PA[[#This Row],[Affected Equipment ]],'Basic Data '!A:A,'Basic Data '!C:C),"")</f>
        <v>4.0000000000000001E-3</v>
      </c>
      <c r="U25" s="59" t="s">
        <v>566</v>
      </c>
      <c r="V25" s="88"/>
      <c r="W25" s="114" t="s">
        <v>576</v>
      </c>
      <c r="X25" s="60">
        <v>0.4548611111111111</v>
      </c>
      <c r="Y25" s="60">
        <v>0.4513888888888889</v>
      </c>
      <c r="Z25" s="60">
        <v>0.57986111111111105</v>
      </c>
      <c r="AA25" s="60">
        <v>0.57986111111111105</v>
      </c>
      <c r="AB25" s="158">
        <f>IF(PA[[#This Row],[Acknowledgement Time ]]="NA","",(PA[[#This Row],[Acknowledgement Time ]]-PA[[#This Row],[Fault Time]])*24)</f>
        <v>-8.3333333333333037E-2</v>
      </c>
      <c r="AC25" s="158">
        <f>IF(PA[[#This Row],[Work Start time on Fault]]="NA","",(PA[[#This Row],[Work Start time on Fault]]-PA[[#This Row],[Fault Time]])*24)</f>
        <v>2.9999999999999987</v>
      </c>
      <c r="AD25" s="112">
        <f>IF(PA[[#This Row],[Status]]="Open","",(PA[[#This Row],[Work Completion time on fault]]-PA[[#This Row],[Fault Time]])*24)</f>
        <v>2.9999999999999987</v>
      </c>
      <c r="AE25" s="111">
        <f>IFERROR((PA[[#This Row],[Work Completion time on fault]]-PA[[#This Row],[Fault Time]])*24,"")</f>
        <v>2.9999999999999987</v>
      </c>
      <c r="AF25" s="228" t="s">
        <v>577</v>
      </c>
      <c r="AG25" s="6" t="s">
        <v>1275</v>
      </c>
      <c r="AH25" s="131">
        <v>0</v>
      </c>
      <c r="AI25" s="59">
        <v>2.82</v>
      </c>
      <c r="AJ25" s="89">
        <f>IFERROR(IF(PA[[#This Row],[Lost PoA(kWh/m2)]]&gt;0,_xlfn.XLOOKUP(G25,'Modelling New'!$D:$D,'Modelling New'!$O:$O)*PA[[#This Row],[Lost PoA(kWh/m2)]]*S25,0),"")</f>
        <v>572.98013471384718</v>
      </c>
    </row>
    <row r="26" spans="1:36" ht="30" hidden="1" x14ac:dyDescent="0.25">
      <c r="A26" s="57">
        <v>1725</v>
      </c>
      <c r="B26" s="233">
        <v>45769</v>
      </c>
      <c r="C26" s="163">
        <v>2025</v>
      </c>
      <c r="D26" s="6">
        <f>YEAR(PA[[#This Row],[Date]])</f>
        <v>2025</v>
      </c>
      <c r="E26" s="164" t="s">
        <v>73</v>
      </c>
      <c r="F26" s="164" t="s">
        <v>73</v>
      </c>
      <c r="G26" s="96">
        <v>45748</v>
      </c>
      <c r="H26" s="56">
        <f>DAY(EOMONTH(PA[[#This Row],[Date]], 0))</f>
        <v>30</v>
      </c>
      <c r="I26" s="120">
        <v>0.29166666666666669</v>
      </c>
      <c r="J26" s="120">
        <v>0.79166666666666663</v>
      </c>
      <c r="K26" s="53">
        <f>IFERROR((PA[[#This Row],[Sunset Time (POA&lt;20 W/m2)]]-PA[[#This Row],[Sunrise Time (POA&gt;20 W/m2)]])*24,"")</f>
        <v>11.999999999999998</v>
      </c>
      <c r="L26" s="128" t="s">
        <v>559</v>
      </c>
      <c r="M26" s="128"/>
      <c r="N26" s="59"/>
      <c r="O26" s="59" t="s">
        <v>581</v>
      </c>
      <c r="P26" s="56"/>
      <c r="Q26" s="6"/>
      <c r="R26"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BLK2INV32</v>
      </c>
      <c r="S26" s="53">
        <v>240</v>
      </c>
      <c r="T26" s="90">
        <f>IFERROR(_xlfn.XLOOKUP(PA[[#This Row],[Affected Equipment ]],'Basic Data '!A:A,'Basic Data '!C:C),"")</f>
        <v>3.5842696629213482E-3</v>
      </c>
      <c r="U26" s="59" t="s">
        <v>566</v>
      </c>
      <c r="V26" s="88"/>
      <c r="W26" s="114" t="s">
        <v>576</v>
      </c>
      <c r="X26" s="60">
        <v>0.4548611111111111</v>
      </c>
      <c r="Y26" s="60">
        <v>0.4513888888888889</v>
      </c>
      <c r="Z26" s="60">
        <v>0.57986111111111105</v>
      </c>
      <c r="AA26" s="60">
        <v>0.57986111111111105</v>
      </c>
      <c r="AB26" s="158">
        <f>IF(PA[[#This Row],[Acknowledgement Time ]]="NA","",(PA[[#This Row],[Acknowledgement Time ]]-PA[[#This Row],[Fault Time]])*24)</f>
        <v>-8.3333333333333037E-2</v>
      </c>
      <c r="AC26" s="158">
        <f>IF(PA[[#This Row],[Work Start time on Fault]]="NA","",(PA[[#This Row],[Work Start time on Fault]]-PA[[#This Row],[Fault Time]])*24)</f>
        <v>2.9999999999999987</v>
      </c>
      <c r="AD26" s="112">
        <f>IF(PA[[#This Row],[Status]]="Open","",(PA[[#This Row],[Work Completion time on fault]]-PA[[#This Row],[Fault Time]])*24)</f>
        <v>2.9999999999999987</v>
      </c>
      <c r="AE26" s="111">
        <f>IFERROR((PA[[#This Row],[Work Completion time on fault]]-PA[[#This Row],[Fault Time]])*24,"")</f>
        <v>2.9999999999999987</v>
      </c>
      <c r="AF26" s="228" t="s">
        <v>577</v>
      </c>
      <c r="AG26" s="6" t="s">
        <v>1275</v>
      </c>
      <c r="AH26" s="131">
        <v>0</v>
      </c>
      <c r="AI26" s="59">
        <v>2.82</v>
      </c>
      <c r="AJ26" s="89">
        <f>IFERROR(IF(PA[[#This Row],[Lost PoA(kWh/m2)]]&gt;0,_xlfn.XLOOKUP(G26,'Modelling New'!$D:$D,'Modelling New'!$O:$O)*PA[[#This Row],[Lost PoA(kWh/m2)]]*S26,0),"")</f>
        <v>515.03832333828962</v>
      </c>
    </row>
    <row r="27" spans="1:36" ht="30" hidden="1" x14ac:dyDescent="0.25">
      <c r="A27" s="57">
        <v>1726</v>
      </c>
      <c r="B27" s="58">
        <v>45770</v>
      </c>
      <c r="C27" s="163">
        <v>2025</v>
      </c>
      <c r="D27" s="6">
        <f>YEAR(PA[[#This Row],[Date]])</f>
        <v>2025</v>
      </c>
      <c r="E27" s="164" t="s">
        <v>73</v>
      </c>
      <c r="F27" s="164" t="s">
        <v>73</v>
      </c>
      <c r="G27" s="96">
        <v>45748</v>
      </c>
      <c r="H27" s="56">
        <f>DAY(EOMONTH(PA[[#This Row],[Date]], 0))</f>
        <v>30</v>
      </c>
      <c r="I27" s="120">
        <v>0.29166666666666669</v>
      </c>
      <c r="J27" s="120">
        <v>0.79166666666666663</v>
      </c>
      <c r="K27" s="53">
        <f>IFERROR((PA[[#This Row],[Sunset Time (POA&lt;20 W/m2)]]-PA[[#This Row],[Sunrise Time (POA&gt;20 W/m2)]])*24,"")</f>
        <v>11.999999999999998</v>
      </c>
      <c r="L27" s="59" t="s">
        <v>559</v>
      </c>
      <c r="M27" s="59"/>
      <c r="N27" s="59"/>
      <c r="O27" s="59" t="s">
        <v>580</v>
      </c>
      <c r="P27" s="56"/>
      <c r="Q27" s="6"/>
      <c r="R27"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BLK2INV31</v>
      </c>
      <c r="S27" s="53">
        <v>267</v>
      </c>
      <c r="T27" s="90">
        <f>IFERROR(_xlfn.XLOOKUP(PA[[#This Row],[Affected Equipment ]],'Basic Data '!A:A,'Basic Data '!C:C),"")</f>
        <v>4.0000000000000001E-3</v>
      </c>
      <c r="U27" s="59" t="s">
        <v>566</v>
      </c>
      <c r="V27" s="88"/>
      <c r="W27" s="114" t="s">
        <v>576</v>
      </c>
      <c r="X27" s="60">
        <v>0.4465277777777778</v>
      </c>
      <c r="Y27" s="60">
        <v>0.4465277777777778</v>
      </c>
      <c r="Z27" s="60">
        <v>0.58333333333333337</v>
      </c>
      <c r="AA27" s="60">
        <v>0.58333333333333337</v>
      </c>
      <c r="AB27" s="158">
        <f>IF(PA[[#This Row],[Acknowledgement Time ]]="NA","",(PA[[#This Row],[Acknowledgement Time ]]-PA[[#This Row],[Fault Time]])*24)</f>
        <v>0</v>
      </c>
      <c r="AC27" s="158">
        <f>IF(PA[[#This Row],[Work Start time on Fault]]="NA","",(PA[[#This Row],[Work Start time on Fault]]-PA[[#This Row],[Fault Time]])*24)</f>
        <v>3.2833333333333337</v>
      </c>
      <c r="AD27" s="112">
        <f>IF(PA[[#This Row],[Status]]="Open","",(PA[[#This Row],[Work Completion time on fault]]-PA[[#This Row],[Fault Time]])*24)</f>
        <v>3.2833333333333337</v>
      </c>
      <c r="AE27" s="111">
        <f>IFERROR((PA[[#This Row],[Work Completion time on fault]]-PA[[#This Row],[Fault Time]])*24,"")</f>
        <v>3.2833333333333337</v>
      </c>
      <c r="AF27" s="228" t="s">
        <v>577</v>
      </c>
      <c r="AG27" s="6" t="s">
        <v>1275</v>
      </c>
      <c r="AH27" s="131">
        <v>0</v>
      </c>
      <c r="AI27" s="59">
        <v>2.89</v>
      </c>
      <c r="AJ27" s="89">
        <f>IFERROR(IF(PA[[#This Row],[Lost PoA(kWh/m2)]]&gt;0,_xlfn.XLOOKUP(G27,'Modelling New'!$D:$D,'Modelling New'!$O:$O)*PA[[#This Row],[Lost PoA(kWh/m2)]]*S27,0),"")</f>
        <v>587.20304585922645</v>
      </c>
    </row>
    <row r="28" spans="1:36" ht="30" hidden="1" x14ac:dyDescent="0.25">
      <c r="A28" s="57">
        <v>1727</v>
      </c>
      <c r="B28" s="58">
        <v>45770</v>
      </c>
      <c r="C28" s="163">
        <v>2025</v>
      </c>
      <c r="D28" s="6">
        <f>YEAR(PA[[#This Row],[Date]])</f>
        <v>2025</v>
      </c>
      <c r="E28" s="164" t="s">
        <v>73</v>
      </c>
      <c r="F28" s="164" t="s">
        <v>73</v>
      </c>
      <c r="G28" s="96">
        <v>45748</v>
      </c>
      <c r="H28" s="56">
        <f>DAY(EOMONTH(PA[[#This Row],[Date]], 0))</f>
        <v>30</v>
      </c>
      <c r="I28" s="120">
        <v>0.29166666666666669</v>
      </c>
      <c r="J28" s="120">
        <v>0.79166666666666663</v>
      </c>
      <c r="K28" s="53">
        <f>IFERROR((PA[[#This Row],[Sunset Time (POA&lt;20 W/m2)]]-PA[[#This Row],[Sunrise Time (POA&gt;20 W/m2)]])*24,"")</f>
        <v>11.999999999999998</v>
      </c>
      <c r="L28" s="59" t="s">
        <v>559</v>
      </c>
      <c r="M28" s="59"/>
      <c r="N28" s="59"/>
      <c r="O28" s="59" t="s">
        <v>581</v>
      </c>
      <c r="P28" s="56"/>
      <c r="Q28" s="6"/>
      <c r="R28"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BLK2INV32</v>
      </c>
      <c r="S28" s="53">
        <v>240</v>
      </c>
      <c r="T28" s="90">
        <f>IFERROR(_xlfn.XLOOKUP(PA[[#This Row],[Affected Equipment ]],'Basic Data '!A:A,'Basic Data '!C:C),"")</f>
        <v>3.5842696629213482E-3</v>
      </c>
      <c r="U28" s="59" t="s">
        <v>566</v>
      </c>
      <c r="V28" s="88"/>
      <c r="W28" s="114" t="s">
        <v>576</v>
      </c>
      <c r="X28" s="60">
        <v>0.4465277777777778</v>
      </c>
      <c r="Y28" s="60">
        <v>0.4465277777777778</v>
      </c>
      <c r="Z28" s="60">
        <v>0.58333333333333337</v>
      </c>
      <c r="AA28" s="60">
        <v>0.58333333333333337</v>
      </c>
      <c r="AB28" s="158">
        <f>IF(PA[[#This Row],[Acknowledgement Time ]]="NA","",(PA[[#This Row],[Acknowledgement Time ]]-PA[[#This Row],[Fault Time]])*24)</f>
        <v>0</v>
      </c>
      <c r="AC28" s="158">
        <f>IF(PA[[#This Row],[Work Start time on Fault]]="NA","",(PA[[#This Row],[Work Start time on Fault]]-PA[[#This Row],[Fault Time]])*24)</f>
        <v>3.2833333333333337</v>
      </c>
      <c r="AD28" s="112">
        <f>IF(PA[[#This Row],[Status]]="Open","",(PA[[#This Row],[Work Completion time on fault]]-PA[[#This Row],[Fault Time]])*24)</f>
        <v>3.2833333333333337</v>
      </c>
      <c r="AE28" s="111">
        <f>IFERROR((PA[[#This Row],[Work Completion time on fault]]-PA[[#This Row],[Fault Time]])*24,"")</f>
        <v>3.2833333333333337</v>
      </c>
      <c r="AF28" s="228" t="s">
        <v>577</v>
      </c>
      <c r="AG28" s="6" t="s">
        <v>1275</v>
      </c>
      <c r="AH28" s="131">
        <v>0</v>
      </c>
      <c r="AI28" s="59">
        <v>2.89</v>
      </c>
      <c r="AJ28" s="89">
        <f>IFERROR(IF(PA[[#This Row],[Lost PoA(kWh/m2)]]&gt;0,_xlfn.XLOOKUP(G28,'Modelling New'!$D:$D,'Modelling New'!$O:$O)*PA[[#This Row],[Lost PoA(kWh/m2)]]*S28,0),"")</f>
        <v>527.82296257009114</v>
      </c>
    </row>
    <row r="29" spans="1:36" ht="45" hidden="1" x14ac:dyDescent="0.25">
      <c r="A29" s="57">
        <v>1728</v>
      </c>
      <c r="B29" s="58">
        <v>45771</v>
      </c>
      <c r="C29" s="163">
        <v>2025</v>
      </c>
      <c r="D29" s="6">
        <f>YEAR(PA[[#This Row],[Date]])</f>
        <v>2025</v>
      </c>
      <c r="E29" s="164" t="s">
        <v>73</v>
      </c>
      <c r="F29" s="164" t="s">
        <v>73</v>
      </c>
      <c r="G29" s="96">
        <v>45748</v>
      </c>
      <c r="H29" s="56">
        <f>DAY(EOMONTH(PA[[#This Row],[Date]], 0))</f>
        <v>30</v>
      </c>
      <c r="I29" s="120">
        <v>0.29166666666666669</v>
      </c>
      <c r="J29" s="120">
        <v>0.79166666666666663</v>
      </c>
      <c r="K29" s="53">
        <f>IFERROR((PA[[#This Row],[Sunset Time (POA&lt;20 W/m2)]]-PA[[#This Row],[Sunrise Time (POA&gt;20 W/m2)]])*24,"")</f>
        <v>11.999999999999998</v>
      </c>
      <c r="L29" s="59" t="s">
        <v>559</v>
      </c>
      <c r="M29" s="59"/>
      <c r="N29" s="59"/>
      <c r="O29" s="59" t="s">
        <v>580</v>
      </c>
      <c r="P29" s="56"/>
      <c r="Q29" s="6"/>
      <c r="R29"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BLK2INV31</v>
      </c>
      <c r="S29" s="53">
        <v>267</v>
      </c>
      <c r="T29" s="90">
        <f>IFERROR(_xlfn.XLOOKUP(PA[[#This Row],[Affected Equipment ]],'Basic Data '!A:A,'Basic Data '!C:C),"")</f>
        <v>4.0000000000000001E-3</v>
      </c>
      <c r="U29" s="59" t="s">
        <v>566</v>
      </c>
      <c r="V29" s="88"/>
      <c r="W29" s="114" t="s">
        <v>576</v>
      </c>
      <c r="X29" s="60">
        <v>0.46527777777777773</v>
      </c>
      <c r="Y29" s="60">
        <v>0.46527777777777773</v>
      </c>
      <c r="Z29" s="60">
        <v>0.59027777777777779</v>
      </c>
      <c r="AA29" s="60">
        <v>0.59027777777777779</v>
      </c>
      <c r="AB29" s="158">
        <f>IF(PA[[#This Row],[Acknowledgement Time ]]="NA","",(PA[[#This Row],[Acknowledgement Time ]]-PA[[#This Row],[Fault Time]])*24)</f>
        <v>0</v>
      </c>
      <c r="AC29" s="158">
        <f>IF(PA[[#This Row],[Work Start time on Fault]]="NA","",(PA[[#This Row],[Work Start time on Fault]]-PA[[#This Row],[Fault Time]])*24)</f>
        <v>3.0000000000000013</v>
      </c>
      <c r="AD29" s="112">
        <f>IF(PA[[#This Row],[Status]]="Open","",(PA[[#This Row],[Work Completion time on fault]]-PA[[#This Row],[Fault Time]])*24)</f>
        <v>3.0000000000000013</v>
      </c>
      <c r="AE29" s="111">
        <f>IFERROR((PA[[#This Row],[Work Completion time on fault]]-PA[[#This Row],[Fault Time]])*24,"")</f>
        <v>3.0000000000000013</v>
      </c>
      <c r="AF29" s="228" t="s">
        <v>582</v>
      </c>
      <c r="AG29" s="6" t="s">
        <v>1275</v>
      </c>
      <c r="AH29" s="131">
        <v>0</v>
      </c>
      <c r="AI29" s="59">
        <v>2.83</v>
      </c>
      <c r="AJ29" s="89">
        <f>IFERROR(IF(PA[[#This Row],[Lost PoA(kWh/m2)]]&gt;0,_xlfn.XLOOKUP(G29,'Modelling New'!$D:$D,'Modelling New'!$O:$O)*PA[[#This Row],[Lost PoA(kWh/m2)]]*S29,0),"")</f>
        <v>575.01197916318711</v>
      </c>
    </row>
    <row r="30" spans="1:36" ht="45" hidden="1" x14ac:dyDescent="0.25">
      <c r="A30" s="57">
        <v>1729</v>
      </c>
      <c r="B30" s="58">
        <v>45771</v>
      </c>
      <c r="C30" s="163">
        <v>2025</v>
      </c>
      <c r="D30" s="6">
        <f>YEAR(PA[[#This Row],[Date]])</f>
        <v>2025</v>
      </c>
      <c r="E30" s="164" t="s">
        <v>73</v>
      </c>
      <c r="F30" s="164" t="s">
        <v>73</v>
      </c>
      <c r="G30" s="96">
        <v>45748</v>
      </c>
      <c r="H30" s="56">
        <f>DAY(EOMONTH(PA[[#This Row],[Date]], 0))</f>
        <v>30</v>
      </c>
      <c r="I30" s="120">
        <v>0.29166666666666669</v>
      </c>
      <c r="J30" s="120">
        <v>0.79166666666666663</v>
      </c>
      <c r="K30" s="53">
        <f>IFERROR((PA[[#This Row],[Sunset Time (POA&lt;20 W/m2)]]-PA[[#This Row],[Sunrise Time (POA&gt;20 W/m2)]])*24,"")</f>
        <v>11.999999999999998</v>
      </c>
      <c r="L30" s="59" t="s">
        <v>559</v>
      </c>
      <c r="M30" s="59"/>
      <c r="N30" s="59"/>
      <c r="O30" s="59" t="s">
        <v>581</v>
      </c>
      <c r="P30" s="56"/>
      <c r="Q30" s="6"/>
      <c r="R30"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BLK2INV32</v>
      </c>
      <c r="S30" s="53">
        <v>240</v>
      </c>
      <c r="T30" s="90">
        <f>IFERROR(_xlfn.XLOOKUP(PA[[#This Row],[Affected Equipment ]],'Basic Data '!A:A,'Basic Data '!C:C),"")</f>
        <v>3.5842696629213482E-3</v>
      </c>
      <c r="U30" s="59" t="s">
        <v>566</v>
      </c>
      <c r="V30" s="88"/>
      <c r="W30" s="114" t="s">
        <v>576</v>
      </c>
      <c r="X30" s="60">
        <v>0.46527777777777773</v>
      </c>
      <c r="Y30" s="60">
        <v>0.46527777777777773</v>
      </c>
      <c r="Z30" s="60">
        <v>0.59027777777777779</v>
      </c>
      <c r="AA30" s="60">
        <v>0.59027777777777779</v>
      </c>
      <c r="AB30" s="158">
        <f>IF(PA[[#This Row],[Acknowledgement Time ]]="NA","",(PA[[#This Row],[Acknowledgement Time ]]-PA[[#This Row],[Fault Time]])*24)</f>
        <v>0</v>
      </c>
      <c r="AC30" s="158">
        <f>IF(PA[[#This Row],[Work Start time on Fault]]="NA","",(PA[[#This Row],[Work Start time on Fault]]-PA[[#This Row],[Fault Time]])*24)</f>
        <v>3.0000000000000013</v>
      </c>
      <c r="AD30" s="112">
        <f>IF(PA[[#This Row],[Status]]="Open","",(PA[[#This Row],[Work Completion time on fault]]-PA[[#This Row],[Fault Time]])*24)</f>
        <v>3.0000000000000013</v>
      </c>
      <c r="AE30" s="111">
        <f>IFERROR((PA[[#This Row],[Work Completion time on fault]]-PA[[#This Row],[Fault Time]])*24,"")</f>
        <v>3.0000000000000013</v>
      </c>
      <c r="AF30" s="228" t="s">
        <v>582</v>
      </c>
      <c r="AG30" s="6" t="s">
        <v>1275</v>
      </c>
      <c r="AH30" s="131">
        <v>0</v>
      </c>
      <c r="AI30" s="59">
        <v>2.83</v>
      </c>
      <c r="AJ30" s="89">
        <f>IFERROR(IF(PA[[#This Row],[Lost PoA(kWh/m2)]]&gt;0,_xlfn.XLOOKUP(G30,'Modelling New'!$D:$D,'Modelling New'!$O:$O)*PA[[#This Row],[Lost PoA(kWh/m2)]]*S30,0),"")</f>
        <v>516.86470037140418</v>
      </c>
    </row>
    <row r="31" spans="1:36" ht="45" hidden="1" x14ac:dyDescent="0.25">
      <c r="A31" s="57">
        <v>1730</v>
      </c>
      <c r="B31" s="58">
        <v>45771</v>
      </c>
      <c r="C31" s="163">
        <v>2025</v>
      </c>
      <c r="D31" s="6">
        <f>YEAR(PA[[#This Row],[Date]])</f>
        <v>2025</v>
      </c>
      <c r="E31" s="164" t="s">
        <v>73</v>
      </c>
      <c r="F31" s="164" t="s">
        <v>73</v>
      </c>
      <c r="G31" s="96">
        <v>45748</v>
      </c>
      <c r="H31" s="56">
        <f>DAY(EOMONTH(PA[[#This Row],[Date]], 0))</f>
        <v>30</v>
      </c>
      <c r="I31" s="120">
        <v>0.29166666666666669</v>
      </c>
      <c r="J31" s="120">
        <v>0.79166666666666663</v>
      </c>
      <c r="K31" s="53">
        <f>IFERROR((PA[[#This Row],[Sunset Time (POA&lt;20 W/m2)]]-PA[[#This Row],[Sunrise Time (POA&gt;20 W/m2)]])*24,"")</f>
        <v>11.999999999999998</v>
      </c>
      <c r="L31" s="59" t="s">
        <v>559</v>
      </c>
      <c r="M31" s="59"/>
      <c r="N31" s="59"/>
      <c r="O31" s="59" t="s">
        <v>583</v>
      </c>
      <c r="P31" s="56"/>
      <c r="Q31" s="6"/>
      <c r="R31"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BLK2INV30</v>
      </c>
      <c r="S31" s="53">
        <v>240</v>
      </c>
      <c r="T31" s="90">
        <f>IFERROR(_xlfn.XLOOKUP(PA[[#This Row],[Affected Equipment ]],'Basic Data '!A:A,'Basic Data '!C:C),"")</f>
        <v>4.0000000000000001E-3</v>
      </c>
      <c r="U31" s="59" t="s">
        <v>566</v>
      </c>
      <c r="V31" s="88"/>
      <c r="W31" s="114" t="s">
        <v>576</v>
      </c>
      <c r="X31" s="60">
        <v>0.47222222222222227</v>
      </c>
      <c r="Y31" s="60">
        <v>0.47222222222222227</v>
      </c>
      <c r="Z31" s="60">
        <v>0.59027777777777779</v>
      </c>
      <c r="AA31" s="60">
        <v>0.59027777777777779</v>
      </c>
      <c r="AB31" s="158">
        <f>IF(PA[[#This Row],[Acknowledgement Time ]]="NA","",(PA[[#This Row],[Acknowledgement Time ]]-PA[[#This Row],[Fault Time]])*24)</f>
        <v>0</v>
      </c>
      <c r="AC31" s="158">
        <f>IF(PA[[#This Row],[Work Start time on Fault]]="NA","",(PA[[#This Row],[Work Start time on Fault]]-PA[[#This Row],[Fault Time]])*24)</f>
        <v>2.8333333333333326</v>
      </c>
      <c r="AD31" s="112">
        <f>IF(PA[[#This Row],[Status]]="Open","",(PA[[#This Row],[Work Completion time on fault]]-PA[[#This Row],[Fault Time]])*24)</f>
        <v>2.8333333333333326</v>
      </c>
      <c r="AE31" s="111">
        <f>IFERROR((PA[[#This Row],[Work Completion time on fault]]-PA[[#This Row],[Fault Time]])*24,"")</f>
        <v>2.8333333333333326</v>
      </c>
      <c r="AF31" s="228" t="s">
        <v>582</v>
      </c>
      <c r="AG31" s="6" t="s">
        <v>1275</v>
      </c>
      <c r="AH31" s="131">
        <v>0</v>
      </c>
      <c r="AI31" s="59">
        <v>2.72</v>
      </c>
      <c r="AJ31" s="89">
        <f>IFERROR(IF(PA[[#This Row],[Lost PoA(kWh/m2)]]&gt;0,_xlfn.XLOOKUP(G31,'Modelling New'!$D:$D,'Modelling New'!$O:$O)*PA[[#This Row],[Lost PoA(kWh/m2)]]*S31,0),"")</f>
        <v>496.77455300714468</v>
      </c>
    </row>
    <row r="32" spans="1:36" ht="30" hidden="1" x14ac:dyDescent="0.25">
      <c r="A32" s="57">
        <v>1731</v>
      </c>
      <c r="B32" s="58">
        <v>45772</v>
      </c>
      <c r="C32" s="163"/>
      <c r="D32" s="6">
        <f>YEAR(PA[[#This Row],[Date]])</f>
        <v>2025</v>
      </c>
      <c r="E32" s="164" t="s">
        <v>73</v>
      </c>
      <c r="F32" s="164" t="s">
        <v>73</v>
      </c>
      <c r="G32" s="96">
        <v>45748</v>
      </c>
      <c r="H32" s="56">
        <f>DAY(EOMONTH(PA[[#This Row],[Date]], 0))</f>
        <v>30</v>
      </c>
      <c r="I32" s="120">
        <v>0.29166666666666669</v>
      </c>
      <c r="J32" s="120">
        <v>0.79166666666666663</v>
      </c>
      <c r="K32" s="53">
        <f>IFERROR((PA[[#This Row],[Sunset Time (POA&lt;20 W/m2)]]-PA[[#This Row],[Sunrise Time (POA&gt;20 W/m2)]])*24,"")</f>
        <v>11.999999999999998</v>
      </c>
      <c r="L32" s="59" t="s">
        <v>559</v>
      </c>
      <c r="M32" s="59"/>
      <c r="N32" s="59"/>
      <c r="O32" s="59" t="s">
        <v>581</v>
      </c>
      <c r="P32" s="56"/>
      <c r="Q32" s="6"/>
      <c r="R32"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BLK2INV32</v>
      </c>
      <c r="S32" s="53">
        <v>240</v>
      </c>
      <c r="T32" s="90">
        <f>IFERROR(_xlfn.XLOOKUP(PA[[#This Row],[Affected Equipment ]],'Basic Data '!A:A,'Basic Data '!C:C),"")</f>
        <v>3.5842696629213482E-3</v>
      </c>
      <c r="U32" s="59" t="s">
        <v>566</v>
      </c>
      <c r="V32" s="88"/>
      <c r="W32" s="114" t="s">
        <v>576</v>
      </c>
      <c r="X32" s="60">
        <v>0.45833333333333331</v>
      </c>
      <c r="Y32" s="60">
        <v>0.45833333333333331</v>
      </c>
      <c r="Z32" s="60">
        <v>0.55555555555555558</v>
      </c>
      <c r="AA32" s="60">
        <v>0.55555555555555558</v>
      </c>
      <c r="AB32" s="158">
        <f>IF(PA[[#This Row],[Acknowledgement Time ]]="NA","",(PA[[#This Row],[Acknowledgement Time ]]-PA[[#This Row],[Fault Time]])*24)</f>
        <v>0</v>
      </c>
      <c r="AC32" s="158">
        <f>IF(PA[[#This Row],[Work Start time on Fault]]="NA","",(PA[[#This Row],[Work Start time on Fault]]-PA[[#This Row],[Fault Time]])*24)</f>
        <v>2.3333333333333344</v>
      </c>
      <c r="AD32" s="112">
        <f>IF(PA[[#This Row],[Status]]="Open","",(PA[[#This Row],[Work Completion time on fault]]-PA[[#This Row],[Fault Time]])*24)</f>
        <v>2.3333333333333344</v>
      </c>
      <c r="AE32" s="111">
        <f>IFERROR((PA[[#This Row],[Work Completion time on fault]]-PA[[#This Row],[Fault Time]])*24,"")</f>
        <v>2.3333333333333344</v>
      </c>
      <c r="AF32" s="228" t="s">
        <v>584</v>
      </c>
      <c r="AG32" s="6" t="s">
        <v>1275</v>
      </c>
      <c r="AH32" s="131">
        <v>0</v>
      </c>
      <c r="AI32" s="59">
        <v>2.31</v>
      </c>
      <c r="AJ32" s="89">
        <f>IFERROR(IF(PA[[#This Row],[Lost PoA(kWh/m2)]]&gt;0,_xlfn.XLOOKUP(G32,'Modelling New'!$D:$D,'Modelling New'!$O:$O)*PA[[#This Row],[Lost PoA(kWh/m2)]]*S32,0),"")</f>
        <v>421.89309464945006</v>
      </c>
    </row>
    <row r="33" spans="1:36" ht="30" hidden="1" x14ac:dyDescent="0.25">
      <c r="A33" s="57">
        <v>1732</v>
      </c>
      <c r="B33" s="58">
        <v>45772</v>
      </c>
      <c r="C33" s="163"/>
      <c r="D33" s="6">
        <f>YEAR(PA[[#This Row],[Date]])</f>
        <v>2025</v>
      </c>
      <c r="E33" s="164" t="s">
        <v>73</v>
      </c>
      <c r="F33" s="164" t="s">
        <v>73</v>
      </c>
      <c r="G33" s="96">
        <v>45748</v>
      </c>
      <c r="H33" s="56">
        <f>DAY(EOMONTH(PA[[#This Row],[Date]], 0))</f>
        <v>30</v>
      </c>
      <c r="I33" s="120">
        <v>0.29166666666666669</v>
      </c>
      <c r="J33" s="120">
        <v>0.79166666666666663</v>
      </c>
      <c r="K33" s="53">
        <f>IFERROR((PA[[#This Row],[Sunset Time (POA&lt;20 W/m2)]]-PA[[#This Row],[Sunrise Time (POA&gt;20 W/m2)]])*24,"")</f>
        <v>11.999999999999998</v>
      </c>
      <c r="L33" s="59" t="s">
        <v>559</v>
      </c>
      <c r="M33" s="59"/>
      <c r="N33" s="59"/>
      <c r="O33" s="59" t="s">
        <v>580</v>
      </c>
      <c r="P33" s="56"/>
      <c r="Q33" s="6"/>
      <c r="R33"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BLK2INV31</v>
      </c>
      <c r="S33" s="53">
        <v>267</v>
      </c>
      <c r="T33" s="90">
        <f>IFERROR(_xlfn.XLOOKUP(PA[[#This Row],[Affected Equipment ]],'Basic Data '!A:A,'Basic Data '!C:C),"")</f>
        <v>4.0000000000000001E-3</v>
      </c>
      <c r="U33" s="59" t="s">
        <v>566</v>
      </c>
      <c r="V33" s="88"/>
      <c r="W33" s="114" t="s">
        <v>576</v>
      </c>
      <c r="X33" s="60">
        <v>0.45833333333333331</v>
      </c>
      <c r="Y33" s="60">
        <v>0.45833333333333331</v>
      </c>
      <c r="Z33" s="60">
        <v>0.55555555555555558</v>
      </c>
      <c r="AA33" s="60">
        <v>0.55555555555555558</v>
      </c>
      <c r="AB33" s="158">
        <f>IF(PA[[#This Row],[Acknowledgement Time ]]="NA","",(PA[[#This Row],[Acknowledgement Time ]]-PA[[#This Row],[Fault Time]])*24)</f>
        <v>0</v>
      </c>
      <c r="AC33" s="158">
        <f>IF(PA[[#This Row],[Work Start time on Fault]]="NA","",(PA[[#This Row],[Work Start time on Fault]]-PA[[#This Row],[Fault Time]])*24)</f>
        <v>2.3333333333333344</v>
      </c>
      <c r="AD33" s="112">
        <f>IF(PA[[#This Row],[Status]]="Open","",(PA[[#This Row],[Work Completion time on fault]]-PA[[#This Row],[Fault Time]])*24)</f>
        <v>2.3333333333333344</v>
      </c>
      <c r="AE33" s="111">
        <f>IFERROR((PA[[#This Row],[Work Completion time on fault]]-PA[[#This Row],[Fault Time]])*24,"")</f>
        <v>2.3333333333333344</v>
      </c>
      <c r="AF33" s="228" t="s">
        <v>584</v>
      </c>
      <c r="AG33" s="6" t="s">
        <v>1275</v>
      </c>
      <c r="AH33" s="131">
        <v>0</v>
      </c>
      <c r="AI33" s="59">
        <v>2.31</v>
      </c>
      <c r="AJ33" s="89">
        <f>IFERROR(IF(PA[[#This Row],[Lost PoA(kWh/m2)]]&gt;0,_xlfn.XLOOKUP(G33,'Modelling New'!$D:$D,'Modelling New'!$O:$O)*PA[[#This Row],[Lost PoA(kWh/m2)]]*S33,0),"")</f>
        <v>469.35606779751316</v>
      </c>
    </row>
    <row r="34" spans="1:36" hidden="1" x14ac:dyDescent="0.25">
      <c r="A34" s="57">
        <v>1733</v>
      </c>
      <c r="B34" s="58">
        <v>45772</v>
      </c>
      <c r="C34" s="163"/>
      <c r="D34" s="6">
        <f>YEAR(PA[[#This Row],[Date]])</f>
        <v>2025</v>
      </c>
      <c r="E34" s="164" t="s">
        <v>73</v>
      </c>
      <c r="F34" s="164" t="s">
        <v>73</v>
      </c>
      <c r="G34" s="96">
        <v>45748</v>
      </c>
      <c r="H34" s="56">
        <f>DAY(EOMONTH(PA[[#This Row],[Date]], 0))</f>
        <v>30</v>
      </c>
      <c r="I34" s="120">
        <v>0.29166666666666669</v>
      </c>
      <c r="J34" s="120">
        <v>0.79166666666666663</v>
      </c>
      <c r="K34" s="53">
        <f>IFERROR((PA[[#This Row],[Sunset Time (POA&lt;20 W/m2)]]-PA[[#This Row],[Sunrise Time (POA&gt;20 W/m2)]])*24,"")</f>
        <v>11.999999999999998</v>
      </c>
      <c r="L34" s="59" t="s">
        <v>559</v>
      </c>
      <c r="M34" s="59"/>
      <c r="N34" s="59"/>
      <c r="O34" s="59" t="s">
        <v>585</v>
      </c>
      <c r="P34" s="56"/>
      <c r="Q34" s="6"/>
      <c r="R34"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BLK2All_Inv</v>
      </c>
      <c r="S34" s="53">
        <v>4605</v>
      </c>
      <c r="T34" s="90" t="str">
        <f>IFERROR(_xlfn.XLOOKUP(PA[[#This Row],[Affected Equipment ]],'Basic Data '!A:A,'Basic Data '!C:C),"")</f>
        <v/>
      </c>
      <c r="U34" s="59" t="s">
        <v>566</v>
      </c>
      <c r="V34" s="88"/>
      <c r="W34" s="114" t="s">
        <v>586</v>
      </c>
      <c r="X34" s="60">
        <v>0.51250000000000007</v>
      </c>
      <c r="Y34" s="60">
        <v>0.51250000000000007</v>
      </c>
      <c r="Z34" s="60">
        <v>0.52222222222222225</v>
      </c>
      <c r="AA34" s="60">
        <v>0.52222222222222225</v>
      </c>
      <c r="AB34" s="158">
        <f>IF(PA[[#This Row],[Acknowledgement Time ]]="NA","",(PA[[#This Row],[Acknowledgement Time ]]-PA[[#This Row],[Fault Time]])*24)</f>
        <v>0</v>
      </c>
      <c r="AC34" s="158">
        <f>IF(PA[[#This Row],[Work Start time on Fault]]="NA","",(PA[[#This Row],[Work Start time on Fault]]-PA[[#This Row],[Fault Time]])*24)</f>
        <v>0.2333333333333325</v>
      </c>
      <c r="AD34" s="112">
        <f>IF(PA[[#This Row],[Status]]="Open","",(PA[[#This Row],[Work Completion time on fault]]-PA[[#This Row],[Fault Time]])*24)</f>
        <v>0.2333333333333325</v>
      </c>
      <c r="AE34" s="111">
        <f>IFERROR((PA[[#This Row],[Work Completion time on fault]]-PA[[#This Row],[Fault Time]])*24,"")</f>
        <v>0.2333333333333325</v>
      </c>
      <c r="AF34" s="114" t="s">
        <v>586</v>
      </c>
      <c r="AG34" s="6" t="s">
        <v>1275</v>
      </c>
      <c r="AH34" s="131">
        <v>0</v>
      </c>
      <c r="AI34" s="59">
        <v>0.25</v>
      </c>
      <c r="AJ34" s="89">
        <f>IFERROR(IF(PA[[#This Row],[Lost PoA(kWh/m2)]]&gt;0,_xlfn.XLOOKUP(G34,'Modelling New'!$D:$D,'Modelling New'!$O:$O)*PA[[#This Row],[Lost PoA(kWh/m2)]]*S34,0),"")</f>
        <v>876.09023307211282</v>
      </c>
    </row>
    <row r="35" spans="1:36" hidden="1" x14ac:dyDescent="0.25">
      <c r="A35" s="57">
        <v>1734</v>
      </c>
      <c r="B35" s="58">
        <v>45774</v>
      </c>
      <c r="C35" s="163"/>
      <c r="D35" s="6">
        <f>YEAR(PA[[#This Row],[Date]])</f>
        <v>2025</v>
      </c>
      <c r="E35" s="164" t="s">
        <v>73</v>
      </c>
      <c r="F35" s="164" t="s">
        <v>73</v>
      </c>
      <c r="G35" s="96">
        <v>45748</v>
      </c>
      <c r="H35" s="56">
        <f>DAY(EOMONTH(PA[[#This Row],[Date]], 0))</f>
        <v>30</v>
      </c>
      <c r="I35" s="120">
        <v>0.29166666666666669</v>
      </c>
      <c r="J35" s="120">
        <v>0.79166666666666663</v>
      </c>
      <c r="K35" s="53">
        <f>IFERROR((PA[[#This Row],[Sunset Time (POA&lt;20 W/m2)]]-PA[[#This Row],[Sunrise Time (POA&gt;20 W/m2)]])*24,"")</f>
        <v>11.999999999999998</v>
      </c>
      <c r="L35" s="59" t="s">
        <v>587</v>
      </c>
      <c r="M35" s="59"/>
      <c r="N35" s="59"/>
      <c r="O35" s="59" t="s">
        <v>585</v>
      </c>
      <c r="P35" s="56"/>
      <c r="Q35" s="6"/>
      <c r="R35"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BLK1All_Inv</v>
      </c>
      <c r="S35" s="53">
        <v>4381</v>
      </c>
      <c r="T35" s="90" t="str">
        <f>IFERROR(_xlfn.XLOOKUP(PA[[#This Row],[Affected Equipment ]],'Basic Data '!A:A,'Basic Data '!C:C),"")</f>
        <v/>
      </c>
      <c r="U35" s="59" t="s">
        <v>589</v>
      </c>
      <c r="V35" s="88"/>
      <c r="W35" s="114" t="s">
        <v>590</v>
      </c>
      <c r="X35" s="60">
        <v>0.47916666666666669</v>
      </c>
      <c r="Y35" s="60">
        <v>0.47916666666666669</v>
      </c>
      <c r="Z35" s="60">
        <v>0.48749999999999999</v>
      </c>
      <c r="AA35" s="60">
        <v>0.48749999999999999</v>
      </c>
      <c r="AB35" s="158">
        <f>IF(PA[[#This Row],[Acknowledgement Time ]]="NA","",(PA[[#This Row],[Acknowledgement Time ]]-PA[[#This Row],[Fault Time]])*24)</f>
        <v>0</v>
      </c>
      <c r="AC35" s="158">
        <f>IF(PA[[#This Row],[Work Start time on Fault]]="NA","",(PA[[#This Row],[Work Start time on Fault]]-PA[[#This Row],[Fault Time]])*24)</f>
        <v>0.19999999999999929</v>
      </c>
      <c r="AD35" s="112">
        <f>IF(PA[[#This Row],[Status]]="Open","",(PA[[#This Row],[Work Completion time on fault]]-PA[[#This Row],[Fault Time]])*24)</f>
        <v>0.19999999999999929</v>
      </c>
      <c r="AE35" s="111">
        <f>IFERROR((PA[[#This Row],[Work Completion time on fault]]-PA[[#This Row],[Fault Time]])*24,"")</f>
        <v>0.19999999999999929</v>
      </c>
      <c r="AF35" s="114" t="s">
        <v>590</v>
      </c>
      <c r="AG35" s="6" t="s">
        <v>1275</v>
      </c>
      <c r="AH35" s="131">
        <v>0</v>
      </c>
      <c r="AI35" s="59">
        <v>2.12</v>
      </c>
      <c r="AJ35" s="89">
        <f>IFERROR(IF(PA[[#This Row],[Lost PoA(kWh/m2)]]&gt;0,_xlfn.XLOOKUP(G35,'Modelling New'!$D:$D,'Modelling New'!$O:$O)*PA[[#This Row],[Lost PoA(kWh/m2)]]*S35,0),"")</f>
        <v>7067.866040832595</v>
      </c>
    </row>
    <row r="36" spans="1:36" hidden="1" x14ac:dyDescent="0.25">
      <c r="A36" s="57">
        <v>1735</v>
      </c>
      <c r="B36" s="58">
        <v>45774</v>
      </c>
      <c r="C36" s="163"/>
      <c r="D36" s="6">
        <f>YEAR(PA[[#This Row],[Date]])</f>
        <v>2025</v>
      </c>
      <c r="E36" s="164" t="s">
        <v>73</v>
      </c>
      <c r="F36" s="164" t="s">
        <v>73</v>
      </c>
      <c r="G36" s="96">
        <v>45748</v>
      </c>
      <c r="H36" s="56">
        <f>DAY(EOMONTH(PA[[#This Row],[Date]], 0))</f>
        <v>30</v>
      </c>
      <c r="I36" s="120">
        <v>0.29166666666666669</v>
      </c>
      <c r="J36" s="120">
        <v>0.79166666666666663</v>
      </c>
      <c r="K36" s="53">
        <f>IFERROR((PA[[#This Row],[Sunset Time (POA&lt;20 W/m2)]]-PA[[#This Row],[Sunrise Time (POA&gt;20 W/m2)]])*24,"")</f>
        <v>11.999999999999998</v>
      </c>
      <c r="L36" s="59" t="s">
        <v>559</v>
      </c>
      <c r="M36" s="59"/>
      <c r="N36" s="59"/>
      <c r="O36" s="59" t="s">
        <v>585</v>
      </c>
      <c r="P36" s="56"/>
      <c r="Q36" s="6"/>
      <c r="R36"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BLK2All_Inv</v>
      </c>
      <c r="S36" s="53">
        <v>4520</v>
      </c>
      <c r="T36" s="90" t="str">
        <f>IFERROR(_xlfn.XLOOKUP(PA[[#This Row],[Affected Equipment ]],'Basic Data '!A:A,'Basic Data '!C:C),"")</f>
        <v/>
      </c>
      <c r="U36" s="59" t="s">
        <v>589</v>
      </c>
      <c r="V36" s="88"/>
      <c r="W36" s="114" t="s">
        <v>590</v>
      </c>
      <c r="X36" s="60">
        <v>0.47916666666666669</v>
      </c>
      <c r="Y36" s="60">
        <v>0.47916666666666669</v>
      </c>
      <c r="Z36" s="60">
        <v>0.48749999999999999</v>
      </c>
      <c r="AA36" s="60">
        <v>0.48749999999999999</v>
      </c>
      <c r="AB36" s="158">
        <f>IF(PA[[#This Row],[Acknowledgement Time ]]="NA","",(PA[[#This Row],[Acknowledgement Time ]]-PA[[#This Row],[Fault Time]])*24)</f>
        <v>0</v>
      </c>
      <c r="AC36" s="158">
        <f>IF(PA[[#This Row],[Work Start time on Fault]]="NA","",(PA[[#This Row],[Work Start time on Fault]]-PA[[#This Row],[Fault Time]])*24)</f>
        <v>0.19999999999999929</v>
      </c>
      <c r="AD36" s="112">
        <f>IF(PA[[#This Row],[Status]]="Open","",(PA[[#This Row],[Work Completion time on fault]]-PA[[#This Row],[Fault Time]])*24)</f>
        <v>0.19999999999999929</v>
      </c>
      <c r="AE36" s="111">
        <f>IFERROR((PA[[#This Row],[Work Completion time on fault]]-PA[[#This Row],[Fault Time]])*24,"")</f>
        <v>0.19999999999999929</v>
      </c>
      <c r="AF36" s="114" t="s">
        <v>590</v>
      </c>
      <c r="AG36" s="6" t="s">
        <v>1275</v>
      </c>
      <c r="AH36" s="131">
        <v>0</v>
      </c>
      <c r="AI36" s="59">
        <v>2.12</v>
      </c>
      <c r="AJ36" s="89">
        <f>IFERROR(IF(PA[[#This Row],[Lost PoA(kWh/m2)]]&gt;0,_xlfn.XLOOKUP(G36,'Modelling New'!$D:$D,'Modelling New'!$O:$O)*PA[[#This Row],[Lost PoA(kWh/m2)]]*S36,0),"")</f>
        <v>7292.1147008818371</v>
      </c>
    </row>
    <row r="37" spans="1:36" hidden="1" x14ac:dyDescent="0.25">
      <c r="A37" s="57">
        <v>1735</v>
      </c>
      <c r="B37" s="233">
        <v>45775</v>
      </c>
      <c r="C37" s="128"/>
      <c r="D37" s="129">
        <f>YEAR(PA[[#This Row],[Date]])</f>
        <v>2025</v>
      </c>
      <c r="E37" s="164" t="s">
        <v>73</v>
      </c>
      <c r="F37" s="164" t="s">
        <v>73</v>
      </c>
      <c r="G37" s="96">
        <v>45748</v>
      </c>
      <c r="H37" s="130">
        <f>DAY(EOMONTH(PA[[#This Row],[Date]], 0))</f>
        <v>30</v>
      </c>
      <c r="I37" s="120">
        <v>0.29166666666666669</v>
      </c>
      <c r="J37" s="120">
        <v>0.79166666666666663</v>
      </c>
      <c r="K37" s="131">
        <f>IFERROR((PA[[#This Row],[Sunset Time (POA&lt;20 W/m2)]]-PA[[#This Row],[Sunrise Time (POA&gt;20 W/m2)]])*24,"")</f>
        <v>11.999999999999998</v>
      </c>
      <c r="L37" s="128" t="s">
        <v>579</v>
      </c>
      <c r="M37" s="128"/>
      <c r="N37" s="128"/>
      <c r="O37" s="128" t="s">
        <v>591</v>
      </c>
      <c r="P37" s="130"/>
      <c r="Q37" s="129"/>
      <c r="R3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BLK8INV5</v>
      </c>
      <c r="S37" s="131">
        <v>22.25</v>
      </c>
      <c r="T37" s="132">
        <f>IFERROR(_xlfn.XLOOKUP(PA[[#This Row],[Affected Equipment ]],'Basic Data '!A:A,'Basic Data '!C:C),"")</f>
        <v>4.4999999999999997E-3</v>
      </c>
      <c r="U37" s="128" t="s">
        <v>592</v>
      </c>
      <c r="V37" s="117"/>
      <c r="W37" s="114" t="s">
        <v>593</v>
      </c>
      <c r="X37" s="120">
        <v>0.375</v>
      </c>
      <c r="Y37" s="120">
        <v>0.375</v>
      </c>
      <c r="Z37" s="120">
        <v>0.375</v>
      </c>
      <c r="AA37" s="120">
        <v>0.39583333333333331</v>
      </c>
      <c r="AB37" s="159">
        <f>IF(PA[[#This Row],[Acknowledgement Time ]]="NA","",(PA[[#This Row],[Acknowledgement Time ]]-PA[[#This Row],[Fault Time]])*24)</f>
        <v>0</v>
      </c>
      <c r="AC37" s="159">
        <f>IF(PA[[#This Row],[Work Start time on Fault]]="NA","",(PA[[#This Row],[Work Start time on Fault]]-PA[[#This Row],[Fault Time]])*24)</f>
        <v>0</v>
      </c>
      <c r="AD37" s="135">
        <f>IF(PA[[#This Row],[Status]]="Open","",(PA[[#This Row],[Work Completion time on fault]]-PA[[#This Row],[Fault Time]])*24)</f>
        <v>0.49999999999999956</v>
      </c>
      <c r="AE37" s="134">
        <f>IFERROR((PA[[#This Row],[Work Completion time on fault]]-PA[[#This Row],[Fault Time]])*24,"")</f>
        <v>0.49999999999999956</v>
      </c>
      <c r="AF37" s="114" t="s">
        <v>593</v>
      </c>
      <c r="AG37" s="6" t="s">
        <v>1275</v>
      </c>
      <c r="AH37" s="131">
        <v>0</v>
      </c>
      <c r="AI37" s="128">
        <v>0.55500000000000005</v>
      </c>
      <c r="AJ37" s="89">
        <f>IFERROR(IF(PA[[#This Row],[Lost PoA(kWh/m2)]]&gt;0,_xlfn.XLOOKUP(G37,'Modelling New'!$D:$D,'Modelling New'!$O:$O)*PA[[#This Row],[Lost PoA(kWh/m2)]]*S37,0),"")</f>
        <v>9.3972805781969644</v>
      </c>
    </row>
    <row r="38" spans="1:36" hidden="1" x14ac:dyDescent="0.25">
      <c r="A38" s="57">
        <v>1736</v>
      </c>
      <c r="B38" s="233">
        <v>45775</v>
      </c>
      <c r="C38" s="59"/>
      <c r="D38" s="6">
        <f>YEAR(PA[[#This Row],[Date]])</f>
        <v>2025</v>
      </c>
      <c r="E38" s="164" t="s">
        <v>73</v>
      </c>
      <c r="F38" s="164" t="s">
        <v>73</v>
      </c>
      <c r="G38" s="96">
        <v>45748</v>
      </c>
      <c r="H38" s="56">
        <f>DAY(EOMONTH(PA[[#This Row],[Date]], 0))</f>
        <v>30</v>
      </c>
      <c r="I38" s="120">
        <v>0.29166666666666669</v>
      </c>
      <c r="J38" s="120">
        <v>0.79166666666666663</v>
      </c>
      <c r="K38" s="53">
        <f>IFERROR((PA[[#This Row],[Sunset Time (POA&lt;20 W/m2)]]-PA[[#This Row],[Sunrise Time (POA&gt;20 W/m2)]])*24,"")</f>
        <v>11.999999999999998</v>
      </c>
      <c r="L38" s="128" t="s">
        <v>579</v>
      </c>
      <c r="M38" s="128"/>
      <c r="N38" s="59"/>
      <c r="O38" s="59" t="s">
        <v>594</v>
      </c>
      <c r="P38" s="56"/>
      <c r="Q38" s="6"/>
      <c r="R38"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BLK8INV10</v>
      </c>
      <c r="S38" s="53">
        <v>9.9</v>
      </c>
      <c r="T38" s="90">
        <f>IFERROR(_xlfn.XLOOKUP(PA[[#This Row],[Affected Equipment ]],'Basic Data '!A:A,'Basic Data '!C:C),"")</f>
        <v>4.4999999999999997E-3</v>
      </c>
      <c r="U38" s="128" t="s">
        <v>592</v>
      </c>
      <c r="V38" s="88"/>
      <c r="W38" s="114" t="s">
        <v>593</v>
      </c>
      <c r="X38" s="120">
        <v>0.375</v>
      </c>
      <c r="Y38" s="120">
        <v>0.375</v>
      </c>
      <c r="Z38" s="60">
        <v>0.39930555555555558</v>
      </c>
      <c r="AA38" s="60">
        <v>0.41319444444444442</v>
      </c>
      <c r="AB38" s="158">
        <f>IF(PA[[#This Row],[Acknowledgement Time ]]="NA","",(PA[[#This Row],[Acknowledgement Time ]]-PA[[#This Row],[Fault Time]])*24)</f>
        <v>0</v>
      </c>
      <c r="AC38" s="158">
        <f>IF(PA[[#This Row],[Work Start time on Fault]]="NA","",(PA[[#This Row],[Work Start time on Fault]]-PA[[#This Row],[Fault Time]])*24)</f>
        <v>0.58333333333333393</v>
      </c>
      <c r="AD38" s="112">
        <f>IF(PA[[#This Row],[Status]]="Open","",(PA[[#This Row],[Work Completion time on fault]]-PA[[#This Row],[Fault Time]])*24)</f>
        <v>0.91666666666666607</v>
      </c>
      <c r="AE38" s="111">
        <f>IFERROR((PA[[#This Row],[Work Completion time on fault]]-PA[[#This Row],[Fault Time]])*24,"")</f>
        <v>0.91666666666666607</v>
      </c>
      <c r="AF38" s="114" t="s">
        <v>593</v>
      </c>
      <c r="AG38" s="6" t="s">
        <v>1275</v>
      </c>
      <c r="AH38" s="131">
        <v>0</v>
      </c>
      <c r="AI38" s="59">
        <v>0.64</v>
      </c>
      <c r="AJ38" s="89">
        <f>IFERROR(IF(PA[[#This Row],[Lost PoA(kWh/m2)]]&gt;0,_xlfn.XLOOKUP(G38,'Modelling New'!$D:$D,'Modelling New'!$O:$O)*PA[[#This Row],[Lost PoA(kWh/m2)]]*S38,0),"")</f>
        <v>4.821635367422286</v>
      </c>
    </row>
    <row r="39" spans="1:36" hidden="1" x14ac:dyDescent="0.25">
      <c r="A39" s="229">
        <v>1738</v>
      </c>
      <c r="B39" s="233">
        <v>45775</v>
      </c>
      <c r="C39" s="128"/>
      <c r="D39" s="129">
        <f>YEAR(PA[[#This Row],[Date]])</f>
        <v>2025</v>
      </c>
      <c r="E39" s="164" t="s">
        <v>73</v>
      </c>
      <c r="F39" s="164" t="s">
        <v>73</v>
      </c>
      <c r="G39" s="96">
        <v>45748</v>
      </c>
      <c r="H39" s="130">
        <f>DAY(EOMONTH(PA[[#This Row],[Date]], 0))</f>
        <v>30</v>
      </c>
      <c r="I39" s="120">
        <v>0.29166666666666669</v>
      </c>
      <c r="J39" s="120">
        <v>0.79166666666666663</v>
      </c>
      <c r="K39" s="131">
        <f>IFERROR((PA[[#This Row],[Sunset Time (POA&lt;20 W/m2)]]-PA[[#This Row],[Sunrise Time (POA&gt;20 W/m2)]])*24,"")</f>
        <v>11.999999999999998</v>
      </c>
      <c r="L39" s="128" t="s">
        <v>579</v>
      </c>
      <c r="M39" s="128"/>
      <c r="N39" s="128"/>
      <c r="O39" s="128" t="s">
        <v>595</v>
      </c>
      <c r="P39" s="130"/>
      <c r="Q39" s="129"/>
      <c r="R3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BLK8INV11</v>
      </c>
      <c r="S39" s="53">
        <v>9.9</v>
      </c>
      <c r="T39" s="132">
        <f>IFERROR(_xlfn.XLOOKUP(PA[[#This Row],[Affected Equipment ]],'Basic Data '!A:A,'Basic Data '!C:C),"")</f>
        <v>4.4999999999999997E-3</v>
      </c>
      <c r="U39" s="128" t="s">
        <v>592</v>
      </c>
      <c r="V39" s="117"/>
      <c r="W39" s="114" t="s">
        <v>593</v>
      </c>
      <c r="X39" s="120">
        <v>0.375</v>
      </c>
      <c r="Y39" s="120">
        <v>0.375</v>
      </c>
      <c r="Z39" s="120">
        <v>0.4236111111111111</v>
      </c>
      <c r="AA39" s="120">
        <v>0.43402777777777773</v>
      </c>
      <c r="AB39" s="159">
        <f>IF(PA[[#This Row],[Acknowledgement Time ]]="NA","",(PA[[#This Row],[Acknowledgement Time ]]-PA[[#This Row],[Fault Time]])*24)</f>
        <v>0</v>
      </c>
      <c r="AC39" s="159">
        <f>IF(PA[[#This Row],[Work Start time on Fault]]="NA","",(PA[[#This Row],[Work Start time on Fault]]-PA[[#This Row],[Fault Time]])*24)</f>
        <v>1.1666666666666665</v>
      </c>
      <c r="AD39" s="135">
        <f>IF(PA[[#This Row],[Status]]="Open","",(PA[[#This Row],[Work Completion time on fault]]-PA[[#This Row],[Fault Time]])*24)</f>
        <v>1.4166666666666656</v>
      </c>
      <c r="AE39" s="134">
        <f>IFERROR((PA[[#This Row],[Work Completion time on fault]]-PA[[#This Row],[Fault Time]])*24,"")</f>
        <v>1.4166666666666656</v>
      </c>
      <c r="AF39" s="114" t="s">
        <v>593</v>
      </c>
      <c r="AG39" s="6" t="s">
        <v>1275</v>
      </c>
      <c r="AH39" s="131">
        <v>0</v>
      </c>
      <c r="AI39" s="128">
        <v>0.72399999999999998</v>
      </c>
      <c r="AJ39" s="89">
        <f>IFERROR(IF(PA[[#This Row],[Lost PoA(kWh/m2)]]&gt;0,_xlfn.XLOOKUP(G39,'Modelling New'!$D:$D,'Modelling New'!$O:$O)*PA[[#This Row],[Lost PoA(kWh/m2)]]*S39,0),"")</f>
        <v>5.4544750093964618</v>
      </c>
    </row>
    <row r="40" spans="1:36" hidden="1" x14ac:dyDescent="0.25">
      <c r="A40" s="229">
        <v>1739</v>
      </c>
      <c r="B40" s="233">
        <v>45775</v>
      </c>
      <c r="C40" s="128"/>
      <c r="D40" s="129">
        <f>YEAR(PA[[#This Row],[Date]])</f>
        <v>2025</v>
      </c>
      <c r="E40" s="164" t="s">
        <v>73</v>
      </c>
      <c r="F40" s="164" t="s">
        <v>73</v>
      </c>
      <c r="G40" s="96">
        <v>45748</v>
      </c>
      <c r="H40" s="130">
        <f>DAY(EOMONTH(PA[[#This Row],[Date]], 0))</f>
        <v>30</v>
      </c>
      <c r="I40" s="120">
        <v>0.29166666666666669</v>
      </c>
      <c r="J40" s="120">
        <v>0.79166666666666663</v>
      </c>
      <c r="K40" s="131">
        <f>IFERROR((PA[[#This Row],[Sunset Time (POA&lt;20 W/m2)]]-PA[[#This Row],[Sunrise Time (POA&gt;20 W/m2)]])*24,"")</f>
        <v>11.999999999999998</v>
      </c>
      <c r="L40" s="128" t="s">
        <v>579</v>
      </c>
      <c r="M40" s="128"/>
      <c r="N40" s="128"/>
      <c r="O40" s="128" t="s">
        <v>578</v>
      </c>
      <c r="P40" s="130"/>
      <c r="Q40" s="129"/>
      <c r="R4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BLK8INV12</v>
      </c>
      <c r="S40" s="53">
        <v>9.9</v>
      </c>
      <c r="T40" s="132">
        <f>IFERROR(_xlfn.XLOOKUP(PA[[#This Row],[Affected Equipment ]],'Basic Data '!A:A,'Basic Data '!C:C),"")</f>
        <v>3.8561797752808993E-3</v>
      </c>
      <c r="U40" s="128" t="s">
        <v>592</v>
      </c>
      <c r="V40" s="117"/>
      <c r="W40" s="114" t="s">
        <v>593</v>
      </c>
      <c r="X40" s="120">
        <v>0.375</v>
      </c>
      <c r="Y40" s="120">
        <v>0.375</v>
      </c>
      <c r="Z40" s="120">
        <v>0.4375</v>
      </c>
      <c r="AA40" s="120">
        <v>0.44444444444444442</v>
      </c>
      <c r="AB40" s="159">
        <f>IF(PA[[#This Row],[Acknowledgement Time ]]="NA","",(PA[[#This Row],[Acknowledgement Time ]]-PA[[#This Row],[Fault Time]])*24)</f>
        <v>0</v>
      </c>
      <c r="AC40" s="159">
        <f>IF(PA[[#This Row],[Work Start time on Fault]]="NA","",(PA[[#This Row],[Work Start time on Fault]]-PA[[#This Row],[Fault Time]])*24)</f>
        <v>1.5</v>
      </c>
      <c r="AD40" s="135">
        <f>IF(PA[[#This Row],[Status]]="Open","",(PA[[#This Row],[Work Completion time on fault]]-PA[[#This Row],[Fault Time]])*24)</f>
        <v>1.6666666666666661</v>
      </c>
      <c r="AE40" s="134">
        <f>IFERROR((PA[[#This Row],[Work Completion time on fault]]-PA[[#This Row],[Fault Time]])*24,"")</f>
        <v>1.6666666666666661</v>
      </c>
      <c r="AF40" s="114" t="s">
        <v>593</v>
      </c>
      <c r="AG40" s="6" t="s">
        <v>1275</v>
      </c>
      <c r="AH40" s="131">
        <v>0</v>
      </c>
      <c r="AI40" s="128">
        <v>0.752</v>
      </c>
      <c r="AJ40" s="89">
        <f>IFERROR(IF(PA[[#This Row],[Lost PoA(kWh/m2)]]&gt;0,_xlfn.XLOOKUP(G40,'Modelling New'!$D:$D,'Modelling New'!$O:$O)*PA[[#This Row],[Lost PoA(kWh/m2)]]*S40,0),"")</f>
        <v>5.6654215567211867</v>
      </c>
    </row>
    <row r="41" spans="1:36" hidden="1" x14ac:dyDescent="0.25">
      <c r="A41" s="229">
        <v>1740</v>
      </c>
      <c r="B41" s="233">
        <v>45775</v>
      </c>
      <c r="C41" s="128"/>
      <c r="D41" s="129">
        <f>YEAR(PA[[#This Row],[Date]])</f>
        <v>2025</v>
      </c>
      <c r="E41" s="164" t="s">
        <v>73</v>
      </c>
      <c r="F41" s="164" t="s">
        <v>73</v>
      </c>
      <c r="G41" s="96">
        <v>45748</v>
      </c>
      <c r="H41" s="130">
        <f>DAY(EOMONTH(PA[[#This Row],[Date]], 0))</f>
        <v>30</v>
      </c>
      <c r="I41" s="120">
        <v>0.29166666666666669</v>
      </c>
      <c r="J41" s="120">
        <v>0.79166666666666663</v>
      </c>
      <c r="K41" s="131">
        <f>IFERROR((PA[[#This Row],[Sunset Time (POA&lt;20 W/m2)]]-PA[[#This Row],[Sunrise Time (POA&gt;20 W/m2)]])*24,"")</f>
        <v>11.999999999999998</v>
      </c>
      <c r="L41" s="128" t="s">
        <v>579</v>
      </c>
      <c r="M41" s="128"/>
      <c r="N41" s="128"/>
      <c r="O41" s="128" t="s">
        <v>596</v>
      </c>
      <c r="P41" s="130"/>
      <c r="Q41" s="129"/>
      <c r="R4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BLK8INV13</v>
      </c>
      <c r="S41" s="53">
        <v>9.9</v>
      </c>
      <c r="T41" s="132">
        <f>IFERROR(_xlfn.XLOOKUP(PA[[#This Row],[Affected Equipment ]],'Basic Data '!A:A,'Basic Data '!C:C),"")</f>
        <v>4.1528089887640446E-3</v>
      </c>
      <c r="U41" s="128" t="s">
        <v>592</v>
      </c>
      <c r="V41" s="117"/>
      <c r="W41" s="114" t="s">
        <v>593</v>
      </c>
      <c r="X41" s="120">
        <v>0.375</v>
      </c>
      <c r="Y41" s="120">
        <v>0.375</v>
      </c>
      <c r="Z41" s="120">
        <v>0.44791666666666669</v>
      </c>
      <c r="AA41" s="120">
        <v>0.45833333333333331</v>
      </c>
      <c r="AB41" s="159">
        <f>IF(PA[[#This Row],[Acknowledgement Time ]]="NA","",(PA[[#This Row],[Acknowledgement Time ]]-PA[[#This Row],[Fault Time]])*24)</f>
        <v>0</v>
      </c>
      <c r="AC41" s="159">
        <f>IF(PA[[#This Row],[Work Start time on Fault]]="NA","",(PA[[#This Row],[Work Start time on Fault]]-PA[[#This Row],[Fault Time]])*24)</f>
        <v>1.7500000000000004</v>
      </c>
      <c r="AD41" s="135">
        <f>IF(PA[[#This Row],[Status]]="Open","",(PA[[#This Row],[Work Completion time on fault]]-PA[[#This Row],[Fault Time]])*24)</f>
        <v>1.9999999999999996</v>
      </c>
      <c r="AE41" s="134">
        <f>IFERROR((PA[[#This Row],[Work Completion time on fault]]-PA[[#This Row],[Fault Time]])*24,"")</f>
        <v>1.9999999999999996</v>
      </c>
      <c r="AF41" s="114" t="s">
        <v>593</v>
      </c>
      <c r="AG41" s="6" t="s">
        <v>1275</v>
      </c>
      <c r="AH41" s="131">
        <v>0</v>
      </c>
      <c r="AI41" s="128">
        <v>0.77600000000000002</v>
      </c>
      <c r="AJ41" s="89">
        <f>IFERROR(IF(PA[[#This Row],[Lost PoA(kWh/m2)]]&gt;0,_xlfn.XLOOKUP(G41,'Modelling New'!$D:$D,'Modelling New'!$O:$O)*PA[[#This Row],[Lost PoA(kWh/m2)]]*S41,0),"")</f>
        <v>5.846232882999522</v>
      </c>
    </row>
    <row r="42" spans="1:36" hidden="1" x14ac:dyDescent="0.25">
      <c r="A42" s="57">
        <v>1741</v>
      </c>
      <c r="B42" s="233">
        <v>45775</v>
      </c>
      <c r="C42" s="59"/>
      <c r="D42" s="6">
        <f>YEAR(PA[[#This Row],[Date]])</f>
        <v>2025</v>
      </c>
      <c r="E42" s="164" t="s">
        <v>73</v>
      </c>
      <c r="F42" s="164" t="s">
        <v>73</v>
      </c>
      <c r="G42" s="96">
        <v>45748</v>
      </c>
      <c r="H42" s="56">
        <f>DAY(EOMONTH(PA[[#This Row],[Date]], 0))</f>
        <v>30</v>
      </c>
      <c r="I42" s="120">
        <v>0.29166666666666669</v>
      </c>
      <c r="J42" s="120">
        <v>0.79166666666666663</v>
      </c>
      <c r="K42" s="53">
        <f>IFERROR((PA[[#This Row],[Sunset Time (POA&lt;20 W/m2)]]-PA[[#This Row],[Sunrise Time (POA&gt;20 W/m2)]])*24,"")</f>
        <v>11.999999999999998</v>
      </c>
      <c r="L42" s="59" t="s">
        <v>597</v>
      </c>
      <c r="M42" s="128"/>
      <c r="N42" s="59"/>
      <c r="O42" s="59" t="s">
        <v>598</v>
      </c>
      <c r="P42" s="56"/>
      <c r="Q42" s="6"/>
      <c r="R42"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BLK3INV6</v>
      </c>
      <c r="S42" s="53">
        <v>11.13</v>
      </c>
      <c r="T42" s="90">
        <f>IFERROR(_xlfn.XLOOKUP(PA[[#This Row],[Affected Equipment ]],'Basic Data '!A:A,'Basic Data '!C:C),"")</f>
        <v>4.0000000000000001E-3</v>
      </c>
      <c r="U42" s="128" t="s">
        <v>592</v>
      </c>
      <c r="V42" s="88"/>
      <c r="W42" s="114" t="s">
        <v>593</v>
      </c>
      <c r="X42" s="120">
        <v>0.375</v>
      </c>
      <c r="Y42" s="120">
        <v>0.375</v>
      </c>
      <c r="Z42" s="60">
        <v>0.46527777777777773</v>
      </c>
      <c r="AA42" s="60">
        <v>0.47222222222222227</v>
      </c>
      <c r="AB42" s="158">
        <f>IF(PA[[#This Row],[Acknowledgement Time ]]="NA","",(PA[[#This Row],[Acknowledgement Time ]]-PA[[#This Row],[Fault Time]])*24)</f>
        <v>0</v>
      </c>
      <c r="AC42" s="158">
        <f>IF(PA[[#This Row],[Work Start time on Fault]]="NA","",(PA[[#This Row],[Work Start time on Fault]]-PA[[#This Row],[Fault Time]])*24)</f>
        <v>2.1666666666666656</v>
      </c>
      <c r="AD42" s="112">
        <f>IF(PA[[#This Row],[Status]]="Open","",(PA[[#This Row],[Work Completion time on fault]]-PA[[#This Row],[Fault Time]])*24)</f>
        <v>2.3333333333333344</v>
      </c>
      <c r="AE42" s="111">
        <f>IFERROR((PA[[#This Row],[Work Completion time on fault]]-PA[[#This Row],[Fault Time]])*24,"")</f>
        <v>2.3333333333333344</v>
      </c>
      <c r="AF42" s="114" t="s">
        <v>593</v>
      </c>
      <c r="AG42" s="6" t="s">
        <v>1275</v>
      </c>
      <c r="AH42" s="131">
        <v>0</v>
      </c>
      <c r="AI42" s="59">
        <v>0.79800000000000004</v>
      </c>
      <c r="AJ42" s="89">
        <f>IFERROR(IF(PA[[#This Row],[Lost PoA(kWh/m2)]]&gt;0,_xlfn.XLOOKUP(G42,'Modelling New'!$D:$D,'Modelling New'!$O:$O)*PA[[#This Row],[Lost PoA(kWh/m2)]]*S42,0),"")</f>
        <v>6.7589191458726674</v>
      </c>
    </row>
    <row r="43" spans="1:36" hidden="1" x14ac:dyDescent="0.25">
      <c r="A43" s="57">
        <v>1742</v>
      </c>
      <c r="B43" s="233">
        <v>45775</v>
      </c>
      <c r="C43" s="59"/>
      <c r="D43" s="6">
        <f>YEAR(PA[[#This Row],[Date]])</f>
        <v>2025</v>
      </c>
      <c r="E43" s="164" t="s">
        <v>73</v>
      </c>
      <c r="F43" s="164" t="s">
        <v>73</v>
      </c>
      <c r="G43" s="96">
        <v>45748</v>
      </c>
      <c r="H43" s="56">
        <f>DAY(EOMONTH(PA[[#This Row],[Date]], 0))</f>
        <v>30</v>
      </c>
      <c r="I43" s="120">
        <v>0.29166666666666669</v>
      </c>
      <c r="J43" s="120">
        <v>0.79166666666666663</v>
      </c>
      <c r="K43" s="53">
        <f>IFERROR((PA[[#This Row],[Sunset Time (POA&lt;20 W/m2)]]-PA[[#This Row],[Sunrise Time (POA&gt;20 W/m2)]])*24,"")</f>
        <v>11.999999999999998</v>
      </c>
      <c r="L43" s="59" t="s">
        <v>597</v>
      </c>
      <c r="M43" s="59"/>
      <c r="N43" s="59"/>
      <c r="O43" s="59" t="s">
        <v>599</v>
      </c>
      <c r="P43" s="56"/>
      <c r="Q43" s="6"/>
      <c r="R43"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BLK3INV20</v>
      </c>
      <c r="S43" s="53">
        <v>11.13</v>
      </c>
      <c r="T43" s="90">
        <f>IFERROR(_xlfn.XLOOKUP(PA[[#This Row],[Affected Equipment ]],'Basic Data '!A:A,'Basic Data '!C:C),"")</f>
        <v>4.0000000000000001E-3</v>
      </c>
      <c r="U43" s="128" t="s">
        <v>592</v>
      </c>
      <c r="V43" s="88"/>
      <c r="W43" s="114" t="s">
        <v>593</v>
      </c>
      <c r="X43" s="120">
        <v>0.375</v>
      </c>
      <c r="Y43" s="120">
        <v>0.375</v>
      </c>
      <c r="Z43" s="60">
        <v>0.47569444444444442</v>
      </c>
      <c r="AA43" s="60">
        <v>0.4826388888888889</v>
      </c>
      <c r="AB43" s="158">
        <f>IF(PA[[#This Row],[Acknowledgement Time ]]="NA","",(PA[[#This Row],[Acknowledgement Time ]]-PA[[#This Row],[Fault Time]])*24)</f>
        <v>0</v>
      </c>
      <c r="AC43" s="158">
        <f>IF(PA[[#This Row],[Work Start time on Fault]]="NA","",(PA[[#This Row],[Work Start time on Fault]]-PA[[#This Row],[Fault Time]])*24)</f>
        <v>2.4166666666666661</v>
      </c>
      <c r="AD43" s="112">
        <f>IF(PA[[#This Row],[Status]]="Open","",(PA[[#This Row],[Work Completion time on fault]]-PA[[#This Row],[Fault Time]])*24)</f>
        <v>2.5833333333333335</v>
      </c>
      <c r="AE43" s="111">
        <f>IFERROR((PA[[#This Row],[Work Completion time on fault]]-PA[[#This Row],[Fault Time]])*24,"")</f>
        <v>2.5833333333333335</v>
      </c>
      <c r="AF43" s="114" t="s">
        <v>593</v>
      </c>
      <c r="AG43" s="6" t="s">
        <v>1275</v>
      </c>
      <c r="AH43" s="131">
        <v>0</v>
      </c>
      <c r="AI43" s="59">
        <v>0.81399999999999995</v>
      </c>
      <c r="AJ43" s="89">
        <f>IFERROR(IF(PA[[#This Row],[Lost PoA(kWh/m2)]]&gt;0,_xlfn.XLOOKUP(G43,'Modelling New'!$D:$D,'Modelling New'!$O:$O)*PA[[#This Row],[Lost PoA(kWh/m2)]]*S43,0),"")</f>
        <v>6.8944363217297626</v>
      </c>
    </row>
    <row r="44" spans="1:36" hidden="1" x14ac:dyDescent="0.25">
      <c r="A44" s="57">
        <v>1743</v>
      </c>
      <c r="B44" s="233">
        <v>45775</v>
      </c>
      <c r="C44" s="59"/>
      <c r="D44" s="6">
        <f>YEAR(PA[[#This Row],[Date]])</f>
        <v>2025</v>
      </c>
      <c r="E44" s="164" t="s">
        <v>73</v>
      </c>
      <c r="F44" s="164" t="s">
        <v>73</v>
      </c>
      <c r="G44" s="96">
        <v>45748</v>
      </c>
      <c r="H44" s="56">
        <f>DAY(EOMONTH(PA[[#This Row],[Date]], 0))</f>
        <v>30</v>
      </c>
      <c r="I44" s="120">
        <v>0.29166666666666669</v>
      </c>
      <c r="J44" s="120">
        <v>0.79166666666666663</v>
      </c>
      <c r="K44" s="53">
        <f>IFERROR((PA[[#This Row],[Sunset Time (POA&lt;20 W/m2)]]-PA[[#This Row],[Sunrise Time (POA&gt;20 W/m2)]])*24,"")</f>
        <v>11.999999999999998</v>
      </c>
      <c r="L44" s="59" t="s">
        <v>587</v>
      </c>
      <c r="M44" s="59"/>
      <c r="N44" s="59"/>
      <c r="O44" s="59" t="s">
        <v>600</v>
      </c>
      <c r="P44" s="56"/>
      <c r="Q44" s="6"/>
      <c r="R44"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BLK1INV17</v>
      </c>
      <c r="S44" s="53">
        <v>11.13</v>
      </c>
      <c r="T44" s="90">
        <f>IFERROR(_xlfn.XLOOKUP(PA[[#This Row],[Affected Equipment ]],'Basic Data '!A:A,'Basic Data '!C:C),"")</f>
        <v>4.0000000000000001E-3</v>
      </c>
      <c r="U44" s="59" t="s">
        <v>592</v>
      </c>
      <c r="V44" s="88"/>
      <c r="W44" s="114" t="s">
        <v>593</v>
      </c>
      <c r="X44" s="120">
        <v>0.375</v>
      </c>
      <c r="Y44" s="120">
        <v>0.375</v>
      </c>
      <c r="Z44" s="60">
        <v>0.49305555555555558</v>
      </c>
      <c r="AA44" s="60">
        <v>0.5</v>
      </c>
      <c r="AB44" s="158">
        <f>IF(PA[[#This Row],[Acknowledgement Time ]]="NA","",(PA[[#This Row],[Acknowledgement Time ]]-PA[[#This Row],[Fault Time]])*24)</f>
        <v>0</v>
      </c>
      <c r="AC44" s="158">
        <f>IF(PA[[#This Row],[Work Start time on Fault]]="NA","",(PA[[#This Row],[Work Start time on Fault]]-PA[[#This Row],[Fault Time]])*24)</f>
        <v>2.8333333333333339</v>
      </c>
      <c r="AD44" s="112">
        <f>IF(PA[[#This Row],[Status]]="Open","",(PA[[#This Row],[Work Completion time on fault]]-PA[[#This Row],[Fault Time]])*24)</f>
        <v>3</v>
      </c>
      <c r="AE44" s="111">
        <f>IFERROR((PA[[#This Row],[Work Completion time on fault]]-PA[[#This Row],[Fault Time]])*24,"")</f>
        <v>3</v>
      </c>
      <c r="AF44" s="114" t="s">
        <v>593</v>
      </c>
      <c r="AG44" s="6" t="s">
        <v>1275</v>
      </c>
      <c r="AH44" s="131">
        <v>0</v>
      </c>
      <c r="AI44" s="59">
        <v>0.83899999999999997</v>
      </c>
      <c r="AJ44" s="89">
        <f>IFERROR(IF(PA[[#This Row],[Lost PoA(kWh/m2)]]&gt;0,_xlfn.XLOOKUP(G44,'Modelling New'!$D:$D,'Modelling New'!$O:$O)*PA[[#This Row],[Lost PoA(kWh/m2)]]*S44,0),"")</f>
        <v>7.1061819090064748</v>
      </c>
    </row>
    <row r="45" spans="1:36" hidden="1" x14ac:dyDescent="0.25">
      <c r="A45" s="229">
        <v>1744</v>
      </c>
      <c r="B45" s="233">
        <v>45775</v>
      </c>
      <c r="C45" s="128"/>
      <c r="D45" s="129">
        <f>YEAR(PA[[#This Row],[Date]])</f>
        <v>2025</v>
      </c>
      <c r="E45" s="164" t="s">
        <v>73</v>
      </c>
      <c r="F45" s="164" t="s">
        <v>73</v>
      </c>
      <c r="G45" s="96">
        <v>45748</v>
      </c>
      <c r="H45" s="130">
        <f>DAY(EOMONTH(PA[[#This Row],[Date]], 0))</f>
        <v>30</v>
      </c>
      <c r="I45" s="120">
        <v>0.29166666666666669</v>
      </c>
      <c r="J45" s="120">
        <v>0.79166666666666663</v>
      </c>
      <c r="K45" s="131">
        <f>IFERROR((PA[[#This Row],[Sunset Time (POA&lt;20 W/m2)]]-PA[[#This Row],[Sunrise Time (POA&gt;20 W/m2)]])*24,"")</f>
        <v>11.999999999999998</v>
      </c>
      <c r="L45" s="128" t="s">
        <v>587</v>
      </c>
      <c r="M45" s="128"/>
      <c r="N45" s="128"/>
      <c r="O45" s="128" t="s">
        <v>601</v>
      </c>
      <c r="P45" s="130"/>
      <c r="Q45" s="129"/>
      <c r="R4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BLK1INV18</v>
      </c>
      <c r="S45" s="53">
        <v>11.13</v>
      </c>
      <c r="T45" s="132">
        <f>IFERROR(_xlfn.XLOOKUP(PA[[#This Row],[Affected Equipment ]],'Basic Data '!A:A,'Basic Data '!C:C),"")</f>
        <v>4.0000000000000001E-3</v>
      </c>
      <c r="U45" s="128" t="s">
        <v>602</v>
      </c>
      <c r="V45" s="117"/>
      <c r="W45" s="118" t="s">
        <v>603</v>
      </c>
      <c r="X45" s="120">
        <v>0.375</v>
      </c>
      <c r="Y45" s="120">
        <v>0.375</v>
      </c>
      <c r="Z45" s="120">
        <v>0.50347222222222221</v>
      </c>
      <c r="AA45" s="120">
        <v>0.51041666666666663</v>
      </c>
      <c r="AB45" s="159">
        <f>IF(PA[[#This Row],[Acknowledgement Time ]]="NA","",(PA[[#This Row],[Acknowledgement Time ]]-PA[[#This Row],[Fault Time]])*24)</f>
        <v>0</v>
      </c>
      <c r="AC45" s="159">
        <f>IF(PA[[#This Row],[Work Start time on Fault]]="NA","",(PA[[#This Row],[Work Start time on Fault]]-PA[[#This Row],[Fault Time]])*24)</f>
        <v>3.083333333333333</v>
      </c>
      <c r="AD45" s="135">
        <f>IF(PA[[#This Row],[Status]]="Open","",(PA[[#This Row],[Work Completion time on fault]]-PA[[#This Row],[Fault Time]])*24)</f>
        <v>3.2499999999999991</v>
      </c>
      <c r="AE45" s="134">
        <f>IFERROR((PA[[#This Row],[Work Completion time on fault]]-PA[[#This Row],[Fault Time]])*24,"")</f>
        <v>3.2499999999999991</v>
      </c>
      <c r="AF45" s="118" t="s">
        <v>603</v>
      </c>
      <c r="AG45" s="6" t="s">
        <v>1275</v>
      </c>
      <c r="AH45" s="131">
        <v>0</v>
      </c>
      <c r="AI45" s="128">
        <v>6.3</v>
      </c>
      <c r="AJ45" s="89">
        <f>IFERROR(IF(PA[[#This Row],[Lost PoA(kWh/m2)]]&gt;0,_xlfn.XLOOKUP(G45,'Modelling New'!$D:$D,'Modelling New'!$O:$O)*PA[[#This Row],[Lost PoA(kWh/m2)]]*S45,0),"")</f>
        <v>53.359887993731583</v>
      </c>
    </row>
    <row r="46" spans="1:36" hidden="1" x14ac:dyDescent="0.25">
      <c r="A46" s="229">
        <v>1745</v>
      </c>
      <c r="B46" s="233">
        <v>45775</v>
      </c>
      <c r="C46" s="128"/>
      <c r="D46" s="129">
        <f>YEAR(PA[[#This Row],[Date]])</f>
        <v>2025</v>
      </c>
      <c r="E46" s="164" t="s">
        <v>73</v>
      </c>
      <c r="F46" s="164" t="s">
        <v>73</v>
      </c>
      <c r="G46" s="96">
        <v>45748</v>
      </c>
      <c r="H46" s="130">
        <f>DAY(EOMONTH(PA[[#This Row],[Date]], 0))</f>
        <v>30</v>
      </c>
      <c r="I46" s="120">
        <v>0.29166666666666669</v>
      </c>
      <c r="J46" s="120">
        <v>0.79166666666666663</v>
      </c>
      <c r="K46" s="131">
        <f>IFERROR((PA[[#This Row],[Sunset Time (POA&lt;20 W/m2)]]-PA[[#This Row],[Sunrise Time (POA&gt;20 W/m2)]])*24,"")</f>
        <v>11.999999999999998</v>
      </c>
      <c r="L46" s="128" t="s">
        <v>597</v>
      </c>
      <c r="M46" s="128"/>
      <c r="N46" s="128"/>
      <c r="O46" s="128" t="s">
        <v>581</v>
      </c>
      <c r="P46" s="130"/>
      <c r="Q46" s="129"/>
      <c r="R4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BLK3INV32</v>
      </c>
      <c r="S46" s="131">
        <v>31.9</v>
      </c>
      <c r="T46" s="132" t="str">
        <f>IFERROR(_xlfn.XLOOKUP(PA[[#This Row],[Affected Equipment ]],'Basic Data '!A:A,'Basic Data '!C:C),"")</f>
        <v/>
      </c>
      <c r="U46" s="128" t="s">
        <v>604</v>
      </c>
      <c r="V46" s="117"/>
      <c r="W46" s="118" t="s">
        <v>605</v>
      </c>
      <c r="X46" s="120">
        <v>0.375</v>
      </c>
      <c r="Y46" s="120">
        <v>0.375</v>
      </c>
      <c r="Z46" s="120">
        <v>0.50347222222222221</v>
      </c>
      <c r="AA46" s="120">
        <v>0.5</v>
      </c>
      <c r="AB46" s="159">
        <f>IF(PA[[#This Row],[Acknowledgement Time ]]="NA","",(PA[[#This Row],[Acknowledgement Time ]]-PA[[#This Row],[Fault Time]])*24)</f>
        <v>0</v>
      </c>
      <c r="AC46" s="159">
        <f>IF(PA[[#This Row],[Work Start time on Fault]]="NA","",(PA[[#This Row],[Work Start time on Fault]]-PA[[#This Row],[Fault Time]])*24)</f>
        <v>3.083333333333333</v>
      </c>
      <c r="AD46" s="135">
        <f>IF(PA[[#This Row],[Status]]="Open","",(PA[[#This Row],[Work Completion time on fault]]-PA[[#This Row],[Fault Time]])*24)</f>
        <v>3</v>
      </c>
      <c r="AE46" s="134">
        <f>IFERROR((PA[[#This Row],[Work Completion time on fault]]-PA[[#This Row],[Fault Time]])*24,"")</f>
        <v>3</v>
      </c>
      <c r="AF46" s="118" t="s">
        <v>603</v>
      </c>
      <c r="AG46" s="6" t="s">
        <v>1275</v>
      </c>
      <c r="AH46" s="131">
        <v>0</v>
      </c>
      <c r="AI46" s="128">
        <v>6.3</v>
      </c>
      <c r="AJ46" s="89">
        <f>IFERROR(IF(PA[[#This Row],[Lost PoA(kWh/m2)]]&gt;0,_xlfn.XLOOKUP(G46,'Modelling New'!$D:$D,'Modelling New'!$O:$O)*PA[[#This Row],[Lost PoA(kWh/m2)]]*S46,0),"")</f>
        <v>152.93624681042562</v>
      </c>
    </row>
    <row r="47" spans="1:36" ht="31.5" hidden="1" x14ac:dyDescent="0.25">
      <c r="A47" s="57">
        <v>1746</v>
      </c>
      <c r="B47" s="233">
        <v>45776</v>
      </c>
      <c r="C47" s="59"/>
      <c r="D47" s="6">
        <f>YEAR(PA[[#This Row],[Date]])</f>
        <v>2025</v>
      </c>
      <c r="E47" s="164" t="s">
        <v>73</v>
      </c>
      <c r="F47" s="164" t="s">
        <v>73</v>
      </c>
      <c r="G47" s="96">
        <v>45748</v>
      </c>
      <c r="H47" s="56">
        <f>DAY(EOMONTH(PA[[#This Row],[Date]], 0))</f>
        <v>30</v>
      </c>
      <c r="I47" s="120">
        <v>0.29166666666666669</v>
      </c>
      <c r="J47" s="120">
        <v>0.79166666666666663</v>
      </c>
      <c r="K47" s="53">
        <f>IFERROR((PA[[#This Row],[Sunset Time (POA&lt;20 W/m2)]]-PA[[#This Row],[Sunrise Time (POA&gt;20 W/m2)]])*24,"")</f>
        <v>11.999999999999998</v>
      </c>
      <c r="L47" s="59" t="s">
        <v>606</v>
      </c>
      <c r="M47" s="59"/>
      <c r="N47" s="59"/>
      <c r="O47" s="59" t="s">
        <v>607</v>
      </c>
      <c r="P47" s="56"/>
      <c r="Q47" s="6"/>
      <c r="R47"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BLK7INV3</v>
      </c>
      <c r="S47" s="53">
        <v>66.75</v>
      </c>
      <c r="T47" s="90">
        <f>IFERROR(_xlfn.XLOOKUP(PA[[#This Row],[Affected Equipment ]],'Basic Data '!A:A,'Basic Data '!C:C),"")</f>
        <v>3.9550561797752808E-3</v>
      </c>
      <c r="U47" s="128" t="s">
        <v>604</v>
      </c>
      <c r="V47" s="88"/>
      <c r="W47" s="118" t="s">
        <v>605</v>
      </c>
      <c r="X47" s="120">
        <v>0.375</v>
      </c>
      <c r="Y47" s="120">
        <v>0.375</v>
      </c>
      <c r="Z47" s="60">
        <v>0.4375</v>
      </c>
      <c r="AA47" s="60">
        <v>0.4375</v>
      </c>
      <c r="AB47" s="158">
        <f>IF(PA[[#This Row],[Acknowledgement Time ]]="NA","",(PA[[#This Row],[Acknowledgement Time ]]-PA[[#This Row],[Fault Time]])*24)</f>
        <v>0</v>
      </c>
      <c r="AC47" s="158">
        <f>IF(PA[[#This Row],[Work Start time on Fault]]="NA","",(PA[[#This Row],[Work Start time on Fault]]-PA[[#This Row],[Fault Time]])*24)</f>
        <v>1.5</v>
      </c>
      <c r="AD47" s="135">
        <f>IF(PA[[#This Row],[Status]]="Open","",(PA[[#This Row],[Work Completion time on fault]]-PA[[#This Row],[Fault Time]])*24)</f>
        <v>1.5</v>
      </c>
      <c r="AE47" s="111">
        <f>IFERROR((PA[[#This Row],[Work Completion time on fault]]-PA[[#This Row],[Fault Time]])*24,"")</f>
        <v>1.5</v>
      </c>
      <c r="AF47" s="241" t="s">
        <v>608</v>
      </c>
      <c r="AG47" s="6" t="s">
        <v>1275</v>
      </c>
      <c r="AH47" s="131">
        <v>0</v>
      </c>
      <c r="AI47" s="128">
        <v>0.7</v>
      </c>
      <c r="AJ47" s="89">
        <f>IFERROR(IF(PA[[#This Row],[Lost PoA(kWh/m2)]]&gt;0,_xlfn.XLOOKUP(G47,'Modelling New'!$D:$D,'Modelling New'!$O:$O)*PA[[#This Row],[Lost PoA(kWh/m2)]]*S47,0),"")</f>
        <v>35.557277863447965</v>
      </c>
    </row>
    <row r="48" spans="1:36" ht="15.75" hidden="1" x14ac:dyDescent="0.25">
      <c r="A48" s="57">
        <v>1747</v>
      </c>
      <c r="B48" s="233">
        <v>45776</v>
      </c>
      <c r="C48" s="59"/>
      <c r="D48" s="6">
        <f>YEAR(PA[[#This Row],[Date]])</f>
        <v>2025</v>
      </c>
      <c r="E48" s="164" t="s">
        <v>73</v>
      </c>
      <c r="F48" s="164" t="s">
        <v>73</v>
      </c>
      <c r="G48" s="96">
        <v>45748</v>
      </c>
      <c r="H48" s="56">
        <f>DAY(EOMONTH(PA[[#This Row],[Date]], 0))</f>
        <v>30</v>
      </c>
      <c r="I48" s="120">
        <v>0.29166666666666669</v>
      </c>
      <c r="J48" s="120">
        <v>0.79166666666666663</v>
      </c>
      <c r="K48" s="53">
        <f>IFERROR((PA[[#This Row],[Sunset Time (POA&lt;20 W/m2)]]-PA[[#This Row],[Sunrise Time (POA&gt;20 W/m2)]])*24,"")</f>
        <v>11.999999999999998</v>
      </c>
      <c r="L48" s="59" t="s">
        <v>606</v>
      </c>
      <c r="M48" s="59"/>
      <c r="N48" s="59"/>
      <c r="O48" s="59" t="s">
        <v>598</v>
      </c>
      <c r="P48" s="56"/>
      <c r="Q48" s="6"/>
      <c r="R48"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BLK7INV6</v>
      </c>
      <c r="S48" s="53">
        <v>22.25</v>
      </c>
      <c r="T48" s="90">
        <f>IFERROR(_xlfn.XLOOKUP(PA[[#This Row],[Affected Equipment ]],'Basic Data '!A:A,'Basic Data '!C:C),"")</f>
        <v>3.9550561797752808E-3</v>
      </c>
      <c r="U48" s="128" t="s">
        <v>604</v>
      </c>
      <c r="V48" s="88"/>
      <c r="W48" s="118" t="s">
        <v>605</v>
      </c>
      <c r="X48" s="120">
        <v>0.375</v>
      </c>
      <c r="Y48" s="120">
        <v>0.375</v>
      </c>
      <c r="Z48" s="60">
        <v>0.47916666666666669</v>
      </c>
      <c r="AA48" s="60">
        <v>0.47916666666666669</v>
      </c>
      <c r="AB48" s="158">
        <f>IF(PA[[#This Row],[Acknowledgement Time ]]="NA","",(PA[[#This Row],[Acknowledgement Time ]]-PA[[#This Row],[Fault Time]])*24)</f>
        <v>0</v>
      </c>
      <c r="AC48" s="158">
        <f>IF(PA[[#This Row],[Work Start time on Fault]]="NA","",(PA[[#This Row],[Work Start time on Fault]]-PA[[#This Row],[Fault Time]])*24)</f>
        <v>2.5000000000000004</v>
      </c>
      <c r="AD48" s="112">
        <f>IF(PA[[#This Row],[Status]]="Open","",(PA[[#This Row],[Work Completion time on fault]]-PA[[#This Row],[Fault Time]])*24)</f>
        <v>2.5000000000000004</v>
      </c>
      <c r="AE48" s="111">
        <f>IFERROR((PA[[#This Row],[Work Completion time on fault]]-PA[[#This Row],[Fault Time]])*24,"")</f>
        <v>2.5000000000000004</v>
      </c>
      <c r="AF48" s="240" t="s">
        <v>609</v>
      </c>
      <c r="AG48" s="6" t="s">
        <v>1275</v>
      </c>
      <c r="AH48" s="131">
        <v>0</v>
      </c>
      <c r="AI48" s="59">
        <v>2.1</v>
      </c>
      <c r="AJ48" s="89">
        <f>IFERROR(IF(PA[[#This Row],[Lost PoA(kWh/m2)]]&gt;0,_xlfn.XLOOKUP(G48,'Modelling New'!$D:$D,'Modelling New'!$O:$O)*PA[[#This Row],[Lost PoA(kWh/m2)]]*S48,0),"")</f>
        <v>35.557277863447972</v>
      </c>
    </row>
    <row r="49" spans="1:36" hidden="1" x14ac:dyDescent="0.25">
      <c r="A49" s="57">
        <v>1748</v>
      </c>
      <c r="B49" s="233">
        <v>45776</v>
      </c>
      <c r="C49" s="59"/>
      <c r="D49" s="6">
        <f>YEAR(PA[[#This Row],[Date]])</f>
        <v>2025</v>
      </c>
      <c r="E49" s="164" t="s">
        <v>73</v>
      </c>
      <c r="F49" s="164" t="s">
        <v>73</v>
      </c>
      <c r="G49" s="96">
        <v>45748</v>
      </c>
      <c r="H49" s="56">
        <f>DAY(EOMONTH(PA[[#This Row],[Date]], 0))</f>
        <v>30</v>
      </c>
      <c r="I49" s="120">
        <v>0.29166666666666669</v>
      </c>
      <c r="J49" s="120">
        <v>0.79166666666666663</v>
      </c>
      <c r="K49" s="53">
        <f>IFERROR((PA[[#This Row],[Sunset Time (POA&lt;20 W/m2)]]-PA[[#This Row],[Sunrise Time (POA&gt;20 W/m2)]])*24,"")</f>
        <v>11.999999999999998</v>
      </c>
      <c r="L49" s="59" t="s">
        <v>587</v>
      </c>
      <c r="M49" s="59"/>
      <c r="N49" s="59"/>
      <c r="O49" s="59" t="s">
        <v>610</v>
      </c>
      <c r="P49" s="56"/>
      <c r="Q49" s="6"/>
      <c r="R49"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BLK1INV24</v>
      </c>
      <c r="S49" s="53">
        <v>22.25</v>
      </c>
      <c r="T49" s="90">
        <f>IFERROR(_xlfn.XLOOKUP(PA[[#This Row],[Affected Equipment ]],'Basic Data '!A:A,'Basic Data '!C:C),"")</f>
        <v>4.4999999999999997E-3</v>
      </c>
      <c r="U49" s="128" t="s">
        <v>604</v>
      </c>
      <c r="V49" s="88"/>
      <c r="W49" s="118" t="s">
        <v>605</v>
      </c>
      <c r="X49" s="120">
        <v>0.375</v>
      </c>
      <c r="Y49" s="120">
        <v>0.375</v>
      </c>
      <c r="Z49" s="60">
        <v>0.72916666666666663</v>
      </c>
      <c r="AA49" s="60">
        <v>0.72916666666666663</v>
      </c>
      <c r="AB49" s="158">
        <f>IF(PA[[#This Row],[Acknowledgement Time ]]="NA","",(PA[[#This Row],[Acknowledgement Time ]]-PA[[#This Row],[Fault Time]])*24)</f>
        <v>0</v>
      </c>
      <c r="AC49" s="158">
        <f>IF(PA[[#This Row],[Work Start time on Fault]]="NA","",(PA[[#This Row],[Work Start time on Fault]]-PA[[#This Row],[Fault Time]])*24)</f>
        <v>8.5</v>
      </c>
      <c r="AD49" s="112">
        <f>IF(PA[[#This Row],[Status]]="Open","",(PA[[#This Row],[Work Completion time on fault]]-PA[[#This Row],[Fault Time]])*24)</f>
        <v>8.5</v>
      </c>
      <c r="AE49" s="111">
        <f>IFERROR((PA[[#This Row],[Work Completion time on fault]]-PA[[#This Row],[Fault Time]])*24,"")</f>
        <v>8.5</v>
      </c>
      <c r="AF49" s="226" t="s">
        <v>611</v>
      </c>
      <c r="AG49" s="6" t="s">
        <v>1275</v>
      </c>
      <c r="AH49" s="131">
        <v>0</v>
      </c>
      <c r="AI49" s="59">
        <v>6.7</v>
      </c>
      <c r="AJ49" s="89">
        <f>IFERROR(IF(PA[[#This Row],[Lost PoA(kWh/m2)]]&gt;0,_xlfn.XLOOKUP(G49,'Modelling New'!$D:$D,'Modelling New'!$O:$O)*PA[[#This Row],[Lost PoA(kWh/m2)]]*S49,0),"")</f>
        <v>113.44464842147686</v>
      </c>
    </row>
    <row r="50" spans="1:36" ht="15.75" hidden="1" x14ac:dyDescent="0.25">
      <c r="A50" s="57">
        <v>1749</v>
      </c>
      <c r="B50" s="233">
        <v>45776</v>
      </c>
      <c r="C50" s="59"/>
      <c r="D50" s="6">
        <f>YEAR(PA[[#This Row],[Date]])</f>
        <v>2025</v>
      </c>
      <c r="E50" s="164" t="s">
        <v>73</v>
      </c>
      <c r="F50" s="164" t="s">
        <v>73</v>
      </c>
      <c r="G50" s="96">
        <v>45748</v>
      </c>
      <c r="H50" s="56">
        <f>DAY(EOMONTH(PA[[#This Row],[Date]], 0))</f>
        <v>30</v>
      </c>
      <c r="I50" s="120">
        <v>0.29166666666666669</v>
      </c>
      <c r="J50" s="120">
        <v>0.79166666666666663</v>
      </c>
      <c r="K50" s="53">
        <f>IFERROR((PA[[#This Row],[Sunset Time (POA&lt;20 W/m2)]]-PA[[#This Row],[Sunrise Time (POA&gt;20 W/m2)]])*24,"")</f>
        <v>11.999999999999998</v>
      </c>
      <c r="L50" s="59" t="s">
        <v>559</v>
      </c>
      <c r="M50" s="59"/>
      <c r="N50" s="59"/>
      <c r="O50" s="59" t="s">
        <v>612</v>
      </c>
      <c r="P50" s="56"/>
      <c r="Q50" s="6"/>
      <c r="R50"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BLK2INV28</v>
      </c>
      <c r="S50" s="53">
        <v>22.5</v>
      </c>
      <c r="T50" s="90">
        <f>IFERROR(_xlfn.XLOOKUP(PA[[#This Row],[Affected Equipment ]],'Basic Data '!A:A,'Basic Data '!C:C),"")</f>
        <v>4.4999999999999997E-3</v>
      </c>
      <c r="U50" s="128" t="s">
        <v>604</v>
      </c>
      <c r="V50" s="88"/>
      <c r="W50" s="118" t="s">
        <v>605</v>
      </c>
      <c r="X50" s="120">
        <v>0.375</v>
      </c>
      <c r="Y50" s="120">
        <v>0.375</v>
      </c>
      <c r="Z50" s="60">
        <v>0.52083333333333337</v>
      </c>
      <c r="AA50" s="60">
        <v>0.52083333333333337</v>
      </c>
      <c r="AB50" s="158">
        <f>IF(PA[[#This Row],[Acknowledgement Time ]]="NA","",(PA[[#This Row],[Acknowledgement Time ]]-PA[[#This Row],[Fault Time]])*24)</f>
        <v>0</v>
      </c>
      <c r="AC50" s="158">
        <f>IF(PA[[#This Row],[Work Start time on Fault]]="NA","",(PA[[#This Row],[Work Start time on Fault]]-PA[[#This Row],[Fault Time]])*24)</f>
        <v>3.5000000000000009</v>
      </c>
      <c r="AD50" s="112">
        <f>IF(PA[[#This Row],[Status]]="Open","",(PA[[#This Row],[Work Completion time on fault]]-PA[[#This Row],[Fault Time]])*24)</f>
        <v>3.5000000000000009</v>
      </c>
      <c r="AE50" s="111">
        <f>IFERROR((PA[[#This Row],[Work Completion time on fault]]-PA[[#This Row],[Fault Time]])*24,"")</f>
        <v>3.5000000000000009</v>
      </c>
      <c r="AF50" s="240" t="s">
        <v>613</v>
      </c>
      <c r="AG50" s="6" t="s">
        <v>1275</v>
      </c>
      <c r="AH50" s="131">
        <v>0</v>
      </c>
      <c r="AI50" s="59">
        <v>3.1</v>
      </c>
      <c r="AJ50" s="89">
        <f>IFERROR(IF(PA[[#This Row],[Lost PoA(kWh/m2)]]&gt;0,_xlfn.XLOOKUP(G50,'Modelling New'!$D:$D,'Modelling New'!$O:$O)*PA[[#This Row],[Lost PoA(kWh/m2)]]*S50,0),"")</f>
        <v>53.079082524890232</v>
      </c>
    </row>
    <row r="51" spans="1:36" hidden="1" x14ac:dyDescent="0.25">
      <c r="A51" s="229">
        <v>1750</v>
      </c>
      <c r="B51" s="233">
        <v>45776</v>
      </c>
      <c r="C51" s="128"/>
      <c r="D51" s="129">
        <f>YEAR(PA[[#This Row],[Date]])</f>
        <v>2025</v>
      </c>
      <c r="E51" s="164" t="s">
        <v>73</v>
      </c>
      <c r="F51" s="164" t="s">
        <v>73</v>
      </c>
      <c r="G51" s="96">
        <v>45748</v>
      </c>
      <c r="H51" s="130">
        <f>DAY(EOMONTH(PA[[#This Row],[Date]], 0))</f>
        <v>30</v>
      </c>
      <c r="I51" s="120">
        <v>0.29166666666666669</v>
      </c>
      <c r="J51" s="120">
        <v>0.79166666666666663</v>
      </c>
      <c r="K51" s="131">
        <f>IFERROR((PA[[#This Row],[Sunset Time (POA&lt;20 W/m2)]]-PA[[#This Row],[Sunrise Time (POA&gt;20 W/m2)]])*24,"")</f>
        <v>11.999999999999998</v>
      </c>
      <c r="L51" s="128" t="s">
        <v>559</v>
      </c>
      <c r="M51" s="128"/>
      <c r="N51" s="128"/>
      <c r="O51" s="128" t="s">
        <v>607</v>
      </c>
      <c r="P51" s="130"/>
      <c r="Q51" s="129"/>
      <c r="R5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v>
      </c>
      <c r="S51" s="131">
        <v>22.5</v>
      </c>
      <c r="T51" s="132">
        <f>IFERROR(_xlfn.XLOOKUP(PA[[#This Row],[Affected Equipment ]],'Basic Data '!A:A,'Basic Data '!C:C),"")</f>
        <v>1.6666666666666668E-3</v>
      </c>
      <c r="U51" s="128" t="s">
        <v>604</v>
      </c>
      <c r="V51" s="117"/>
      <c r="W51" s="118" t="s">
        <v>605</v>
      </c>
      <c r="X51" s="120">
        <v>0.375</v>
      </c>
      <c r="Y51" s="120">
        <v>0.375</v>
      </c>
      <c r="Z51" s="120">
        <v>0.5625</v>
      </c>
      <c r="AA51" s="120">
        <v>0.5625</v>
      </c>
      <c r="AB51" s="158">
        <f>IF(PA[[#This Row],[Acknowledgement Time ]]="NA","",(PA[[#This Row],[Acknowledgement Time ]]-PA[[#This Row],[Fault Time]])*24)</f>
        <v>0</v>
      </c>
      <c r="AC51" s="158">
        <f>IF(PA[[#This Row],[Work Start time on Fault]]="NA","",(PA[[#This Row],[Work Start time on Fault]]-PA[[#This Row],[Fault Time]])*24)</f>
        <v>4.5</v>
      </c>
      <c r="AD51" s="112">
        <f>IF(PA[[#This Row],[Status]]="Open","",(PA[[#This Row],[Work Completion time on fault]]-PA[[#This Row],[Fault Time]])*24)</f>
        <v>4.5</v>
      </c>
      <c r="AE51" s="111">
        <f>IFERROR((PA[[#This Row],[Work Completion time on fault]]-PA[[#This Row],[Fault Time]])*24,"")</f>
        <v>4.5</v>
      </c>
      <c r="AF51" s="226" t="s">
        <v>614</v>
      </c>
      <c r="AG51" s="6" t="s">
        <v>1275</v>
      </c>
      <c r="AH51" s="131">
        <v>0</v>
      </c>
      <c r="AI51" s="128">
        <v>4.0999999999999996</v>
      </c>
      <c r="AJ51" s="89">
        <f>IFERROR(IF(PA[[#This Row],[Lost PoA(kWh/m2)]]&gt;0,_xlfn.XLOOKUP(G51,'Modelling New'!$D:$D,'Modelling New'!$O:$O)*PA[[#This Row],[Lost PoA(kWh/m2)]]*S51,0),"")</f>
        <v>70.201367210338674</v>
      </c>
    </row>
    <row r="52" spans="1:36" hidden="1" x14ac:dyDescent="0.25">
      <c r="A52" s="229">
        <v>1751</v>
      </c>
      <c r="B52" s="233">
        <v>45777</v>
      </c>
      <c r="C52" s="128"/>
      <c r="D52" s="129">
        <f>YEAR(PA[[#This Row],[Date]])</f>
        <v>2025</v>
      </c>
      <c r="E52" s="164" t="s">
        <v>73</v>
      </c>
      <c r="F52" s="164" t="s">
        <v>73</v>
      </c>
      <c r="G52" s="96">
        <v>45748</v>
      </c>
      <c r="H52" s="130">
        <f>DAY(EOMONTH(PA[[#This Row],[Date]], 0))</f>
        <v>30</v>
      </c>
      <c r="I52" s="120">
        <v>0.29166666666666669</v>
      </c>
      <c r="J52" s="120">
        <v>0.79166666666666663</v>
      </c>
      <c r="K52" s="131">
        <f>IFERROR((PA[[#This Row],[Sunset Time (POA&lt;20 W/m2)]]-PA[[#This Row],[Sunrise Time (POA&gt;20 W/m2)]])*24,"")</f>
        <v>11.999999999999998</v>
      </c>
      <c r="L52" s="128" t="s">
        <v>615</v>
      </c>
      <c r="M52" s="128"/>
      <c r="N52" s="128"/>
      <c r="O52" s="128" t="s">
        <v>616</v>
      </c>
      <c r="P52" s="130"/>
      <c r="Q52" s="129"/>
      <c r="R5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BLK6INV7</v>
      </c>
      <c r="S52" s="131">
        <v>88</v>
      </c>
      <c r="T52" s="132">
        <f>IFERROR(_xlfn.XLOOKUP(PA[[#This Row],[Affected Equipment ]],'Basic Data '!A:A,'Basic Data '!C:C),"")</f>
        <v>4.4494382022471912E-3</v>
      </c>
      <c r="U52" s="128" t="s">
        <v>604</v>
      </c>
      <c r="V52" s="117"/>
      <c r="W52" s="118" t="s">
        <v>605</v>
      </c>
      <c r="X52" s="120">
        <v>0.375</v>
      </c>
      <c r="Y52" s="120">
        <v>0.375</v>
      </c>
      <c r="Z52" s="120">
        <v>0.41666666666666669</v>
      </c>
      <c r="AA52" s="120">
        <v>0.45833333333333331</v>
      </c>
      <c r="AB52" s="159">
        <f>IF(PA[[#This Row],[Acknowledgement Time ]]="NA","",(PA[[#This Row],[Acknowledgement Time ]]-PA[[#This Row],[Fault Time]])*24)</f>
        <v>0</v>
      </c>
      <c r="AC52" s="159">
        <f>IF(PA[[#This Row],[Work Start time on Fault]]="NA","",(PA[[#This Row],[Work Start time on Fault]]-PA[[#This Row],[Fault Time]])*24)</f>
        <v>1.0000000000000004</v>
      </c>
      <c r="AD52" s="135">
        <f>IF(PA[[#This Row],[Status]]="Open","",(PA[[#This Row],[Work Completion time on fault]]-PA[[#This Row],[Fault Time]])*24)</f>
        <v>1.9999999999999996</v>
      </c>
      <c r="AE52" s="134">
        <f>IFERROR((PA[[#This Row],[Work Completion time on fault]]-PA[[#This Row],[Fault Time]])*24,"")</f>
        <v>1.9999999999999996</v>
      </c>
      <c r="AF52" s="226" t="s">
        <v>614</v>
      </c>
      <c r="AG52" s="6" t="s">
        <v>1275</v>
      </c>
      <c r="AH52" s="131">
        <v>0</v>
      </c>
      <c r="AI52" s="128">
        <v>0.8</v>
      </c>
      <c r="AJ52" s="89">
        <f>IFERROR(IF(PA[[#This Row],[Lost PoA(kWh/m2)]]&gt;0,_xlfn.XLOOKUP(G52,'Modelling New'!$D:$D,'Modelling New'!$O:$O)*PA[[#This Row],[Lost PoA(kWh/m2)]]*S52,0),"")</f>
        <v>53.573726304692073</v>
      </c>
    </row>
    <row r="53" spans="1:36" hidden="1" x14ac:dyDescent="0.25">
      <c r="A53" s="229">
        <v>1752</v>
      </c>
      <c r="B53" s="233">
        <v>45777</v>
      </c>
      <c r="C53" s="128"/>
      <c r="D53" s="129">
        <f>YEAR(PA[[#This Row],[Date]])</f>
        <v>2025</v>
      </c>
      <c r="E53" s="164" t="s">
        <v>73</v>
      </c>
      <c r="F53" s="164" t="s">
        <v>73</v>
      </c>
      <c r="G53" s="96">
        <v>45748</v>
      </c>
      <c r="H53" s="130">
        <f>DAY(EOMONTH(PA[[#This Row],[Date]], 0))</f>
        <v>30</v>
      </c>
      <c r="I53" s="120">
        <v>0.29166666666666669</v>
      </c>
      <c r="J53" s="120">
        <v>0.79166666666666663</v>
      </c>
      <c r="K53" s="131">
        <f>IFERROR((PA[[#This Row],[Sunset Time (POA&lt;20 W/m2)]]-PA[[#This Row],[Sunrise Time (POA&gt;20 W/m2)]])*24,"")</f>
        <v>11.999999999999998</v>
      </c>
      <c r="L53" s="128" t="s">
        <v>615</v>
      </c>
      <c r="M53" s="128"/>
      <c r="N53" s="128"/>
      <c r="O53" s="128" t="s">
        <v>598</v>
      </c>
      <c r="P53" s="130"/>
      <c r="Q53" s="129"/>
      <c r="R5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BLK6INV6</v>
      </c>
      <c r="S53" s="131">
        <v>22</v>
      </c>
      <c r="T53" s="132">
        <f>IFERROR(_xlfn.XLOOKUP(PA[[#This Row],[Affected Equipment ]],'Basic Data '!A:A,'Basic Data '!C:C),"")</f>
        <v>4.4494382022471912E-3</v>
      </c>
      <c r="U53" s="128" t="s">
        <v>604</v>
      </c>
      <c r="V53" s="117"/>
      <c r="W53" s="118" t="s">
        <v>605</v>
      </c>
      <c r="X53" s="120">
        <v>0.375</v>
      </c>
      <c r="Y53" s="120">
        <v>0.375</v>
      </c>
      <c r="Z53" s="120">
        <v>0.46875</v>
      </c>
      <c r="AA53" s="120">
        <v>0.47916666666666669</v>
      </c>
      <c r="AB53" s="159">
        <f>IF(PA[[#This Row],[Acknowledgement Time ]]="NA","",(PA[[#This Row],[Acknowledgement Time ]]-PA[[#This Row],[Fault Time]])*24)</f>
        <v>0</v>
      </c>
      <c r="AC53" s="159">
        <f>IF(PA[[#This Row],[Work Start time on Fault]]="NA","",(PA[[#This Row],[Work Start time on Fault]]-PA[[#This Row],[Fault Time]])*24)</f>
        <v>2.25</v>
      </c>
      <c r="AD53" s="135">
        <f>IF(PA[[#This Row],[Status]]="Open","",(PA[[#This Row],[Work Completion time on fault]]-PA[[#This Row],[Fault Time]])*24)</f>
        <v>2.5000000000000004</v>
      </c>
      <c r="AE53" s="134">
        <f>IFERROR((PA[[#This Row],[Work Completion time on fault]]-PA[[#This Row],[Fault Time]])*24,"")</f>
        <v>2.5000000000000004</v>
      </c>
      <c r="AF53" s="226" t="s">
        <v>614</v>
      </c>
      <c r="AG53" s="6" t="s">
        <v>1275</v>
      </c>
      <c r="AH53" s="131">
        <v>0</v>
      </c>
      <c r="AI53" s="128">
        <v>1</v>
      </c>
      <c r="AJ53" s="89">
        <f>IFERROR(IF(PA[[#This Row],[Lost PoA(kWh/m2)]]&gt;0,_xlfn.XLOOKUP(G53,'Modelling New'!$D:$D,'Modelling New'!$O:$O)*PA[[#This Row],[Lost PoA(kWh/m2)]]*S53,0),"")</f>
        <v>16.741789470216272</v>
      </c>
    </row>
    <row r="54" spans="1:36" hidden="1" x14ac:dyDescent="0.25">
      <c r="A54" s="229">
        <v>1753</v>
      </c>
      <c r="B54" s="233">
        <v>45777</v>
      </c>
      <c r="C54" s="128"/>
      <c r="D54" s="129">
        <f>YEAR(PA[[#This Row],[Date]])</f>
        <v>2025</v>
      </c>
      <c r="E54" s="164" t="s">
        <v>73</v>
      </c>
      <c r="F54" s="164" t="s">
        <v>73</v>
      </c>
      <c r="G54" s="96">
        <v>45748</v>
      </c>
      <c r="H54" s="130">
        <f>DAY(EOMONTH(PA[[#This Row],[Date]], 0))</f>
        <v>30</v>
      </c>
      <c r="I54" s="120">
        <v>0.29166666666666669</v>
      </c>
      <c r="J54" s="120">
        <v>0.79166666666666663</v>
      </c>
      <c r="K54" s="131">
        <f>IFERROR((PA[[#This Row],[Sunset Time (POA&lt;20 W/m2)]]-PA[[#This Row],[Sunrise Time (POA&gt;20 W/m2)]])*24,"")</f>
        <v>11.999999999999998</v>
      </c>
      <c r="L54" s="128" t="s">
        <v>587</v>
      </c>
      <c r="M54" s="128"/>
      <c r="N54" s="128"/>
      <c r="O54" s="128" t="s">
        <v>581</v>
      </c>
      <c r="P54" s="130"/>
      <c r="Q54" s="129"/>
      <c r="R5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BLK1INV32</v>
      </c>
      <c r="S54" s="131">
        <v>22.25</v>
      </c>
      <c r="T54" s="132">
        <f>IFERROR(_xlfn.XLOOKUP(PA[[#This Row],[Affected Equipment ]],'Basic Data '!A:A,'Basic Data '!C:C),"")</f>
        <v>4.4999999999999997E-3</v>
      </c>
      <c r="U54" s="128" t="s">
        <v>604</v>
      </c>
      <c r="V54" s="117"/>
      <c r="W54" s="118" t="s">
        <v>605</v>
      </c>
      <c r="X54" s="120">
        <v>0.375</v>
      </c>
      <c r="Y54" s="120">
        <v>0.375</v>
      </c>
      <c r="Z54" s="120">
        <v>0.4826388888888889</v>
      </c>
      <c r="AA54" s="120">
        <v>0.49305555555555558</v>
      </c>
      <c r="AB54" s="159">
        <f>IF(PA[[#This Row],[Acknowledgement Time ]]="NA","",(PA[[#This Row],[Acknowledgement Time ]]-PA[[#This Row],[Fault Time]])*24)</f>
        <v>0</v>
      </c>
      <c r="AC54" s="159">
        <f>IF(PA[[#This Row],[Work Start time on Fault]]="NA","",(PA[[#This Row],[Work Start time on Fault]]-PA[[#This Row],[Fault Time]])*24)</f>
        <v>2.5833333333333335</v>
      </c>
      <c r="AD54" s="135">
        <f>IF(PA[[#This Row],[Status]]="Open","",(PA[[#This Row],[Work Completion time on fault]]-PA[[#This Row],[Fault Time]])*24)</f>
        <v>2.8333333333333339</v>
      </c>
      <c r="AE54" s="134">
        <f>IFERROR((PA[[#This Row],[Work Completion time on fault]]-PA[[#This Row],[Fault Time]])*24,"")</f>
        <v>2.8333333333333339</v>
      </c>
      <c r="AF54" s="226" t="s">
        <v>614</v>
      </c>
      <c r="AG54" s="6" t="s">
        <v>1275</v>
      </c>
      <c r="AH54" s="131">
        <v>0</v>
      </c>
      <c r="AI54" s="128">
        <v>1.5</v>
      </c>
      <c r="AJ54" s="89">
        <f>IFERROR(IF(PA[[#This Row],[Lost PoA(kWh/m2)]]&gt;0,_xlfn.XLOOKUP(G54,'Modelling New'!$D:$D,'Modelling New'!$O:$O)*PA[[#This Row],[Lost PoA(kWh/m2)]]*S54,0),"")</f>
        <v>25.39805561674855</v>
      </c>
    </row>
    <row r="55" spans="1:36" hidden="1" x14ac:dyDescent="0.25">
      <c r="A55" s="229">
        <v>1754</v>
      </c>
      <c r="B55" s="233">
        <v>45777</v>
      </c>
      <c r="C55" s="128"/>
      <c r="D55" s="129">
        <f>YEAR(PA[[#This Row],[Date]])</f>
        <v>2025</v>
      </c>
      <c r="E55" s="164" t="s">
        <v>73</v>
      </c>
      <c r="F55" s="164" t="s">
        <v>73</v>
      </c>
      <c r="G55" s="96">
        <v>45748</v>
      </c>
      <c r="H55" s="130">
        <f>DAY(EOMONTH(PA[[#This Row],[Date]], 0))</f>
        <v>30</v>
      </c>
      <c r="I55" s="120">
        <v>0.29166666666666669</v>
      </c>
      <c r="J55" s="120">
        <v>0.79166666666666663</v>
      </c>
      <c r="K55" s="131">
        <f>IFERROR((PA[[#This Row],[Sunset Time (POA&lt;20 W/m2)]]-PA[[#This Row],[Sunrise Time (POA&gt;20 W/m2)]])*24,"")</f>
        <v>11.999999999999998</v>
      </c>
      <c r="L55" s="128" t="s">
        <v>615</v>
      </c>
      <c r="M55" s="128"/>
      <c r="N55" s="128"/>
      <c r="O55" s="128" t="s">
        <v>617</v>
      </c>
      <c r="P55" s="130"/>
      <c r="Q55" s="129"/>
      <c r="R5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BLK6INV8</v>
      </c>
      <c r="S55" s="131">
        <v>22</v>
      </c>
      <c r="T55" s="132">
        <f>IFERROR(_xlfn.XLOOKUP(PA[[#This Row],[Affected Equipment ]],'Basic Data '!A:A,'Basic Data '!C:C),"")</f>
        <v>4.4494382022471912E-3</v>
      </c>
      <c r="U55" s="128" t="s">
        <v>604</v>
      </c>
      <c r="V55" s="117"/>
      <c r="W55" s="118" t="s">
        <v>605</v>
      </c>
      <c r="X55" s="120">
        <v>0.375</v>
      </c>
      <c r="Y55" s="120">
        <v>0.375</v>
      </c>
      <c r="Z55" s="120">
        <v>0.49652777777777773</v>
      </c>
      <c r="AA55" s="120">
        <v>0.50694444444444442</v>
      </c>
      <c r="AB55" s="159">
        <f>IF(PA[[#This Row],[Acknowledgement Time ]]="NA","",(PA[[#This Row],[Acknowledgement Time ]]-PA[[#This Row],[Fault Time]])*24)</f>
        <v>0</v>
      </c>
      <c r="AC55" s="159">
        <f>IF(PA[[#This Row],[Work Start time on Fault]]="NA","",(PA[[#This Row],[Work Start time on Fault]]-PA[[#This Row],[Fault Time]])*24)</f>
        <v>2.9166666666666656</v>
      </c>
      <c r="AD55" s="135">
        <f>IF(PA[[#This Row],[Status]]="Open","",(PA[[#This Row],[Work Completion time on fault]]-PA[[#This Row],[Fault Time]])*24)</f>
        <v>3.1666666666666661</v>
      </c>
      <c r="AE55" s="134">
        <f>IFERROR((PA[[#This Row],[Work Completion time on fault]]-PA[[#This Row],[Fault Time]])*24,"")</f>
        <v>3.1666666666666661</v>
      </c>
      <c r="AF55" s="226" t="s">
        <v>614</v>
      </c>
      <c r="AG55" s="6" t="s">
        <v>1275</v>
      </c>
      <c r="AH55" s="131">
        <v>0</v>
      </c>
      <c r="AI55" s="128">
        <v>1.7</v>
      </c>
      <c r="AJ55" s="89">
        <f>IFERROR(IF(PA[[#This Row],[Lost PoA(kWh/m2)]]&gt;0,_xlfn.XLOOKUP(G55,'Modelling New'!$D:$D,'Modelling New'!$O:$O)*PA[[#This Row],[Lost PoA(kWh/m2)]]*S55,0),"")</f>
        <v>28.461042099367663</v>
      </c>
    </row>
    <row r="56" spans="1:36" hidden="1" x14ac:dyDescent="0.25">
      <c r="A56" s="229">
        <v>1755</v>
      </c>
      <c r="B56" s="233">
        <v>45777</v>
      </c>
      <c r="C56" s="128"/>
      <c r="D56" s="129">
        <f>YEAR(PA[[#This Row],[Date]])</f>
        <v>2025</v>
      </c>
      <c r="E56" s="164" t="s">
        <v>73</v>
      </c>
      <c r="F56" s="164" t="s">
        <v>73</v>
      </c>
      <c r="G56" s="96">
        <v>45748</v>
      </c>
      <c r="H56" s="130">
        <f>DAY(EOMONTH(PA[[#This Row],[Date]], 0))</f>
        <v>30</v>
      </c>
      <c r="I56" s="120">
        <v>0.29166666666666669</v>
      </c>
      <c r="J56" s="120">
        <v>0.79166666666666663</v>
      </c>
      <c r="K56" s="131">
        <f>IFERROR((PA[[#This Row],[Sunset Time (POA&lt;20 W/m2)]]-PA[[#This Row],[Sunrise Time (POA&gt;20 W/m2)]])*24,"")</f>
        <v>11.999999999999998</v>
      </c>
      <c r="L56" s="128" t="s">
        <v>615</v>
      </c>
      <c r="M56" s="128"/>
      <c r="N56" s="128"/>
      <c r="O56" s="128" t="s">
        <v>618</v>
      </c>
      <c r="P56" s="130"/>
      <c r="Q56" s="129"/>
      <c r="R5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BLK6INV15</v>
      </c>
      <c r="S56" s="131">
        <v>22</v>
      </c>
      <c r="T56" s="132">
        <f>IFERROR(_xlfn.XLOOKUP(PA[[#This Row],[Affected Equipment ]],'Basic Data '!A:A,'Basic Data '!C:C),"")</f>
        <v>4.1198501872659176E-3</v>
      </c>
      <c r="U56" s="128" t="s">
        <v>604</v>
      </c>
      <c r="V56" s="117"/>
      <c r="W56" s="118" t="s">
        <v>605</v>
      </c>
      <c r="X56" s="120">
        <v>0.375</v>
      </c>
      <c r="Y56" s="120">
        <v>0.375</v>
      </c>
      <c r="Z56" s="120">
        <v>0.51041666666666663</v>
      </c>
      <c r="AA56" s="120">
        <v>0.52083333333333337</v>
      </c>
      <c r="AB56" s="159">
        <f>IF(PA[[#This Row],[Acknowledgement Time ]]="NA","",(PA[[#This Row],[Acknowledgement Time ]]-PA[[#This Row],[Fault Time]])*24)</f>
        <v>0</v>
      </c>
      <c r="AC56" s="159">
        <f>IF(PA[[#This Row],[Work Start time on Fault]]="NA","",(PA[[#This Row],[Work Start time on Fault]]-PA[[#This Row],[Fault Time]])*24)</f>
        <v>3.2499999999999991</v>
      </c>
      <c r="AD56" s="135">
        <f>IF(PA[[#This Row],[Status]]="Open","",(PA[[#This Row],[Work Completion time on fault]]-PA[[#This Row],[Fault Time]])*24)</f>
        <v>3.5000000000000009</v>
      </c>
      <c r="AE56" s="134">
        <f>IFERROR((PA[[#This Row],[Work Completion time on fault]]-PA[[#This Row],[Fault Time]])*24,"")</f>
        <v>3.5000000000000009</v>
      </c>
      <c r="AF56" s="226" t="s">
        <v>614</v>
      </c>
      <c r="AG56" s="6" t="s">
        <v>1275</v>
      </c>
      <c r="AH56" s="131">
        <v>0</v>
      </c>
      <c r="AI56" s="128">
        <v>2</v>
      </c>
      <c r="AJ56" s="89">
        <f>IFERROR(IF(PA[[#This Row],[Lost PoA(kWh/m2)]]&gt;0,_xlfn.XLOOKUP(G56,'Modelling New'!$D:$D,'Modelling New'!$O:$O)*PA[[#This Row],[Lost PoA(kWh/m2)]]*S56,0),"")</f>
        <v>33.483578940432544</v>
      </c>
    </row>
    <row r="57" spans="1:36" hidden="1" x14ac:dyDescent="0.25">
      <c r="A57" s="229">
        <v>1756</v>
      </c>
      <c r="B57" s="233">
        <v>45777</v>
      </c>
      <c r="C57" s="128"/>
      <c r="D57" s="129">
        <f>YEAR(PA[[#This Row],[Date]])</f>
        <v>2025</v>
      </c>
      <c r="E57" s="164" t="s">
        <v>73</v>
      </c>
      <c r="F57" s="164" t="s">
        <v>73</v>
      </c>
      <c r="G57" s="96">
        <v>45748</v>
      </c>
      <c r="H57" s="130">
        <f>DAY(EOMONTH(PA[[#This Row],[Date]], 0))</f>
        <v>30</v>
      </c>
      <c r="I57" s="120">
        <v>0.29166666666666669</v>
      </c>
      <c r="J57" s="120">
        <v>0.79166666666666663</v>
      </c>
      <c r="K57" s="131">
        <f>IFERROR((PA[[#This Row],[Sunset Time (POA&lt;20 W/m2)]]-PA[[#This Row],[Sunrise Time (POA&gt;20 W/m2)]])*24,"")</f>
        <v>11.999999999999998</v>
      </c>
      <c r="L57" s="128" t="s">
        <v>559</v>
      </c>
      <c r="M57" s="128"/>
      <c r="N57" s="128"/>
      <c r="O57" s="128" t="s">
        <v>610</v>
      </c>
      <c r="P57" s="130"/>
      <c r="Q57" s="129"/>
      <c r="R5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BLK2INV24</v>
      </c>
      <c r="S57" s="131">
        <v>44.5</v>
      </c>
      <c r="T57" s="132">
        <f>IFERROR(_xlfn.XLOOKUP(PA[[#This Row],[Affected Equipment ]],'Basic Data '!A:A,'Basic Data '!C:C),"")</f>
        <v>4.3333333333333331E-3</v>
      </c>
      <c r="U57" s="128" t="s">
        <v>604</v>
      </c>
      <c r="V57" s="117"/>
      <c r="W57" s="118" t="s">
        <v>605</v>
      </c>
      <c r="X57" s="120">
        <v>0.375</v>
      </c>
      <c r="Y57" s="120">
        <v>0.375</v>
      </c>
      <c r="Z57" s="120">
        <v>0.67013888888888884</v>
      </c>
      <c r="AA57" s="120">
        <v>0.68402777777777779</v>
      </c>
      <c r="AB57" s="159">
        <f>IF(PA[[#This Row],[Acknowledgement Time ]]="NA","",(PA[[#This Row],[Acknowledgement Time ]]-PA[[#This Row],[Fault Time]])*24)</f>
        <v>0</v>
      </c>
      <c r="AC57" s="159">
        <f>IF(PA[[#This Row],[Work Start time on Fault]]="NA","",(PA[[#This Row],[Work Start time on Fault]]-PA[[#This Row],[Fault Time]])*24)</f>
        <v>7.0833333333333321</v>
      </c>
      <c r="AD57" s="135">
        <f>IF(PA[[#This Row],[Status]]="Open","",(PA[[#This Row],[Work Completion time on fault]]-PA[[#This Row],[Fault Time]])*24)</f>
        <v>7.416666666666667</v>
      </c>
      <c r="AE57" s="134">
        <f>IFERROR((PA[[#This Row],[Work Completion time on fault]]-PA[[#This Row],[Fault Time]])*24,"")</f>
        <v>7.416666666666667</v>
      </c>
      <c r="AF57" s="226" t="s">
        <v>614</v>
      </c>
      <c r="AG57" s="6" t="s">
        <v>1275</v>
      </c>
      <c r="AH57" s="131">
        <v>0</v>
      </c>
      <c r="AI57" s="128">
        <v>4.5999999999999996</v>
      </c>
      <c r="AJ57" s="89">
        <f>IFERROR(IF(PA[[#This Row],[Lost PoA(kWh/m2)]]&gt;0,_xlfn.XLOOKUP(G57,'Modelling New'!$D:$D,'Modelling New'!$O:$O)*PA[[#This Row],[Lost PoA(kWh/m2)]]*S57,0),"")</f>
        <v>155.77474111605775</v>
      </c>
    </row>
    <row r="58" spans="1:36" hidden="1" x14ac:dyDescent="0.25">
      <c r="A58" s="229">
        <v>1757</v>
      </c>
      <c r="B58" s="233">
        <v>45779</v>
      </c>
      <c r="C58" s="128"/>
      <c r="D58" s="129">
        <f>YEAR(PA[[#This Row],[Date]])</f>
        <v>2025</v>
      </c>
      <c r="E58" s="164" t="s">
        <v>73</v>
      </c>
      <c r="F58" s="164" t="s">
        <v>73</v>
      </c>
      <c r="G58" s="96">
        <v>45748</v>
      </c>
      <c r="H58" s="130">
        <f>DAY(EOMONTH(PA[[#This Row],[Date]], 0))</f>
        <v>31</v>
      </c>
      <c r="I58" s="120">
        <v>0.29166666666666669</v>
      </c>
      <c r="J58" s="120">
        <v>0.79166666666666663</v>
      </c>
      <c r="K58" s="131">
        <f>IFERROR((PA[[#This Row],[Sunset Time (POA&lt;20 W/m2)]]-PA[[#This Row],[Sunrise Time (POA&gt;20 W/m2)]])*24,"")</f>
        <v>11.999999999999998</v>
      </c>
      <c r="L58" s="128" t="s">
        <v>597</v>
      </c>
      <c r="M58" s="128"/>
      <c r="N58" s="128"/>
      <c r="O58" s="128" t="s">
        <v>578</v>
      </c>
      <c r="P58" s="130"/>
      <c r="Q58" s="129"/>
      <c r="R5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BLK3INV12</v>
      </c>
      <c r="S58" s="131">
        <v>300.38</v>
      </c>
      <c r="T58" s="132">
        <f>IFERROR(_xlfn.XLOOKUP(PA[[#This Row],[Affected Equipment ]],'Basic Data '!A:A,'Basic Data '!C:C),"")</f>
        <v>4.4999999999999997E-3</v>
      </c>
      <c r="U58" s="128" t="s">
        <v>566</v>
      </c>
      <c r="V58" s="117"/>
      <c r="W58" s="118" t="s">
        <v>619</v>
      </c>
      <c r="X58" s="120">
        <v>0.30138888888888887</v>
      </c>
      <c r="Y58" s="120">
        <v>0.30416666666666664</v>
      </c>
      <c r="Z58" s="120">
        <v>0.45833333333333331</v>
      </c>
      <c r="AA58" s="120">
        <v>0.53125</v>
      </c>
      <c r="AB58" s="159">
        <f>IF(PA[[#This Row],[Acknowledgement Time ]]="NA","",(PA[[#This Row],[Acknowledgement Time ]]-PA[[#This Row],[Fault Time]])*24)</f>
        <v>6.666666666666643E-2</v>
      </c>
      <c r="AC58" s="159">
        <f>IF(PA[[#This Row],[Work Start time on Fault]]="NA","",(PA[[#This Row],[Work Start time on Fault]]-PA[[#This Row],[Fault Time]])*24)</f>
        <v>3.7666666666666666</v>
      </c>
      <c r="AD58" s="135">
        <f>IF(PA[[#This Row],[Status]]="Open","",(PA[[#This Row],[Work Completion time on fault]]-PA[[#This Row],[Fault Time]])*24)</f>
        <v>5.5166666666666675</v>
      </c>
      <c r="AE58" s="134">
        <f>IFERROR((PA[[#This Row],[Work Completion time on fault]]-PA[[#This Row],[Fault Time]])*24,"")</f>
        <v>5.5166666666666675</v>
      </c>
      <c r="AF58" s="118" t="s">
        <v>620</v>
      </c>
      <c r="AG58" s="6" t="s">
        <v>1275</v>
      </c>
      <c r="AH58" s="131">
        <v>0</v>
      </c>
      <c r="AI58" s="128">
        <v>0.3</v>
      </c>
      <c r="AJ58" s="89">
        <f>IFERROR(IF(PA[[#This Row],[Lost PoA(kWh/m2)]]&gt;0,_xlfn.XLOOKUP(G58,'Modelling New'!$D:$D,'Modelling New'!$O:$O)*PA[[#This Row],[Lost PoA(kWh/m2)]]*S58,0),"")</f>
        <v>68.575891650866765</v>
      </c>
    </row>
    <row r="59" spans="1:36" hidden="1" x14ac:dyDescent="0.25">
      <c r="A59" s="229">
        <v>1758</v>
      </c>
      <c r="B59" s="233">
        <v>45779</v>
      </c>
      <c r="C59" s="128"/>
      <c r="D59" s="129">
        <f>YEAR(PA[[#This Row],[Date]])</f>
        <v>2025</v>
      </c>
      <c r="E59" s="164" t="s">
        <v>73</v>
      </c>
      <c r="F59" s="164" t="s">
        <v>73</v>
      </c>
      <c r="G59" s="96">
        <v>45748</v>
      </c>
      <c r="H59" s="130">
        <f>DAY(EOMONTH(PA[[#This Row],[Date]], 0))</f>
        <v>31</v>
      </c>
      <c r="I59" s="120">
        <v>0.29166666666666669</v>
      </c>
      <c r="J59" s="120">
        <v>0.79166666666666663</v>
      </c>
      <c r="K59" s="131">
        <f>IFERROR((PA[[#This Row],[Sunset Time (POA&lt;20 W/m2)]]-PA[[#This Row],[Sunrise Time (POA&gt;20 W/m2)]])*24,"")</f>
        <v>11.999999999999998</v>
      </c>
      <c r="L59" s="128" t="s">
        <v>621</v>
      </c>
      <c r="M59" s="128"/>
      <c r="N59" s="128"/>
      <c r="O59" s="128" t="s">
        <v>612</v>
      </c>
      <c r="P59" s="130"/>
      <c r="Q59" s="129"/>
      <c r="R5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59" s="131">
        <v>22.2</v>
      </c>
      <c r="T59" s="132">
        <f>IFERROR(_xlfn.XLOOKUP(PA[[#This Row],[Affected Equipment ]],'Basic Data '!A:A,'Basic Data '!C:C),"")</f>
        <v>4.4999999999999997E-3</v>
      </c>
      <c r="U59" s="128" t="s">
        <v>604</v>
      </c>
      <c r="V59" s="117"/>
      <c r="W59" s="114" t="s">
        <v>622</v>
      </c>
      <c r="X59" s="120">
        <v>0.30416666666666664</v>
      </c>
      <c r="Y59" s="120">
        <v>0.375</v>
      </c>
      <c r="Z59" s="120">
        <v>0.5</v>
      </c>
      <c r="AA59" s="120">
        <v>0.51041666666666663</v>
      </c>
      <c r="AB59" s="159">
        <f>IF(PA[[#This Row],[Acknowledgement Time ]]="NA","",(PA[[#This Row],[Acknowledgement Time ]]-PA[[#This Row],[Fault Time]])*24)</f>
        <v>1.7000000000000006</v>
      </c>
      <c r="AC59" s="159">
        <f>IF(PA[[#This Row],[Work Start time on Fault]]="NA","",(PA[[#This Row],[Work Start time on Fault]]-PA[[#This Row],[Fault Time]])*24)</f>
        <v>4.7000000000000011</v>
      </c>
      <c r="AD59" s="135">
        <f>IF(PA[[#This Row],[Status]]="Open","",(PA[[#This Row],[Work Completion time on fault]]-PA[[#This Row],[Fault Time]])*24)</f>
        <v>4.9499999999999993</v>
      </c>
      <c r="AE59" s="134">
        <f>IFERROR((PA[[#This Row],[Work Completion time on fault]]-PA[[#This Row],[Fault Time]])*24,"")</f>
        <v>4.9499999999999993</v>
      </c>
      <c r="AF59" s="114" t="s">
        <v>623</v>
      </c>
      <c r="AG59" s="6" t="s">
        <v>1275</v>
      </c>
      <c r="AH59" s="131">
        <v>0</v>
      </c>
      <c r="AI59" s="128">
        <v>0.29299999999999998</v>
      </c>
      <c r="AJ59" s="89">
        <f>IFERROR(IF(PA[[#This Row],[Lost PoA(kWh/m2)]]&gt;0,_xlfn.XLOOKUP(G59,'Modelling New'!$D:$D,'Modelling New'!$O:$O)*PA[[#This Row],[Lost PoA(kWh/m2)]]*S59,0),"")</f>
        <v>4.9499383539985793</v>
      </c>
    </row>
    <row r="60" spans="1:36" hidden="1" x14ac:dyDescent="0.25">
      <c r="A60" s="229">
        <v>1759</v>
      </c>
      <c r="B60" s="233">
        <v>45779</v>
      </c>
      <c r="C60" s="128"/>
      <c r="D60" s="129">
        <f>YEAR(PA[[#This Row],[Date]])</f>
        <v>2025</v>
      </c>
      <c r="E60" s="164" t="s">
        <v>73</v>
      </c>
      <c r="F60" s="164" t="s">
        <v>73</v>
      </c>
      <c r="G60" s="96">
        <v>45748</v>
      </c>
      <c r="H60" s="130">
        <f>DAY(EOMONTH(PA[[#This Row],[Date]], 0))</f>
        <v>31</v>
      </c>
      <c r="I60" s="120">
        <v>0.29166666666666669</v>
      </c>
      <c r="J60" s="120">
        <v>0.79166666666666663</v>
      </c>
      <c r="K60" s="131">
        <f>IFERROR((PA[[#This Row],[Sunset Time (POA&lt;20 W/m2)]]-PA[[#This Row],[Sunrise Time (POA&gt;20 W/m2)]])*24,"")</f>
        <v>11.999999999999998</v>
      </c>
      <c r="L60" s="128" t="s">
        <v>579</v>
      </c>
      <c r="M60" s="128"/>
      <c r="N60" s="128"/>
      <c r="O60" s="128" t="s">
        <v>616</v>
      </c>
      <c r="P60" s="130"/>
      <c r="Q60" s="129"/>
      <c r="R6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BLK8INV7</v>
      </c>
      <c r="S60" s="131">
        <v>22.2</v>
      </c>
      <c r="T60" s="132">
        <f>IFERROR(_xlfn.XLOOKUP(PA[[#This Row],[Affected Equipment ]],'Basic Data '!A:A,'Basic Data '!C:C),"")</f>
        <v>4.3333333333333331E-3</v>
      </c>
      <c r="U60" s="128" t="s">
        <v>604</v>
      </c>
      <c r="V60" s="117"/>
      <c r="W60" s="118" t="s">
        <v>622</v>
      </c>
      <c r="X60" s="120">
        <v>0.30416666666666664</v>
      </c>
      <c r="Y60" s="120">
        <v>0.375</v>
      </c>
      <c r="Z60" s="120">
        <v>0.51250000000000007</v>
      </c>
      <c r="AA60" s="120">
        <v>0.51944444444444449</v>
      </c>
      <c r="AB60" s="159">
        <f>IF(PA[[#This Row],[Acknowledgement Time ]]="NA","",(PA[[#This Row],[Acknowledgement Time ]]-PA[[#This Row],[Fault Time]])*24)</f>
        <v>1.7000000000000006</v>
      </c>
      <c r="AC60" s="159">
        <f>IF(PA[[#This Row],[Work Start time on Fault]]="NA","",(PA[[#This Row],[Work Start time on Fault]]-PA[[#This Row],[Fault Time]])*24)</f>
        <v>5.0000000000000018</v>
      </c>
      <c r="AD60" s="135">
        <f>IF(PA[[#This Row],[Status]]="Open","",(PA[[#This Row],[Work Completion time on fault]]-PA[[#This Row],[Fault Time]])*24)</f>
        <v>5.1666666666666679</v>
      </c>
      <c r="AE60" s="134">
        <f>IFERROR((PA[[#This Row],[Work Completion time on fault]]-PA[[#This Row],[Fault Time]])*24,"")</f>
        <v>5.1666666666666679</v>
      </c>
      <c r="AF60" s="114" t="s">
        <v>623</v>
      </c>
      <c r="AG60" s="6" t="s">
        <v>1275</v>
      </c>
      <c r="AH60" s="131">
        <v>0</v>
      </c>
      <c r="AI60" s="128">
        <v>0.317</v>
      </c>
      <c r="AJ60" s="89">
        <f>IFERROR(IF(PA[[#This Row],[Lost PoA(kWh/m2)]]&gt;0,_xlfn.XLOOKUP(G60,'Modelling New'!$D:$D,'Modelling New'!$O:$O)*PA[[#This Row],[Lost PoA(kWh/m2)]]*S60,0),"")</f>
        <v>5.3553940553499997</v>
      </c>
    </row>
    <row r="61" spans="1:36" hidden="1" x14ac:dyDescent="0.25">
      <c r="A61" s="229">
        <v>1760</v>
      </c>
      <c r="B61" s="233">
        <v>45779</v>
      </c>
      <c r="C61" s="128"/>
      <c r="D61" s="129">
        <f>YEAR(PA[[#This Row],[Date]])</f>
        <v>2025</v>
      </c>
      <c r="E61" s="164" t="s">
        <v>73</v>
      </c>
      <c r="F61" s="164" t="s">
        <v>73</v>
      </c>
      <c r="G61" s="96">
        <v>45748</v>
      </c>
      <c r="H61" s="130">
        <f>DAY(EOMONTH(PA[[#This Row],[Date]], 0))</f>
        <v>31</v>
      </c>
      <c r="I61" s="120">
        <v>0.29166666666666669</v>
      </c>
      <c r="J61" s="120">
        <v>0.79166666666666663</v>
      </c>
      <c r="K61" s="131">
        <f>IFERROR((PA[[#This Row],[Sunset Time (POA&lt;20 W/m2)]]-PA[[#This Row],[Sunrise Time (POA&gt;20 W/m2)]])*24,"")</f>
        <v>11.999999999999998</v>
      </c>
      <c r="L61" s="128" t="s">
        <v>579</v>
      </c>
      <c r="M61" s="128"/>
      <c r="N61" s="128"/>
      <c r="O61" s="128" t="s">
        <v>617</v>
      </c>
      <c r="P61" s="130"/>
      <c r="Q61" s="129"/>
      <c r="R6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BLK8INV8</v>
      </c>
      <c r="S61" s="131">
        <v>22.2</v>
      </c>
      <c r="T61" s="132">
        <f>IFERROR(_xlfn.XLOOKUP(PA[[#This Row],[Affected Equipment ]],'Basic Data '!A:A,'Basic Data '!C:C),"")</f>
        <v>4.0000000000000001E-3</v>
      </c>
      <c r="U61" s="128" t="s">
        <v>604</v>
      </c>
      <c r="V61" s="117"/>
      <c r="W61" s="118" t="s">
        <v>624</v>
      </c>
      <c r="X61" s="120">
        <v>0.30416666666666664</v>
      </c>
      <c r="Y61" s="120">
        <v>0.375</v>
      </c>
      <c r="Z61" s="120">
        <v>0.52430555555555558</v>
      </c>
      <c r="AA61" s="120">
        <v>0.53472222222222221</v>
      </c>
      <c r="AB61" s="159">
        <f>IF(PA[[#This Row],[Acknowledgement Time ]]="NA","",(PA[[#This Row],[Acknowledgement Time ]]-PA[[#This Row],[Fault Time]])*24)</f>
        <v>1.7000000000000006</v>
      </c>
      <c r="AC61" s="159">
        <f>IF(PA[[#This Row],[Work Start time on Fault]]="NA","",(PA[[#This Row],[Work Start time on Fault]]-PA[[#This Row],[Fault Time]])*24)</f>
        <v>5.283333333333335</v>
      </c>
      <c r="AD61" s="135">
        <f>IF(PA[[#This Row],[Status]]="Open","",(PA[[#This Row],[Work Completion time on fault]]-PA[[#This Row],[Fault Time]])*24)</f>
        <v>5.5333333333333332</v>
      </c>
      <c r="AE61" s="134">
        <f>IFERROR((PA[[#This Row],[Work Completion time on fault]]-PA[[#This Row],[Fault Time]])*24,"")</f>
        <v>5.5333333333333332</v>
      </c>
      <c r="AF61" s="118" t="s">
        <v>625</v>
      </c>
      <c r="AG61" s="6" t="s">
        <v>1275</v>
      </c>
      <c r="AH61" s="131">
        <v>0</v>
      </c>
      <c r="AI61" s="128">
        <v>0.32600000000000001</v>
      </c>
      <c r="AJ61" s="89">
        <f>IFERROR(IF(PA[[#This Row],[Lost PoA(kWh/m2)]]&gt;0,_xlfn.XLOOKUP(G61,'Modelling New'!$D:$D,'Modelling New'!$O:$O)*PA[[#This Row],[Lost PoA(kWh/m2)]]*S61,0),"")</f>
        <v>5.5074399433567818</v>
      </c>
    </row>
    <row r="62" spans="1:36" hidden="1" x14ac:dyDescent="0.25">
      <c r="A62" s="229">
        <v>1761</v>
      </c>
      <c r="B62" s="233">
        <v>45779</v>
      </c>
      <c r="C62" s="59"/>
      <c r="D62" s="6">
        <f>YEAR(PA[[#This Row],[Date]])</f>
        <v>2025</v>
      </c>
      <c r="E62" s="164" t="s">
        <v>73</v>
      </c>
      <c r="F62" s="164" t="s">
        <v>73</v>
      </c>
      <c r="G62" s="96">
        <v>45748</v>
      </c>
      <c r="H62" s="56">
        <f>DAY(EOMONTH(PA[[#This Row],[Date]], 0))</f>
        <v>31</v>
      </c>
      <c r="I62" s="120">
        <v>0.29166666666666669</v>
      </c>
      <c r="J62" s="120">
        <v>0.79166666666666663</v>
      </c>
      <c r="K62" s="53">
        <f>IFERROR((PA[[#This Row],[Sunset Time (POA&lt;20 W/m2)]]-PA[[#This Row],[Sunrise Time (POA&gt;20 W/m2)]])*24,"")</f>
        <v>11.999999999999998</v>
      </c>
      <c r="L62" s="59" t="s">
        <v>579</v>
      </c>
      <c r="M62" s="59"/>
      <c r="N62" s="59"/>
      <c r="O62" s="59" t="s">
        <v>594</v>
      </c>
      <c r="P62" s="56"/>
      <c r="Q62" s="6"/>
      <c r="R62"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BLK8INV10</v>
      </c>
      <c r="S62" s="53">
        <v>22.2</v>
      </c>
      <c r="T62" s="90">
        <f>IFERROR(_xlfn.XLOOKUP(PA[[#This Row],[Affected Equipment ]],'Basic Data '!A:A,'Basic Data '!C:C),"")</f>
        <v>4.4999999999999997E-3</v>
      </c>
      <c r="U62" s="59" t="s">
        <v>604</v>
      </c>
      <c r="V62" s="88"/>
      <c r="W62" s="114" t="s">
        <v>622</v>
      </c>
      <c r="X62" s="60">
        <v>0.30416666666666664</v>
      </c>
      <c r="Y62" s="60">
        <v>0.375</v>
      </c>
      <c r="Z62" s="60">
        <v>0.54166666666666663</v>
      </c>
      <c r="AA62" s="60">
        <v>0.54861111111111105</v>
      </c>
      <c r="AB62" s="158">
        <f>IF(PA[[#This Row],[Acknowledgement Time ]]="NA","",(PA[[#This Row],[Acknowledgement Time ]]-PA[[#This Row],[Fault Time]])*24)</f>
        <v>1.7000000000000006</v>
      </c>
      <c r="AC62" s="158">
        <f>IF(PA[[#This Row],[Work Start time on Fault]]="NA","",(PA[[#This Row],[Work Start time on Fault]]-PA[[#This Row],[Fault Time]])*24)</f>
        <v>5.6999999999999993</v>
      </c>
      <c r="AD62" s="112">
        <f>IF(PA[[#This Row],[Status]]="Open","",(PA[[#This Row],[Work Completion time on fault]]-PA[[#This Row],[Fault Time]])*24)</f>
        <v>5.8666666666666654</v>
      </c>
      <c r="AE62" s="111">
        <f>IFERROR((PA[[#This Row],[Work Completion time on fault]]-PA[[#This Row],[Fault Time]])*24,"")</f>
        <v>5.8666666666666654</v>
      </c>
      <c r="AF62" s="114" t="s">
        <v>623</v>
      </c>
      <c r="AG62" s="6" t="s">
        <v>1275</v>
      </c>
      <c r="AH62" s="131">
        <v>0</v>
      </c>
      <c r="AI62" s="59">
        <v>0.32600000000000001</v>
      </c>
      <c r="AJ62" s="89">
        <f>IFERROR(IF(PA[[#This Row],[Lost PoA(kWh/m2)]]&gt;0,_xlfn.XLOOKUP(G62,'Modelling New'!$D:$D,'Modelling New'!$O:$O)*PA[[#This Row],[Lost PoA(kWh/m2)]]*S62,0),"")</f>
        <v>5.5074399433567818</v>
      </c>
    </row>
    <row r="63" spans="1:36" hidden="1" x14ac:dyDescent="0.25">
      <c r="A63" s="229">
        <v>1762</v>
      </c>
      <c r="B63" s="233">
        <v>45779</v>
      </c>
      <c r="C63" s="59"/>
      <c r="D63" s="6">
        <f>YEAR(PA[[#This Row],[Date]])</f>
        <v>2025</v>
      </c>
      <c r="E63" s="164" t="s">
        <v>73</v>
      </c>
      <c r="F63" s="164" t="s">
        <v>73</v>
      </c>
      <c r="G63" s="96">
        <v>45748</v>
      </c>
      <c r="H63" s="56">
        <f>DAY(EOMONTH(PA[[#This Row],[Date]], 0))</f>
        <v>31</v>
      </c>
      <c r="I63" s="120">
        <v>0.29166666666666669</v>
      </c>
      <c r="J63" s="120">
        <v>0.79166666666666663</v>
      </c>
      <c r="K63" s="53">
        <f>IFERROR((PA[[#This Row],[Sunset Time (POA&lt;20 W/m2)]]-PA[[#This Row],[Sunrise Time (POA&gt;20 W/m2)]])*24,"")</f>
        <v>11.999999999999998</v>
      </c>
      <c r="L63" s="59" t="s">
        <v>579</v>
      </c>
      <c r="M63" s="59"/>
      <c r="N63" s="59"/>
      <c r="O63" s="59" t="s">
        <v>595</v>
      </c>
      <c r="P63" s="56"/>
      <c r="Q63" s="6"/>
      <c r="R63"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BLK8INV11</v>
      </c>
      <c r="S63" s="53">
        <v>22.2</v>
      </c>
      <c r="T63" s="90">
        <f>IFERROR(_xlfn.XLOOKUP(PA[[#This Row],[Affected Equipment ]],'Basic Data '!A:A,'Basic Data '!C:C),"")</f>
        <v>4.4999999999999997E-3</v>
      </c>
      <c r="U63" s="59" t="s">
        <v>604</v>
      </c>
      <c r="V63" s="88"/>
      <c r="W63" s="114" t="s">
        <v>626</v>
      </c>
      <c r="X63" s="60">
        <v>0.30416666666666664</v>
      </c>
      <c r="Y63" s="60">
        <v>0.375</v>
      </c>
      <c r="Z63" s="60">
        <v>0.55208333333333337</v>
      </c>
      <c r="AA63" s="60">
        <v>0.55902777777777779</v>
      </c>
      <c r="AB63" s="158">
        <f>IF(PA[[#This Row],[Acknowledgement Time ]]="NA","",(PA[[#This Row],[Acknowledgement Time ]]-PA[[#This Row],[Fault Time]])*24)</f>
        <v>1.7000000000000006</v>
      </c>
      <c r="AC63" s="158">
        <f>IF(PA[[#This Row],[Work Start time on Fault]]="NA","",(PA[[#This Row],[Work Start time on Fault]]-PA[[#This Row],[Fault Time]])*24)</f>
        <v>5.9500000000000011</v>
      </c>
      <c r="AD63" s="112">
        <f>IF(PA[[#This Row],[Status]]="Open","",(PA[[#This Row],[Work Completion time on fault]]-PA[[#This Row],[Fault Time]])*24)</f>
        <v>6.1166666666666671</v>
      </c>
      <c r="AE63" s="111">
        <f>IFERROR((PA[[#This Row],[Work Completion time on fault]]-PA[[#This Row],[Fault Time]])*24,"")</f>
        <v>6.1166666666666671</v>
      </c>
      <c r="AF63" s="114" t="s">
        <v>623</v>
      </c>
      <c r="AG63" s="6" t="s">
        <v>1275</v>
      </c>
      <c r="AH63" s="131">
        <v>0</v>
      </c>
      <c r="AI63" s="59">
        <v>0.32500000000000001</v>
      </c>
      <c r="AJ63" s="89">
        <f>IFERROR(IF(PA[[#This Row],[Lost PoA(kWh/m2)]]&gt;0,_xlfn.XLOOKUP(G63,'Modelling New'!$D:$D,'Modelling New'!$O:$O)*PA[[#This Row],[Lost PoA(kWh/m2)]]*S63,0),"")</f>
        <v>5.4905459558004726</v>
      </c>
    </row>
    <row r="64" spans="1:36" hidden="1" x14ac:dyDescent="0.25">
      <c r="A64" s="229">
        <v>1763</v>
      </c>
      <c r="B64" s="233">
        <v>45780</v>
      </c>
      <c r="C64" s="59"/>
      <c r="D64" s="6">
        <f>YEAR(PA[[#This Row],[Date]])</f>
        <v>2025</v>
      </c>
      <c r="E64" s="164" t="s">
        <v>73</v>
      </c>
      <c r="F64" s="164" t="s">
        <v>73</v>
      </c>
      <c r="G64" s="96">
        <v>45748</v>
      </c>
      <c r="H64" s="56">
        <f>DAY(EOMONTH(PA[[#This Row],[Date]], 0))</f>
        <v>31</v>
      </c>
      <c r="I64" s="120">
        <v>0.29166666666666669</v>
      </c>
      <c r="J64" s="120">
        <v>0.79166666666666663</v>
      </c>
      <c r="K64" s="53">
        <f>IFERROR((PA[[#This Row],[Sunset Time (POA&lt;20 W/m2)]]-PA[[#This Row],[Sunrise Time (POA&gt;20 W/m2)]])*24,"")</f>
        <v>11.999999999999998</v>
      </c>
      <c r="L64" s="59" t="s">
        <v>559</v>
      </c>
      <c r="M64" s="59"/>
      <c r="N64" s="59"/>
      <c r="O64" s="59" t="s">
        <v>627</v>
      </c>
      <c r="P64" s="56"/>
      <c r="Q64" s="6"/>
      <c r="R64"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BLK2INV21</v>
      </c>
      <c r="S64" s="53">
        <v>22.2</v>
      </c>
      <c r="T64" s="90">
        <f>IFERROR(_xlfn.XLOOKUP(PA[[#This Row],[Affected Equipment ]],'Basic Data '!A:A,'Basic Data '!C:C),"")</f>
        <v>4.0000000000000001E-3</v>
      </c>
      <c r="U64" s="59" t="s">
        <v>592</v>
      </c>
      <c r="V64" s="88"/>
      <c r="W64" s="114" t="s">
        <v>628</v>
      </c>
      <c r="X64" s="60">
        <v>0.30555555555555552</v>
      </c>
      <c r="Y64" s="60">
        <v>0.375</v>
      </c>
      <c r="Z64" s="60">
        <v>0.46875</v>
      </c>
      <c r="AA64" s="60">
        <v>0.46875</v>
      </c>
      <c r="AB64" s="158">
        <f>IF(PA[[#This Row],[Acknowledgement Time ]]="NA","",(PA[[#This Row],[Acknowledgement Time ]]-PA[[#This Row],[Fault Time]])*24)</f>
        <v>1.6666666666666674</v>
      </c>
      <c r="AC64" s="158">
        <f>IF(PA[[#This Row],[Work Start time on Fault]]="NA","",(PA[[#This Row],[Work Start time on Fault]]-PA[[#This Row],[Fault Time]])*24)</f>
        <v>3.9166666666666674</v>
      </c>
      <c r="AD64" s="112">
        <f>IF(PA[[#This Row],[Status]]="Open","",(PA[[#This Row],[Work Completion time on fault]]-PA[[#This Row],[Fault Time]])*24)</f>
        <v>3.9166666666666674</v>
      </c>
      <c r="AE64" s="111">
        <f>IFERROR((PA[[#This Row],[Work Completion time on fault]]-PA[[#This Row],[Fault Time]])*24,"")</f>
        <v>3.9166666666666674</v>
      </c>
      <c r="AF64" s="228" t="s">
        <v>629</v>
      </c>
      <c r="AG64" s="6" t="s">
        <v>1275</v>
      </c>
      <c r="AH64" s="131">
        <v>0</v>
      </c>
      <c r="AI64" s="59">
        <v>2.2999999999999998</v>
      </c>
      <c r="AJ64" s="89">
        <f>IFERROR(IF(PA[[#This Row],[Lost PoA(kWh/m2)]]&gt;0,_xlfn.XLOOKUP(G64,'Modelling New'!$D:$D,'Modelling New'!$O:$O)*PA[[#This Row],[Lost PoA(kWh/m2)]]*S64,0),"")</f>
        <v>38.856171379511032</v>
      </c>
    </row>
    <row r="65" spans="1:36" hidden="1" x14ac:dyDescent="0.25">
      <c r="A65" s="229">
        <v>1764</v>
      </c>
      <c r="B65" s="233">
        <v>45780</v>
      </c>
      <c r="C65" s="59"/>
      <c r="D65" s="6">
        <f>YEAR(PA[[#This Row],[Date]])</f>
        <v>2025</v>
      </c>
      <c r="E65" s="164" t="s">
        <v>73</v>
      </c>
      <c r="F65" s="164" t="s">
        <v>73</v>
      </c>
      <c r="G65" s="96">
        <v>45748</v>
      </c>
      <c r="H65" s="56">
        <f>DAY(EOMONTH(PA[[#This Row],[Date]], 0))</f>
        <v>31</v>
      </c>
      <c r="I65" s="120">
        <v>0.29166666666666669</v>
      </c>
      <c r="J65" s="120">
        <v>0.79166666666666663</v>
      </c>
      <c r="K65" s="53">
        <f>IFERROR((PA[[#This Row],[Sunset Time (POA&lt;20 W/m2)]]-PA[[#This Row],[Sunrise Time (POA&gt;20 W/m2)]])*24,"")</f>
        <v>11.999999999999998</v>
      </c>
      <c r="L65" s="59" t="s">
        <v>587</v>
      </c>
      <c r="M65" s="59"/>
      <c r="N65" s="59"/>
      <c r="O65" s="59" t="s">
        <v>618</v>
      </c>
      <c r="P65" s="56"/>
      <c r="Q65" s="6"/>
      <c r="R65"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BLK1INV15</v>
      </c>
      <c r="S65" s="53">
        <v>22.2</v>
      </c>
      <c r="T65" s="90">
        <f>IFERROR(_xlfn.XLOOKUP(PA[[#This Row],[Affected Equipment ]],'Basic Data '!A:A,'Basic Data '!C:C),"")</f>
        <v>4.0000000000000001E-3</v>
      </c>
      <c r="U65" s="59" t="s">
        <v>592</v>
      </c>
      <c r="V65" s="88"/>
      <c r="W65" s="114" t="s">
        <v>628</v>
      </c>
      <c r="X65" s="60">
        <v>0.30555555555555552</v>
      </c>
      <c r="Y65" s="60">
        <v>0.375</v>
      </c>
      <c r="Z65" s="60">
        <v>0.48958333333333331</v>
      </c>
      <c r="AA65" s="60">
        <v>0.48958333333333331</v>
      </c>
      <c r="AB65" s="158">
        <f>IF(PA[[#This Row],[Acknowledgement Time ]]="NA","",(PA[[#This Row],[Acknowledgement Time ]]-PA[[#This Row],[Fault Time]])*24)</f>
        <v>1.6666666666666674</v>
      </c>
      <c r="AC65" s="158">
        <f>IF(PA[[#This Row],[Work Start time on Fault]]="NA","",(PA[[#This Row],[Work Start time on Fault]]-PA[[#This Row],[Fault Time]])*24)</f>
        <v>4.416666666666667</v>
      </c>
      <c r="AD65" s="112">
        <f>IF(PA[[#This Row],[Status]]="Open","",(PA[[#This Row],[Work Completion time on fault]]-PA[[#This Row],[Fault Time]])*24)</f>
        <v>4.416666666666667</v>
      </c>
      <c r="AE65" s="111">
        <f>IFERROR((PA[[#This Row],[Work Completion time on fault]]-PA[[#This Row],[Fault Time]])*24,"")</f>
        <v>4.416666666666667</v>
      </c>
      <c r="AF65" s="228" t="s">
        <v>629</v>
      </c>
      <c r="AG65" s="6" t="s">
        <v>1275</v>
      </c>
      <c r="AH65" s="53">
        <v>0</v>
      </c>
      <c r="AI65" s="59">
        <v>3.5</v>
      </c>
      <c r="AJ65" s="89">
        <f>IFERROR(IF(PA[[#This Row],[Lost PoA(kWh/m2)]]&gt;0,_xlfn.XLOOKUP(G65,'Modelling New'!$D:$D,'Modelling New'!$O:$O)*PA[[#This Row],[Lost PoA(kWh/m2)]]*S65,0),"")</f>
        <v>59.128956447082011</v>
      </c>
    </row>
    <row r="66" spans="1:36" hidden="1" x14ac:dyDescent="0.25">
      <c r="A66" s="229">
        <v>1765</v>
      </c>
      <c r="B66" s="233">
        <v>45780</v>
      </c>
      <c r="C66" s="59"/>
      <c r="D66" s="6">
        <f>YEAR(PA[[#This Row],[Date]])</f>
        <v>2025</v>
      </c>
      <c r="E66" s="164" t="s">
        <v>73</v>
      </c>
      <c r="F66" s="164" t="s">
        <v>73</v>
      </c>
      <c r="G66" s="96">
        <v>45748</v>
      </c>
      <c r="H66" s="56">
        <f>DAY(EOMONTH(PA[[#This Row],[Date]], 0))</f>
        <v>31</v>
      </c>
      <c r="I66" s="120">
        <v>0.29166666666666669</v>
      </c>
      <c r="J66" s="120">
        <v>0.79166666666666663</v>
      </c>
      <c r="K66" s="53">
        <f>IFERROR((PA[[#This Row],[Sunset Time (POA&lt;20 W/m2)]]-PA[[#This Row],[Sunrise Time (POA&gt;20 W/m2)]])*24,"")</f>
        <v>11.999999999999998</v>
      </c>
      <c r="L66" s="59" t="s">
        <v>559</v>
      </c>
      <c r="M66" s="59"/>
      <c r="N66" s="59"/>
      <c r="O66" s="59" t="s">
        <v>600</v>
      </c>
      <c r="P66" s="56"/>
      <c r="Q66" s="6"/>
      <c r="R66"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BLK2INV17</v>
      </c>
      <c r="S66" s="53">
        <v>22.2</v>
      </c>
      <c r="T66" s="90">
        <f>IFERROR(_xlfn.XLOOKUP(PA[[#This Row],[Affected Equipment ]],'Basic Data '!A:A,'Basic Data '!C:C),"")</f>
        <v>4.0000000000000001E-3</v>
      </c>
      <c r="U66" s="59" t="s">
        <v>592</v>
      </c>
      <c r="V66" s="88"/>
      <c r="W66" s="114" t="s">
        <v>630</v>
      </c>
      <c r="X66" s="60">
        <v>0.30555555555555552</v>
      </c>
      <c r="Y66" s="60">
        <v>0.375</v>
      </c>
      <c r="Z66" s="60">
        <v>0.54861111111111105</v>
      </c>
      <c r="AA66" s="60">
        <v>0.54861111111111105</v>
      </c>
      <c r="AB66" s="158">
        <f>IF(PA[[#This Row],[Acknowledgement Time ]]="NA","",(PA[[#This Row],[Acknowledgement Time ]]-PA[[#This Row],[Fault Time]])*24)</f>
        <v>1.6666666666666674</v>
      </c>
      <c r="AC66" s="158">
        <f>IF(PA[[#This Row],[Work Start time on Fault]]="NA","",(PA[[#This Row],[Work Start time on Fault]]-PA[[#This Row],[Fault Time]])*24)</f>
        <v>5.8333333333333321</v>
      </c>
      <c r="AD66" s="112">
        <f>IF(PA[[#This Row],[Status]]="Open","",(PA[[#This Row],[Work Completion time on fault]]-PA[[#This Row],[Fault Time]])*24)</f>
        <v>5.8333333333333321</v>
      </c>
      <c r="AE66" s="111">
        <f>IFERROR((PA[[#This Row],[Work Completion time on fault]]-PA[[#This Row],[Fault Time]])*24,"")</f>
        <v>5.8333333333333321</v>
      </c>
      <c r="AF66" s="228" t="s">
        <v>631</v>
      </c>
      <c r="AG66" s="6" t="s">
        <v>1275</v>
      </c>
      <c r="AH66" s="53">
        <v>0</v>
      </c>
      <c r="AI66" s="59">
        <v>3.1</v>
      </c>
      <c r="AJ66" s="89">
        <f>IFERROR(IF(PA[[#This Row],[Lost PoA(kWh/m2)]]&gt;0,_xlfn.XLOOKUP(G66,'Modelling New'!$D:$D,'Modelling New'!$O:$O)*PA[[#This Row],[Lost PoA(kWh/m2)]]*S66,0),"")</f>
        <v>52.371361424558359</v>
      </c>
    </row>
    <row r="67" spans="1:36" hidden="1" x14ac:dyDescent="0.25">
      <c r="A67" s="229">
        <v>1766</v>
      </c>
      <c r="B67" s="233">
        <v>45780</v>
      </c>
      <c r="C67" s="59"/>
      <c r="D67" s="6">
        <f>YEAR(PA[[#This Row],[Date]])</f>
        <v>2025</v>
      </c>
      <c r="E67" s="164" t="s">
        <v>73</v>
      </c>
      <c r="F67" s="164" t="s">
        <v>73</v>
      </c>
      <c r="G67" s="96">
        <v>45748</v>
      </c>
      <c r="H67" s="56">
        <f>DAY(EOMONTH(PA[[#This Row],[Date]], 0))</f>
        <v>31</v>
      </c>
      <c r="I67" s="120">
        <v>0.29166666666666669</v>
      </c>
      <c r="J67" s="120">
        <v>0.79166666666666663</v>
      </c>
      <c r="K67" s="53">
        <f>IFERROR((PA[[#This Row],[Sunset Time (POA&lt;20 W/m2)]]-PA[[#This Row],[Sunrise Time (POA&gt;20 W/m2)]])*24,"")</f>
        <v>11.999999999999998</v>
      </c>
      <c r="L67" s="59" t="s">
        <v>559</v>
      </c>
      <c r="M67" s="59"/>
      <c r="N67" s="59"/>
      <c r="O67" s="59" t="s">
        <v>601</v>
      </c>
      <c r="P67" s="56"/>
      <c r="Q67" s="6"/>
      <c r="R67"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BLK2INV18</v>
      </c>
      <c r="S67" s="53">
        <v>44.5</v>
      </c>
      <c r="T67" s="90">
        <f>IFERROR(_xlfn.XLOOKUP(PA[[#This Row],[Affected Equipment ]],'Basic Data '!A:A,'Basic Data '!C:C),"")</f>
        <v>4.1666666666666666E-3</v>
      </c>
      <c r="U67" s="59" t="s">
        <v>592</v>
      </c>
      <c r="V67" s="88"/>
      <c r="W67" s="114" t="s">
        <v>632</v>
      </c>
      <c r="X67" s="60">
        <v>0.30555555555555552</v>
      </c>
      <c r="Y67" s="60">
        <v>0.375</v>
      </c>
      <c r="Z67" s="60">
        <v>0.64583333333333337</v>
      </c>
      <c r="AA67" s="60">
        <v>0.64583333333333337</v>
      </c>
      <c r="AB67" s="158">
        <f>IF(PA[[#This Row],[Acknowledgement Time ]]="NA","",(PA[[#This Row],[Acknowledgement Time ]]-PA[[#This Row],[Fault Time]])*24)</f>
        <v>1.6666666666666674</v>
      </c>
      <c r="AC67" s="158">
        <f>IF(PA[[#This Row],[Work Start time on Fault]]="NA","",(PA[[#This Row],[Work Start time on Fault]]-PA[[#This Row],[Fault Time]])*24)</f>
        <v>8.1666666666666679</v>
      </c>
      <c r="AD67" s="112">
        <f>IF(PA[[#This Row],[Status]]="Open","",(PA[[#This Row],[Work Completion time on fault]]-PA[[#This Row],[Fault Time]])*24)</f>
        <v>8.1666666666666679</v>
      </c>
      <c r="AE67" s="111">
        <f>IFERROR((PA[[#This Row],[Work Completion time on fault]]-PA[[#This Row],[Fault Time]])*24,"")</f>
        <v>8.1666666666666679</v>
      </c>
      <c r="AF67" s="228" t="s">
        <v>633</v>
      </c>
      <c r="AG67" s="6" t="s">
        <v>1275</v>
      </c>
      <c r="AH67" s="53">
        <v>0</v>
      </c>
      <c r="AI67" s="59">
        <v>4.0999999999999996</v>
      </c>
      <c r="AJ67" s="89">
        <f>IFERROR(IF(PA[[#This Row],[Lost PoA(kWh/m2)]]&gt;0,_xlfn.XLOOKUP(G67,'Modelling New'!$D:$D,'Modelling New'!$O:$O)*PA[[#This Row],[Lost PoA(kWh/m2)]]*S67,0),"")</f>
        <v>138.84270403822538</v>
      </c>
    </row>
    <row r="68" spans="1:36" hidden="1" x14ac:dyDescent="0.25">
      <c r="A68" s="229">
        <v>1767</v>
      </c>
      <c r="B68" s="233">
        <v>45780</v>
      </c>
      <c r="C68" s="59"/>
      <c r="D68" s="6">
        <f>YEAR(PA[[#This Row],[Date]])</f>
        <v>2025</v>
      </c>
      <c r="E68" s="164" t="s">
        <v>73</v>
      </c>
      <c r="F68" s="164" t="s">
        <v>73</v>
      </c>
      <c r="G68" s="96">
        <v>45748</v>
      </c>
      <c r="H68" s="56">
        <f>DAY(EOMONTH(PA[[#This Row],[Date]], 0))</f>
        <v>31</v>
      </c>
      <c r="I68" s="120">
        <v>0.29166666666666669</v>
      </c>
      <c r="J68" s="120">
        <v>0.79166666666666663</v>
      </c>
      <c r="K68" s="53">
        <f>IFERROR((PA[[#This Row],[Sunset Time (POA&lt;20 W/m2)]]-PA[[#This Row],[Sunrise Time (POA&gt;20 W/m2)]])*24,"")</f>
        <v>11.999999999999998</v>
      </c>
      <c r="L68" s="59" t="s">
        <v>587</v>
      </c>
      <c r="M68" s="59"/>
      <c r="N68" s="59"/>
      <c r="O68" s="59" t="s">
        <v>634</v>
      </c>
      <c r="P68" s="56"/>
      <c r="Q68" s="6"/>
      <c r="R68"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BLK1INV9</v>
      </c>
      <c r="S68" s="53">
        <v>22.2</v>
      </c>
      <c r="T68" s="90">
        <f>IFERROR(_xlfn.XLOOKUP(PA[[#This Row],[Affected Equipment ]],'Basic Data '!A:A,'Basic Data '!C:C),"")</f>
        <v>4.1666666666666666E-3</v>
      </c>
      <c r="U68" s="59" t="s">
        <v>592</v>
      </c>
      <c r="V68" s="88"/>
      <c r="W68" s="114" t="s">
        <v>630</v>
      </c>
      <c r="X68" s="60">
        <v>0.30555555555555552</v>
      </c>
      <c r="Y68" s="60">
        <v>0.375</v>
      </c>
      <c r="Z68" s="60">
        <v>0.68402777777777779</v>
      </c>
      <c r="AA68" s="60">
        <v>0.68402777777777779</v>
      </c>
      <c r="AB68" s="158">
        <f>IF(PA[[#This Row],[Acknowledgement Time ]]="NA","",(PA[[#This Row],[Acknowledgement Time ]]-PA[[#This Row],[Fault Time]])*24)</f>
        <v>1.6666666666666674</v>
      </c>
      <c r="AC68" s="158">
        <f>IF(PA[[#This Row],[Work Start time on Fault]]="NA","",(PA[[#This Row],[Work Start time on Fault]]-PA[[#This Row],[Fault Time]])*24)</f>
        <v>9.0833333333333339</v>
      </c>
      <c r="AD68" s="112">
        <f>IF(PA[[#This Row],[Status]]="Open","",(PA[[#This Row],[Work Completion time on fault]]-PA[[#This Row],[Fault Time]])*24)</f>
        <v>9.0833333333333339</v>
      </c>
      <c r="AE68" s="111">
        <f>IFERROR((PA[[#This Row],[Work Completion time on fault]]-PA[[#This Row],[Fault Time]])*24,"")</f>
        <v>9.0833333333333339</v>
      </c>
      <c r="AF68" s="228" t="s">
        <v>631</v>
      </c>
      <c r="AG68" s="6" t="s">
        <v>1275</v>
      </c>
      <c r="AH68" s="53">
        <v>0</v>
      </c>
      <c r="AI68" s="59">
        <v>4.9000000000000004</v>
      </c>
      <c r="AJ68" s="89">
        <f>IFERROR(IF(PA[[#This Row],[Lost PoA(kWh/m2)]]&gt;0,_xlfn.XLOOKUP(G68,'Modelling New'!$D:$D,'Modelling New'!$O:$O)*PA[[#This Row],[Lost PoA(kWh/m2)]]*S68,0),"")</f>
        <v>82.78053902591482</v>
      </c>
    </row>
    <row r="69" spans="1:36" hidden="1" x14ac:dyDescent="0.25">
      <c r="A69" s="229">
        <v>1768</v>
      </c>
      <c r="B69" s="233">
        <v>45780</v>
      </c>
      <c r="C69" s="59"/>
      <c r="D69" s="6">
        <f>YEAR(PA[[#This Row],[Date]])</f>
        <v>2025</v>
      </c>
      <c r="E69" s="164" t="s">
        <v>73</v>
      </c>
      <c r="F69" s="164" t="s">
        <v>73</v>
      </c>
      <c r="G69" s="96">
        <v>45748</v>
      </c>
      <c r="H69" s="56">
        <f>DAY(EOMONTH(PA[[#This Row],[Date]], 0))</f>
        <v>31</v>
      </c>
      <c r="I69" s="120">
        <v>0.29166666666666669</v>
      </c>
      <c r="J69" s="120">
        <v>0.79166666666666663</v>
      </c>
      <c r="K69" s="53">
        <f>IFERROR((PA[[#This Row],[Sunset Time (POA&lt;20 W/m2)]]-PA[[#This Row],[Sunrise Time (POA&gt;20 W/m2)]])*24,"")</f>
        <v>11.999999999999998</v>
      </c>
      <c r="L69" s="59" t="s">
        <v>579</v>
      </c>
      <c r="M69" s="59"/>
      <c r="N69" s="59"/>
      <c r="O69" s="59" t="s">
        <v>598</v>
      </c>
      <c r="P69" s="56"/>
      <c r="Q69" s="6"/>
      <c r="R69" s="6"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BLK8INV6</v>
      </c>
      <c r="S69" s="53">
        <v>22.2</v>
      </c>
      <c r="T69" s="90">
        <f>IFERROR(_xlfn.XLOOKUP(PA[[#This Row],[Affected Equipment ]],'Basic Data '!A:A,'Basic Data '!C:C),"")</f>
        <v>4.3333333333333331E-3</v>
      </c>
      <c r="U69" s="59" t="s">
        <v>592</v>
      </c>
      <c r="V69" s="88"/>
      <c r="W69" s="114" t="s">
        <v>630</v>
      </c>
      <c r="X69" s="60">
        <v>0.30555555555555552</v>
      </c>
      <c r="Y69" s="60">
        <v>0.375</v>
      </c>
      <c r="Z69" s="60">
        <v>0.7402777777777777</v>
      </c>
      <c r="AA69" s="60">
        <v>0.7402777777777777</v>
      </c>
      <c r="AB69" s="158">
        <f>IF(PA[[#This Row],[Acknowledgement Time ]]="NA","",(PA[[#This Row],[Acknowledgement Time ]]-PA[[#This Row],[Fault Time]])*24)</f>
        <v>1.6666666666666674</v>
      </c>
      <c r="AC69" s="158">
        <f>IF(PA[[#This Row],[Work Start time on Fault]]="NA","",(PA[[#This Row],[Work Start time on Fault]]-PA[[#This Row],[Fault Time]])*24)</f>
        <v>10.433333333333332</v>
      </c>
      <c r="AD69" s="112">
        <f>IF(PA[[#This Row],[Status]]="Open","",(PA[[#This Row],[Work Completion time on fault]]-PA[[#This Row],[Fault Time]])*24)</f>
        <v>10.433333333333332</v>
      </c>
      <c r="AE69" s="111">
        <f>IFERROR((PA[[#This Row],[Work Completion time on fault]]-PA[[#This Row],[Fault Time]])*24,"")</f>
        <v>10.433333333333332</v>
      </c>
      <c r="AF69" s="228" t="s">
        <v>631</v>
      </c>
      <c r="AG69" s="6" t="s">
        <v>1275</v>
      </c>
      <c r="AH69" s="53">
        <v>0</v>
      </c>
      <c r="AI69" s="59">
        <v>5.3</v>
      </c>
      <c r="AJ69" s="89">
        <f>IFERROR(IF(PA[[#This Row],[Lost PoA(kWh/m2)]]&gt;0,_xlfn.XLOOKUP(G69,'Modelling New'!$D:$D,'Modelling New'!$O:$O)*PA[[#This Row],[Lost PoA(kWh/m2)]]*S69,0),"")</f>
        <v>89.538134048438479</v>
      </c>
    </row>
    <row r="70" spans="1:36" hidden="1" x14ac:dyDescent="0.25">
      <c r="A70" s="229">
        <v>1769</v>
      </c>
      <c r="B70" s="262">
        <v>45781</v>
      </c>
      <c r="C70" s="298"/>
      <c r="D70" s="299">
        <v>2025</v>
      </c>
      <c r="E70" s="300" t="s">
        <v>73</v>
      </c>
      <c r="F70" s="300" t="s">
        <v>73</v>
      </c>
      <c r="G70" s="301">
        <v>45778</v>
      </c>
      <c r="H70" s="302">
        <v>31</v>
      </c>
      <c r="I70" s="303">
        <v>0.22847222222222222</v>
      </c>
      <c r="J70" s="303">
        <v>0.2638888888888889</v>
      </c>
      <c r="K70" s="304">
        <v>11.999999999999998</v>
      </c>
      <c r="L70" s="305" t="s">
        <v>579</v>
      </c>
      <c r="M70" s="305" t="s">
        <v>588</v>
      </c>
      <c r="N70" s="305"/>
      <c r="O70" s="305"/>
      <c r="P70" s="130"/>
      <c r="Q70" s="129"/>
      <c r="R7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BLK8LT1</v>
      </c>
      <c r="S70" s="131">
        <v>4008</v>
      </c>
      <c r="T70" s="132">
        <f>IFERROR(_xlfn.XLOOKUP(PA[[#This Row],[Affected Equipment ]],'Basic Data '!A:A,'Basic Data '!C:C),"")</f>
        <v>5.9138576779026217E-2</v>
      </c>
      <c r="U70" s="305" t="s">
        <v>573</v>
      </c>
      <c r="V70" s="306"/>
      <c r="W70" s="307" t="s">
        <v>635</v>
      </c>
      <c r="X70" s="308">
        <v>0.53472222222222221</v>
      </c>
      <c r="Y70" s="308">
        <v>0.53611111111111109</v>
      </c>
      <c r="Z70" s="308">
        <v>0.54166666666666663</v>
      </c>
      <c r="AA70" s="308">
        <v>0.54166666666666663</v>
      </c>
      <c r="AB70" s="309">
        <v>3.3333333333333215E-2</v>
      </c>
      <c r="AC70" s="309">
        <v>0.16666666666666607</v>
      </c>
      <c r="AD70" s="310">
        <v>0.16666666666666607</v>
      </c>
      <c r="AE70" s="311">
        <v>0.16666666666666607</v>
      </c>
      <c r="AF70" s="312" t="s">
        <v>636</v>
      </c>
      <c r="AG70" s="6" t="s">
        <v>1275</v>
      </c>
      <c r="AH70" s="304">
        <v>0</v>
      </c>
      <c r="AI70" s="305">
        <v>0.122</v>
      </c>
      <c r="AJ70" s="89">
        <f>IFERROR(IF(PA[[#This Row],[Lost PoA(kWh/m2)]]&gt;0,_xlfn.XLOOKUP(G70,'Modelling New'!$D:$D,'Modelling New'!$O:$O)*PA[[#This Row],[Lost PoA(kWh/m2)]]*S70,0),"")</f>
        <v>370.21360456686813</v>
      </c>
    </row>
    <row r="71" spans="1:36" hidden="1" x14ac:dyDescent="0.25">
      <c r="A71" s="229">
        <v>1770</v>
      </c>
      <c r="B71" s="262">
        <v>45781</v>
      </c>
      <c r="C71" s="298"/>
      <c r="D71" s="299">
        <v>2025</v>
      </c>
      <c r="E71" s="300" t="s">
        <v>73</v>
      </c>
      <c r="F71" s="300" t="s">
        <v>73</v>
      </c>
      <c r="G71" s="301">
        <v>45778</v>
      </c>
      <c r="H71" s="302">
        <v>31</v>
      </c>
      <c r="I71" s="303">
        <v>0.22847222222222222</v>
      </c>
      <c r="J71" s="303">
        <v>0.2638888888888889</v>
      </c>
      <c r="K71" s="287">
        <v>11.999999999999998</v>
      </c>
      <c r="L71" s="298" t="s">
        <v>579</v>
      </c>
      <c r="M71" s="298"/>
      <c r="N71" s="298"/>
      <c r="O71" s="298" t="s">
        <v>637</v>
      </c>
      <c r="P71" s="302"/>
      <c r="Q71" s="299"/>
      <c r="R7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BLK8INV27</v>
      </c>
      <c r="S71" s="287">
        <v>22.2</v>
      </c>
      <c r="T71" s="132">
        <f>IFERROR(_xlfn.XLOOKUP(PA[[#This Row],[Affected Equipment ]],'Basic Data '!A:A,'Basic Data '!C:C),"")</f>
        <v>4.3662921348314601E-3</v>
      </c>
      <c r="U71" s="298" t="s">
        <v>592</v>
      </c>
      <c r="V71" s="314"/>
      <c r="W71" s="315" t="s">
        <v>638</v>
      </c>
      <c r="X71" s="303">
        <v>0.21944444444444444</v>
      </c>
      <c r="Y71" s="303">
        <v>0.375</v>
      </c>
      <c r="Z71" s="303">
        <v>0.39583333333333331</v>
      </c>
      <c r="AA71" s="303">
        <v>0.40277777777777779</v>
      </c>
      <c r="AB71" s="316">
        <v>3.7333333333333334</v>
      </c>
      <c r="AC71" s="316">
        <v>4.2333333333333325</v>
      </c>
      <c r="AD71" s="317">
        <v>4.4000000000000004</v>
      </c>
      <c r="AE71" s="318">
        <v>4.4000000000000004</v>
      </c>
      <c r="AF71" s="261" t="s">
        <v>639</v>
      </c>
      <c r="AG71" s="6" t="s">
        <v>1275</v>
      </c>
      <c r="AH71" s="287">
        <v>0</v>
      </c>
      <c r="AI71" s="298">
        <v>0.9</v>
      </c>
      <c r="AJ71" s="89">
        <f>IFERROR(IF(PA[[#This Row],[Lost PoA(kWh/m2)]]&gt;0,_xlfn.XLOOKUP(G71,'Modelling New'!$D:$D,'Modelling New'!$O:$O)*PA[[#This Row],[Lost PoA(kWh/m2)]]*S71,0),"")</f>
        <v>15.127261500045044</v>
      </c>
    </row>
    <row r="72" spans="1:36" hidden="1" x14ac:dyDescent="0.25">
      <c r="A72" s="57">
        <v>1771</v>
      </c>
      <c r="B72" s="319">
        <v>45781</v>
      </c>
      <c r="C72" s="320"/>
      <c r="D72" s="321">
        <v>2025</v>
      </c>
      <c r="E72" s="322" t="s">
        <v>73</v>
      </c>
      <c r="F72" s="322" t="s">
        <v>73</v>
      </c>
      <c r="G72" s="323">
        <v>45778</v>
      </c>
      <c r="H72" s="324">
        <v>31</v>
      </c>
      <c r="I72" s="303">
        <v>0.22847222222222222</v>
      </c>
      <c r="J72" s="303">
        <v>0.2638888888888889</v>
      </c>
      <c r="K72" s="293">
        <v>11.999999999999998</v>
      </c>
      <c r="L72" s="320" t="s">
        <v>579</v>
      </c>
      <c r="M72" s="320"/>
      <c r="N72" s="320"/>
      <c r="O72" s="320" t="s">
        <v>612</v>
      </c>
      <c r="P72" s="324"/>
      <c r="Q72" s="321"/>
      <c r="R7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BLK8INV28</v>
      </c>
      <c r="S72" s="293">
        <v>22.2</v>
      </c>
      <c r="T72" s="132">
        <f>IFERROR(_xlfn.XLOOKUP(PA[[#This Row],[Affected Equipment ]],'Basic Data '!A:A,'Basic Data '!C:C),"")</f>
        <v>3.8561797752808993E-3</v>
      </c>
      <c r="U72" s="320" t="s">
        <v>592</v>
      </c>
      <c r="V72" s="325"/>
      <c r="W72" s="315" t="s">
        <v>638</v>
      </c>
      <c r="X72" s="326">
        <v>0.21944444444444444</v>
      </c>
      <c r="Y72" s="326">
        <v>0.375</v>
      </c>
      <c r="Z72" s="326">
        <v>0.40972222222222221</v>
      </c>
      <c r="AA72" s="326">
        <v>0.41666666666666669</v>
      </c>
      <c r="AB72" s="327">
        <v>3.7333333333333334</v>
      </c>
      <c r="AC72" s="327">
        <v>4.5666666666666664</v>
      </c>
      <c r="AD72" s="328">
        <v>4.7333333333333343</v>
      </c>
      <c r="AE72" s="329">
        <v>4.7333333333333343</v>
      </c>
      <c r="AF72" s="261" t="s">
        <v>639</v>
      </c>
      <c r="AG72" s="6" t="s">
        <v>1275</v>
      </c>
      <c r="AH72" s="293">
        <v>0</v>
      </c>
      <c r="AI72" s="320">
        <v>0.08</v>
      </c>
      <c r="AJ72" s="89">
        <f>IFERROR(IF(PA[[#This Row],[Lost PoA(kWh/m2)]]&gt;0,_xlfn.XLOOKUP(G72,'Modelling New'!$D:$D,'Modelling New'!$O:$O)*PA[[#This Row],[Lost PoA(kWh/m2)]]*S72,0),"")</f>
        <v>1.3446454666706706</v>
      </c>
    </row>
    <row r="73" spans="1:36" hidden="1" x14ac:dyDescent="0.25">
      <c r="A73" s="57">
        <v>1772</v>
      </c>
      <c r="B73" s="319">
        <v>45781</v>
      </c>
      <c r="C73" s="320"/>
      <c r="D73" s="321">
        <v>2025</v>
      </c>
      <c r="E73" s="322" t="s">
        <v>73</v>
      </c>
      <c r="F73" s="322" t="s">
        <v>73</v>
      </c>
      <c r="G73" s="323">
        <v>45778</v>
      </c>
      <c r="H73" s="324">
        <v>31</v>
      </c>
      <c r="I73" s="303">
        <v>0.22847222222222222</v>
      </c>
      <c r="J73" s="303">
        <v>0.2638888888888889</v>
      </c>
      <c r="K73" s="293">
        <v>11.999999999999998</v>
      </c>
      <c r="L73" s="320" t="s">
        <v>579</v>
      </c>
      <c r="M73" s="320"/>
      <c r="N73" s="320"/>
      <c r="O73" s="320" t="s">
        <v>612</v>
      </c>
      <c r="P73" s="324"/>
      <c r="Q73" s="321"/>
      <c r="R7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BLK8INV28</v>
      </c>
      <c r="S73" s="293">
        <v>22.2</v>
      </c>
      <c r="T73" s="132">
        <f>IFERROR(_xlfn.XLOOKUP(PA[[#This Row],[Affected Equipment ]],'Basic Data '!A:A,'Basic Data '!C:C),"")</f>
        <v>3.8561797752808993E-3</v>
      </c>
      <c r="U73" s="320" t="s">
        <v>592</v>
      </c>
      <c r="V73" s="325"/>
      <c r="W73" s="315" t="s">
        <v>638</v>
      </c>
      <c r="X73" s="326">
        <v>0.21944444444444444</v>
      </c>
      <c r="Y73" s="326">
        <v>0.375</v>
      </c>
      <c r="Z73" s="326">
        <v>0.4236111111111111</v>
      </c>
      <c r="AA73" s="326">
        <v>0.42708333333333331</v>
      </c>
      <c r="AB73" s="327">
        <v>3.7333333333333334</v>
      </c>
      <c r="AC73" s="327">
        <v>4.9000000000000004</v>
      </c>
      <c r="AD73" s="328">
        <v>4.9833333333333325</v>
      </c>
      <c r="AE73" s="329">
        <v>4.9833333333333325</v>
      </c>
      <c r="AF73" s="261" t="s">
        <v>640</v>
      </c>
      <c r="AG73" s="6" t="s">
        <v>1275</v>
      </c>
      <c r="AH73" s="293">
        <v>0</v>
      </c>
      <c r="AI73" s="320">
        <v>0.107</v>
      </c>
      <c r="AJ73" s="89">
        <f>IFERROR(IF(PA[[#This Row],[Lost PoA(kWh/m2)]]&gt;0,_xlfn.XLOOKUP(G73,'Modelling New'!$D:$D,'Modelling New'!$O:$O)*PA[[#This Row],[Lost PoA(kWh/m2)]]*S73,0),"")</f>
        <v>1.7984633116720217</v>
      </c>
    </row>
    <row r="74" spans="1:36" hidden="1" x14ac:dyDescent="0.25">
      <c r="A74" s="57">
        <v>1773</v>
      </c>
      <c r="B74" s="319">
        <v>45781</v>
      </c>
      <c r="C74" s="320"/>
      <c r="D74" s="321">
        <v>2025</v>
      </c>
      <c r="E74" s="322" t="s">
        <v>73</v>
      </c>
      <c r="F74" s="322" t="s">
        <v>73</v>
      </c>
      <c r="G74" s="323">
        <v>45778</v>
      </c>
      <c r="H74" s="324">
        <v>31</v>
      </c>
      <c r="I74" s="303">
        <v>0.22847222222222222</v>
      </c>
      <c r="J74" s="303">
        <v>0.2638888888888889</v>
      </c>
      <c r="K74" s="293">
        <v>11.999999999999998</v>
      </c>
      <c r="L74" s="320" t="s">
        <v>579</v>
      </c>
      <c r="M74" s="320"/>
      <c r="N74" s="320"/>
      <c r="O74" s="320" t="s">
        <v>612</v>
      </c>
      <c r="P74" s="324"/>
      <c r="Q74" s="321"/>
      <c r="R7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BLK8INV28</v>
      </c>
      <c r="S74" s="293">
        <v>22.2</v>
      </c>
      <c r="T74" s="132">
        <f>IFERROR(_xlfn.XLOOKUP(PA[[#This Row],[Affected Equipment ]],'Basic Data '!A:A,'Basic Data '!C:C),"")</f>
        <v>3.8561797752808993E-3</v>
      </c>
      <c r="U74" s="320" t="s">
        <v>592</v>
      </c>
      <c r="V74" s="325"/>
      <c r="W74" s="315" t="s">
        <v>638</v>
      </c>
      <c r="X74" s="326">
        <v>0.21944444444444444</v>
      </c>
      <c r="Y74" s="326">
        <v>0.375</v>
      </c>
      <c r="Z74" s="326">
        <v>0.43055555555555558</v>
      </c>
      <c r="AA74" s="326">
        <v>0.43402777777777779</v>
      </c>
      <c r="AB74" s="327">
        <v>3.7333333333333334</v>
      </c>
      <c r="AC74" s="327">
        <v>5.0666666666666673</v>
      </c>
      <c r="AD74" s="328">
        <v>5.15</v>
      </c>
      <c r="AE74" s="329">
        <v>5.15</v>
      </c>
      <c r="AF74" s="261" t="s">
        <v>640</v>
      </c>
      <c r="AG74" s="6" t="s">
        <v>1275</v>
      </c>
      <c r="AH74" s="293">
        <v>0</v>
      </c>
      <c r="AI74" s="320">
        <v>0.12</v>
      </c>
      <c r="AJ74" s="89">
        <f>IFERROR(IF(PA[[#This Row],[Lost PoA(kWh/m2)]]&gt;0,_xlfn.XLOOKUP(G74,'Modelling New'!$D:$D,'Modelling New'!$O:$O)*PA[[#This Row],[Lost PoA(kWh/m2)]]*S74,0),"")</f>
        <v>2.0169682000060059</v>
      </c>
    </row>
    <row r="75" spans="1:36" hidden="1" x14ac:dyDescent="0.25">
      <c r="A75" s="57">
        <v>1774</v>
      </c>
      <c r="B75" s="319">
        <v>45781</v>
      </c>
      <c r="C75" s="320"/>
      <c r="D75" s="321">
        <v>2025</v>
      </c>
      <c r="E75" s="322" t="s">
        <v>73</v>
      </c>
      <c r="F75" s="322" t="s">
        <v>73</v>
      </c>
      <c r="G75" s="323">
        <v>45778</v>
      </c>
      <c r="H75" s="324">
        <v>31</v>
      </c>
      <c r="I75" s="303">
        <v>0.22847222222222222</v>
      </c>
      <c r="J75" s="303">
        <v>0.2638888888888889</v>
      </c>
      <c r="K75" s="293">
        <v>11.999999999999998</v>
      </c>
      <c r="L75" s="320" t="s">
        <v>579</v>
      </c>
      <c r="M75" s="320"/>
      <c r="N75" s="320"/>
      <c r="O75" s="320" t="s">
        <v>612</v>
      </c>
      <c r="P75" s="324"/>
      <c r="Q75" s="321"/>
      <c r="R7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BLK8INV28</v>
      </c>
      <c r="S75" s="293">
        <v>22.2</v>
      </c>
      <c r="T75" s="132">
        <f>IFERROR(_xlfn.XLOOKUP(PA[[#This Row],[Affected Equipment ]],'Basic Data '!A:A,'Basic Data '!C:C),"")</f>
        <v>3.8561797752808993E-3</v>
      </c>
      <c r="U75" s="320" t="s">
        <v>592</v>
      </c>
      <c r="V75" s="325"/>
      <c r="W75" s="315" t="s">
        <v>638</v>
      </c>
      <c r="X75" s="326">
        <v>0.21944444444444444</v>
      </c>
      <c r="Y75" s="326">
        <v>0.375</v>
      </c>
      <c r="Z75" s="326">
        <v>0.4375</v>
      </c>
      <c r="AA75" s="326">
        <v>0.44444444444444442</v>
      </c>
      <c r="AB75" s="327">
        <v>3.7333333333333334</v>
      </c>
      <c r="AC75" s="327">
        <v>5.2333333333333334</v>
      </c>
      <c r="AD75" s="328">
        <v>5.3999999999999995</v>
      </c>
      <c r="AE75" s="329">
        <v>5.3999999999999995</v>
      </c>
      <c r="AF75" s="261" t="s">
        <v>640</v>
      </c>
      <c r="AG75" s="6" t="s">
        <v>1275</v>
      </c>
      <c r="AH75" s="293">
        <v>0</v>
      </c>
      <c r="AI75" s="320">
        <v>0.11</v>
      </c>
      <c r="AJ75" s="89">
        <f>IFERROR(IF(PA[[#This Row],[Lost PoA(kWh/m2)]]&gt;0,_xlfn.XLOOKUP(G75,'Modelling New'!$D:$D,'Modelling New'!$O:$O)*PA[[#This Row],[Lost PoA(kWh/m2)]]*S75,0),"")</f>
        <v>1.8488875166721719</v>
      </c>
    </row>
    <row r="76" spans="1:36" hidden="1" x14ac:dyDescent="0.25">
      <c r="A76" s="57">
        <v>1775</v>
      </c>
      <c r="B76" s="319">
        <v>45781</v>
      </c>
      <c r="C76" s="320"/>
      <c r="D76" s="321">
        <v>2025</v>
      </c>
      <c r="E76" s="322" t="s">
        <v>73</v>
      </c>
      <c r="F76" s="322" t="s">
        <v>73</v>
      </c>
      <c r="G76" s="323">
        <v>45778</v>
      </c>
      <c r="H76" s="324">
        <v>31</v>
      </c>
      <c r="I76" s="303">
        <v>0.22847222222222222</v>
      </c>
      <c r="J76" s="303">
        <v>0.2638888888888889</v>
      </c>
      <c r="K76" s="293">
        <v>11.999999999999998</v>
      </c>
      <c r="L76" s="320" t="s">
        <v>579</v>
      </c>
      <c r="M76" s="320"/>
      <c r="N76" s="320"/>
      <c r="O76" s="320" t="s">
        <v>612</v>
      </c>
      <c r="P76" s="324"/>
      <c r="Q76" s="321"/>
      <c r="R7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BLK8INV28</v>
      </c>
      <c r="S76" s="293">
        <v>22.2</v>
      </c>
      <c r="T76" s="132">
        <f>IFERROR(_xlfn.XLOOKUP(PA[[#This Row],[Affected Equipment ]],'Basic Data '!A:A,'Basic Data '!C:C),"")</f>
        <v>3.8561797752808993E-3</v>
      </c>
      <c r="U76" s="320" t="s">
        <v>592</v>
      </c>
      <c r="V76" s="325"/>
      <c r="W76" s="315" t="s">
        <v>638</v>
      </c>
      <c r="X76" s="326">
        <v>0.21944444444444444</v>
      </c>
      <c r="Y76" s="326">
        <v>0.375</v>
      </c>
      <c r="Z76" s="326">
        <v>0.4513888888888889</v>
      </c>
      <c r="AA76" s="326">
        <v>0.45833333333333331</v>
      </c>
      <c r="AB76" s="327">
        <v>3.7333333333333334</v>
      </c>
      <c r="AC76" s="327">
        <v>5.5666666666666664</v>
      </c>
      <c r="AD76" s="328">
        <v>5.7333333333333325</v>
      </c>
      <c r="AE76" s="329">
        <v>5.7333333333333325</v>
      </c>
      <c r="AF76" s="261" t="s">
        <v>640</v>
      </c>
      <c r="AG76" s="6" t="s">
        <v>1275</v>
      </c>
      <c r="AH76" s="293">
        <v>0</v>
      </c>
      <c r="AI76" s="320">
        <v>0.12</v>
      </c>
      <c r="AJ76" s="89">
        <f>IFERROR(IF(PA[[#This Row],[Lost PoA(kWh/m2)]]&gt;0,_xlfn.XLOOKUP(G76,'Modelling New'!$D:$D,'Modelling New'!$O:$O)*PA[[#This Row],[Lost PoA(kWh/m2)]]*S76,0),"")</f>
        <v>2.0169682000060059</v>
      </c>
    </row>
    <row r="77" spans="1:36" hidden="1" x14ac:dyDescent="0.25">
      <c r="A77" s="57">
        <v>1776</v>
      </c>
      <c r="B77" s="319">
        <v>45781</v>
      </c>
      <c r="C77" s="320"/>
      <c r="D77" s="321">
        <v>2025</v>
      </c>
      <c r="E77" s="322" t="s">
        <v>73</v>
      </c>
      <c r="F77" s="322" t="s">
        <v>73</v>
      </c>
      <c r="G77" s="323">
        <v>45778</v>
      </c>
      <c r="H77" s="324">
        <v>31</v>
      </c>
      <c r="I77" s="303">
        <v>0.22847222222222222</v>
      </c>
      <c r="J77" s="303">
        <v>0.2638888888888889</v>
      </c>
      <c r="K77" s="293">
        <v>11.999999999999998</v>
      </c>
      <c r="L77" s="320" t="s">
        <v>579</v>
      </c>
      <c r="M77" s="320"/>
      <c r="N77" s="320"/>
      <c r="O77" s="320" t="s">
        <v>600</v>
      </c>
      <c r="P77" s="324"/>
      <c r="Q77" s="321"/>
      <c r="R7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BLK8INV17</v>
      </c>
      <c r="S77" s="293">
        <v>22.2</v>
      </c>
      <c r="T77" s="132">
        <f>IFERROR(_xlfn.XLOOKUP(PA[[#This Row],[Affected Equipment ]],'Basic Data '!A:A,'Basic Data '!C:C),"")</f>
        <v>2.6666666666666666E-3</v>
      </c>
      <c r="U77" s="320" t="s">
        <v>592</v>
      </c>
      <c r="V77" s="325"/>
      <c r="W77" s="315" t="s">
        <v>638</v>
      </c>
      <c r="X77" s="326">
        <v>0.21944444444444444</v>
      </c>
      <c r="Y77" s="326">
        <v>0.375</v>
      </c>
      <c r="Z77" s="326">
        <v>0.46527777777777779</v>
      </c>
      <c r="AA77" s="326">
        <v>0.47222222222222221</v>
      </c>
      <c r="AB77" s="327">
        <v>3.7333333333333334</v>
      </c>
      <c r="AC77" s="327">
        <v>5.9</v>
      </c>
      <c r="AD77" s="328">
        <v>6.0666666666666664</v>
      </c>
      <c r="AE77" s="329">
        <v>6.0666666666666664</v>
      </c>
      <c r="AF77" s="261" t="s">
        <v>639</v>
      </c>
      <c r="AG77" s="6" t="s">
        <v>1275</v>
      </c>
      <c r="AH77" s="293">
        <v>0</v>
      </c>
      <c r="AI77" s="320">
        <v>0.11</v>
      </c>
      <c r="AJ77" s="89">
        <f>IFERROR(IF(PA[[#This Row],[Lost PoA(kWh/m2)]]&gt;0,_xlfn.XLOOKUP(G77,'Modelling New'!$D:$D,'Modelling New'!$O:$O)*PA[[#This Row],[Lost PoA(kWh/m2)]]*S77,0),"")</f>
        <v>1.8488875166721719</v>
      </c>
    </row>
    <row r="78" spans="1:36" hidden="1" x14ac:dyDescent="0.25">
      <c r="A78" s="57">
        <v>1777</v>
      </c>
      <c r="B78" s="319">
        <v>45781</v>
      </c>
      <c r="C78" s="320"/>
      <c r="D78" s="321">
        <v>2025</v>
      </c>
      <c r="E78" s="322" t="s">
        <v>73</v>
      </c>
      <c r="F78" s="322" t="s">
        <v>73</v>
      </c>
      <c r="G78" s="323">
        <v>45778</v>
      </c>
      <c r="H78" s="324">
        <v>31</v>
      </c>
      <c r="I78" s="303">
        <v>0.22847222222222222</v>
      </c>
      <c r="J78" s="303">
        <v>0.2638888888888889</v>
      </c>
      <c r="K78" s="293">
        <v>11.999999999999998</v>
      </c>
      <c r="L78" s="320" t="s">
        <v>579</v>
      </c>
      <c r="M78" s="320"/>
      <c r="N78" s="320"/>
      <c r="O78" s="320" t="s">
        <v>607</v>
      </c>
      <c r="P78" s="324"/>
      <c r="Q78" s="321"/>
      <c r="R7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BLK8INV3</v>
      </c>
      <c r="S78" s="293">
        <v>22.2</v>
      </c>
      <c r="T78" s="132">
        <f>IFERROR(_xlfn.XLOOKUP(PA[[#This Row],[Affected Equipment ]],'Basic Data '!A:A,'Basic Data '!C:C),"")</f>
        <v>2.8179775280898875E-3</v>
      </c>
      <c r="U78" s="320" t="s">
        <v>592</v>
      </c>
      <c r="V78" s="325"/>
      <c r="W78" s="315" t="s">
        <v>638</v>
      </c>
      <c r="X78" s="326">
        <v>0.21944444444444444</v>
      </c>
      <c r="Y78" s="326">
        <v>0.375</v>
      </c>
      <c r="Z78" s="326">
        <v>0.4861111111111111</v>
      </c>
      <c r="AA78" s="326">
        <v>0.49305555555555558</v>
      </c>
      <c r="AB78" s="327">
        <v>3.7333333333333334</v>
      </c>
      <c r="AC78" s="327">
        <v>6.4</v>
      </c>
      <c r="AD78" s="328">
        <v>6.5666666666666673</v>
      </c>
      <c r="AE78" s="329">
        <v>6.5666666666666673</v>
      </c>
      <c r="AF78" s="261" t="s">
        <v>640</v>
      </c>
      <c r="AG78" s="6" t="s">
        <v>1275</v>
      </c>
      <c r="AH78" s="293">
        <v>0</v>
      </c>
      <c r="AI78" s="320">
        <v>0.9</v>
      </c>
      <c r="AJ78" s="89">
        <f>IFERROR(IF(PA[[#This Row],[Lost PoA(kWh/m2)]]&gt;0,_xlfn.XLOOKUP(G78,'Modelling New'!$D:$D,'Modelling New'!$O:$O)*PA[[#This Row],[Lost PoA(kWh/m2)]]*S78,0),"")</f>
        <v>15.127261500045044</v>
      </c>
    </row>
    <row r="79" spans="1:36" hidden="1" x14ac:dyDescent="0.25">
      <c r="A79" s="57">
        <v>1778</v>
      </c>
      <c r="B79" s="319">
        <v>45781</v>
      </c>
      <c r="C79" s="320"/>
      <c r="D79" s="321">
        <v>2025</v>
      </c>
      <c r="E79" s="322" t="s">
        <v>73</v>
      </c>
      <c r="F79" s="322" t="s">
        <v>73</v>
      </c>
      <c r="G79" s="323">
        <v>45778</v>
      </c>
      <c r="H79" s="324">
        <v>31</v>
      </c>
      <c r="I79" s="303">
        <v>0.22847222222222222</v>
      </c>
      <c r="J79" s="303">
        <v>0.2638888888888889</v>
      </c>
      <c r="K79" s="293">
        <v>11.999999999999998</v>
      </c>
      <c r="L79" s="320" t="s">
        <v>579</v>
      </c>
      <c r="M79" s="320"/>
      <c r="N79" s="320"/>
      <c r="O79" s="320" t="s">
        <v>641</v>
      </c>
      <c r="P79" s="324"/>
      <c r="Q79" s="321"/>
      <c r="R7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BLK8INV19</v>
      </c>
      <c r="S79" s="293">
        <v>22.2</v>
      </c>
      <c r="T79" s="132">
        <f>IFERROR(_xlfn.XLOOKUP(PA[[#This Row],[Affected Equipment ]],'Basic Data '!A:A,'Basic Data '!C:C),"")</f>
        <v>4.3011235955056184E-3</v>
      </c>
      <c r="U79" s="320" t="s">
        <v>592</v>
      </c>
      <c r="V79" s="325"/>
      <c r="W79" s="315" t="s">
        <v>638</v>
      </c>
      <c r="X79" s="326">
        <v>0.21944444444444444</v>
      </c>
      <c r="Y79" s="326">
        <v>0.375</v>
      </c>
      <c r="Z79" s="326">
        <v>0.5</v>
      </c>
      <c r="AA79" s="326">
        <v>0.50694444444444442</v>
      </c>
      <c r="AB79" s="327">
        <v>3.7333333333333334</v>
      </c>
      <c r="AC79" s="327">
        <v>6.7333333333333334</v>
      </c>
      <c r="AD79" s="328">
        <v>6.8999999999999995</v>
      </c>
      <c r="AE79" s="329">
        <v>6.8999999999999995</v>
      </c>
      <c r="AF79" s="261" t="s">
        <v>642</v>
      </c>
      <c r="AG79" s="6" t="s">
        <v>1275</v>
      </c>
      <c r="AH79" s="293">
        <v>0</v>
      </c>
      <c r="AI79" s="320">
        <v>0.14000000000000001</v>
      </c>
      <c r="AJ79" s="89">
        <f>IFERROR(IF(PA[[#This Row],[Lost PoA(kWh/m2)]]&gt;0,_xlfn.XLOOKUP(G79,'Modelling New'!$D:$D,'Modelling New'!$O:$O)*PA[[#This Row],[Lost PoA(kWh/m2)]]*S79,0),"")</f>
        <v>2.3531295666736733</v>
      </c>
    </row>
    <row r="80" spans="1:36" hidden="1" x14ac:dyDescent="0.25">
      <c r="A80" s="57">
        <v>1779</v>
      </c>
      <c r="B80" s="319">
        <v>45781</v>
      </c>
      <c r="C80" s="320"/>
      <c r="D80" s="321">
        <v>2025</v>
      </c>
      <c r="E80" s="322" t="s">
        <v>73</v>
      </c>
      <c r="F80" s="322" t="s">
        <v>73</v>
      </c>
      <c r="G80" s="323">
        <v>45778</v>
      </c>
      <c r="H80" s="324">
        <v>31</v>
      </c>
      <c r="I80" s="303">
        <v>0.22847222222222222</v>
      </c>
      <c r="J80" s="303">
        <v>0.2638888888888889</v>
      </c>
      <c r="K80" s="293">
        <v>11.999999999999998</v>
      </c>
      <c r="L80" s="320" t="s">
        <v>579</v>
      </c>
      <c r="M80" s="320"/>
      <c r="N80" s="320"/>
      <c r="O80" s="320" t="s">
        <v>641</v>
      </c>
      <c r="P80" s="324"/>
      <c r="Q80" s="321"/>
      <c r="R8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BLK8INV19</v>
      </c>
      <c r="S80" s="293">
        <v>22.2</v>
      </c>
      <c r="T80" s="132">
        <f>IFERROR(_xlfn.XLOOKUP(PA[[#This Row],[Affected Equipment ]],'Basic Data '!A:A,'Basic Data '!C:C),"")</f>
        <v>4.3011235955056184E-3</v>
      </c>
      <c r="U80" s="320" t="s">
        <v>592</v>
      </c>
      <c r="V80" s="325"/>
      <c r="W80" s="315" t="s">
        <v>638</v>
      </c>
      <c r="X80" s="326">
        <v>0.21944444444444444</v>
      </c>
      <c r="Y80" s="326">
        <v>0.375</v>
      </c>
      <c r="Z80" s="326">
        <v>0.51388888888888884</v>
      </c>
      <c r="AA80" s="326">
        <v>0.52083333333333337</v>
      </c>
      <c r="AB80" s="327">
        <v>3.7333333333333334</v>
      </c>
      <c r="AC80" s="327">
        <v>7.0666666666666655</v>
      </c>
      <c r="AD80" s="328">
        <v>7.2333333333333343</v>
      </c>
      <c r="AE80" s="329">
        <v>7.2333333333333343</v>
      </c>
      <c r="AF80" s="261" t="s">
        <v>643</v>
      </c>
      <c r="AG80" s="6" t="s">
        <v>1275</v>
      </c>
      <c r="AH80" s="293">
        <v>0</v>
      </c>
      <c r="AI80" s="320">
        <v>0.13</v>
      </c>
      <c r="AJ80" s="89">
        <f>IFERROR(IF(PA[[#This Row],[Lost PoA(kWh/m2)]]&gt;0,_xlfn.XLOOKUP(G80,'Modelling New'!$D:$D,'Modelling New'!$O:$O)*PA[[#This Row],[Lost PoA(kWh/m2)]]*S80,0),"")</f>
        <v>2.1850488833398396</v>
      </c>
    </row>
    <row r="81" spans="1:36" hidden="1" x14ac:dyDescent="0.25">
      <c r="A81" s="57">
        <v>1780</v>
      </c>
      <c r="B81" s="262">
        <v>45781</v>
      </c>
      <c r="C81" s="298"/>
      <c r="D81" s="299">
        <v>2025</v>
      </c>
      <c r="E81" s="300" t="s">
        <v>73</v>
      </c>
      <c r="F81" s="300" t="s">
        <v>73</v>
      </c>
      <c r="G81" s="301">
        <v>45778</v>
      </c>
      <c r="H81" s="302">
        <v>31</v>
      </c>
      <c r="I81" s="303">
        <v>0.22847222222222222</v>
      </c>
      <c r="J81" s="303">
        <v>0.2638888888888889</v>
      </c>
      <c r="K81" s="287">
        <v>11.999999999999998</v>
      </c>
      <c r="L81" s="320" t="s">
        <v>579</v>
      </c>
      <c r="M81" s="298"/>
      <c r="N81" s="298"/>
      <c r="O81" s="298" t="s">
        <v>644</v>
      </c>
      <c r="P81" s="302"/>
      <c r="Q81" s="299"/>
      <c r="R8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BLK8INV4</v>
      </c>
      <c r="S81" s="287">
        <v>22.2</v>
      </c>
      <c r="T81" s="132">
        <f>IFERROR(_xlfn.XLOOKUP(PA[[#This Row],[Affected Equipment ]],'Basic Data '!A:A,'Basic Data '!C:C),"")</f>
        <v>4.1666666666666666E-3</v>
      </c>
      <c r="U81" s="298" t="s">
        <v>592</v>
      </c>
      <c r="V81" s="314"/>
      <c r="W81" s="315" t="s">
        <v>638</v>
      </c>
      <c r="X81" s="303">
        <v>0.21944444444444444</v>
      </c>
      <c r="Y81" s="303">
        <v>0.375</v>
      </c>
      <c r="Z81" s="303">
        <v>0.52430555555555558</v>
      </c>
      <c r="AA81" s="303">
        <v>0.52777777777777779</v>
      </c>
      <c r="AB81" s="316">
        <v>3.7333333333333334</v>
      </c>
      <c r="AC81" s="316">
        <v>7.3166666666666673</v>
      </c>
      <c r="AD81" s="317">
        <v>7.4</v>
      </c>
      <c r="AE81" s="318">
        <v>7.4</v>
      </c>
      <c r="AF81" s="261" t="s">
        <v>640</v>
      </c>
      <c r="AG81" s="6" t="s">
        <v>1275</v>
      </c>
      <c r="AH81" s="287">
        <v>0</v>
      </c>
      <c r="AI81" s="298">
        <v>0.13</v>
      </c>
      <c r="AJ81" s="89">
        <f>IFERROR(IF(PA[[#This Row],[Lost PoA(kWh/m2)]]&gt;0,_xlfn.XLOOKUP(G81,'Modelling New'!$D:$D,'Modelling New'!$O:$O)*PA[[#This Row],[Lost PoA(kWh/m2)]]*S81,0),"")</f>
        <v>2.1850488833398396</v>
      </c>
    </row>
    <row r="82" spans="1:36" hidden="1" x14ac:dyDescent="0.25">
      <c r="A82" s="57">
        <v>1781</v>
      </c>
      <c r="B82" s="319">
        <v>45782</v>
      </c>
      <c r="C82" s="320"/>
      <c r="D82" s="321">
        <v>2025</v>
      </c>
      <c r="E82" s="322" t="s">
        <v>73</v>
      </c>
      <c r="F82" s="322" t="s">
        <v>73</v>
      </c>
      <c r="G82" s="323">
        <v>45778</v>
      </c>
      <c r="H82" s="324">
        <v>31</v>
      </c>
      <c r="I82" s="232">
        <v>0.23055555555555554</v>
      </c>
      <c r="J82" s="232">
        <v>0.76180555555555562</v>
      </c>
      <c r="K82" s="293">
        <v>11.999999999999998</v>
      </c>
      <c r="L82" s="320" t="s">
        <v>597</v>
      </c>
      <c r="M82" s="320"/>
      <c r="N82" s="320"/>
      <c r="O82" s="320" t="s">
        <v>598</v>
      </c>
      <c r="P82" s="324"/>
      <c r="Q82" s="321"/>
      <c r="R8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BLK3INV6</v>
      </c>
      <c r="S82" s="293">
        <v>267</v>
      </c>
      <c r="T82" s="132">
        <f>IFERROR(_xlfn.XLOOKUP(PA[[#This Row],[Affected Equipment ]],'Basic Data '!A:A,'Basic Data '!C:C),"")</f>
        <v>4.0000000000000001E-3</v>
      </c>
      <c r="U82" s="320" t="s">
        <v>566</v>
      </c>
      <c r="V82" s="325"/>
      <c r="W82" s="330" t="s">
        <v>619</v>
      </c>
      <c r="X82" s="326">
        <v>0.59722222222222221</v>
      </c>
      <c r="Y82" s="326">
        <v>0.59722222222222221</v>
      </c>
      <c r="Z82" s="326">
        <v>0.66666666666666663</v>
      </c>
      <c r="AA82" s="326">
        <v>0.6875</v>
      </c>
      <c r="AB82" s="327">
        <v>0</v>
      </c>
      <c r="AC82" s="327">
        <f>IF(PA[[#This Row],[Work Start time on Fault]]="NA","",(PA[[#This Row],[Work Start time on Fault]]-PA[[#This Row],[Fault Time]])*24)</f>
        <v>1.6666666666666661</v>
      </c>
      <c r="AD82" s="328">
        <v>2.166666666666667</v>
      </c>
      <c r="AE82" s="329">
        <f>IFERROR((PA[[#This Row],[Work Completion time on fault]]-PA[[#This Row],[Fault Time]])*24,"")</f>
        <v>2.166666666666667</v>
      </c>
      <c r="AF82" s="261" t="s">
        <v>620</v>
      </c>
      <c r="AG82" s="6" t="s">
        <v>1275</v>
      </c>
      <c r="AH82" s="293">
        <v>0</v>
      </c>
      <c r="AI82" s="320">
        <v>0.13100000000000001</v>
      </c>
      <c r="AJ82" s="89">
        <f>IFERROR(IF(PA[[#This Row],[Lost PoA(kWh/m2)]]&gt;0,_xlfn.XLOOKUP(G82,'Modelling New'!$D:$D,'Modelling New'!$O:$O)*PA[[#This Row],[Lost PoA(kWh/m2)]]*S82,0),"")</f>
        <v>26.481793067421197</v>
      </c>
    </row>
    <row r="83" spans="1:36" hidden="1" x14ac:dyDescent="0.25">
      <c r="A83" s="57">
        <v>1782</v>
      </c>
      <c r="B83" s="319">
        <v>45782</v>
      </c>
      <c r="C83" s="320"/>
      <c r="D83" s="321">
        <v>2025</v>
      </c>
      <c r="E83" s="322" t="s">
        <v>73</v>
      </c>
      <c r="F83" s="322" t="s">
        <v>73</v>
      </c>
      <c r="G83" s="323">
        <v>45778</v>
      </c>
      <c r="H83" s="324">
        <v>31</v>
      </c>
      <c r="I83" s="232">
        <v>0.23055555555555554</v>
      </c>
      <c r="J83" s="232">
        <v>0.76180555555555562</v>
      </c>
      <c r="K83" s="293">
        <v>11.999999999999998</v>
      </c>
      <c r="L83" s="320" t="s">
        <v>621</v>
      </c>
      <c r="M83" s="320"/>
      <c r="N83" s="320"/>
      <c r="O83" s="320" t="s">
        <v>600</v>
      </c>
      <c r="P83" s="324"/>
      <c r="Q83" s="321"/>
      <c r="R8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BLK4INV17</v>
      </c>
      <c r="S83" s="293">
        <v>289.25</v>
      </c>
      <c r="T83" s="132">
        <f>IFERROR(_xlfn.XLOOKUP(PA[[#This Row],[Affected Equipment ]],'Basic Data '!A:A,'Basic Data '!C:C),"")</f>
        <v>4.3333333333333331E-3</v>
      </c>
      <c r="U83" s="320" t="s">
        <v>566</v>
      </c>
      <c r="V83" s="325"/>
      <c r="W83" s="330" t="s">
        <v>619</v>
      </c>
      <c r="X83" s="326">
        <v>0.59722222222222221</v>
      </c>
      <c r="Y83" s="326">
        <v>0.59722222222222221</v>
      </c>
      <c r="Z83" s="326">
        <v>0.65277777777777779</v>
      </c>
      <c r="AA83" s="326">
        <v>0.67361111111111116</v>
      </c>
      <c r="AB83" s="327">
        <v>0</v>
      </c>
      <c r="AC83" s="327">
        <f>IF(PA[[#This Row],[Work Start time on Fault]]="NA","",(PA[[#This Row],[Work Start time on Fault]]-PA[[#This Row],[Fault Time]])*24)</f>
        <v>1.3333333333333339</v>
      </c>
      <c r="AD83" s="328">
        <v>1.8333333333333348</v>
      </c>
      <c r="AE83" s="329">
        <f>IFERROR((PA[[#This Row],[Work Completion time on fault]]-PA[[#This Row],[Fault Time]])*24,"")</f>
        <v>1.8333333333333348</v>
      </c>
      <c r="AF83" s="261" t="s">
        <v>620</v>
      </c>
      <c r="AG83" s="6" t="s">
        <v>1275</v>
      </c>
      <c r="AH83" s="293">
        <v>0</v>
      </c>
      <c r="AI83" s="320">
        <v>0.82279999999999998</v>
      </c>
      <c r="AJ83" s="89">
        <f>IFERROR(IF(PA[[#This Row],[Lost PoA(kWh/m2)]]&gt;0,_xlfn.XLOOKUP(G83,'Modelling New'!$D:$D,'Modelling New'!$O:$O)*PA[[#This Row],[Lost PoA(kWh/m2)]]*S83,0),"")</f>
        <v>180.1907451439975</v>
      </c>
    </row>
    <row r="84" spans="1:36" hidden="1" x14ac:dyDescent="0.25">
      <c r="A84" s="57">
        <v>1783</v>
      </c>
      <c r="B84" s="319">
        <v>45782</v>
      </c>
      <c r="C84" s="320"/>
      <c r="D84" s="321">
        <v>2025</v>
      </c>
      <c r="E84" s="322" t="s">
        <v>73</v>
      </c>
      <c r="F84" s="322" t="s">
        <v>73</v>
      </c>
      <c r="G84" s="323">
        <v>45778</v>
      </c>
      <c r="H84" s="324">
        <v>31</v>
      </c>
      <c r="I84" s="232">
        <v>0.23055555555555554</v>
      </c>
      <c r="J84" s="232">
        <v>0.76180555555555562</v>
      </c>
      <c r="K84" s="293">
        <v>11.999999999999998</v>
      </c>
      <c r="L84" s="320" t="s">
        <v>606</v>
      </c>
      <c r="M84" s="320"/>
      <c r="N84" s="320"/>
      <c r="O84" s="320" t="s">
        <v>578</v>
      </c>
      <c r="P84" s="324"/>
      <c r="Q84" s="321"/>
      <c r="R8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BLK7INV12</v>
      </c>
      <c r="S84" s="293">
        <v>190.35</v>
      </c>
      <c r="T84" s="132">
        <f>IFERROR(_xlfn.XLOOKUP(PA[[#This Row],[Affected Equipment ]],'Basic Data '!A:A,'Basic Data '!C:C),"")</f>
        <v>4.0539325842696636E-3</v>
      </c>
      <c r="U84" s="320" t="s">
        <v>566</v>
      </c>
      <c r="V84" s="325"/>
      <c r="W84" s="330" t="s">
        <v>619</v>
      </c>
      <c r="X84" s="326">
        <v>0.59722222222222221</v>
      </c>
      <c r="Y84" s="326">
        <v>0.59722222222222221</v>
      </c>
      <c r="Z84" s="326">
        <v>0.65972222222222221</v>
      </c>
      <c r="AA84" s="326">
        <v>0.68055555555555547</v>
      </c>
      <c r="AB84" s="327">
        <v>0</v>
      </c>
      <c r="AC84" s="327">
        <f>IF(PA[[#This Row],[Work Start time on Fault]]="NA","",(PA[[#This Row],[Work Start time on Fault]]-PA[[#This Row],[Fault Time]])*24)</f>
        <v>1.5</v>
      </c>
      <c r="AD84" s="328">
        <v>1.9999999999999982</v>
      </c>
      <c r="AE84" s="329">
        <f>IFERROR((PA[[#This Row],[Work Completion time on fault]]-PA[[#This Row],[Fault Time]])*24,"")</f>
        <v>1.9999999999999982</v>
      </c>
      <c r="AF84" s="261" t="s">
        <v>645</v>
      </c>
      <c r="AG84" s="6" t="s">
        <v>1275</v>
      </c>
      <c r="AH84" s="293">
        <v>0</v>
      </c>
      <c r="AI84" s="320">
        <v>0.11194</v>
      </c>
      <c r="AJ84" s="89">
        <f>IFERROR(IF(PA[[#This Row],[Lost PoA(kWh/m2)]]&gt;0,_xlfn.XLOOKUP(G84,'Modelling New'!$D:$D,'Modelling New'!$O:$O)*PA[[#This Row],[Lost PoA(kWh/m2)]]*S84,0),"")</f>
        <v>16.132549795704119</v>
      </c>
    </row>
    <row r="85" spans="1:36" hidden="1" x14ac:dyDescent="0.25">
      <c r="A85" s="57">
        <v>1784</v>
      </c>
      <c r="B85" s="319">
        <v>45782</v>
      </c>
      <c r="C85" s="320"/>
      <c r="D85" s="321">
        <v>2025</v>
      </c>
      <c r="E85" s="322" t="s">
        <v>73</v>
      </c>
      <c r="F85" s="322" t="s">
        <v>73</v>
      </c>
      <c r="G85" s="323">
        <v>45778</v>
      </c>
      <c r="H85" s="324">
        <v>31</v>
      </c>
      <c r="I85" s="232">
        <v>0.23055555555555554</v>
      </c>
      <c r="J85" s="232">
        <v>0.76180555555555562</v>
      </c>
      <c r="K85" s="293">
        <v>11.999999999999998</v>
      </c>
      <c r="L85" s="320" t="s">
        <v>615</v>
      </c>
      <c r="M85" s="320"/>
      <c r="N85" s="320"/>
      <c r="O85" s="320" t="s">
        <v>599</v>
      </c>
      <c r="P85" s="324"/>
      <c r="Q85" s="321"/>
      <c r="R8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BLK6INV20</v>
      </c>
      <c r="S85" s="293">
        <v>264</v>
      </c>
      <c r="T85" s="132">
        <f>IFERROR(_xlfn.XLOOKUP(PA[[#This Row],[Affected Equipment ]],'Basic Data '!A:A,'Basic Data '!C:C),"")</f>
        <v>3.9550561797752808E-3</v>
      </c>
      <c r="U85" s="320" t="s">
        <v>566</v>
      </c>
      <c r="V85" s="325"/>
      <c r="W85" s="330" t="s">
        <v>619</v>
      </c>
      <c r="X85" s="326">
        <v>0.59722222222222221</v>
      </c>
      <c r="Y85" s="326">
        <v>0.59722222222222221</v>
      </c>
      <c r="Z85" s="326">
        <v>0.64583333333333337</v>
      </c>
      <c r="AA85" s="326">
        <v>0.67361111111111116</v>
      </c>
      <c r="AB85" s="327">
        <v>0</v>
      </c>
      <c r="AC85" s="327">
        <f>IF(PA[[#This Row],[Work Start time on Fault]]="NA","",(PA[[#This Row],[Work Start time on Fault]]-PA[[#This Row],[Fault Time]])*24)</f>
        <v>1.1666666666666679</v>
      </c>
      <c r="AD85" s="328">
        <v>1.8333333333333348</v>
      </c>
      <c r="AE85" s="329">
        <f>IFERROR((PA[[#This Row],[Work Completion time on fault]]-PA[[#This Row],[Fault Time]])*24,"")</f>
        <v>1.8333333333333348</v>
      </c>
      <c r="AF85" s="261" t="s">
        <v>645</v>
      </c>
      <c r="AG85" s="6" t="s">
        <v>1275</v>
      </c>
      <c r="AH85" s="293">
        <v>0</v>
      </c>
      <c r="AI85" s="320">
        <v>0.82269999999999999</v>
      </c>
      <c r="AJ85" s="89">
        <f>IFERROR(IF(PA[[#This Row],[Lost PoA(kWh/m2)]]&gt;0,_xlfn.XLOOKUP(G85,'Modelling New'!$D:$D,'Modelling New'!$O:$O)*PA[[#This Row],[Lost PoA(kWh/m2)]]*S85,0),"")</f>
        <v>164.44105513148065</v>
      </c>
    </row>
    <row r="86" spans="1:36" hidden="1" x14ac:dyDescent="0.25">
      <c r="A86" s="57">
        <v>1785</v>
      </c>
      <c r="B86" s="319">
        <v>45782</v>
      </c>
      <c r="C86" s="320"/>
      <c r="D86" s="321">
        <v>2025</v>
      </c>
      <c r="E86" s="322" t="s">
        <v>73</v>
      </c>
      <c r="F86" s="322" t="s">
        <v>73</v>
      </c>
      <c r="G86" s="323">
        <v>45778</v>
      </c>
      <c r="H86" s="324">
        <v>31</v>
      </c>
      <c r="I86" s="232">
        <v>0.23055555555555554</v>
      </c>
      <c r="J86" s="232">
        <v>0.76180555555555562</v>
      </c>
      <c r="K86" s="293">
        <v>11.999999999999998</v>
      </c>
      <c r="L86" s="320" t="s">
        <v>564</v>
      </c>
      <c r="M86" s="320"/>
      <c r="N86" s="320"/>
      <c r="O86" s="320" t="s">
        <v>637</v>
      </c>
      <c r="P86" s="324"/>
      <c r="Q86" s="321"/>
      <c r="R8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BLK5INV27</v>
      </c>
      <c r="S86" s="293">
        <v>300.38</v>
      </c>
      <c r="T86" s="132">
        <f>IFERROR(_xlfn.XLOOKUP(PA[[#This Row],[Affected Equipment ]],'Basic Data '!A:A,'Basic Data '!C:C),"")</f>
        <v>4.0000000000000001E-3</v>
      </c>
      <c r="U86" s="320" t="s">
        <v>566</v>
      </c>
      <c r="V86" s="325"/>
      <c r="W86" s="330" t="s">
        <v>619</v>
      </c>
      <c r="X86" s="326">
        <v>0.59722222222222221</v>
      </c>
      <c r="Y86" s="326">
        <v>0.59722222222222221</v>
      </c>
      <c r="Z86" s="326">
        <v>0.64236111111111105</v>
      </c>
      <c r="AA86" s="326">
        <v>0.67222222222222217</v>
      </c>
      <c r="AB86" s="327">
        <v>0</v>
      </c>
      <c r="AC86" s="327">
        <f>IF(PA[[#This Row],[Work Start time on Fault]]="NA","",(PA[[#This Row],[Work Start time on Fault]]-PA[[#This Row],[Fault Time]])*24)</f>
        <v>1.0833333333333321</v>
      </c>
      <c r="AD86" s="328">
        <v>1.7999999999999989</v>
      </c>
      <c r="AE86" s="329">
        <f>IFERROR((PA[[#This Row],[Work Completion time on fault]]-PA[[#This Row],[Fault Time]])*24,"")</f>
        <v>1.7999999999999989</v>
      </c>
      <c r="AF86" s="261" t="s">
        <v>620</v>
      </c>
      <c r="AG86" s="6" t="s">
        <v>1275</v>
      </c>
      <c r="AH86" s="293">
        <v>0</v>
      </c>
      <c r="AI86" s="320">
        <v>0.75780000000000003</v>
      </c>
      <c r="AJ86" s="89">
        <f>IFERROR(IF(PA[[#This Row],[Lost PoA(kWh/m2)]]&gt;0,_xlfn.XLOOKUP(G86,'Modelling New'!$D:$D,'Modelling New'!$O:$O)*PA[[#This Row],[Lost PoA(kWh/m2)]]*S86,0),"")</f>
        <v>172.34172853607805</v>
      </c>
    </row>
    <row r="87" spans="1:36" hidden="1" x14ac:dyDescent="0.25">
      <c r="A87" s="57">
        <v>1786</v>
      </c>
      <c r="B87" s="319">
        <v>45782</v>
      </c>
      <c r="C87" s="320"/>
      <c r="D87" s="321">
        <v>2025</v>
      </c>
      <c r="E87" s="322" t="s">
        <v>73</v>
      </c>
      <c r="F87" s="322" t="s">
        <v>73</v>
      </c>
      <c r="G87" s="323">
        <v>45778</v>
      </c>
      <c r="H87" s="324">
        <v>31</v>
      </c>
      <c r="I87" s="232">
        <v>0.23055555555555554</v>
      </c>
      <c r="J87" s="232">
        <v>0.76180555555555562</v>
      </c>
      <c r="K87" s="293">
        <v>11.999999999999998</v>
      </c>
      <c r="L87" s="320" t="s">
        <v>564</v>
      </c>
      <c r="M87" s="320"/>
      <c r="N87" s="320"/>
      <c r="O87" s="320" t="s">
        <v>596</v>
      </c>
      <c r="P87" s="324"/>
      <c r="Q87" s="321"/>
      <c r="R8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BLK5INV13</v>
      </c>
      <c r="S87" s="293">
        <v>22.25</v>
      </c>
      <c r="T87" s="132">
        <f>IFERROR(_xlfn.XLOOKUP(PA[[#This Row],[Affected Equipment ]],'Basic Data '!A:A,'Basic Data '!C:C),"")</f>
        <v>4.2846441947565544E-3</v>
      </c>
      <c r="U87" s="320" t="s">
        <v>592</v>
      </c>
      <c r="V87" s="325"/>
      <c r="W87" s="315" t="s">
        <v>638</v>
      </c>
      <c r="X87" s="326">
        <v>0.375</v>
      </c>
      <c r="Y87" s="326">
        <v>0.375</v>
      </c>
      <c r="Z87" s="326">
        <v>0.39583333333333331</v>
      </c>
      <c r="AA87" s="326">
        <v>0.40277777777777773</v>
      </c>
      <c r="AB87" s="327">
        <f>IF(PA[[#This Row],[Acknowledgement Time ]]="NA","",(PA[[#This Row],[Acknowledgement Time ]]-PA[[#This Row],[Fault Time]])*24)</f>
        <v>0</v>
      </c>
      <c r="AC87" s="327">
        <f>IF(PA[[#This Row],[Work Start time on Fault]]="NA","",(PA[[#This Row],[Work Start time on Fault]]-PA[[#This Row],[Fault Time]])*24)</f>
        <v>0.49999999999999956</v>
      </c>
      <c r="AD87" s="328">
        <v>0.66666666666666563</v>
      </c>
      <c r="AE87" s="329">
        <f>IFERROR((PA[[#This Row],[Work Completion time on fault]]-PA[[#This Row],[Fault Time]])*24,"")</f>
        <v>0.66666666666666563</v>
      </c>
      <c r="AF87" s="261" t="s">
        <v>640</v>
      </c>
      <c r="AG87" s="6" t="s">
        <v>1275</v>
      </c>
      <c r="AH87" s="293">
        <v>0</v>
      </c>
      <c r="AI87" s="320">
        <v>0.623</v>
      </c>
      <c r="AJ87" s="89">
        <f>IFERROR(IF(PA[[#This Row],[Lost PoA(kWh/m2)]]&gt;0,_xlfn.XLOOKUP(G87,'Modelling New'!$D:$D,'Modelling New'!$O:$O)*PA[[#This Row],[Lost PoA(kWh/m2)]]*S87,0),"")</f>
        <v>10.495010865778248</v>
      </c>
    </row>
    <row r="88" spans="1:36" hidden="1" x14ac:dyDescent="0.25">
      <c r="A88" s="57">
        <v>1787</v>
      </c>
      <c r="B88" s="319">
        <v>45782</v>
      </c>
      <c r="C88" s="320"/>
      <c r="D88" s="321">
        <v>2025</v>
      </c>
      <c r="E88" s="322" t="s">
        <v>73</v>
      </c>
      <c r="F88" s="322" t="s">
        <v>73</v>
      </c>
      <c r="G88" s="323">
        <v>45778</v>
      </c>
      <c r="H88" s="324">
        <v>31</v>
      </c>
      <c r="I88" s="232">
        <v>0.23055555555555554</v>
      </c>
      <c r="J88" s="232">
        <v>0.76180555555555562</v>
      </c>
      <c r="K88" s="293">
        <v>11.999999999999998</v>
      </c>
      <c r="L88" s="320" t="s">
        <v>564</v>
      </c>
      <c r="M88" s="320"/>
      <c r="N88" s="320"/>
      <c r="O88" s="320" t="s">
        <v>600</v>
      </c>
      <c r="P88" s="324"/>
      <c r="Q88" s="321"/>
      <c r="R8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BLK5INV17</v>
      </c>
      <c r="S88" s="293">
        <v>22.25</v>
      </c>
      <c r="T88" s="132">
        <f>IFERROR(_xlfn.XLOOKUP(PA[[#This Row],[Affected Equipment ]],'Basic Data '!A:A,'Basic Data '!C:C),"")</f>
        <v>4.3333333333333331E-3</v>
      </c>
      <c r="U88" s="320" t="s">
        <v>592</v>
      </c>
      <c r="V88" s="325"/>
      <c r="W88" s="315" t="s">
        <v>638</v>
      </c>
      <c r="X88" s="326">
        <v>0.375</v>
      </c>
      <c r="Y88" s="326">
        <v>0.375</v>
      </c>
      <c r="Z88" s="326">
        <v>0.40972222222222227</v>
      </c>
      <c r="AA88" s="326">
        <v>0.41666666666666669</v>
      </c>
      <c r="AB88" s="327">
        <f>IF(PA[[#This Row],[Acknowledgement Time ]]="NA","",(PA[[#This Row],[Acknowledgement Time ]]-PA[[#This Row],[Fault Time]])*24)</f>
        <v>0</v>
      </c>
      <c r="AC88" s="327">
        <f>IF(PA[[#This Row],[Work Start time on Fault]]="NA","",(PA[[#This Row],[Work Start time on Fault]]-PA[[#This Row],[Fault Time]])*24)</f>
        <v>0.83333333333333437</v>
      </c>
      <c r="AD88" s="328">
        <v>1.0000000000000004</v>
      </c>
      <c r="AE88" s="329">
        <f>IFERROR((PA[[#This Row],[Work Completion time on fault]]-PA[[#This Row],[Fault Time]])*24,"")</f>
        <v>1.0000000000000004</v>
      </c>
      <c r="AF88" s="261" t="s">
        <v>640</v>
      </c>
      <c r="AG88" s="6" t="s">
        <v>1275</v>
      </c>
      <c r="AH88" s="293">
        <v>0</v>
      </c>
      <c r="AI88" s="320">
        <v>0.65100000000000002</v>
      </c>
      <c r="AJ88" s="89">
        <f>IFERROR(IF(PA[[#This Row],[Lost PoA(kWh/m2)]]&gt;0,_xlfn.XLOOKUP(G88,'Modelling New'!$D:$D,'Modelling New'!$O:$O)*PA[[#This Row],[Lost PoA(kWh/m2)]]*S88,0),"")</f>
        <v>10.96669674738626</v>
      </c>
    </row>
    <row r="89" spans="1:36" hidden="1" x14ac:dyDescent="0.25">
      <c r="A89" s="57">
        <v>1788</v>
      </c>
      <c r="B89" s="319">
        <v>45782</v>
      </c>
      <c r="C89" s="320"/>
      <c r="D89" s="321">
        <v>2025</v>
      </c>
      <c r="E89" s="322" t="s">
        <v>73</v>
      </c>
      <c r="F89" s="322" t="s">
        <v>73</v>
      </c>
      <c r="G89" s="323">
        <v>45778</v>
      </c>
      <c r="H89" s="324">
        <v>31</v>
      </c>
      <c r="I89" s="232">
        <v>0.23055555555555554</v>
      </c>
      <c r="J89" s="232">
        <v>0.76180555555555562</v>
      </c>
      <c r="K89" s="293">
        <v>11.999999999999998</v>
      </c>
      <c r="L89" s="320" t="s">
        <v>564</v>
      </c>
      <c r="M89" s="320"/>
      <c r="N89" s="320"/>
      <c r="O89" s="320" t="s">
        <v>578</v>
      </c>
      <c r="P89" s="324"/>
      <c r="Q89" s="321"/>
      <c r="R8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BLK5INV12</v>
      </c>
      <c r="S89" s="293">
        <v>22.25</v>
      </c>
      <c r="T89" s="132">
        <f>IFERROR(_xlfn.XLOOKUP(PA[[#This Row],[Affected Equipment ]],'Basic Data '!A:A,'Basic Data '!C:C),"")</f>
        <v>4.2846441947565544E-3</v>
      </c>
      <c r="U89" s="320" t="s">
        <v>592</v>
      </c>
      <c r="V89" s="325"/>
      <c r="W89" s="315" t="s">
        <v>638</v>
      </c>
      <c r="X89" s="326">
        <v>0.375</v>
      </c>
      <c r="Y89" s="326">
        <v>0.375</v>
      </c>
      <c r="Z89" s="326">
        <v>0.4236111111111111</v>
      </c>
      <c r="AA89" s="326">
        <v>0.43055555555555558</v>
      </c>
      <c r="AB89" s="327">
        <f>IF(PA[[#This Row],[Acknowledgement Time ]]="NA","",(PA[[#This Row],[Acknowledgement Time ]]-PA[[#This Row],[Fault Time]])*24)</f>
        <v>0</v>
      </c>
      <c r="AC89" s="327">
        <f>IF(PA[[#This Row],[Work Start time on Fault]]="NA","",(PA[[#This Row],[Work Start time on Fault]]-PA[[#This Row],[Fault Time]])*24)</f>
        <v>1.1666666666666665</v>
      </c>
      <c r="AD89" s="328">
        <v>1.3333333333333339</v>
      </c>
      <c r="AE89" s="329">
        <f>IFERROR((PA[[#This Row],[Work Completion time on fault]]-PA[[#This Row],[Fault Time]])*24,"")</f>
        <v>1.3333333333333339</v>
      </c>
      <c r="AF89" s="261" t="s">
        <v>639</v>
      </c>
      <c r="AG89" s="6" t="s">
        <v>1275</v>
      </c>
      <c r="AH89" s="293">
        <v>0</v>
      </c>
      <c r="AI89" s="320">
        <v>0.66600000000000004</v>
      </c>
      <c r="AJ89" s="89">
        <f>IFERROR(IF(PA[[#This Row],[Lost PoA(kWh/m2)]]&gt;0,_xlfn.XLOOKUP(G89,'Modelling New'!$D:$D,'Modelling New'!$O:$O)*PA[[#This Row],[Lost PoA(kWh/m2)]]*S89,0),"")</f>
        <v>11.219385612533408</v>
      </c>
    </row>
    <row r="90" spans="1:36" hidden="1" x14ac:dyDescent="0.25">
      <c r="A90" s="57">
        <v>1789</v>
      </c>
      <c r="B90" s="319">
        <v>45782</v>
      </c>
      <c r="C90" s="320"/>
      <c r="D90" s="321">
        <v>2025</v>
      </c>
      <c r="E90" s="322" t="s">
        <v>73</v>
      </c>
      <c r="F90" s="322" t="s">
        <v>73</v>
      </c>
      <c r="G90" s="323">
        <v>45778</v>
      </c>
      <c r="H90" s="324">
        <v>31</v>
      </c>
      <c r="I90" s="232">
        <v>0.23055555555555554</v>
      </c>
      <c r="J90" s="232">
        <v>0.76180555555555562</v>
      </c>
      <c r="K90" s="293">
        <v>11.999999999999998</v>
      </c>
      <c r="L90" s="320" t="s">
        <v>597</v>
      </c>
      <c r="M90" s="320"/>
      <c r="N90" s="320"/>
      <c r="O90" s="320" t="s">
        <v>598</v>
      </c>
      <c r="P90" s="324"/>
      <c r="Q90" s="321"/>
      <c r="R9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BLK3INV6</v>
      </c>
      <c r="S90" s="293">
        <v>22.25</v>
      </c>
      <c r="T90" s="132">
        <f>IFERROR(_xlfn.XLOOKUP(PA[[#This Row],[Affected Equipment ]],'Basic Data '!A:A,'Basic Data '!C:C),"")</f>
        <v>4.0000000000000001E-3</v>
      </c>
      <c r="U90" s="320" t="s">
        <v>592</v>
      </c>
      <c r="V90" s="325"/>
      <c r="W90" s="315" t="s">
        <v>638</v>
      </c>
      <c r="X90" s="326">
        <v>0.375</v>
      </c>
      <c r="Y90" s="326">
        <v>0.375</v>
      </c>
      <c r="Z90" s="326">
        <v>0.4375</v>
      </c>
      <c r="AA90" s="326">
        <v>0.44444444444444442</v>
      </c>
      <c r="AB90" s="327">
        <f>IF(PA[[#This Row],[Acknowledgement Time ]]="NA","",(PA[[#This Row],[Acknowledgement Time ]]-PA[[#This Row],[Fault Time]])*24)</f>
        <v>0</v>
      </c>
      <c r="AC90" s="327">
        <f>IF(PA[[#This Row],[Work Start time on Fault]]="NA","",(PA[[#This Row],[Work Start time on Fault]]-PA[[#This Row],[Fault Time]])*24)</f>
        <v>1.5</v>
      </c>
      <c r="AD90" s="328">
        <v>1.6666666666666661</v>
      </c>
      <c r="AE90" s="329">
        <f>IFERROR((PA[[#This Row],[Work Completion time on fault]]-PA[[#This Row],[Fault Time]])*24,"")</f>
        <v>1.6666666666666661</v>
      </c>
      <c r="AF90" s="261" t="s">
        <v>640</v>
      </c>
      <c r="AG90" s="6" t="s">
        <v>1275</v>
      </c>
      <c r="AH90" s="293">
        <v>0</v>
      </c>
      <c r="AI90" s="320">
        <v>0.66300000000000003</v>
      </c>
      <c r="AJ90" s="89">
        <f>IFERROR(IF(PA[[#This Row],[Lost PoA(kWh/m2)]]&gt;0,_xlfn.XLOOKUP(G90,'Modelling New'!$D:$D,'Modelling New'!$O:$O)*PA[[#This Row],[Lost PoA(kWh/m2)]]*S90,0),"")</f>
        <v>11.168847839503979</v>
      </c>
    </row>
    <row r="91" spans="1:36" hidden="1" x14ac:dyDescent="0.25">
      <c r="A91" s="57">
        <v>1790</v>
      </c>
      <c r="B91" s="262">
        <v>45782</v>
      </c>
      <c r="C91" s="298"/>
      <c r="D91" s="299">
        <v>2025</v>
      </c>
      <c r="E91" s="300" t="s">
        <v>73</v>
      </c>
      <c r="F91" s="300" t="s">
        <v>73</v>
      </c>
      <c r="G91" s="301">
        <v>45778</v>
      </c>
      <c r="H91" s="302">
        <v>31</v>
      </c>
      <c r="I91" s="232">
        <v>0.23055555555555554</v>
      </c>
      <c r="J91" s="232">
        <v>0.76180555555555562</v>
      </c>
      <c r="K91" s="287">
        <v>11.999999999999998</v>
      </c>
      <c r="L91" s="298" t="s">
        <v>606</v>
      </c>
      <c r="M91" s="298"/>
      <c r="N91" s="298"/>
      <c r="O91" s="298" t="s">
        <v>612</v>
      </c>
      <c r="P91" s="302"/>
      <c r="Q91" s="299"/>
      <c r="R9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BLK7INV28</v>
      </c>
      <c r="S91" s="287">
        <v>22.25</v>
      </c>
      <c r="T91" s="132">
        <f>IFERROR(_xlfn.XLOOKUP(PA[[#This Row],[Affected Equipment ]],'Basic Data '!A:A,'Basic Data '!C:C),"")</f>
        <v>4.0000000000000001E-3</v>
      </c>
      <c r="U91" s="298" t="s">
        <v>592</v>
      </c>
      <c r="V91" s="314"/>
      <c r="W91" s="315" t="s">
        <v>638</v>
      </c>
      <c r="X91" s="303">
        <v>0.375</v>
      </c>
      <c r="Y91" s="303">
        <v>0.375</v>
      </c>
      <c r="Z91" s="303">
        <v>0.4513888888888889</v>
      </c>
      <c r="AA91" s="303">
        <v>0.45833333333333331</v>
      </c>
      <c r="AB91" s="316">
        <f>IF(PA[[#This Row],[Acknowledgement Time ]]="NA","",(PA[[#This Row],[Acknowledgement Time ]]-PA[[#This Row],[Fault Time]])*24)</f>
        <v>0</v>
      </c>
      <c r="AC91" s="316">
        <f>IF(PA[[#This Row],[Work Start time on Fault]]="NA","",(PA[[#This Row],[Work Start time on Fault]]-PA[[#This Row],[Fault Time]])*24)</f>
        <v>1.8333333333333335</v>
      </c>
      <c r="AD91" s="317">
        <v>1.9999999999999996</v>
      </c>
      <c r="AE91" s="318">
        <f>IFERROR((PA[[#This Row],[Work Completion time on fault]]-PA[[#This Row],[Fault Time]])*24,"")</f>
        <v>1.9999999999999996</v>
      </c>
      <c r="AF91" s="261" t="s">
        <v>643</v>
      </c>
      <c r="AG91" s="6" t="s">
        <v>1275</v>
      </c>
      <c r="AH91" s="287">
        <v>0</v>
      </c>
      <c r="AI91" s="298">
        <v>0.69499999999999995</v>
      </c>
      <c r="AJ91" s="89">
        <f>IFERROR(IF(PA[[#This Row],[Lost PoA(kWh/m2)]]&gt;0,_xlfn.XLOOKUP(G91,'Modelling New'!$D:$D,'Modelling New'!$O:$O)*PA[[#This Row],[Lost PoA(kWh/m2)]]*S91,0),"")</f>
        <v>11.707917418484563</v>
      </c>
    </row>
    <row r="92" spans="1:36" hidden="1" x14ac:dyDescent="0.25">
      <c r="A92" s="57">
        <v>1790</v>
      </c>
      <c r="B92" s="262">
        <v>45783</v>
      </c>
      <c r="C92" s="320"/>
      <c r="D92" s="321">
        <f>YEAR(PA[[#This Row],[Date]])</f>
        <v>2025</v>
      </c>
      <c r="E92" s="300" t="s">
        <v>73</v>
      </c>
      <c r="F92" s="300" t="s">
        <v>73</v>
      </c>
      <c r="G92" s="301">
        <v>45778</v>
      </c>
      <c r="H92" s="324">
        <f>DAY(EOMONTH(PA[[#This Row],[Date]], 0))</f>
        <v>31</v>
      </c>
      <c r="I92" s="10">
        <v>0.25625000000000003</v>
      </c>
      <c r="J92" s="10">
        <v>0.76666666666666661</v>
      </c>
      <c r="K92" s="293">
        <f>IFERROR((PA[[#This Row],[Sunset Time (POA&lt;20 W/m2)]]-PA[[#This Row],[Sunrise Time (POA&gt;20 W/m2)]])*24,"")</f>
        <v>12.249999999999996</v>
      </c>
      <c r="L92" s="320" t="s">
        <v>559</v>
      </c>
      <c r="M92" s="320"/>
      <c r="N92" s="320"/>
      <c r="O92" s="320" t="s">
        <v>789</v>
      </c>
      <c r="P92" s="324"/>
      <c r="Q92" s="321"/>
      <c r="R9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92" s="293">
        <v>4349.2</v>
      </c>
      <c r="T92" s="132">
        <f>IFERROR(_xlfn.XLOOKUP(PA[[#This Row],[Affected Equipment ]],'Basic Data '!A:A,'Basic Data '!C:C),"")</f>
        <v>0.125</v>
      </c>
      <c r="U92" s="320" t="s">
        <v>589</v>
      </c>
      <c r="V92" s="325"/>
      <c r="W92" s="330" t="s">
        <v>646</v>
      </c>
      <c r="X92" s="326">
        <v>0.44722222222222219</v>
      </c>
      <c r="Y92" s="326">
        <v>0.44722222222222219</v>
      </c>
      <c r="Z92" s="326">
        <v>0.45416666666666666</v>
      </c>
      <c r="AA92" s="326">
        <v>0.45416666666666666</v>
      </c>
      <c r="AB92" s="327">
        <f>IF(PA[[#This Row],[Acknowledgement Time ]]="NA","",(PA[[#This Row],[Acknowledgement Time ]]-PA[[#This Row],[Fault Time]])*24)</f>
        <v>0</v>
      </c>
      <c r="AC92" s="327">
        <f>IF(PA[[#This Row],[Work Start time on Fault]]="NA","",(PA[[#This Row],[Work Start time on Fault]]-PA[[#This Row],[Fault Time]])*24)</f>
        <v>0.16666666666666741</v>
      </c>
      <c r="AD92" s="328">
        <f>IF(PA[[#This Row],[Status]]="Open","",(PA[[#This Row],[Work Completion time on fault]]-PA[[#This Row],[Fault Time]])*24)</f>
        <v>0.16666666666666741</v>
      </c>
      <c r="AE92" s="329">
        <f>IFERROR((PA[[#This Row],[Work Completion time on fault]]-PA[[#This Row],[Fault Time]])*24,"")</f>
        <v>0.16666666666666741</v>
      </c>
      <c r="AF92" s="261" t="s">
        <v>647</v>
      </c>
      <c r="AG92" s="6" t="s">
        <v>1275</v>
      </c>
      <c r="AH92" s="287">
        <v>0</v>
      </c>
      <c r="AI92" s="320">
        <v>0.14599999999999999</v>
      </c>
      <c r="AJ92" s="89">
        <f>IFERROR(IF(PA[[#This Row],[Lost PoA(kWh/m2)]]&gt;0,_xlfn.XLOOKUP(G92,'Modelling New'!$D:$D,'Modelling New'!$O:$O)*PA[[#This Row],[Lost PoA(kWh/m2)]]*S92,0),"")</f>
        <v>480.7586043311012</v>
      </c>
    </row>
    <row r="93" spans="1:36" hidden="1" x14ac:dyDescent="0.25">
      <c r="A93" s="57">
        <v>1790</v>
      </c>
      <c r="B93" s="262">
        <v>45783</v>
      </c>
      <c r="C93" s="320"/>
      <c r="D93" s="321">
        <f>YEAR(PA[[#This Row],[Date]])</f>
        <v>2025</v>
      </c>
      <c r="E93" s="300" t="s">
        <v>73</v>
      </c>
      <c r="F93" s="300" t="s">
        <v>73</v>
      </c>
      <c r="G93" s="301">
        <v>45778</v>
      </c>
      <c r="H93" s="324">
        <f>DAY(EOMONTH(PA[[#This Row],[Date]], 0))</f>
        <v>31</v>
      </c>
      <c r="I93" s="10">
        <v>0.25625000000000003</v>
      </c>
      <c r="J93" s="10">
        <v>0.76666666666666661</v>
      </c>
      <c r="K93" s="293">
        <f>IFERROR((PA[[#This Row],[Sunset Time (POA&lt;20 W/m2)]]-PA[[#This Row],[Sunrise Time (POA&gt;20 W/m2)]])*24,"")</f>
        <v>12.249999999999996</v>
      </c>
      <c r="L93" s="320" t="s">
        <v>559</v>
      </c>
      <c r="M93" s="320"/>
      <c r="N93" s="320"/>
      <c r="O93" s="320" t="s">
        <v>789</v>
      </c>
      <c r="P93" s="324"/>
      <c r="Q93" s="321"/>
      <c r="R9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93" s="293">
        <v>4489</v>
      </c>
      <c r="T93" s="132">
        <f>IFERROR(_xlfn.XLOOKUP(PA[[#This Row],[Affected Equipment ]],'Basic Data '!A:A,'Basic Data '!C:C),"")</f>
        <v>0.125</v>
      </c>
      <c r="U93" s="320" t="s">
        <v>589</v>
      </c>
      <c r="V93" s="325"/>
      <c r="W93" s="330" t="s">
        <v>646</v>
      </c>
      <c r="X93" s="326">
        <v>0.44722222222222219</v>
      </c>
      <c r="Y93" s="326">
        <v>0.44722222222222219</v>
      </c>
      <c r="Z93" s="326">
        <v>0.45416666666666666</v>
      </c>
      <c r="AA93" s="326">
        <v>0.45416666666666666</v>
      </c>
      <c r="AB93" s="327">
        <f>IF(PA[[#This Row],[Acknowledgement Time ]]="NA","",(PA[[#This Row],[Acknowledgement Time ]]-PA[[#This Row],[Fault Time]])*24)</f>
        <v>0</v>
      </c>
      <c r="AC93" s="327">
        <f>IF(PA[[#This Row],[Work Start time on Fault]]="NA","",(PA[[#This Row],[Work Start time on Fault]]-PA[[#This Row],[Fault Time]])*24)</f>
        <v>0.16666666666666741</v>
      </c>
      <c r="AD93" s="328">
        <f>IF(PA[[#This Row],[Status]]="Open","",(PA[[#This Row],[Work Completion time on fault]]-PA[[#This Row],[Fault Time]])*24)</f>
        <v>0.16666666666666741</v>
      </c>
      <c r="AE93" s="329">
        <f>IFERROR((PA[[#This Row],[Work Completion time on fault]]-PA[[#This Row],[Fault Time]])*24,"")</f>
        <v>0.16666666666666741</v>
      </c>
      <c r="AF93" s="261" t="s">
        <v>647</v>
      </c>
      <c r="AG93" s="6" t="s">
        <v>1275</v>
      </c>
      <c r="AH93" s="287">
        <v>0</v>
      </c>
      <c r="AI93" s="320">
        <v>0.14599999999999999</v>
      </c>
      <c r="AJ93" s="89">
        <f>IFERROR(IF(PA[[#This Row],[Lost PoA(kWh/m2)]]&gt;0,_xlfn.XLOOKUP(G93,'Modelling New'!$D:$D,'Modelling New'!$O:$O)*PA[[#This Row],[Lost PoA(kWh/m2)]]*S93,0),"")</f>
        <v>496.21203321123733</v>
      </c>
    </row>
    <row r="94" spans="1:36" hidden="1" x14ac:dyDescent="0.25">
      <c r="A94" s="57">
        <v>1790</v>
      </c>
      <c r="B94" s="262">
        <v>45783</v>
      </c>
      <c r="C94" s="320"/>
      <c r="D94" s="321">
        <f>YEAR(PA[[#This Row],[Date]])</f>
        <v>2025</v>
      </c>
      <c r="E94" s="300" t="s">
        <v>73</v>
      </c>
      <c r="F94" s="300" t="s">
        <v>73</v>
      </c>
      <c r="G94" s="301">
        <v>45778</v>
      </c>
      <c r="H94" s="324">
        <f>DAY(EOMONTH(PA[[#This Row],[Date]], 0))</f>
        <v>31</v>
      </c>
      <c r="I94" s="10">
        <v>0.25625000000000003</v>
      </c>
      <c r="J94" s="10">
        <v>0.76666666666666661</v>
      </c>
      <c r="K94" s="293">
        <f>IFERROR((PA[[#This Row],[Sunset Time (POA&lt;20 W/m2)]]-PA[[#This Row],[Sunrise Time (POA&gt;20 W/m2)]])*24,"")</f>
        <v>12.249999999999996</v>
      </c>
      <c r="L94" s="320" t="s">
        <v>615</v>
      </c>
      <c r="M94" s="320"/>
      <c r="N94" s="320"/>
      <c r="O94" s="320" t="s">
        <v>644</v>
      </c>
      <c r="P94" s="324"/>
      <c r="Q94" s="321"/>
      <c r="R9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BLK6INV4</v>
      </c>
      <c r="S94" s="293">
        <v>22</v>
      </c>
      <c r="T94" s="132">
        <f>IFERROR(_xlfn.XLOOKUP(PA[[#This Row],[Affected Equipment ]],'Basic Data '!A:A,'Basic Data '!C:C),"")</f>
        <v>4.4494382022471912E-3</v>
      </c>
      <c r="U94" s="320" t="s">
        <v>592</v>
      </c>
      <c r="V94" s="325"/>
      <c r="W94" s="315" t="s">
        <v>638</v>
      </c>
      <c r="X94" s="326">
        <v>0.375</v>
      </c>
      <c r="Y94" s="326">
        <v>0.375</v>
      </c>
      <c r="Z94" s="326">
        <v>0.40625</v>
      </c>
      <c r="AA94" s="326">
        <v>0.41319444444444442</v>
      </c>
      <c r="AB94" s="327">
        <f>IF(PA[[#This Row],[Acknowledgement Time ]]="NA","",(PA[[#This Row],[Acknowledgement Time ]]-PA[[#This Row],[Fault Time]])*24)</f>
        <v>0</v>
      </c>
      <c r="AC94" s="327">
        <f>IF(PA[[#This Row],[Work Start time on Fault]]="NA","",(PA[[#This Row],[Work Start time on Fault]]-PA[[#This Row],[Fault Time]])*24)</f>
        <v>0.75</v>
      </c>
      <c r="AD94" s="328">
        <f>IF(PA[[#This Row],[Status]]="Open","",(PA[[#This Row],[Work Completion time on fault]]-PA[[#This Row],[Fault Time]])*24)</f>
        <v>0.91666666666666607</v>
      </c>
      <c r="AE94" s="329">
        <f>IFERROR((PA[[#This Row],[Work Completion time on fault]]-PA[[#This Row],[Fault Time]])*24,"")</f>
        <v>0.91666666666666607</v>
      </c>
      <c r="AF94" s="261" t="s">
        <v>639</v>
      </c>
      <c r="AG94" s="6" t="s">
        <v>1275</v>
      </c>
      <c r="AH94" s="287">
        <v>0</v>
      </c>
      <c r="AI94" s="320">
        <v>5.1200000000000002E-2</v>
      </c>
      <c r="AJ94" s="89">
        <f>IFERROR(IF(PA[[#This Row],[Lost PoA(kWh/m2)]]&gt;0,_xlfn.XLOOKUP(G94,'Modelling New'!$D:$D,'Modelling New'!$O:$O)*PA[[#This Row],[Lost PoA(kWh/m2)]]*S94,0),"")</f>
        <v>0.85282018787040736</v>
      </c>
    </row>
    <row r="95" spans="1:36" hidden="1" x14ac:dyDescent="0.25">
      <c r="A95" s="57">
        <v>1790</v>
      </c>
      <c r="B95" s="262">
        <v>45783</v>
      </c>
      <c r="C95" s="320"/>
      <c r="D95" s="321">
        <f>YEAR(PA[[#This Row],[Date]])</f>
        <v>2025</v>
      </c>
      <c r="E95" s="300" t="s">
        <v>73</v>
      </c>
      <c r="F95" s="300" t="s">
        <v>73</v>
      </c>
      <c r="G95" s="301">
        <v>45778</v>
      </c>
      <c r="H95" s="324">
        <f>DAY(EOMONTH(PA[[#This Row],[Date]], 0))</f>
        <v>31</v>
      </c>
      <c r="I95" s="10">
        <v>0.25625000000000003</v>
      </c>
      <c r="J95" s="10">
        <v>0.76666666666666661</v>
      </c>
      <c r="K95" s="293">
        <f>IFERROR((PA[[#This Row],[Sunset Time (POA&lt;20 W/m2)]]-PA[[#This Row],[Sunrise Time (POA&gt;20 W/m2)]])*24,"")</f>
        <v>12.249999999999996</v>
      </c>
      <c r="L95" s="320" t="s">
        <v>615</v>
      </c>
      <c r="M95" s="320"/>
      <c r="N95" s="320"/>
      <c r="O95" s="320" t="s">
        <v>648</v>
      </c>
      <c r="P95" s="324"/>
      <c r="Q95" s="321"/>
      <c r="R9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BLK6INV14</v>
      </c>
      <c r="S95" s="293">
        <v>22</v>
      </c>
      <c r="T95" s="132">
        <f>IFERROR(_xlfn.XLOOKUP(PA[[#This Row],[Affected Equipment ]],'Basic Data '!A:A,'Basic Data '!C:C),"")</f>
        <v>4.1198501872659176E-3</v>
      </c>
      <c r="U95" s="320" t="s">
        <v>592</v>
      </c>
      <c r="V95" s="325"/>
      <c r="W95" s="330" t="s">
        <v>649</v>
      </c>
      <c r="X95" s="326">
        <v>0.375</v>
      </c>
      <c r="Y95" s="326">
        <v>0.375</v>
      </c>
      <c r="Z95" s="326">
        <v>0.41666666666666669</v>
      </c>
      <c r="AA95" s="326">
        <v>0.4236111111111111</v>
      </c>
      <c r="AB95" s="327">
        <f>IF(PA[[#This Row],[Acknowledgement Time ]]="NA","",(PA[[#This Row],[Acknowledgement Time ]]-PA[[#This Row],[Fault Time]])*24)</f>
        <v>0</v>
      </c>
      <c r="AC95" s="327">
        <f>IF(PA[[#This Row],[Work Start time on Fault]]="NA","",(PA[[#This Row],[Work Start time on Fault]]-PA[[#This Row],[Fault Time]])*24)</f>
        <v>1.0000000000000004</v>
      </c>
      <c r="AD95" s="328">
        <f>IF(PA[[#This Row],[Status]]="Open","",(PA[[#This Row],[Work Completion time on fault]]-PA[[#This Row],[Fault Time]])*24)</f>
        <v>1.1666666666666665</v>
      </c>
      <c r="AE95" s="329">
        <f>IFERROR((PA[[#This Row],[Work Completion time on fault]]-PA[[#This Row],[Fault Time]])*24,"")</f>
        <v>1.1666666666666665</v>
      </c>
      <c r="AF95" s="261" t="s">
        <v>640</v>
      </c>
      <c r="AG95" s="6" t="s">
        <v>1275</v>
      </c>
      <c r="AH95" s="287">
        <v>0</v>
      </c>
      <c r="AI95" s="320">
        <v>0.69</v>
      </c>
      <c r="AJ95" s="89">
        <f>IFERROR(IF(PA[[#This Row],[Lost PoA(kWh/m2)]]&gt;0,_xlfn.XLOOKUP(G95,'Modelling New'!$D:$D,'Modelling New'!$O:$O)*PA[[#This Row],[Lost PoA(kWh/m2)]]*S95,0),"")</f>
        <v>11.493084563097286</v>
      </c>
    </row>
    <row r="96" spans="1:36" hidden="1" x14ac:dyDescent="0.25">
      <c r="A96" s="57">
        <v>1790</v>
      </c>
      <c r="B96" s="262">
        <v>45783</v>
      </c>
      <c r="C96" s="320"/>
      <c r="D96" s="321">
        <f>YEAR(PA[[#This Row],[Date]])</f>
        <v>2025</v>
      </c>
      <c r="E96" s="300" t="s">
        <v>73</v>
      </c>
      <c r="F96" s="300" t="s">
        <v>73</v>
      </c>
      <c r="G96" s="301">
        <v>45778</v>
      </c>
      <c r="H96" s="324">
        <f>DAY(EOMONTH(PA[[#This Row],[Date]], 0))</f>
        <v>31</v>
      </c>
      <c r="I96" s="10">
        <v>0.25625000000000003</v>
      </c>
      <c r="J96" s="10">
        <v>0.76666666666666661</v>
      </c>
      <c r="K96" s="293">
        <f>IFERROR((PA[[#This Row],[Sunset Time (POA&lt;20 W/m2)]]-PA[[#This Row],[Sunrise Time (POA&gt;20 W/m2)]])*24,"")</f>
        <v>12.249999999999996</v>
      </c>
      <c r="L96" s="320" t="s">
        <v>615</v>
      </c>
      <c r="M96" s="320"/>
      <c r="N96" s="320"/>
      <c r="O96" s="320" t="s">
        <v>601</v>
      </c>
      <c r="P96" s="324"/>
      <c r="Q96" s="321"/>
      <c r="R9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BLK6INV18</v>
      </c>
      <c r="S96" s="293">
        <v>22</v>
      </c>
      <c r="T96" s="132">
        <f>IFERROR(_xlfn.XLOOKUP(PA[[#This Row],[Affected Equipment ]],'Basic Data '!A:A,'Basic Data '!C:C),"")</f>
        <v>4.4494382022471912E-3</v>
      </c>
      <c r="U96" s="320" t="s">
        <v>592</v>
      </c>
      <c r="V96" s="325"/>
      <c r="W96" s="315" t="s">
        <v>638</v>
      </c>
      <c r="X96" s="326">
        <v>0.375</v>
      </c>
      <c r="Y96" s="326">
        <v>0.375</v>
      </c>
      <c r="Z96" s="326">
        <v>0.42708333333333331</v>
      </c>
      <c r="AA96" s="326">
        <v>0.43402777777777773</v>
      </c>
      <c r="AB96" s="327">
        <f>IF(PA[[#This Row],[Acknowledgement Time ]]="NA","",(PA[[#This Row],[Acknowledgement Time ]]-PA[[#This Row],[Fault Time]])*24)</f>
        <v>0</v>
      </c>
      <c r="AC96" s="327">
        <f>IF(PA[[#This Row],[Work Start time on Fault]]="NA","",(PA[[#This Row],[Work Start time on Fault]]-PA[[#This Row],[Fault Time]])*24)</f>
        <v>1.2499999999999996</v>
      </c>
      <c r="AD96" s="328">
        <f>IF(PA[[#This Row],[Status]]="Open","",(PA[[#This Row],[Work Completion time on fault]]-PA[[#This Row],[Fault Time]])*24)</f>
        <v>1.4166666666666656</v>
      </c>
      <c r="AE96" s="329">
        <f>IFERROR((PA[[#This Row],[Work Completion time on fault]]-PA[[#This Row],[Fault Time]])*24,"")</f>
        <v>1.4166666666666656</v>
      </c>
      <c r="AF96" s="261" t="s">
        <v>639</v>
      </c>
      <c r="AG96" s="6" t="s">
        <v>1275</v>
      </c>
      <c r="AH96" s="287">
        <v>0</v>
      </c>
      <c r="AI96" s="320">
        <v>0.82</v>
      </c>
      <c r="AJ96" s="89">
        <f>IFERROR(IF(PA[[#This Row],[Lost PoA(kWh/m2)]]&gt;0,_xlfn.XLOOKUP(G96,'Modelling New'!$D:$D,'Modelling New'!$O:$O)*PA[[#This Row],[Lost PoA(kWh/m2)]]*S96,0),"")</f>
        <v>13.658448321361993</v>
      </c>
    </row>
    <row r="97" spans="1:36" hidden="1" x14ac:dyDescent="0.25">
      <c r="A97" s="57">
        <v>1790</v>
      </c>
      <c r="B97" s="262">
        <v>45783</v>
      </c>
      <c r="C97" s="320"/>
      <c r="D97" s="321">
        <f>YEAR(PA[[#This Row],[Date]])</f>
        <v>2025</v>
      </c>
      <c r="E97" s="300" t="s">
        <v>73</v>
      </c>
      <c r="F97" s="300" t="s">
        <v>73</v>
      </c>
      <c r="G97" s="301">
        <v>45778</v>
      </c>
      <c r="H97" s="324">
        <f>DAY(EOMONTH(PA[[#This Row],[Date]], 0))</f>
        <v>31</v>
      </c>
      <c r="I97" s="10">
        <v>0.25625000000000003</v>
      </c>
      <c r="J97" s="10">
        <v>0.76666666666666661</v>
      </c>
      <c r="K97" s="293">
        <f>IFERROR((PA[[#This Row],[Sunset Time (POA&lt;20 W/m2)]]-PA[[#This Row],[Sunrise Time (POA&gt;20 W/m2)]])*24,"")</f>
        <v>12.249999999999996</v>
      </c>
      <c r="L97" s="320" t="s">
        <v>615</v>
      </c>
      <c r="M97" s="320"/>
      <c r="N97" s="320"/>
      <c r="O97" s="320" t="s">
        <v>599</v>
      </c>
      <c r="P97" s="324"/>
      <c r="Q97" s="321"/>
      <c r="R9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BLK6INV20</v>
      </c>
      <c r="S97" s="293">
        <v>22</v>
      </c>
      <c r="T97" s="132">
        <f>IFERROR(_xlfn.XLOOKUP(PA[[#This Row],[Affected Equipment ]],'Basic Data '!A:A,'Basic Data '!C:C),"")</f>
        <v>3.9550561797752808E-3</v>
      </c>
      <c r="U97" s="320" t="s">
        <v>592</v>
      </c>
      <c r="V97" s="325"/>
      <c r="W97" s="330" t="s">
        <v>650</v>
      </c>
      <c r="X97" s="326">
        <v>0.375</v>
      </c>
      <c r="Y97" s="326">
        <v>0.375</v>
      </c>
      <c r="Z97" s="326">
        <v>0.44097222222222227</v>
      </c>
      <c r="AA97" s="326">
        <v>0.44791666666666669</v>
      </c>
      <c r="AB97" s="327">
        <f>IF(PA[[#This Row],[Acknowledgement Time ]]="NA","",(PA[[#This Row],[Acknowledgement Time ]]-PA[[#This Row],[Fault Time]])*24)</f>
        <v>0</v>
      </c>
      <c r="AC97" s="327">
        <f>IF(PA[[#This Row],[Work Start time on Fault]]="NA","",(PA[[#This Row],[Work Start time on Fault]]-PA[[#This Row],[Fault Time]])*24)</f>
        <v>1.5833333333333344</v>
      </c>
      <c r="AD97" s="328">
        <f>IF(PA[[#This Row],[Status]]="Open","",(PA[[#This Row],[Work Completion time on fault]]-PA[[#This Row],[Fault Time]])*24)</f>
        <v>1.7500000000000004</v>
      </c>
      <c r="AE97" s="329">
        <f>IFERROR((PA[[#This Row],[Work Completion time on fault]]-PA[[#This Row],[Fault Time]])*24,"")</f>
        <v>1.7500000000000004</v>
      </c>
      <c r="AF97" s="261" t="s">
        <v>651</v>
      </c>
      <c r="AG97" s="6" t="s">
        <v>1275</v>
      </c>
      <c r="AH97" s="287">
        <v>0</v>
      </c>
      <c r="AI97" s="320">
        <v>0.1</v>
      </c>
      <c r="AJ97" s="89">
        <f>IFERROR(IF(PA[[#This Row],[Lost PoA(kWh/m2)]]&gt;0,_xlfn.XLOOKUP(G97,'Modelling New'!$D:$D,'Modelling New'!$O:$O)*PA[[#This Row],[Lost PoA(kWh/m2)]]*S97,0),"")</f>
        <v>1.6656644294343894</v>
      </c>
    </row>
    <row r="98" spans="1:36" hidden="1" x14ac:dyDescent="0.25">
      <c r="A98" s="57">
        <v>1790</v>
      </c>
      <c r="B98" s="262">
        <v>45783</v>
      </c>
      <c r="C98" s="320"/>
      <c r="D98" s="321">
        <f>YEAR(PA[[#This Row],[Date]])</f>
        <v>2025</v>
      </c>
      <c r="E98" s="300" t="s">
        <v>73</v>
      </c>
      <c r="F98" s="300" t="s">
        <v>73</v>
      </c>
      <c r="G98" s="301">
        <v>45778</v>
      </c>
      <c r="H98" s="324">
        <f>DAY(EOMONTH(PA[[#This Row],[Date]], 0))</f>
        <v>31</v>
      </c>
      <c r="I98" s="10">
        <v>0.25625000000000003</v>
      </c>
      <c r="J98" s="10">
        <v>0.76666666666666661</v>
      </c>
      <c r="K98" s="293">
        <f>IFERROR((PA[[#This Row],[Sunset Time (POA&lt;20 W/m2)]]-PA[[#This Row],[Sunrise Time (POA&gt;20 W/m2)]])*24,"")</f>
        <v>12.249999999999996</v>
      </c>
      <c r="L98" s="320" t="s">
        <v>615</v>
      </c>
      <c r="M98" s="320"/>
      <c r="N98" s="320"/>
      <c r="O98" s="320" t="s">
        <v>575</v>
      </c>
      <c r="P98" s="324"/>
      <c r="Q98" s="321"/>
      <c r="R9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BLK6INV23</v>
      </c>
      <c r="S98" s="293">
        <v>22</v>
      </c>
      <c r="T98" s="132">
        <f>IFERROR(_xlfn.XLOOKUP(PA[[#This Row],[Affected Equipment ]],'Basic Data '!A:A,'Basic Data '!C:C),"")</f>
        <v>3.9550561797752808E-3</v>
      </c>
      <c r="U98" s="320" t="s">
        <v>592</v>
      </c>
      <c r="V98" s="325"/>
      <c r="W98" s="330" t="s">
        <v>652</v>
      </c>
      <c r="X98" s="326">
        <v>0.375</v>
      </c>
      <c r="Y98" s="326">
        <v>0.375</v>
      </c>
      <c r="Z98" s="326">
        <v>0.4513888888888889</v>
      </c>
      <c r="AA98" s="326">
        <v>0.45833333333333331</v>
      </c>
      <c r="AB98" s="327">
        <f>IF(PA[[#This Row],[Acknowledgement Time ]]="NA","",(PA[[#This Row],[Acknowledgement Time ]]-PA[[#This Row],[Fault Time]])*24)</f>
        <v>0</v>
      </c>
      <c r="AC98" s="327">
        <f>IF(PA[[#This Row],[Work Start time on Fault]]="NA","",(PA[[#This Row],[Work Start time on Fault]]-PA[[#This Row],[Fault Time]])*24)</f>
        <v>1.8333333333333335</v>
      </c>
      <c r="AD98" s="328">
        <f>IF(PA[[#This Row],[Status]]="Open","",(PA[[#This Row],[Work Completion time on fault]]-PA[[#This Row],[Fault Time]])*24)</f>
        <v>1.9999999999999996</v>
      </c>
      <c r="AE98" s="329">
        <f>IFERROR((PA[[#This Row],[Work Completion time on fault]]-PA[[#This Row],[Fault Time]])*24,"")</f>
        <v>1.9999999999999996</v>
      </c>
      <c r="AF98" s="261" t="s">
        <v>653</v>
      </c>
      <c r="AG98" s="6" t="s">
        <v>1275</v>
      </c>
      <c r="AH98" s="287">
        <v>0</v>
      </c>
      <c r="AI98" s="320">
        <v>1.22</v>
      </c>
      <c r="AJ98" s="89">
        <f>IFERROR(IF(PA[[#This Row],[Lost PoA(kWh/m2)]]&gt;0,_xlfn.XLOOKUP(G98,'Modelling New'!$D:$D,'Modelling New'!$O:$O)*PA[[#This Row],[Lost PoA(kWh/m2)]]*S98,0),"")</f>
        <v>20.321106039099547</v>
      </c>
    </row>
    <row r="99" spans="1:36" hidden="1" x14ac:dyDescent="0.25">
      <c r="A99" s="57">
        <v>1790</v>
      </c>
      <c r="B99" s="262">
        <v>45783</v>
      </c>
      <c r="C99" s="320"/>
      <c r="D99" s="321">
        <f>YEAR(PA[[#This Row],[Date]])</f>
        <v>2025</v>
      </c>
      <c r="E99" s="300" t="s">
        <v>73</v>
      </c>
      <c r="F99" s="300" t="s">
        <v>73</v>
      </c>
      <c r="G99" s="301">
        <v>45778</v>
      </c>
      <c r="H99" s="324">
        <f>DAY(EOMONTH(PA[[#This Row],[Date]], 0))</f>
        <v>31</v>
      </c>
      <c r="I99" s="10">
        <v>0.25625000000000003</v>
      </c>
      <c r="J99" s="10">
        <v>0.76666666666666661</v>
      </c>
      <c r="K99" s="293">
        <f>IFERROR((PA[[#This Row],[Sunset Time (POA&lt;20 W/m2)]]-PA[[#This Row],[Sunrise Time (POA&gt;20 W/m2)]])*24,"")</f>
        <v>12.249999999999996</v>
      </c>
      <c r="L99" s="320" t="s">
        <v>615</v>
      </c>
      <c r="M99" s="320"/>
      <c r="N99" s="320"/>
      <c r="O99" s="320" t="s">
        <v>654</v>
      </c>
      <c r="P99" s="324"/>
      <c r="Q99" s="321"/>
      <c r="R9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BLK6INV26</v>
      </c>
      <c r="S99" s="293">
        <v>22</v>
      </c>
      <c r="T99" s="132">
        <f>IFERROR(_xlfn.XLOOKUP(PA[[#This Row],[Affected Equipment ]],'Basic Data '!A:A,'Basic Data '!C:C),"")</f>
        <v>4.4494382022471912E-3</v>
      </c>
      <c r="U99" s="320" t="s">
        <v>592</v>
      </c>
      <c r="V99" s="325"/>
      <c r="W99" s="330" t="s">
        <v>649</v>
      </c>
      <c r="X99" s="326">
        <v>0.375</v>
      </c>
      <c r="Y99" s="326">
        <v>0.375</v>
      </c>
      <c r="Z99" s="326">
        <v>0.46527777777777773</v>
      </c>
      <c r="AA99" s="326">
        <v>0.47222222222222227</v>
      </c>
      <c r="AB99" s="327">
        <f>IF(PA[[#This Row],[Acknowledgement Time ]]="NA","",(PA[[#This Row],[Acknowledgement Time ]]-PA[[#This Row],[Fault Time]])*24)</f>
        <v>0</v>
      </c>
      <c r="AC99" s="327">
        <f>IF(PA[[#This Row],[Work Start time on Fault]]="NA","",(PA[[#This Row],[Work Start time on Fault]]-PA[[#This Row],[Fault Time]])*24)</f>
        <v>2.1666666666666656</v>
      </c>
      <c r="AD99" s="328">
        <f>IF(PA[[#This Row],[Status]]="Open","",(PA[[#This Row],[Work Completion time on fault]]-PA[[#This Row],[Fault Time]])*24)</f>
        <v>2.3333333333333344</v>
      </c>
      <c r="AE99" s="329">
        <f>IFERROR((PA[[#This Row],[Work Completion time on fault]]-PA[[#This Row],[Fault Time]])*24,"")</f>
        <v>2.3333333333333344</v>
      </c>
      <c r="AF99" s="261" t="s">
        <v>655</v>
      </c>
      <c r="AG99" s="6" t="s">
        <v>1275</v>
      </c>
      <c r="AH99" s="287">
        <v>0</v>
      </c>
      <c r="AI99" s="320">
        <v>1.43</v>
      </c>
      <c r="AJ99" s="89">
        <f>IFERROR(IF(PA[[#This Row],[Lost PoA(kWh/m2)]]&gt;0,_xlfn.XLOOKUP(G99,'Modelling New'!$D:$D,'Modelling New'!$O:$O)*PA[[#This Row],[Lost PoA(kWh/m2)]]*S99,0),"")</f>
        <v>23.819001340911765</v>
      </c>
    </row>
    <row r="100" spans="1:36" hidden="1" x14ac:dyDescent="0.25">
      <c r="A100" s="57">
        <v>1790</v>
      </c>
      <c r="B100" s="262">
        <v>45783</v>
      </c>
      <c r="C100" s="320"/>
      <c r="D100" s="321">
        <f>YEAR(PA[[#This Row],[Date]])</f>
        <v>2025</v>
      </c>
      <c r="E100" s="300" t="s">
        <v>73</v>
      </c>
      <c r="F100" s="300" t="s">
        <v>73</v>
      </c>
      <c r="G100" s="301">
        <v>45778</v>
      </c>
      <c r="H100" s="324">
        <f>DAY(EOMONTH(PA[[#This Row],[Date]], 0))</f>
        <v>31</v>
      </c>
      <c r="I100" s="10">
        <v>0.25625000000000003</v>
      </c>
      <c r="J100" s="10">
        <v>0.76666666666666661</v>
      </c>
      <c r="K100" s="293">
        <f>IFERROR((PA[[#This Row],[Sunset Time (POA&lt;20 W/m2)]]-PA[[#This Row],[Sunrise Time (POA&gt;20 W/m2)]])*24,"")</f>
        <v>12.249999999999996</v>
      </c>
      <c r="L100" s="320" t="s">
        <v>615</v>
      </c>
      <c r="M100" s="320"/>
      <c r="N100" s="320"/>
      <c r="O100" s="320" t="s">
        <v>637</v>
      </c>
      <c r="P100" s="324"/>
      <c r="Q100" s="321"/>
      <c r="R10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BLK6INV27</v>
      </c>
      <c r="S100" s="293">
        <v>22</v>
      </c>
      <c r="T100" s="132">
        <f>IFERROR(_xlfn.XLOOKUP(PA[[#This Row],[Affected Equipment ]],'Basic Data '!A:A,'Basic Data '!C:C),"")</f>
        <v>4.1198501872659176E-3</v>
      </c>
      <c r="U100" s="320" t="s">
        <v>592</v>
      </c>
      <c r="V100" s="325"/>
      <c r="W100" s="330" t="s">
        <v>650</v>
      </c>
      <c r="X100" s="326">
        <v>0.375</v>
      </c>
      <c r="Y100" s="326">
        <v>0.375</v>
      </c>
      <c r="Z100" s="326">
        <v>0.47569444444444442</v>
      </c>
      <c r="AA100" s="326">
        <v>0.4826388888888889</v>
      </c>
      <c r="AB100" s="327">
        <f>IF(PA[[#This Row],[Acknowledgement Time ]]="NA","",(PA[[#This Row],[Acknowledgement Time ]]-PA[[#This Row],[Fault Time]])*24)</f>
        <v>0</v>
      </c>
      <c r="AC100" s="327">
        <f>IF(PA[[#This Row],[Work Start time on Fault]]="NA","",(PA[[#This Row],[Work Start time on Fault]]-PA[[#This Row],[Fault Time]])*24)</f>
        <v>2.4166666666666661</v>
      </c>
      <c r="AD100" s="328">
        <f>IF(PA[[#This Row],[Status]]="Open","",(PA[[#This Row],[Work Completion time on fault]]-PA[[#This Row],[Fault Time]])*24)</f>
        <v>2.5833333333333335</v>
      </c>
      <c r="AE100" s="329">
        <f>IFERROR((PA[[#This Row],[Work Completion time on fault]]-PA[[#This Row],[Fault Time]])*24,"")</f>
        <v>2.5833333333333335</v>
      </c>
      <c r="AF100" s="261" t="s">
        <v>651</v>
      </c>
      <c r="AG100" s="6" t="s">
        <v>1275</v>
      </c>
      <c r="AH100" s="287">
        <v>0</v>
      </c>
      <c r="AI100" s="320">
        <v>1.65</v>
      </c>
      <c r="AJ100" s="89">
        <f>IFERROR(IF(PA[[#This Row],[Lost PoA(kWh/m2)]]&gt;0,_xlfn.XLOOKUP(G100,'Modelling New'!$D:$D,'Modelling New'!$O:$O)*PA[[#This Row],[Lost PoA(kWh/m2)]]*S100,0),"")</f>
        <v>27.483463085667424</v>
      </c>
    </row>
    <row r="101" spans="1:36" hidden="1" x14ac:dyDescent="0.25">
      <c r="A101" s="57">
        <v>1790</v>
      </c>
      <c r="B101" s="262">
        <v>45783</v>
      </c>
      <c r="C101" s="320"/>
      <c r="D101" s="321">
        <f>YEAR(PA[[#This Row],[Date]])</f>
        <v>2025</v>
      </c>
      <c r="E101" s="300" t="s">
        <v>73</v>
      </c>
      <c r="F101" s="300" t="s">
        <v>73</v>
      </c>
      <c r="G101" s="301">
        <v>45778</v>
      </c>
      <c r="H101" s="324">
        <f>DAY(EOMONTH(PA[[#This Row],[Date]], 0))</f>
        <v>31</v>
      </c>
      <c r="I101" s="10">
        <v>0.25625000000000003</v>
      </c>
      <c r="J101" s="10">
        <v>0.76666666666666661</v>
      </c>
      <c r="K101" s="293">
        <f>IFERROR((PA[[#This Row],[Sunset Time (POA&lt;20 W/m2)]]-PA[[#This Row],[Sunrise Time (POA&gt;20 W/m2)]])*24,"")</f>
        <v>12.249999999999996</v>
      </c>
      <c r="L101" s="320" t="s">
        <v>606</v>
      </c>
      <c r="M101" s="320"/>
      <c r="N101" s="320"/>
      <c r="O101" s="320" t="s">
        <v>644</v>
      </c>
      <c r="P101" s="324"/>
      <c r="Q101" s="321"/>
      <c r="R10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BLK7INV4</v>
      </c>
      <c r="S101" s="293">
        <v>22</v>
      </c>
      <c r="T101" s="132">
        <f>IFERROR(_xlfn.XLOOKUP(PA[[#This Row],[Affected Equipment ]],'Basic Data '!A:A,'Basic Data '!C:C),"")</f>
        <v>3.9550561797752808E-3</v>
      </c>
      <c r="U101" s="320" t="s">
        <v>592</v>
      </c>
      <c r="V101" s="325"/>
      <c r="W101" s="330" t="s">
        <v>656</v>
      </c>
      <c r="X101" s="326">
        <v>0.375</v>
      </c>
      <c r="Y101" s="326">
        <v>0.375</v>
      </c>
      <c r="Z101" s="326">
        <v>0.49305555555555558</v>
      </c>
      <c r="AA101" s="326">
        <v>0.5</v>
      </c>
      <c r="AB101" s="327">
        <f>IF(PA[[#This Row],[Acknowledgement Time ]]="NA","",(PA[[#This Row],[Acknowledgement Time ]]-PA[[#This Row],[Fault Time]])*24)</f>
        <v>0</v>
      </c>
      <c r="AC101" s="327">
        <f>IF(PA[[#This Row],[Work Start time on Fault]]="NA","",(PA[[#This Row],[Work Start time on Fault]]-PA[[#This Row],[Fault Time]])*24)</f>
        <v>2.8333333333333339</v>
      </c>
      <c r="AD101" s="328">
        <f>IF(PA[[#This Row],[Status]]="Open","",(PA[[#This Row],[Work Completion time on fault]]-PA[[#This Row],[Fault Time]])*24)</f>
        <v>3</v>
      </c>
      <c r="AE101" s="329">
        <f>IFERROR((PA[[#This Row],[Work Completion time on fault]]-PA[[#This Row],[Fault Time]])*24,"")</f>
        <v>3</v>
      </c>
      <c r="AF101" s="261" t="s">
        <v>655</v>
      </c>
      <c r="AG101" s="6" t="s">
        <v>1275</v>
      </c>
      <c r="AH101" s="287">
        <v>0</v>
      </c>
      <c r="AI101" s="320">
        <v>2.069</v>
      </c>
      <c r="AJ101" s="89">
        <f>IFERROR(IF(PA[[#This Row],[Lost PoA(kWh/m2)]]&gt;0,_xlfn.XLOOKUP(G101,'Modelling New'!$D:$D,'Modelling New'!$O:$O)*PA[[#This Row],[Lost PoA(kWh/m2)]]*S101,0),"")</f>
        <v>34.462597044997516</v>
      </c>
    </row>
    <row r="102" spans="1:36" hidden="1" x14ac:dyDescent="0.25">
      <c r="A102" s="57">
        <v>1790</v>
      </c>
      <c r="B102" s="262">
        <v>45783</v>
      </c>
      <c r="C102" s="320"/>
      <c r="D102" s="321">
        <f>YEAR(PA[[#This Row],[Date]])</f>
        <v>2025</v>
      </c>
      <c r="E102" s="300" t="s">
        <v>73</v>
      </c>
      <c r="F102" s="300" t="s">
        <v>73</v>
      </c>
      <c r="G102" s="301">
        <v>45778</v>
      </c>
      <c r="H102" s="324">
        <f>DAY(EOMONTH(PA[[#This Row],[Date]], 0))</f>
        <v>31</v>
      </c>
      <c r="I102" s="10">
        <v>0.25625000000000003</v>
      </c>
      <c r="J102" s="10">
        <v>0.76666666666666661</v>
      </c>
      <c r="K102" s="293">
        <f>IFERROR((PA[[#This Row],[Sunset Time (POA&lt;20 W/m2)]]-PA[[#This Row],[Sunrise Time (POA&gt;20 W/m2)]])*24,"")</f>
        <v>12.249999999999996</v>
      </c>
      <c r="L102" s="320" t="s">
        <v>606</v>
      </c>
      <c r="M102" s="320"/>
      <c r="N102" s="320"/>
      <c r="O102" s="320" t="s">
        <v>595</v>
      </c>
      <c r="P102" s="324"/>
      <c r="Q102" s="321"/>
      <c r="R10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BLK7INV11</v>
      </c>
      <c r="S102" s="293">
        <v>257.39999999999998</v>
      </c>
      <c r="T102" s="132">
        <f>IFERROR(_xlfn.XLOOKUP(PA[[#This Row],[Affected Equipment ]],'Basic Data '!A:A,'Basic Data '!C:C),"")</f>
        <v>2.8516853932584268E-3</v>
      </c>
      <c r="U102" s="320" t="s">
        <v>566</v>
      </c>
      <c r="V102" s="325"/>
      <c r="W102" s="330" t="s">
        <v>657</v>
      </c>
      <c r="X102" s="326">
        <v>0.60416666666666663</v>
      </c>
      <c r="Y102" s="326">
        <v>0.60416666666666663</v>
      </c>
      <c r="Z102" s="326">
        <v>0.61111111111111105</v>
      </c>
      <c r="AA102" s="326">
        <v>0.6430555555555556</v>
      </c>
      <c r="AB102" s="327">
        <f>IF(PA[[#This Row],[Acknowledgement Time ]]="NA","",(PA[[#This Row],[Acknowledgement Time ]]-PA[[#This Row],[Fault Time]])*24)</f>
        <v>0</v>
      </c>
      <c r="AC102" s="327">
        <f>IF(PA[[#This Row],[Work Start time on Fault]]="NA","",(PA[[#This Row],[Work Start time on Fault]]-PA[[#This Row],[Fault Time]])*24)</f>
        <v>0.16666666666666607</v>
      </c>
      <c r="AD102" s="328">
        <f>IF(PA[[#This Row],[Status]]="Open","",(PA[[#This Row],[Work Completion time on fault]]-PA[[#This Row],[Fault Time]])*24)</f>
        <v>0.93333333333333535</v>
      </c>
      <c r="AE102" s="329">
        <f>IFERROR((PA[[#This Row],[Work Completion time on fault]]-PA[[#This Row],[Fault Time]])*24,"")</f>
        <v>0.93333333333333535</v>
      </c>
      <c r="AF102" s="261" t="s">
        <v>658</v>
      </c>
      <c r="AG102" s="6" t="s">
        <v>1275</v>
      </c>
      <c r="AH102" s="287">
        <v>0</v>
      </c>
      <c r="AI102" s="320">
        <v>0.57099999999999995</v>
      </c>
      <c r="AJ102" s="89">
        <f>IFERROR(IF(PA[[#This Row],[Lost PoA(kWh/m2)]]&gt;0,_xlfn.XLOOKUP(G102,'Modelling New'!$D:$D,'Modelling New'!$O:$O)*PA[[#This Row],[Lost PoA(kWh/m2)]]*S102,0),"")</f>
        <v>111.27804353722323</v>
      </c>
    </row>
    <row r="103" spans="1:36" hidden="1" x14ac:dyDescent="0.25">
      <c r="A103" s="229">
        <v>1791</v>
      </c>
      <c r="B103" s="262">
        <v>45783</v>
      </c>
      <c r="C103" s="128"/>
      <c r="D103" s="129">
        <f>YEAR(PA[[#This Row],[Date]])</f>
        <v>2025</v>
      </c>
      <c r="E103" s="300" t="s">
        <v>73</v>
      </c>
      <c r="F103" s="300" t="s">
        <v>73</v>
      </c>
      <c r="G103" s="301">
        <v>45778</v>
      </c>
      <c r="H103" s="130">
        <f>DAY(EOMONTH(PA[[#This Row],[Date]], 0))</f>
        <v>31</v>
      </c>
      <c r="I103" s="10">
        <v>0.25625000000000003</v>
      </c>
      <c r="J103" s="10">
        <v>0.76666666666666661</v>
      </c>
      <c r="K103" s="131">
        <f>IFERROR((PA[[#This Row],[Sunset Time (POA&lt;20 W/m2)]]-PA[[#This Row],[Sunrise Time (POA&gt;20 W/m2)]])*24,"")</f>
        <v>12.249999999999996</v>
      </c>
      <c r="L103" s="320" t="s">
        <v>606</v>
      </c>
      <c r="M103" s="128"/>
      <c r="N103" s="128"/>
      <c r="O103" s="128" t="s">
        <v>601</v>
      </c>
      <c r="P103" s="130"/>
      <c r="Q103" s="129"/>
      <c r="R10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BLK7INV18</v>
      </c>
      <c r="S103" s="131">
        <v>22.25</v>
      </c>
      <c r="T103" s="132">
        <f>IFERROR(_xlfn.XLOOKUP(PA[[#This Row],[Affected Equipment ]],'Basic Data '!A:A,'Basic Data '!C:C),"")</f>
        <v>4.0000000000000001E-3</v>
      </c>
      <c r="U103" s="320" t="s">
        <v>592</v>
      </c>
      <c r="V103" s="117"/>
      <c r="W103" s="330" t="s">
        <v>656</v>
      </c>
      <c r="X103" s="326">
        <v>0.375</v>
      </c>
      <c r="Y103" s="326">
        <v>0.375</v>
      </c>
      <c r="Z103" s="120">
        <v>0.50694444444444442</v>
      </c>
      <c r="AA103" s="120">
        <v>0.51388888888888895</v>
      </c>
      <c r="AB103" s="159">
        <f>IF(PA[[#This Row],[Acknowledgement Time ]]="NA","",(PA[[#This Row],[Acknowledgement Time ]]-PA[[#This Row],[Fault Time]])*24)</f>
        <v>0</v>
      </c>
      <c r="AC103" s="159">
        <f>IF(PA[[#This Row],[Work Start time on Fault]]="NA","",(PA[[#This Row],[Work Start time on Fault]]-PA[[#This Row],[Fault Time]])*24)</f>
        <v>3.1666666666666661</v>
      </c>
      <c r="AD103" s="135">
        <f>IF(PA[[#This Row],[Status]]="Open","",(PA[[#This Row],[Work Completion time on fault]]-PA[[#This Row],[Fault Time]])*24)</f>
        <v>3.3333333333333348</v>
      </c>
      <c r="AE103" s="134">
        <f>IFERROR((PA[[#This Row],[Work Completion time on fault]]-PA[[#This Row],[Fault Time]])*24,"")</f>
        <v>3.3333333333333348</v>
      </c>
      <c r="AF103" s="261" t="s">
        <v>655</v>
      </c>
      <c r="AG103" s="6" t="s">
        <v>1275</v>
      </c>
      <c r="AH103" s="287">
        <v>0</v>
      </c>
      <c r="AI103" s="128">
        <v>2.3879999999999999</v>
      </c>
      <c r="AJ103" s="89">
        <f>IFERROR(IF(PA[[#This Row],[Lost PoA(kWh/m2)]]&gt;0,_xlfn.XLOOKUP(G103,'Modelling New'!$D:$D,'Modelling New'!$O:$O)*PA[[#This Row],[Lost PoA(kWh/m2)]]*S103,0),"")</f>
        <v>40.228067331426089</v>
      </c>
    </row>
    <row r="104" spans="1:36" ht="30" hidden="1" x14ac:dyDescent="0.25">
      <c r="A104" s="229">
        <v>1792</v>
      </c>
      <c r="B104" s="262">
        <v>45783</v>
      </c>
      <c r="C104" s="128"/>
      <c r="D104" s="129">
        <f>YEAR(PA[[#This Row],[Date]])</f>
        <v>2025</v>
      </c>
      <c r="E104" s="300" t="s">
        <v>73</v>
      </c>
      <c r="F104" s="300" t="s">
        <v>73</v>
      </c>
      <c r="G104" s="301">
        <v>45778</v>
      </c>
      <c r="H104" s="130">
        <f>DAY(EOMONTH(PA[[#This Row],[Date]], 0))</f>
        <v>31</v>
      </c>
      <c r="I104" s="10">
        <v>0.25625000000000003</v>
      </c>
      <c r="J104" s="10">
        <v>0.76666666666666661</v>
      </c>
      <c r="K104" s="131">
        <f>IFERROR((PA[[#This Row],[Sunset Time (POA&lt;20 W/m2)]]-PA[[#This Row],[Sunrise Time (POA&gt;20 W/m2)]])*24,"")</f>
        <v>12.249999999999996</v>
      </c>
      <c r="L104" s="320" t="s">
        <v>606</v>
      </c>
      <c r="M104" s="128"/>
      <c r="N104" s="128"/>
      <c r="O104" s="128" t="s">
        <v>618</v>
      </c>
      <c r="P104" s="130"/>
      <c r="Q104" s="129"/>
      <c r="R10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BLK7INV15</v>
      </c>
      <c r="S104" s="131">
        <v>247.5</v>
      </c>
      <c r="T104" s="132">
        <f>IFERROR(_xlfn.XLOOKUP(PA[[#This Row],[Affected Equipment ]],'Basic Data '!A:A,'Basic Data '!C:C),"")</f>
        <v>4.0000000000000001E-3</v>
      </c>
      <c r="U104" s="128" t="s">
        <v>566</v>
      </c>
      <c r="V104" s="117"/>
      <c r="W104" s="118" t="s">
        <v>659</v>
      </c>
      <c r="X104" s="326">
        <v>0.375</v>
      </c>
      <c r="Y104" s="326">
        <v>0.375</v>
      </c>
      <c r="Z104" s="120">
        <v>0.39583333333333331</v>
      </c>
      <c r="AA104" s="120">
        <v>0.40416666666666662</v>
      </c>
      <c r="AB104" s="159">
        <f>IF(PA[[#This Row],[Acknowledgement Time ]]="NA","",(PA[[#This Row],[Acknowledgement Time ]]-PA[[#This Row],[Fault Time]])*24)</f>
        <v>0</v>
      </c>
      <c r="AC104" s="159">
        <f>IF(PA[[#This Row],[Work Start time on Fault]]="NA","",(PA[[#This Row],[Work Start time on Fault]]-PA[[#This Row],[Fault Time]])*24)</f>
        <v>0.49999999999999956</v>
      </c>
      <c r="AD104" s="135">
        <f>IF(PA[[#This Row],[Status]]="Open","",(PA[[#This Row],[Work Completion time on fault]]-PA[[#This Row],[Fault Time]])*24)</f>
        <v>0.69999999999999885</v>
      </c>
      <c r="AE104" s="134">
        <f>IFERROR((PA[[#This Row],[Work Completion time on fault]]-PA[[#This Row],[Fault Time]])*24,"")</f>
        <v>0.69999999999999885</v>
      </c>
      <c r="AF104" s="226" t="s">
        <v>660</v>
      </c>
      <c r="AG104" s="6" t="s">
        <v>1275</v>
      </c>
      <c r="AH104" s="287">
        <v>0</v>
      </c>
      <c r="AI104" s="128">
        <v>0.622</v>
      </c>
      <c r="AJ104" s="89">
        <f>IFERROR(IF(PA[[#This Row],[Lost PoA(kWh/m2)]]&gt;0,_xlfn.XLOOKUP(G104,'Modelling New'!$D:$D,'Modelling New'!$O:$O)*PA[[#This Row],[Lost PoA(kWh/m2)]]*S104,0),"")</f>
        <v>116.55486844967139</v>
      </c>
    </row>
    <row r="105" spans="1:36" hidden="1" x14ac:dyDescent="0.25">
      <c r="A105" s="57">
        <v>1793</v>
      </c>
      <c r="B105" s="262">
        <v>45784</v>
      </c>
      <c r="C105" s="59"/>
      <c r="D105" s="6">
        <v>2025</v>
      </c>
      <c r="E105" s="6" t="s">
        <v>73</v>
      </c>
      <c r="F105" s="56" t="s">
        <v>73</v>
      </c>
      <c r="G105" s="301">
        <v>45778</v>
      </c>
      <c r="H105" s="56">
        <v>31</v>
      </c>
      <c r="I105" s="10">
        <v>0.24722222222222223</v>
      </c>
      <c r="J105" s="10">
        <v>0.77083333333333337</v>
      </c>
      <c r="K105" s="53">
        <v>12.566666666666666</v>
      </c>
      <c r="L105" s="59" t="s">
        <v>606</v>
      </c>
      <c r="M105" s="59"/>
      <c r="N105" s="59"/>
      <c r="O105" s="59" t="s">
        <v>594</v>
      </c>
      <c r="P105" s="56"/>
      <c r="Q105" s="6"/>
      <c r="R10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BLK7INV10</v>
      </c>
      <c r="S105" s="53">
        <v>22</v>
      </c>
      <c r="T105" s="132">
        <f>IFERROR(_xlfn.XLOOKUP(PA[[#This Row],[Affected Equipment ]],'Basic Data '!A:A,'Basic Data '!C:C),"")</f>
        <v>3.8561797752808993E-3</v>
      </c>
      <c r="U105" s="59" t="s">
        <v>592</v>
      </c>
      <c r="V105" s="88"/>
      <c r="W105" s="114" t="s">
        <v>656</v>
      </c>
      <c r="X105" s="6">
        <v>0.375</v>
      </c>
      <c r="Y105" s="60">
        <v>0.375</v>
      </c>
      <c r="Z105" s="60">
        <v>0.39583333333333331</v>
      </c>
      <c r="AA105" s="60">
        <v>0.4055555555555555</v>
      </c>
      <c r="AB105" s="158">
        <v>0</v>
      </c>
      <c r="AC105" s="158">
        <v>0.49999999999999956</v>
      </c>
      <c r="AD105" s="112">
        <v>0.73333333333333206</v>
      </c>
      <c r="AE105" s="111">
        <v>0.73333333333333206</v>
      </c>
      <c r="AF105" s="228" t="s">
        <v>655</v>
      </c>
      <c r="AG105" s="6" t="s">
        <v>1275</v>
      </c>
      <c r="AH105" s="53">
        <v>0</v>
      </c>
      <c r="AI105" s="59">
        <v>0.16880000000000001</v>
      </c>
      <c r="AJ105" s="89">
        <f>IFERROR(IF(PA[[#This Row],[Lost PoA(kWh/m2)]]&gt;0,_xlfn.XLOOKUP(G105,'Modelling New'!$D:$D,'Modelling New'!$O:$O)*PA[[#This Row],[Lost PoA(kWh/m2)]]*S105,0),"")</f>
        <v>2.8116415568852493</v>
      </c>
    </row>
    <row r="106" spans="1:36" hidden="1" x14ac:dyDescent="0.25">
      <c r="A106" s="57">
        <v>1794</v>
      </c>
      <c r="B106" s="262">
        <v>45784</v>
      </c>
      <c r="C106" s="59"/>
      <c r="D106" s="6">
        <v>2025</v>
      </c>
      <c r="E106" s="6" t="s">
        <v>73</v>
      </c>
      <c r="F106" s="56" t="s">
        <v>73</v>
      </c>
      <c r="G106" s="301">
        <v>45778</v>
      </c>
      <c r="H106" s="56">
        <v>31</v>
      </c>
      <c r="I106" s="10">
        <v>0.24722222222222223</v>
      </c>
      <c r="J106" s="10">
        <v>0.77083333333333337</v>
      </c>
      <c r="K106" s="53">
        <v>12.566666666666666</v>
      </c>
      <c r="L106" s="59" t="s">
        <v>606</v>
      </c>
      <c r="M106" s="59"/>
      <c r="N106" s="59"/>
      <c r="O106" s="59" t="s">
        <v>661</v>
      </c>
      <c r="P106" s="56"/>
      <c r="Q106" s="6"/>
      <c r="R10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BLK7INV25</v>
      </c>
      <c r="S106" s="53">
        <v>22</v>
      </c>
      <c r="T106" s="132">
        <f>IFERROR(_xlfn.XLOOKUP(PA[[#This Row],[Affected Equipment ]],'Basic Data '!A:A,'Basic Data '!C:C),"")</f>
        <v>4.4999999999999997E-3</v>
      </c>
      <c r="U106" s="59" t="s">
        <v>592</v>
      </c>
      <c r="V106" s="88"/>
      <c r="W106" s="114" t="s">
        <v>638</v>
      </c>
      <c r="X106" s="6">
        <v>0.375</v>
      </c>
      <c r="Y106" s="60">
        <v>0.375</v>
      </c>
      <c r="Z106" s="60">
        <v>0.39583333333333331</v>
      </c>
      <c r="AA106" s="60">
        <v>0.41736111111111113</v>
      </c>
      <c r="AB106" s="158">
        <v>0</v>
      </c>
      <c r="AC106" s="158">
        <v>0.49999999999999956</v>
      </c>
      <c r="AD106" s="112">
        <v>1.0166666666666671</v>
      </c>
      <c r="AE106" s="111">
        <v>1.0166666666666671</v>
      </c>
      <c r="AF106" s="228" t="s">
        <v>639</v>
      </c>
      <c r="AG106" s="6" t="s">
        <v>1275</v>
      </c>
      <c r="AH106" s="53">
        <v>0</v>
      </c>
      <c r="AI106" s="59">
        <v>0.2</v>
      </c>
      <c r="AJ106" s="89">
        <f>IFERROR(IF(PA[[#This Row],[Lost PoA(kWh/m2)]]&gt;0,_xlfn.XLOOKUP(G106,'Modelling New'!$D:$D,'Modelling New'!$O:$O)*PA[[#This Row],[Lost PoA(kWh/m2)]]*S106,0),"")</f>
        <v>3.3313288588687788</v>
      </c>
    </row>
    <row r="107" spans="1:36" hidden="1" x14ac:dyDescent="0.25">
      <c r="A107" s="57">
        <v>1795</v>
      </c>
      <c r="B107" s="262">
        <v>45784</v>
      </c>
      <c r="C107" s="59"/>
      <c r="D107" s="6">
        <v>2025</v>
      </c>
      <c r="E107" s="6" t="s">
        <v>73</v>
      </c>
      <c r="F107" s="56" t="s">
        <v>73</v>
      </c>
      <c r="G107" s="301">
        <v>45778</v>
      </c>
      <c r="H107" s="56">
        <v>31</v>
      </c>
      <c r="I107" s="10">
        <v>0.24722222222222223</v>
      </c>
      <c r="J107" s="10">
        <v>0.77083333333333337</v>
      </c>
      <c r="K107" s="53">
        <v>12.566666666666666</v>
      </c>
      <c r="L107" s="59" t="s">
        <v>606</v>
      </c>
      <c r="M107" s="59"/>
      <c r="N107" s="59"/>
      <c r="O107" s="59" t="s">
        <v>600</v>
      </c>
      <c r="P107" s="56"/>
      <c r="Q107" s="6"/>
      <c r="R10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BLK7INV17</v>
      </c>
      <c r="S107" s="53">
        <v>22</v>
      </c>
      <c r="T107" s="132">
        <f>IFERROR(_xlfn.XLOOKUP(PA[[#This Row],[Affected Equipment ]],'Basic Data '!A:A,'Basic Data '!C:C),"")</f>
        <v>4.0000000000000001E-3</v>
      </c>
      <c r="U107" s="59" t="s">
        <v>592</v>
      </c>
      <c r="V107" s="88"/>
      <c r="W107" s="114" t="s">
        <v>650</v>
      </c>
      <c r="X107" s="6"/>
      <c r="Y107" s="60"/>
      <c r="Z107" s="60"/>
      <c r="AA107" s="60">
        <v>0.4291666666666667</v>
      </c>
      <c r="AB107" s="158">
        <v>0</v>
      </c>
      <c r="AC107" s="158">
        <v>0</v>
      </c>
      <c r="AD107" s="112">
        <v>10.3</v>
      </c>
      <c r="AE107" s="111">
        <v>10.3</v>
      </c>
      <c r="AF107" s="228" t="s">
        <v>662</v>
      </c>
      <c r="AG107" s="6" t="s">
        <v>1275</v>
      </c>
      <c r="AH107" s="53">
        <v>0</v>
      </c>
      <c r="AI107" s="59">
        <v>0.19869999999999999</v>
      </c>
      <c r="AJ107" s="89">
        <f>IFERROR(IF(PA[[#This Row],[Lost PoA(kWh/m2)]]&gt;0,_xlfn.XLOOKUP(G107,'Modelling New'!$D:$D,'Modelling New'!$O:$O)*PA[[#This Row],[Lost PoA(kWh/m2)]]*S107,0),"")</f>
        <v>3.3096752212861316</v>
      </c>
    </row>
    <row r="108" spans="1:36" hidden="1" x14ac:dyDescent="0.25">
      <c r="A108" s="57">
        <v>1796</v>
      </c>
      <c r="B108" s="262">
        <v>45784</v>
      </c>
      <c r="C108" s="59"/>
      <c r="D108" s="6">
        <v>2025</v>
      </c>
      <c r="E108" s="6" t="s">
        <v>73</v>
      </c>
      <c r="F108" s="56" t="s">
        <v>73</v>
      </c>
      <c r="G108" s="301">
        <v>45778</v>
      </c>
      <c r="H108" s="56">
        <v>31</v>
      </c>
      <c r="I108" s="10">
        <v>0.24722222222222223</v>
      </c>
      <c r="J108" s="10">
        <v>0.77083333333333337</v>
      </c>
      <c r="K108" s="53">
        <v>12.566666666666666</v>
      </c>
      <c r="L108" s="59" t="s">
        <v>606</v>
      </c>
      <c r="M108" s="59"/>
      <c r="N108" s="59"/>
      <c r="O108" s="59" t="s">
        <v>607</v>
      </c>
      <c r="P108" s="56"/>
      <c r="Q108" s="6"/>
      <c r="R10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BLK7INV3</v>
      </c>
      <c r="S108" s="53">
        <v>22</v>
      </c>
      <c r="T108" s="132">
        <f>IFERROR(_xlfn.XLOOKUP(PA[[#This Row],[Affected Equipment ]],'Basic Data '!A:A,'Basic Data '!C:C),"")</f>
        <v>3.9550561797752808E-3</v>
      </c>
      <c r="U108" s="59" t="s">
        <v>592</v>
      </c>
      <c r="V108" s="88"/>
      <c r="W108" s="114" t="s">
        <v>656</v>
      </c>
      <c r="X108" s="6"/>
      <c r="Y108" s="60"/>
      <c r="Z108" s="60"/>
      <c r="AA108" s="60">
        <v>0.43958333333333338</v>
      </c>
      <c r="AB108" s="158">
        <v>0</v>
      </c>
      <c r="AC108" s="158">
        <v>0</v>
      </c>
      <c r="AD108" s="112">
        <v>10.55</v>
      </c>
      <c r="AE108" s="111">
        <v>10.55</v>
      </c>
      <c r="AF108" s="228" t="s">
        <v>655</v>
      </c>
      <c r="AG108" s="6" t="s">
        <v>1275</v>
      </c>
      <c r="AH108" s="53">
        <v>0</v>
      </c>
      <c r="AI108" s="59">
        <v>0.21</v>
      </c>
      <c r="AJ108" s="89">
        <f>IFERROR(IF(PA[[#This Row],[Lost PoA(kWh/m2)]]&gt;0,_xlfn.XLOOKUP(G108,'Modelling New'!$D:$D,'Modelling New'!$O:$O)*PA[[#This Row],[Lost PoA(kWh/m2)]]*S108,0),"")</f>
        <v>3.4978953018122172</v>
      </c>
    </row>
    <row r="109" spans="1:36" hidden="1" x14ac:dyDescent="0.25">
      <c r="A109" s="57">
        <v>1797</v>
      </c>
      <c r="B109" s="262">
        <v>45784</v>
      </c>
      <c r="C109" s="59"/>
      <c r="D109" s="6">
        <v>2025</v>
      </c>
      <c r="E109" s="6" t="s">
        <v>73</v>
      </c>
      <c r="F109" s="56" t="s">
        <v>73</v>
      </c>
      <c r="G109" s="301">
        <v>45778</v>
      </c>
      <c r="H109" s="56">
        <v>31</v>
      </c>
      <c r="I109" s="10">
        <v>0.24722222222222223</v>
      </c>
      <c r="J109" s="10">
        <v>0.77083333333333337</v>
      </c>
      <c r="K109" s="53">
        <v>12.566666666666666</v>
      </c>
      <c r="L109" s="59" t="s">
        <v>606</v>
      </c>
      <c r="M109" s="59"/>
      <c r="N109" s="59"/>
      <c r="O109" s="59" t="s">
        <v>591</v>
      </c>
      <c r="P109" s="56"/>
      <c r="Q109" s="6"/>
      <c r="R10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BLK7INV5</v>
      </c>
      <c r="S109" s="53">
        <v>22</v>
      </c>
      <c r="T109" s="132">
        <f>IFERROR(_xlfn.XLOOKUP(PA[[#This Row],[Affected Equipment ]],'Basic Data '!A:A,'Basic Data '!C:C),"")</f>
        <v>3.9550561797752808E-3</v>
      </c>
      <c r="U109" s="59" t="s">
        <v>592</v>
      </c>
      <c r="V109" s="88"/>
      <c r="W109" s="114" t="s">
        <v>656</v>
      </c>
      <c r="X109" s="6"/>
      <c r="Y109" s="60"/>
      <c r="Z109" s="60"/>
      <c r="AA109" s="60">
        <v>0.46527777777777773</v>
      </c>
      <c r="AB109" s="158">
        <v>0</v>
      </c>
      <c r="AC109" s="158">
        <v>0</v>
      </c>
      <c r="AD109" s="112">
        <v>11.166666666666666</v>
      </c>
      <c r="AE109" s="111">
        <v>11.166666666666666</v>
      </c>
      <c r="AF109" s="228" t="s">
        <v>655</v>
      </c>
      <c r="AG109" s="6" t="s">
        <v>1275</v>
      </c>
      <c r="AH109" s="53">
        <v>0</v>
      </c>
      <c r="AI109" s="59">
        <v>0.191</v>
      </c>
      <c r="AJ109" s="89">
        <f>IFERROR(IF(PA[[#This Row],[Lost PoA(kWh/m2)]]&gt;0,_xlfn.XLOOKUP(G109,'Modelling New'!$D:$D,'Modelling New'!$O:$O)*PA[[#This Row],[Lost PoA(kWh/m2)]]*S109,0),"")</f>
        <v>3.1814190602196835</v>
      </c>
    </row>
    <row r="110" spans="1:36" hidden="1" x14ac:dyDescent="0.25">
      <c r="A110" s="57">
        <v>1798</v>
      </c>
      <c r="B110" s="262">
        <v>45784</v>
      </c>
      <c r="C110" s="59"/>
      <c r="D110" s="6">
        <v>2025</v>
      </c>
      <c r="E110" s="6" t="s">
        <v>73</v>
      </c>
      <c r="F110" s="56" t="s">
        <v>73</v>
      </c>
      <c r="G110" s="301">
        <v>45778</v>
      </c>
      <c r="H110" s="56">
        <v>31</v>
      </c>
      <c r="I110" s="10">
        <v>0.24722222222222223</v>
      </c>
      <c r="J110" s="10">
        <v>0.77083333333333337</v>
      </c>
      <c r="K110" s="53">
        <v>12.566666666666666</v>
      </c>
      <c r="L110" s="59" t="s">
        <v>606</v>
      </c>
      <c r="M110" s="59"/>
      <c r="N110" s="59"/>
      <c r="O110" s="59" t="s">
        <v>663</v>
      </c>
      <c r="P110" s="56"/>
      <c r="Q110" s="6"/>
      <c r="R11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BLK7INV16</v>
      </c>
      <c r="S110" s="53">
        <v>22</v>
      </c>
      <c r="T110" s="132">
        <f>IFERROR(_xlfn.XLOOKUP(PA[[#This Row],[Affected Equipment ]],'Basic Data '!A:A,'Basic Data '!C:C),"")</f>
        <v>4.0000000000000001E-3</v>
      </c>
      <c r="U110" s="59" t="s">
        <v>592</v>
      </c>
      <c r="V110" s="88"/>
      <c r="W110" s="114" t="s">
        <v>656</v>
      </c>
      <c r="X110" s="6"/>
      <c r="Y110" s="60"/>
      <c r="Z110" s="60"/>
      <c r="AA110" s="60">
        <v>0.47361111111111115</v>
      </c>
      <c r="AB110" s="158">
        <v>0</v>
      </c>
      <c r="AC110" s="158">
        <v>0</v>
      </c>
      <c r="AD110" s="112">
        <v>11.366666666666667</v>
      </c>
      <c r="AE110" s="111">
        <v>11.366666666666667</v>
      </c>
      <c r="AF110" s="228" t="s">
        <v>655</v>
      </c>
      <c r="AG110" s="6" t="s">
        <v>1275</v>
      </c>
      <c r="AH110" s="53">
        <v>0</v>
      </c>
      <c r="AI110" s="59">
        <v>0.214</v>
      </c>
      <c r="AJ110" s="89">
        <f>IFERROR(IF(PA[[#This Row],[Lost PoA(kWh/m2)]]&gt;0,_xlfn.XLOOKUP(G110,'Modelling New'!$D:$D,'Modelling New'!$O:$O)*PA[[#This Row],[Lost PoA(kWh/m2)]]*S110,0),"")</f>
        <v>3.5645218789895927</v>
      </c>
    </row>
    <row r="111" spans="1:36" hidden="1" x14ac:dyDescent="0.25">
      <c r="A111" s="57">
        <v>1799</v>
      </c>
      <c r="B111" s="262">
        <v>45784</v>
      </c>
      <c r="C111" s="59"/>
      <c r="D111" s="6">
        <v>2025</v>
      </c>
      <c r="E111" s="6" t="s">
        <v>73</v>
      </c>
      <c r="F111" s="56" t="s">
        <v>73</v>
      </c>
      <c r="G111" s="301">
        <v>45778</v>
      </c>
      <c r="H111" s="56">
        <v>31</v>
      </c>
      <c r="I111" s="10">
        <v>0.24722222222222223</v>
      </c>
      <c r="J111" s="10">
        <v>0.77083333333333337</v>
      </c>
      <c r="K111" s="53">
        <v>12.566666666666666</v>
      </c>
      <c r="L111" s="59" t="s">
        <v>597</v>
      </c>
      <c r="M111" s="59"/>
      <c r="N111" s="59"/>
      <c r="O111" s="59" t="s">
        <v>598</v>
      </c>
      <c r="P111" s="56"/>
      <c r="Q111" s="6"/>
      <c r="R11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BLK3INV6</v>
      </c>
      <c r="S111" s="53">
        <v>22</v>
      </c>
      <c r="T111" s="132">
        <f>IFERROR(_xlfn.XLOOKUP(PA[[#This Row],[Affected Equipment ]],'Basic Data '!A:A,'Basic Data '!C:C),"")</f>
        <v>4.0000000000000001E-3</v>
      </c>
      <c r="U111" s="59" t="s">
        <v>592</v>
      </c>
      <c r="V111" s="88"/>
      <c r="W111" s="114" t="s">
        <v>650</v>
      </c>
      <c r="X111" s="6"/>
      <c r="Y111" s="60"/>
      <c r="Z111" s="60"/>
      <c r="AA111" s="60">
        <v>0.48472222222222222</v>
      </c>
      <c r="AB111" s="158">
        <v>0</v>
      </c>
      <c r="AC111" s="158">
        <v>0</v>
      </c>
      <c r="AD111" s="112">
        <v>11.633333333333333</v>
      </c>
      <c r="AE111" s="111">
        <v>11.633333333333333</v>
      </c>
      <c r="AF111" s="228" t="s">
        <v>662</v>
      </c>
      <c r="AG111" s="6" t="s">
        <v>1275</v>
      </c>
      <c r="AH111" s="53">
        <v>0</v>
      </c>
      <c r="AI111" s="59">
        <v>0.22</v>
      </c>
      <c r="AJ111" s="89">
        <f>IFERROR(IF(PA[[#This Row],[Lost PoA(kWh/m2)]]&gt;0,_xlfn.XLOOKUP(G111,'Modelling New'!$D:$D,'Modelling New'!$O:$O)*PA[[#This Row],[Lost PoA(kWh/m2)]]*S111,0),"")</f>
        <v>3.6644617447556564</v>
      </c>
    </row>
    <row r="112" spans="1:36" hidden="1" x14ac:dyDescent="0.25">
      <c r="A112" s="57">
        <v>1800</v>
      </c>
      <c r="B112" s="262">
        <v>45784</v>
      </c>
      <c r="C112" s="59"/>
      <c r="D112" s="6">
        <v>2025</v>
      </c>
      <c r="E112" s="6" t="s">
        <v>73</v>
      </c>
      <c r="F112" s="56" t="s">
        <v>73</v>
      </c>
      <c r="G112" s="301">
        <v>45778</v>
      </c>
      <c r="H112" s="56">
        <v>31</v>
      </c>
      <c r="I112" s="10">
        <v>0.24722222222222223</v>
      </c>
      <c r="J112" s="10">
        <v>0.77083333333333337</v>
      </c>
      <c r="K112" s="53">
        <v>12.566666666666666</v>
      </c>
      <c r="L112" s="59" t="s">
        <v>621</v>
      </c>
      <c r="M112" s="59"/>
      <c r="N112" s="59"/>
      <c r="O112" s="59" t="s">
        <v>612</v>
      </c>
      <c r="P112" s="56"/>
      <c r="Q112" s="6"/>
      <c r="R11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112" s="53">
        <v>22</v>
      </c>
      <c r="T112" s="132">
        <f>IFERROR(_xlfn.XLOOKUP(PA[[#This Row],[Affected Equipment ]],'Basic Data '!A:A,'Basic Data '!C:C),"")</f>
        <v>4.4999999999999997E-3</v>
      </c>
      <c r="U112" s="59" t="s">
        <v>592</v>
      </c>
      <c r="V112" s="88"/>
      <c r="W112" s="114" t="s">
        <v>650</v>
      </c>
      <c r="X112" s="6"/>
      <c r="Y112" s="60"/>
      <c r="Z112" s="60"/>
      <c r="AA112" s="60">
        <v>0.50972222222222219</v>
      </c>
      <c r="AB112" s="158">
        <v>0</v>
      </c>
      <c r="AC112" s="158">
        <v>0</v>
      </c>
      <c r="AD112" s="112">
        <v>12.233333333333333</v>
      </c>
      <c r="AE112" s="111">
        <v>12.233333333333333</v>
      </c>
      <c r="AF112" s="228" t="s">
        <v>662</v>
      </c>
      <c r="AG112" s="6" t="s">
        <v>1275</v>
      </c>
      <c r="AH112" s="53">
        <v>0</v>
      </c>
      <c r="AI112" s="59">
        <v>0.218</v>
      </c>
      <c r="AJ112" s="89">
        <f>IFERROR(IF(PA[[#This Row],[Lost PoA(kWh/m2)]]&gt;0,_xlfn.XLOOKUP(G112,'Modelling New'!$D:$D,'Modelling New'!$O:$O)*PA[[#This Row],[Lost PoA(kWh/m2)]]*S112,0),"")</f>
        <v>3.6311484561669687</v>
      </c>
    </row>
    <row r="113" spans="1:36" hidden="1" x14ac:dyDescent="0.25">
      <c r="A113" s="229">
        <v>1801</v>
      </c>
      <c r="B113" s="262">
        <v>45784</v>
      </c>
      <c r="C113" s="128"/>
      <c r="D113" s="129">
        <v>2025</v>
      </c>
      <c r="E113" s="129" t="s">
        <v>73</v>
      </c>
      <c r="F113" s="130" t="s">
        <v>73</v>
      </c>
      <c r="G113" s="301">
        <v>45778</v>
      </c>
      <c r="H113" s="130">
        <v>31</v>
      </c>
      <c r="I113" s="10">
        <v>0.24722222222222223</v>
      </c>
      <c r="J113" s="10">
        <v>0.77083333333333337</v>
      </c>
      <c r="K113" s="131">
        <v>12.566666666666666</v>
      </c>
      <c r="L113" s="128" t="s">
        <v>1249</v>
      </c>
      <c r="M113" s="128"/>
      <c r="N113" s="128"/>
      <c r="O113" s="128" t="s">
        <v>1215</v>
      </c>
      <c r="P113" s="130"/>
      <c r="Q113" s="129"/>
      <c r="R11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POWER TRAFO132KV_OC</v>
      </c>
      <c r="S113" s="131">
        <v>67300</v>
      </c>
      <c r="T113" s="132" t="str">
        <f>IFERROR(_xlfn.XLOOKUP(PA[[#This Row],[Affected Equipment ]],'Basic Data '!A:A,'Basic Data '!C:C),"")</f>
        <v/>
      </c>
      <c r="U113" s="128" t="s">
        <v>664</v>
      </c>
      <c r="V113" s="117"/>
      <c r="W113" s="118" t="s">
        <v>665</v>
      </c>
      <c r="X113" s="326">
        <v>0.55069444444444449</v>
      </c>
      <c r="Y113" s="120">
        <v>0.55069444444444449</v>
      </c>
      <c r="Z113" s="120">
        <v>0.5625</v>
      </c>
      <c r="AA113" s="120">
        <v>0.77083333333333337</v>
      </c>
      <c r="AB113" s="159">
        <v>0</v>
      </c>
      <c r="AC113" s="159">
        <v>0.28333333333333233</v>
      </c>
      <c r="AD113" s="135">
        <v>5.2833333333333332</v>
      </c>
      <c r="AE113" s="134">
        <v>5.2833333333333332</v>
      </c>
      <c r="AF113" s="226" t="s">
        <v>666</v>
      </c>
      <c r="AG113" s="6" t="s">
        <v>1275</v>
      </c>
      <c r="AH113" s="131">
        <v>0</v>
      </c>
      <c r="AI113" s="128">
        <v>1.46</v>
      </c>
      <c r="AJ113" s="89">
        <f>IFERROR(IF(PA[[#This Row],[Lost PoA(kWh/m2)]]&gt;0,_xlfn.XLOOKUP(G113,'Modelling New'!$D:$D,'Modelling New'!$O:$O)*PA[[#This Row],[Lost PoA(kWh/m2)]]*S113,0),"")</f>
        <v>74393.116139711012</v>
      </c>
    </row>
    <row r="114" spans="1:36" hidden="1" x14ac:dyDescent="0.25">
      <c r="A114" s="229">
        <v>1802</v>
      </c>
      <c r="B114" s="262">
        <v>45785</v>
      </c>
      <c r="C114" s="59"/>
      <c r="D114" s="6">
        <f>YEAR(PA[[#This Row],[Date]])</f>
        <v>2025</v>
      </c>
      <c r="E114" s="129" t="s">
        <v>73</v>
      </c>
      <c r="F114" s="130" t="s">
        <v>73</v>
      </c>
      <c r="G114" s="301">
        <v>45778</v>
      </c>
      <c r="H114" s="56">
        <f>DAY(EOMONTH(PA[[#This Row],[Date]], 0))</f>
        <v>31</v>
      </c>
      <c r="I114" s="60">
        <v>0.2590277777777778</v>
      </c>
      <c r="J114" s="60">
        <v>0.77777777777777779</v>
      </c>
      <c r="K114" s="53">
        <f>IFERROR((PA[[#This Row],[Sunset Time (POA&lt;20 W/m2)]]-PA[[#This Row],[Sunrise Time (POA&gt;20 W/m2)]])*24,"")</f>
        <v>12.450000000000001</v>
      </c>
      <c r="L114" s="59" t="s">
        <v>559</v>
      </c>
      <c r="M114" s="59"/>
      <c r="N114" s="59"/>
      <c r="O114" s="128" t="s">
        <v>789</v>
      </c>
      <c r="P114" s="56"/>
      <c r="Q114" s="6"/>
      <c r="R11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114" s="53">
        <v>7500</v>
      </c>
      <c r="T114" s="132">
        <f>IFERROR(_xlfn.XLOOKUP(PA[[#This Row],[Affected Equipment ]],'Basic Data '!A:A,'Basic Data '!C:C),"")</f>
        <v>0.125</v>
      </c>
      <c r="U114" s="59" t="s">
        <v>589</v>
      </c>
      <c r="V114" s="88"/>
      <c r="W114" s="114" t="s">
        <v>667</v>
      </c>
      <c r="X114" s="60">
        <v>0.46527777777777773</v>
      </c>
      <c r="Y114" s="60">
        <v>0.46527777777777773</v>
      </c>
      <c r="Z114" s="60">
        <v>0.46875</v>
      </c>
      <c r="AA114" s="60">
        <v>0.47222222222222227</v>
      </c>
      <c r="AB114" s="158">
        <f>IF(PA[[#This Row],[Acknowledgement Time ]]="NA","",(PA[[#This Row],[Acknowledgement Time ]]-PA[[#This Row],[Fault Time]])*24)</f>
        <v>0</v>
      </c>
      <c r="AC114" s="158">
        <f>IF(PA[[#This Row],[Work Start time on Fault]]="NA","",(PA[[#This Row],[Work Start time on Fault]]-PA[[#This Row],[Fault Time]])*24)</f>
        <v>8.333333333333437E-2</v>
      </c>
      <c r="AD114" s="112">
        <f>IF(PA[[#This Row],[Status]]="Open","",(PA[[#This Row],[Work Completion time on fault]]-PA[[#This Row],[Fault Time]])*24)</f>
        <v>0.16666666666666874</v>
      </c>
      <c r="AE114" s="111">
        <f>IFERROR((PA[[#This Row],[Work Completion time on fault]]-PA[[#This Row],[Fault Time]])*24,"")</f>
        <v>0.16666666666666874</v>
      </c>
      <c r="AF114" s="228" t="s">
        <v>668</v>
      </c>
      <c r="AG114" s="6" t="s">
        <v>1275</v>
      </c>
      <c r="AH114" s="131">
        <v>0</v>
      </c>
      <c r="AI114" s="59">
        <v>0.193</v>
      </c>
      <c r="AJ114" s="89">
        <f>IFERROR(IF(PA[[#This Row],[Lost PoA(kWh/m2)]]&gt;0,_xlfn.XLOOKUP(G114,'Modelling New'!$D:$D,'Modelling New'!$O:$O)*PA[[#This Row],[Lost PoA(kWh/m2)]]*S114,0),"")</f>
        <v>1095.9314825483084</v>
      </c>
    </row>
    <row r="115" spans="1:36" hidden="1" x14ac:dyDescent="0.25">
      <c r="A115" s="229">
        <v>1803</v>
      </c>
      <c r="B115" s="262">
        <v>45785</v>
      </c>
      <c r="C115" s="59"/>
      <c r="D115" s="6">
        <f>YEAR(PA[[#This Row],[Date]])</f>
        <v>2025</v>
      </c>
      <c r="E115" s="129" t="s">
        <v>73</v>
      </c>
      <c r="F115" s="130" t="s">
        <v>73</v>
      </c>
      <c r="G115" s="301">
        <v>45778</v>
      </c>
      <c r="H115" s="56">
        <f>DAY(EOMONTH(PA[[#This Row],[Date]], 0))</f>
        <v>31</v>
      </c>
      <c r="I115" s="60">
        <v>0.2590277777777778</v>
      </c>
      <c r="J115" s="60">
        <v>0.77777777777777779</v>
      </c>
      <c r="K115" s="53">
        <f>IFERROR((PA[[#This Row],[Sunset Time (POA&lt;20 W/m2)]]-PA[[#This Row],[Sunrise Time (POA&gt;20 W/m2)]])*24,"")</f>
        <v>12.450000000000001</v>
      </c>
      <c r="L115" s="59" t="s">
        <v>587</v>
      </c>
      <c r="M115" s="59"/>
      <c r="N115" s="59"/>
      <c r="O115" s="128" t="s">
        <v>789</v>
      </c>
      <c r="P115" s="56"/>
      <c r="Q115" s="6"/>
      <c r="R11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115" s="53">
        <v>7500</v>
      </c>
      <c r="T115" s="132">
        <f>IFERROR(_xlfn.XLOOKUP(PA[[#This Row],[Affected Equipment ]],'Basic Data '!A:A,'Basic Data '!C:C),"")</f>
        <v>0.13400000000000001</v>
      </c>
      <c r="U115" s="59" t="s">
        <v>589</v>
      </c>
      <c r="V115" s="88"/>
      <c r="W115" s="114" t="s">
        <v>667</v>
      </c>
      <c r="X115" s="60">
        <v>0.47361111111111115</v>
      </c>
      <c r="Y115" s="60">
        <v>0.47361111111111115</v>
      </c>
      <c r="Z115" s="60">
        <v>0.47916666666666669</v>
      </c>
      <c r="AA115" s="60">
        <v>0.48194444444444445</v>
      </c>
      <c r="AB115" s="158">
        <f>IF(PA[[#This Row],[Acknowledgement Time ]]="NA","",(PA[[#This Row],[Acknowledgement Time ]]-PA[[#This Row],[Fault Time]])*24)</f>
        <v>0</v>
      </c>
      <c r="AC115" s="158">
        <f>IF(PA[[#This Row],[Work Start time on Fault]]="NA","",(PA[[#This Row],[Work Start time on Fault]]-PA[[#This Row],[Fault Time]])*24)</f>
        <v>0.13333333333333286</v>
      </c>
      <c r="AD115" s="112">
        <f>IF(PA[[#This Row],[Status]]="Open","",(PA[[#This Row],[Work Completion time on fault]]-PA[[#This Row],[Fault Time]])*24)</f>
        <v>0.19999999999999929</v>
      </c>
      <c r="AE115" s="111">
        <f>IFERROR((PA[[#This Row],[Work Completion time on fault]]-PA[[#This Row],[Fault Time]])*24,"")</f>
        <v>0.19999999999999929</v>
      </c>
      <c r="AF115" s="228" t="s">
        <v>668</v>
      </c>
      <c r="AG115" s="6" t="s">
        <v>1275</v>
      </c>
      <c r="AH115" s="131">
        <v>0</v>
      </c>
      <c r="AI115" s="59">
        <v>0.182</v>
      </c>
      <c r="AJ115" s="89">
        <f>IFERROR(IF(PA[[#This Row],[Lost PoA(kWh/m2)]]&gt;0,_xlfn.XLOOKUP(G115,'Modelling New'!$D:$D,'Modelling New'!$O:$O)*PA[[#This Row],[Lost PoA(kWh/m2)]]*S115,0),"")</f>
        <v>1033.4690664445188</v>
      </c>
    </row>
    <row r="116" spans="1:36" hidden="1" x14ac:dyDescent="0.25">
      <c r="A116" s="229">
        <v>1804</v>
      </c>
      <c r="B116" s="262">
        <v>45785</v>
      </c>
      <c r="C116" s="59"/>
      <c r="D116" s="6">
        <f>YEAR(PA[[#This Row],[Date]])</f>
        <v>2025</v>
      </c>
      <c r="E116" s="129" t="s">
        <v>73</v>
      </c>
      <c r="F116" s="130" t="s">
        <v>73</v>
      </c>
      <c r="G116" s="301">
        <v>45778</v>
      </c>
      <c r="H116" s="56">
        <f>DAY(EOMONTH(PA[[#This Row],[Date]], 0))</f>
        <v>31</v>
      </c>
      <c r="I116" s="60">
        <v>0.2590277777777778</v>
      </c>
      <c r="J116" s="60">
        <v>0.77777777777777779</v>
      </c>
      <c r="K116" s="53">
        <f>IFERROR((PA[[#This Row],[Sunset Time (POA&lt;20 W/m2)]]-PA[[#This Row],[Sunrise Time (POA&gt;20 W/m2)]])*24,"")</f>
        <v>12.450000000000001</v>
      </c>
      <c r="L116" s="59"/>
      <c r="M116" s="59"/>
      <c r="N116" s="59"/>
      <c r="O116" s="128" t="s">
        <v>789</v>
      </c>
      <c r="P116" s="56"/>
      <c r="Q116" s="6"/>
      <c r="R11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MVP</v>
      </c>
      <c r="S116" s="53">
        <v>7500</v>
      </c>
      <c r="T116" s="132" t="str">
        <f>IFERROR(_xlfn.XLOOKUP(PA[[#This Row],[Affected Equipment ]],'Basic Data '!A:A,'Basic Data '!C:C),"")</f>
        <v/>
      </c>
      <c r="U116" s="59" t="s">
        <v>589</v>
      </c>
      <c r="V116" s="88"/>
      <c r="W116" s="114" t="s">
        <v>667</v>
      </c>
      <c r="X116" s="60">
        <v>0.47361111111111115</v>
      </c>
      <c r="Y116" s="60">
        <v>0.47361111111111115</v>
      </c>
      <c r="Z116" s="60">
        <v>0.47569444444444442</v>
      </c>
      <c r="AA116" s="60">
        <v>0.4861111111111111</v>
      </c>
      <c r="AB116" s="158">
        <f>IF(PA[[#This Row],[Acknowledgement Time ]]="NA","",(PA[[#This Row],[Acknowledgement Time ]]-PA[[#This Row],[Fault Time]])*24)</f>
        <v>0</v>
      </c>
      <c r="AC116" s="158">
        <f>IF(PA[[#This Row],[Work Start time on Fault]]="NA","",(PA[[#This Row],[Work Start time on Fault]]-PA[[#This Row],[Fault Time]])*24)</f>
        <v>4.999999999999849E-2</v>
      </c>
      <c r="AD116" s="112">
        <f>IF(PA[[#This Row],[Status]]="Open","",(PA[[#This Row],[Work Completion time on fault]]-PA[[#This Row],[Fault Time]])*24)</f>
        <v>0.29999999999999893</v>
      </c>
      <c r="AE116" s="111">
        <f>IFERROR((PA[[#This Row],[Work Completion time on fault]]-PA[[#This Row],[Fault Time]])*24,"")</f>
        <v>0.29999999999999893</v>
      </c>
      <c r="AF116" s="228" t="s">
        <v>668</v>
      </c>
      <c r="AG116" s="6" t="s">
        <v>1275</v>
      </c>
      <c r="AH116" s="131">
        <v>0</v>
      </c>
      <c r="AI116" s="59">
        <v>0.17</v>
      </c>
      <c r="AJ116" s="89">
        <f>IFERROR(IF(PA[[#This Row],[Lost PoA(kWh/m2)]]&gt;0,_xlfn.XLOOKUP(G116,'Modelling New'!$D:$D,'Modelling New'!$O:$O)*PA[[#This Row],[Lost PoA(kWh/m2)]]*S116,0),"")</f>
        <v>965.32824887674838</v>
      </c>
    </row>
    <row r="117" spans="1:36" hidden="1" x14ac:dyDescent="0.25">
      <c r="A117" s="229">
        <v>1805</v>
      </c>
      <c r="B117" s="262">
        <v>45785</v>
      </c>
      <c r="C117" s="59"/>
      <c r="D117" s="6">
        <f>YEAR(PA[[#This Row],[Date]])</f>
        <v>2025</v>
      </c>
      <c r="E117" s="129" t="s">
        <v>73</v>
      </c>
      <c r="F117" s="130" t="s">
        <v>73</v>
      </c>
      <c r="G117" s="301">
        <v>45778</v>
      </c>
      <c r="H117" s="56">
        <f>DAY(EOMONTH(PA[[#This Row],[Date]], 0))</f>
        <v>31</v>
      </c>
      <c r="I117" s="60">
        <v>0.2590277777777778</v>
      </c>
      <c r="J117" s="60">
        <v>0.77777777777777779</v>
      </c>
      <c r="K117" s="53">
        <f>IFERROR((PA[[#This Row],[Sunset Time (POA&lt;20 W/m2)]]-PA[[#This Row],[Sunrise Time (POA&gt;20 W/m2)]])*24,"")</f>
        <v>12.450000000000001</v>
      </c>
      <c r="L117" s="59"/>
      <c r="M117" s="59"/>
      <c r="N117" s="59"/>
      <c r="O117" s="128" t="s">
        <v>789</v>
      </c>
      <c r="P117" s="56"/>
      <c r="Q117" s="6"/>
      <c r="R11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MVP</v>
      </c>
      <c r="S117" s="53">
        <v>7500</v>
      </c>
      <c r="T117" s="132" t="str">
        <f>IFERROR(_xlfn.XLOOKUP(PA[[#This Row],[Affected Equipment ]],'Basic Data '!A:A,'Basic Data '!C:C),"")</f>
        <v/>
      </c>
      <c r="U117" s="59" t="s">
        <v>589</v>
      </c>
      <c r="V117" s="88"/>
      <c r="W117" s="114" t="s">
        <v>667</v>
      </c>
      <c r="X117" s="60">
        <v>0.47361111111111115</v>
      </c>
      <c r="Y117" s="60">
        <v>0.47361111111111115</v>
      </c>
      <c r="Z117" s="60">
        <v>0.4777777777777778</v>
      </c>
      <c r="AA117" s="60">
        <v>0.49027777777777781</v>
      </c>
      <c r="AB117" s="158">
        <f>IF(PA[[#This Row],[Acknowledgement Time ]]="NA","",(PA[[#This Row],[Acknowledgement Time ]]-PA[[#This Row],[Fault Time]])*24)</f>
        <v>0</v>
      </c>
      <c r="AC117" s="158">
        <f>IF(PA[[#This Row],[Work Start time on Fault]]="NA","",(PA[[#This Row],[Work Start time on Fault]]-PA[[#This Row],[Fault Time]])*24)</f>
        <v>9.9999999999999645E-2</v>
      </c>
      <c r="AD117" s="112">
        <f>IF(PA[[#This Row],[Status]]="Open","",(PA[[#This Row],[Work Completion time on fault]]-PA[[#This Row],[Fault Time]])*24)</f>
        <v>0.39999999999999991</v>
      </c>
      <c r="AE117" s="111">
        <f>IFERROR((PA[[#This Row],[Work Completion time on fault]]-PA[[#This Row],[Fault Time]])*24,"")</f>
        <v>0.39999999999999991</v>
      </c>
      <c r="AF117" s="228" t="s">
        <v>668</v>
      </c>
      <c r="AG117" s="6" t="s">
        <v>1275</v>
      </c>
      <c r="AH117" s="131">
        <v>0</v>
      </c>
      <c r="AI117" s="59">
        <v>0.17299999999999999</v>
      </c>
      <c r="AJ117" s="89">
        <f>IFERROR(IF(PA[[#This Row],[Lost PoA(kWh/m2)]]&gt;0,_xlfn.XLOOKUP(G117,'Modelling New'!$D:$D,'Modelling New'!$O:$O)*PA[[#This Row],[Lost PoA(kWh/m2)]]*S117,0),"")</f>
        <v>982.36345326869082</v>
      </c>
    </row>
    <row r="118" spans="1:36" hidden="1" x14ac:dyDescent="0.25">
      <c r="A118" s="229">
        <v>1806</v>
      </c>
      <c r="B118" s="262">
        <v>45785</v>
      </c>
      <c r="C118" s="59"/>
      <c r="D118" s="6">
        <f>YEAR(PA[[#This Row],[Date]])</f>
        <v>2025</v>
      </c>
      <c r="E118" s="129" t="s">
        <v>73</v>
      </c>
      <c r="F118" s="130" t="s">
        <v>73</v>
      </c>
      <c r="G118" s="301">
        <v>45778</v>
      </c>
      <c r="H118" s="56">
        <f>DAY(EOMONTH(PA[[#This Row],[Date]], 0))</f>
        <v>31</v>
      </c>
      <c r="I118" s="60">
        <v>0.2590277777777778</v>
      </c>
      <c r="J118" s="60">
        <v>0.77777777777777779</v>
      </c>
      <c r="K118" s="53">
        <f>IFERROR((PA[[#This Row],[Sunset Time (POA&lt;20 W/m2)]]-PA[[#This Row],[Sunrise Time (POA&gt;20 W/m2)]])*24,"")</f>
        <v>12.450000000000001</v>
      </c>
      <c r="L118" s="59"/>
      <c r="M118" s="59"/>
      <c r="N118" s="59"/>
      <c r="O118" s="128" t="s">
        <v>789</v>
      </c>
      <c r="P118" s="56"/>
      <c r="Q118" s="6"/>
      <c r="R11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MVP</v>
      </c>
      <c r="S118" s="53">
        <v>7500</v>
      </c>
      <c r="T118" s="132" t="str">
        <f>IFERROR(_xlfn.XLOOKUP(PA[[#This Row],[Affected Equipment ]],'Basic Data '!A:A,'Basic Data '!C:C),"")</f>
        <v/>
      </c>
      <c r="U118" s="59" t="s">
        <v>589</v>
      </c>
      <c r="V118" s="88"/>
      <c r="W118" s="114" t="s">
        <v>667</v>
      </c>
      <c r="X118" s="60">
        <v>0.53125</v>
      </c>
      <c r="Y118" s="60">
        <v>0.53125</v>
      </c>
      <c r="Z118" s="60">
        <v>0.53541666666666665</v>
      </c>
      <c r="AA118" s="60">
        <v>0.53819444444444442</v>
      </c>
      <c r="AB118" s="158">
        <f>IF(PA[[#This Row],[Acknowledgement Time ]]="NA","",(PA[[#This Row],[Acknowledgement Time ]]-PA[[#This Row],[Fault Time]])*24)</f>
        <v>0</v>
      </c>
      <c r="AC118" s="158">
        <f>IF(PA[[#This Row],[Work Start time on Fault]]="NA","",(PA[[#This Row],[Work Start time on Fault]]-PA[[#This Row],[Fault Time]])*24)</f>
        <v>9.9999999999999645E-2</v>
      </c>
      <c r="AD118" s="112">
        <f>IF(PA[[#This Row],[Status]]="Open","",(PA[[#This Row],[Work Completion time on fault]]-PA[[#This Row],[Fault Time]])*24)</f>
        <v>0.16666666666666607</v>
      </c>
      <c r="AE118" s="111">
        <f>IFERROR((PA[[#This Row],[Work Completion time on fault]]-PA[[#This Row],[Fault Time]])*24,"")</f>
        <v>0.16666666666666607</v>
      </c>
      <c r="AF118" s="228" t="s">
        <v>668</v>
      </c>
      <c r="AG118" s="6" t="s">
        <v>1275</v>
      </c>
      <c r="AH118" s="131">
        <v>0</v>
      </c>
      <c r="AI118" s="59">
        <v>0.16</v>
      </c>
      <c r="AJ118" s="89">
        <f>IFERROR(IF(PA[[#This Row],[Lost PoA(kWh/m2)]]&gt;0,_xlfn.XLOOKUP(G118,'Modelling New'!$D:$D,'Modelling New'!$O:$O)*PA[[#This Row],[Lost PoA(kWh/m2)]]*S118,0),"")</f>
        <v>908.5442342369397</v>
      </c>
    </row>
    <row r="119" spans="1:36" hidden="1" x14ac:dyDescent="0.25">
      <c r="A119" s="229">
        <v>1807</v>
      </c>
      <c r="B119" s="262">
        <v>45785</v>
      </c>
      <c r="C119" s="59"/>
      <c r="D119" s="6">
        <f>YEAR(PA[[#This Row],[Date]])</f>
        <v>2025</v>
      </c>
      <c r="E119" s="129" t="s">
        <v>73</v>
      </c>
      <c r="F119" s="130" t="s">
        <v>73</v>
      </c>
      <c r="G119" s="301">
        <v>45778</v>
      </c>
      <c r="H119" s="56">
        <f>DAY(EOMONTH(PA[[#This Row],[Date]], 0))</f>
        <v>31</v>
      </c>
      <c r="I119" s="60">
        <v>0.2590277777777778</v>
      </c>
      <c r="J119" s="60">
        <v>0.77777777777777779</v>
      </c>
      <c r="K119" s="53">
        <f>IFERROR((PA[[#This Row],[Sunset Time (POA&lt;20 W/m2)]]-PA[[#This Row],[Sunrise Time (POA&gt;20 W/m2)]])*24,"")</f>
        <v>12.450000000000001</v>
      </c>
      <c r="L119" s="59"/>
      <c r="M119" s="59"/>
      <c r="N119" s="59"/>
      <c r="O119" s="128" t="s">
        <v>789</v>
      </c>
      <c r="P119" s="56"/>
      <c r="Q119" s="6"/>
      <c r="R11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MVP</v>
      </c>
      <c r="S119" s="53">
        <v>7500</v>
      </c>
      <c r="T119" s="132" t="str">
        <f>IFERROR(_xlfn.XLOOKUP(PA[[#This Row],[Affected Equipment ]],'Basic Data '!A:A,'Basic Data '!C:C),"")</f>
        <v/>
      </c>
      <c r="U119" s="59" t="s">
        <v>589</v>
      </c>
      <c r="V119" s="88"/>
      <c r="W119" s="114" t="s">
        <v>667</v>
      </c>
      <c r="X119" s="60">
        <v>0.53680555555555554</v>
      </c>
      <c r="Y119" s="60">
        <v>0.53819444444444442</v>
      </c>
      <c r="Z119" s="60">
        <v>0.54513888888888895</v>
      </c>
      <c r="AA119" s="60">
        <v>0.54722222222222217</v>
      </c>
      <c r="AB119" s="158">
        <f>IF(PA[[#This Row],[Acknowledgement Time ]]="NA","",(PA[[#This Row],[Acknowledgement Time ]]-PA[[#This Row],[Fault Time]])*24)</f>
        <v>3.3333333333333215E-2</v>
      </c>
      <c r="AC119" s="158">
        <f>IF(PA[[#This Row],[Work Start time on Fault]]="NA","",(PA[[#This Row],[Work Start time on Fault]]-PA[[#This Row],[Fault Time]])*24)</f>
        <v>0.20000000000000195</v>
      </c>
      <c r="AD119" s="112">
        <f>IF(PA[[#This Row],[Status]]="Open","",(PA[[#This Row],[Work Completion time on fault]]-PA[[#This Row],[Fault Time]])*24)</f>
        <v>0.24999999999999911</v>
      </c>
      <c r="AE119" s="111">
        <f>IFERROR((PA[[#This Row],[Work Completion time on fault]]-PA[[#This Row],[Fault Time]])*24,"")</f>
        <v>0.24999999999999911</v>
      </c>
      <c r="AF119" s="228" t="s">
        <v>668</v>
      </c>
      <c r="AG119" s="6" t="s">
        <v>1275</v>
      </c>
      <c r="AH119" s="131">
        <v>0</v>
      </c>
      <c r="AI119" s="59">
        <v>0.153</v>
      </c>
      <c r="AJ119" s="89">
        <f>IFERROR(IF(PA[[#This Row],[Lost PoA(kWh/m2)]]&gt;0,_xlfn.XLOOKUP(G119,'Modelling New'!$D:$D,'Modelling New'!$O:$O)*PA[[#This Row],[Lost PoA(kWh/m2)]]*S119,0),"")</f>
        <v>868.79542398907347</v>
      </c>
    </row>
    <row r="120" spans="1:36" hidden="1" x14ac:dyDescent="0.25">
      <c r="A120" s="229">
        <v>1808</v>
      </c>
      <c r="B120" s="262">
        <v>45785</v>
      </c>
      <c r="C120" s="59"/>
      <c r="D120" s="6">
        <f>YEAR(PA[[#This Row],[Date]])</f>
        <v>2025</v>
      </c>
      <c r="E120" s="129" t="s">
        <v>73</v>
      </c>
      <c r="F120" s="130" t="s">
        <v>73</v>
      </c>
      <c r="G120" s="301">
        <v>45778</v>
      </c>
      <c r="H120" s="56">
        <f>DAY(EOMONTH(PA[[#This Row],[Date]], 0))</f>
        <v>31</v>
      </c>
      <c r="I120" s="60">
        <v>0.2590277777777778</v>
      </c>
      <c r="J120" s="60">
        <v>0.77777777777777779</v>
      </c>
      <c r="K120" s="53">
        <f>IFERROR((PA[[#This Row],[Sunset Time (POA&lt;20 W/m2)]]-PA[[#This Row],[Sunrise Time (POA&gt;20 W/m2)]])*24,"")</f>
        <v>12.450000000000001</v>
      </c>
      <c r="L120" s="128" t="s">
        <v>559</v>
      </c>
      <c r="M120" s="128"/>
      <c r="N120" s="128"/>
      <c r="O120" s="128" t="s">
        <v>571</v>
      </c>
      <c r="P120" s="130"/>
      <c r="Q120" s="129"/>
      <c r="R12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v>
      </c>
      <c r="S120" s="131" t="s">
        <v>669</v>
      </c>
      <c r="T120" s="132">
        <f>IFERROR(_xlfn.XLOOKUP(PA[[#This Row],[Affected Equipment ]],'Basic Data '!A:A,'Basic Data '!C:C),"")</f>
        <v>3.3333333333333335E-3</v>
      </c>
      <c r="U120" s="128" t="s">
        <v>566</v>
      </c>
      <c r="V120" s="117"/>
      <c r="W120" s="118" t="s">
        <v>670</v>
      </c>
      <c r="X120" s="120" t="s">
        <v>671</v>
      </c>
      <c r="Y120" s="60" t="s">
        <v>671</v>
      </c>
      <c r="Z120" s="120" t="s">
        <v>672</v>
      </c>
      <c r="AA120" s="120" t="s">
        <v>673</v>
      </c>
      <c r="AB120" s="158">
        <f>IF(PA[[#This Row],[Acknowledgement Time ]]="NA","",(PA[[#This Row],[Acknowledgement Time ]]-PA[[#This Row],[Fault Time]])*24)</f>
        <v>0</v>
      </c>
      <c r="AC120" s="158">
        <f>IF(PA[[#This Row],[Work Start time on Fault]]="NA","",(PA[[#This Row],[Work Start time on Fault]]-PA[[#This Row],[Fault Time]])*24)</f>
        <v>0.99999999999999911</v>
      </c>
      <c r="AD120" s="112">
        <f>IF(PA[[#This Row],[Status]]="Open","",(PA[[#This Row],[Work Completion time on fault]]-PA[[#This Row],[Fault Time]])*24)</f>
        <v>1.2500000000000009</v>
      </c>
      <c r="AE120" s="111">
        <f>IFERROR((PA[[#This Row],[Work Completion time on fault]]-PA[[#This Row],[Fault Time]])*24,"")</f>
        <v>1.2500000000000009</v>
      </c>
      <c r="AF120" s="226" t="s">
        <v>674</v>
      </c>
      <c r="AG120" s="6" t="s">
        <v>1275</v>
      </c>
      <c r="AH120" s="53">
        <f>IFERROR(PA[[#This Row],[Breakdown Time]]*PA[[#This Row],[Plant Equivalent Weightage]],"")</f>
        <v>4.1666666666666701E-3</v>
      </c>
      <c r="AI120" s="59">
        <v>1.1000000000000001</v>
      </c>
      <c r="AJ120" s="89">
        <f>IFERROR(IF(PA[[#This Row],[Lost PoA(kWh/m2)]]&gt;0,_xlfn.XLOOKUP(G120,'Modelling New'!$D:$D,'Modelling New'!$O:$O)*PA[[#This Row],[Lost PoA(kWh/m2)]]*S120,0),"")</f>
        <v>206.1259731425057</v>
      </c>
    </row>
    <row r="121" spans="1:36" hidden="1" x14ac:dyDescent="0.25">
      <c r="A121" s="229">
        <v>1809</v>
      </c>
      <c r="B121" s="262">
        <v>45786</v>
      </c>
      <c r="C121" s="59"/>
      <c r="D121" s="6">
        <f>YEAR(PA[[#This Row],[Date]])</f>
        <v>2025</v>
      </c>
      <c r="E121" s="129" t="s">
        <v>73</v>
      </c>
      <c r="F121" s="130" t="s">
        <v>73</v>
      </c>
      <c r="G121" s="301">
        <v>45778</v>
      </c>
      <c r="H121" s="56">
        <f>DAY(EOMONTH(PA[[#This Row],[Date]], 0))</f>
        <v>31</v>
      </c>
      <c r="I121" s="60">
        <v>0.26041666666666669</v>
      </c>
      <c r="J121" s="60">
        <v>0.76666666666666661</v>
      </c>
      <c r="K121" s="53">
        <f>IFERROR((PA[[#This Row],[Sunset Time (POA&lt;20 W/m2)]]-PA[[#This Row],[Sunrise Time (POA&gt;20 W/m2)]])*24,"")</f>
        <v>12.149999999999997</v>
      </c>
      <c r="L121" s="59" t="s">
        <v>587</v>
      </c>
      <c r="M121" s="59"/>
      <c r="N121" s="59"/>
      <c r="O121" s="128" t="s">
        <v>634</v>
      </c>
      <c r="P121" s="56"/>
      <c r="Q121" s="6"/>
      <c r="R12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BLK1INV9</v>
      </c>
      <c r="S121" s="53">
        <v>22</v>
      </c>
      <c r="T121" s="132">
        <f>IFERROR(_xlfn.XLOOKUP(PA[[#This Row],[Affected Equipment ]],'Basic Data '!A:A,'Basic Data '!C:C),"")</f>
        <v>4.1666666666666666E-3</v>
      </c>
      <c r="U121" s="59" t="s">
        <v>592</v>
      </c>
      <c r="V121" s="88"/>
      <c r="W121" s="114" t="s">
        <v>656</v>
      </c>
      <c r="X121" s="60">
        <v>0.26041666666666669</v>
      </c>
      <c r="Y121" s="60">
        <v>0.5</v>
      </c>
      <c r="Z121" s="60">
        <v>0.50138888888888888</v>
      </c>
      <c r="AA121" s="60">
        <v>0.50624999999999998</v>
      </c>
      <c r="AB121" s="158">
        <f>IF(PA[[#This Row],[Acknowledgement Time ]]="NA","",(PA[[#This Row],[Acknowledgement Time ]]-PA[[#This Row],[Fault Time]])*24)</f>
        <v>5.75</v>
      </c>
      <c r="AC121" s="158">
        <f>IF(PA[[#This Row],[Work Start time on Fault]]="NA","",(PA[[#This Row],[Work Start time on Fault]]-PA[[#This Row],[Fault Time]])*24)</f>
        <v>5.7833333333333332</v>
      </c>
      <c r="AD121" s="112">
        <f>IF(PA[[#This Row],[Status]]="Open","",(PA[[#This Row],[Work Completion time on fault]]-PA[[#This Row],[Fault Time]])*24)</f>
        <v>5.8999999999999986</v>
      </c>
      <c r="AE121" s="111">
        <f>IFERROR((PA[[#This Row],[Work Completion time on fault]]-PA[[#This Row],[Fault Time]])*24,"")</f>
        <v>5.8999999999999986</v>
      </c>
      <c r="AF121" s="228" t="s">
        <v>655</v>
      </c>
      <c r="AG121" s="6" t="s">
        <v>1275</v>
      </c>
      <c r="AH121" s="53">
        <f>IFERROR(PA[[#This Row],[Breakdown Time]]*PA[[#This Row],[Plant Equivalent Weightage]],"")</f>
        <v>2.4583333333333329E-2</v>
      </c>
      <c r="AI121" s="59">
        <v>3.33</v>
      </c>
      <c r="AJ121" s="89">
        <f>IFERROR(IF(PA[[#This Row],[Lost PoA(kWh/m2)]]&gt;0,_xlfn.XLOOKUP(G121,'Modelling New'!$D:$D,'Modelling New'!$O:$O)*PA[[#This Row],[Lost PoA(kWh/m2)]]*S121,0),"")</f>
        <v>55.466625500165165</v>
      </c>
    </row>
    <row r="122" spans="1:36" hidden="1" x14ac:dyDescent="0.25">
      <c r="A122" s="229">
        <v>1810</v>
      </c>
      <c r="B122" s="262">
        <v>45786</v>
      </c>
      <c r="C122" s="59"/>
      <c r="D122" s="6">
        <f>YEAR(PA[[#This Row],[Date]])</f>
        <v>2025</v>
      </c>
      <c r="E122" s="129" t="s">
        <v>73</v>
      </c>
      <c r="F122" s="130" t="s">
        <v>73</v>
      </c>
      <c r="G122" s="301">
        <v>45778</v>
      </c>
      <c r="H122" s="56">
        <f>DAY(EOMONTH(PA[[#This Row],[Date]], 0))</f>
        <v>31</v>
      </c>
      <c r="I122" s="60">
        <v>0.26041666666666669</v>
      </c>
      <c r="J122" s="60">
        <v>0.76666666666666661</v>
      </c>
      <c r="K122" s="53">
        <f>IFERROR((PA[[#This Row],[Sunset Time (POA&lt;20 W/m2)]]-PA[[#This Row],[Sunrise Time (POA&gt;20 W/m2)]])*24,"")</f>
        <v>12.149999999999997</v>
      </c>
      <c r="L122" s="59" t="s">
        <v>587</v>
      </c>
      <c r="M122" s="59"/>
      <c r="N122" s="59"/>
      <c r="O122" s="128" t="s">
        <v>596</v>
      </c>
      <c r="P122" s="56"/>
      <c r="Q122" s="6"/>
      <c r="R12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BLK1INV13</v>
      </c>
      <c r="S122" s="53">
        <v>22</v>
      </c>
      <c r="T122" s="132">
        <f>IFERROR(_xlfn.XLOOKUP(PA[[#This Row],[Affected Equipment ]],'Basic Data '!A:A,'Basic Data '!C:C),"")</f>
        <v>4.0000000000000001E-3</v>
      </c>
      <c r="U122" s="59" t="s">
        <v>592</v>
      </c>
      <c r="V122" s="88"/>
      <c r="W122" s="114" t="s">
        <v>638</v>
      </c>
      <c r="X122" s="60">
        <v>0.26041666666666669</v>
      </c>
      <c r="Y122" s="60">
        <v>0.5</v>
      </c>
      <c r="Z122" s="60">
        <v>0.50972222222222219</v>
      </c>
      <c r="AA122" s="60">
        <v>0.51250000000000007</v>
      </c>
      <c r="AB122" s="158">
        <f>IF(PA[[#This Row],[Acknowledgement Time ]]="NA","",(PA[[#This Row],[Acknowledgement Time ]]-PA[[#This Row],[Fault Time]])*24)</f>
        <v>5.75</v>
      </c>
      <c r="AC122" s="158">
        <f>IF(PA[[#This Row],[Work Start time on Fault]]="NA","",(PA[[#This Row],[Work Start time on Fault]]-PA[[#This Row],[Fault Time]])*24)</f>
        <v>5.9833333333333325</v>
      </c>
      <c r="AD122" s="112">
        <f>IF(PA[[#This Row],[Status]]="Open","",(PA[[#This Row],[Work Completion time on fault]]-PA[[#This Row],[Fault Time]])*24)</f>
        <v>6.0500000000000007</v>
      </c>
      <c r="AE122" s="111">
        <f>IFERROR((PA[[#This Row],[Work Completion time on fault]]-PA[[#This Row],[Fault Time]])*24,"")</f>
        <v>6.0500000000000007</v>
      </c>
      <c r="AF122" s="228" t="s">
        <v>639</v>
      </c>
      <c r="AG122" s="6" t="s">
        <v>1275</v>
      </c>
      <c r="AH122" s="53">
        <f>IFERROR(PA[[#This Row],[Breakdown Time]]*PA[[#This Row],[Plant Equivalent Weightage]],"")</f>
        <v>2.4200000000000003E-2</v>
      </c>
      <c r="AI122" s="59">
        <v>3.36</v>
      </c>
      <c r="AJ122" s="89">
        <f>IFERROR(IF(PA[[#This Row],[Lost PoA(kWh/m2)]]&gt;0,_xlfn.XLOOKUP(G122,'Modelling New'!$D:$D,'Modelling New'!$O:$O)*PA[[#This Row],[Lost PoA(kWh/m2)]]*S122,0),"")</f>
        <v>55.966324828995475</v>
      </c>
    </row>
    <row r="123" spans="1:36" hidden="1" x14ac:dyDescent="0.25">
      <c r="A123" s="229">
        <v>1811</v>
      </c>
      <c r="B123" s="262">
        <v>45786</v>
      </c>
      <c r="C123" s="59"/>
      <c r="D123" s="6">
        <f>YEAR(PA[[#This Row],[Date]])</f>
        <v>2025</v>
      </c>
      <c r="E123" s="129" t="s">
        <v>73</v>
      </c>
      <c r="F123" s="130" t="s">
        <v>73</v>
      </c>
      <c r="G123" s="301">
        <v>45778</v>
      </c>
      <c r="H123" s="56">
        <f>DAY(EOMONTH(PA[[#This Row],[Date]], 0))</f>
        <v>31</v>
      </c>
      <c r="I123" s="60">
        <v>0.26041666666666669</v>
      </c>
      <c r="J123" s="60">
        <v>0.76666666666666661</v>
      </c>
      <c r="K123" s="53">
        <f>IFERROR((PA[[#This Row],[Sunset Time (POA&lt;20 W/m2)]]-PA[[#This Row],[Sunrise Time (POA&gt;20 W/m2)]])*24,"")</f>
        <v>12.149999999999997</v>
      </c>
      <c r="L123" s="59" t="s">
        <v>597</v>
      </c>
      <c r="M123" s="59"/>
      <c r="N123" s="59"/>
      <c r="O123" s="128" t="s">
        <v>594</v>
      </c>
      <c r="P123" s="56"/>
      <c r="Q123" s="6"/>
      <c r="R12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BLK3INV10</v>
      </c>
      <c r="S123" s="53">
        <v>12</v>
      </c>
      <c r="T123" s="132">
        <f>IFERROR(_xlfn.XLOOKUP(PA[[#This Row],[Affected Equipment ]],'Basic Data '!A:A,'Basic Data '!C:C),"")</f>
        <v>4.0000000000000001E-3</v>
      </c>
      <c r="U123" s="59" t="s">
        <v>592</v>
      </c>
      <c r="V123" s="88"/>
      <c r="W123" s="114" t="s">
        <v>656</v>
      </c>
      <c r="X123" s="60">
        <v>0.26041666666666669</v>
      </c>
      <c r="Y123" s="60">
        <v>0.50694444444444442</v>
      </c>
      <c r="Z123" s="60">
        <v>0.52083333333333337</v>
      </c>
      <c r="AA123" s="60">
        <v>0.52500000000000002</v>
      </c>
      <c r="AB123" s="158">
        <f>IF(PA[[#This Row],[Acknowledgement Time ]]="NA","",(PA[[#This Row],[Acknowledgement Time ]]-PA[[#This Row],[Fault Time]])*24)</f>
        <v>5.9166666666666661</v>
      </c>
      <c r="AC123" s="158">
        <f>IF(PA[[#This Row],[Work Start time on Fault]]="NA","",(PA[[#This Row],[Work Start time on Fault]]-PA[[#This Row],[Fault Time]])*24)</f>
        <v>6.25</v>
      </c>
      <c r="AD123" s="112">
        <f>IF(PA[[#This Row],[Status]]="Open","",(PA[[#This Row],[Work Completion time on fault]]-PA[[#This Row],[Fault Time]])*24)</f>
        <v>6.35</v>
      </c>
      <c r="AE123" s="111">
        <f>IFERROR((PA[[#This Row],[Work Completion time on fault]]-PA[[#This Row],[Fault Time]])*24,"")</f>
        <v>6.35</v>
      </c>
      <c r="AF123" s="228" t="s">
        <v>655</v>
      </c>
      <c r="AG123" s="6" t="s">
        <v>1275</v>
      </c>
      <c r="AH123" s="53">
        <f>IFERROR(PA[[#This Row],[Breakdown Time]]*PA[[#This Row],[Plant Equivalent Weightage]],"")</f>
        <v>2.5399999999999999E-2</v>
      </c>
      <c r="AI123" s="59">
        <v>3.4</v>
      </c>
      <c r="AJ123" s="89">
        <f>IFERROR(IF(PA[[#This Row],[Lost PoA(kWh/m2)]]&gt;0,_xlfn.XLOOKUP(G123,'Modelling New'!$D:$D,'Modelling New'!$O:$O)*PA[[#This Row],[Lost PoA(kWh/m2)]]*S123,0),"")</f>
        <v>30.890503964055945</v>
      </c>
    </row>
    <row r="124" spans="1:36" hidden="1" x14ac:dyDescent="0.25">
      <c r="A124" s="229">
        <v>1812</v>
      </c>
      <c r="B124" s="262">
        <v>45786</v>
      </c>
      <c r="C124" s="59"/>
      <c r="D124" s="6">
        <f>YEAR(PA[[#This Row],[Date]])</f>
        <v>2025</v>
      </c>
      <c r="E124" s="129" t="s">
        <v>73</v>
      </c>
      <c r="F124" s="130" t="s">
        <v>73</v>
      </c>
      <c r="G124" s="301">
        <v>45778</v>
      </c>
      <c r="H124" s="56">
        <f>DAY(EOMONTH(PA[[#This Row],[Date]], 0))</f>
        <v>31</v>
      </c>
      <c r="I124" s="60">
        <v>0.26041666666666669</v>
      </c>
      <c r="J124" s="60">
        <v>0.76666666666666661</v>
      </c>
      <c r="K124" s="53">
        <f>IFERROR((PA[[#This Row],[Sunset Time (POA&lt;20 W/m2)]]-PA[[#This Row],[Sunrise Time (POA&gt;20 W/m2)]])*24,"")</f>
        <v>12.149999999999997</v>
      </c>
      <c r="L124" s="59" t="s">
        <v>587</v>
      </c>
      <c r="M124" s="59" t="s">
        <v>560</v>
      </c>
      <c r="N124" s="59"/>
      <c r="O124" s="59"/>
      <c r="P124" s="56"/>
      <c r="Q124" s="6"/>
      <c r="R12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BLK1LT2</v>
      </c>
      <c r="S124" s="53">
        <v>4605.75</v>
      </c>
      <c r="T124" s="132">
        <f>IFERROR(_xlfn.XLOOKUP(PA[[#This Row],[Affected Equipment ]],'Basic Data '!A:A,'Basic Data '!C:C),"")</f>
        <v>6.9000000000000006E-2</v>
      </c>
      <c r="U124" s="59" t="s">
        <v>573</v>
      </c>
      <c r="V124" s="88"/>
      <c r="W124" s="114" t="s">
        <v>667</v>
      </c>
      <c r="X124" s="60">
        <v>0.46319444444444446</v>
      </c>
      <c r="Y124" s="60">
        <v>0.46319444444444446</v>
      </c>
      <c r="Z124" s="60">
        <v>0.4680555555555555</v>
      </c>
      <c r="AA124" s="60">
        <v>0.47083333333333338</v>
      </c>
      <c r="AB124" s="158">
        <f>IF(PA[[#This Row],[Acknowledgement Time ]]="NA","",(PA[[#This Row],[Acknowledgement Time ]]-PA[[#This Row],[Fault Time]])*24)</f>
        <v>0</v>
      </c>
      <c r="AC124" s="158">
        <f>IF(PA[[#This Row],[Work Start time on Fault]]="NA","",(PA[[#This Row],[Work Start time on Fault]]-PA[[#This Row],[Fault Time]])*24)</f>
        <v>0.11666666666666492</v>
      </c>
      <c r="AD124" s="112">
        <f>IF(PA[[#This Row],[Status]]="Open","",(PA[[#This Row],[Work Completion time on fault]]-PA[[#This Row],[Fault Time]])*24)</f>
        <v>0.18333333333333401</v>
      </c>
      <c r="AE124" s="111">
        <f>IFERROR((PA[[#This Row],[Work Completion time on fault]]-PA[[#This Row],[Fault Time]])*24,"")</f>
        <v>0.18333333333333401</v>
      </c>
      <c r="AF124" s="228" t="s">
        <v>675</v>
      </c>
      <c r="AG124" s="6" t="s">
        <v>1275</v>
      </c>
      <c r="AH124" s="53">
        <f>IFERROR(PA[[#This Row],[Breakdown Time]]*PA[[#This Row],[Plant Equivalent Weightage]],"")</f>
        <v>1.2650000000000048E-2</v>
      </c>
      <c r="AI124" s="59">
        <v>0.18</v>
      </c>
      <c r="AJ124" s="89">
        <f>IFERROR(IF(PA[[#This Row],[Lost PoA(kWh/m2)]]&gt;0,_xlfn.XLOOKUP(G124,'Modelling New'!$D:$D,'Modelling New'!$O:$O)*PA[[#This Row],[Lost PoA(kWh/m2)]]*S124,0),"")</f>
        <v>627.67914102551765</v>
      </c>
    </row>
    <row r="125" spans="1:36" hidden="1" x14ac:dyDescent="0.25">
      <c r="A125" s="57">
        <v>1813</v>
      </c>
      <c r="B125" s="262">
        <v>45786</v>
      </c>
      <c r="C125" s="59"/>
      <c r="D125" s="6">
        <f>YEAR(PA[[#This Row],[Date]])</f>
        <v>2025</v>
      </c>
      <c r="E125" s="129" t="s">
        <v>73</v>
      </c>
      <c r="F125" s="130" t="s">
        <v>73</v>
      </c>
      <c r="G125" s="301">
        <v>45778</v>
      </c>
      <c r="H125" s="56">
        <f>DAY(EOMONTH(PA[[#This Row],[Date]], 0))</f>
        <v>31</v>
      </c>
      <c r="I125" s="60">
        <v>0.26041666666666669</v>
      </c>
      <c r="J125" s="60">
        <v>0.76666666666666661</v>
      </c>
      <c r="K125" s="53">
        <f>IFERROR((PA[[#This Row],[Sunset Time (POA&lt;20 W/m2)]]-PA[[#This Row],[Sunrise Time (POA&gt;20 W/m2)]])*24,"")</f>
        <v>12.149999999999997</v>
      </c>
      <c r="L125" s="59" t="s">
        <v>579</v>
      </c>
      <c r="M125" s="59" t="s">
        <v>588</v>
      </c>
      <c r="N125" s="59"/>
      <c r="O125" s="59"/>
      <c r="P125" s="56"/>
      <c r="Q125" s="6"/>
      <c r="R12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BLK8LT1</v>
      </c>
      <c r="S125" s="53">
        <v>4008.13</v>
      </c>
      <c r="T125" s="132">
        <f>IFERROR(_xlfn.XLOOKUP(PA[[#This Row],[Affected Equipment ]],'Basic Data '!A:A,'Basic Data '!C:C),"")</f>
        <v>5.9138576779026217E-2</v>
      </c>
      <c r="U125" s="59" t="s">
        <v>573</v>
      </c>
      <c r="V125" s="88"/>
      <c r="W125" s="114" t="s">
        <v>667</v>
      </c>
      <c r="X125" s="60">
        <v>0.47986111111111113</v>
      </c>
      <c r="Y125" s="60">
        <v>0.47986111111111113</v>
      </c>
      <c r="Z125" s="60">
        <v>0.48472222222222222</v>
      </c>
      <c r="AA125" s="60">
        <v>0.48749999999999999</v>
      </c>
      <c r="AB125" s="158">
        <f>IF(PA[[#This Row],[Acknowledgement Time ]]="NA","",(PA[[#This Row],[Acknowledgement Time ]]-PA[[#This Row],[Fault Time]])*24)</f>
        <v>0</v>
      </c>
      <c r="AC125" s="158">
        <f>IF(PA[[#This Row],[Work Start time on Fault]]="NA","",(PA[[#This Row],[Work Start time on Fault]]-PA[[#This Row],[Fault Time]])*24)</f>
        <v>0.11666666666666625</v>
      </c>
      <c r="AD125" s="112">
        <f>IF(PA[[#This Row],[Status]]="Open","",(PA[[#This Row],[Work Completion time on fault]]-PA[[#This Row],[Fault Time]])*24)</f>
        <v>0.18333333333333268</v>
      </c>
      <c r="AE125" s="111">
        <f>IFERROR((PA[[#This Row],[Work Completion time on fault]]-PA[[#This Row],[Fault Time]])*24,"")</f>
        <v>0.18333333333333268</v>
      </c>
      <c r="AF125" s="228" t="s">
        <v>675</v>
      </c>
      <c r="AG125" s="6" t="s">
        <v>1275</v>
      </c>
      <c r="AH125" s="53">
        <f>IFERROR(PA[[#This Row],[Breakdown Time]]*PA[[#This Row],[Plant Equivalent Weightage]],"")</f>
        <v>1.0842072409488101E-2</v>
      </c>
      <c r="AI125" s="59">
        <v>0.19600000000000001</v>
      </c>
      <c r="AJ125" s="89">
        <f>IFERROR(IF(PA[[#This Row],[Lost PoA(kWh/m2)]]&gt;0,_xlfn.XLOOKUP(G125,'Modelling New'!$D:$D,'Modelling New'!$O:$O)*PA[[#This Row],[Lost PoA(kWh/m2)]]*S125,0),"")</f>
        <v>594.78868892344371</v>
      </c>
    </row>
    <row r="126" spans="1:36" hidden="1" x14ac:dyDescent="0.25">
      <c r="A126" s="57">
        <v>1814</v>
      </c>
      <c r="B126" s="262">
        <v>45787</v>
      </c>
      <c r="C126" s="59"/>
      <c r="D126" s="6">
        <f>YEAR(PA[[#This Row],[Date]])</f>
        <v>2025</v>
      </c>
      <c r="E126" s="129" t="s">
        <v>73</v>
      </c>
      <c r="F126" s="130" t="s">
        <v>73</v>
      </c>
      <c r="G126" s="301">
        <v>45778</v>
      </c>
      <c r="H126" s="56">
        <f>DAY(EOMONTH(PA[[#This Row],[Date]], 0))</f>
        <v>31</v>
      </c>
      <c r="I126" s="60">
        <v>0.25347222222222221</v>
      </c>
      <c r="J126" s="60">
        <v>0.75694444444444453</v>
      </c>
      <c r="K126" s="53">
        <f>IFERROR((PA[[#This Row],[Sunset Time (POA&lt;20 W/m2)]]-PA[[#This Row],[Sunrise Time (POA&gt;20 W/m2)]])*24,"")</f>
        <v>12.083333333333336</v>
      </c>
      <c r="L126" s="59" t="s">
        <v>579</v>
      </c>
      <c r="M126" s="59" t="s">
        <v>588</v>
      </c>
      <c r="N126" s="59"/>
      <c r="O126" s="59"/>
      <c r="P126" s="56"/>
      <c r="Q126" s="6"/>
      <c r="R12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BLK8LT1</v>
      </c>
      <c r="S126" s="53">
        <v>4008.13</v>
      </c>
      <c r="T126" s="132">
        <f>IFERROR(_xlfn.XLOOKUP(PA[[#This Row],[Affected Equipment ]],'Basic Data '!A:A,'Basic Data '!C:C),"")</f>
        <v>5.9138576779026217E-2</v>
      </c>
      <c r="U126" s="59" t="s">
        <v>573</v>
      </c>
      <c r="V126" s="88"/>
      <c r="W126" s="114" t="s">
        <v>667</v>
      </c>
      <c r="X126" s="60">
        <v>0.51180555555555551</v>
      </c>
      <c r="Y126" s="60">
        <v>0.51180555555555551</v>
      </c>
      <c r="Z126" s="60">
        <v>0.51527777777777783</v>
      </c>
      <c r="AA126" s="60">
        <v>0.51736111111111105</v>
      </c>
      <c r="AB126" s="158">
        <f>IF(PA[[#This Row],[Acknowledgement Time ]]="NA","",(PA[[#This Row],[Acknowledgement Time ]]-PA[[#This Row],[Fault Time]])*24)</f>
        <v>0</v>
      </c>
      <c r="AC126" s="158">
        <f>IF(PA[[#This Row],[Work Start time on Fault]]="NA","",(PA[[#This Row],[Work Start time on Fault]]-PA[[#This Row],[Fault Time]])*24)</f>
        <v>8.3333333333335702E-2</v>
      </c>
      <c r="AD126" s="112">
        <f>IF(PA[[#This Row],[Status]]="Open","",(PA[[#This Row],[Work Completion time on fault]]-PA[[#This Row],[Fault Time]])*24)</f>
        <v>0.13333333333333286</v>
      </c>
      <c r="AE126" s="111">
        <f>IFERROR((PA[[#This Row],[Work Completion time on fault]]-PA[[#This Row],[Fault Time]])*24,"")</f>
        <v>0.13333333333333286</v>
      </c>
      <c r="AF126" s="228" t="s">
        <v>675</v>
      </c>
      <c r="AG126" s="6" t="s">
        <v>1275</v>
      </c>
      <c r="AH126" s="53">
        <f>IFERROR(PA[[#This Row],[Breakdown Time]]*PA[[#This Row],[Plant Equivalent Weightage]],"")</f>
        <v>7.8851435705368008E-3</v>
      </c>
      <c r="AI126" s="59">
        <v>0.16</v>
      </c>
      <c r="AJ126" s="89">
        <f>IFERROR(IF(PA[[#This Row],[Lost PoA(kWh/m2)]]&gt;0,_xlfn.XLOOKUP(G126,'Modelling New'!$D:$D,'Modelling New'!$O:$O)*PA[[#This Row],[Lost PoA(kWh/m2)]]*S126,0),"")</f>
        <v>485.5417868762807</v>
      </c>
    </row>
    <row r="127" spans="1:36" ht="30" hidden="1" x14ac:dyDescent="0.25">
      <c r="A127" s="57">
        <v>1815</v>
      </c>
      <c r="B127" s="262">
        <v>45787</v>
      </c>
      <c r="C127" s="59"/>
      <c r="D127" s="6">
        <f>YEAR(PA[[#This Row],[Date]])</f>
        <v>2025</v>
      </c>
      <c r="E127" s="129" t="s">
        <v>73</v>
      </c>
      <c r="F127" s="130" t="s">
        <v>73</v>
      </c>
      <c r="G127" s="301">
        <v>45778</v>
      </c>
      <c r="H127" s="56">
        <f>DAY(EOMONTH(PA[[#This Row],[Date]], 0))</f>
        <v>31</v>
      </c>
      <c r="I127" s="60">
        <v>0.25347222222222221</v>
      </c>
      <c r="J127" s="60">
        <v>0.75694444444444453</v>
      </c>
      <c r="K127" s="53">
        <f>IFERROR((PA[[#This Row],[Sunset Time (POA&lt;20 W/m2)]]-PA[[#This Row],[Sunrise Time (POA&gt;20 W/m2)]])*24,"")</f>
        <v>12.083333333333336</v>
      </c>
      <c r="L127" s="59" t="s">
        <v>615</v>
      </c>
      <c r="M127" s="59"/>
      <c r="N127" s="59"/>
      <c r="O127" s="128" t="s">
        <v>594</v>
      </c>
      <c r="P127" s="56"/>
      <c r="Q127" s="6"/>
      <c r="R12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127" s="53">
        <v>22</v>
      </c>
      <c r="T127" s="132">
        <f>IFERROR(_xlfn.XLOOKUP(PA[[#This Row],[Affected Equipment ]],'Basic Data '!A:A,'Basic Data '!C:C),"")</f>
        <v>3.9550561797752808E-3</v>
      </c>
      <c r="U127" s="59" t="s">
        <v>592</v>
      </c>
      <c r="V127" s="88"/>
      <c r="W127" s="114" t="s">
        <v>656</v>
      </c>
      <c r="X127" s="60">
        <v>0.25347222222222221</v>
      </c>
      <c r="Y127" s="60">
        <v>0.25347222222222221</v>
      </c>
      <c r="Z127" s="60">
        <v>0.64236111111111105</v>
      </c>
      <c r="AA127" s="60">
        <v>0.64583333333333337</v>
      </c>
      <c r="AB127" s="158">
        <f>IF(PA[[#This Row],[Acknowledgement Time ]]="NA","",(PA[[#This Row],[Acknowledgement Time ]]-PA[[#This Row],[Fault Time]])*24)</f>
        <v>0</v>
      </c>
      <c r="AC127" s="158">
        <f>IF(PA[[#This Row],[Work Start time on Fault]]="NA","",(PA[[#This Row],[Work Start time on Fault]]-PA[[#This Row],[Fault Time]])*24)</f>
        <v>9.3333333333333321</v>
      </c>
      <c r="AD127" s="112">
        <f>IF(PA[[#This Row],[Status]]="Open","",(PA[[#This Row],[Work Completion time on fault]]-PA[[#This Row],[Fault Time]])*24)</f>
        <v>9.4166666666666679</v>
      </c>
      <c r="AE127" s="111">
        <f>IFERROR((PA[[#This Row],[Work Completion time on fault]]-PA[[#This Row],[Fault Time]])*24,"")</f>
        <v>9.4166666666666679</v>
      </c>
      <c r="AF127" s="261" t="s">
        <v>676</v>
      </c>
      <c r="AG127" s="6" t="s">
        <v>1275</v>
      </c>
      <c r="AH127" s="53">
        <f>IFERROR(PA[[#This Row],[Breakdown Time]]*PA[[#This Row],[Plant Equivalent Weightage]],"")</f>
        <v>3.7243445692883896E-2</v>
      </c>
      <c r="AI127" s="59">
        <v>4.17</v>
      </c>
      <c r="AJ127" s="89">
        <f>IFERROR(IF(PA[[#This Row],[Lost PoA(kWh/m2)]]&gt;0,_xlfn.XLOOKUP(G127,'Modelling New'!$D:$D,'Modelling New'!$O:$O)*PA[[#This Row],[Lost PoA(kWh/m2)]]*S127,0),"")</f>
        <v>69.458206707414021</v>
      </c>
    </row>
    <row r="128" spans="1:36" ht="30" hidden="1" x14ac:dyDescent="0.25">
      <c r="A128" s="57">
        <v>1816</v>
      </c>
      <c r="B128" s="262">
        <v>45787</v>
      </c>
      <c r="C128" s="59"/>
      <c r="D128" s="6">
        <f>YEAR(PA[[#This Row],[Date]])</f>
        <v>2025</v>
      </c>
      <c r="E128" s="129" t="s">
        <v>73</v>
      </c>
      <c r="F128" s="130" t="s">
        <v>73</v>
      </c>
      <c r="G128" s="301">
        <v>45778</v>
      </c>
      <c r="H128" s="56">
        <f>DAY(EOMONTH(PA[[#This Row],[Date]], 0))</f>
        <v>31</v>
      </c>
      <c r="I128" s="60">
        <v>0.25347222222222221</v>
      </c>
      <c r="J128" s="60">
        <v>0.75694444444444453</v>
      </c>
      <c r="K128" s="53">
        <f>IFERROR((PA[[#This Row],[Sunset Time (POA&lt;20 W/m2)]]-PA[[#This Row],[Sunrise Time (POA&gt;20 W/m2)]])*24,"")</f>
        <v>12.083333333333336</v>
      </c>
      <c r="L128" s="59" t="s">
        <v>615</v>
      </c>
      <c r="M128" s="59"/>
      <c r="N128" s="59"/>
      <c r="O128" s="128" t="s">
        <v>594</v>
      </c>
      <c r="P128" s="56"/>
      <c r="Q128" s="6"/>
      <c r="R12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128" s="53">
        <v>22</v>
      </c>
      <c r="T128" s="132">
        <f>IFERROR(_xlfn.XLOOKUP(PA[[#This Row],[Affected Equipment ]],'Basic Data '!A:A,'Basic Data '!C:C),"")</f>
        <v>3.9550561797752808E-3</v>
      </c>
      <c r="U128" s="59" t="s">
        <v>592</v>
      </c>
      <c r="V128" s="88"/>
      <c r="W128" s="114" t="s">
        <v>656</v>
      </c>
      <c r="X128" s="60">
        <v>0.25347222222222221</v>
      </c>
      <c r="Y128" s="60">
        <v>0.25347222222222221</v>
      </c>
      <c r="Z128" s="60">
        <v>0.64930555555555558</v>
      </c>
      <c r="AA128" s="60">
        <v>0.65277777777777779</v>
      </c>
      <c r="AB128" s="158">
        <f>IF(PA[[#This Row],[Acknowledgement Time ]]="NA","",(PA[[#This Row],[Acknowledgement Time ]]-PA[[#This Row],[Fault Time]])*24)</f>
        <v>0</v>
      </c>
      <c r="AC128" s="158">
        <f>IF(PA[[#This Row],[Work Start time on Fault]]="NA","",(PA[[#This Row],[Work Start time on Fault]]-PA[[#This Row],[Fault Time]])*24)</f>
        <v>9.5</v>
      </c>
      <c r="AD128" s="112">
        <f>IF(PA[[#This Row],[Status]]="Open","",(PA[[#This Row],[Work Completion time on fault]]-PA[[#This Row],[Fault Time]])*24)</f>
        <v>9.5833333333333339</v>
      </c>
      <c r="AE128" s="111">
        <f>IFERROR((PA[[#This Row],[Work Completion time on fault]]-PA[[#This Row],[Fault Time]])*24,"")</f>
        <v>9.5833333333333339</v>
      </c>
      <c r="AF128" s="261" t="s">
        <v>676</v>
      </c>
      <c r="AG128" s="6" t="s">
        <v>1275</v>
      </c>
      <c r="AH128" s="53">
        <f>IFERROR(PA[[#This Row],[Breakdown Time]]*PA[[#This Row],[Plant Equivalent Weightage]],"")</f>
        <v>3.790262172284644E-2</v>
      </c>
      <c r="AI128" s="59">
        <v>4.2</v>
      </c>
      <c r="AJ128" s="89">
        <f>IFERROR(IF(PA[[#This Row],[Lost PoA(kWh/m2)]]&gt;0,_xlfn.XLOOKUP(G128,'Modelling New'!$D:$D,'Modelling New'!$O:$O)*PA[[#This Row],[Lost PoA(kWh/m2)]]*S128,0),"")</f>
        <v>69.957906036244353</v>
      </c>
    </row>
    <row r="129" spans="1:36" ht="30" hidden="1" x14ac:dyDescent="0.25">
      <c r="A129" s="57">
        <v>1817</v>
      </c>
      <c r="B129" s="262">
        <v>45787</v>
      </c>
      <c r="C129" s="59"/>
      <c r="D129" s="6">
        <f>YEAR(PA[[#This Row],[Date]])</f>
        <v>2025</v>
      </c>
      <c r="E129" s="129" t="s">
        <v>73</v>
      </c>
      <c r="F129" s="130" t="s">
        <v>73</v>
      </c>
      <c r="G129" s="301">
        <v>45778</v>
      </c>
      <c r="H129" s="56">
        <f>DAY(EOMONTH(PA[[#This Row],[Date]], 0))</f>
        <v>31</v>
      </c>
      <c r="I129" s="60">
        <v>0.25347222222222221</v>
      </c>
      <c r="J129" s="60">
        <v>0.75694444444444453</v>
      </c>
      <c r="K129" s="53">
        <f>IFERROR((PA[[#This Row],[Sunset Time (POA&lt;20 W/m2)]]-PA[[#This Row],[Sunrise Time (POA&gt;20 W/m2)]])*24,"")</f>
        <v>12.083333333333336</v>
      </c>
      <c r="L129" s="59" t="s">
        <v>615</v>
      </c>
      <c r="M129" s="59"/>
      <c r="N129" s="59"/>
      <c r="O129" s="128" t="s">
        <v>594</v>
      </c>
      <c r="P129" s="56"/>
      <c r="Q129" s="6"/>
      <c r="R12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129" s="53">
        <v>22</v>
      </c>
      <c r="T129" s="132">
        <f>IFERROR(_xlfn.XLOOKUP(PA[[#This Row],[Affected Equipment ]],'Basic Data '!A:A,'Basic Data '!C:C),"")</f>
        <v>3.9550561797752808E-3</v>
      </c>
      <c r="U129" s="59" t="s">
        <v>592</v>
      </c>
      <c r="V129" s="88"/>
      <c r="W129" s="114" t="s">
        <v>656</v>
      </c>
      <c r="X129" s="60">
        <v>0.25347222222222221</v>
      </c>
      <c r="Y129" s="60">
        <v>0.25347222222222221</v>
      </c>
      <c r="Z129" s="60">
        <v>0.66111111111111109</v>
      </c>
      <c r="AA129" s="60">
        <v>0.66388888888888886</v>
      </c>
      <c r="AB129" s="158">
        <f>IF(PA[[#This Row],[Acknowledgement Time ]]="NA","",(PA[[#This Row],[Acknowledgement Time ]]-PA[[#This Row],[Fault Time]])*24)</f>
        <v>0</v>
      </c>
      <c r="AC129" s="158">
        <f>IF(PA[[#This Row],[Work Start time on Fault]]="NA","",(PA[[#This Row],[Work Start time on Fault]]-PA[[#This Row],[Fault Time]])*24)</f>
        <v>9.7833333333333332</v>
      </c>
      <c r="AD129" s="112">
        <f>IF(PA[[#This Row],[Status]]="Open","",(PA[[#This Row],[Work Completion time on fault]]-PA[[#This Row],[Fault Time]])*24)</f>
        <v>9.85</v>
      </c>
      <c r="AE129" s="111">
        <f>IFERROR((PA[[#This Row],[Work Completion time on fault]]-PA[[#This Row],[Fault Time]])*24,"")</f>
        <v>9.85</v>
      </c>
      <c r="AF129" s="261" t="s">
        <v>676</v>
      </c>
      <c r="AG129" s="6" t="s">
        <v>1275</v>
      </c>
      <c r="AH129" s="53">
        <f>IFERROR(PA[[#This Row],[Breakdown Time]]*PA[[#This Row],[Plant Equivalent Weightage]],"")</f>
        <v>3.8957303370786511E-2</v>
      </c>
      <c r="AI129" s="59">
        <v>4.12</v>
      </c>
      <c r="AJ129" s="89">
        <f>IFERROR(IF(PA[[#This Row],[Lost PoA(kWh/m2)]]&gt;0,_xlfn.XLOOKUP(G129,'Modelling New'!$D:$D,'Modelling New'!$O:$O)*PA[[#This Row],[Lost PoA(kWh/m2)]]*S129,0),"")</f>
        <v>68.625374492696835</v>
      </c>
    </row>
    <row r="130" spans="1:36" ht="30" hidden="1" x14ac:dyDescent="0.25">
      <c r="A130" s="57">
        <v>1818</v>
      </c>
      <c r="B130" s="262">
        <v>45787</v>
      </c>
      <c r="C130" s="59"/>
      <c r="D130" s="6">
        <f>YEAR(PA[[#This Row],[Date]])</f>
        <v>2025</v>
      </c>
      <c r="E130" s="129" t="s">
        <v>73</v>
      </c>
      <c r="F130" s="130" t="s">
        <v>73</v>
      </c>
      <c r="G130" s="301">
        <v>45778</v>
      </c>
      <c r="H130" s="56">
        <f>DAY(EOMONTH(PA[[#This Row],[Date]], 0))</f>
        <v>31</v>
      </c>
      <c r="I130" s="60">
        <v>0.25347222222222221</v>
      </c>
      <c r="J130" s="60">
        <v>0.75694444444444453</v>
      </c>
      <c r="K130" s="53">
        <f>IFERROR((PA[[#This Row],[Sunset Time (POA&lt;20 W/m2)]]-PA[[#This Row],[Sunrise Time (POA&gt;20 W/m2)]])*24,"")</f>
        <v>12.083333333333336</v>
      </c>
      <c r="L130" s="59" t="s">
        <v>615</v>
      </c>
      <c r="M130" s="59"/>
      <c r="N130" s="59"/>
      <c r="O130" s="128" t="s">
        <v>594</v>
      </c>
      <c r="P130" s="56"/>
      <c r="Q130" s="6"/>
      <c r="R13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130" s="53">
        <v>22</v>
      </c>
      <c r="T130" s="132">
        <f>IFERROR(_xlfn.XLOOKUP(PA[[#This Row],[Affected Equipment ]],'Basic Data '!A:A,'Basic Data '!C:C),"")</f>
        <v>3.9550561797752808E-3</v>
      </c>
      <c r="U130" s="59" t="s">
        <v>592</v>
      </c>
      <c r="V130" s="88"/>
      <c r="W130" s="114" t="s">
        <v>656</v>
      </c>
      <c r="X130" s="60">
        <v>0.25347222222222221</v>
      </c>
      <c r="Y130" s="60">
        <v>0.25347222222222221</v>
      </c>
      <c r="Z130" s="60">
        <v>0.66666666666666663</v>
      </c>
      <c r="AA130" s="60">
        <v>0.67361111111111116</v>
      </c>
      <c r="AB130" s="158">
        <f>IF(PA[[#This Row],[Acknowledgement Time ]]="NA","",(PA[[#This Row],[Acknowledgement Time ]]-PA[[#This Row],[Fault Time]])*24)</f>
        <v>0</v>
      </c>
      <c r="AC130" s="158">
        <f>IF(PA[[#This Row],[Work Start time on Fault]]="NA","",(PA[[#This Row],[Work Start time on Fault]]-PA[[#This Row],[Fault Time]])*24)</f>
        <v>9.9166666666666661</v>
      </c>
      <c r="AD130" s="112">
        <f>IF(PA[[#This Row],[Status]]="Open","",(PA[[#This Row],[Work Completion time on fault]]-PA[[#This Row],[Fault Time]])*24)</f>
        <v>10.083333333333336</v>
      </c>
      <c r="AE130" s="111">
        <f>IFERROR((PA[[#This Row],[Work Completion time on fault]]-PA[[#This Row],[Fault Time]])*24,"")</f>
        <v>10.083333333333336</v>
      </c>
      <c r="AF130" s="261" t="s">
        <v>676</v>
      </c>
      <c r="AG130" s="6" t="s">
        <v>1275</v>
      </c>
      <c r="AH130" s="53">
        <f>IFERROR(PA[[#This Row],[Breakdown Time]]*PA[[#This Row],[Plant Equivalent Weightage]],"")</f>
        <v>3.9880149812734092E-2</v>
      </c>
      <c r="AI130" s="59">
        <v>4.66</v>
      </c>
      <c r="AJ130" s="89">
        <f>IFERROR(IF(PA[[#This Row],[Lost PoA(kWh/m2)]]&gt;0,_xlfn.XLOOKUP(G130,'Modelling New'!$D:$D,'Modelling New'!$O:$O)*PA[[#This Row],[Lost PoA(kWh/m2)]]*S130,0),"")</f>
        <v>77.619962411642547</v>
      </c>
    </row>
    <row r="131" spans="1:36" ht="30" hidden="1" x14ac:dyDescent="0.25">
      <c r="A131" s="57">
        <v>1819</v>
      </c>
      <c r="B131" s="262">
        <v>45787</v>
      </c>
      <c r="C131" s="59"/>
      <c r="D131" s="6">
        <f>YEAR(PA[[#This Row],[Date]])</f>
        <v>2025</v>
      </c>
      <c r="E131" s="129" t="s">
        <v>73</v>
      </c>
      <c r="F131" s="130" t="s">
        <v>73</v>
      </c>
      <c r="G131" s="301">
        <v>45778</v>
      </c>
      <c r="H131" s="56">
        <f>DAY(EOMONTH(PA[[#This Row],[Date]], 0))</f>
        <v>31</v>
      </c>
      <c r="I131" s="60">
        <v>0.25347222222222221</v>
      </c>
      <c r="J131" s="60">
        <v>0.75694444444444453</v>
      </c>
      <c r="K131" s="53">
        <f>IFERROR((PA[[#This Row],[Sunset Time (POA&lt;20 W/m2)]]-PA[[#This Row],[Sunrise Time (POA&gt;20 W/m2)]])*24,"")</f>
        <v>12.083333333333336</v>
      </c>
      <c r="L131" s="59" t="s">
        <v>615</v>
      </c>
      <c r="M131" s="59"/>
      <c r="N131" s="59"/>
      <c r="O131" s="128" t="s">
        <v>617</v>
      </c>
      <c r="P131" s="56"/>
      <c r="Q131" s="6"/>
      <c r="R13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BLK6INV8</v>
      </c>
      <c r="S131" s="53">
        <v>22</v>
      </c>
      <c r="T131" s="90">
        <f>IFERROR(_xlfn.XLOOKUP(PA[[#This Row],[Affected Equipment ]],'Basic Data '!A:A,'Basic Data '!C:C),"")</f>
        <v>4.4494382022471912E-3</v>
      </c>
      <c r="U131" s="59" t="s">
        <v>592</v>
      </c>
      <c r="V131" s="88"/>
      <c r="W131" s="114" t="s">
        <v>656</v>
      </c>
      <c r="X131" s="60">
        <v>0.25347222222222221</v>
      </c>
      <c r="Y131" s="60">
        <v>0.25347222222222221</v>
      </c>
      <c r="Z131" s="60">
        <v>0.67013888888888884</v>
      </c>
      <c r="AA131" s="60">
        <v>0.67569444444444438</v>
      </c>
      <c r="AB131" s="158">
        <f>IF(PA[[#This Row],[Acknowledgement Time ]]="NA","",(PA[[#This Row],[Acknowledgement Time ]]-PA[[#This Row],[Fault Time]])*24)</f>
        <v>0</v>
      </c>
      <c r="AC131" s="158">
        <f>IF(PA[[#This Row],[Work Start time on Fault]]="NA","",(PA[[#This Row],[Work Start time on Fault]]-PA[[#This Row],[Fault Time]])*24)</f>
        <v>10</v>
      </c>
      <c r="AD131" s="112">
        <f>IF(PA[[#This Row],[Status]]="Open","",(PA[[#This Row],[Work Completion time on fault]]-PA[[#This Row],[Fault Time]])*24)</f>
        <v>10.133333333333333</v>
      </c>
      <c r="AE131" s="111">
        <f>IFERROR((PA[[#This Row],[Work Completion time on fault]]-PA[[#This Row],[Fault Time]])*24,"")</f>
        <v>10.133333333333333</v>
      </c>
      <c r="AF131" s="261" t="s">
        <v>676</v>
      </c>
      <c r="AG131" s="6" t="s">
        <v>1275</v>
      </c>
      <c r="AH131" s="53">
        <v>0</v>
      </c>
      <c r="AI131" s="59">
        <v>4.7300000000000004</v>
      </c>
      <c r="AJ131" s="89">
        <f>IFERROR(IF(PA[[#This Row],[Lost PoA(kWh/m2)]]&gt;0,_xlfn.XLOOKUP(G131,'Modelling New'!$D:$D,'Modelling New'!$O:$O)*PA[[#This Row],[Lost PoA(kWh/m2)]]*S131,0),"")</f>
        <v>78.785927512246616</v>
      </c>
    </row>
    <row r="132" spans="1:36" hidden="1" x14ac:dyDescent="0.25">
      <c r="A132" s="57">
        <v>1820</v>
      </c>
      <c r="B132" s="262">
        <v>45787</v>
      </c>
      <c r="C132" s="59"/>
      <c r="D132" s="6">
        <f>YEAR(PA[[#This Row],[Date]])</f>
        <v>2025</v>
      </c>
      <c r="E132" s="129" t="s">
        <v>73</v>
      </c>
      <c r="F132" s="130" t="s">
        <v>73</v>
      </c>
      <c r="G132" s="301">
        <v>45778</v>
      </c>
      <c r="H132" s="56">
        <f>DAY(EOMONTH(PA[[#This Row],[Date]], 0))</f>
        <v>31</v>
      </c>
      <c r="I132" s="60">
        <v>0.25347222222222221</v>
      </c>
      <c r="J132" s="60">
        <v>0.75694444444444453</v>
      </c>
      <c r="K132" s="53">
        <f>IFERROR((PA[[#This Row],[Sunset Time (POA&lt;20 W/m2)]]-PA[[#This Row],[Sunrise Time (POA&gt;20 W/m2)]])*24,"")</f>
        <v>12.083333333333336</v>
      </c>
      <c r="L132" s="59" t="s">
        <v>579</v>
      </c>
      <c r="M132" s="59"/>
      <c r="N132" s="59"/>
      <c r="O132" s="128" t="s">
        <v>641</v>
      </c>
      <c r="P132" s="56"/>
      <c r="Q132" s="6"/>
      <c r="R13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BLK8INV19</v>
      </c>
      <c r="S132" s="53">
        <v>22</v>
      </c>
      <c r="T132" s="90">
        <f>IFERROR(_xlfn.XLOOKUP(PA[[#This Row],[Affected Equipment ]],'Basic Data '!A:A,'Basic Data '!C:C),"")</f>
        <v>4.3011235955056184E-3</v>
      </c>
      <c r="U132" s="59" t="s">
        <v>592</v>
      </c>
      <c r="V132" s="88"/>
      <c r="W132" s="114" t="s">
        <v>677</v>
      </c>
      <c r="X132" s="60">
        <v>0.25347222222222221</v>
      </c>
      <c r="Y132" s="60">
        <v>0.25347222222222221</v>
      </c>
      <c r="Z132" s="60">
        <v>0.69791666666666663</v>
      </c>
      <c r="AA132" s="60">
        <v>0.70138888888888884</v>
      </c>
      <c r="AB132" s="158">
        <f>IF(PA[[#This Row],[Acknowledgement Time ]]="NA","",(PA[[#This Row],[Acknowledgement Time ]]-PA[[#This Row],[Fault Time]])*24)</f>
        <v>0</v>
      </c>
      <c r="AC132" s="158">
        <f>IF(PA[[#This Row],[Work Start time on Fault]]="NA","",(PA[[#This Row],[Work Start time on Fault]]-PA[[#This Row],[Fault Time]])*24)</f>
        <v>10.666666666666666</v>
      </c>
      <c r="AD132" s="112">
        <f>IF(PA[[#This Row],[Status]]="Open","",(PA[[#This Row],[Work Completion time on fault]]-PA[[#This Row],[Fault Time]])*24)</f>
        <v>10.75</v>
      </c>
      <c r="AE132" s="111">
        <f>IFERROR((PA[[#This Row],[Work Completion time on fault]]-PA[[#This Row],[Fault Time]])*24,"")</f>
        <v>10.75</v>
      </c>
      <c r="AF132" s="228" t="s">
        <v>678</v>
      </c>
      <c r="AG132" s="6" t="s">
        <v>1275</v>
      </c>
      <c r="AH132" s="53">
        <f>IFERROR(PA[[#This Row],[Breakdown Time]]*PA[[#This Row],[Plant Equivalent Weightage]],"")</f>
        <v>4.6237078651685394E-2</v>
      </c>
      <c r="AI132" s="59">
        <v>4.2300000000000004</v>
      </c>
      <c r="AJ132" s="89">
        <f>IFERROR(IF(PA[[#This Row],[Lost PoA(kWh/m2)]]&gt;0,_xlfn.XLOOKUP(G132,'Modelling New'!$D:$D,'Modelling New'!$O:$O)*PA[[#This Row],[Lost PoA(kWh/m2)]]*S132,0),"")</f>
        <v>70.45760536507467</v>
      </c>
    </row>
    <row r="133" spans="1:36" hidden="1" x14ac:dyDescent="0.25">
      <c r="A133" s="57">
        <v>1821</v>
      </c>
      <c r="B133" s="262">
        <v>45787</v>
      </c>
      <c r="C133" s="59"/>
      <c r="D133" s="6">
        <f>YEAR(PA[[#This Row],[Date]])</f>
        <v>2025</v>
      </c>
      <c r="E133" s="129" t="s">
        <v>73</v>
      </c>
      <c r="F133" s="130" t="s">
        <v>73</v>
      </c>
      <c r="G133" s="301">
        <v>45778</v>
      </c>
      <c r="H133" s="56">
        <f>DAY(EOMONTH(PA[[#This Row],[Date]], 0))</f>
        <v>31</v>
      </c>
      <c r="I133" s="60">
        <v>0.25347222222222221</v>
      </c>
      <c r="J133" s="60">
        <v>0.75694444444444453</v>
      </c>
      <c r="K133" s="53">
        <f>IFERROR((PA[[#This Row],[Sunset Time (POA&lt;20 W/m2)]]-PA[[#This Row],[Sunrise Time (POA&gt;20 W/m2)]])*24,"")</f>
        <v>12.083333333333336</v>
      </c>
      <c r="L133" s="59" t="s">
        <v>579</v>
      </c>
      <c r="M133" s="59"/>
      <c r="N133" s="59"/>
      <c r="O133" s="128" t="s">
        <v>641</v>
      </c>
      <c r="P133" s="56"/>
      <c r="Q133" s="6"/>
      <c r="R13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BLK8INV19</v>
      </c>
      <c r="S133" s="53">
        <v>22</v>
      </c>
      <c r="T133" s="90">
        <f>IFERROR(_xlfn.XLOOKUP(PA[[#This Row],[Affected Equipment ]],'Basic Data '!A:A,'Basic Data '!C:C),"")</f>
        <v>4.3011235955056184E-3</v>
      </c>
      <c r="U133" s="59" t="s">
        <v>592</v>
      </c>
      <c r="V133" s="88"/>
      <c r="W133" s="114" t="s">
        <v>677</v>
      </c>
      <c r="X133" s="60">
        <v>0.25347222222222221</v>
      </c>
      <c r="Y133" s="60">
        <v>0.25347222222222221</v>
      </c>
      <c r="Z133" s="60">
        <v>0.70833333333333337</v>
      </c>
      <c r="AA133" s="60">
        <v>0.72222222222222221</v>
      </c>
      <c r="AB133" s="158">
        <f>IF(PA[[#This Row],[Acknowledgement Time ]]="NA","",(PA[[#This Row],[Acknowledgement Time ]]-PA[[#This Row],[Fault Time]])*24)</f>
        <v>0</v>
      </c>
      <c r="AC133" s="158">
        <f>IF(PA[[#This Row],[Work Start time on Fault]]="NA","",(PA[[#This Row],[Work Start time on Fault]]-PA[[#This Row],[Fault Time]])*24)</f>
        <v>10.916666666666668</v>
      </c>
      <c r="AD133" s="112">
        <f>IF(PA[[#This Row],[Status]]="Open","",(PA[[#This Row],[Work Completion time on fault]]-PA[[#This Row],[Fault Time]])*24)</f>
        <v>11.25</v>
      </c>
      <c r="AE133" s="111">
        <f>IFERROR((PA[[#This Row],[Work Completion time on fault]]-PA[[#This Row],[Fault Time]])*24,"")</f>
        <v>11.25</v>
      </c>
      <c r="AF133" s="228" t="s">
        <v>679</v>
      </c>
      <c r="AG133" s="6" t="s">
        <v>1275</v>
      </c>
      <c r="AH133" s="53">
        <f>IFERROR(PA[[#This Row],[Breakdown Time]]*PA[[#This Row],[Plant Equivalent Weightage]],"")</f>
        <v>4.8387640449438205E-2</v>
      </c>
      <c r="AI133" s="59">
        <v>4.7699999999999996</v>
      </c>
      <c r="AJ133" s="89">
        <f>IFERROR(IF(PA[[#This Row],[Lost PoA(kWh/m2)]]&gt;0,_xlfn.XLOOKUP(G133,'Modelling New'!$D:$D,'Modelling New'!$O:$O)*PA[[#This Row],[Lost PoA(kWh/m2)]]*S133,0),"")</f>
        <v>79.452193284020353</v>
      </c>
    </row>
    <row r="134" spans="1:36" hidden="1" x14ac:dyDescent="0.25">
      <c r="A134" s="57">
        <v>1822</v>
      </c>
      <c r="B134" s="262">
        <v>45787</v>
      </c>
      <c r="C134" s="59"/>
      <c r="D134" s="6">
        <f>YEAR(PA[[#This Row],[Date]])</f>
        <v>2025</v>
      </c>
      <c r="E134" s="129" t="s">
        <v>73</v>
      </c>
      <c r="F134" s="130" t="s">
        <v>73</v>
      </c>
      <c r="G134" s="301">
        <v>45778</v>
      </c>
      <c r="H134" s="56">
        <f>DAY(EOMONTH(PA[[#This Row],[Date]], 0))</f>
        <v>31</v>
      </c>
      <c r="I134" s="60">
        <v>0.25347222222222221</v>
      </c>
      <c r="J134" s="60">
        <v>0.75694444444444453</v>
      </c>
      <c r="K134" s="53">
        <f>IFERROR((PA[[#This Row],[Sunset Time (POA&lt;20 W/m2)]]-PA[[#This Row],[Sunrise Time (POA&gt;20 W/m2)]])*24,"")</f>
        <v>12.083333333333336</v>
      </c>
      <c r="L134" s="59" t="s">
        <v>579</v>
      </c>
      <c r="M134" s="59"/>
      <c r="N134" s="59"/>
      <c r="O134" s="128" t="s">
        <v>641</v>
      </c>
      <c r="P134" s="56"/>
      <c r="Q134" s="6"/>
      <c r="R13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BLK8INV19</v>
      </c>
      <c r="S134" s="53">
        <v>22</v>
      </c>
      <c r="T134" s="90">
        <f>IFERROR(_xlfn.XLOOKUP(PA[[#This Row],[Affected Equipment ]],'Basic Data '!A:A,'Basic Data '!C:C),"")</f>
        <v>4.3011235955056184E-3</v>
      </c>
      <c r="U134" s="59" t="s">
        <v>592</v>
      </c>
      <c r="V134" s="88"/>
      <c r="W134" s="114" t="s">
        <v>677</v>
      </c>
      <c r="X134" s="60">
        <v>0.25347222222222221</v>
      </c>
      <c r="Y134" s="60">
        <v>0.25347222222222221</v>
      </c>
      <c r="Z134" s="60">
        <v>0.72777777777777775</v>
      </c>
      <c r="AA134" s="60">
        <v>0.7319444444444444</v>
      </c>
      <c r="AB134" s="158">
        <f>IF(PA[[#This Row],[Acknowledgement Time ]]="NA","",(PA[[#This Row],[Acknowledgement Time ]]-PA[[#This Row],[Fault Time]])*24)</f>
        <v>0</v>
      </c>
      <c r="AC134" s="158">
        <f>IF(PA[[#This Row],[Work Start time on Fault]]="NA","",(PA[[#This Row],[Work Start time on Fault]]-PA[[#This Row],[Fault Time]])*24)</f>
        <v>11.383333333333333</v>
      </c>
      <c r="AD134" s="112">
        <f>IF(PA[[#This Row],[Status]]="Open","",(PA[[#This Row],[Work Completion time on fault]]-PA[[#This Row],[Fault Time]])*24)</f>
        <v>11.483333333333333</v>
      </c>
      <c r="AE134" s="111">
        <f>IFERROR((PA[[#This Row],[Work Completion time on fault]]-PA[[#This Row],[Fault Time]])*24,"")</f>
        <v>11.483333333333333</v>
      </c>
      <c r="AF134" s="228" t="s">
        <v>680</v>
      </c>
      <c r="AG134" s="6" t="s">
        <v>1275</v>
      </c>
      <c r="AH134" s="53">
        <f>IFERROR(PA[[#This Row],[Breakdown Time]]*PA[[#This Row],[Plant Equivalent Weightage]],"")</f>
        <v>4.9391235955056179E-2</v>
      </c>
      <c r="AI134" s="59">
        <v>4.87</v>
      </c>
      <c r="AJ134" s="89">
        <f>IFERROR(IF(PA[[#This Row],[Lost PoA(kWh/m2)]]&gt;0,_xlfn.XLOOKUP(G134,'Modelling New'!$D:$D,'Modelling New'!$O:$O)*PA[[#This Row],[Lost PoA(kWh/m2)]]*S134,0),"")</f>
        <v>81.117857713454768</v>
      </c>
    </row>
    <row r="135" spans="1:36" hidden="1" x14ac:dyDescent="0.25">
      <c r="A135" s="57">
        <v>1823</v>
      </c>
      <c r="B135" s="262">
        <v>45788</v>
      </c>
      <c r="C135" s="59"/>
      <c r="D135" s="6">
        <f>YEAR(PA[[#This Row],[Date]])</f>
        <v>2025</v>
      </c>
      <c r="E135" s="129" t="s">
        <v>73</v>
      </c>
      <c r="F135" s="130" t="s">
        <v>73</v>
      </c>
      <c r="G135" s="301">
        <v>45778</v>
      </c>
      <c r="H135" s="56">
        <f>DAY(EOMONTH(PA[[#This Row],[Date]], 0))</f>
        <v>31</v>
      </c>
      <c r="I135" s="60">
        <v>0.24166666666666667</v>
      </c>
      <c r="J135" s="60">
        <v>0.76041666666666663</v>
      </c>
      <c r="K135" s="53">
        <f>IFERROR((PA[[#This Row],[Sunset Time (POA&lt;20 W/m2)]]-PA[[#This Row],[Sunrise Time (POA&gt;20 W/m2)]])*24,"")</f>
        <v>12.45</v>
      </c>
      <c r="L135" s="59" t="s">
        <v>587</v>
      </c>
      <c r="M135" s="59"/>
      <c r="N135" s="59"/>
      <c r="O135" s="128" t="s">
        <v>617</v>
      </c>
      <c r="P135" s="56"/>
      <c r="Q135" s="6"/>
      <c r="R13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BLK1INV8</v>
      </c>
      <c r="S135" s="53">
        <v>22</v>
      </c>
      <c r="T135" s="90">
        <f>IFERROR(_xlfn.XLOOKUP(PA[[#This Row],[Affected Equipment ]],'Basic Data '!A:A,'Basic Data '!C:C),"")</f>
        <v>4.0000000000000001E-3</v>
      </c>
      <c r="U135" s="59" t="s">
        <v>592</v>
      </c>
      <c r="V135" s="88"/>
      <c r="W135" s="114" t="s">
        <v>656</v>
      </c>
      <c r="X135" s="60">
        <v>0.24166666666666667</v>
      </c>
      <c r="Y135" s="60">
        <v>0.24166666666666667</v>
      </c>
      <c r="Z135" s="60">
        <v>0.47916666666666669</v>
      </c>
      <c r="AA135" s="60">
        <v>0.4861111111111111</v>
      </c>
      <c r="AB135" s="158">
        <f>IF(PA[[#This Row],[Acknowledgement Time ]]="NA","",(PA[[#This Row],[Acknowledgement Time ]]-PA[[#This Row],[Fault Time]])*24)</f>
        <v>0</v>
      </c>
      <c r="AC135" s="158">
        <f>IF(PA[[#This Row],[Work Start time on Fault]]="NA","",(PA[[#This Row],[Work Start time on Fault]]-PA[[#This Row],[Fault Time]])*24)</f>
        <v>5.7</v>
      </c>
      <c r="AD135" s="112">
        <f>IF(PA[[#This Row],[Status]]="Open","",(PA[[#This Row],[Work Completion time on fault]]-PA[[#This Row],[Fault Time]])*24)</f>
        <v>5.8666666666666663</v>
      </c>
      <c r="AE135" s="111">
        <f>IFERROR((PA[[#This Row],[Work Completion time on fault]]-PA[[#This Row],[Fault Time]])*24,"")</f>
        <v>5.8666666666666663</v>
      </c>
      <c r="AF135" s="228" t="s">
        <v>655</v>
      </c>
      <c r="AG135" s="6" t="s">
        <v>1275</v>
      </c>
      <c r="AH135" s="53">
        <v>0</v>
      </c>
      <c r="AI135" s="59">
        <v>2.12</v>
      </c>
      <c r="AJ135" s="89">
        <f>IFERROR(IF(PA[[#This Row],[Lost PoA(kWh/m2)]]&gt;0,_xlfn.XLOOKUP(G135,'Modelling New'!$D:$D,'Modelling New'!$O:$O)*PA[[#This Row],[Lost PoA(kWh/m2)]]*S135,0),"")</f>
        <v>35.312085904009052</v>
      </c>
    </row>
    <row r="136" spans="1:36" hidden="1" x14ac:dyDescent="0.25">
      <c r="A136" s="57">
        <v>1824</v>
      </c>
      <c r="B136" s="262">
        <v>45788</v>
      </c>
      <c r="C136" s="59"/>
      <c r="D136" s="6">
        <f>YEAR(PA[[#This Row],[Date]])</f>
        <v>2025</v>
      </c>
      <c r="E136" s="129" t="s">
        <v>73</v>
      </c>
      <c r="F136" s="130" t="s">
        <v>73</v>
      </c>
      <c r="G136" s="301">
        <v>45778</v>
      </c>
      <c r="H136" s="56">
        <f>DAY(EOMONTH(PA[[#This Row],[Date]], 0))</f>
        <v>31</v>
      </c>
      <c r="I136" s="60">
        <v>0.24166666666666667</v>
      </c>
      <c r="J136" s="60">
        <v>0.76041666666666663</v>
      </c>
      <c r="K136" s="53">
        <f>IFERROR((PA[[#This Row],[Sunset Time (POA&lt;20 W/m2)]]-PA[[#This Row],[Sunrise Time (POA&gt;20 W/m2)]])*24,"")</f>
        <v>12.45</v>
      </c>
      <c r="L136" s="59" t="s">
        <v>559</v>
      </c>
      <c r="M136" s="59"/>
      <c r="N136" s="59"/>
      <c r="O136" s="128" t="s">
        <v>618</v>
      </c>
      <c r="P136" s="56"/>
      <c r="Q136" s="6"/>
      <c r="R13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BLK2INV15</v>
      </c>
      <c r="S136" s="53">
        <v>22</v>
      </c>
      <c r="T136" s="90">
        <f>IFERROR(_xlfn.XLOOKUP(PA[[#This Row],[Affected Equipment ]],'Basic Data '!A:A,'Basic Data '!C:C),"")</f>
        <v>4.0000000000000001E-3</v>
      </c>
      <c r="U136" s="59" t="s">
        <v>592</v>
      </c>
      <c r="V136" s="88"/>
      <c r="W136" s="114" t="s">
        <v>656</v>
      </c>
      <c r="X136" s="60">
        <v>0.24166666666666667</v>
      </c>
      <c r="Y136" s="60">
        <v>0.24166666666666667</v>
      </c>
      <c r="Z136" s="60">
        <v>0.47986111111111113</v>
      </c>
      <c r="AA136" s="60">
        <v>0.49305555555555558</v>
      </c>
      <c r="AB136" s="158">
        <f>IF(PA[[#This Row],[Acknowledgement Time ]]="NA","",(PA[[#This Row],[Acknowledgement Time ]]-PA[[#This Row],[Fault Time]])*24)</f>
        <v>0</v>
      </c>
      <c r="AC136" s="158">
        <f>IF(PA[[#This Row],[Work Start time on Fault]]="NA","",(PA[[#This Row],[Work Start time on Fault]]-PA[[#This Row],[Fault Time]])*24)</f>
        <v>5.7166666666666668</v>
      </c>
      <c r="AD136" s="112">
        <f>IF(PA[[#This Row],[Status]]="Open","",(PA[[#This Row],[Work Completion time on fault]]-PA[[#This Row],[Fault Time]])*24)</f>
        <v>6.0333333333333332</v>
      </c>
      <c r="AE136" s="111">
        <f>IFERROR((PA[[#This Row],[Work Completion time on fault]]-PA[[#This Row],[Fault Time]])*24,"")</f>
        <v>6.0333333333333332</v>
      </c>
      <c r="AF136" s="228" t="s">
        <v>655</v>
      </c>
      <c r="AG136" s="6" t="s">
        <v>1275</v>
      </c>
      <c r="AH136" s="53">
        <f>IFERROR(PA[[#This Row],[Breakdown Time]]*PA[[#This Row],[Plant Equivalent Weightage]],"")</f>
        <v>2.4133333333333333E-2</v>
      </c>
      <c r="AI136" s="59">
        <v>2.48</v>
      </c>
      <c r="AJ136" s="89">
        <f>IFERROR(IF(PA[[#This Row],[Lost PoA(kWh/m2)]]&gt;0,_xlfn.XLOOKUP(G136,'Modelling New'!$D:$D,'Modelling New'!$O:$O)*PA[[#This Row],[Lost PoA(kWh/m2)]]*S136,0),"")</f>
        <v>41.308477849972853</v>
      </c>
    </row>
    <row r="137" spans="1:36" hidden="1" x14ac:dyDescent="0.25">
      <c r="A137" s="57">
        <v>1825</v>
      </c>
      <c r="B137" s="262">
        <v>45788</v>
      </c>
      <c r="C137" s="59"/>
      <c r="D137" s="6">
        <f>YEAR(PA[[#This Row],[Date]])</f>
        <v>2025</v>
      </c>
      <c r="E137" s="129" t="s">
        <v>73</v>
      </c>
      <c r="F137" s="130" t="s">
        <v>73</v>
      </c>
      <c r="G137" s="301">
        <v>45778</v>
      </c>
      <c r="H137" s="56">
        <f>DAY(EOMONTH(PA[[#This Row],[Date]], 0))</f>
        <v>31</v>
      </c>
      <c r="I137" s="60">
        <v>0.24166666666666667</v>
      </c>
      <c r="J137" s="60">
        <v>0.76041666666666663</v>
      </c>
      <c r="K137" s="53">
        <f>IFERROR((PA[[#This Row],[Sunset Time (POA&lt;20 W/m2)]]-PA[[#This Row],[Sunrise Time (POA&gt;20 W/m2)]])*24,"")</f>
        <v>12.45</v>
      </c>
      <c r="L137" s="59" t="s">
        <v>559</v>
      </c>
      <c r="M137" s="59"/>
      <c r="N137" s="59"/>
      <c r="O137" s="128" t="s">
        <v>612</v>
      </c>
      <c r="P137" s="56"/>
      <c r="Q137" s="6"/>
      <c r="R13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BLK2INV28</v>
      </c>
      <c r="S137" s="53">
        <v>22</v>
      </c>
      <c r="T137" s="90">
        <f>IFERROR(_xlfn.XLOOKUP(PA[[#This Row],[Affected Equipment ]],'Basic Data '!A:A,'Basic Data '!C:C),"")</f>
        <v>4.4999999999999997E-3</v>
      </c>
      <c r="U137" s="59" t="s">
        <v>592</v>
      </c>
      <c r="V137" s="88"/>
      <c r="W137" s="114" t="s">
        <v>656</v>
      </c>
      <c r="X137" s="60">
        <v>0.24166666666666667</v>
      </c>
      <c r="Y137" s="60">
        <v>0.24166666666666667</v>
      </c>
      <c r="Z137" s="60">
        <v>0.4861111111111111</v>
      </c>
      <c r="AA137" s="60">
        <v>0.49652777777777773</v>
      </c>
      <c r="AB137" s="158">
        <f>IF(PA[[#This Row],[Acknowledgement Time ]]="NA","",(PA[[#This Row],[Acknowledgement Time ]]-PA[[#This Row],[Fault Time]])*24)</f>
        <v>0</v>
      </c>
      <c r="AC137" s="158">
        <f>IF(PA[[#This Row],[Work Start time on Fault]]="NA","",(PA[[#This Row],[Work Start time on Fault]]-PA[[#This Row],[Fault Time]])*24)</f>
        <v>5.8666666666666663</v>
      </c>
      <c r="AD137" s="112">
        <f>IF(PA[[#This Row],[Status]]="Open","",(PA[[#This Row],[Work Completion time on fault]]-PA[[#This Row],[Fault Time]])*24)</f>
        <v>6.1166666666666663</v>
      </c>
      <c r="AE137" s="111">
        <f>IFERROR((PA[[#This Row],[Work Completion time on fault]]-PA[[#This Row],[Fault Time]])*24,"")</f>
        <v>6.1166666666666663</v>
      </c>
      <c r="AF137" s="228" t="s">
        <v>655</v>
      </c>
      <c r="AG137" s="6" t="s">
        <v>1275</v>
      </c>
      <c r="AH137" s="53">
        <f>IFERROR(PA[[#This Row],[Breakdown Time]]*PA[[#This Row],[Plant Equivalent Weightage]],"")</f>
        <v>2.7524999999999997E-2</v>
      </c>
      <c r="AI137" s="59">
        <v>2.31</v>
      </c>
      <c r="AJ137" s="89">
        <f>IFERROR(IF(PA[[#This Row],[Lost PoA(kWh/m2)]]&gt;0,_xlfn.XLOOKUP(G137,'Modelling New'!$D:$D,'Modelling New'!$O:$O)*PA[[#This Row],[Lost PoA(kWh/m2)]]*S137,0),"")</f>
        <v>38.47684831993439</v>
      </c>
    </row>
    <row r="138" spans="1:36" hidden="1" x14ac:dyDescent="0.25">
      <c r="A138" s="57">
        <v>1826</v>
      </c>
      <c r="B138" s="262">
        <v>45788</v>
      </c>
      <c r="C138" s="59"/>
      <c r="D138" s="6">
        <f>YEAR(PA[[#This Row],[Date]])</f>
        <v>2025</v>
      </c>
      <c r="E138" s="129" t="s">
        <v>73</v>
      </c>
      <c r="F138" s="130" t="s">
        <v>73</v>
      </c>
      <c r="G138" s="301">
        <v>45778</v>
      </c>
      <c r="H138" s="56">
        <f>DAY(EOMONTH(PA[[#This Row],[Date]], 0))</f>
        <v>31</v>
      </c>
      <c r="I138" s="60">
        <v>0.24166666666666667</v>
      </c>
      <c r="J138" s="60">
        <v>0.76041666666666663</v>
      </c>
      <c r="K138" s="53">
        <f>IFERROR((PA[[#This Row],[Sunset Time (POA&lt;20 W/m2)]]-PA[[#This Row],[Sunrise Time (POA&gt;20 W/m2)]])*24,"")</f>
        <v>12.45</v>
      </c>
      <c r="L138" s="59" t="s">
        <v>606</v>
      </c>
      <c r="M138" s="59"/>
      <c r="N138" s="59"/>
      <c r="O138" s="128" t="s">
        <v>644</v>
      </c>
      <c r="P138" s="56"/>
      <c r="Q138" s="6"/>
      <c r="R13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BLK7INV4</v>
      </c>
      <c r="S138" s="53">
        <v>22</v>
      </c>
      <c r="T138" s="90">
        <f>IFERROR(_xlfn.XLOOKUP(PA[[#This Row],[Affected Equipment ]],'Basic Data '!A:A,'Basic Data '!C:C),"")</f>
        <v>3.9550561797752808E-3</v>
      </c>
      <c r="U138" s="59" t="s">
        <v>592</v>
      </c>
      <c r="V138" s="88"/>
      <c r="W138" s="114" t="s">
        <v>656</v>
      </c>
      <c r="X138" s="60">
        <v>0.24166666666666667</v>
      </c>
      <c r="Y138" s="60">
        <v>0.24166666666666667</v>
      </c>
      <c r="Z138" s="60">
        <v>0.5</v>
      </c>
      <c r="AA138" s="60">
        <v>0.51944444444444449</v>
      </c>
      <c r="AB138" s="158">
        <f>IF(PA[[#This Row],[Acknowledgement Time ]]="NA","",(PA[[#This Row],[Acknowledgement Time ]]-PA[[#This Row],[Fault Time]])*24)</f>
        <v>0</v>
      </c>
      <c r="AC138" s="158">
        <f>IF(PA[[#This Row],[Work Start time on Fault]]="NA","",(PA[[#This Row],[Work Start time on Fault]]-PA[[#This Row],[Fault Time]])*24)</f>
        <v>6.1999999999999993</v>
      </c>
      <c r="AD138" s="112">
        <f>IF(PA[[#This Row],[Status]]="Open","",(PA[[#This Row],[Work Completion time on fault]]-PA[[#This Row],[Fault Time]])*24)</f>
        <v>6.666666666666667</v>
      </c>
      <c r="AE138" s="111">
        <f>IFERROR((PA[[#This Row],[Work Completion time on fault]]-PA[[#This Row],[Fault Time]])*24,"")</f>
        <v>6.666666666666667</v>
      </c>
      <c r="AF138" s="228" t="s">
        <v>655</v>
      </c>
      <c r="AG138" s="6" t="s">
        <v>1275</v>
      </c>
      <c r="AH138" s="53">
        <f>IFERROR(PA[[#This Row],[Breakdown Time]]*PA[[#This Row],[Plant Equivalent Weightage]],"")</f>
        <v>2.6367041198501872E-2</v>
      </c>
      <c r="AI138" s="59">
        <v>2.6</v>
      </c>
      <c r="AJ138" s="89">
        <f>IFERROR(IF(PA[[#This Row],[Lost PoA(kWh/m2)]]&gt;0,_xlfn.XLOOKUP(G138,'Modelling New'!$D:$D,'Modelling New'!$O:$O)*PA[[#This Row],[Lost PoA(kWh/m2)]]*S138,0),"")</f>
        <v>43.307275165294122</v>
      </c>
    </row>
    <row r="139" spans="1:36" hidden="1" x14ac:dyDescent="0.25">
      <c r="A139" s="57">
        <v>1827</v>
      </c>
      <c r="B139" s="262">
        <v>45788</v>
      </c>
      <c r="C139" s="59"/>
      <c r="D139" s="6">
        <f>YEAR(PA[[#This Row],[Date]])</f>
        <v>2025</v>
      </c>
      <c r="E139" s="129" t="s">
        <v>73</v>
      </c>
      <c r="F139" s="130" t="s">
        <v>73</v>
      </c>
      <c r="G139" s="301">
        <v>45778</v>
      </c>
      <c r="H139" s="56">
        <f>DAY(EOMONTH(PA[[#This Row],[Date]], 0))</f>
        <v>31</v>
      </c>
      <c r="I139" s="60">
        <v>0.24166666666666667</v>
      </c>
      <c r="J139" s="60">
        <v>0.76041666666666663</v>
      </c>
      <c r="K139" s="53">
        <f>IFERROR((PA[[#This Row],[Sunset Time (POA&lt;20 W/m2)]]-PA[[#This Row],[Sunrise Time (POA&gt;20 W/m2)]])*24,"")</f>
        <v>12.45</v>
      </c>
      <c r="L139" s="59" t="s">
        <v>606</v>
      </c>
      <c r="M139" s="59"/>
      <c r="N139" s="59"/>
      <c r="O139" s="128" t="s">
        <v>654</v>
      </c>
      <c r="P139" s="56"/>
      <c r="Q139" s="6"/>
      <c r="R13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BLK7INV26</v>
      </c>
      <c r="S139" s="53">
        <v>22</v>
      </c>
      <c r="T139" s="90">
        <f>IFERROR(_xlfn.XLOOKUP(PA[[#This Row],[Affected Equipment ]],'Basic Data '!A:A,'Basic Data '!C:C),"")</f>
        <v>4.4999999999999997E-3</v>
      </c>
      <c r="U139" s="59" t="s">
        <v>592</v>
      </c>
      <c r="V139" s="88"/>
      <c r="W139" s="114" t="s">
        <v>656</v>
      </c>
      <c r="X139" s="60">
        <v>0.24166666666666667</v>
      </c>
      <c r="Y139" s="60">
        <v>0.24166666666666667</v>
      </c>
      <c r="Z139" s="60">
        <v>0.50694444444444442</v>
      </c>
      <c r="AA139" s="60">
        <v>0.52777777777777779</v>
      </c>
      <c r="AB139" s="158">
        <f>IF(PA[[#This Row],[Acknowledgement Time ]]="NA","",(PA[[#This Row],[Acknowledgement Time ]]-PA[[#This Row],[Fault Time]])*24)</f>
        <v>0</v>
      </c>
      <c r="AC139" s="158">
        <f>IF(PA[[#This Row],[Work Start time on Fault]]="NA","",(PA[[#This Row],[Work Start time on Fault]]-PA[[#This Row],[Fault Time]])*24)</f>
        <v>6.3666666666666654</v>
      </c>
      <c r="AD139" s="112">
        <f>IF(PA[[#This Row],[Status]]="Open","",(PA[[#This Row],[Work Completion time on fault]]-PA[[#This Row],[Fault Time]])*24)</f>
        <v>6.8666666666666663</v>
      </c>
      <c r="AE139" s="111">
        <f>IFERROR((PA[[#This Row],[Work Completion time on fault]]-PA[[#This Row],[Fault Time]])*24,"")</f>
        <v>6.8666666666666663</v>
      </c>
      <c r="AF139" s="228" t="s">
        <v>655</v>
      </c>
      <c r="AG139" s="6" t="s">
        <v>1275</v>
      </c>
      <c r="AH139" s="53">
        <f>IFERROR(PA[[#This Row],[Breakdown Time]]*PA[[#This Row],[Plant Equivalent Weightage]],"")</f>
        <v>3.0899999999999997E-2</v>
      </c>
      <c r="AI139" s="59">
        <v>2.23</v>
      </c>
      <c r="AJ139" s="89">
        <f>IFERROR(IF(PA[[#This Row],[Lost PoA(kWh/m2)]]&gt;0,_xlfn.XLOOKUP(G139,'Modelling New'!$D:$D,'Modelling New'!$O:$O)*PA[[#This Row],[Lost PoA(kWh/m2)]]*S139,0),"")</f>
        <v>37.14431677638688</v>
      </c>
    </row>
    <row r="140" spans="1:36" hidden="1" x14ac:dyDescent="0.25">
      <c r="A140" s="57">
        <v>1828</v>
      </c>
      <c r="B140" s="262">
        <v>45788</v>
      </c>
      <c r="C140" s="59"/>
      <c r="D140" s="6">
        <f>YEAR(PA[[#This Row],[Date]])</f>
        <v>2025</v>
      </c>
      <c r="E140" s="129" t="s">
        <v>73</v>
      </c>
      <c r="F140" s="130" t="s">
        <v>73</v>
      </c>
      <c r="G140" s="301">
        <v>45778</v>
      </c>
      <c r="H140" s="56">
        <f>DAY(EOMONTH(PA[[#This Row],[Date]], 0))</f>
        <v>31</v>
      </c>
      <c r="I140" s="60">
        <v>0.24166666666666667</v>
      </c>
      <c r="J140" s="60">
        <v>0.76041666666666663</v>
      </c>
      <c r="K140" s="53">
        <f>IFERROR((PA[[#This Row],[Sunset Time (POA&lt;20 W/m2)]]-PA[[#This Row],[Sunrise Time (POA&gt;20 W/m2)]])*24,"")</f>
        <v>12.45</v>
      </c>
      <c r="L140" s="59" t="s">
        <v>615</v>
      </c>
      <c r="M140" s="59"/>
      <c r="N140" s="59"/>
      <c r="O140" s="128" t="s">
        <v>594</v>
      </c>
      <c r="P140" s="56"/>
      <c r="Q140" s="6"/>
      <c r="R14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140" s="53">
        <v>22</v>
      </c>
      <c r="T140" s="90">
        <f>IFERROR(_xlfn.XLOOKUP(PA[[#This Row],[Affected Equipment ]],'Basic Data '!A:A,'Basic Data '!C:C),"")</f>
        <v>3.9550561797752808E-3</v>
      </c>
      <c r="U140" s="59" t="s">
        <v>592</v>
      </c>
      <c r="V140" s="88"/>
      <c r="W140" s="114" t="s">
        <v>677</v>
      </c>
      <c r="X140" s="60">
        <v>0.24166666666666667</v>
      </c>
      <c r="Y140" s="60">
        <v>0.24166666666666667</v>
      </c>
      <c r="Z140" s="60">
        <v>0.67013888888888884</v>
      </c>
      <c r="AA140" s="60">
        <v>0.68055555555555547</v>
      </c>
      <c r="AB140" s="158">
        <f>IF(PA[[#This Row],[Acknowledgement Time ]]="NA","",(PA[[#This Row],[Acknowledgement Time ]]-PA[[#This Row],[Fault Time]])*24)</f>
        <v>0</v>
      </c>
      <c r="AC140" s="158">
        <f>IF(PA[[#This Row],[Work Start time on Fault]]="NA","",(PA[[#This Row],[Work Start time on Fault]]-PA[[#This Row],[Fault Time]])*24)</f>
        <v>10.283333333333331</v>
      </c>
      <c r="AD140" s="112">
        <f>IF(PA[[#This Row],[Status]]="Open","",(PA[[#This Row],[Work Completion time on fault]]-PA[[#This Row],[Fault Time]])*24)</f>
        <v>10.533333333333331</v>
      </c>
      <c r="AE140" s="111">
        <f>IFERROR((PA[[#This Row],[Work Completion time on fault]]-PA[[#This Row],[Fault Time]])*24,"")</f>
        <v>10.533333333333331</v>
      </c>
      <c r="AF140" s="228" t="s">
        <v>682</v>
      </c>
      <c r="AG140" s="6" t="s">
        <v>1275</v>
      </c>
      <c r="AH140" s="53">
        <f>IFERROR(PA[[#This Row],[Breakdown Time]]*PA[[#This Row],[Plant Equivalent Weightage]],"")</f>
        <v>4.1659925093632949E-2</v>
      </c>
      <c r="AI140" s="59">
        <v>2.44</v>
      </c>
      <c r="AJ140" s="89">
        <f>IFERROR(IF(PA[[#This Row],[Lost PoA(kWh/m2)]]&gt;0,_xlfn.XLOOKUP(G140,'Modelling New'!$D:$D,'Modelling New'!$O:$O)*PA[[#This Row],[Lost PoA(kWh/m2)]]*S140,0),"")</f>
        <v>40.642212078199094</v>
      </c>
    </row>
    <row r="141" spans="1:36" hidden="1" x14ac:dyDescent="0.25">
      <c r="A141" s="57">
        <v>1829</v>
      </c>
      <c r="B141" s="262">
        <v>45788</v>
      </c>
      <c r="C141" s="59"/>
      <c r="D141" s="6">
        <f>YEAR(PA[[#This Row],[Date]])</f>
        <v>2025</v>
      </c>
      <c r="E141" s="129" t="s">
        <v>73</v>
      </c>
      <c r="F141" s="130" t="s">
        <v>73</v>
      </c>
      <c r="G141" s="301">
        <v>45778</v>
      </c>
      <c r="H141" s="56">
        <f>DAY(EOMONTH(PA[[#This Row],[Date]], 0))</f>
        <v>31</v>
      </c>
      <c r="I141" s="60">
        <v>0.24166666666666667</v>
      </c>
      <c r="J141" s="60">
        <v>0.76041666666666663</v>
      </c>
      <c r="K141" s="53">
        <f>IFERROR((PA[[#This Row],[Sunset Time (POA&lt;20 W/m2)]]-PA[[#This Row],[Sunrise Time (POA&gt;20 W/m2)]])*24,"")</f>
        <v>12.45</v>
      </c>
      <c r="L141" s="59" t="s">
        <v>615</v>
      </c>
      <c r="M141" s="59"/>
      <c r="N141" s="59"/>
      <c r="O141" s="128" t="s">
        <v>594</v>
      </c>
      <c r="P141" s="56"/>
      <c r="Q141" s="6"/>
      <c r="R14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141" s="53">
        <v>22</v>
      </c>
      <c r="T141" s="90">
        <f>IFERROR(_xlfn.XLOOKUP(PA[[#This Row],[Affected Equipment ]],'Basic Data '!A:A,'Basic Data '!C:C),"")</f>
        <v>3.9550561797752808E-3</v>
      </c>
      <c r="U141" s="59" t="s">
        <v>592</v>
      </c>
      <c r="V141" s="88"/>
      <c r="W141" s="114" t="s">
        <v>677</v>
      </c>
      <c r="X141" s="60">
        <v>0.24166666666666667</v>
      </c>
      <c r="Y141" s="60">
        <v>0.24166666666666667</v>
      </c>
      <c r="Z141" s="60">
        <v>0.67013888888888884</v>
      </c>
      <c r="AA141" s="60">
        <v>0.68055555555555547</v>
      </c>
      <c r="AB141" s="158">
        <f>IF(PA[[#This Row],[Acknowledgement Time ]]="NA","",(PA[[#This Row],[Acknowledgement Time ]]-PA[[#This Row],[Fault Time]])*24)</f>
        <v>0</v>
      </c>
      <c r="AC141" s="158">
        <f>IF(PA[[#This Row],[Work Start time on Fault]]="NA","",(PA[[#This Row],[Work Start time on Fault]]-PA[[#This Row],[Fault Time]])*24)</f>
        <v>10.283333333333331</v>
      </c>
      <c r="AD141" s="112">
        <f>IF(PA[[#This Row],[Status]]="Open","",(PA[[#This Row],[Work Completion time on fault]]-PA[[#This Row],[Fault Time]])*24)</f>
        <v>10.533333333333331</v>
      </c>
      <c r="AE141" s="111">
        <f>IFERROR((PA[[#This Row],[Work Completion time on fault]]-PA[[#This Row],[Fault Time]])*24,"")</f>
        <v>10.533333333333331</v>
      </c>
      <c r="AF141" s="228" t="s">
        <v>683</v>
      </c>
      <c r="AG141" s="6" t="s">
        <v>1275</v>
      </c>
      <c r="AH141" s="53">
        <f>IFERROR(PA[[#This Row],[Breakdown Time]]*PA[[#This Row],[Plant Equivalent Weightage]],"")</f>
        <v>4.1659925093632949E-2</v>
      </c>
      <c r="AI141" s="59">
        <v>2.78</v>
      </c>
      <c r="AJ141" s="89">
        <f>IFERROR(IF(PA[[#This Row],[Lost PoA(kWh/m2)]]&gt;0,_xlfn.XLOOKUP(G141,'Modelling New'!$D:$D,'Modelling New'!$O:$O)*PA[[#This Row],[Lost PoA(kWh/m2)]]*S141,0),"")</f>
        <v>46.305471138276019</v>
      </c>
    </row>
    <row r="142" spans="1:36" hidden="1" x14ac:dyDescent="0.25">
      <c r="A142" s="57">
        <v>1830</v>
      </c>
      <c r="B142" s="262">
        <v>45788</v>
      </c>
      <c r="C142" s="59"/>
      <c r="D142" s="6">
        <f>YEAR(PA[[#This Row],[Date]])</f>
        <v>2025</v>
      </c>
      <c r="E142" s="129" t="s">
        <v>73</v>
      </c>
      <c r="F142" s="130" t="s">
        <v>73</v>
      </c>
      <c r="G142" s="301">
        <v>45778</v>
      </c>
      <c r="H142" s="56">
        <f>DAY(EOMONTH(PA[[#This Row],[Date]], 0))</f>
        <v>31</v>
      </c>
      <c r="I142" s="60">
        <v>0.24166666666666667</v>
      </c>
      <c r="J142" s="60">
        <v>0.76041666666666663</v>
      </c>
      <c r="K142" s="53">
        <f>IFERROR((PA[[#This Row],[Sunset Time (POA&lt;20 W/m2)]]-PA[[#This Row],[Sunrise Time (POA&gt;20 W/m2)]])*24,"")</f>
        <v>12.45</v>
      </c>
      <c r="L142" s="59" t="s">
        <v>615</v>
      </c>
      <c r="M142" s="59"/>
      <c r="N142" s="59"/>
      <c r="O142" s="128" t="s">
        <v>594</v>
      </c>
      <c r="P142" s="56"/>
      <c r="Q142" s="6"/>
      <c r="R14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142" s="53">
        <v>22</v>
      </c>
      <c r="T142" s="90">
        <f>IFERROR(_xlfn.XLOOKUP(PA[[#This Row],[Affected Equipment ]],'Basic Data '!A:A,'Basic Data '!C:C),"")</f>
        <v>3.9550561797752808E-3</v>
      </c>
      <c r="U142" s="59" t="s">
        <v>592</v>
      </c>
      <c r="V142" s="88"/>
      <c r="W142" s="114" t="s">
        <v>677</v>
      </c>
      <c r="X142" s="60">
        <v>0.24166666666666667</v>
      </c>
      <c r="Y142" s="60">
        <v>0.24166666666666667</v>
      </c>
      <c r="Z142" s="60">
        <v>0.67013888888888884</v>
      </c>
      <c r="AA142" s="60">
        <v>0.68055555555555547</v>
      </c>
      <c r="AB142" s="158">
        <f>IF(PA[[#This Row],[Acknowledgement Time ]]="NA","",(PA[[#This Row],[Acknowledgement Time ]]-PA[[#This Row],[Fault Time]])*24)</f>
        <v>0</v>
      </c>
      <c r="AC142" s="158">
        <f>IF(PA[[#This Row],[Work Start time on Fault]]="NA","",(PA[[#This Row],[Work Start time on Fault]]-PA[[#This Row],[Fault Time]])*24)</f>
        <v>10.283333333333331</v>
      </c>
      <c r="AD142" s="112">
        <f>IF(PA[[#This Row],[Status]]="Open","",(PA[[#This Row],[Work Completion time on fault]]-PA[[#This Row],[Fault Time]])*24)</f>
        <v>10.533333333333331</v>
      </c>
      <c r="AE142" s="111">
        <f>IFERROR((PA[[#This Row],[Work Completion time on fault]]-PA[[#This Row],[Fault Time]])*24,"")</f>
        <v>10.533333333333331</v>
      </c>
      <c r="AF142" s="228" t="s">
        <v>684</v>
      </c>
      <c r="AG142" s="6" t="s">
        <v>1275</v>
      </c>
      <c r="AH142" s="53">
        <f>IFERROR(PA[[#This Row],[Breakdown Time]]*PA[[#This Row],[Plant Equivalent Weightage]],"")</f>
        <v>4.1659925093632949E-2</v>
      </c>
      <c r="AI142" s="59">
        <v>2.54</v>
      </c>
      <c r="AJ142" s="89">
        <f>IFERROR(IF(PA[[#This Row],[Lost PoA(kWh/m2)]]&gt;0,_xlfn.XLOOKUP(G142,'Modelling New'!$D:$D,'Modelling New'!$O:$O)*PA[[#This Row],[Lost PoA(kWh/m2)]]*S142,0),"")</f>
        <v>42.307876507633488</v>
      </c>
    </row>
    <row r="143" spans="1:36" hidden="1" x14ac:dyDescent="0.25">
      <c r="A143" s="57">
        <v>1831</v>
      </c>
      <c r="B143" s="262">
        <v>45788</v>
      </c>
      <c r="C143" s="59"/>
      <c r="D143" s="6">
        <f>YEAR(PA[[#This Row],[Date]])</f>
        <v>2025</v>
      </c>
      <c r="E143" s="129" t="s">
        <v>73</v>
      </c>
      <c r="F143" s="130" t="s">
        <v>73</v>
      </c>
      <c r="G143" s="301">
        <v>45778</v>
      </c>
      <c r="H143" s="56">
        <f>DAY(EOMONTH(PA[[#This Row],[Date]], 0))</f>
        <v>31</v>
      </c>
      <c r="I143" s="60">
        <v>0.24166666666666667</v>
      </c>
      <c r="J143" s="60">
        <v>0.76041666666666663</v>
      </c>
      <c r="K143" s="53">
        <f>IFERROR((PA[[#This Row],[Sunset Time (POA&lt;20 W/m2)]]-PA[[#This Row],[Sunrise Time (POA&gt;20 W/m2)]])*24,"")</f>
        <v>12.45</v>
      </c>
      <c r="L143" s="59" t="s">
        <v>606</v>
      </c>
      <c r="M143" s="59"/>
      <c r="N143" s="59"/>
      <c r="O143" s="128" t="s">
        <v>581</v>
      </c>
      <c r="P143" s="56"/>
      <c r="Q143" s="6"/>
      <c r="R14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BLK7INV32</v>
      </c>
      <c r="S143" s="53">
        <v>22</v>
      </c>
      <c r="T143" s="90">
        <f>IFERROR(_xlfn.XLOOKUP(PA[[#This Row],[Affected Equipment ]],'Basic Data '!A:A,'Basic Data '!C:C),"")</f>
        <v>2.3895131086142324E-3</v>
      </c>
      <c r="U143" s="59" t="s">
        <v>592</v>
      </c>
      <c r="V143" s="88"/>
      <c r="W143" s="114" t="s">
        <v>685</v>
      </c>
      <c r="X143" s="60">
        <v>0.4597222222222222</v>
      </c>
      <c r="Y143" s="60">
        <v>0.4597222222222222</v>
      </c>
      <c r="Z143" s="60">
        <v>0.53125</v>
      </c>
      <c r="AA143" s="60">
        <v>0.72222222222222221</v>
      </c>
      <c r="AB143" s="158">
        <f>IF(PA[[#This Row],[Acknowledgement Time ]]="NA","",(PA[[#This Row],[Acknowledgement Time ]]-PA[[#This Row],[Fault Time]])*24)</f>
        <v>0</v>
      </c>
      <c r="AC143" s="158">
        <f>IF(PA[[#This Row],[Work Start time on Fault]]="NA","",(PA[[#This Row],[Work Start time on Fault]]-PA[[#This Row],[Fault Time]])*24)</f>
        <v>1.7166666666666672</v>
      </c>
      <c r="AD143" s="112">
        <f>IF(PA[[#This Row],[Status]]="Open","",(PA[[#This Row],[Work Completion time on fault]]-PA[[#This Row],[Fault Time]])*24)</f>
        <v>6.3000000000000007</v>
      </c>
      <c r="AE143" s="111">
        <f>IFERROR((PA[[#This Row],[Work Completion time on fault]]-PA[[#This Row],[Fault Time]])*24,"")</f>
        <v>6.3000000000000007</v>
      </c>
      <c r="AF143" s="228" t="s">
        <v>686</v>
      </c>
      <c r="AG143" s="6" t="s">
        <v>1275</v>
      </c>
      <c r="AH143" s="53">
        <v>0</v>
      </c>
      <c r="AI143" s="59">
        <v>2.64</v>
      </c>
      <c r="AJ143" s="89">
        <f>IFERROR(IF(PA[[#This Row],[Lost PoA(kWh/m2)]]&gt;0,_xlfn.XLOOKUP(G143,'Modelling New'!$D:$D,'Modelling New'!$O:$O)*PA[[#This Row],[Lost PoA(kWh/m2)]]*S143,0),"")</f>
        <v>43.973540937067881</v>
      </c>
    </row>
    <row r="144" spans="1:36" hidden="1" x14ac:dyDescent="0.25">
      <c r="A144" s="57">
        <v>1832</v>
      </c>
      <c r="B144" s="262">
        <v>45789</v>
      </c>
      <c r="C144" s="59"/>
      <c r="D144" s="6">
        <f>YEAR(PA[[#This Row],[Date]])</f>
        <v>2025</v>
      </c>
      <c r="E144" s="129" t="s">
        <v>73</v>
      </c>
      <c r="F144" s="130" t="s">
        <v>73</v>
      </c>
      <c r="G144" s="301">
        <v>45778</v>
      </c>
      <c r="H144" s="56">
        <f>DAY(EOMONTH(PA[[#This Row],[Date]], 0))</f>
        <v>31</v>
      </c>
      <c r="I144" s="60">
        <v>0.2590277777777778</v>
      </c>
      <c r="J144" s="60">
        <v>0.77222222222222225</v>
      </c>
      <c r="K144" s="53">
        <f>IFERROR((PA[[#This Row],[Sunset Time (POA&lt;20 W/m2)]]-PA[[#This Row],[Sunrise Time (POA&gt;20 W/m2)]])*24,"")</f>
        <v>12.316666666666668</v>
      </c>
      <c r="L144" s="59" t="s">
        <v>559</v>
      </c>
      <c r="M144" s="59"/>
      <c r="N144" s="59"/>
      <c r="O144" s="128" t="s">
        <v>595</v>
      </c>
      <c r="P144" s="56"/>
      <c r="Q144" s="6"/>
      <c r="R14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BLK2INV11</v>
      </c>
      <c r="S144" s="53">
        <v>22</v>
      </c>
      <c r="T144" s="90">
        <f>IFERROR(_xlfn.XLOOKUP(PA[[#This Row],[Affected Equipment ]],'Basic Data '!A:A,'Basic Data '!C:C),"")</f>
        <v>4.0000000000000001E-3</v>
      </c>
      <c r="U144" s="59" t="s">
        <v>592</v>
      </c>
      <c r="V144" s="88"/>
      <c r="W144" s="114" t="s">
        <v>687</v>
      </c>
      <c r="X144" s="60">
        <v>0.2590277777777778</v>
      </c>
      <c r="Y144" s="60">
        <v>0.2590277777777778</v>
      </c>
      <c r="Z144" s="60">
        <v>0.375</v>
      </c>
      <c r="AA144" s="60">
        <v>0.39652777777777781</v>
      </c>
      <c r="AB144" s="158">
        <f>IF(PA[[#This Row],[Acknowledgement Time ]]="NA","",(PA[[#This Row],[Acknowledgement Time ]]-PA[[#This Row],[Fault Time]])*24)</f>
        <v>0</v>
      </c>
      <c r="AC144" s="158">
        <f>IF(PA[[#This Row],[Work Start time on Fault]]="NA","",(PA[[#This Row],[Work Start time on Fault]]-PA[[#This Row],[Fault Time]])*24)</f>
        <v>2.7833333333333328</v>
      </c>
      <c r="AD144" s="112">
        <f>IF(PA[[#This Row],[Status]]="Open","",(PA[[#This Row],[Work Completion time on fault]]-PA[[#This Row],[Fault Time]])*24)</f>
        <v>3.3000000000000003</v>
      </c>
      <c r="AE144" s="111">
        <f>IFERROR((PA[[#This Row],[Work Completion time on fault]]-PA[[#This Row],[Fault Time]])*24,"")</f>
        <v>3.3000000000000003</v>
      </c>
      <c r="AF144" s="228" t="s">
        <v>655</v>
      </c>
      <c r="AG144" s="6" t="s">
        <v>1275</v>
      </c>
      <c r="AH144" s="53">
        <f>IFERROR(PA[[#This Row],[Breakdown Time]]*PA[[#This Row],[Plant Equivalent Weightage]],"")</f>
        <v>1.3200000000000002E-2</v>
      </c>
      <c r="AI144" s="59">
        <v>0.69399999999999995</v>
      </c>
      <c r="AJ144" s="89">
        <f>IFERROR(IF(PA[[#This Row],[Lost PoA(kWh/m2)]]&gt;0,_xlfn.XLOOKUP(G144,'Modelling New'!$D:$D,'Modelling New'!$O:$O)*PA[[#This Row],[Lost PoA(kWh/m2)]]*S144,0),"")</f>
        <v>11.559711140274661</v>
      </c>
    </row>
    <row r="145" spans="1:36" hidden="1" x14ac:dyDescent="0.25">
      <c r="A145" s="57">
        <v>1833</v>
      </c>
      <c r="B145" s="262">
        <v>45789</v>
      </c>
      <c r="C145" s="59"/>
      <c r="D145" s="6">
        <f>YEAR(PA[[#This Row],[Date]])</f>
        <v>2025</v>
      </c>
      <c r="E145" s="129" t="s">
        <v>73</v>
      </c>
      <c r="F145" s="130" t="s">
        <v>73</v>
      </c>
      <c r="G145" s="301">
        <v>45778</v>
      </c>
      <c r="H145" s="56">
        <f>DAY(EOMONTH(PA[[#This Row],[Date]], 0))</f>
        <v>31</v>
      </c>
      <c r="I145" s="60">
        <v>0.2590277777777778</v>
      </c>
      <c r="J145" s="60">
        <v>0.77222222222222225</v>
      </c>
      <c r="K145" s="53">
        <f>IFERROR((PA[[#This Row],[Sunset Time (POA&lt;20 W/m2)]]-PA[[#This Row],[Sunrise Time (POA&gt;20 W/m2)]])*24,"")</f>
        <v>12.316666666666668</v>
      </c>
      <c r="L145" s="59" t="s">
        <v>597</v>
      </c>
      <c r="M145" s="59"/>
      <c r="N145" s="59"/>
      <c r="O145" s="128" t="s">
        <v>580</v>
      </c>
      <c r="P145" s="56"/>
      <c r="Q145" s="6"/>
      <c r="R14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BLK3INV31</v>
      </c>
      <c r="S145" s="53">
        <v>22</v>
      </c>
      <c r="T145" s="90">
        <f>IFERROR(_xlfn.XLOOKUP(PA[[#This Row],[Affected Equipment ]],'Basic Data '!A:A,'Basic Data '!C:C),"")</f>
        <v>4.0000000000000001E-3</v>
      </c>
      <c r="U145" s="59" t="s">
        <v>592</v>
      </c>
      <c r="V145" s="88"/>
      <c r="W145" s="114" t="s">
        <v>688</v>
      </c>
      <c r="X145" s="60">
        <v>0.2590277777777778</v>
      </c>
      <c r="Y145" s="60">
        <v>0.2590277777777778</v>
      </c>
      <c r="Z145" s="60">
        <v>0.42430555555555555</v>
      </c>
      <c r="AA145" s="60">
        <v>0.43263888888888885</v>
      </c>
      <c r="AB145" s="158">
        <f>IF(PA[[#This Row],[Acknowledgement Time ]]="NA","",(PA[[#This Row],[Acknowledgement Time ]]-PA[[#This Row],[Fault Time]])*24)</f>
        <v>0</v>
      </c>
      <c r="AC145" s="158">
        <f>IF(PA[[#This Row],[Work Start time on Fault]]="NA","",(PA[[#This Row],[Work Start time on Fault]]-PA[[#This Row],[Fault Time]])*24)</f>
        <v>3.9666666666666659</v>
      </c>
      <c r="AD145" s="112">
        <f>IF(PA[[#This Row],[Status]]="Open","",(PA[[#This Row],[Work Completion time on fault]]-PA[[#This Row],[Fault Time]])*24)</f>
        <v>4.1666666666666652</v>
      </c>
      <c r="AE145" s="111">
        <f>IFERROR((PA[[#This Row],[Work Completion time on fault]]-PA[[#This Row],[Fault Time]])*24,"")</f>
        <v>4.1666666666666652</v>
      </c>
      <c r="AF145" s="228" t="s">
        <v>655</v>
      </c>
      <c r="AG145" s="6" t="s">
        <v>1275</v>
      </c>
      <c r="AH145" s="53">
        <f>IFERROR(PA[[#This Row],[Breakdown Time]]*PA[[#This Row],[Plant Equivalent Weightage]],"")</f>
        <v>1.6666666666666659E-2</v>
      </c>
      <c r="AI145" s="59">
        <v>1.47</v>
      </c>
      <c r="AJ145" s="89">
        <f>IFERROR(IF(PA[[#This Row],[Lost PoA(kWh/m2)]]&gt;0,_xlfn.XLOOKUP(G145,'Modelling New'!$D:$D,'Modelling New'!$O:$O)*PA[[#This Row],[Lost PoA(kWh/m2)]]*S145,0),"")</f>
        <v>24.485267112685523</v>
      </c>
    </row>
    <row r="146" spans="1:36" hidden="1" x14ac:dyDescent="0.25">
      <c r="A146" s="57">
        <v>1834</v>
      </c>
      <c r="B146" s="262">
        <v>45789</v>
      </c>
      <c r="C146" s="59"/>
      <c r="D146" s="6">
        <f>YEAR(PA[[#This Row],[Date]])</f>
        <v>2025</v>
      </c>
      <c r="E146" s="129" t="s">
        <v>73</v>
      </c>
      <c r="F146" s="130" t="s">
        <v>73</v>
      </c>
      <c r="G146" s="301">
        <v>45778</v>
      </c>
      <c r="H146" s="56">
        <f>DAY(EOMONTH(PA[[#This Row],[Date]], 0))</f>
        <v>31</v>
      </c>
      <c r="I146" s="60">
        <v>0.2590277777777778</v>
      </c>
      <c r="J146" s="60">
        <v>0.77222222222222225</v>
      </c>
      <c r="K146" s="53">
        <f>IFERROR((PA[[#This Row],[Sunset Time (POA&lt;20 W/m2)]]-PA[[#This Row],[Sunrise Time (POA&gt;20 W/m2)]])*24,"")</f>
        <v>12.316666666666668</v>
      </c>
      <c r="L146" s="59" t="s">
        <v>615</v>
      </c>
      <c r="M146" s="59"/>
      <c r="N146" s="59"/>
      <c r="O146" s="128" t="s">
        <v>617</v>
      </c>
      <c r="P146" s="56"/>
      <c r="Q146" s="6"/>
      <c r="R14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BLK6INV8</v>
      </c>
      <c r="S146" s="53">
        <v>22</v>
      </c>
      <c r="T146" s="90">
        <f>IFERROR(_xlfn.XLOOKUP(PA[[#This Row],[Affected Equipment ]],'Basic Data '!A:A,'Basic Data '!C:C),"")</f>
        <v>4.4494382022471912E-3</v>
      </c>
      <c r="U146" s="59" t="s">
        <v>566</v>
      </c>
      <c r="V146" s="88"/>
      <c r="W146" s="114" t="s">
        <v>689</v>
      </c>
      <c r="X146" s="60">
        <v>0.41597222222222219</v>
      </c>
      <c r="Y146" s="60">
        <v>0.41597222222222219</v>
      </c>
      <c r="Z146" s="60">
        <v>0.45833333333333331</v>
      </c>
      <c r="AA146" s="60">
        <v>0.47083333333333338</v>
      </c>
      <c r="AB146" s="158">
        <f>IF(PA[[#This Row],[Acknowledgement Time ]]="NA","",(PA[[#This Row],[Acknowledgement Time ]]-PA[[#This Row],[Fault Time]])*24)</f>
        <v>0</v>
      </c>
      <c r="AC146" s="158">
        <f>IF(PA[[#This Row],[Work Start time on Fault]]="NA","",(PA[[#This Row],[Work Start time on Fault]]-PA[[#This Row],[Fault Time]])*24)</f>
        <v>1.0166666666666671</v>
      </c>
      <c r="AD146" s="112">
        <f>IF(PA[[#This Row],[Status]]="Open","",(PA[[#This Row],[Work Completion time on fault]]-PA[[#This Row],[Fault Time]])*24)</f>
        <v>1.3166666666666687</v>
      </c>
      <c r="AE146" s="111">
        <f>IFERROR((PA[[#This Row],[Work Completion time on fault]]-PA[[#This Row],[Fault Time]])*24,"")</f>
        <v>1.3166666666666687</v>
      </c>
      <c r="AF146" s="228" t="s">
        <v>690</v>
      </c>
      <c r="AG146" s="6" t="s">
        <v>1275</v>
      </c>
      <c r="AH146" s="53">
        <f>IFERROR(PA[[#This Row],[Breakdown Time]]*PA[[#This Row],[Plant Equivalent Weightage]],"")</f>
        <v>5.8584269662921443E-3</v>
      </c>
      <c r="AI146" s="59">
        <v>1.1299999999999999</v>
      </c>
      <c r="AJ146" s="89">
        <f>IFERROR(IF(PA[[#This Row],[Lost PoA(kWh/m2)]]&gt;0,_xlfn.XLOOKUP(G146,'Modelling New'!$D:$D,'Modelling New'!$O:$O)*PA[[#This Row],[Lost PoA(kWh/m2)]]*S146,0),"")</f>
        <v>18.822008052608595</v>
      </c>
    </row>
    <row r="147" spans="1:36" hidden="1" x14ac:dyDescent="0.25">
      <c r="A147" s="57">
        <v>1835</v>
      </c>
      <c r="B147" s="262">
        <v>45789</v>
      </c>
      <c r="C147" s="59"/>
      <c r="D147" s="6">
        <f>YEAR(PA[[#This Row],[Date]])</f>
        <v>2025</v>
      </c>
      <c r="E147" s="129" t="s">
        <v>73</v>
      </c>
      <c r="F147" s="130" t="s">
        <v>73</v>
      </c>
      <c r="G147" s="301">
        <v>45778</v>
      </c>
      <c r="H147" s="56">
        <f>DAY(EOMONTH(PA[[#This Row],[Date]], 0))</f>
        <v>31</v>
      </c>
      <c r="I147" s="60">
        <v>0.2590277777777778</v>
      </c>
      <c r="J147" s="60">
        <v>0.77222222222222225</v>
      </c>
      <c r="K147" s="53">
        <f>IFERROR((PA[[#This Row],[Sunset Time (POA&lt;20 W/m2)]]-PA[[#This Row],[Sunrise Time (POA&gt;20 W/m2)]])*24,"")</f>
        <v>12.316666666666668</v>
      </c>
      <c r="L147" s="59" t="s">
        <v>579</v>
      </c>
      <c r="M147" s="59"/>
      <c r="N147" s="59"/>
      <c r="O147" s="128" t="s">
        <v>618</v>
      </c>
      <c r="P147" s="56"/>
      <c r="Q147" s="6"/>
      <c r="R14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BLK8INV15</v>
      </c>
      <c r="S147" s="53">
        <v>22</v>
      </c>
      <c r="T147" s="90">
        <f>IFERROR(_xlfn.XLOOKUP(PA[[#This Row],[Affected Equipment ]],'Basic Data '!A:A,'Basic Data '!C:C),"")</f>
        <v>4.0044943820224709E-3</v>
      </c>
      <c r="U147" s="59" t="s">
        <v>592</v>
      </c>
      <c r="V147" s="88"/>
      <c r="W147" s="114" t="s">
        <v>691</v>
      </c>
      <c r="X147" s="60">
        <v>0.2590277777777778</v>
      </c>
      <c r="Y147" s="60">
        <v>0.6875</v>
      </c>
      <c r="Z147" s="60"/>
      <c r="AA147" s="60"/>
      <c r="AB147" s="158">
        <f>IF(PA[[#This Row],[Acknowledgement Time ]]="NA","",(PA[[#This Row],[Acknowledgement Time ]]-PA[[#This Row],[Fault Time]])*24)</f>
        <v>10.283333333333333</v>
      </c>
      <c r="AC147" s="158">
        <f>IF(PA[[#This Row],[Work Start time on Fault]]="NA","",(PA[[#This Row],[Work Start time on Fault]]-PA[[#This Row],[Fault Time]])*24)</f>
        <v>-6.2166666666666668</v>
      </c>
      <c r="AD147" s="112">
        <f>IF(PA[[#This Row],[Status]]="Open","",(PA[[#This Row],[Work Completion time on fault]]-PA[[#This Row],[Fault Time]])*24)</f>
        <v>-6.2166666666666668</v>
      </c>
      <c r="AE147" s="111">
        <f>IFERROR((PA[[#This Row],[Work Completion time on fault]]-PA[[#This Row],[Fault Time]])*24,"")</f>
        <v>-6.2166666666666668</v>
      </c>
      <c r="AF147" s="228" t="s">
        <v>1327</v>
      </c>
      <c r="AG147" s="6" t="s">
        <v>1275</v>
      </c>
      <c r="AH147" s="53">
        <f>IFERROR(PA[[#This Row],[Breakdown Time]]*PA[[#This Row],[Plant Equivalent Weightage]],"")</f>
        <v>-2.4894606741573028E-2</v>
      </c>
      <c r="AI147" s="59"/>
      <c r="AJ147" s="89">
        <f>IFERROR(IF(PA[[#This Row],[Lost PoA(kWh/m2)]]&gt;0,_xlfn.XLOOKUP(G147,'Modelling New'!$D:$D,'Modelling New'!$O:$O)*PA[[#This Row],[Lost PoA(kWh/m2)]]*S147,0),"")</f>
        <v>0</v>
      </c>
    </row>
    <row r="148" spans="1:36" hidden="1" x14ac:dyDescent="0.25">
      <c r="A148" s="57">
        <v>1836</v>
      </c>
      <c r="B148" s="262">
        <v>45790</v>
      </c>
      <c r="C148" s="59"/>
      <c r="D148" s="6">
        <f>YEAR(PA[[#This Row],[Date]])</f>
        <v>2025</v>
      </c>
      <c r="E148" s="129" t="s">
        <v>73</v>
      </c>
      <c r="F148" s="130" t="s">
        <v>73</v>
      </c>
      <c r="G148" s="301">
        <v>45778</v>
      </c>
      <c r="H148" s="56">
        <f>DAY(EOMONTH(PA[[#This Row],[Date]], 0))</f>
        <v>31</v>
      </c>
      <c r="I148" s="60">
        <v>0.25208333333333333</v>
      </c>
      <c r="J148" s="60">
        <v>0.77083333333333337</v>
      </c>
      <c r="K148" s="53">
        <f>IFERROR((PA[[#This Row],[Sunset Time (POA&lt;20 W/m2)]]-PA[[#This Row],[Sunrise Time (POA&gt;20 W/m2)]])*24,"")</f>
        <v>12.450000000000001</v>
      </c>
      <c r="L148" s="59" t="s">
        <v>621</v>
      </c>
      <c r="M148" s="59"/>
      <c r="N148" s="59"/>
      <c r="O148" s="128" t="s">
        <v>565</v>
      </c>
      <c r="P148" s="56"/>
      <c r="Q148" s="6"/>
      <c r="R14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v>
      </c>
      <c r="S148" s="53">
        <v>22</v>
      </c>
      <c r="T148" s="90">
        <f>IFERROR(_xlfn.XLOOKUP(PA[[#This Row],[Affected Equipment ]],'Basic Data '!A:A,'Basic Data '!C:C),"")</f>
        <v>4.4999999999999997E-3</v>
      </c>
      <c r="U148" s="59" t="s">
        <v>592</v>
      </c>
      <c r="V148" s="88"/>
      <c r="W148" s="114" t="s">
        <v>656</v>
      </c>
      <c r="X148" s="60">
        <v>0.25208333333333333</v>
      </c>
      <c r="Y148" s="60">
        <v>0.25208333333333333</v>
      </c>
      <c r="Z148" s="60">
        <v>0.38541666666666669</v>
      </c>
      <c r="AA148" s="60">
        <v>0.38958333333333334</v>
      </c>
      <c r="AB148" s="158">
        <f>IF(PA[[#This Row],[Acknowledgement Time ]]="NA","",(PA[[#This Row],[Acknowledgement Time ]]-PA[[#This Row],[Fault Time]])*24)</f>
        <v>0</v>
      </c>
      <c r="AC148" s="158">
        <f>IF(PA[[#This Row],[Work Start time on Fault]]="NA","",(PA[[#This Row],[Work Start time on Fault]]-PA[[#This Row],[Fault Time]])*24)</f>
        <v>3.2000000000000006</v>
      </c>
      <c r="AD148" s="112">
        <f>IF(PA[[#This Row],[Status]]="Open","",(PA[[#This Row],[Work Completion time on fault]]-PA[[#This Row],[Fault Time]])*24)</f>
        <v>3.3000000000000003</v>
      </c>
      <c r="AE148" s="111">
        <f>IFERROR((PA[[#This Row],[Work Completion time on fault]]-PA[[#This Row],[Fault Time]])*24,"")</f>
        <v>3.3000000000000003</v>
      </c>
      <c r="AF148" s="228" t="s">
        <v>655</v>
      </c>
      <c r="AG148" s="6" t="s">
        <v>1275</v>
      </c>
      <c r="AH148" s="53">
        <f>IFERROR(PA[[#This Row],[Breakdown Time]]*PA[[#This Row],[Plant Equivalent Weightage]],"")</f>
        <v>1.485E-2</v>
      </c>
      <c r="AI148" s="59">
        <v>0.78800000000000003</v>
      </c>
      <c r="AJ148" s="89">
        <f>IFERROR(IF(PA[[#This Row],[Lost PoA(kWh/m2)]]&gt;0,_xlfn.XLOOKUP(G148,'Modelling New'!$D:$D,'Modelling New'!$O:$O)*PA[[#This Row],[Lost PoA(kWh/m2)]]*S148,0),"")</f>
        <v>13.125435703942989</v>
      </c>
    </row>
    <row r="149" spans="1:36" hidden="1" x14ac:dyDescent="0.25">
      <c r="A149" s="57">
        <v>1837</v>
      </c>
      <c r="B149" s="262">
        <v>45790</v>
      </c>
      <c r="C149" s="59"/>
      <c r="D149" s="6">
        <f>YEAR(PA[[#This Row],[Date]])</f>
        <v>2025</v>
      </c>
      <c r="E149" s="129" t="s">
        <v>73</v>
      </c>
      <c r="F149" s="130" t="s">
        <v>73</v>
      </c>
      <c r="G149" s="301">
        <v>45778</v>
      </c>
      <c r="H149" s="56">
        <f>DAY(EOMONTH(PA[[#This Row],[Date]], 0))</f>
        <v>31</v>
      </c>
      <c r="I149" s="60">
        <v>0.25208333333333333</v>
      </c>
      <c r="J149" s="60">
        <v>0.77083333333333337</v>
      </c>
      <c r="K149" s="53">
        <f>IFERROR((PA[[#This Row],[Sunset Time (POA&lt;20 W/m2)]]-PA[[#This Row],[Sunrise Time (POA&gt;20 W/m2)]])*24,"")</f>
        <v>12.450000000000001</v>
      </c>
      <c r="L149" s="59" t="s">
        <v>564</v>
      </c>
      <c r="M149" s="59"/>
      <c r="N149" s="59"/>
      <c r="O149" s="128" t="s">
        <v>591</v>
      </c>
      <c r="P149" s="56"/>
      <c r="Q149" s="6"/>
      <c r="R14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BLK5INV5</v>
      </c>
      <c r="S149" s="53">
        <v>22</v>
      </c>
      <c r="T149" s="90">
        <f>IFERROR(_xlfn.XLOOKUP(PA[[#This Row],[Affected Equipment ]],'Basic Data '!A:A,'Basic Data '!C:C),"")</f>
        <v>4.4999999999999997E-3</v>
      </c>
      <c r="U149" s="59" t="s">
        <v>592</v>
      </c>
      <c r="V149" s="88"/>
      <c r="W149" s="114" t="s">
        <v>692</v>
      </c>
      <c r="X149" s="60">
        <v>0.25208333333333333</v>
      </c>
      <c r="Y149" s="60">
        <v>0.25208333333333333</v>
      </c>
      <c r="Z149" s="60">
        <v>0.54861111111111105</v>
      </c>
      <c r="AA149" s="60">
        <v>0.55763888888888891</v>
      </c>
      <c r="AB149" s="158">
        <f>IF(PA[[#This Row],[Acknowledgement Time ]]="NA","",(PA[[#This Row],[Acknowledgement Time ]]-PA[[#This Row],[Fault Time]])*24)</f>
        <v>0</v>
      </c>
      <c r="AC149" s="158">
        <f>IF(PA[[#This Row],[Work Start time on Fault]]="NA","",(PA[[#This Row],[Work Start time on Fault]]-PA[[#This Row],[Fault Time]])*24)</f>
        <v>7.1166666666666654</v>
      </c>
      <c r="AD149" s="112">
        <f>IF(PA[[#This Row],[Status]]="Open","",(PA[[#This Row],[Work Completion time on fault]]-PA[[#This Row],[Fault Time]])*24)</f>
        <v>7.3333333333333339</v>
      </c>
      <c r="AE149" s="111">
        <f>IFERROR((PA[[#This Row],[Work Completion time on fault]]-PA[[#This Row],[Fault Time]])*24,"")</f>
        <v>7.3333333333333339</v>
      </c>
      <c r="AF149" s="228" t="s">
        <v>693</v>
      </c>
      <c r="AG149" s="6" t="s">
        <v>1275</v>
      </c>
      <c r="AH149" s="53">
        <f>IFERROR(PA[[#This Row],[Breakdown Time]]*PA[[#This Row],[Plant Equivalent Weightage]],"")</f>
        <v>3.3000000000000002E-2</v>
      </c>
      <c r="AI149" s="59">
        <v>3.62</v>
      </c>
      <c r="AJ149" s="89">
        <f>IFERROR(IF(PA[[#This Row],[Lost PoA(kWh/m2)]]&gt;0,_xlfn.XLOOKUP(G149,'Modelling New'!$D:$D,'Modelling New'!$O:$O)*PA[[#This Row],[Lost PoA(kWh/m2)]]*S149,0),"")</f>
        <v>60.297052345524889</v>
      </c>
    </row>
    <row r="150" spans="1:36" hidden="1" x14ac:dyDescent="0.25">
      <c r="A150" s="57">
        <v>1838</v>
      </c>
      <c r="B150" s="262">
        <v>45790</v>
      </c>
      <c r="C150" s="59"/>
      <c r="D150" s="6">
        <f>YEAR(PA[[#This Row],[Date]])</f>
        <v>2025</v>
      </c>
      <c r="E150" s="129" t="s">
        <v>73</v>
      </c>
      <c r="F150" s="130" t="s">
        <v>73</v>
      </c>
      <c r="G150" s="301">
        <v>45778</v>
      </c>
      <c r="H150" s="56">
        <f>DAY(EOMONTH(PA[[#This Row],[Date]], 0))</f>
        <v>31</v>
      </c>
      <c r="I150" s="60">
        <v>0.25208333333333333</v>
      </c>
      <c r="J150" s="60">
        <v>0.77083333333333337</v>
      </c>
      <c r="K150" s="53">
        <f>IFERROR((PA[[#This Row],[Sunset Time (POA&lt;20 W/m2)]]-PA[[#This Row],[Sunrise Time (POA&gt;20 W/m2)]])*24,"")</f>
        <v>12.450000000000001</v>
      </c>
      <c r="L150" s="59" t="s">
        <v>564</v>
      </c>
      <c r="M150" s="59"/>
      <c r="N150" s="59"/>
      <c r="O150" s="128" t="s">
        <v>641</v>
      </c>
      <c r="P150" s="56"/>
      <c r="Q150" s="6"/>
      <c r="R15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BLK5INV19</v>
      </c>
      <c r="S150" s="53">
        <v>22</v>
      </c>
      <c r="T150" s="90">
        <f>IFERROR(_xlfn.XLOOKUP(PA[[#This Row],[Affected Equipment ]],'Basic Data '!A:A,'Basic Data '!C:C),"")</f>
        <v>4.3333333333333331E-3</v>
      </c>
      <c r="U150" s="59" t="s">
        <v>592</v>
      </c>
      <c r="V150" s="88"/>
      <c r="W150" s="114" t="s">
        <v>656</v>
      </c>
      <c r="X150" s="60">
        <v>0.25208333333333333</v>
      </c>
      <c r="Y150" s="60">
        <v>0.25208333333333333</v>
      </c>
      <c r="Z150" s="60">
        <v>0.55555555555555558</v>
      </c>
      <c r="AA150" s="60">
        <v>0.55972222222222223</v>
      </c>
      <c r="AB150" s="158">
        <f>IF(PA[[#This Row],[Acknowledgement Time ]]="NA","",(PA[[#This Row],[Acknowledgement Time ]]-PA[[#This Row],[Fault Time]])*24)</f>
        <v>0</v>
      </c>
      <c r="AC150" s="158">
        <f>IF(PA[[#This Row],[Work Start time on Fault]]="NA","",(PA[[#This Row],[Work Start time on Fault]]-PA[[#This Row],[Fault Time]])*24)</f>
        <v>7.2833333333333341</v>
      </c>
      <c r="AD150" s="112">
        <f>IF(PA[[#This Row],[Status]]="Open","",(PA[[#This Row],[Work Completion time on fault]]-PA[[#This Row],[Fault Time]])*24)</f>
        <v>7.3833333333333337</v>
      </c>
      <c r="AE150" s="111">
        <f>IFERROR((PA[[#This Row],[Work Completion time on fault]]-PA[[#This Row],[Fault Time]])*24,"")</f>
        <v>7.3833333333333337</v>
      </c>
      <c r="AF150" s="228" t="s">
        <v>655</v>
      </c>
      <c r="AG150" s="6" t="s">
        <v>1275</v>
      </c>
      <c r="AH150" s="53">
        <f>IFERROR(PA[[#This Row],[Breakdown Time]]*PA[[#This Row],[Plant Equivalent Weightage]],"")</f>
        <v>3.1994444444444443E-2</v>
      </c>
      <c r="AI150" s="59">
        <v>3.71</v>
      </c>
      <c r="AJ150" s="89">
        <f>IFERROR(IF(PA[[#This Row],[Lost PoA(kWh/m2)]]&gt;0,_xlfn.XLOOKUP(G150,'Modelling New'!$D:$D,'Modelling New'!$O:$O)*PA[[#This Row],[Lost PoA(kWh/m2)]]*S150,0),"")</f>
        <v>61.796150332015841</v>
      </c>
    </row>
    <row r="151" spans="1:36" hidden="1" x14ac:dyDescent="0.25">
      <c r="A151" s="57">
        <v>1839</v>
      </c>
      <c r="B151" s="262">
        <v>45790</v>
      </c>
      <c r="C151" s="59"/>
      <c r="D151" s="6">
        <f>YEAR(PA[[#This Row],[Date]])</f>
        <v>2025</v>
      </c>
      <c r="E151" s="129" t="s">
        <v>73</v>
      </c>
      <c r="F151" s="130" t="s">
        <v>73</v>
      </c>
      <c r="G151" s="301">
        <v>45778</v>
      </c>
      <c r="H151" s="56">
        <f>DAY(EOMONTH(PA[[#This Row],[Date]], 0))</f>
        <v>31</v>
      </c>
      <c r="I151" s="60">
        <v>0.25208333333333333</v>
      </c>
      <c r="J151" s="60">
        <v>0.77083333333333337</v>
      </c>
      <c r="K151" s="53">
        <f>IFERROR((PA[[#This Row],[Sunset Time (POA&lt;20 W/m2)]]-PA[[#This Row],[Sunrise Time (POA&gt;20 W/m2)]])*24,"")</f>
        <v>12.450000000000001</v>
      </c>
      <c r="L151" s="59" t="s">
        <v>564</v>
      </c>
      <c r="M151" s="59"/>
      <c r="N151" s="59"/>
      <c r="O151" s="128" t="s">
        <v>600</v>
      </c>
      <c r="P151" s="56"/>
      <c r="Q151" s="6"/>
      <c r="R15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BLK5INV17</v>
      </c>
      <c r="S151" s="53">
        <v>22</v>
      </c>
      <c r="T151" s="90">
        <f>IFERROR(_xlfn.XLOOKUP(PA[[#This Row],[Affected Equipment ]],'Basic Data '!A:A,'Basic Data '!C:C),"")</f>
        <v>4.3333333333333331E-3</v>
      </c>
      <c r="U151" s="59" t="s">
        <v>592</v>
      </c>
      <c r="V151" s="88"/>
      <c r="W151" s="114" t="s">
        <v>656</v>
      </c>
      <c r="X151" s="60">
        <v>0.25208333333333333</v>
      </c>
      <c r="Y151" s="60">
        <v>0.25208333333333333</v>
      </c>
      <c r="Z151" s="60">
        <v>0.55208333333333337</v>
      </c>
      <c r="AA151" s="60">
        <v>0.56319444444444444</v>
      </c>
      <c r="AB151" s="158">
        <f>IF(PA[[#This Row],[Acknowledgement Time ]]="NA","",(PA[[#This Row],[Acknowledgement Time ]]-PA[[#This Row],[Fault Time]])*24)</f>
        <v>0</v>
      </c>
      <c r="AC151" s="158">
        <f>IF(PA[[#This Row],[Work Start time on Fault]]="NA","",(PA[[#This Row],[Work Start time on Fault]]-PA[[#This Row],[Fault Time]])*24)</f>
        <v>7.2000000000000011</v>
      </c>
      <c r="AD151" s="112">
        <f>IF(PA[[#This Row],[Status]]="Open","",(PA[[#This Row],[Work Completion time on fault]]-PA[[#This Row],[Fault Time]])*24)</f>
        <v>7.4666666666666668</v>
      </c>
      <c r="AE151" s="111">
        <f>IFERROR((PA[[#This Row],[Work Completion time on fault]]-PA[[#This Row],[Fault Time]])*24,"")</f>
        <v>7.4666666666666668</v>
      </c>
      <c r="AF151" s="228" t="s">
        <v>655</v>
      </c>
      <c r="AG151" s="6" t="s">
        <v>1275</v>
      </c>
      <c r="AH151" s="53">
        <f>IFERROR(PA[[#This Row],[Breakdown Time]]*PA[[#This Row],[Plant Equivalent Weightage]],"")</f>
        <v>3.2355555555555554E-2</v>
      </c>
      <c r="AI151" s="59">
        <v>3.61</v>
      </c>
      <c r="AJ151" s="89">
        <f>IFERROR(IF(PA[[#This Row],[Lost PoA(kWh/m2)]]&gt;0,_xlfn.XLOOKUP(G151,'Modelling New'!$D:$D,'Modelling New'!$O:$O)*PA[[#This Row],[Lost PoA(kWh/m2)]]*S151,0),"")</f>
        <v>60.130485902581448</v>
      </c>
    </row>
    <row r="152" spans="1:36" hidden="1" x14ac:dyDescent="0.25">
      <c r="A152" s="57">
        <v>1840</v>
      </c>
      <c r="B152" s="262">
        <v>45790</v>
      </c>
      <c r="C152" s="59"/>
      <c r="D152" s="6">
        <f>YEAR(PA[[#This Row],[Date]])</f>
        <v>2025</v>
      </c>
      <c r="E152" s="129" t="s">
        <v>73</v>
      </c>
      <c r="F152" s="130" t="s">
        <v>73</v>
      </c>
      <c r="G152" s="301">
        <v>45778</v>
      </c>
      <c r="H152" s="56">
        <f>DAY(EOMONTH(PA[[#This Row],[Date]], 0))</f>
        <v>31</v>
      </c>
      <c r="I152" s="60">
        <v>0.25208333333333333</v>
      </c>
      <c r="J152" s="60">
        <v>0.77083333333333337</v>
      </c>
      <c r="K152" s="53">
        <f>IFERROR((PA[[#This Row],[Sunset Time (POA&lt;20 W/m2)]]-PA[[#This Row],[Sunrise Time (POA&gt;20 W/m2)]])*24,"")</f>
        <v>12.450000000000001</v>
      </c>
      <c r="L152" s="59" t="s">
        <v>564</v>
      </c>
      <c r="M152" s="59"/>
      <c r="N152" s="59"/>
      <c r="O152" s="128" t="s">
        <v>644</v>
      </c>
      <c r="P152" s="56"/>
      <c r="Q152" s="6"/>
      <c r="R15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BLK5INV4</v>
      </c>
      <c r="S152" s="53">
        <v>22</v>
      </c>
      <c r="T152" s="90">
        <f>IFERROR(_xlfn.XLOOKUP(PA[[#This Row],[Affected Equipment ]],'Basic Data '!A:A,'Basic Data '!C:C),"")</f>
        <v>4.4999999999999997E-3</v>
      </c>
      <c r="U152" s="59" t="s">
        <v>592</v>
      </c>
      <c r="V152" s="88"/>
      <c r="W152" s="114" t="s">
        <v>656</v>
      </c>
      <c r="X152" s="60">
        <v>0.25208333333333333</v>
      </c>
      <c r="Y152" s="60">
        <v>0.25208333333333333</v>
      </c>
      <c r="Z152" s="60">
        <v>0.64236111111111105</v>
      </c>
      <c r="AA152" s="60">
        <v>0.64722222222222225</v>
      </c>
      <c r="AB152" s="158">
        <f>IF(PA[[#This Row],[Acknowledgement Time ]]="NA","",(PA[[#This Row],[Acknowledgement Time ]]-PA[[#This Row],[Fault Time]])*24)</f>
        <v>0</v>
      </c>
      <c r="AC152" s="158">
        <f>IF(PA[[#This Row],[Work Start time on Fault]]="NA","",(PA[[#This Row],[Work Start time on Fault]]-PA[[#This Row],[Fault Time]])*24)</f>
        <v>9.3666666666666654</v>
      </c>
      <c r="AD152" s="112">
        <f>IF(PA[[#This Row],[Status]]="Open","",(PA[[#This Row],[Work Completion time on fault]]-PA[[#This Row],[Fault Time]])*24)</f>
        <v>9.4833333333333343</v>
      </c>
      <c r="AE152" s="111">
        <f>IFERROR((PA[[#This Row],[Work Completion time on fault]]-PA[[#This Row],[Fault Time]])*24,"")</f>
        <v>9.4833333333333343</v>
      </c>
      <c r="AF152" s="228" t="s">
        <v>645</v>
      </c>
      <c r="AG152" s="6" t="s">
        <v>1275</v>
      </c>
      <c r="AH152" s="53">
        <f>IFERROR(PA[[#This Row],[Breakdown Time]]*PA[[#This Row],[Plant Equivalent Weightage]],"")</f>
        <v>4.2674999999999998E-2</v>
      </c>
      <c r="AI152" s="59">
        <v>5.51</v>
      </c>
      <c r="AJ152" s="89">
        <f>IFERROR(IF(PA[[#This Row],[Lost PoA(kWh/m2)]]&gt;0,_xlfn.XLOOKUP(G152,'Modelling New'!$D:$D,'Modelling New'!$O:$O)*PA[[#This Row],[Lost PoA(kWh/m2)]]*S152,0),"")</f>
        <v>91.778110061834852</v>
      </c>
    </row>
    <row r="153" spans="1:36" hidden="1" x14ac:dyDescent="0.25">
      <c r="A153" s="57">
        <v>1841</v>
      </c>
      <c r="B153" s="262">
        <v>45790</v>
      </c>
      <c r="C153" s="59"/>
      <c r="D153" s="6">
        <f>YEAR(PA[[#This Row],[Date]])</f>
        <v>2025</v>
      </c>
      <c r="E153" s="129" t="s">
        <v>73</v>
      </c>
      <c r="F153" s="130" t="s">
        <v>73</v>
      </c>
      <c r="G153" s="301">
        <v>45778</v>
      </c>
      <c r="H153" s="56">
        <f>DAY(EOMONTH(PA[[#This Row],[Date]], 0))</f>
        <v>31</v>
      </c>
      <c r="I153" s="60">
        <v>0.25208333333333333</v>
      </c>
      <c r="J153" s="60">
        <v>0.77083333333333337</v>
      </c>
      <c r="K153" s="53">
        <f>IFERROR((PA[[#This Row],[Sunset Time (POA&lt;20 W/m2)]]-PA[[#This Row],[Sunrise Time (POA&gt;20 W/m2)]])*24,"")</f>
        <v>12.450000000000001</v>
      </c>
      <c r="L153" s="59" t="s">
        <v>587</v>
      </c>
      <c r="M153" s="59"/>
      <c r="N153" s="59"/>
      <c r="O153" s="59" t="s">
        <v>789</v>
      </c>
      <c r="P153" s="56"/>
      <c r="Q153" s="6"/>
      <c r="R15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153" s="53">
        <v>4338</v>
      </c>
      <c r="T153" s="90">
        <f>IFERROR(_xlfn.XLOOKUP(PA[[#This Row],[Affected Equipment ]],'Basic Data '!A:A,'Basic Data '!C:C),"")</f>
        <v>0.13400000000000001</v>
      </c>
      <c r="U153" s="59" t="s">
        <v>573</v>
      </c>
      <c r="V153" s="88"/>
      <c r="W153" s="114" t="s">
        <v>667</v>
      </c>
      <c r="X153" s="60">
        <v>0.4236111111111111</v>
      </c>
      <c r="Y153" s="60">
        <v>0.4236111111111111</v>
      </c>
      <c r="Z153" s="60">
        <v>0.42708333333333331</v>
      </c>
      <c r="AA153" s="60">
        <v>0.44027777777777777</v>
      </c>
      <c r="AB153" s="158">
        <f>IF(PA[[#This Row],[Acknowledgement Time ]]="NA","",(PA[[#This Row],[Acknowledgement Time ]]-PA[[#This Row],[Fault Time]])*24)</f>
        <v>0</v>
      </c>
      <c r="AC153" s="158">
        <f>IF(PA[[#This Row],[Work Start time on Fault]]="NA","",(PA[[#This Row],[Work Start time on Fault]]-PA[[#This Row],[Fault Time]])*24)</f>
        <v>8.3333333333333037E-2</v>
      </c>
      <c r="AD153" s="112">
        <f>IF(PA[[#This Row],[Status]]="Open","",(PA[[#This Row],[Work Completion time on fault]]-PA[[#This Row],[Fault Time]])*24)</f>
        <v>0.39999999999999991</v>
      </c>
      <c r="AE153" s="111">
        <f>IFERROR((PA[[#This Row],[Work Completion time on fault]]-PA[[#This Row],[Fault Time]])*24,"")</f>
        <v>0.39999999999999991</v>
      </c>
      <c r="AF153" s="228" t="s">
        <v>694</v>
      </c>
      <c r="AG153" s="6" t="s">
        <v>1275</v>
      </c>
      <c r="AH153" s="53">
        <f>IFERROR(PA[[#This Row],[Breakdown Time]]*PA[[#This Row],[Plant Equivalent Weightage]],"")</f>
        <v>5.3599999999999988E-2</v>
      </c>
      <c r="AI153" s="59">
        <v>0.33</v>
      </c>
      <c r="AJ153" s="89">
        <f>IFERROR(IF(PA[[#This Row],[Lost PoA(kWh/m2)]]&gt;0,_xlfn.XLOOKUP(G153,'Modelling New'!$D:$D,'Modelling New'!$O:$O)*PA[[#This Row],[Lost PoA(kWh/m2)]]*S153,0),"")</f>
        <v>1083.8478442329572</v>
      </c>
    </row>
    <row r="154" spans="1:36" hidden="1" x14ac:dyDescent="0.25">
      <c r="A154" s="57">
        <v>1842</v>
      </c>
      <c r="B154" s="262">
        <v>45790</v>
      </c>
      <c r="C154" s="59"/>
      <c r="D154" s="6">
        <f>YEAR(PA[[#This Row],[Date]])</f>
        <v>2025</v>
      </c>
      <c r="E154" s="129" t="s">
        <v>73</v>
      </c>
      <c r="F154" s="130" t="s">
        <v>73</v>
      </c>
      <c r="G154" s="301">
        <v>45778</v>
      </c>
      <c r="H154" s="56">
        <f>DAY(EOMONTH(PA[[#This Row],[Date]], 0))</f>
        <v>31</v>
      </c>
      <c r="I154" s="60">
        <v>0.25208333333333333</v>
      </c>
      <c r="J154" s="60">
        <v>0.77083333333333337</v>
      </c>
      <c r="K154" s="53">
        <f>IFERROR((PA[[#This Row],[Sunset Time (POA&lt;20 W/m2)]]-PA[[#This Row],[Sunrise Time (POA&gt;20 W/m2)]])*24,"")</f>
        <v>12.450000000000001</v>
      </c>
      <c r="L154" s="59" t="s">
        <v>579</v>
      </c>
      <c r="M154" s="59"/>
      <c r="N154" s="59"/>
      <c r="O154" s="128" t="s">
        <v>618</v>
      </c>
      <c r="P154" s="56"/>
      <c r="Q154" s="6"/>
      <c r="R15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BLK8INV15</v>
      </c>
      <c r="S154" s="53">
        <v>22</v>
      </c>
      <c r="T154" s="90">
        <f>IFERROR(_xlfn.XLOOKUP(PA[[#This Row],[Affected Equipment ]],'Basic Data '!A:A,'Basic Data '!C:C),"")</f>
        <v>4.0044943820224709E-3</v>
      </c>
      <c r="U154" s="59" t="s">
        <v>592</v>
      </c>
      <c r="V154" s="88"/>
      <c r="W154" s="114" t="s">
        <v>691</v>
      </c>
      <c r="X154" s="60"/>
      <c r="Y154" s="60"/>
      <c r="Z154" s="60"/>
      <c r="AA154" s="60"/>
      <c r="AB154" s="158">
        <f>IF(PA[[#This Row],[Acknowledgement Time ]]="NA","",(PA[[#This Row],[Acknowledgement Time ]]-PA[[#This Row],[Fault Time]])*24)</f>
        <v>0</v>
      </c>
      <c r="AC154" s="158">
        <f>IF(PA[[#This Row],[Work Start time on Fault]]="NA","",(PA[[#This Row],[Work Start time on Fault]]-PA[[#This Row],[Fault Time]])*24)</f>
        <v>0</v>
      </c>
      <c r="AD154" s="112">
        <f>IF(PA[[#This Row],[Status]]="Open","",(PA[[#This Row],[Work Completion time on fault]]-PA[[#This Row],[Fault Time]])*24)</f>
        <v>0</v>
      </c>
      <c r="AE154" s="111">
        <f>IFERROR((PA[[#This Row],[Work Completion time on fault]]-PA[[#This Row],[Fault Time]])*24,"")</f>
        <v>0</v>
      </c>
      <c r="AF154" s="228" t="s">
        <v>1327</v>
      </c>
      <c r="AG154" s="6" t="s">
        <v>1275</v>
      </c>
      <c r="AH154" s="53">
        <f>IFERROR(PA[[#This Row],[Breakdown Time]]*PA[[#This Row],[Plant Equivalent Weightage]],"")</f>
        <v>0</v>
      </c>
      <c r="AI154" s="59">
        <v>6.7</v>
      </c>
      <c r="AJ154" s="89">
        <f>IFERROR(IF(PA[[#This Row],[Lost PoA(kWh/m2)]]&gt;0,_xlfn.XLOOKUP(G154,'Modelling New'!$D:$D,'Modelling New'!$O:$O)*PA[[#This Row],[Lost PoA(kWh/m2)]]*S154,0),"")</f>
        <v>111.59951677210408</v>
      </c>
    </row>
    <row r="155" spans="1:36" hidden="1" x14ac:dyDescent="0.25">
      <c r="A155" s="57">
        <v>1842</v>
      </c>
      <c r="B155" s="262">
        <v>45791</v>
      </c>
      <c r="C155" s="59"/>
      <c r="D155" s="6">
        <f>YEAR(PA[[#This Row],[Date]])</f>
        <v>2025</v>
      </c>
      <c r="E155" s="129" t="s">
        <v>73</v>
      </c>
      <c r="F155" s="130" t="s">
        <v>73</v>
      </c>
      <c r="G155" s="301">
        <v>45778</v>
      </c>
      <c r="H155" s="56">
        <f>DAY(EOMONTH(PA[[#This Row],[Date]], 0))</f>
        <v>31</v>
      </c>
      <c r="I155" s="60">
        <v>0.25138888888888888</v>
      </c>
      <c r="J155" s="60">
        <v>0.7729166666666667</v>
      </c>
      <c r="K155" s="53">
        <f>IFERROR((PA[[#This Row],[Sunset Time (POA&lt;20 W/m2)]]-PA[[#This Row],[Sunrise Time (POA&gt;20 W/m2)]])*24,"")</f>
        <v>12.516666666666667</v>
      </c>
      <c r="L155" s="59" t="s">
        <v>587</v>
      </c>
      <c r="M155" s="59"/>
      <c r="N155" s="59"/>
      <c r="O155" s="59" t="s">
        <v>789</v>
      </c>
      <c r="P155" s="56"/>
      <c r="Q155" s="6"/>
      <c r="R15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155" s="53">
        <v>4338</v>
      </c>
      <c r="T155" s="90">
        <f>IFERROR(_xlfn.XLOOKUP(PA[[#This Row],[Affected Equipment ]],'Basic Data '!A:A,'Basic Data '!C:C),"")</f>
        <v>0.13400000000000001</v>
      </c>
      <c r="U155" s="59" t="s">
        <v>573</v>
      </c>
      <c r="V155" s="88"/>
      <c r="W155" s="114" t="s">
        <v>667</v>
      </c>
      <c r="X155" s="60">
        <v>0.47916666666666669</v>
      </c>
      <c r="Y155" s="60">
        <v>0.47916666666666669</v>
      </c>
      <c r="Z155" s="60">
        <v>0.4826388888888889</v>
      </c>
      <c r="AA155" s="60">
        <v>0.4861111111111111</v>
      </c>
      <c r="AB155" s="158">
        <f>IF(PA[[#This Row],[Acknowledgement Time ]]="NA","",(PA[[#This Row],[Acknowledgement Time ]]-PA[[#This Row],[Fault Time]])*24)</f>
        <v>0</v>
      </c>
      <c r="AC155" s="158">
        <f>IF(PA[[#This Row],[Work Start time on Fault]]="NA","",(PA[[#This Row],[Work Start time on Fault]]-PA[[#This Row],[Fault Time]])*24)</f>
        <v>8.3333333333333037E-2</v>
      </c>
      <c r="AD155" s="112">
        <f>IF(PA[[#This Row],[Status]]="Open","",(PA[[#This Row],[Work Completion time on fault]]-PA[[#This Row],[Fault Time]])*24)</f>
        <v>0.16666666666666607</v>
      </c>
      <c r="AE155" s="111">
        <f>IFERROR((PA[[#This Row],[Work Completion time on fault]]-PA[[#This Row],[Fault Time]])*24,"")</f>
        <v>0.16666666666666607</v>
      </c>
      <c r="AF155" s="228" t="s">
        <v>694</v>
      </c>
      <c r="AG155" s="6" t="s">
        <v>1275</v>
      </c>
      <c r="AH155" s="53">
        <f>IFERROR(PA[[#This Row],[Breakdown Time]]*PA[[#This Row],[Plant Equivalent Weightage]],"")</f>
        <v>2.2333333333333254E-2</v>
      </c>
      <c r="AI155" s="59">
        <v>0.38</v>
      </c>
      <c r="AJ155" s="89">
        <f>IFERROR(IF(PA[[#This Row],[Lost PoA(kWh/m2)]]&gt;0,_xlfn.XLOOKUP(G155,'Modelling New'!$D:$D,'Modelling New'!$O:$O)*PA[[#This Row],[Lost PoA(kWh/m2)]]*S155,0),"")</f>
        <v>1248.067214571284</v>
      </c>
    </row>
    <row r="156" spans="1:36" hidden="1" x14ac:dyDescent="0.25">
      <c r="A156" s="57">
        <v>1843</v>
      </c>
      <c r="B156" s="262">
        <v>45792</v>
      </c>
      <c r="C156" s="59"/>
      <c r="D156" s="6">
        <f>YEAR(PA[[#This Row],[Date]])</f>
        <v>2025</v>
      </c>
      <c r="E156" s="129" t="s">
        <v>73</v>
      </c>
      <c r="F156" s="130" t="s">
        <v>73</v>
      </c>
      <c r="G156" s="301">
        <v>45778</v>
      </c>
      <c r="H156" s="56">
        <f>DAY(EOMONTH(PA[[#This Row],[Date]], 0))</f>
        <v>31</v>
      </c>
      <c r="I156" s="60">
        <v>0.23611111111111113</v>
      </c>
      <c r="J156" s="60">
        <v>0.77361111111111114</v>
      </c>
      <c r="K156" s="53">
        <f>IFERROR((PA[[#This Row],[Sunset Time (POA&lt;20 W/m2)]]-PA[[#This Row],[Sunrise Time (POA&gt;20 W/m2)]])*24,"")</f>
        <v>12.899999999999999</v>
      </c>
      <c r="L156" s="59" t="s">
        <v>597</v>
      </c>
      <c r="M156" s="59"/>
      <c r="N156" s="59"/>
      <c r="O156" s="59" t="s">
        <v>578</v>
      </c>
      <c r="P156" s="56"/>
      <c r="Q156" s="6"/>
      <c r="R15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BLK3INV12</v>
      </c>
      <c r="S156" s="53">
        <v>22.25</v>
      </c>
      <c r="T156" s="90">
        <f>IFERROR(_xlfn.XLOOKUP(PA[[#This Row],[Affected Equipment ]],'Basic Data '!A:A,'Basic Data '!C:C),"")</f>
        <v>4.4999999999999997E-3</v>
      </c>
      <c r="U156" s="59" t="s">
        <v>592</v>
      </c>
      <c r="V156" s="88"/>
      <c r="W156" s="114" t="s">
        <v>656</v>
      </c>
      <c r="X156" s="60">
        <v>0.23611111111111113</v>
      </c>
      <c r="Y156" s="60">
        <v>0.375</v>
      </c>
      <c r="Z156" s="60">
        <v>0.40277777777777773</v>
      </c>
      <c r="AA156" s="60">
        <v>0.4152777777777778</v>
      </c>
      <c r="AB156" s="158">
        <f>IF(PA[[#This Row],[Acknowledgement Time ]]="NA","",(PA[[#This Row],[Acknowledgement Time ]]-PA[[#This Row],[Fault Time]])*24)</f>
        <v>3.333333333333333</v>
      </c>
      <c r="AC156" s="158">
        <f>IF(PA[[#This Row],[Work Start time on Fault]]="NA","",(PA[[#This Row],[Work Start time on Fault]]-PA[[#This Row],[Fault Time]])*24)</f>
        <v>3.9999999999999982</v>
      </c>
      <c r="AD156" s="112">
        <f>IF(PA[[#This Row],[Status]]="Open","",(PA[[#This Row],[Work Completion time on fault]]-PA[[#This Row],[Fault Time]])*24)</f>
        <v>4.3</v>
      </c>
      <c r="AE156" s="111">
        <f>IFERROR((PA[[#This Row],[Work Completion time on fault]]-PA[[#This Row],[Fault Time]])*24,"")</f>
        <v>4.3</v>
      </c>
      <c r="AF156" s="228" t="s">
        <v>655</v>
      </c>
      <c r="AG156" s="6" t="s">
        <v>1275</v>
      </c>
      <c r="AH156" s="53">
        <f>IFERROR(PA[[#This Row],[Breakdown Time]]*PA[[#This Row],[Plant Equivalent Weightage]],"")</f>
        <v>1.9349999999999999E-2</v>
      </c>
      <c r="AI156" s="59">
        <v>0.34200000000000003</v>
      </c>
      <c r="AJ156" s="89">
        <f>IFERROR(IF(PA[[#This Row],[Lost PoA(kWh/m2)]]&gt;0,_xlfn.XLOOKUP(G156,'Modelling New'!$D:$D,'Modelling New'!$O:$O)*PA[[#This Row],[Lost PoA(kWh/m2)]]*S156,0),"")</f>
        <v>5.7613061253549933</v>
      </c>
    </row>
    <row r="157" spans="1:36" hidden="1" x14ac:dyDescent="0.25">
      <c r="A157" s="57">
        <v>1844</v>
      </c>
      <c r="B157" s="262">
        <v>45792</v>
      </c>
      <c r="C157" s="59"/>
      <c r="D157" s="6">
        <f>YEAR(PA[[#This Row],[Date]])</f>
        <v>2025</v>
      </c>
      <c r="E157" s="129" t="s">
        <v>73</v>
      </c>
      <c r="F157" s="130" t="s">
        <v>73</v>
      </c>
      <c r="G157" s="301">
        <v>45778</v>
      </c>
      <c r="H157" s="56">
        <f>DAY(EOMONTH(PA[[#This Row],[Date]], 0))</f>
        <v>31</v>
      </c>
      <c r="I157" s="60">
        <v>0.23611111111111113</v>
      </c>
      <c r="J157" s="60">
        <v>0.77361111111111114</v>
      </c>
      <c r="K157" s="53">
        <f>IFERROR((PA[[#This Row],[Sunset Time (POA&lt;20 W/m2)]]-PA[[#This Row],[Sunrise Time (POA&gt;20 W/m2)]])*24,"")</f>
        <v>12.899999999999999</v>
      </c>
      <c r="L157" s="59" t="s">
        <v>579</v>
      </c>
      <c r="M157" s="59"/>
      <c r="N157" s="59"/>
      <c r="O157" s="59" t="s">
        <v>610</v>
      </c>
      <c r="P157" s="56"/>
      <c r="Q157" s="6"/>
      <c r="R15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BLK8INV24</v>
      </c>
      <c r="S157" s="53">
        <v>19.100000000000001</v>
      </c>
      <c r="T157" s="90">
        <f>IFERROR(_xlfn.XLOOKUP(PA[[#This Row],[Affected Equipment ]],'Basic Data '!A:A,'Basic Data '!C:C),"")</f>
        <v>4.0651685393258419E-3</v>
      </c>
      <c r="U157" s="59" t="s">
        <v>697</v>
      </c>
      <c r="V157" s="88"/>
      <c r="W157" s="114" t="s">
        <v>698</v>
      </c>
      <c r="X157" s="60">
        <v>0.23611111111111113</v>
      </c>
      <c r="Y157" s="60">
        <v>0.375</v>
      </c>
      <c r="Z157" s="60">
        <v>0.78611111111111109</v>
      </c>
      <c r="AA157" s="60">
        <v>0.78611111111111109</v>
      </c>
      <c r="AB157" s="158">
        <f>IF(PA[[#This Row],[Acknowledgement Time ]]="NA","",(PA[[#This Row],[Acknowledgement Time ]]-PA[[#This Row],[Fault Time]])*24)</f>
        <v>3.333333333333333</v>
      </c>
      <c r="AC157" s="158">
        <f>IF(PA[[#This Row],[Work Start time on Fault]]="NA","",(PA[[#This Row],[Work Start time on Fault]]-PA[[#This Row],[Fault Time]])*24)</f>
        <v>13.2</v>
      </c>
      <c r="AD157" s="112">
        <f>IF(PA[[#This Row],[Status]]="Open","",(PA[[#This Row],[Work Completion time on fault]]-PA[[#This Row],[Fault Time]])*24)</f>
        <v>13.2</v>
      </c>
      <c r="AE157" s="111">
        <f>IFERROR((PA[[#This Row],[Work Completion time on fault]]-PA[[#This Row],[Fault Time]])*24,"")</f>
        <v>13.2</v>
      </c>
      <c r="AF157" s="228" t="s">
        <v>698</v>
      </c>
      <c r="AG157" s="6" t="s">
        <v>1275</v>
      </c>
      <c r="AH157" s="53">
        <f>IFERROR(PA[[#This Row],[Breakdown Time]]*PA[[#This Row],[Plant Equivalent Weightage]],"")</f>
        <v>5.3660224719101111E-2</v>
      </c>
      <c r="AI157" s="59">
        <v>6.81</v>
      </c>
      <c r="AJ157" s="89">
        <f>IFERROR(IF(PA[[#This Row],[Lost PoA(kWh/m2)]]&gt;0,_xlfn.XLOOKUP(G157,'Modelling New'!$D:$D,'Modelling New'!$O:$O)*PA[[#This Row],[Lost PoA(kWh/m2)]]*S157,0),"")</f>
        <v>98.479380909527478</v>
      </c>
    </row>
    <row r="158" spans="1:36" hidden="1" x14ac:dyDescent="0.25">
      <c r="A158" s="57">
        <v>1845</v>
      </c>
      <c r="B158" s="262">
        <v>45792</v>
      </c>
      <c r="C158" s="59"/>
      <c r="D158" s="6">
        <f>YEAR(PA[[#This Row],[Date]])</f>
        <v>2025</v>
      </c>
      <c r="E158" s="129" t="s">
        <v>73</v>
      </c>
      <c r="F158" s="130" t="s">
        <v>73</v>
      </c>
      <c r="G158" s="301">
        <v>45778</v>
      </c>
      <c r="H158" s="56">
        <f>DAY(EOMONTH(PA[[#This Row],[Date]], 0))</f>
        <v>31</v>
      </c>
      <c r="I158" s="60">
        <v>0.23611111111111113</v>
      </c>
      <c r="J158" s="60">
        <v>0.77361111111111114</v>
      </c>
      <c r="K158" s="53">
        <f>IFERROR((PA[[#This Row],[Sunset Time (POA&lt;20 W/m2)]]-PA[[#This Row],[Sunrise Time (POA&gt;20 W/m2)]])*24,"")</f>
        <v>12.899999999999999</v>
      </c>
      <c r="L158" s="59" t="s">
        <v>579</v>
      </c>
      <c r="M158" s="59"/>
      <c r="N158" s="59"/>
      <c r="O158" s="59" t="s">
        <v>618</v>
      </c>
      <c r="P158" s="56"/>
      <c r="Q158" s="6"/>
      <c r="R15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BLK8INV15</v>
      </c>
      <c r="S158" s="53">
        <v>19.100000000000001</v>
      </c>
      <c r="T158" s="90">
        <f>IFERROR(_xlfn.XLOOKUP(PA[[#This Row],[Affected Equipment ]],'Basic Data '!A:A,'Basic Data '!C:C),"")</f>
        <v>4.0044943820224709E-3</v>
      </c>
      <c r="U158" s="59" t="s">
        <v>697</v>
      </c>
      <c r="V158" s="88"/>
      <c r="W158" s="114" t="s">
        <v>699</v>
      </c>
      <c r="X158" s="60">
        <v>0.21875</v>
      </c>
      <c r="Y158" s="60">
        <v>0.375</v>
      </c>
      <c r="Z158" s="60">
        <v>0.78611111111111109</v>
      </c>
      <c r="AA158" s="60">
        <v>0.78611111111111109</v>
      </c>
      <c r="AB158" s="158">
        <f>IF(PA[[#This Row],[Acknowledgement Time ]]="NA","",(PA[[#This Row],[Acknowledgement Time ]]-PA[[#This Row],[Fault Time]])*24)</f>
        <v>3.75</v>
      </c>
      <c r="AC158" s="158">
        <f>IF(PA[[#This Row],[Work Start time on Fault]]="NA","",(PA[[#This Row],[Work Start time on Fault]]-PA[[#This Row],[Fault Time]])*24)</f>
        <v>13.616666666666667</v>
      </c>
      <c r="AD158" s="112">
        <f>IF(PA[[#This Row],[Status]]="Open","",(PA[[#This Row],[Work Completion time on fault]]-PA[[#This Row],[Fault Time]])*24)</f>
        <v>13.616666666666667</v>
      </c>
      <c r="AE158" s="111">
        <f>IFERROR((PA[[#This Row],[Work Completion time on fault]]-PA[[#This Row],[Fault Time]])*24,"")</f>
        <v>13.616666666666667</v>
      </c>
      <c r="AF158" s="228" t="s">
        <v>688</v>
      </c>
      <c r="AG158" s="6" t="s">
        <v>1275</v>
      </c>
      <c r="AH158" s="53">
        <f>IFERROR(PA[[#This Row],[Breakdown Time]]*PA[[#This Row],[Plant Equivalent Weightage]],"")</f>
        <v>5.4527865168539316E-2</v>
      </c>
      <c r="AI158" s="59">
        <v>6.81</v>
      </c>
      <c r="AJ158" s="89">
        <f>IFERROR(IF(PA[[#This Row],[Lost PoA(kWh/m2)]]&gt;0,_xlfn.XLOOKUP(G158,'Modelling New'!$D:$D,'Modelling New'!$O:$O)*PA[[#This Row],[Lost PoA(kWh/m2)]]*S158,0),"")</f>
        <v>98.479380909527478</v>
      </c>
    </row>
    <row r="159" spans="1:36" hidden="1" x14ac:dyDescent="0.25">
      <c r="A159" s="57">
        <v>1850</v>
      </c>
      <c r="B159" s="262">
        <v>45793</v>
      </c>
      <c r="C159" s="59"/>
      <c r="D159" s="6">
        <f>YEAR(PA[[#This Row],[Date]])</f>
        <v>2025</v>
      </c>
      <c r="E159" s="129" t="s">
        <v>73</v>
      </c>
      <c r="F159" s="130" t="s">
        <v>73</v>
      </c>
      <c r="G159" s="301">
        <v>45778</v>
      </c>
      <c r="H159" s="56">
        <f>DAY(EOMONTH(PA[[#This Row],[Date]], 0))</f>
        <v>31</v>
      </c>
      <c r="I159" s="60">
        <v>0.21875</v>
      </c>
      <c r="J159" s="60">
        <v>0.76666666666666661</v>
      </c>
      <c r="K159" s="53">
        <f>IFERROR((PA[[#This Row],[Sunset Time (POA&lt;20 W/m2)]]-PA[[#This Row],[Sunrise Time (POA&gt;20 W/m2)]])*24,"")</f>
        <v>13.149999999999999</v>
      </c>
      <c r="L159" s="59" t="s">
        <v>606</v>
      </c>
      <c r="M159" s="59"/>
      <c r="N159" s="59"/>
      <c r="O159" s="59" t="s">
        <v>595</v>
      </c>
      <c r="P159" s="56"/>
      <c r="Q159" s="6"/>
      <c r="R15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BLK7INV11</v>
      </c>
      <c r="S159" s="53">
        <v>19.100000000000001</v>
      </c>
      <c r="T159" s="90">
        <f>IFERROR(_xlfn.XLOOKUP(PA[[#This Row],[Affected Equipment ]],'Basic Data '!A:A,'Basic Data '!C:C),"")</f>
        <v>2.8516853932584268E-3</v>
      </c>
      <c r="U159" s="59" t="s">
        <v>697</v>
      </c>
      <c r="V159" s="88"/>
      <c r="W159" s="114" t="s">
        <v>699</v>
      </c>
      <c r="X159" s="60">
        <v>0.21875</v>
      </c>
      <c r="Y159" s="60">
        <v>0.51041666666666663</v>
      </c>
      <c r="Z159" s="60">
        <v>0.51041666666666663</v>
      </c>
      <c r="AA159" s="60">
        <v>0.51041666666666663</v>
      </c>
      <c r="AB159" s="158">
        <f>IF(PA[[#This Row],[Acknowledgement Time ]]="NA","",(PA[[#This Row],[Acknowledgement Time ]]-PA[[#This Row],[Fault Time]])*24)</f>
        <v>6.9999999999999991</v>
      </c>
      <c r="AC159" s="158">
        <f>IF(PA[[#This Row],[Work Start time on Fault]]="NA","",(PA[[#This Row],[Work Start time on Fault]]-PA[[#This Row],[Fault Time]])*24)</f>
        <v>6.9999999999999991</v>
      </c>
      <c r="AD159" s="112">
        <f>IF(PA[[#This Row],[Status]]="Open","",(PA[[#This Row],[Work Completion time on fault]]-PA[[#This Row],[Fault Time]])*24)</f>
        <v>6.9999999999999991</v>
      </c>
      <c r="AE159" s="111">
        <f>IFERROR((PA[[#This Row],[Work Completion time on fault]]-PA[[#This Row],[Fault Time]])*24,"")</f>
        <v>6.9999999999999991</v>
      </c>
      <c r="AF159" s="228" t="s">
        <v>700</v>
      </c>
      <c r="AG159" s="6" t="s">
        <v>1275</v>
      </c>
      <c r="AH159" s="53">
        <f>IFERROR(PA[[#This Row],[Breakdown Time]]*PA[[#This Row],[Plant Equivalent Weightage]],"")</f>
        <v>1.9961797752808985E-2</v>
      </c>
      <c r="AI159" s="59">
        <v>2.2999999999999998</v>
      </c>
      <c r="AJ159" s="89">
        <f>IFERROR(IF(PA[[#This Row],[Lost PoA(kWh/m2)]]&gt;0,_xlfn.XLOOKUP(G159,'Modelling New'!$D:$D,'Modelling New'!$O:$O)*PA[[#This Row],[Lost PoA(kWh/m2)]]*S159,0),"")</f>
        <v>33.260290175023961</v>
      </c>
    </row>
    <row r="160" spans="1:36" hidden="1" x14ac:dyDescent="0.25">
      <c r="A160" s="229" t="s">
        <v>701</v>
      </c>
      <c r="B160" s="262" t="s">
        <v>702</v>
      </c>
      <c r="C160" s="128"/>
      <c r="D160" s="6">
        <f>YEAR(PA[[#This Row],[Date]])</f>
        <v>2025</v>
      </c>
      <c r="E160" s="129" t="s">
        <v>73</v>
      </c>
      <c r="F160" s="130" t="s">
        <v>73</v>
      </c>
      <c r="G160" s="301">
        <v>45778</v>
      </c>
      <c r="H160" s="56">
        <f>DAY(EOMONTH(PA[[#This Row],[Date]], 0))</f>
        <v>31</v>
      </c>
      <c r="I160" s="60">
        <v>0.21875</v>
      </c>
      <c r="J160" s="60">
        <v>0.76666666666666661</v>
      </c>
      <c r="K160" s="53">
        <f>IFERROR((PA[[#This Row],[Sunset Time (POA&lt;20 W/m2)]]-PA[[#This Row],[Sunrise Time (POA&gt;20 W/m2)]])*24,"")</f>
        <v>13.149999999999999</v>
      </c>
      <c r="L160" s="59" t="s">
        <v>606</v>
      </c>
      <c r="M160" s="59"/>
      <c r="N160" s="59"/>
      <c r="O160" s="59" t="s">
        <v>578</v>
      </c>
      <c r="P160" s="257"/>
      <c r="Q160" s="257"/>
      <c r="R16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BLK7INV12</v>
      </c>
      <c r="S160" s="258">
        <v>19.100000000000001</v>
      </c>
      <c r="T160" s="90">
        <f>IFERROR(_xlfn.XLOOKUP(PA[[#This Row],[Affected Equipment ]],'Basic Data '!A:A,'Basic Data '!C:C),"")</f>
        <v>4.0539325842696636E-3</v>
      </c>
      <c r="U160" s="59" t="s">
        <v>697</v>
      </c>
      <c r="V160" s="88"/>
      <c r="W160" s="114" t="s">
        <v>699</v>
      </c>
      <c r="X160" s="263">
        <v>0.21875</v>
      </c>
      <c r="Y160" s="263">
        <v>0.54861111111111105</v>
      </c>
      <c r="Z160" s="263">
        <v>0.54861111111111105</v>
      </c>
      <c r="AA160" s="263">
        <v>0.54861111111111105</v>
      </c>
      <c r="AB160" s="158">
        <f>IF(PA[[#This Row],[Acknowledgement Time ]]="NA","",(PA[[#This Row],[Acknowledgement Time ]]-PA[[#This Row],[Fault Time]])*24)</f>
        <v>7.9166666666666652</v>
      </c>
      <c r="AC160" s="158">
        <f>IF(PA[[#This Row],[Work Start time on Fault]]="NA","",(PA[[#This Row],[Work Start time on Fault]]-PA[[#This Row],[Fault Time]])*24)</f>
        <v>7.9166666666666652</v>
      </c>
      <c r="AD160" s="112">
        <f>IF(PA[[#This Row],[Status]]="Open","",(PA[[#This Row],[Work Completion time on fault]]-PA[[#This Row],[Fault Time]])*24)</f>
        <v>7.9166666666666652</v>
      </c>
      <c r="AE160" s="111">
        <f>IFERROR((PA[[#This Row],[Work Completion time on fault]]-PA[[#This Row],[Fault Time]])*24,"")</f>
        <v>7.9166666666666652</v>
      </c>
      <c r="AF160" s="228" t="s">
        <v>700</v>
      </c>
      <c r="AG160" s="6" t="s">
        <v>1275</v>
      </c>
      <c r="AH160" s="53">
        <f>IFERROR(PA[[#This Row],[Breakdown Time]]*PA[[#This Row],[Plant Equivalent Weightage]],"")</f>
        <v>3.20936329588015E-2</v>
      </c>
      <c r="AI160" s="128">
        <v>3.1</v>
      </c>
      <c r="AJ160" s="89">
        <f>IFERROR(IF(PA[[#This Row],[Lost PoA(kWh/m2)]]&gt;0,_xlfn.XLOOKUP(G160,'Modelling New'!$D:$D,'Modelling New'!$O:$O)*PA[[#This Row],[Lost PoA(kWh/m2)]]*S160,0),"")</f>
        <v>44.829086757641001</v>
      </c>
    </row>
    <row r="161" spans="1:36" hidden="1" x14ac:dyDescent="0.25">
      <c r="A161" s="229">
        <v>1852</v>
      </c>
      <c r="B161" s="233">
        <v>45794</v>
      </c>
      <c r="C161" s="59"/>
      <c r="D161" s="6">
        <f>YEAR(PA[[#This Row],[Date]])</f>
        <v>2025</v>
      </c>
      <c r="E161" s="129" t="s">
        <v>73</v>
      </c>
      <c r="F161" s="130" t="s">
        <v>73</v>
      </c>
      <c r="G161" s="301">
        <v>45778</v>
      </c>
      <c r="H161" s="56">
        <f>DAY(EOMONTH(PA[[#This Row],[Date]], 0))</f>
        <v>31</v>
      </c>
      <c r="I161" s="10">
        <v>0.22708333333333333</v>
      </c>
      <c r="J161" s="10">
        <v>0.76736111111111116</v>
      </c>
      <c r="K161" s="53">
        <f>IFERROR((PA[[#This Row],[Sunset Time (POA&lt;20 W/m2)]]-PA[[#This Row],[Sunrise Time (POA&gt;20 W/m2)]])*24,"")</f>
        <v>12.966666666666669</v>
      </c>
      <c r="L161" s="59" t="s">
        <v>621</v>
      </c>
      <c r="M161" s="59"/>
      <c r="N161" s="59"/>
      <c r="O161" s="59" t="s">
        <v>580</v>
      </c>
      <c r="P161" s="56"/>
      <c r="Q161" s="6"/>
      <c r="R16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BLK4INV31</v>
      </c>
      <c r="S161" s="53">
        <v>19.100000000000001</v>
      </c>
      <c r="T161" s="90">
        <f>IFERROR(_xlfn.XLOOKUP(PA[[#This Row],[Affected Equipment ]],'Basic Data '!A:A,'Basic Data '!C:C),"")</f>
        <v>4.0000000000000001E-3</v>
      </c>
      <c r="U161" s="59" t="s">
        <v>697</v>
      </c>
      <c r="V161" s="88"/>
      <c r="W161" s="114" t="s">
        <v>699</v>
      </c>
      <c r="X161" s="10">
        <v>0.22708333333333333</v>
      </c>
      <c r="Y161" s="60">
        <v>0.4548611111111111</v>
      </c>
      <c r="Z161" s="60">
        <v>0.4548611111111111</v>
      </c>
      <c r="AA161" s="60">
        <v>0.4548611111111111</v>
      </c>
      <c r="AB161" s="158">
        <f>IF(PA[[#This Row],[Acknowledgement Time ]]="NA","",(PA[[#This Row],[Acknowledgement Time ]]-PA[[#This Row],[Fault Time]])*24)</f>
        <v>5.4666666666666668</v>
      </c>
      <c r="AC161" s="158">
        <f>IF(PA[[#This Row],[Work Start time on Fault]]="NA","",(PA[[#This Row],[Work Start time on Fault]]-PA[[#This Row],[Fault Time]])*24)</f>
        <v>5.4666666666666668</v>
      </c>
      <c r="AD161" s="112">
        <f>IF(PA[[#This Row],[Status]]="Open","",(PA[[#This Row],[Work Completion time on fault]]-PA[[#This Row],[Fault Time]])*24)</f>
        <v>5.4666666666666668</v>
      </c>
      <c r="AE161" s="111">
        <f>IFERROR((PA[[#This Row],[Work Completion time on fault]]-PA[[#This Row],[Fault Time]])*24,"")</f>
        <v>5.4666666666666668</v>
      </c>
      <c r="AF161" s="228" t="s">
        <v>700</v>
      </c>
      <c r="AG161" s="6" t="s">
        <v>1275</v>
      </c>
      <c r="AH161" s="53">
        <f>IFERROR(PA[[#This Row],[Breakdown Time]]*PA[[#This Row],[Plant Equivalent Weightage]],"")</f>
        <v>2.1866666666666666E-2</v>
      </c>
      <c r="AI161" s="59">
        <v>0.8</v>
      </c>
      <c r="AJ161" s="89">
        <f>IFERROR(IF(PA[[#This Row],[Lost PoA(kWh/m2)]]&gt;0,_xlfn.XLOOKUP(G161,'Modelling New'!$D:$D,'Modelling New'!$O:$O)*PA[[#This Row],[Lost PoA(kWh/m2)]]*S161,0),"")</f>
        <v>11.568796582617033</v>
      </c>
    </row>
    <row r="162" spans="1:36" hidden="1" x14ac:dyDescent="0.25">
      <c r="A162" s="229">
        <v>1853</v>
      </c>
      <c r="B162" s="233">
        <v>45794</v>
      </c>
      <c r="C162" s="59"/>
      <c r="D162" s="6">
        <f>YEAR(PA[[#This Row],[Date]])</f>
        <v>2025</v>
      </c>
      <c r="E162" s="129" t="s">
        <v>73</v>
      </c>
      <c r="F162" s="130" t="s">
        <v>73</v>
      </c>
      <c r="G162" s="301">
        <v>45778</v>
      </c>
      <c r="H162" s="56">
        <f>DAY(EOMONTH(PA[[#This Row],[Date]], 0))</f>
        <v>31</v>
      </c>
      <c r="I162" s="10">
        <v>0.22708333333333333</v>
      </c>
      <c r="J162" s="10">
        <v>0.76736111111111116</v>
      </c>
      <c r="K162" s="53">
        <f>IFERROR((PA[[#This Row],[Sunset Time (POA&lt;20 W/m2)]]-PA[[#This Row],[Sunrise Time (POA&gt;20 W/m2)]])*24,"")</f>
        <v>12.966666666666669</v>
      </c>
      <c r="L162" s="59" t="s">
        <v>621</v>
      </c>
      <c r="M162" s="59"/>
      <c r="N162" s="59"/>
      <c r="O162" s="59" t="s">
        <v>663</v>
      </c>
      <c r="P162" s="56"/>
      <c r="Q162" s="6"/>
      <c r="R16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BLK4INV16</v>
      </c>
      <c r="S162" s="53">
        <v>19.100000000000001</v>
      </c>
      <c r="T162" s="90">
        <f>IFERROR(_xlfn.XLOOKUP(PA[[#This Row],[Affected Equipment ]],'Basic Data '!A:A,'Basic Data '!C:C),"")</f>
        <v>4.4999999999999997E-3</v>
      </c>
      <c r="U162" s="59" t="s">
        <v>697</v>
      </c>
      <c r="V162" s="88"/>
      <c r="W162" s="114" t="s">
        <v>699</v>
      </c>
      <c r="X162" s="10">
        <v>0.22708333333333333</v>
      </c>
      <c r="Y162" s="60">
        <v>0.46736111111111112</v>
      </c>
      <c r="Z162" s="60">
        <v>0.46736111111111112</v>
      </c>
      <c r="AA162" s="60">
        <v>0.46736111111111112</v>
      </c>
      <c r="AB162" s="158">
        <f>IF(PA[[#This Row],[Acknowledgement Time ]]="NA","",(PA[[#This Row],[Acknowledgement Time ]]-PA[[#This Row],[Fault Time]])*24)</f>
        <v>5.7666666666666666</v>
      </c>
      <c r="AC162" s="158">
        <f>IF(PA[[#This Row],[Work Start time on Fault]]="NA","",(PA[[#This Row],[Work Start time on Fault]]-PA[[#This Row],[Fault Time]])*24)</f>
        <v>5.7666666666666666</v>
      </c>
      <c r="AD162" s="112">
        <f>IF(PA[[#This Row],[Status]]="Open","",(PA[[#This Row],[Work Completion time on fault]]-PA[[#This Row],[Fault Time]])*24)</f>
        <v>5.7666666666666666</v>
      </c>
      <c r="AE162" s="111">
        <f>IFERROR((PA[[#This Row],[Work Completion time on fault]]-PA[[#This Row],[Fault Time]])*24,"")</f>
        <v>5.7666666666666666</v>
      </c>
      <c r="AF162" s="228" t="s">
        <v>700</v>
      </c>
      <c r="AG162" s="6" t="s">
        <v>1275</v>
      </c>
      <c r="AH162" s="53">
        <f>IFERROR(PA[[#This Row],[Breakdown Time]]*PA[[#This Row],[Plant Equivalent Weightage]],"")</f>
        <v>2.5949999999999997E-2</v>
      </c>
      <c r="AI162" s="59">
        <v>1.2</v>
      </c>
      <c r="AJ162" s="89">
        <f>IFERROR(IF(PA[[#This Row],[Lost PoA(kWh/m2)]]&gt;0,_xlfn.XLOOKUP(G162,'Modelling New'!$D:$D,'Modelling New'!$O:$O)*PA[[#This Row],[Lost PoA(kWh/m2)]]*S162,0),"")</f>
        <v>17.353194873925545</v>
      </c>
    </row>
    <row r="163" spans="1:36" hidden="1" x14ac:dyDescent="0.25">
      <c r="A163" s="229">
        <v>1854</v>
      </c>
      <c r="B163" s="233">
        <v>45794</v>
      </c>
      <c r="C163" s="59"/>
      <c r="D163" s="6">
        <f>YEAR(PA[[#This Row],[Date]])</f>
        <v>2025</v>
      </c>
      <c r="E163" s="129" t="s">
        <v>73</v>
      </c>
      <c r="F163" s="130" t="s">
        <v>73</v>
      </c>
      <c r="G163" s="301">
        <v>45778</v>
      </c>
      <c r="H163" s="56">
        <f>DAY(EOMONTH(PA[[#This Row],[Date]], 0))</f>
        <v>31</v>
      </c>
      <c r="I163" s="10">
        <v>0.22708333333333333</v>
      </c>
      <c r="J163" s="10">
        <v>0.76736111111111116</v>
      </c>
      <c r="K163" s="53">
        <f>IFERROR((PA[[#This Row],[Sunset Time (POA&lt;20 W/m2)]]-PA[[#This Row],[Sunrise Time (POA&gt;20 W/m2)]])*24,"")</f>
        <v>12.966666666666669</v>
      </c>
      <c r="L163" s="59" t="s">
        <v>579</v>
      </c>
      <c r="M163" s="59"/>
      <c r="N163" s="59"/>
      <c r="O163" s="59" t="s">
        <v>616</v>
      </c>
      <c r="P163" s="56"/>
      <c r="Q163" s="6"/>
      <c r="R16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BLK8INV7</v>
      </c>
      <c r="S163" s="53">
        <v>19.100000000000001</v>
      </c>
      <c r="T163" s="90">
        <f>IFERROR(_xlfn.XLOOKUP(PA[[#This Row],[Affected Equipment ]],'Basic Data '!A:A,'Basic Data '!C:C),"")</f>
        <v>4.3333333333333331E-3</v>
      </c>
      <c r="U163" s="59" t="s">
        <v>697</v>
      </c>
      <c r="V163" s="88"/>
      <c r="W163" s="114" t="s">
        <v>699</v>
      </c>
      <c r="X163" s="10">
        <v>0.22708333333333333</v>
      </c>
      <c r="Y163" s="60">
        <v>0.75555555555555554</v>
      </c>
      <c r="Z163" s="60">
        <v>0.75555555555555554</v>
      </c>
      <c r="AA163" s="60">
        <v>0.75555555555555554</v>
      </c>
      <c r="AB163" s="158">
        <f>IF(PA[[#This Row],[Acknowledgement Time ]]="NA","",(PA[[#This Row],[Acknowledgement Time ]]-PA[[#This Row],[Fault Time]])*24)</f>
        <v>12.683333333333334</v>
      </c>
      <c r="AC163" s="158">
        <f>IF(PA[[#This Row],[Work Start time on Fault]]="NA","",(PA[[#This Row],[Work Start time on Fault]]-PA[[#This Row],[Fault Time]])*24)</f>
        <v>12.683333333333334</v>
      </c>
      <c r="AD163" s="112">
        <f>IF(PA[[#This Row],[Status]]="Open","",(PA[[#This Row],[Work Completion time on fault]]-PA[[#This Row],[Fault Time]])*24)</f>
        <v>12.683333333333334</v>
      </c>
      <c r="AE163" s="111">
        <f>IFERROR((PA[[#This Row],[Work Completion time on fault]]-PA[[#This Row],[Fault Time]])*24,"")</f>
        <v>12.683333333333334</v>
      </c>
      <c r="AF163" s="228" t="s">
        <v>700</v>
      </c>
      <c r="AG163" s="6" t="s">
        <v>1275</v>
      </c>
      <c r="AH163" s="53">
        <f>IFERROR(PA[[#This Row],[Breakdown Time]]*PA[[#This Row],[Plant Equivalent Weightage]],"")</f>
        <v>5.4961111111111106E-2</v>
      </c>
      <c r="AI163" s="59">
        <v>4.2</v>
      </c>
      <c r="AJ163" s="89">
        <f>IFERROR(IF(PA[[#This Row],[Lost PoA(kWh/m2)]]&gt;0,_xlfn.XLOOKUP(G163,'Modelling New'!$D:$D,'Modelling New'!$O:$O)*PA[[#This Row],[Lost PoA(kWh/m2)]]*S163,0),"")</f>
        <v>60.736182058739416</v>
      </c>
    </row>
    <row r="164" spans="1:36" hidden="1" x14ac:dyDescent="0.25">
      <c r="A164" s="229"/>
      <c r="B164" s="233">
        <v>45795</v>
      </c>
      <c r="C164" s="59"/>
      <c r="D164" s="6">
        <f>YEAR(PA[[#This Row],[Date]])</f>
        <v>2025</v>
      </c>
      <c r="E164" s="129" t="s">
        <v>73</v>
      </c>
      <c r="F164" s="130" t="s">
        <v>73</v>
      </c>
      <c r="G164" s="301">
        <v>45778</v>
      </c>
      <c r="H164" s="56">
        <f>DAY(EOMONTH(PA[[#This Row],[Date]], 0))</f>
        <v>31</v>
      </c>
      <c r="I164" s="10">
        <v>0.21805555555555556</v>
      </c>
      <c r="J164" s="10">
        <v>0.76597222222222217</v>
      </c>
      <c r="K164" s="53">
        <f>IFERROR((PA[[#This Row],[Sunset Time (POA&lt;20 W/m2)]]-PA[[#This Row],[Sunrise Time (POA&gt;20 W/m2)]])*24,"")</f>
        <v>13.149999999999999</v>
      </c>
      <c r="L164" s="59" t="s">
        <v>606</v>
      </c>
      <c r="M164" s="59"/>
      <c r="N164" s="59"/>
      <c r="O164" s="59" t="s">
        <v>598</v>
      </c>
      <c r="P164" s="56"/>
      <c r="Q164" s="6"/>
      <c r="R16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BLK7INV6</v>
      </c>
      <c r="S164" s="53">
        <v>19.100000000000001</v>
      </c>
      <c r="T164" s="90">
        <f>IFERROR(_xlfn.XLOOKUP(PA[[#This Row],[Affected Equipment ]],'Basic Data '!A:A,'Basic Data '!C:C),"")</f>
        <v>3.9550561797752808E-3</v>
      </c>
      <c r="U164" s="59" t="s">
        <v>697</v>
      </c>
      <c r="V164" s="88"/>
      <c r="W164" s="265" t="s">
        <v>703</v>
      </c>
      <c r="X164" s="10">
        <v>0.21805555555555556</v>
      </c>
      <c r="Y164" s="60">
        <v>0.51527777777777783</v>
      </c>
      <c r="Z164" s="60">
        <v>0.51527777777777783</v>
      </c>
      <c r="AA164" s="60">
        <v>0.51527777777777783</v>
      </c>
      <c r="AB164" s="158">
        <f>IF(PA[[#This Row],[Acknowledgement Time ]]="NA","",(PA[[#This Row],[Acknowledgement Time ]]-PA[[#This Row],[Fault Time]])*24)</f>
        <v>7.1333333333333346</v>
      </c>
      <c r="AC164" s="158">
        <f>IF(PA[[#This Row],[Work Start time on Fault]]="NA","",(PA[[#This Row],[Work Start time on Fault]]-PA[[#This Row],[Fault Time]])*24)</f>
        <v>7.1333333333333346</v>
      </c>
      <c r="AD164" s="112">
        <f>IF(PA[[#This Row],[Status]]="Open","",(PA[[#This Row],[Work Completion time on fault]]-PA[[#This Row],[Fault Time]])*24)</f>
        <v>7.1333333333333346</v>
      </c>
      <c r="AE164" s="111">
        <f>IFERROR((PA[[#This Row],[Work Completion time on fault]]-PA[[#This Row],[Fault Time]])*24,"")</f>
        <v>7.1333333333333346</v>
      </c>
      <c r="AF164" s="228" t="s">
        <v>700</v>
      </c>
      <c r="AG164" s="6" t="s">
        <v>1275</v>
      </c>
      <c r="AH164" s="53">
        <f>IFERROR(PA[[#This Row],[Breakdown Time]]*PA[[#This Row],[Plant Equivalent Weightage]],"")</f>
        <v>2.8212734082397009E-2</v>
      </c>
      <c r="AI164" s="59">
        <v>5.0999999999999996</v>
      </c>
      <c r="AJ164" s="89">
        <f>IFERROR(IF(PA[[#This Row],[Lost PoA(kWh/m2)]]&gt;0,_xlfn.XLOOKUP(G164,'Modelling New'!$D:$D,'Modelling New'!$O:$O)*PA[[#This Row],[Lost PoA(kWh/m2)]]*S164,0),"")</f>
        <v>73.751078214183579</v>
      </c>
    </row>
    <row r="165" spans="1:36" ht="30" hidden="1" x14ac:dyDescent="0.25">
      <c r="A165" s="229">
        <v>1856</v>
      </c>
      <c r="B165" s="233">
        <v>45795</v>
      </c>
      <c r="C165" s="59"/>
      <c r="D165" s="6">
        <f>YEAR(PA[[#This Row],[Date]])</f>
        <v>2025</v>
      </c>
      <c r="E165" s="129" t="s">
        <v>73</v>
      </c>
      <c r="F165" s="130" t="s">
        <v>73</v>
      </c>
      <c r="G165" s="301">
        <v>45778</v>
      </c>
      <c r="H165" s="56">
        <f>DAY(EOMONTH(PA[[#This Row],[Date]], 0))</f>
        <v>31</v>
      </c>
      <c r="I165" s="10">
        <v>0.21805555555555556</v>
      </c>
      <c r="J165" s="10">
        <v>0.76597222222222217</v>
      </c>
      <c r="K165" s="53">
        <f>IFERROR((PA[[#This Row],[Sunset Time (POA&lt;20 W/m2)]]-PA[[#This Row],[Sunrise Time (POA&gt;20 W/m2)]])*24,"")</f>
        <v>13.149999999999999</v>
      </c>
      <c r="L165" s="59" t="s">
        <v>615</v>
      </c>
      <c r="M165" s="59"/>
      <c r="N165" s="59"/>
      <c r="O165" s="59" t="s">
        <v>598</v>
      </c>
      <c r="P165" s="56"/>
      <c r="Q165" s="6"/>
      <c r="R16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BLK6INV6</v>
      </c>
      <c r="S165" s="53">
        <v>22.25</v>
      </c>
      <c r="T165" s="90">
        <f>IFERROR(_xlfn.XLOOKUP(PA[[#This Row],[Affected Equipment ]],'Basic Data '!A:A,'Basic Data '!C:C),"")</f>
        <v>4.4494382022471912E-3</v>
      </c>
      <c r="U165" s="59" t="s">
        <v>697</v>
      </c>
      <c r="V165" s="88"/>
      <c r="W165" s="265" t="s">
        <v>704</v>
      </c>
      <c r="X165" s="60">
        <v>0.69374999999999998</v>
      </c>
      <c r="Y165" s="60">
        <v>0.77083333333333337</v>
      </c>
      <c r="Z165" s="60">
        <v>0.77083333333333337</v>
      </c>
      <c r="AA165" s="60">
        <v>0.77083333333333337</v>
      </c>
      <c r="AB165" s="158">
        <f>IF(PA[[#This Row],[Acknowledgement Time ]]="NA","",(PA[[#This Row],[Acknowledgement Time ]]-PA[[#This Row],[Fault Time]])*24)</f>
        <v>1.8500000000000014</v>
      </c>
      <c r="AC165" s="158">
        <f>IF(PA[[#This Row],[Work Start time on Fault]]="NA","",(PA[[#This Row],[Work Start time on Fault]]-PA[[#This Row],[Fault Time]])*24)</f>
        <v>1.8500000000000014</v>
      </c>
      <c r="AD165" s="112">
        <f>IF(PA[[#This Row],[Status]]="Open","",(PA[[#This Row],[Work Completion time on fault]]-PA[[#This Row],[Fault Time]])*24)</f>
        <v>1.8500000000000014</v>
      </c>
      <c r="AE165" s="111">
        <f>IFERROR((PA[[#This Row],[Work Completion time on fault]]-PA[[#This Row],[Fault Time]])*24,"")</f>
        <v>1.8500000000000014</v>
      </c>
      <c r="AF165" s="228" t="s">
        <v>700</v>
      </c>
      <c r="AG165" s="6" t="s">
        <v>1275</v>
      </c>
      <c r="AH165" s="53">
        <f>IFERROR(PA[[#This Row],[Breakdown Time]]*PA[[#This Row],[Plant Equivalent Weightage]],"")</f>
        <v>8.2314606741573093E-3</v>
      </c>
      <c r="AI165" s="59">
        <v>0.3</v>
      </c>
      <c r="AJ165" s="89">
        <f>IFERROR(IF(PA[[#This Row],[Lost PoA(kWh/m2)]]&gt;0,_xlfn.XLOOKUP(G165,'Modelling New'!$D:$D,'Modelling New'!$O:$O)*PA[[#This Row],[Lost PoA(kWh/m2)]]*S165,0),"")</f>
        <v>5.0537773029429758</v>
      </c>
    </row>
    <row r="166" spans="1:36" hidden="1" x14ac:dyDescent="0.25">
      <c r="A166" s="229">
        <v>1857</v>
      </c>
      <c r="B166" s="233">
        <v>45795</v>
      </c>
      <c r="C166" s="59"/>
      <c r="D166" s="6">
        <f>YEAR(PA[[#This Row],[Date]])</f>
        <v>2025</v>
      </c>
      <c r="E166" s="129" t="s">
        <v>73</v>
      </c>
      <c r="F166" s="130" t="s">
        <v>73</v>
      </c>
      <c r="G166" s="301">
        <v>45778</v>
      </c>
      <c r="H166" s="56">
        <f>DAY(EOMONTH(PA[[#This Row],[Date]], 0))</f>
        <v>31</v>
      </c>
      <c r="I166" s="10">
        <v>0.21805555555555556</v>
      </c>
      <c r="J166" s="10">
        <v>0.76597222222222217</v>
      </c>
      <c r="K166" s="53">
        <f>IFERROR((PA[[#This Row],[Sunset Time (POA&lt;20 W/m2)]]-PA[[#This Row],[Sunrise Time (POA&gt;20 W/m2)]])*24,"")</f>
        <v>13.149999999999999</v>
      </c>
      <c r="L166" s="59" t="s">
        <v>606</v>
      </c>
      <c r="M166" s="59"/>
      <c r="N166" s="59"/>
      <c r="O166" s="59" t="s">
        <v>607</v>
      </c>
      <c r="P166" s="56"/>
      <c r="Q166" s="6"/>
      <c r="R16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BLK7INV3</v>
      </c>
      <c r="S166" s="53">
        <v>19.100000000000001</v>
      </c>
      <c r="T166" s="90">
        <f>IFERROR(_xlfn.XLOOKUP(PA[[#This Row],[Affected Equipment ]],'Basic Data '!A:A,'Basic Data '!C:C),"")</f>
        <v>3.9550561797752808E-3</v>
      </c>
      <c r="U166" s="59" t="s">
        <v>697</v>
      </c>
      <c r="V166" s="88"/>
      <c r="W166" s="265" t="s">
        <v>705</v>
      </c>
      <c r="X166" s="10">
        <v>0.21805555555555556</v>
      </c>
      <c r="Y166" s="60">
        <v>0.4201388888888889</v>
      </c>
      <c r="Z166" s="60">
        <v>0.4201388888888889</v>
      </c>
      <c r="AA166" s="60">
        <v>0.4201388888888889</v>
      </c>
      <c r="AB166" s="158">
        <f>IF(PA[[#This Row],[Acknowledgement Time ]]="NA","",(PA[[#This Row],[Acknowledgement Time ]]-PA[[#This Row],[Fault Time]])*24)</f>
        <v>4.8499999999999996</v>
      </c>
      <c r="AC166" s="158">
        <f>IF(PA[[#This Row],[Work Start time on Fault]]="NA","",(PA[[#This Row],[Work Start time on Fault]]-PA[[#This Row],[Fault Time]])*24)</f>
        <v>4.8499999999999996</v>
      </c>
      <c r="AD166" s="112">
        <f>IF(PA[[#This Row],[Status]]="Open","",(PA[[#This Row],[Work Completion time on fault]]-PA[[#This Row],[Fault Time]])*24)</f>
        <v>4.8499999999999996</v>
      </c>
      <c r="AE166" s="111">
        <f>IFERROR((PA[[#This Row],[Work Completion time on fault]]-PA[[#This Row],[Fault Time]])*24,"")</f>
        <v>4.8499999999999996</v>
      </c>
      <c r="AF166" s="228" t="s">
        <v>700</v>
      </c>
      <c r="AG166" s="6" t="s">
        <v>1275</v>
      </c>
      <c r="AH166" s="53">
        <f>IFERROR(PA[[#This Row],[Breakdown Time]]*PA[[#This Row],[Plant Equivalent Weightage]],"")</f>
        <v>1.9182022471910112E-2</v>
      </c>
      <c r="AI166" s="59">
        <v>2.2999999999999998</v>
      </c>
      <c r="AJ166" s="89">
        <f>IFERROR(IF(PA[[#This Row],[Lost PoA(kWh/m2)]]&gt;0,_xlfn.XLOOKUP(G166,'Modelling New'!$D:$D,'Modelling New'!$O:$O)*PA[[#This Row],[Lost PoA(kWh/m2)]]*S166,0),"")</f>
        <v>33.260290175023961</v>
      </c>
    </row>
    <row r="167" spans="1:36" hidden="1" x14ac:dyDescent="0.25">
      <c r="A167" s="57">
        <v>1842</v>
      </c>
      <c r="B167" s="262">
        <v>45795</v>
      </c>
      <c r="C167" s="59"/>
      <c r="D167" s="6">
        <f>YEAR(PA[[#This Row],[Date]])</f>
        <v>2025</v>
      </c>
      <c r="E167" s="129" t="s">
        <v>73</v>
      </c>
      <c r="F167" s="130" t="s">
        <v>73</v>
      </c>
      <c r="G167" s="301">
        <v>45778</v>
      </c>
      <c r="H167" s="56">
        <f>DAY(EOMONTH(PA[[#This Row],[Date]], 0))</f>
        <v>31</v>
      </c>
      <c r="I167" s="10">
        <v>0.21805555555555556</v>
      </c>
      <c r="J167" s="10">
        <v>0.76597222222222217</v>
      </c>
      <c r="K167" s="53">
        <f>IFERROR((PA[[#This Row],[Sunset Time (POA&lt;20 W/m2)]]-PA[[#This Row],[Sunrise Time (POA&gt;20 W/m2)]])*24,"")</f>
        <v>13.149999999999999</v>
      </c>
      <c r="L167" s="59" t="s">
        <v>579</v>
      </c>
      <c r="M167" s="59"/>
      <c r="N167" s="59"/>
      <c r="O167" s="59" t="s">
        <v>585</v>
      </c>
      <c r="P167" s="56"/>
      <c r="Q167" s="6"/>
      <c r="R16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BLK8All_Inv</v>
      </c>
      <c r="S167" s="53">
        <v>4338</v>
      </c>
      <c r="T167" s="90" t="str">
        <f>IFERROR(_xlfn.XLOOKUP(PA[[#This Row],[Affected Equipment ]],'Basic Data '!A:A,'Basic Data '!C:C),"")</f>
        <v/>
      </c>
      <c r="U167" s="59" t="s">
        <v>573</v>
      </c>
      <c r="V167" s="88"/>
      <c r="W167" s="114" t="s">
        <v>667</v>
      </c>
      <c r="X167" s="60">
        <v>0.53749999999999998</v>
      </c>
      <c r="Y167" s="60">
        <v>0.53749999999999998</v>
      </c>
      <c r="Z167" s="60">
        <v>0.5444444444444444</v>
      </c>
      <c r="AA167" s="60">
        <v>0.5444444444444444</v>
      </c>
      <c r="AB167" s="158">
        <f>IF(PA[[#This Row],[Acknowledgement Time ]]="NA","",(PA[[#This Row],[Acknowledgement Time ]]-PA[[#This Row],[Fault Time]])*24)</f>
        <v>0</v>
      </c>
      <c r="AC167" s="158">
        <f>IF(PA[[#This Row],[Work Start time on Fault]]="NA","",(PA[[#This Row],[Work Start time on Fault]]-PA[[#This Row],[Fault Time]])*24)</f>
        <v>0.16666666666666607</v>
      </c>
      <c r="AD167" s="112">
        <f>IF(PA[[#This Row],[Status]]="Open","",(PA[[#This Row],[Work Completion time on fault]]-PA[[#This Row],[Fault Time]])*24)</f>
        <v>0.16666666666666607</v>
      </c>
      <c r="AE167" s="111">
        <f>IFERROR((PA[[#This Row],[Work Completion time on fault]]-PA[[#This Row],[Fault Time]])*24,"")</f>
        <v>0.16666666666666607</v>
      </c>
      <c r="AF167" s="228" t="s">
        <v>694</v>
      </c>
      <c r="AG167" s="6" t="s">
        <v>1275</v>
      </c>
      <c r="AH167" s="53" t="str">
        <f>IFERROR(PA[[#This Row],[Breakdown Time]]*PA[[#This Row],[Plant Equivalent Weightage]],"")</f>
        <v/>
      </c>
      <c r="AI167" s="59">
        <v>0.31</v>
      </c>
      <c r="AJ167" s="89">
        <f>IFERROR(IF(PA[[#This Row],[Lost PoA(kWh/m2)]]&gt;0,_xlfn.XLOOKUP(G167,'Modelling New'!$D:$D,'Modelling New'!$O:$O)*PA[[#This Row],[Lost PoA(kWh/m2)]]*S167,0),"")</f>
        <v>1018.1600960976263</v>
      </c>
    </row>
    <row r="168" spans="1:36" hidden="1" x14ac:dyDescent="0.25">
      <c r="A168" s="229">
        <v>1859</v>
      </c>
      <c r="B168" s="233">
        <v>45796</v>
      </c>
      <c r="C168" s="59"/>
      <c r="D168" s="6">
        <f>YEAR(PA[[#This Row],[Date]])</f>
        <v>2025</v>
      </c>
      <c r="E168" s="129" t="s">
        <v>73</v>
      </c>
      <c r="F168" s="130" t="s">
        <v>73</v>
      </c>
      <c r="G168" s="301">
        <v>45778</v>
      </c>
      <c r="H168" s="56">
        <f>DAY(EOMONTH(PA[[#This Row],[Date]], 0))</f>
        <v>31</v>
      </c>
      <c r="I168" s="10">
        <v>0.21805555555555556</v>
      </c>
      <c r="J168" s="10">
        <v>0.76874999999999993</v>
      </c>
      <c r="K168" s="53">
        <f>IFERROR((PA[[#This Row],[Sunset Time (POA&lt;20 W/m2)]]-PA[[#This Row],[Sunrise Time (POA&gt;20 W/m2)]])*24,"")</f>
        <v>13.216666666666665</v>
      </c>
      <c r="L168" s="59" t="s">
        <v>587</v>
      </c>
      <c r="M168" s="59"/>
      <c r="N168" s="59"/>
      <c r="O168" s="59" t="s">
        <v>618</v>
      </c>
      <c r="P168" s="56"/>
      <c r="Q168" s="6"/>
      <c r="R16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BLK1INV15</v>
      </c>
      <c r="S168" s="53">
        <v>19.100000000000001</v>
      </c>
      <c r="T168" s="90">
        <f>IFERROR(_xlfn.XLOOKUP(PA[[#This Row],[Affected Equipment ]],'Basic Data '!A:A,'Basic Data '!C:C),"")</f>
        <v>4.0000000000000001E-3</v>
      </c>
      <c r="U168" s="59" t="s">
        <v>697</v>
      </c>
      <c r="V168" s="88"/>
      <c r="W168" s="114" t="s">
        <v>699</v>
      </c>
      <c r="X168" s="10">
        <v>0.21805555555555556</v>
      </c>
      <c r="Y168" s="60">
        <v>0.42708333333333331</v>
      </c>
      <c r="Z168" s="60">
        <v>0.42708333333333331</v>
      </c>
      <c r="AA168" s="60">
        <v>0.42708333333333331</v>
      </c>
      <c r="AB168" s="158">
        <f>IF(PA[[#This Row],[Acknowledgement Time ]]="NA","",(PA[[#This Row],[Acknowledgement Time ]]-PA[[#This Row],[Fault Time]])*24)</f>
        <v>5.0166666666666657</v>
      </c>
      <c r="AC168" s="158">
        <f>IF(PA[[#This Row],[Work Start time on Fault]]="NA","",(PA[[#This Row],[Work Start time on Fault]]-PA[[#This Row],[Fault Time]])*24)</f>
        <v>5.0166666666666657</v>
      </c>
      <c r="AD168" s="112">
        <f>IF(PA[[#This Row],[Status]]="Open","",(PA[[#This Row],[Work Completion time on fault]]-PA[[#This Row],[Fault Time]])*24)</f>
        <v>5.0166666666666657</v>
      </c>
      <c r="AE168" s="111">
        <f>IFERROR((PA[[#This Row],[Work Completion time on fault]]-PA[[#This Row],[Fault Time]])*24,"")</f>
        <v>5.0166666666666657</v>
      </c>
      <c r="AF168" s="114" t="s">
        <v>699</v>
      </c>
      <c r="AG168" s="6" t="s">
        <v>1275</v>
      </c>
      <c r="AH168" s="53">
        <f>IFERROR(PA[[#This Row],[Breakdown Time]]*PA[[#This Row],[Plant Equivalent Weightage]],"")</f>
        <v>2.0066666666666663E-2</v>
      </c>
      <c r="AI168" s="59">
        <v>2.2999999999999998</v>
      </c>
      <c r="AJ168" s="89">
        <f>IFERROR(IF(PA[[#This Row],[Lost PoA(kWh/m2)]]&gt;0,_xlfn.XLOOKUP(G168,'Modelling New'!$D:$D,'Modelling New'!$O:$O)*PA[[#This Row],[Lost PoA(kWh/m2)]]*S168,0),"")</f>
        <v>33.260290175023961</v>
      </c>
    </row>
    <row r="169" spans="1:36" hidden="1" x14ac:dyDescent="0.25">
      <c r="A169" s="229">
        <v>1860</v>
      </c>
      <c r="B169" s="233">
        <v>45796</v>
      </c>
      <c r="C169" s="59"/>
      <c r="D169" s="6">
        <f>YEAR(PA[[#This Row],[Date]])</f>
        <v>2025</v>
      </c>
      <c r="E169" s="129" t="s">
        <v>73</v>
      </c>
      <c r="F169" s="130" t="s">
        <v>73</v>
      </c>
      <c r="G169" s="301">
        <v>45778</v>
      </c>
      <c r="H169" s="56">
        <f>DAY(EOMONTH(PA[[#This Row],[Date]], 0))</f>
        <v>31</v>
      </c>
      <c r="I169" s="10">
        <v>0.21805555555555556</v>
      </c>
      <c r="J169" s="10">
        <v>0.76874999999999993</v>
      </c>
      <c r="K169" s="53">
        <f>IFERROR((PA[[#This Row],[Sunset Time (POA&lt;20 W/m2)]]-PA[[#This Row],[Sunrise Time (POA&gt;20 W/m2)]])*24,"")</f>
        <v>13.216666666666665</v>
      </c>
      <c r="L169" s="59" t="s">
        <v>587</v>
      </c>
      <c r="M169" s="59"/>
      <c r="N169" s="59"/>
      <c r="O169" s="59" t="s">
        <v>627</v>
      </c>
      <c r="P169" s="56"/>
      <c r="Q169" s="6"/>
      <c r="R16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BLK1INV21</v>
      </c>
      <c r="S169" s="53">
        <v>19.100000000000001</v>
      </c>
      <c r="T169" s="90">
        <f>IFERROR(_xlfn.XLOOKUP(PA[[#This Row],[Affected Equipment ]],'Basic Data '!A:A,'Basic Data '!C:C),"")</f>
        <v>4.0000000000000001E-3</v>
      </c>
      <c r="U169" s="59" t="s">
        <v>697</v>
      </c>
      <c r="V169" s="88"/>
      <c r="W169" s="114" t="s">
        <v>699</v>
      </c>
      <c r="X169" s="10">
        <v>0.21805555555555556</v>
      </c>
      <c r="Y169" s="60">
        <v>0.43124999999999997</v>
      </c>
      <c r="Z169" s="60">
        <v>0.43124999999999997</v>
      </c>
      <c r="AA169" s="60">
        <v>0.43124999999999997</v>
      </c>
      <c r="AB169" s="158">
        <f>IF(PA[[#This Row],[Acknowledgement Time ]]="NA","",(PA[[#This Row],[Acknowledgement Time ]]-PA[[#This Row],[Fault Time]])*24)</f>
        <v>5.1166666666666654</v>
      </c>
      <c r="AC169" s="158">
        <f>IF(PA[[#This Row],[Work Start time on Fault]]="NA","",(PA[[#This Row],[Work Start time on Fault]]-PA[[#This Row],[Fault Time]])*24)</f>
        <v>5.1166666666666654</v>
      </c>
      <c r="AD169" s="112">
        <f>IF(PA[[#This Row],[Status]]="Open","",(PA[[#This Row],[Work Completion time on fault]]-PA[[#This Row],[Fault Time]])*24)</f>
        <v>5.1166666666666654</v>
      </c>
      <c r="AE169" s="111">
        <f>IFERROR((PA[[#This Row],[Work Completion time on fault]]-PA[[#This Row],[Fault Time]])*24,"")</f>
        <v>5.1166666666666654</v>
      </c>
      <c r="AF169" s="114" t="s">
        <v>699</v>
      </c>
      <c r="AG169" s="6" t="s">
        <v>1275</v>
      </c>
      <c r="AH169" s="53">
        <f>IFERROR(PA[[#This Row],[Breakdown Time]]*PA[[#This Row],[Plant Equivalent Weightage]],"")</f>
        <v>2.0466666666666661E-2</v>
      </c>
      <c r="AI169" s="59">
        <v>2.3199999999999998</v>
      </c>
      <c r="AJ169" s="89">
        <f>IFERROR(IF(PA[[#This Row],[Lost PoA(kWh/m2)]]&gt;0,_xlfn.XLOOKUP(G169,'Modelling New'!$D:$D,'Modelling New'!$O:$O)*PA[[#This Row],[Lost PoA(kWh/m2)]]*S169,0),"")</f>
        <v>33.54951008958939</v>
      </c>
    </row>
    <row r="170" spans="1:36" hidden="1" x14ac:dyDescent="0.25">
      <c r="A170" s="229">
        <v>1861</v>
      </c>
      <c r="B170" s="233">
        <v>45796</v>
      </c>
      <c r="C170" s="59"/>
      <c r="D170" s="6">
        <f>YEAR(PA[[#This Row],[Date]])</f>
        <v>2025</v>
      </c>
      <c r="E170" s="129" t="s">
        <v>73</v>
      </c>
      <c r="F170" s="130" t="s">
        <v>73</v>
      </c>
      <c r="G170" s="301">
        <v>45778</v>
      </c>
      <c r="H170" s="56">
        <f>DAY(EOMONTH(PA[[#This Row],[Date]], 0))</f>
        <v>31</v>
      </c>
      <c r="I170" s="10">
        <v>0.21805555555555556</v>
      </c>
      <c r="J170" s="10">
        <v>0.76874999999999993</v>
      </c>
      <c r="K170" s="53">
        <f>IFERROR((PA[[#This Row],[Sunset Time (POA&lt;20 W/m2)]]-PA[[#This Row],[Sunrise Time (POA&gt;20 W/m2)]])*24,"")</f>
        <v>13.216666666666665</v>
      </c>
      <c r="L170" s="59" t="s">
        <v>597</v>
      </c>
      <c r="M170" s="59"/>
      <c r="N170" s="59"/>
      <c r="O170" s="59" t="s">
        <v>594</v>
      </c>
      <c r="P170" s="56"/>
      <c r="Q170" s="6"/>
      <c r="R17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BLK3INV10</v>
      </c>
      <c r="S170" s="53">
        <v>19.100000000000001</v>
      </c>
      <c r="T170" s="90">
        <f>IFERROR(_xlfn.XLOOKUP(PA[[#This Row],[Affected Equipment ]],'Basic Data '!A:A,'Basic Data '!C:C),"")</f>
        <v>4.0000000000000001E-3</v>
      </c>
      <c r="U170" s="59" t="s">
        <v>697</v>
      </c>
      <c r="V170" s="88"/>
      <c r="W170" s="114" t="s">
        <v>699</v>
      </c>
      <c r="X170" s="10">
        <v>0.21805555555555556</v>
      </c>
      <c r="Y170" s="60">
        <v>0.43958333333333338</v>
      </c>
      <c r="Z170" s="60">
        <v>0.43958333333333338</v>
      </c>
      <c r="AA170" s="60">
        <v>0.43958333333333338</v>
      </c>
      <c r="AB170" s="158">
        <f>IF(PA[[#This Row],[Acknowledgement Time ]]="NA","",(PA[[#This Row],[Acknowledgement Time ]]-PA[[#This Row],[Fault Time]])*24)</f>
        <v>5.3166666666666682</v>
      </c>
      <c r="AC170" s="158">
        <f>IF(PA[[#This Row],[Work Start time on Fault]]="NA","",(PA[[#This Row],[Work Start time on Fault]]-PA[[#This Row],[Fault Time]])*24)</f>
        <v>5.3166666666666682</v>
      </c>
      <c r="AD170" s="112">
        <f>IF(PA[[#This Row],[Status]]="Open","",(PA[[#This Row],[Work Completion time on fault]]-PA[[#This Row],[Fault Time]])*24)</f>
        <v>5.3166666666666682</v>
      </c>
      <c r="AE170" s="111">
        <f>IFERROR((PA[[#This Row],[Work Completion time on fault]]-PA[[#This Row],[Fault Time]])*24,"")</f>
        <v>5.3166666666666682</v>
      </c>
      <c r="AF170" s="114" t="s">
        <v>699</v>
      </c>
      <c r="AG170" s="6" t="s">
        <v>1275</v>
      </c>
      <c r="AH170" s="53">
        <f>IFERROR(PA[[#This Row],[Breakdown Time]]*PA[[#This Row],[Plant Equivalent Weightage]],"")</f>
        <v>2.1266666666666673E-2</v>
      </c>
      <c r="AI170" s="59">
        <v>2.38</v>
      </c>
      <c r="AJ170" s="89">
        <f>IFERROR(IF(PA[[#This Row],[Lost PoA(kWh/m2)]]&gt;0,_xlfn.XLOOKUP(G170,'Modelling New'!$D:$D,'Modelling New'!$O:$O)*PA[[#This Row],[Lost PoA(kWh/m2)]]*S170,0),"")</f>
        <v>34.417169833285669</v>
      </c>
    </row>
    <row r="171" spans="1:36" hidden="1" x14ac:dyDescent="0.25">
      <c r="A171" s="229">
        <v>1862</v>
      </c>
      <c r="B171" s="233">
        <v>45796</v>
      </c>
      <c r="C171" s="59"/>
      <c r="D171" s="6">
        <f>YEAR(PA[[#This Row],[Date]])</f>
        <v>2025</v>
      </c>
      <c r="E171" s="129" t="s">
        <v>73</v>
      </c>
      <c r="F171" s="130" t="s">
        <v>73</v>
      </c>
      <c r="G171" s="301">
        <v>45778</v>
      </c>
      <c r="H171" s="56">
        <f>DAY(EOMONTH(PA[[#This Row],[Date]], 0))</f>
        <v>31</v>
      </c>
      <c r="I171" s="10">
        <v>0.21805555555555556</v>
      </c>
      <c r="J171" s="10">
        <v>0.76874999999999993</v>
      </c>
      <c r="K171" s="53">
        <f>IFERROR((PA[[#This Row],[Sunset Time (POA&lt;20 W/m2)]]-PA[[#This Row],[Sunrise Time (POA&gt;20 W/m2)]])*24,"")</f>
        <v>13.216666666666665</v>
      </c>
      <c r="L171" s="59" t="s">
        <v>621</v>
      </c>
      <c r="M171" s="59"/>
      <c r="N171" s="59"/>
      <c r="O171" s="59" t="s">
        <v>634</v>
      </c>
      <c r="P171" s="56"/>
      <c r="Q171" s="6"/>
      <c r="R17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BLK4INV9</v>
      </c>
      <c r="S171" s="53">
        <v>22.25</v>
      </c>
      <c r="T171" s="90">
        <f>IFERROR(_xlfn.XLOOKUP(PA[[#This Row],[Affected Equipment ]],'Basic Data '!A:A,'Basic Data '!C:C),"")</f>
        <v>4.0000000000000001E-3</v>
      </c>
      <c r="U171" s="59" t="s">
        <v>697</v>
      </c>
      <c r="V171" s="88"/>
      <c r="W171" s="114" t="s">
        <v>706</v>
      </c>
      <c r="X171" s="10">
        <v>0.21805555555555556</v>
      </c>
      <c r="Y171" s="60">
        <v>0.45</v>
      </c>
      <c r="Z171" s="60">
        <v>0.45</v>
      </c>
      <c r="AA171" s="60">
        <v>0.45</v>
      </c>
      <c r="AB171" s="158">
        <f>IF(PA[[#This Row],[Acknowledgement Time ]]="NA","",(PA[[#This Row],[Acknowledgement Time ]]-PA[[#This Row],[Fault Time]])*24)</f>
        <v>5.5666666666666664</v>
      </c>
      <c r="AC171" s="158">
        <f>IF(PA[[#This Row],[Work Start time on Fault]]="NA","",(PA[[#This Row],[Work Start time on Fault]]-PA[[#This Row],[Fault Time]])*24)</f>
        <v>5.5666666666666664</v>
      </c>
      <c r="AD171" s="112">
        <f>IF(PA[[#This Row],[Status]]="Open","",(PA[[#This Row],[Work Completion time on fault]]-PA[[#This Row],[Fault Time]])*24)</f>
        <v>5.5666666666666664</v>
      </c>
      <c r="AE171" s="111">
        <f>IFERROR((PA[[#This Row],[Work Completion time on fault]]-PA[[#This Row],[Fault Time]])*24,"")</f>
        <v>5.5666666666666664</v>
      </c>
      <c r="AF171" s="228"/>
      <c r="AG171" s="6" t="s">
        <v>1275</v>
      </c>
      <c r="AH171" s="53">
        <f>IFERROR(PA[[#This Row],[Breakdown Time]]*PA[[#This Row],[Plant Equivalent Weightage]],"")</f>
        <v>2.2266666666666667E-2</v>
      </c>
      <c r="AI171" s="59">
        <v>2.38</v>
      </c>
      <c r="AJ171" s="89">
        <f>IFERROR(IF(PA[[#This Row],[Lost PoA(kWh/m2)]]&gt;0,_xlfn.XLOOKUP(G171,'Modelling New'!$D:$D,'Modelling New'!$O:$O)*PA[[#This Row],[Lost PoA(kWh/m2)]]*S171,0),"")</f>
        <v>40.093299936680943</v>
      </c>
    </row>
    <row r="172" spans="1:36" hidden="1" x14ac:dyDescent="0.25">
      <c r="A172" s="229" t="s">
        <v>707</v>
      </c>
      <c r="B172" s="233">
        <v>45796</v>
      </c>
      <c r="C172" s="59"/>
      <c r="D172" s="6">
        <f>YEAR(PA[[#This Row],[Date]])</f>
        <v>2025</v>
      </c>
      <c r="E172" s="129" t="s">
        <v>73</v>
      </c>
      <c r="F172" s="130" t="s">
        <v>73</v>
      </c>
      <c r="G172" s="301">
        <v>45778</v>
      </c>
      <c r="H172" s="56">
        <f>DAY(EOMONTH(PA[[#This Row],[Date]], 0))</f>
        <v>31</v>
      </c>
      <c r="I172" s="10">
        <v>0.21805555555555556</v>
      </c>
      <c r="J172" s="10">
        <v>0.76874999999999993</v>
      </c>
      <c r="K172" s="53">
        <f>IFERROR((PA[[#This Row],[Sunset Time (POA&lt;20 W/m2)]]-PA[[#This Row],[Sunrise Time (POA&gt;20 W/m2)]])*24,"")</f>
        <v>13.216666666666665</v>
      </c>
      <c r="L172" s="59" t="s">
        <v>559</v>
      </c>
      <c r="M172" s="59"/>
      <c r="N172" s="59"/>
      <c r="O172" s="59" t="s">
        <v>595</v>
      </c>
      <c r="P172" s="56"/>
      <c r="Q172" s="6"/>
      <c r="R17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BLK2INV11</v>
      </c>
      <c r="S172" s="53">
        <v>22.25</v>
      </c>
      <c r="T172" s="90">
        <f>IFERROR(_xlfn.XLOOKUP(PA[[#This Row],[Affected Equipment ]],'Basic Data '!A:A,'Basic Data '!C:C),"")</f>
        <v>4.0000000000000001E-3</v>
      </c>
      <c r="U172" s="59" t="s">
        <v>697</v>
      </c>
      <c r="V172" s="88"/>
      <c r="W172" s="114" t="s">
        <v>699</v>
      </c>
      <c r="X172" s="10">
        <v>0.21805555555555556</v>
      </c>
      <c r="Y172" s="60">
        <v>0.45624999999999999</v>
      </c>
      <c r="Z172" s="60">
        <v>0.45624999999999999</v>
      </c>
      <c r="AA172" s="60">
        <v>0.45624999999999999</v>
      </c>
      <c r="AB172" s="158">
        <f>IF(PA[[#This Row],[Acknowledgement Time ]]="NA","",(PA[[#This Row],[Acknowledgement Time ]]-PA[[#This Row],[Fault Time]])*24)</f>
        <v>5.7166666666666668</v>
      </c>
      <c r="AC172" s="158">
        <f>IF(PA[[#This Row],[Work Start time on Fault]]="NA","",(PA[[#This Row],[Work Start time on Fault]]-PA[[#This Row],[Fault Time]])*24)</f>
        <v>5.7166666666666668</v>
      </c>
      <c r="AD172" s="112">
        <f>IF(PA[[#This Row],[Status]]="Open","",(PA[[#This Row],[Work Completion time on fault]]-PA[[#This Row],[Fault Time]])*24)</f>
        <v>5.7166666666666668</v>
      </c>
      <c r="AE172" s="111">
        <f>IFERROR((PA[[#This Row],[Work Completion time on fault]]-PA[[#This Row],[Fault Time]])*24,"")</f>
        <v>5.7166666666666668</v>
      </c>
      <c r="AF172" s="114" t="s">
        <v>699</v>
      </c>
      <c r="AG172" s="6" t="s">
        <v>1275</v>
      </c>
      <c r="AH172" s="53">
        <f>IFERROR(PA[[#This Row],[Breakdown Time]]*PA[[#This Row],[Plant Equivalent Weightage]],"")</f>
        <v>2.2866666666666667E-2</v>
      </c>
      <c r="AI172" s="59">
        <v>2.34</v>
      </c>
      <c r="AJ172" s="89">
        <f>IFERROR(IF(PA[[#This Row],[Lost PoA(kWh/m2)]]&gt;0,_xlfn.XLOOKUP(G172,'Modelling New'!$D:$D,'Modelling New'!$O:$O)*PA[[#This Row],[Lost PoA(kWh/m2)]]*S172,0),"")</f>
        <v>39.419462962955215</v>
      </c>
    </row>
    <row r="173" spans="1:36" hidden="1" x14ac:dyDescent="0.25">
      <c r="A173" s="229">
        <v>1864</v>
      </c>
      <c r="B173" s="233">
        <v>45796</v>
      </c>
      <c r="C173" s="59"/>
      <c r="D173" s="6">
        <f>YEAR(PA[[#This Row],[Date]])</f>
        <v>2025</v>
      </c>
      <c r="E173" s="129" t="s">
        <v>73</v>
      </c>
      <c r="F173" s="130" t="s">
        <v>73</v>
      </c>
      <c r="G173" s="301">
        <v>45778</v>
      </c>
      <c r="H173" s="56">
        <f>DAY(EOMONTH(PA[[#This Row],[Date]], 0))</f>
        <v>31</v>
      </c>
      <c r="I173" s="10">
        <v>0.21805555555555556</v>
      </c>
      <c r="J173" s="10">
        <v>0.76874999999999993</v>
      </c>
      <c r="K173" s="53">
        <f>IFERROR((PA[[#This Row],[Sunset Time (POA&lt;20 W/m2)]]-PA[[#This Row],[Sunrise Time (POA&gt;20 W/m2)]])*24,"")</f>
        <v>13.216666666666665</v>
      </c>
      <c r="L173" s="59" t="s">
        <v>559</v>
      </c>
      <c r="M173" s="59"/>
      <c r="N173" s="59"/>
      <c r="O173" s="59" t="s">
        <v>596</v>
      </c>
      <c r="P173" s="56"/>
      <c r="Q173" s="6"/>
      <c r="R17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BLK2INV13</v>
      </c>
      <c r="S173" s="53">
        <v>19.100000000000001</v>
      </c>
      <c r="T173" s="90">
        <f>IFERROR(_xlfn.XLOOKUP(PA[[#This Row],[Affected Equipment ]],'Basic Data '!A:A,'Basic Data '!C:C),"")</f>
        <v>4.0000000000000001E-3</v>
      </c>
      <c r="U173" s="59" t="s">
        <v>697</v>
      </c>
      <c r="V173" s="88"/>
      <c r="W173" s="114" t="s">
        <v>699</v>
      </c>
      <c r="X173" s="10">
        <v>0.21805555555555556</v>
      </c>
      <c r="Y173" s="60">
        <v>0.47222222222222227</v>
      </c>
      <c r="Z173" s="60">
        <v>0.47222222222222227</v>
      </c>
      <c r="AA173" s="60">
        <v>0.47222222222222227</v>
      </c>
      <c r="AB173" s="158">
        <f>IF(PA[[#This Row],[Acknowledgement Time ]]="NA","",(PA[[#This Row],[Acknowledgement Time ]]-PA[[#This Row],[Fault Time]])*24)</f>
        <v>6.1000000000000014</v>
      </c>
      <c r="AC173" s="158">
        <f>IF(PA[[#This Row],[Work Start time on Fault]]="NA","",(PA[[#This Row],[Work Start time on Fault]]-PA[[#This Row],[Fault Time]])*24)</f>
        <v>6.1000000000000014</v>
      </c>
      <c r="AD173" s="112">
        <f>IF(PA[[#This Row],[Status]]="Open","",(PA[[#This Row],[Work Completion time on fault]]-PA[[#This Row],[Fault Time]])*24)</f>
        <v>6.1000000000000014</v>
      </c>
      <c r="AE173" s="111">
        <f>IFERROR((PA[[#This Row],[Work Completion time on fault]]-PA[[#This Row],[Fault Time]])*24,"")</f>
        <v>6.1000000000000014</v>
      </c>
      <c r="AF173" s="114" t="s">
        <v>699</v>
      </c>
      <c r="AG173" s="6" t="s">
        <v>1275</v>
      </c>
      <c r="AH173" s="53">
        <f>IFERROR(PA[[#This Row],[Breakdown Time]]*PA[[#This Row],[Plant Equivalent Weightage]],"")</f>
        <v>2.4400000000000005E-2</v>
      </c>
      <c r="AI173" s="59">
        <v>2.4500000000000002</v>
      </c>
      <c r="AJ173" s="89">
        <f>IFERROR(IF(PA[[#This Row],[Lost PoA(kWh/m2)]]&gt;0,_xlfn.XLOOKUP(G173,'Modelling New'!$D:$D,'Modelling New'!$O:$O)*PA[[#This Row],[Lost PoA(kWh/m2)]]*S173,0),"")</f>
        <v>35.429439534264667</v>
      </c>
    </row>
    <row r="174" spans="1:36" hidden="1" x14ac:dyDescent="0.25">
      <c r="A174" s="229">
        <v>1865</v>
      </c>
      <c r="B174" s="233">
        <v>45796</v>
      </c>
      <c r="C174" s="59"/>
      <c r="D174" s="6">
        <f>YEAR(PA[[#This Row],[Date]])</f>
        <v>2025</v>
      </c>
      <c r="E174" s="129" t="s">
        <v>73</v>
      </c>
      <c r="F174" s="130" t="s">
        <v>73</v>
      </c>
      <c r="G174" s="301">
        <v>45778</v>
      </c>
      <c r="H174" s="56">
        <f>DAY(EOMONTH(PA[[#This Row],[Date]], 0))</f>
        <v>31</v>
      </c>
      <c r="I174" s="10">
        <v>0.21805555555555556</v>
      </c>
      <c r="J174" s="10">
        <v>0.76874999999999993</v>
      </c>
      <c r="K174" s="53">
        <f>IFERROR((PA[[#This Row],[Sunset Time (POA&lt;20 W/m2)]]-PA[[#This Row],[Sunrise Time (POA&gt;20 W/m2)]])*24,"")</f>
        <v>13.216666666666665</v>
      </c>
      <c r="L174" s="59" t="s">
        <v>559</v>
      </c>
      <c r="M174" s="59"/>
      <c r="N174" s="59"/>
      <c r="O174" s="59" t="s">
        <v>594</v>
      </c>
      <c r="P174" s="56"/>
      <c r="Q174" s="6"/>
      <c r="R17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BLK2INV10</v>
      </c>
      <c r="S174" s="53">
        <v>22.25</v>
      </c>
      <c r="T174" s="90">
        <f>IFERROR(_xlfn.XLOOKUP(PA[[#This Row],[Affected Equipment ]],'Basic Data '!A:A,'Basic Data '!C:C),"")</f>
        <v>4.0000000000000001E-3</v>
      </c>
      <c r="U174" s="59" t="s">
        <v>697</v>
      </c>
      <c r="V174" s="88"/>
      <c r="W174" s="114" t="s">
        <v>699</v>
      </c>
      <c r="X174" s="10">
        <v>0.21805555555555556</v>
      </c>
      <c r="Y174" s="60">
        <v>0.4777777777777778</v>
      </c>
      <c r="Z174" s="60">
        <v>0.4777777777777778</v>
      </c>
      <c r="AA174" s="60">
        <v>0.4777777777777778</v>
      </c>
      <c r="AB174" s="158">
        <f>IF(PA[[#This Row],[Acknowledgement Time ]]="NA","",(PA[[#This Row],[Acknowledgement Time ]]-PA[[#This Row],[Fault Time]])*24)</f>
        <v>6.2333333333333343</v>
      </c>
      <c r="AC174" s="158">
        <f>IF(PA[[#This Row],[Work Start time on Fault]]="NA","",(PA[[#This Row],[Work Start time on Fault]]-PA[[#This Row],[Fault Time]])*24)</f>
        <v>6.2333333333333343</v>
      </c>
      <c r="AD174" s="112">
        <f>IF(PA[[#This Row],[Status]]="Open","",(PA[[#This Row],[Work Completion time on fault]]-PA[[#This Row],[Fault Time]])*24)</f>
        <v>6.2333333333333343</v>
      </c>
      <c r="AE174" s="111">
        <f>IFERROR((PA[[#This Row],[Work Completion time on fault]]-PA[[#This Row],[Fault Time]])*24,"")</f>
        <v>6.2333333333333343</v>
      </c>
      <c r="AF174" s="114" t="s">
        <v>699</v>
      </c>
      <c r="AG174" s="6" t="s">
        <v>1275</v>
      </c>
      <c r="AH174" s="53">
        <f>IFERROR(PA[[#This Row],[Breakdown Time]]*PA[[#This Row],[Plant Equivalent Weightage]],"")</f>
        <v>2.4933333333333339E-2</v>
      </c>
      <c r="AI174" s="59">
        <v>2.4500000000000002</v>
      </c>
      <c r="AJ174" s="89">
        <f>IFERROR(IF(PA[[#This Row],[Lost PoA(kWh/m2)]]&gt;0,_xlfn.XLOOKUP(G174,'Modelling New'!$D:$D,'Modelling New'!$O:$O)*PA[[#This Row],[Lost PoA(kWh/m2)]]*S174,0),"")</f>
        <v>41.272514640700976</v>
      </c>
    </row>
    <row r="175" spans="1:36" hidden="1" x14ac:dyDescent="0.25">
      <c r="A175" s="229">
        <v>1866</v>
      </c>
      <c r="B175" s="233">
        <v>45796</v>
      </c>
      <c r="C175" s="59"/>
      <c r="D175" s="6">
        <f>YEAR(PA[[#This Row],[Date]])</f>
        <v>2025</v>
      </c>
      <c r="E175" s="129" t="s">
        <v>73</v>
      </c>
      <c r="F175" s="130" t="s">
        <v>73</v>
      </c>
      <c r="G175" s="301">
        <v>45778</v>
      </c>
      <c r="H175" s="56">
        <f>DAY(EOMONTH(PA[[#This Row],[Date]], 0))</f>
        <v>31</v>
      </c>
      <c r="I175" s="10">
        <v>0.21805555555555556</v>
      </c>
      <c r="J175" s="10">
        <v>0.7680555555555556</v>
      </c>
      <c r="K175" s="53">
        <f>IFERROR((PA[[#This Row],[Sunset Time (POA&lt;20 W/m2)]]-PA[[#This Row],[Sunrise Time (POA&gt;20 W/m2)]])*24,"")</f>
        <v>13.200000000000001</v>
      </c>
      <c r="L175" s="59" t="s">
        <v>579</v>
      </c>
      <c r="M175" s="59"/>
      <c r="N175" s="59"/>
      <c r="O175" s="59" t="s">
        <v>789</v>
      </c>
      <c r="P175" s="56"/>
      <c r="Q175" s="6"/>
      <c r="R17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BLK8MVP</v>
      </c>
      <c r="S175" s="53">
        <v>4338</v>
      </c>
      <c r="T175" s="90">
        <f>IFERROR(_xlfn.XLOOKUP(PA[[#This Row],[Affected Equipment ]],'Basic Data '!A:A,'Basic Data '!C:C),"")</f>
        <v>0.10548913857677902</v>
      </c>
      <c r="U175" s="59" t="s">
        <v>573</v>
      </c>
      <c r="V175" s="88"/>
      <c r="W175" s="114" t="s">
        <v>667</v>
      </c>
      <c r="X175" s="60">
        <v>0.48958333333333331</v>
      </c>
      <c r="Y175" s="60">
        <v>0.48958333333333331</v>
      </c>
      <c r="Z175" s="60">
        <v>0.49305555555555558</v>
      </c>
      <c r="AA175" s="60">
        <v>0.49305555555555558</v>
      </c>
      <c r="AB175" s="158">
        <f>IF(PA[[#This Row],[Acknowledgement Time ]]="NA","",(PA[[#This Row],[Acknowledgement Time ]]-PA[[#This Row],[Fault Time]])*24)</f>
        <v>0</v>
      </c>
      <c r="AC175" s="158">
        <f>IF(PA[[#This Row],[Work Start time on Fault]]="NA","",(PA[[#This Row],[Work Start time on Fault]]-PA[[#This Row],[Fault Time]])*24)</f>
        <v>8.333333333333437E-2</v>
      </c>
      <c r="AD175" s="112">
        <f>IF(PA[[#This Row],[Status]]="Open","",(PA[[#This Row],[Work Completion time on fault]]-PA[[#This Row],[Fault Time]])*24)</f>
        <v>8.333333333333437E-2</v>
      </c>
      <c r="AE175" s="111">
        <f>IFERROR((PA[[#This Row],[Work Completion time on fault]]-PA[[#This Row],[Fault Time]])*24,"")</f>
        <v>8.333333333333437E-2</v>
      </c>
      <c r="AF175" s="114" t="s">
        <v>667</v>
      </c>
      <c r="AG175" s="6" t="s">
        <v>1275</v>
      </c>
      <c r="AH175" s="53">
        <f>IFERROR(PA[[#This Row],[Breakdown Time]]*PA[[#This Row],[Plant Equivalent Weightage]],"")</f>
        <v>8.7907615480650285E-3</v>
      </c>
      <c r="AI175" s="59">
        <v>0.3</v>
      </c>
      <c r="AJ175" s="89">
        <f>IFERROR(IF(PA[[#This Row],[Lost PoA(kWh/m2)]]&gt;0,_xlfn.XLOOKUP(G175,'Modelling New'!$D:$D,'Modelling New'!$O:$O)*PA[[#This Row],[Lost PoA(kWh/m2)]]*S175,0),"")</f>
        <v>985.31622202996095</v>
      </c>
    </row>
    <row r="176" spans="1:36" hidden="1" x14ac:dyDescent="0.25">
      <c r="A176" s="229">
        <v>1867</v>
      </c>
      <c r="B176" s="233">
        <v>45797</v>
      </c>
      <c r="C176" s="59"/>
      <c r="D176" s="6">
        <f>YEAR(PA[[#This Row],[Date]])</f>
        <v>2025</v>
      </c>
      <c r="E176" s="129" t="s">
        <v>73</v>
      </c>
      <c r="F176" s="130" t="s">
        <v>73</v>
      </c>
      <c r="G176" s="301">
        <v>45778</v>
      </c>
      <c r="H176" s="56">
        <f>DAY(EOMONTH(PA[[#This Row],[Date]], 0))</f>
        <v>31</v>
      </c>
      <c r="I176" s="10">
        <v>0.21805555555555556</v>
      </c>
      <c r="J176" s="10">
        <v>0.7680555555555556</v>
      </c>
      <c r="K176" s="53">
        <f>IFERROR((PA[[#This Row],[Sunset Time (POA&lt;20 W/m2)]]-PA[[#This Row],[Sunrise Time (POA&gt;20 W/m2)]])*24,"")</f>
        <v>13.200000000000001</v>
      </c>
      <c r="L176" s="59" t="s">
        <v>615</v>
      </c>
      <c r="M176" s="59"/>
      <c r="N176" s="59"/>
      <c r="O176" s="59" t="s">
        <v>600</v>
      </c>
      <c r="P176" s="56"/>
      <c r="Q176" s="6"/>
      <c r="R17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BLK6INV17</v>
      </c>
      <c r="S176" s="53">
        <v>22.25</v>
      </c>
      <c r="T176" s="90">
        <f>IFERROR(_xlfn.XLOOKUP(PA[[#This Row],[Affected Equipment ]],'Basic Data '!A:A,'Basic Data '!C:C),"")</f>
        <v>4.1198501872659176E-3</v>
      </c>
      <c r="U176" s="59" t="s">
        <v>697</v>
      </c>
      <c r="V176" s="88"/>
      <c r="W176" s="114" t="s">
        <v>708</v>
      </c>
      <c r="X176" s="10">
        <v>0.21805555555555556</v>
      </c>
      <c r="Y176" s="60">
        <v>0.4680555555555555</v>
      </c>
      <c r="Z176" s="60">
        <v>0.4680555555555555</v>
      </c>
      <c r="AA176" s="60">
        <v>0.4680555555555555</v>
      </c>
      <c r="AB176" s="158">
        <f>IF(PA[[#This Row],[Acknowledgement Time ]]="NA","",(PA[[#This Row],[Acknowledgement Time ]]-PA[[#This Row],[Fault Time]])*24)</f>
        <v>5.9999999999999982</v>
      </c>
      <c r="AC176" s="158">
        <f>IF(PA[[#This Row],[Work Start time on Fault]]="NA","",(PA[[#This Row],[Work Start time on Fault]]-PA[[#This Row],[Fault Time]])*24)</f>
        <v>5.9999999999999982</v>
      </c>
      <c r="AD176" s="112">
        <f>IF(PA[[#This Row],[Status]]="Open","",(PA[[#This Row],[Work Completion time on fault]]-PA[[#This Row],[Fault Time]])*24)</f>
        <v>5.9999999999999982</v>
      </c>
      <c r="AE176" s="111">
        <f>IFERROR((PA[[#This Row],[Work Completion time on fault]]-PA[[#This Row],[Fault Time]])*24,"")</f>
        <v>5.9999999999999982</v>
      </c>
      <c r="AF176" s="114" t="s">
        <v>706</v>
      </c>
      <c r="AG176" s="6" t="s">
        <v>1275</v>
      </c>
      <c r="AH176" s="53">
        <f>IFERROR(PA[[#This Row],[Breakdown Time]]*PA[[#This Row],[Plant Equivalent Weightage]],"")</f>
        <v>2.4719101123595499E-2</v>
      </c>
      <c r="AI176" s="59">
        <v>2.2999999999999998</v>
      </c>
      <c r="AJ176" s="89">
        <f>IFERROR(IF(PA[[#This Row],[Lost PoA(kWh/m2)]]&gt;0,_xlfn.XLOOKUP(G176,'Modelling New'!$D:$D,'Modelling New'!$O:$O)*PA[[#This Row],[Lost PoA(kWh/m2)]]*S176,0),"")</f>
        <v>38.745625989229481</v>
      </c>
    </row>
    <row r="177" spans="1:36" hidden="1" x14ac:dyDescent="0.25">
      <c r="A177" s="229">
        <v>1868</v>
      </c>
      <c r="B177" s="233">
        <v>45797</v>
      </c>
      <c r="C177" s="59"/>
      <c r="D177" s="6">
        <f>YEAR(PA[[#This Row],[Date]])</f>
        <v>2025</v>
      </c>
      <c r="E177" s="129" t="s">
        <v>73</v>
      </c>
      <c r="F177" s="130" t="s">
        <v>73</v>
      </c>
      <c r="G177" s="301">
        <v>45778</v>
      </c>
      <c r="H177" s="56">
        <f>DAY(EOMONTH(PA[[#This Row],[Date]], 0))</f>
        <v>31</v>
      </c>
      <c r="I177" s="10">
        <v>0.21805555555555556</v>
      </c>
      <c r="J177" s="10">
        <v>0.7680555555555556</v>
      </c>
      <c r="K177" s="53">
        <f>IFERROR((PA[[#This Row],[Sunset Time (POA&lt;20 W/m2)]]-PA[[#This Row],[Sunrise Time (POA&gt;20 W/m2)]])*24,"")</f>
        <v>13.200000000000001</v>
      </c>
      <c r="L177" s="59" t="s">
        <v>606</v>
      </c>
      <c r="M177" s="59"/>
      <c r="N177" s="59"/>
      <c r="O177" s="59" t="s">
        <v>571</v>
      </c>
      <c r="P177" s="56"/>
      <c r="Q177" s="6"/>
      <c r="R17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BLK7INV2</v>
      </c>
      <c r="S177" s="53">
        <v>22.25</v>
      </c>
      <c r="T177" s="90">
        <f>IFERROR(_xlfn.XLOOKUP(PA[[#This Row],[Affected Equipment ]],'Basic Data '!A:A,'Basic Data '!C:C),"")</f>
        <v>3.9550561797752808E-3</v>
      </c>
      <c r="U177" s="59" t="s">
        <v>697</v>
      </c>
      <c r="V177" s="88"/>
      <c r="W177" s="114" t="s">
        <v>699</v>
      </c>
      <c r="X177" s="10">
        <v>0.21805555555555556</v>
      </c>
      <c r="Y177" s="60">
        <v>0.52083333333333337</v>
      </c>
      <c r="Z177" s="60">
        <v>0.52083333333333337</v>
      </c>
      <c r="AA177" s="60">
        <v>0.52083333333333337</v>
      </c>
      <c r="AB177" s="158">
        <f>IF(PA[[#This Row],[Acknowledgement Time ]]="NA","",(PA[[#This Row],[Acknowledgement Time ]]-PA[[#This Row],[Fault Time]])*24)</f>
        <v>7.2666666666666675</v>
      </c>
      <c r="AC177" s="158">
        <f>IF(PA[[#This Row],[Work Start time on Fault]]="NA","",(PA[[#This Row],[Work Start time on Fault]]-PA[[#This Row],[Fault Time]])*24)</f>
        <v>7.2666666666666675</v>
      </c>
      <c r="AD177" s="112">
        <f>IF(PA[[#This Row],[Status]]="Open","",(PA[[#This Row],[Work Completion time on fault]]-PA[[#This Row],[Fault Time]])*24)</f>
        <v>7.2666666666666675</v>
      </c>
      <c r="AE177" s="111">
        <f>IFERROR((PA[[#This Row],[Work Completion time on fault]]-PA[[#This Row],[Fault Time]])*24,"")</f>
        <v>7.2666666666666675</v>
      </c>
      <c r="AF177" s="114" t="s">
        <v>699</v>
      </c>
      <c r="AG177" s="6" t="s">
        <v>1275</v>
      </c>
      <c r="AH177" s="53">
        <f>IFERROR(PA[[#This Row],[Breakdown Time]]*PA[[#This Row],[Plant Equivalent Weightage]],"")</f>
        <v>2.8740074906367045E-2</v>
      </c>
      <c r="AI177" s="59">
        <v>2.4</v>
      </c>
      <c r="AJ177" s="89">
        <f>IFERROR(IF(PA[[#This Row],[Lost PoA(kWh/m2)]]&gt;0,_xlfn.XLOOKUP(G177,'Modelling New'!$D:$D,'Modelling New'!$O:$O)*PA[[#This Row],[Lost PoA(kWh/m2)]]*S177,0),"")</f>
        <v>40.430218423543806</v>
      </c>
    </row>
    <row r="178" spans="1:36" hidden="1" x14ac:dyDescent="0.25">
      <c r="A178" s="229">
        <v>1869</v>
      </c>
      <c r="B178" s="233">
        <v>45797</v>
      </c>
      <c r="C178" s="59"/>
      <c r="D178" s="6">
        <f>YEAR(PA[[#This Row],[Date]])</f>
        <v>2025</v>
      </c>
      <c r="E178" s="129" t="s">
        <v>73</v>
      </c>
      <c r="F178" s="130" t="s">
        <v>73</v>
      </c>
      <c r="G178" s="301">
        <v>45778</v>
      </c>
      <c r="H178" s="56">
        <f>DAY(EOMONTH(PA[[#This Row],[Date]], 0))</f>
        <v>31</v>
      </c>
      <c r="I178" s="10">
        <v>0.21805555555555556</v>
      </c>
      <c r="J178" s="10">
        <v>0.7680555555555556</v>
      </c>
      <c r="K178" s="53">
        <f>IFERROR((PA[[#This Row],[Sunset Time (POA&lt;20 W/m2)]]-PA[[#This Row],[Sunrise Time (POA&gt;20 W/m2)]])*24,"")</f>
        <v>13.200000000000001</v>
      </c>
      <c r="L178" s="59" t="s">
        <v>579</v>
      </c>
      <c r="M178" s="59"/>
      <c r="N178" s="59"/>
      <c r="O178" s="59" t="s">
        <v>634</v>
      </c>
      <c r="P178" s="56"/>
      <c r="Q178" s="6"/>
      <c r="R17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BLK8INV9</v>
      </c>
      <c r="S178" s="53">
        <v>22.25</v>
      </c>
      <c r="T178" s="90">
        <f>IFERROR(_xlfn.XLOOKUP(PA[[#This Row],[Affected Equipment ]],'Basic Data '!A:A,'Basic Data '!C:C),"")</f>
        <v>4.3333333333333331E-3</v>
      </c>
      <c r="U178" s="59" t="s">
        <v>697</v>
      </c>
      <c r="V178" s="88"/>
      <c r="W178" s="114" t="s">
        <v>708</v>
      </c>
      <c r="X178" s="10">
        <v>0.21805555555555556</v>
      </c>
      <c r="Y178" s="60">
        <v>0.71458333333333324</v>
      </c>
      <c r="Z178" s="60">
        <v>0.71458333333333324</v>
      </c>
      <c r="AA178" s="60">
        <v>0.71458333333333324</v>
      </c>
      <c r="AB178" s="158">
        <f>IF(PA[[#This Row],[Acknowledgement Time ]]="NA","",(PA[[#This Row],[Acknowledgement Time ]]-PA[[#This Row],[Fault Time]])*24)</f>
        <v>11.916666666666664</v>
      </c>
      <c r="AC178" s="158">
        <f>IF(PA[[#This Row],[Work Start time on Fault]]="NA","",(PA[[#This Row],[Work Start time on Fault]]-PA[[#This Row],[Fault Time]])*24)</f>
        <v>11.916666666666664</v>
      </c>
      <c r="AD178" s="112">
        <f>IF(PA[[#This Row],[Status]]="Open","",(PA[[#This Row],[Work Completion time on fault]]-PA[[#This Row],[Fault Time]])*24)</f>
        <v>11.916666666666664</v>
      </c>
      <c r="AE178" s="111">
        <f>IFERROR((PA[[#This Row],[Work Completion time on fault]]-PA[[#This Row],[Fault Time]])*24,"")</f>
        <v>11.916666666666664</v>
      </c>
      <c r="AF178" s="114" t="s">
        <v>706</v>
      </c>
      <c r="AG178" s="6" t="s">
        <v>1275</v>
      </c>
      <c r="AH178" s="53">
        <f>IFERROR(PA[[#This Row],[Breakdown Time]]*PA[[#This Row],[Plant Equivalent Weightage]],"")</f>
        <v>5.1638888888888873E-2</v>
      </c>
      <c r="AI178" s="59">
        <v>3.4</v>
      </c>
      <c r="AJ178" s="89">
        <f>IFERROR(IF(PA[[#This Row],[Lost PoA(kWh/m2)]]&gt;0,_xlfn.XLOOKUP(G178,'Modelling New'!$D:$D,'Modelling New'!$O:$O)*PA[[#This Row],[Lost PoA(kWh/m2)]]*S178,0),"")</f>
        <v>57.276142766687059</v>
      </c>
    </row>
    <row r="179" spans="1:36" hidden="1" x14ac:dyDescent="0.25">
      <c r="A179" s="229">
        <v>1870</v>
      </c>
      <c r="B179" s="233">
        <v>45797</v>
      </c>
      <c r="C179" s="59"/>
      <c r="D179" s="6">
        <f>YEAR(PA[[#This Row],[Date]])</f>
        <v>2025</v>
      </c>
      <c r="E179" s="129" t="s">
        <v>73</v>
      </c>
      <c r="F179" s="130" t="s">
        <v>73</v>
      </c>
      <c r="G179" s="301">
        <v>45778</v>
      </c>
      <c r="H179" s="56">
        <f>DAY(EOMONTH(PA[[#This Row],[Date]], 0))</f>
        <v>31</v>
      </c>
      <c r="I179" s="10">
        <v>0.21805555555555556</v>
      </c>
      <c r="J179" s="10">
        <v>0.7680555555555556</v>
      </c>
      <c r="K179" s="53">
        <f>IFERROR((PA[[#This Row],[Sunset Time (POA&lt;20 W/m2)]]-PA[[#This Row],[Sunrise Time (POA&gt;20 W/m2)]])*24,"")</f>
        <v>13.200000000000001</v>
      </c>
      <c r="L179" s="59" t="s">
        <v>579</v>
      </c>
      <c r="M179" s="59"/>
      <c r="N179" s="59"/>
      <c r="O179" s="59" t="s">
        <v>612</v>
      </c>
      <c r="P179" s="56"/>
      <c r="Q179" s="6"/>
      <c r="R17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BLK8INV28</v>
      </c>
      <c r="S179" s="53">
        <v>22.25</v>
      </c>
      <c r="T179" s="90">
        <f>IFERROR(_xlfn.XLOOKUP(PA[[#This Row],[Affected Equipment ]],'Basic Data '!A:A,'Basic Data '!C:C),"")</f>
        <v>3.8561797752808993E-3</v>
      </c>
      <c r="U179" s="59" t="s">
        <v>697</v>
      </c>
      <c r="V179" s="88"/>
      <c r="W179" s="114" t="s">
        <v>709</v>
      </c>
      <c r="X179" s="10">
        <v>0.21805555555555556</v>
      </c>
      <c r="Y179" s="60">
        <v>0.65277777777777779</v>
      </c>
      <c r="Z179" s="60">
        <v>0.65277777777777779</v>
      </c>
      <c r="AA179" s="60">
        <v>0.65277777777777779</v>
      </c>
      <c r="AB179" s="158">
        <f>IF(PA[[#This Row],[Acknowledgement Time ]]="NA","",(PA[[#This Row],[Acknowledgement Time ]]-PA[[#This Row],[Fault Time]])*24)</f>
        <v>10.433333333333334</v>
      </c>
      <c r="AC179" s="158">
        <f>IF(PA[[#This Row],[Work Start time on Fault]]="NA","",(PA[[#This Row],[Work Start time on Fault]]-PA[[#This Row],[Fault Time]])*24)</f>
        <v>10.433333333333334</v>
      </c>
      <c r="AD179" s="112">
        <f>IF(PA[[#This Row],[Status]]="Open","",(PA[[#This Row],[Work Completion time on fault]]-PA[[#This Row],[Fault Time]])*24)</f>
        <v>10.433333333333334</v>
      </c>
      <c r="AE179" s="111">
        <f>IFERROR((PA[[#This Row],[Work Completion time on fault]]-PA[[#This Row],[Fault Time]])*24,"")</f>
        <v>10.433333333333334</v>
      </c>
      <c r="AF179" s="228" t="s">
        <v>710</v>
      </c>
      <c r="AG179" s="6" t="s">
        <v>1275</v>
      </c>
      <c r="AH179" s="53">
        <f>IFERROR(PA[[#This Row],[Breakdown Time]]*PA[[#This Row],[Plant Equivalent Weightage]],"")</f>
        <v>4.0232808988764052E-2</v>
      </c>
      <c r="AI179" s="59">
        <v>4</v>
      </c>
      <c r="AJ179" s="89">
        <f>IFERROR(IF(PA[[#This Row],[Lost PoA(kWh/m2)]]&gt;0,_xlfn.XLOOKUP(G179,'Modelling New'!$D:$D,'Modelling New'!$O:$O)*PA[[#This Row],[Lost PoA(kWh/m2)]]*S179,0),"")</f>
        <v>67.383697372573025</v>
      </c>
    </row>
    <row r="180" spans="1:36" hidden="1" x14ac:dyDescent="0.25">
      <c r="A180" s="229">
        <v>1871</v>
      </c>
      <c r="B180" s="233">
        <v>45798</v>
      </c>
      <c r="C180" s="59"/>
      <c r="D180" s="6">
        <f>YEAR(PA[[#This Row],[Date]])</f>
        <v>2025</v>
      </c>
      <c r="E180" s="129" t="s">
        <v>73</v>
      </c>
      <c r="F180" s="130" t="s">
        <v>73</v>
      </c>
      <c r="G180" s="301">
        <v>45778</v>
      </c>
      <c r="H180" s="56">
        <f>DAY(EOMONTH(PA[[#This Row],[Date]], 0))</f>
        <v>31</v>
      </c>
      <c r="I180" s="10">
        <v>0.21944444444444444</v>
      </c>
      <c r="J180" s="10">
        <v>0.76874999999999993</v>
      </c>
      <c r="K180" s="53">
        <f>IFERROR((PA[[#This Row],[Sunset Time (POA&lt;20 W/m2)]]-PA[[#This Row],[Sunrise Time (POA&gt;20 W/m2)]])*24,"")</f>
        <v>13.183333333333332</v>
      </c>
      <c r="L180" s="59" t="s">
        <v>579</v>
      </c>
      <c r="M180" s="59"/>
      <c r="N180" s="59"/>
      <c r="O180" s="59" t="s">
        <v>648</v>
      </c>
      <c r="P180" s="56"/>
      <c r="Q180" s="6"/>
      <c r="R18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BLK8INV14</v>
      </c>
      <c r="S180" s="53">
        <v>22.25</v>
      </c>
      <c r="T180" s="90">
        <f>IFERROR(_xlfn.XLOOKUP(PA[[#This Row],[Affected Equipment ]],'Basic Data '!A:A,'Basic Data '!C:C),"")</f>
        <v>3.8561797752808993E-3</v>
      </c>
      <c r="U180" s="59" t="s">
        <v>697</v>
      </c>
      <c r="V180" s="88"/>
      <c r="W180" s="114" t="s">
        <v>708</v>
      </c>
      <c r="X180" s="10">
        <v>0.21805555555555556</v>
      </c>
      <c r="Y180" s="60">
        <v>0.4236111111111111</v>
      </c>
      <c r="Z180" s="60">
        <v>0.4236111111111111</v>
      </c>
      <c r="AA180" s="60">
        <v>0.4236111111111111</v>
      </c>
      <c r="AB180" s="158">
        <f>IF(PA[[#This Row],[Acknowledgement Time ]]="NA","",(PA[[#This Row],[Acknowledgement Time ]]-PA[[#This Row],[Fault Time]])*24)</f>
        <v>4.9333333333333336</v>
      </c>
      <c r="AC180" s="158">
        <f>IF(PA[[#This Row],[Work Start time on Fault]]="NA","",(PA[[#This Row],[Work Start time on Fault]]-PA[[#This Row],[Fault Time]])*24)</f>
        <v>4.9333333333333336</v>
      </c>
      <c r="AD180" s="112">
        <f>IF(PA[[#This Row],[Status]]="Open","",(PA[[#This Row],[Work Completion time on fault]]-PA[[#This Row],[Fault Time]])*24)</f>
        <v>4.9333333333333336</v>
      </c>
      <c r="AE180" s="111">
        <f>IFERROR((PA[[#This Row],[Work Completion time on fault]]-PA[[#This Row],[Fault Time]])*24,"")</f>
        <v>4.9333333333333336</v>
      </c>
      <c r="AF180" s="114" t="s">
        <v>706</v>
      </c>
      <c r="AG180" s="6" t="s">
        <v>1275</v>
      </c>
      <c r="AH180" s="53">
        <f>IFERROR(PA[[#This Row],[Breakdown Time]]*PA[[#This Row],[Plant Equivalent Weightage]],"")</f>
        <v>1.9023820224719105E-2</v>
      </c>
      <c r="AI180" s="59">
        <v>1</v>
      </c>
      <c r="AJ180" s="89">
        <f>IFERROR(IF(PA[[#This Row],[Lost PoA(kWh/m2)]]&gt;0,_xlfn.XLOOKUP(G180,'Modelling New'!$D:$D,'Modelling New'!$O:$O)*PA[[#This Row],[Lost PoA(kWh/m2)]]*S180,0),"")</f>
        <v>16.845924343143256</v>
      </c>
    </row>
    <row r="181" spans="1:36" hidden="1" x14ac:dyDescent="0.25">
      <c r="A181" s="229">
        <v>1872</v>
      </c>
      <c r="B181" s="233">
        <v>45799</v>
      </c>
      <c r="C181" s="59"/>
      <c r="D181" s="6">
        <f>YEAR(PA[[#This Row],[Date]])</f>
        <v>2025</v>
      </c>
      <c r="E181" s="129" t="s">
        <v>73</v>
      </c>
      <c r="F181" s="130" t="s">
        <v>73</v>
      </c>
      <c r="G181" s="301">
        <v>45778</v>
      </c>
      <c r="H181" s="56">
        <f>DAY(EOMONTH(PA[[#This Row],[Date]], 0))</f>
        <v>31</v>
      </c>
      <c r="I181" s="10">
        <v>0.21944444444444444</v>
      </c>
      <c r="J181" s="10">
        <v>0.77013888888888893</v>
      </c>
      <c r="K181" s="53">
        <f>IFERROR((PA[[#This Row],[Sunset Time (POA&lt;20 W/m2)]]-PA[[#This Row],[Sunrise Time (POA&gt;20 W/m2)]])*24,"")</f>
        <v>13.216666666666669</v>
      </c>
      <c r="L181" s="59" t="s">
        <v>597</v>
      </c>
      <c r="M181" s="59"/>
      <c r="N181" s="59"/>
      <c r="O181" s="59" t="s">
        <v>663</v>
      </c>
      <c r="P181" s="56"/>
      <c r="Q181" s="6"/>
      <c r="R18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BLK3INV16</v>
      </c>
      <c r="S181" s="53">
        <v>22.25</v>
      </c>
      <c r="T181" s="90">
        <f>IFERROR(_xlfn.XLOOKUP(PA[[#This Row],[Affected Equipment ]],'Basic Data '!A:A,'Basic Data '!C:C),"")</f>
        <v>4.0000000000000001E-3</v>
      </c>
      <c r="U181" s="59" t="s">
        <v>697</v>
      </c>
      <c r="V181" s="88"/>
      <c r="W181" s="114" t="s">
        <v>712</v>
      </c>
      <c r="X181" s="60">
        <v>0.21944444444444444</v>
      </c>
      <c r="Y181" s="60">
        <v>0.33333333333333331</v>
      </c>
      <c r="Z181" s="60">
        <v>0.40972222222222227</v>
      </c>
      <c r="AA181" s="60">
        <v>0.42222222222222222</v>
      </c>
      <c r="AB181" s="158">
        <f>IF(PA[[#This Row],[Acknowledgement Time ]]="NA","",(PA[[#This Row],[Acknowledgement Time ]]-PA[[#This Row],[Fault Time]])*24)</f>
        <v>2.7333333333333329</v>
      </c>
      <c r="AC181" s="158">
        <f>IF(PA[[#This Row],[Work Start time on Fault]]="NA","",(PA[[#This Row],[Work Start time on Fault]]-PA[[#This Row],[Fault Time]])*24)</f>
        <v>4.5666666666666682</v>
      </c>
      <c r="AD181" s="112">
        <f>IF(PA[[#This Row],[Status]]="Open","",(PA[[#This Row],[Work Completion time on fault]]-PA[[#This Row],[Fault Time]])*24)</f>
        <v>4.8666666666666671</v>
      </c>
      <c r="AE181" s="111">
        <f>IFERROR((PA[[#This Row],[Work Completion time on fault]]-PA[[#This Row],[Fault Time]])*24,"")</f>
        <v>4.8666666666666671</v>
      </c>
      <c r="AF181" s="228" t="s">
        <v>713</v>
      </c>
      <c r="AG181" s="6" t="s">
        <v>1275</v>
      </c>
      <c r="AH181" s="53">
        <f>IFERROR(PA[[#This Row],[Breakdown Time]]*PA[[#This Row],[Plant Equivalent Weightage]],"")</f>
        <v>1.946666666666667E-2</v>
      </c>
      <c r="AI181" s="59">
        <v>0.34699999999999998</v>
      </c>
      <c r="AJ181" s="89">
        <f>IFERROR(IF(PA[[#This Row],[Lost PoA(kWh/m2)]]&gt;0,_xlfn.XLOOKUP(G181,'Modelling New'!$D:$D,'Modelling New'!$O:$O)*PA[[#This Row],[Lost PoA(kWh/m2)]]*S181,0),"")</f>
        <v>5.8455357470707092</v>
      </c>
    </row>
    <row r="182" spans="1:36" hidden="1" x14ac:dyDescent="0.25">
      <c r="A182" s="229">
        <v>1873</v>
      </c>
      <c r="B182" s="233">
        <v>45799</v>
      </c>
      <c r="C182" s="59"/>
      <c r="D182" s="6">
        <f>YEAR(PA[[#This Row],[Date]])</f>
        <v>2025</v>
      </c>
      <c r="E182" s="129" t="s">
        <v>73</v>
      </c>
      <c r="F182" s="130" t="s">
        <v>73</v>
      </c>
      <c r="G182" s="301">
        <v>45778</v>
      </c>
      <c r="H182" s="56">
        <f>DAY(EOMONTH(PA[[#This Row],[Date]], 0))</f>
        <v>31</v>
      </c>
      <c r="I182" s="10">
        <v>0.21944444444444444</v>
      </c>
      <c r="J182" s="10">
        <v>0.77013888888888893</v>
      </c>
      <c r="K182" s="53">
        <f>IFERROR((PA[[#This Row],[Sunset Time (POA&lt;20 W/m2)]]-PA[[#This Row],[Sunrise Time (POA&gt;20 W/m2)]])*24,"")</f>
        <v>13.216666666666669</v>
      </c>
      <c r="L182" s="59" t="s">
        <v>597</v>
      </c>
      <c r="M182" s="59"/>
      <c r="N182" s="59"/>
      <c r="O182" s="59" t="s">
        <v>596</v>
      </c>
      <c r="P182" s="56"/>
      <c r="Q182" s="6"/>
      <c r="R18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BLK3INV13</v>
      </c>
      <c r="S182" s="53">
        <v>22.25</v>
      </c>
      <c r="T182" s="90">
        <f>IFERROR(_xlfn.XLOOKUP(PA[[#This Row],[Affected Equipment ]],'Basic Data '!A:A,'Basic Data '!C:C),"")</f>
        <v>4.4999999999999997E-3</v>
      </c>
      <c r="U182" s="59" t="s">
        <v>697</v>
      </c>
      <c r="V182" s="88"/>
      <c r="W182" s="114" t="s">
        <v>712</v>
      </c>
      <c r="X182" s="60">
        <v>0.21944444444444444</v>
      </c>
      <c r="Y182" s="60">
        <v>0.33333333333333331</v>
      </c>
      <c r="Z182" s="60">
        <v>0.4236111111111111</v>
      </c>
      <c r="AA182" s="60">
        <v>0.4375</v>
      </c>
      <c r="AB182" s="158">
        <f>IF(PA[[#This Row],[Acknowledgement Time ]]="NA","",(PA[[#This Row],[Acknowledgement Time ]]-PA[[#This Row],[Fault Time]])*24)</f>
        <v>2.7333333333333329</v>
      </c>
      <c r="AC182" s="158">
        <f>IF(PA[[#This Row],[Work Start time on Fault]]="NA","",(PA[[#This Row],[Work Start time on Fault]]-PA[[#This Row],[Fault Time]])*24)</f>
        <v>4.9000000000000004</v>
      </c>
      <c r="AD182" s="112">
        <f>IF(PA[[#This Row],[Status]]="Open","",(PA[[#This Row],[Work Completion time on fault]]-PA[[#This Row],[Fault Time]])*24)</f>
        <v>5.2333333333333334</v>
      </c>
      <c r="AE182" s="111">
        <f>IFERROR((PA[[#This Row],[Work Completion time on fault]]-PA[[#This Row],[Fault Time]])*24,"")</f>
        <v>5.2333333333333334</v>
      </c>
      <c r="AF182" s="228" t="s">
        <v>713</v>
      </c>
      <c r="AG182" s="6" t="s">
        <v>1275</v>
      </c>
      <c r="AH182" s="53">
        <f>IFERROR(PA[[#This Row],[Breakdown Time]]*PA[[#This Row],[Plant Equivalent Weightage]],"")</f>
        <v>2.3549999999999998E-2</v>
      </c>
      <c r="AI182" s="59">
        <v>0.34699999999999998</v>
      </c>
      <c r="AJ182" s="89">
        <f>IFERROR(IF(PA[[#This Row],[Lost PoA(kWh/m2)]]&gt;0,_xlfn.XLOOKUP(G182,'Modelling New'!$D:$D,'Modelling New'!$O:$O)*PA[[#This Row],[Lost PoA(kWh/m2)]]*S182,0),"")</f>
        <v>5.8455357470707092</v>
      </c>
    </row>
    <row r="183" spans="1:36" hidden="1" x14ac:dyDescent="0.25">
      <c r="A183" s="229">
        <v>1874</v>
      </c>
      <c r="B183" s="233">
        <v>45799</v>
      </c>
      <c r="C183" s="59"/>
      <c r="D183" s="6">
        <f>YEAR(PA[[#This Row],[Date]])</f>
        <v>2025</v>
      </c>
      <c r="E183" s="129" t="s">
        <v>73</v>
      </c>
      <c r="F183" s="130" t="s">
        <v>73</v>
      </c>
      <c r="G183" s="301">
        <v>45778</v>
      </c>
      <c r="H183" s="56">
        <f>DAY(EOMONTH(PA[[#This Row],[Date]], 0))</f>
        <v>31</v>
      </c>
      <c r="I183" s="10">
        <v>0.21944444444444444</v>
      </c>
      <c r="J183" s="10">
        <v>0.77013888888888893</v>
      </c>
      <c r="K183" s="53">
        <f>IFERROR((PA[[#This Row],[Sunset Time (POA&lt;20 W/m2)]]-PA[[#This Row],[Sunrise Time (POA&gt;20 W/m2)]])*24,"")</f>
        <v>13.216666666666669</v>
      </c>
      <c r="L183" s="59" t="s">
        <v>597</v>
      </c>
      <c r="M183" s="59"/>
      <c r="N183" s="59"/>
      <c r="O183" s="59" t="s">
        <v>578</v>
      </c>
      <c r="P183" s="56"/>
      <c r="Q183" s="6"/>
      <c r="R18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BLK3INV12</v>
      </c>
      <c r="S183" s="53">
        <v>22.25</v>
      </c>
      <c r="T183" s="90">
        <f>IFERROR(_xlfn.XLOOKUP(PA[[#This Row],[Affected Equipment ]],'Basic Data '!A:A,'Basic Data '!C:C),"")</f>
        <v>4.4999999999999997E-3</v>
      </c>
      <c r="U183" s="59" t="s">
        <v>697</v>
      </c>
      <c r="V183" s="88"/>
      <c r="W183" s="114" t="s">
        <v>712</v>
      </c>
      <c r="X183" s="60">
        <v>0.21944444444444444</v>
      </c>
      <c r="Y183" s="60">
        <v>0.33333333333333331</v>
      </c>
      <c r="Z183" s="60">
        <v>0.44097222222222227</v>
      </c>
      <c r="AA183" s="60">
        <v>0.44791666666666669</v>
      </c>
      <c r="AB183" s="158">
        <f>IF(PA[[#This Row],[Acknowledgement Time ]]="NA","",(PA[[#This Row],[Acknowledgement Time ]]-PA[[#This Row],[Fault Time]])*24)</f>
        <v>2.7333333333333329</v>
      </c>
      <c r="AC183" s="158">
        <f>IF(PA[[#This Row],[Work Start time on Fault]]="NA","",(PA[[#This Row],[Work Start time on Fault]]-PA[[#This Row],[Fault Time]])*24)</f>
        <v>5.3166666666666682</v>
      </c>
      <c r="AD183" s="112">
        <f>IF(PA[[#This Row],[Status]]="Open","",(PA[[#This Row],[Work Completion time on fault]]-PA[[#This Row],[Fault Time]])*24)</f>
        <v>5.4833333333333343</v>
      </c>
      <c r="AE183" s="111">
        <f>IFERROR((PA[[#This Row],[Work Completion time on fault]]-PA[[#This Row],[Fault Time]])*24,"")</f>
        <v>5.4833333333333343</v>
      </c>
      <c r="AF183" s="228" t="s">
        <v>713</v>
      </c>
      <c r="AG183" s="6" t="s">
        <v>1275</v>
      </c>
      <c r="AH183" s="53">
        <f>IFERROR(PA[[#This Row],[Breakdown Time]]*PA[[#This Row],[Plant Equivalent Weightage]],"")</f>
        <v>2.4675000000000002E-2</v>
      </c>
      <c r="AI183" s="59">
        <v>0.375</v>
      </c>
      <c r="AJ183" s="89">
        <f>IFERROR(IF(PA[[#This Row],[Lost PoA(kWh/m2)]]&gt;0,_xlfn.XLOOKUP(G183,'Modelling New'!$D:$D,'Modelling New'!$O:$O)*PA[[#This Row],[Lost PoA(kWh/m2)]]*S183,0),"")</f>
        <v>6.3172216286787206</v>
      </c>
    </row>
    <row r="184" spans="1:36" hidden="1" x14ac:dyDescent="0.25">
      <c r="A184" s="229">
        <v>1875</v>
      </c>
      <c r="B184" s="233">
        <v>45799</v>
      </c>
      <c r="C184" s="59"/>
      <c r="D184" s="6">
        <f>YEAR(PA[[#This Row],[Date]])</f>
        <v>2025</v>
      </c>
      <c r="E184" s="129" t="s">
        <v>73</v>
      </c>
      <c r="F184" s="130" t="s">
        <v>73</v>
      </c>
      <c r="G184" s="301">
        <v>45778</v>
      </c>
      <c r="H184" s="56">
        <f>DAY(EOMONTH(PA[[#This Row],[Date]], 0))</f>
        <v>31</v>
      </c>
      <c r="I184" s="10">
        <v>0.21944444444444444</v>
      </c>
      <c r="J184" s="10">
        <v>0.77013888888888893</v>
      </c>
      <c r="K184" s="53">
        <f>IFERROR((PA[[#This Row],[Sunset Time (POA&lt;20 W/m2)]]-PA[[#This Row],[Sunrise Time (POA&gt;20 W/m2)]])*24,"")</f>
        <v>13.216666666666669</v>
      </c>
      <c r="L184" s="59" t="s">
        <v>564</v>
      </c>
      <c r="M184" s="59"/>
      <c r="N184" s="59"/>
      <c r="O184" s="59" t="s">
        <v>565</v>
      </c>
      <c r="P184" s="56"/>
      <c r="Q184" s="6"/>
      <c r="R18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v>
      </c>
      <c r="S184" s="53">
        <v>22.25</v>
      </c>
      <c r="T184" s="90">
        <f>IFERROR(_xlfn.XLOOKUP(PA[[#This Row],[Affected Equipment ]],'Basic Data '!A:A,'Basic Data '!C:C),"")</f>
        <v>4.4999999999999997E-3</v>
      </c>
      <c r="U184" s="59" t="s">
        <v>697</v>
      </c>
      <c r="V184" s="88"/>
      <c r="W184" s="114" t="s">
        <v>712</v>
      </c>
      <c r="X184" s="60">
        <v>0.21944444444444444</v>
      </c>
      <c r="Y184" s="60">
        <v>0.33333333333333331</v>
      </c>
      <c r="Z184" s="60">
        <v>0.4236111111111111</v>
      </c>
      <c r="AA184" s="60">
        <v>0.44444444444444442</v>
      </c>
      <c r="AB184" s="158">
        <f>IF(PA[[#This Row],[Acknowledgement Time ]]="NA","",(PA[[#This Row],[Acknowledgement Time ]]-PA[[#This Row],[Fault Time]])*24)</f>
        <v>2.7333333333333329</v>
      </c>
      <c r="AC184" s="158">
        <f>IF(PA[[#This Row],[Work Start time on Fault]]="NA","",(PA[[#This Row],[Work Start time on Fault]]-PA[[#This Row],[Fault Time]])*24)</f>
        <v>4.9000000000000004</v>
      </c>
      <c r="AD184" s="112">
        <f>IF(PA[[#This Row],[Status]]="Open","",(PA[[#This Row],[Work Completion time on fault]]-PA[[#This Row],[Fault Time]])*24)</f>
        <v>5.3999999999999995</v>
      </c>
      <c r="AE184" s="111">
        <f>IFERROR((PA[[#This Row],[Work Completion time on fault]]-PA[[#This Row],[Fault Time]])*24,"")</f>
        <v>5.3999999999999995</v>
      </c>
      <c r="AF184" s="228" t="s">
        <v>713</v>
      </c>
      <c r="AG184" s="6" t="s">
        <v>1275</v>
      </c>
      <c r="AH184" s="53">
        <f>IFERROR(PA[[#This Row],[Breakdown Time]]*PA[[#This Row],[Plant Equivalent Weightage]],"")</f>
        <v>2.4299999999999995E-2</v>
      </c>
      <c r="AI184" s="59">
        <v>0.39600000000000002</v>
      </c>
      <c r="AJ184" s="89">
        <f>IFERROR(IF(PA[[#This Row],[Lost PoA(kWh/m2)]]&gt;0,_xlfn.XLOOKUP(G184,'Modelling New'!$D:$D,'Modelling New'!$O:$O)*PA[[#This Row],[Lost PoA(kWh/m2)]]*S184,0),"")</f>
        <v>6.6709860398847294</v>
      </c>
    </row>
    <row r="185" spans="1:36" hidden="1" x14ac:dyDescent="0.25">
      <c r="A185" s="229">
        <v>1876</v>
      </c>
      <c r="B185" s="233">
        <v>45799</v>
      </c>
      <c r="C185" s="59"/>
      <c r="D185" s="6">
        <f>YEAR(PA[[#This Row],[Date]])</f>
        <v>2025</v>
      </c>
      <c r="E185" s="129" t="s">
        <v>73</v>
      </c>
      <c r="F185" s="130" t="s">
        <v>73</v>
      </c>
      <c r="G185" s="301">
        <v>45778</v>
      </c>
      <c r="H185" s="56">
        <f>DAY(EOMONTH(PA[[#This Row],[Date]], 0))</f>
        <v>31</v>
      </c>
      <c r="I185" s="10">
        <v>0.21944444444444444</v>
      </c>
      <c r="J185" s="10">
        <v>0.77013888888888893</v>
      </c>
      <c r="K185" s="53">
        <f>IFERROR((PA[[#This Row],[Sunset Time (POA&lt;20 W/m2)]]-PA[[#This Row],[Sunrise Time (POA&gt;20 W/m2)]])*24,"")</f>
        <v>13.216666666666669</v>
      </c>
      <c r="L185" s="59" t="s">
        <v>564</v>
      </c>
      <c r="M185" s="59"/>
      <c r="N185" s="59"/>
      <c r="O185" s="59" t="s">
        <v>618</v>
      </c>
      <c r="P185" s="56"/>
      <c r="Q185" s="6"/>
      <c r="R18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BLK5INV15</v>
      </c>
      <c r="S185" s="53">
        <v>22.25</v>
      </c>
      <c r="T185" s="90">
        <f>IFERROR(_xlfn.XLOOKUP(PA[[#This Row],[Affected Equipment ]],'Basic Data '!A:A,'Basic Data '!C:C),"")</f>
        <v>4.0000000000000001E-3</v>
      </c>
      <c r="U185" s="59" t="s">
        <v>697</v>
      </c>
      <c r="V185" s="88"/>
      <c r="W185" s="114" t="s">
        <v>712</v>
      </c>
      <c r="X185" s="60">
        <v>0.21944444444444444</v>
      </c>
      <c r="Y185" s="60">
        <v>0.33333333333333331</v>
      </c>
      <c r="Z185" s="60">
        <v>0.66111111111111109</v>
      </c>
      <c r="AA185" s="60">
        <v>0.68055555555555547</v>
      </c>
      <c r="AB185" s="158">
        <f>IF(PA[[#This Row],[Acknowledgement Time ]]="NA","",(PA[[#This Row],[Acknowledgement Time ]]-PA[[#This Row],[Fault Time]])*24)</f>
        <v>2.7333333333333329</v>
      </c>
      <c r="AC185" s="158">
        <f>IF(PA[[#This Row],[Work Start time on Fault]]="NA","",(PA[[#This Row],[Work Start time on Fault]]-PA[[#This Row],[Fault Time]])*24)</f>
        <v>10.6</v>
      </c>
      <c r="AD185" s="112">
        <f>IF(PA[[#This Row],[Status]]="Open","",(PA[[#This Row],[Work Completion time on fault]]-PA[[#This Row],[Fault Time]])*24)</f>
        <v>11.066666666666665</v>
      </c>
      <c r="AE185" s="111">
        <f>IFERROR((PA[[#This Row],[Work Completion time on fault]]-PA[[#This Row],[Fault Time]])*24,"")</f>
        <v>11.066666666666665</v>
      </c>
      <c r="AF185" s="228" t="s">
        <v>713</v>
      </c>
      <c r="AG185" s="6" t="s">
        <v>1275</v>
      </c>
      <c r="AH185" s="53">
        <f>IFERROR(PA[[#This Row],[Breakdown Time]]*PA[[#This Row],[Plant Equivalent Weightage]],"")</f>
        <v>4.4266666666666662E-2</v>
      </c>
      <c r="AI185" s="59">
        <v>0.38900000000000001</v>
      </c>
      <c r="AJ185" s="89">
        <f>IFERROR(IF(PA[[#This Row],[Lost PoA(kWh/m2)]]&gt;0,_xlfn.XLOOKUP(G185,'Modelling New'!$D:$D,'Modelling New'!$O:$O)*PA[[#This Row],[Lost PoA(kWh/m2)]]*S185,0),"")</f>
        <v>6.5530645694827259</v>
      </c>
    </row>
    <row r="186" spans="1:36" hidden="1" x14ac:dyDescent="0.25">
      <c r="A186" s="229">
        <v>1877</v>
      </c>
      <c r="B186" s="233">
        <v>45799</v>
      </c>
      <c r="C186" s="59"/>
      <c r="D186" s="6">
        <f>YEAR(PA[[#This Row],[Date]])</f>
        <v>2025</v>
      </c>
      <c r="E186" s="129" t="s">
        <v>73</v>
      </c>
      <c r="F186" s="130" t="s">
        <v>73</v>
      </c>
      <c r="G186" s="301">
        <v>45778</v>
      </c>
      <c r="H186" s="56">
        <f>DAY(EOMONTH(PA[[#This Row],[Date]], 0))</f>
        <v>31</v>
      </c>
      <c r="I186" s="10">
        <v>0.21944444444444444</v>
      </c>
      <c r="J186" s="10">
        <v>0.77013888888888893</v>
      </c>
      <c r="K186" s="53">
        <f>IFERROR((PA[[#This Row],[Sunset Time (POA&lt;20 W/m2)]]-PA[[#This Row],[Sunrise Time (POA&gt;20 W/m2)]])*24,"")</f>
        <v>13.216666666666669</v>
      </c>
      <c r="L186" s="59" t="s">
        <v>564</v>
      </c>
      <c r="M186" s="59"/>
      <c r="N186" s="59"/>
      <c r="O186" s="59" t="s">
        <v>714</v>
      </c>
      <c r="P186" s="56"/>
      <c r="Q186" s="6"/>
      <c r="R18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BLK5INV22</v>
      </c>
      <c r="S186" s="53">
        <v>22.25</v>
      </c>
      <c r="T186" s="90">
        <f>IFERROR(_xlfn.XLOOKUP(PA[[#This Row],[Affected Equipment ]],'Basic Data '!A:A,'Basic Data '!C:C),"")</f>
        <v>4.0000000000000001E-3</v>
      </c>
      <c r="U186" s="59" t="s">
        <v>697</v>
      </c>
      <c r="V186" s="88"/>
      <c r="W186" s="114" t="s">
        <v>712</v>
      </c>
      <c r="X186" s="60">
        <v>0.21944444444444444</v>
      </c>
      <c r="Y186" s="60">
        <v>0.33333333333333331</v>
      </c>
      <c r="Z186" s="60">
        <v>0.65277777777777779</v>
      </c>
      <c r="AA186" s="60">
        <v>0.67361111111111116</v>
      </c>
      <c r="AB186" s="158">
        <f>IF(PA[[#This Row],[Acknowledgement Time ]]="NA","",(PA[[#This Row],[Acknowledgement Time ]]-PA[[#This Row],[Fault Time]])*24)</f>
        <v>2.7333333333333329</v>
      </c>
      <c r="AC186" s="158">
        <f>IF(PA[[#This Row],[Work Start time on Fault]]="NA","",(PA[[#This Row],[Work Start time on Fault]]-PA[[#This Row],[Fault Time]])*24)</f>
        <v>10.4</v>
      </c>
      <c r="AD186" s="112">
        <f>IF(PA[[#This Row],[Status]]="Open","",(PA[[#This Row],[Work Completion time on fault]]-PA[[#This Row],[Fault Time]])*24)</f>
        <v>10.900000000000002</v>
      </c>
      <c r="AE186" s="111">
        <f>IFERROR((PA[[#This Row],[Work Completion time on fault]]-PA[[#This Row],[Fault Time]])*24,"")</f>
        <v>10.900000000000002</v>
      </c>
      <c r="AF186" s="228" t="s">
        <v>713</v>
      </c>
      <c r="AG186" s="6" t="s">
        <v>1275</v>
      </c>
      <c r="AH186" s="53">
        <f>IFERROR(PA[[#This Row],[Breakdown Time]]*PA[[#This Row],[Plant Equivalent Weightage]],"")</f>
        <v>4.3600000000000007E-2</v>
      </c>
      <c r="AI186" s="59">
        <v>0.58499999999999996</v>
      </c>
      <c r="AJ186" s="89">
        <f>IFERROR(IF(PA[[#This Row],[Lost PoA(kWh/m2)]]&gt;0,_xlfn.XLOOKUP(G186,'Modelling New'!$D:$D,'Modelling New'!$O:$O)*PA[[#This Row],[Lost PoA(kWh/m2)]]*S186,0),"")</f>
        <v>9.8548657407388038</v>
      </c>
    </row>
    <row r="187" spans="1:36" hidden="1" x14ac:dyDescent="0.25">
      <c r="A187" s="229">
        <v>1878</v>
      </c>
      <c r="B187" s="233">
        <v>45799</v>
      </c>
      <c r="C187" s="59"/>
      <c r="D187" s="6">
        <f>YEAR(PA[[#This Row],[Date]])</f>
        <v>2025</v>
      </c>
      <c r="E187" s="129" t="s">
        <v>73</v>
      </c>
      <c r="F187" s="130" t="s">
        <v>73</v>
      </c>
      <c r="G187" s="301">
        <v>45778</v>
      </c>
      <c r="H187" s="56">
        <f>DAY(EOMONTH(PA[[#This Row],[Date]], 0))</f>
        <v>31</v>
      </c>
      <c r="I187" s="10">
        <v>0.21944444444444444</v>
      </c>
      <c r="J187" s="10">
        <v>0.77013888888888893</v>
      </c>
      <c r="K187" s="53">
        <f>IFERROR((PA[[#This Row],[Sunset Time (POA&lt;20 W/m2)]]-PA[[#This Row],[Sunrise Time (POA&gt;20 W/m2)]])*24,"")</f>
        <v>13.216666666666669</v>
      </c>
      <c r="L187" s="59" t="s">
        <v>606</v>
      </c>
      <c r="M187" s="59"/>
      <c r="N187" s="59"/>
      <c r="O187" s="59" t="s">
        <v>607</v>
      </c>
      <c r="P187" s="56"/>
      <c r="Q187" s="6"/>
      <c r="R18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BLK7INV3</v>
      </c>
      <c r="S187" s="53">
        <v>22.25</v>
      </c>
      <c r="T187" s="90">
        <f>IFERROR(_xlfn.XLOOKUP(PA[[#This Row],[Affected Equipment ]],'Basic Data '!A:A,'Basic Data '!C:C),"")</f>
        <v>3.9550561797752808E-3</v>
      </c>
      <c r="U187" s="59" t="s">
        <v>697</v>
      </c>
      <c r="V187" s="88"/>
      <c r="W187" s="114" t="s">
        <v>712</v>
      </c>
      <c r="X187" s="60">
        <v>0.21944444444444444</v>
      </c>
      <c r="Y187" s="60">
        <v>0.33333333333333331</v>
      </c>
      <c r="Z187" s="60">
        <v>0.51041666666666663</v>
      </c>
      <c r="AA187" s="60">
        <v>0.52083333333333337</v>
      </c>
      <c r="AB187" s="158">
        <f>IF(PA[[#This Row],[Acknowledgement Time ]]="NA","",(PA[[#This Row],[Acknowledgement Time ]]-PA[[#This Row],[Fault Time]])*24)</f>
        <v>2.7333333333333329</v>
      </c>
      <c r="AC187" s="158">
        <f>IF(PA[[#This Row],[Work Start time on Fault]]="NA","",(PA[[#This Row],[Work Start time on Fault]]-PA[[#This Row],[Fault Time]])*24)</f>
        <v>6.9833333333333325</v>
      </c>
      <c r="AD187" s="112">
        <f>IF(PA[[#This Row],[Status]]="Open","",(PA[[#This Row],[Work Completion time on fault]]-PA[[#This Row],[Fault Time]])*24)</f>
        <v>7.2333333333333343</v>
      </c>
      <c r="AE187" s="111">
        <f>IFERROR((PA[[#This Row],[Work Completion time on fault]]-PA[[#This Row],[Fault Time]])*24,"")</f>
        <v>7.2333333333333343</v>
      </c>
      <c r="AF187" s="228" t="s">
        <v>713</v>
      </c>
      <c r="AG187" s="6" t="s">
        <v>1275</v>
      </c>
      <c r="AH187" s="53">
        <f>IFERROR(PA[[#This Row],[Breakdown Time]]*PA[[#This Row],[Plant Equivalent Weightage]],"")</f>
        <v>2.8608239700374533E-2</v>
      </c>
      <c r="AI187" s="59">
        <v>0.58199999999999996</v>
      </c>
      <c r="AJ187" s="89">
        <f>IFERROR(IF(PA[[#This Row],[Lost PoA(kWh/m2)]]&gt;0,_xlfn.XLOOKUP(G187,'Modelling New'!$D:$D,'Modelling New'!$O:$O)*PA[[#This Row],[Lost PoA(kWh/m2)]]*S187,0),"")</f>
        <v>9.8043279677093729</v>
      </c>
    </row>
    <row r="188" spans="1:36" hidden="1" x14ac:dyDescent="0.25">
      <c r="A188" s="229">
        <v>1879</v>
      </c>
      <c r="B188" s="233">
        <v>45799</v>
      </c>
      <c r="C188" s="59"/>
      <c r="D188" s="6">
        <f>YEAR(PA[[#This Row],[Date]])</f>
        <v>2025</v>
      </c>
      <c r="E188" s="129" t="s">
        <v>73</v>
      </c>
      <c r="F188" s="130" t="s">
        <v>73</v>
      </c>
      <c r="G188" s="301">
        <v>45778</v>
      </c>
      <c r="H188" s="56">
        <f>DAY(EOMONTH(PA[[#This Row],[Date]], 0))</f>
        <v>31</v>
      </c>
      <c r="I188" s="10">
        <v>0.21944444444444444</v>
      </c>
      <c r="J188" s="10">
        <v>0.77013888888888893</v>
      </c>
      <c r="K188" s="53">
        <f>IFERROR((PA[[#This Row],[Sunset Time (POA&lt;20 W/m2)]]-PA[[#This Row],[Sunrise Time (POA&gt;20 W/m2)]])*24,"")</f>
        <v>13.216666666666669</v>
      </c>
      <c r="L188" s="59" t="s">
        <v>606</v>
      </c>
      <c r="M188" s="59"/>
      <c r="N188" s="59"/>
      <c r="O188" s="59" t="s">
        <v>578</v>
      </c>
      <c r="P188" s="56"/>
      <c r="Q188" s="6"/>
      <c r="R18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BLK7INV12</v>
      </c>
      <c r="S188" s="53">
        <v>20.100000000000001</v>
      </c>
      <c r="T188" s="90">
        <f>IFERROR(_xlfn.XLOOKUP(PA[[#This Row],[Affected Equipment ]],'Basic Data '!A:A,'Basic Data '!C:C),"")</f>
        <v>4.0539325842696636E-3</v>
      </c>
      <c r="U188" s="59" t="s">
        <v>697</v>
      </c>
      <c r="V188" s="88"/>
      <c r="W188" s="114" t="s">
        <v>712</v>
      </c>
      <c r="X188" s="60">
        <v>0.21944444444444444</v>
      </c>
      <c r="Y188" s="60">
        <v>0.33333333333333331</v>
      </c>
      <c r="Z188" s="60">
        <v>0.52430555555555558</v>
      </c>
      <c r="AA188" s="60">
        <v>0.53472222222222221</v>
      </c>
      <c r="AB188" s="158">
        <f>IF(PA[[#This Row],[Acknowledgement Time ]]="NA","",(PA[[#This Row],[Acknowledgement Time ]]-PA[[#This Row],[Fault Time]])*24)</f>
        <v>2.7333333333333329</v>
      </c>
      <c r="AC188" s="158">
        <f>IF(PA[[#This Row],[Work Start time on Fault]]="NA","",(PA[[#This Row],[Work Start time on Fault]]-PA[[#This Row],[Fault Time]])*24)</f>
        <v>7.3166666666666673</v>
      </c>
      <c r="AD188" s="112">
        <f>IF(PA[[#This Row],[Status]]="Open","",(PA[[#This Row],[Work Completion time on fault]]-PA[[#This Row],[Fault Time]])*24)</f>
        <v>7.5666666666666664</v>
      </c>
      <c r="AE188" s="111">
        <f>IFERROR((PA[[#This Row],[Work Completion time on fault]]-PA[[#This Row],[Fault Time]])*24,"")</f>
        <v>7.5666666666666664</v>
      </c>
      <c r="AF188" s="228" t="s">
        <v>713</v>
      </c>
      <c r="AG188" s="6" t="s">
        <v>1275</v>
      </c>
      <c r="AH188" s="53">
        <f>IFERROR(PA[[#This Row],[Breakdown Time]]*PA[[#This Row],[Plant Equivalent Weightage]],"")</f>
        <v>3.0674756554307119E-2</v>
      </c>
      <c r="AI188" s="59">
        <v>0.50600000000000001</v>
      </c>
      <c r="AJ188" s="89">
        <f>IFERROR(IF(PA[[#This Row],[Lost PoA(kWh/m2)]]&gt;0,_xlfn.XLOOKUP(G188,'Modelling New'!$D:$D,'Modelling New'!$O:$O)*PA[[#This Row],[Lost PoA(kWh/m2)]]*S188,0),"")</f>
        <v>7.7003666572751825</v>
      </c>
    </row>
    <row r="189" spans="1:36" hidden="1" x14ac:dyDescent="0.25">
      <c r="A189" s="229">
        <v>1880</v>
      </c>
      <c r="B189" s="233">
        <v>45799</v>
      </c>
      <c r="C189" s="59"/>
      <c r="D189" s="6">
        <f>YEAR(PA[[#This Row],[Date]])</f>
        <v>2025</v>
      </c>
      <c r="E189" s="129" t="s">
        <v>73</v>
      </c>
      <c r="F189" s="130" t="s">
        <v>73</v>
      </c>
      <c r="G189" s="301">
        <v>45778</v>
      </c>
      <c r="H189" s="56">
        <f>DAY(EOMONTH(PA[[#This Row],[Date]], 0))</f>
        <v>31</v>
      </c>
      <c r="I189" s="10">
        <v>0.21944444444444444</v>
      </c>
      <c r="J189" s="10">
        <v>0.77013888888888893</v>
      </c>
      <c r="K189" s="53">
        <f>IFERROR((PA[[#This Row],[Sunset Time (POA&lt;20 W/m2)]]-PA[[#This Row],[Sunrise Time (POA&gt;20 W/m2)]])*24,"")</f>
        <v>13.216666666666669</v>
      </c>
      <c r="L189" s="59" t="s">
        <v>606</v>
      </c>
      <c r="M189" s="59"/>
      <c r="N189" s="59"/>
      <c r="O189" s="59" t="s">
        <v>596</v>
      </c>
      <c r="P189" s="56"/>
      <c r="Q189" s="6"/>
      <c r="R18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BLK7INV13</v>
      </c>
      <c r="S189" s="53">
        <v>20.100000000000001</v>
      </c>
      <c r="T189" s="90">
        <f>IFERROR(_xlfn.XLOOKUP(PA[[#This Row],[Affected Equipment ]],'Basic Data '!A:A,'Basic Data '!C:C),"")</f>
        <v>3.6666666666666666E-3</v>
      </c>
      <c r="U189" s="59" t="s">
        <v>697</v>
      </c>
      <c r="V189" s="88"/>
      <c r="W189" s="114" t="s">
        <v>712</v>
      </c>
      <c r="X189" s="60">
        <v>0.21944444444444444</v>
      </c>
      <c r="Y189" s="60">
        <v>0.33333333333333331</v>
      </c>
      <c r="Z189" s="60">
        <v>0.5</v>
      </c>
      <c r="AA189" s="60">
        <v>0.51180555555555551</v>
      </c>
      <c r="AB189" s="158">
        <f>IF(PA[[#This Row],[Acknowledgement Time ]]="NA","",(PA[[#This Row],[Acknowledgement Time ]]-PA[[#This Row],[Fault Time]])*24)</f>
        <v>2.7333333333333329</v>
      </c>
      <c r="AC189" s="158">
        <f>IF(PA[[#This Row],[Work Start time on Fault]]="NA","",(PA[[#This Row],[Work Start time on Fault]]-PA[[#This Row],[Fault Time]])*24)</f>
        <v>6.7333333333333334</v>
      </c>
      <c r="AD189" s="112">
        <f>IF(PA[[#This Row],[Status]]="Open","",(PA[[#This Row],[Work Completion time on fault]]-PA[[#This Row],[Fault Time]])*24)</f>
        <v>7.0166666666666657</v>
      </c>
      <c r="AE189" s="111">
        <f>IFERROR((PA[[#This Row],[Work Completion time on fault]]-PA[[#This Row],[Fault Time]])*24,"")</f>
        <v>7.0166666666666657</v>
      </c>
      <c r="AF189" s="228" t="s">
        <v>713</v>
      </c>
      <c r="AG189" s="6" t="s">
        <v>1275</v>
      </c>
      <c r="AH189" s="53">
        <f>IFERROR(PA[[#This Row],[Breakdown Time]]*PA[[#This Row],[Plant Equivalent Weightage]],"")</f>
        <v>2.5727777777777773E-2</v>
      </c>
      <c r="AI189" s="59">
        <v>0.53500000000000003</v>
      </c>
      <c r="AJ189" s="89">
        <f>IFERROR(IF(PA[[#This Row],[Lost PoA(kWh/m2)]]&gt;0,_xlfn.XLOOKUP(G189,'Modelling New'!$D:$D,'Modelling New'!$O:$O)*PA[[#This Row],[Lost PoA(kWh/m2)]]*S189,0),"")</f>
        <v>8.1416920190557764</v>
      </c>
    </row>
    <row r="190" spans="1:36" hidden="1" x14ac:dyDescent="0.25">
      <c r="A190" s="229">
        <v>1881</v>
      </c>
      <c r="B190" s="233">
        <v>45799</v>
      </c>
      <c r="C190" s="59"/>
      <c r="D190" s="6">
        <f>YEAR(PA[[#This Row],[Date]])</f>
        <v>2025</v>
      </c>
      <c r="E190" s="129" t="s">
        <v>73</v>
      </c>
      <c r="F190" s="130" t="s">
        <v>73</v>
      </c>
      <c r="G190" s="301">
        <v>45778</v>
      </c>
      <c r="H190" s="56">
        <f>DAY(EOMONTH(PA[[#This Row],[Date]], 0))</f>
        <v>31</v>
      </c>
      <c r="I190" s="10">
        <v>0.21944444444444444</v>
      </c>
      <c r="J190" s="10">
        <v>0.77013888888888893</v>
      </c>
      <c r="K190" s="53">
        <f>IFERROR((PA[[#This Row],[Sunset Time (POA&lt;20 W/m2)]]-PA[[#This Row],[Sunrise Time (POA&gt;20 W/m2)]])*24,"")</f>
        <v>13.216666666666669</v>
      </c>
      <c r="L190" s="59" t="s">
        <v>579</v>
      </c>
      <c r="M190" s="59"/>
      <c r="N190" s="59"/>
      <c r="O190" s="59" t="s">
        <v>571</v>
      </c>
      <c r="P190" s="56"/>
      <c r="Q190" s="6"/>
      <c r="R19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v>
      </c>
      <c r="S190" s="53">
        <v>19.100000000000001</v>
      </c>
      <c r="T190" s="90">
        <f>IFERROR(_xlfn.XLOOKUP(PA[[#This Row],[Affected Equipment ]],'Basic Data '!A:A,'Basic Data '!C:C),"")</f>
        <v>2.9662921348314608E-3</v>
      </c>
      <c r="U190" s="59" t="s">
        <v>697</v>
      </c>
      <c r="V190" s="88"/>
      <c r="W190" s="114" t="s">
        <v>712</v>
      </c>
      <c r="X190" s="60">
        <v>0.21944444444444444</v>
      </c>
      <c r="Y190" s="60">
        <v>0.33333333333333331</v>
      </c>
      <c r="Z190" s="60">
        <v>0.4513888888888889</v>
      </c>
      <c r="AA190" s="60">
        <v>0.46597222222222223</v>
      </c>
      <c r="AB190" s="158">
        <f>IF(PA[[#This Row],[Acknowledgement Time ]]="NA","",(PA[[#This Row],[Acknowledgement Time ]]-PA[[#This Row],[Fault Time]])*24)</f>
        <v>2.7333333333333329</v>
      </c>
      <c r="AC190" s="158">
        <f>IF(PA[[#This Row],[Work Start time on Fault]]="NA","",(PA[[#This Row],[Work Start time on Fault]]-PA[[#This Row],[Fault Time]])*24)</f>
        <v>5.5666666666666664</v>
      </c>
      <c r="AD190" s="112">
        <f>IF(PA[[#This Row],[Status]]="Open","",(PA[[#This Row],[Work Completion time on fault]]-PA[[#This Row],[Fault Time]])*24)</f>
        <v>5.916666666666667</v>
      </c>
      <c r="AE190" s="111">
        <f>IFERROR((PA[[#This Row],[Work Completion time on fault]]-PA[[#This Row],[Fault Time]])*24,"")</f>
        <v>5.916666666666667</v>
      </c>
      <c r="AF190" s="228" t="s">
        <v>713</v>
      </c>
      <c r="AG190" s="6" t="s">
        <v>1275</v>
      </c>
      <c r="AH190" s="53">
        <f>IFERROR(PA[[#This Row],[Breakdown Time]]*PA[[#This Row],[Plant Equivalent Weightage]],"")</f>
        <v>1.7550561797752811E-2</v>
      </c>
      <c r="AI190" s="59">
        <v>0.43</v>
      </c>
      <c r="AJ190" s="89">
        <f>IFERROR(IF(PA[[#This Row],[Lost PoA(kWh/m2)]]&gt;0,_xlfn.XLOOKUP(G190,'Modelling New'!$D:$D,'Modelling New'!$O:$O)*PA[[#This Row],[Lost PoA(kWh/m2)]]*S190,0),"")</f>
        <v>6.2182281631566552</v>
      </c>
    </row>
    <row r="191" spans="1:36" hidden="1" x14ac:dyDescent="0.25">
      <c r="A191" s="229">
        <v>1882</v>
      </c>
      <c r="B191" s="233">
        <v>45799</v>
      </c>
      <c r="C191" s="59"/>
      <c r="D191" s="6">
        <f>YEAR(PA[[#This Row],[Date]])</f>
        <v>2025</v>
      </c>
      <c r="E191" s="129" t="s">
        <v>73</v>
      </c>
      <c r="F191" s="130" t="s">
        <v>73</v>
      </c>
      <c r="G191" s="301">
        <v>45778</v>
      </c>
      <c r="H191" s="56">
        <f>DAY(EOMONTH(PA[[#This Row],[Date]], 0))</f>
        <v>31</v>
      </c>
      <c r="I191" s="10">
        <v>0.21944444444444444</v>
      </c>
      <c r="J191" s="10">
        <v>0.77013888888888893</v>
      </c>
      <c r="K191" s="53">
        <f>IFERROR((PA[[#This Row],[Sunset Time (POA&lt;20 W/m2)]]-PA[[#This Row],[Sunrise Time (POA&gt;20 W/m2)]])*24,"")</f>
        <v>13.216666666666669</v>
      </c>
      <c r="L191" s="59" t="s">
        <v>579</v>
      </c>
      <c r="M191" s="59"/>
      <c r="N191" s="59"/>
      <c r="O191" s="59" t="s">
        <v>571</v>
      </c>
      <c r="P191" s="56"/>
      <c r="Q191" s="6"/>
      <c r="R19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v>
      </c>
      <c r="S191" s="53">
        <v>19.100000000000001</v>
      </c>
      <c r="T191" s="90">
        <f>IFERROR(_xlfn.XLOOKUP(PA[[#This Row],[Affected Equipment ]],'Basic Data '!A:A,'Basic Data '!C:C),"")</f>
        <v>2.9662921348314608E-3</v>
      </c>
      <c r="U191" s="59" t="s">
        <v>697</v>
      </c>
      <c r="V191" s="88"/>
      <c r="W191" s="114" t="s">
        <v>712</v>
      </c>
      <c r="X191" s="60">
        <v>0.21944444444444444</v>
      </c>
      <c r="Y191" s="60">
        <v>0.33333333333333331</v>
      </c>
      <c r="Z191" s="60">
        <v>0.4513888888888889</v>
      </c>
      <c r="AA191" s="60">
        <v>0.47361111111111115</v>
      </c>
      <c r="AB191" s="158">
        <f>IF(PA[[#This Row],[Acknowledgement Time ]]="NA","",(PA[[#This Row],[Acknowledgement Time ]]-PA[[#This Row],[Fault Time]])*24)</f>
        <v>2.7333333333333329</v>
      </c>
      <c r="AC191" s="158">
        <f>IF(PA[[#This Row],[Work Start time on Fault]]="NA","",(PA[[#This Row],[Work Start time on Fault]]-PA[[#This Row],[Fault Time]])*24)</f>
        <v>5.5666666666666664</v>
      </c>
      <c r="AD191" s="112">
        <f>IF(PA[[#This Row],[Status]]="Open","",(PA[[#This Row],[Work Completion time on fault]]-PA[[#This Row],[Fault Time]])*24)</f>
        <v>6.1000000000000014</v>
      </c>
      <c r="AE191" s="111">
        <f>IFERROR((PA[[#This Row],[Work Completion time on fault]]-PA[[#This Row],[Fault Time]])*24,"")</f>
        <v>6.1000000000000014</v>
      </c>
      <c r="AF191" s="228" t="s">
        <v>713</v>
      </c>
      <c r="AG191" s="6" t="s">
        <v>1275</v>
      </c>
      <c r="AH191" s="53">
        <f>IFERROR(PA[[#This Row],[Breakdown Time]]*PA[[#This Row],[Plant Equivalent Weightage]],"")</f>
        <v>1.8094382022471916E-2</v>
      </c>
      <c r="AI191" s="59">
        <v>0.44400000000000001</v>
      </c>
      <c r="AJ191" s="89">
        <f>IFERROR(IF(PA[[#This Row],[Lost PoA(kWh/m2)]]&gt;0,_xlfn.XLOOKUP(G191,'Modelling New'!$D:$D,'Modelling New'!$O:$O)*PA[[#This Row],[Lost PoA(kWh/m2)]]*S191,0),"")</f>
        <v>6.420682103352453</v>
      </c>
    </row>
    <row r="192" spans="1:36" hidden="1" x14ac:dyDescent="0.25">
      <c r="A192" s="229">
        <v>1883</v>
      </c>
      <c r="B192" s="233">
        <v>45799</v>
      </c>
      <c r="C192" s="59"/>
      <c r="D192" s="6">
        <f>YEAR(PA[[#This Row],[Date]])</f>
        <v>2025</v>
      </c>
      <c r="E192" s="129" t="s">
        <v>73</v>
      </c>
      <c r="F192" s="130" t="s">
        <v>73</v>
      </c>
      <c r="G192" s="301">
        <v>45778</v>
      </c>
      <c r="H192" s="56">
        <f>DAY(EOMONTH(PA[[#This Row],[Date]], 0))</f>
        <v>31</v>
      </c>
      <c r="I192" s="10">
        <v>0.21944444444444444</v>
      </c>
      <c r="J192" s="10">
        <v>0.77013888888888893</v>
      </c>
      <c r="K192" s="53">
        <f>IFERROR((PA[[#This Row],[Sunset Time (POA&lt;20 W/m2)]]-PA[[#This Row],[Sunrise Time (POA&gt;20 W/m2)]])*24,"")</f>
        <v>13.216666666666669</v>
      </c>
      <c r="L192" s="59" t="s">
        <v>579</v>
      </c>
      <c r="M192" s="59"/>
      <c r="N192" s="59"/>
      <c r="O192" s="59" t="s">
        <v>571</v>
      </c>
      <c r="P192" s="56"/>
      <c r="Q192" s="6"/>
      <c r="R19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v>
      </c>
      <c r="S192" s="53">
        <v>19.100000000000001</v>
      </c>
      <c r="T192" s="90">
        <f>IFERROR(_xlfn.XLOOKUP(PA[[#This Row],[Affected Equipment ]],'Basic Data '!A:A,'Basic Data '!C:C),"")</f>
        <v>2.9662921348314608E-3</v>
      </c>
      <c r="U192" s="59" t="s">
        <v>697</v>
      </c>
      <c r="V192" s="88"/>
      <c r="W192" s="114" t="s">
        <v>712</v>
      </c>
      <c r="X192" s="60">
        <v>0.21944444444444444</v>
      </c>
      <c r="Y192" s="60">
        <v>0.33333333333333331</v>
      </c>
      <c r="Z192" s="60">
        <v>0.4513888888888889</v>
      </c>
      <c r="AA192" s="60">
        <v>0.4826388888888889</v>
      </c>
      <c r="AB192" s="158">
        <f>IF(PA[[#This Row],[Acknowledgement Time ]]="NA","",(PA[[#This Row],[Acknowledgement Time ]]-PA[[#This Row],[Fault Time]])*24)</f>
        <v>2.7333333333333329</v>
      </c>
      <c r="AC192" s="158">
        <f>IF(PA[[#This Row],[Work Start time on Fault]]="NA","",(PA[[#This Row],[Work Start time on Fault]]-PA[[#This Row],[Fault Time]])*24)</f>
        <v>5.5666666666666664</v>
      </c>
      <c r="AD192" s="112">
        <f>IF(PA[[#This Row],[Status]]="Open","",(PA[[#This Row],[Work Completion time on fault]]-PA[[#This Row],[Fault Time]])*24)</f>
        <v>6.3166666666666664</v>
      </c>
      <c r="AE192" s="111">
        <f>IFERROR((PA[[#This Row],[Work Completion time on fault]]-PA[[#This Row],[Fault Time]])*24,"")</f>
        <v>6.3166666666666664</v>
      </c>
      <c r="AF192" s="228" t="s">
        <v>713</v>
      </c>
      <c r="AG192" s="6" t="s">
        <v>1275</v>
      </c>
      <c r="AH192" s="53">
        <f>IFERROR(PA[[#This Row],[Breakdown Time]]*PA[[#This Row],[Plant Equivalent Weightage]],"")</f>
        <v>1.8737078651685394E-2</v>
      </c>
      <c r="AI192" s="59">
        <v>0.46</v>
      </c>
      <c r="AJ192" s="89">
        <f>IFERROR(IF(PA[[#This Row],[Lost PoA(kWh/m2)]]&gt;0,_xlfn.XLOOKUP(G192,'Modelling New'!$D:$D,'Modelling New'!$O:$O)*PA[[#This Row],[Lost PoA(kWh/m2)]]*S192,0),"")</f>
        <v>6.6520580350047931</v>
      </c>
    </row>
    <row r="193" spans="1:36" hidden="1" x14ac:dyDescent="0.25">
      <c r="A193" s="229">
        <v>1884</v>
      </c>
      <c r="B193" s="233">
        <v>45799</v>
      </c>
      <c r="C193" s="59"/>
      <c r="D193" s="6">
        <f>YEAR(PA[[#This Row],[Date]])</f>
        <v>2025</v>
      </c>
      <c r="E193" s="129" t="s">
        <v>73</v>
      </c>
      <c r="F193" s="130" t="s">
        <v>73</v>
      </c>
      <c r="G193" s="301">
        <v>45778</v>
      </c>
      <c r="H193" s="56">
        <f>DAY(EOMONTH(PA[[#This Row],[Date]], 0))</f>
        <v>31</v>
      </c>
      <c r="I193" s="10">
        <v>0.21944444444444444</v>
      </c>
      <c r="J193" s="10">
        <v>0.77013888888888893</v>
      </c>
      <c r="K193" s="53">
        <f>IFERROR((PA[[#This Row],[Sunset Time (POA&lt;20 W/m2)]]-PA[[#This Row],[Sunrise Time (POA&gt;20 W/m2)]])*24,"")</f>
        <v>13.216666666666669</v>
      </c>
      <c r="L193" s="59" t="s">
        <v>579</v>
      </c>
      <c r="M193" s="59"/>
      <c r="N193" s="59"/>
      <c r="O193" s="59" t="s">
        <v>600</v>
      </c>
      <c r="P193" s="56"/>
      <c r="Q193" s="6"/>
      <c r="R19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BLK8INV17</v>
      </c>
      <c r="S193" s="53">
        <v>31.9</v>
      </c>
      <c r="T193" s="90">
        <f>IFERROR(_xlfn.XLOOKUP(PA[[#This Row],[Affected Equipment ]],'Basic Data '!A:A,'Basic Data '!C:C),"")</f>
        <v>2.6666666666666666E-3</v>
      </c>
      <c r="U193" s="59" t="s">
        <v>697</v>
      </c>
      <c r="V193" s="88"/>
      <c r="W193" s="114" t="s">
        <v>712</v>
      </c>
      <c r="X193" s="60">
        <v>0.21944444444444444</v>
      </c>
      <c r="Y193" s="60">
        <v>0.33333333333333331</v>
      </c>
      <c r="Z193" s="60">
        <v>0.45833333333333331</v>
      </c>
      <c r="AA193" s="60">
        <v>0.47361111111111115</v>
      </c>
      <c r="AB193" s="158">
        <f>IF(PA[[#This Row],[Acknowledgement Time ]]="NA","",(PA[[#This Row],[Acknowledgement Time ]]-PA[[#This Row],[Fault Time]])*24)</f>
        <v>2.7333333333333329</v>
      </c>
      <c r="AC193" s="158">
        <f>IF(PA[[#This Row],[Work Start time on Fault]]="NA","",(PA[[#This Row],[Work Start time on Fault]]-PA[[#This Row],[Fault Time]])*24)</f>
        <v>5.7333333333333325</v>
      </c>
      <c r="AD193" s="112">
        <f>IF(PA[[#This Row],[Status]]="Open","",(PA[[#This Row],[Work Completion time on fault]]-PA[[#This Row],[Fault Time]])*24)</f>
        <v>6.1000000000000014</v>
      </c>
      <c r="AE193" s="111">
        <f>IFERROR((PA[[#This Row],[Work Completion time on fault]]-PA[[#This Row],[Fault Time]])*24,"")</f>
        <v>6.1000000000000014</v>
      </c>
      <c r="AF193" s="228" t="s">
        <v>713</v>
      </c>
      <c r="AG193" s="6" t="s">
        <v>1275</v>
      </c>
      <c r="AH193" s="53">
        <f>IFERROR(PA[[#This Row],[Breakdown Time]]*PA[[#This Row],[Plant Equivalent Weightage]],"")</f>
        <v>1.6266666666666669E-2</v>
      </c>
      <c r="AI193" s="59">
        <v>0.44400000000000001</v>
      </c>
      <c r="AJ193" s="89">
        <f>IFERROR(IF(PA[[#This Row],[Lost PoA(kWh/m2)]]&gt;0,_xlfn.XLOOKUP(G193,'Modelling New'!$D:$D,'Modelling New'!$O:$O)*PA[[#This Row],[Lost PoA(kWh/m2)]]*S193,0),"")</f>
        <v>10.723547596698598</v>
      </c>
    </row>
    <row r="194" spans="1:36" hidden="1" x14ac:dyDescent="0.25">
      <c r="A194" s="229">
        <v>1885</v>
      </c>
      <c r="B194" s="233">
        <v>45799</v>
      </c>
      <c r="C194" s="59"/>
      <c r="D194" s="6">
        <f>YEAR(PA[[#This Row],[Date]])</f>
        <v>2025</v>
      </c>
      <c r="E194" s="129" t="s">
        <v>73</v>
      </c>
      <c r="F194" s="130" t="s">
        <v>73</v>
      </c>
      <c r="G194" s="301">
        <v>45778</v>
      </c>
      <c r="H194" s="56">
        <f>DAY(EOMONTH(PA[[#This Row],[Date]], 0))</f>
        <v>31</v>
      </c>
      <c r="I194" s="10">
        <v>0.21944444444444444</v>
      </c>
      <c r="J194" s="10">
        <v>0.77013888888888893</v>
      </c>
      <c r="K194" s="53">
        <f>IFERROR((PA[[#This Row],[Sunset Time (POA&lt;20 W/m2)]]-PA[[#This Row],[Sunrise Time (POA&gt;20 W/m2)]])*24,"")</f>
        <v>13.216666666666669</v>
      </c>
      <c r="L194" s="59" t="s">
        <v>579</v>
      </c>
      <c r="M194" s="59"/>
      <c r="N194" s="59"/>
      <c r="O194" s="59" t="s">
        <v>610</v>
      </c>
      <c r="P194" s="56"/>
      <c r="Q194" s="6"/>
      <c r="R19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BLK8INV24</v>
      </c>
      <c r="S194" s="53">
        <v>31.9</v>
      </c>
      <c r="T194" s="90">
        <f>IFERROR(_xlfn.XLOOKUP(PA[[#This Row],[Affected Equipment ]],'Basic Data '!A:A,'Basic Data '!C:C),"")</f>
        <v>4.0651685393258419E-3</v>
      </c>
      <c r="U194" s="59" t="s">
        <v>697</v>
      </c>
      <c r="V194" s="88"/>
      <c r="W194" s="114" t="s">
        <v>712</v>
      </c>
      <c r="X194" s="60">
        <v>0.21944444444444444</v>
      </c>
      <c r="Y194" s="60">
        <v>0.33333333333333331</v>
      </c>
      <c r="Z194" s="60">
        <v>0.46875</v>
      </c>
      <c r="AA194" s="60">
        <v>0.47916666666666669</v>
      </c>
      <c r="AB194" s="158">
        <f>IF(PA[[#This Row],[Acknowledgement Time ]]="NA","",(PA[[#This Row],[Acknowledgement Time ]]-PA[[#This Row],[Fault Time]])*24)</f>
        <v>2.7333333333333329</v>
      </c>
      <c r="AC194" s="158">
        <f>IF(PA[[#This Row],[Work Start time on Fault]]="NA","",(PA[[#This Row],[Work Start time on Fault]]-PA[[#This Row],[Fault Time]])*24)</f>
        <v>5.9833333333333334</v>
      </c>
      <c r="AD194" s="112">
        <f>IF(PA[[#This Row],[Status]]="Open","",(PA[[#This Row],[Work Completion time on fault]]-PA[[#This Row],[Fault Time]])*24)</f>
        <v>6.2333333333333343</v>
      </c>
      <c r="AE194" s="111">
        <f>IFERROR((PA[[#This Row],[Work Completion time on fault]]-PA[[#This Row],[Fault Time]])*24,"")</f>
        <v>6.2333333333333343</v>
      </c>
      <c r="AF194" s="228" t="s">
        <v>713</v>
      </c>
      <c r="AG194" s="6" t="s">
        <v>1275</v>
      </c>
      <c r="AH194" s="53">
        <f>IFERROR(PA[[#This Row],[Breakdown Time]]*PA[[#This Row],[Plant Equivalent Weightage]],"")</f>
        <v>2.5339550561797753E-2</v>
      </c>
      <c r="AI194" s="59">
        <v>0.45400000000000001</v>
      </c>
      <c r="AJ194" s="89">
        <f>IFERROR(IF(PA[[#This Row],[Lost PoA(kWh/m2)]]&gt;0,_xlfn.XLOOKUP(G194,'Modelling New'!$D:$D,'Modelling New'!$O:$O)*PA[[#This Row],[Lost PoA(kWh/m2)]]*S194,0),"")</f>
        <v>10.965068938966583</v>
      </c>
    </row>
    <row r="195" spans="1:36" hidden="1" x14ac:dyDescent="0.25">
      <c r="A195" s="229">
        <v>1886</v>
      </c>
      <c r="B195" s="233">
        <v>45799</v>
      </c>
      <c r="C195" s="59"/>
      <c r="D195" s="6">
        <f>YEAR(PA[[#This Row],[Date]])</f>
        <v>2025</v>
      </c>
      <c r="E195" s="129" t="s">
        <v>73</v>
      </c>
      <c r="F195" s="130" t="s">
        <v>73</v>
      </c>
      <c r="G195" s="301">
        <v>45778</v>
      </c>
      <c r="H195" s="56">
        <f>DAY(EOMONTH(PA[[#This Row],[Date]], 0))</f>
        <v>31</v>
      </c>
      <c r="I195" s="10">
        <v>0.21944444444444444</v>
      </c>
      <c r="J195" s="10">
        <v>0.77013888888888893</v>
      </c>
      <c r="K195" s="53">
        <f>IFERROR((PA[[#This Row],[Sunset Time (POA&lt;20 W/m2)]]-PA[[#This Row],[Sunrise Time (POA&gt;20 W/m2)]])*24,"")</f>
        <v>13.216666666666669</v>
      </c>
      <c r="L195" s="59" t="s">
        <v>579</v>
      </c>
      <c r="M195" s="59"/>
      <c r="N195" s="59"/>
      <c r="O195" s="59" t="s">
        <v>610</v>
      </c>
      <c r="P195" s="56"/>
      <c r="Q195" s="6"/>
      <c r="R19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BLK8INV24</v>
      </c>
      <c r="S195" s="53">
        <v>31.9</v>
      </c>
      <c r="T195" s="90">
        <f>IFERROR(_xlfn.XLOOKUP(PA[[#This Row],[Affected Equipment ]],'Basic Data '!A:A,'Basic Data '!C:C),"")</f>
        <v>4.0651685393258419E-3</v>
      </c>
      <c r="U195" s="59" t="s">
        <v>697</v>
      </c>
      <c r="V195" s="88"/>
      <c r="W195" s="114" t="s">
        <v>712</v>
      </c>
      <c r="X195" s="60">
        <v>0.21944444444444444</v>
      </c>
      <c r="Y195" s="60">
        <v>0.33333333333333331</v>
      </c>
      <c r="Z195" s="60">
        <v>0.46875</v>
      </c>
      <c r="AA195" s="60">
        <v>0.4861111111111111</v>
      </c>
      <c r="AB195" s="158">
        <f>IF(PA[[#This Row],[Acknowledgement Time ]]="NA","",(PA[[#This Row],[Acknowledgement Time ]]-PA[[#This Row],[Fault Time]])*24)</f>
        <v>2.7333333333333329</v>
      </c>
      <c r="AC195" s="158">
        <f>IF(PA[[#This Row],[Work Start time on Fault]]="NA","",(PA[[#This Row],[Work Start time on Fault]]-PA[[#This Row],[Fault Time]])*24)</f>
        <v>5.9833333333333334</v>
      </c>
      <c r="AD195" s="112">
        <f>IF(PA[[#This Row],[Status]]="Open","",(PA[[#This Row],[Work Completion time on fault]]-PA[[#This Row],[Fault Time]])*24)</f>
        <v>6.4</v>
      </c>
      <c r="AE195" s="111">
        <f>IFERROR((PA[[#This Row],[Work Completion time on fault]]-PA[[#This Row],[Fault Time]])*24,"")</f>
        <v>6.4</v>
      </c>
      <c r="AF195" s="228" t="s">
        <v>713</v>
      </c>
      <c r="AG195" s="6" t="s">
        <v>1275</v>
      </c>
      <c r="AH195" s="53">
        <f>IFERROR(PA[[#This Row],[Breakdown Time]]*PA[[#This Row],[Plant Equivalent Weightage]],"")</f>
        <v>2.6017078651685389E-2</v>
      </c>
      <c r="AI195" s="59">
        <v>0.46500000000000002</v>
      </c>
      <c r="AJ195" s="89">
        <f>IFERROR(IF(PA[[#This Row],[Lost PoA(kWh/m2)]]&gt;0,_xlfn.XLOOKUP(G195,'Modelling New'!$D:$D,'Modelling New'!$O:$O)*PA[[#This Row],[Lost PoA(kWh/m2)]]*S195,0),"")</f>
        <v>11.23074241546137</v>
      </c>
    </row>
    <row r="196" spans="1:36" hidden="1" x14ac:dyDescent="0.25">
      <c r="A196" s="229">
        <v>1887</v>
      </c>
      <c r="B196" s="233">
        <v>45799</v>
      </c>
      <c r="C196" s="59"/>
      <c r="D196" s="6">
        <f>YEAR(PA[[#This Row],[Date]])</f>
        <v>2025</v>
      </c>
      <c r="E196" s="129" t="s">
        <v>73</v>
      </c>
      <c r="F196" s="130" t="s">
        <v>73</v>
      </c>
      <c r="G196" s="301">
        <v>45778</v>
      </c>
      <c r="H196" s="56">
        <f>DAY(EOMONTH(PA[[#This Row],[Date]], 0))</f>
        <v>31</v>
      </c>
      <c r="I196" s="10">
        <v>0.21944444444444444</v>
      </c>
      <c r="J196" s="10">
        <v>0.77013888888888893</v>
      </c>
      <c r="K196" s="53">
        <f>IFERROR((PA[[#This Row],[Sunset Time (POA&lt;20 W/m2)]]-PA[[#This Row],[Sunrise Time (POA&gt;20 W/m2)]])*24,"")</f>
        <v>13.216666666666669</v>
      </c>
      <c r="L196" s="59" t="s">
        <v>579</v>
      </c>
      <c r="M196" s="59"/>
      <c r="N196" s="59"/>
      <c r="O196" s="59" t="s">
        <v>612</v>
      </c>
      <c r="P196" s="56"/>
      <c r="Q196" s="6"/>
      <c r="R19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BLK8INV28</v>
      </c>
      <c r="S196" s="53">
        <v>20.100000000000001</v>
      </c>
      <c r="T196" s="90">
        <f>IFERROR(_xlfn.XLOOKUP(PA[[#This Row],[Affected Equipment ]],'Basic Data '!A:A,'Basic Data '!C:C),"")</f>
        <v>3.8561797752808993E-3</v>
      </c>
      <c r="U196" s="59" t="s">
        <v>697</v>
      </c>
      <c r="V196" s="88"/>
      <c r="W196" s="114" t="s">
        <v>712</v>
      </c>
      <c r="X196" s="60">
        <v>0.21944444444444444</v>
      </c>
      <c r="Y196" s="60">
        <v>0.33333333333333331</v>
      </c>
      <c r="Z196" s="60">
        <v>0.47222222222222227</v>
      </c>
      <c r="AA196" s="60">
        <v>0.4861111111111111</v>
      </c>
      <c r="AB196" s="158">
        <f>IF(PA[[#This Row],[Acknowledgement Time ]]="NA","",(PA[[#This Row],[Acknowledgement Time ]]-PA[[#This Row],[Fault Time]])*24)</f>
        <v>2.7333333333333329</v>
      </c>
      <c r="AC196" s="158">
        <f>IF(PA[[#This Row],[Work Start time on Fault]]="NA","",(PA[[#This Row],[Work Start time on Fault]]-PA[[#This Row],[Fault Time]])*24)</f>
        <v>6.0666666666666682</v>
      </c>
      <c r="AD196" s="112">
        <f>IF(PA[[#This Row],[Status]]="Open","",(PA[[#This Row],[Work Completion time on fault]]-PA[[#This Row],[Fault Time]])*24)</f>
        <v>6.4</v>
      </c>
      <c r="AE196" s="111">
        <f>IFERROR((PA[[#This Row],[Work Completion time on fault]]-PA[[#This Row],[Fault Time]])*24,"")</f>
        <v>6.4</v>
      </c>
      <c r="AF196" s="228" t="s">
        <v>713</v>
      </c>
      <c r="AG196" s="6" t="s">
        <v>1275</v>
      </c>
      <c r="AH196" s="53">
        <f>IFERROR(PA[[#This Row],[Breakdown Time]]*PA[[#This Row],[Plant Equivalent Weightage]],"")</f>
        <v>2.4679550561797756E-2</v>
      </c>
      <c r="AI196" s="59">
        <v>0.46500000000000002</v>
      </c>
      <c r="AJ196" s="89">
        <f>IFERROR(IF(PA[[#This Row],[Lost PoA(kWh/m2)]]&gt;0,_xlfn.XLOOKUP(G196,'Modelling New'!$D:$D,'Modelling New'!$O:$O)*PA[[#This Row],[Lost PoA(kWh/m2)]]*S196,0),"")</f>
        <v>7.0764239044129642</v>
      </c>
    </row>
    <row r="197" spans="1:36" hidden="1" x14ac:dyDescent="0.25">
      <c r="A197" s="229">
        <v>1888</v>
      </c>
      <c r="B197" s="233">
        <v>45800</v>
      </c>
      <c r="C197" s="59"/>
      <c r="D197" s="6">
        <f>YEAR(PA[[#This Row],[Date]])</f>
        <v>2025</v>
      </c>
      <c r="E197" s="129" t="s">
        <v>73</v>
      </c>
      <c r="F197" s="130" t="s">
        <v>73</v>
      </c>
      <c r="G197" s="301">
        <v>45778</v>
      </c>
      <c r="H197" s="56">
        <f>DAY(EOMONTH(PA[[#This Row],[Date]], 0))</f>
        <v>31</v>
      </c>
      <c r="I197" s="60">
        <v>0.21736111111111112</v>
      </c>
      <c r="J197" s="60">
        <v>0.77013888888888893</v>
      </c>
      <c r="K197" s="53">
        <f>IFERROR((PA[[#This Row],[Sunset Time (POA&lt;20 W/m2)]]-PA[[#This Row],[Sunrise Time (POA&gt;20 W/m2)]])*24,"")</f>
        <v>13.266666666666667</v>
      </c>
      <c r="L197" s="59" t="s">
        <v>559</v>
      </c>
      <c r="M197" s="59"/>
      <c r="N197" s="59"/>
      <c r="O197" s="59" t="s">
        <v>594</v>
      </c>
      <c r="P197" s="56"/>
      <c r="Q197" s="6"/>
      <c r="R19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BLK2INV10</v>
      </c>
      <c r="S197" s="53">
        <v>22.25</v>
      </c>
      <c r="T197" s="90">
        <f>IFERROR(_xlfn.XLOOKUP(PA[[#This Row],[Affected Equipment ]],'Basic Data '!A:A,'Basic Data '!C:C),"")</f>
        <v>4.0000000000000001E-3</v>
      </c>
      <c r="U197" s="59" t="s">
        <v>697</v>
      </c>
      <c r="V197" s="88"/>
      <c r="W197" s="114" t="s">
        <v>715</v>
      </c>
      <c r="X197" s="60">
        <v>0.21736111111111112</v>
      </c>
      <c r="Y197" s="60">
        <v>0.33333333333333331</v>
      </c>
      <c r="Z197" s="60">
        <v>0.4513888888888889</v>
      </c>
      <c r="AA197" s="60">
        <v>0.46180555555555558</v>
      </c>
      <c r="AB197" s="158">
        <f>IF(PA[[#This Row],[Acknowledgement Time ]]="NA","",(PA[[#This Row],[Acknowledgement Time ]]-PA[[#This Row],[Fault Time]])*24)</f>
        <v>2.7833333333333328</v>
      </c>
      <c r="AC197" s="158">
        <f>IF(PA[[#This Row],[Work Start time on Fault]]="NA","",(PA[[#This Row],[Work Start time on Fault]]-PA[[#This Row],[Fault Time]])*24)</f>
        <v>5.6166666666666671</v>
      </c>
      <c r="AD197" s="112">
        <f>IF(PA[[#This Row],[Status]]="Open","",(PA[[#This Row],[Work Completion time on fault]]-PA[[#This Row],[Fault Time]])*24)</f>
        <v>5.8666666666666671</v>
      </c>
      <c r="AE197" s="111">
        <f>IFERROR((PA[[#This Row],[Work Completion time on fault]]-PA[[#This Row],[Fault Time]])*24,"")</f>
        <v>5.8666666666666671</v>
      </c>
      <c r="AF197" s="228" t="s">
        <v>716</v>
      </c>
      <c r="AG197" s="6" t="s">
        <v>1275</v>
      </c>
      <c r="AH197" s="53">
        <f>IFERROR(PA[[#This Row],[Breakdown Time]]*PA[[#This Row],[Plant Equivalent Weightage]],"")</f>
        <v>2.346666666666667E-2</v>
      </c>
      <c r="AI197" s="59">
        <v>0.40500000000000003</v>
      </c>
      <c r="AJ197" s="89">
        <f>IFERROR(IF(PA[[#This Row],[Lost PoA(kWh/m2)]]&gt;0,_xlfn.XLOOKUP(G197,'Modelling New'!$D:$D,'Modelling New'!$O:$O)*PA[[#This Row],[Lost PoA(kWh/m2)]]*S197,0),"")</f>
        <v>6.8225993589730187</v>
      </c>
    </row>
    <row r="198" spans="1:36" hidden="1" x14ac:dyDescent="0.25">
      <c r="A198" s="229">
        <v>1889</v>
      </c>
      <c r="B198" s="233">
        <v>45800</v>
      </c>
      <c r="C198" s="59"/>
      <c r="D198" s="6">
        <f>YEAR(PA[[#This Row],[Date]])</f>
        <v>2025</v>
      </c>
      <c r="E198" s="129" t="s">
        <v>73</v>
      </c>
      <c r="F198" s="130" t="s">
        <v>73</v>
      </c>
      <c r="G198" s="301">
        <v>45778</v>
      </c>
      <c r="H198" s="56">
        <f>DAY(EOMONTH(PA[[#This Row],[Date]], 0))</f>
        <v>31</v>
      </c>
      <c r="I198" s="60">
        <v>0.21736111111111112</v>
      </c>
      <c r="J198" s="60">
        <v>0.77013888888888893</v>
      </c>
      <c r="K198" s="53">
        <f>IFERROR((PA[[#This Row],[Sunset Time (POA&lt;20 W/m2)]]-PA[[#This Row],[Sunrise Time (POA&gt;20 W/m2)]])*24,"")</f>
        <v>13.266666666666667</v>
      </c>
      <c r="L198" s="59" t="s">
        <v>597</v>
      </c>
      <c r="M198" s="59"/>
      <c r="N198" s="59"/>
      <c r="O198" s="59" t="s">
        <v>616</v>
      </c>
      <c r="P198" s="56"/>
      <c r="Q198" s="6"/>
      <c r="R19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BLK3INV7</v>
      </c>
      <c r="S198" s="53">
        <v>22.25</v>
      </c>
      <c r="T198" s="90">
        <f>IFERROR(_xlfn.XLOOKUP(PA[[#This Row],[Affected Equipment ]],'Basic Data '!A:A,'Basic Data '!C:C),"")</f>
        <v>4.0000000000000001E-3</v>
      </c>
      <c r="U198" s="59" t="s">
        <v>697</v>
      </c>
      <c r="V198" s="88"/>
      <c r="W198" s="114" t="s">
        <v>717</v>
      </c>
      <c r="X198" s="60">
        <v>0.21736111111111112</v>
      </c>
      <c r="Y198" s="60">
        <v>0.33333333333333331</v>
      </c>
      <c r="Z198" s="60">
        <v>0.45833333333333331</v>
      </c>
      <c r="AA198" s="60">
        <v>0.47222222222222227</v>
      </c>
      <c r="AB198" s="158">
        <f>IF(PA[[#This Row],[Acknowledgement Time ]]="NA","",(PA[[#This Row],[Acknowledgement Time ]]-PA[[#This Row],[Fault Time]])*24)</f>
        <v>2.7833333333333328</v>
      </c>
      <c r="AC198" s="158">
        <f>IF(PA[[#This Row],[Work Start time on Fault]]="NA","",(PA[[#This Row],[Work Start time on Fault]]-PA[[#This Row],[Fault Time]])*24)</f>
        <v>5.7833333333333332</v>
      </c>
      <c r="AD198" s="112">
        <f>IF(PA[[#This Row],[Status]]="Open","",(PA[[#This Row],[Work Completion time on fault]]-PA[[#This Row],[Fault Time]])*24)</f>
        <v>6.1166666666666671</v>
      </c>
      <c r="AE198" s="111">
        <f>IFERROR((PA[[#This Row],[Work Completion time on fault]]-PA[[#This Row],[Fault Time]])*24,"")</f>
        <v>6.1166666666666671</v>
      </c>
      <c r="AF198" s="114" t="s">
        <v>699</v>
      </c>
      <c r="AG198" s="6" t="s">
        <v>1275</v>
      </c>
      <c r="AH198" s="53">
        <f>IFERROR(PA[[#This Row],[Breakdown Time]]*PA[[#This Row],[Plant Equivalent Weightage]],"")</f>
        <v>2.4466666666666668E-2</v>
      </c>
      <c r="AI198" s="59">
        <v>0.42399999999999999</v>
      </c>
      <c r="AJ198" s="89">
        <f>IFERROR(IF(PA[[#This Row],[Lost PoA(kWh/m2)]]&gt;0,_xlfn.XLOOKUP(G198,'Modelling New'!$D:$D,'Modelling New'!$O:$O)*PA[[#This Row],[Lost PoA(kWh/m2)]]*S198,0),"")</f>
        <v>7.1426719214927399</v>
      </c>
    </row>
    <row r="199" spans="1:36" hidden="1" x14ac:dyDescent="0.25">
      <c r="A199" s="229">
        <v>1890</v>
      </c>
      <c r="B199" s="233">
        <v>45800</v>
      </c>
      <c r="C199" s="59"/>
      <c r="D199" s="6">
        <f>YEAR(PA[[#This Row],[Date]])</f>
        <v>2025</v>
      </c>
      <c r="E199" s="129" t="s">
        <v>73</v>
      </c>
      <c r="F199" s="130" t="s">
        <v>73</v>
      </c>
      <c r="G199" s="301">
        <v>45778</v>
      </c>
      <c r="H199" s="56">
        <f>DAY(EOMONTH(PA[[#This Row],[Date]], 0))</f>
        <v>31</v>
      </c>
      <c r="I199" s="60">
        <v>0.21736111111111112</v>
      </c>
      <c r="J199" s="60">
        <v>0.77013888888888893</v>
      </c>
      <c r="K199" s="53">
        <f>IFERROR((PA[[#This Row],[Sunset Time (POA&lt;20 W/m2)]]-PA[[#This Row],[Sunrise Time (POA&gt;20 W/m2)]])*24,"")</f>
        <v>13.266666666666667</v>
      </c>
      <c r="L199" s="59" t="s">
        <v>587</v>
      </c>
      <c r="M199" s="59"/>
      <c r="N199" s="59"/>
      <c r="O199" s="59" t="s">
        <v>612</v>
      </c>
      <c r="P199" s="56"/>
      <c r="Q199" s="6"/>
      <c r="R19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BLK1INV28</v>
      </c>
      <c r="S199" s="53">
        <v>22.25</v>
      </c>
      <c r="T199" s="90">
        <f>IFERROR(_xlfn.XLOOKUP(PA[[#This Row],[Affected Equipment ]],'Basic Data '!A:A,'Basic Data '!C:C),"")</f>
        <v>4.4999999999999997E-3</v>
      </c>
      <c r="U199" s="59" t="s">
        <v>697</v>
      </c>
      <c r="V199" s="88"/>
      <c r="W199" s="114" t="s">
        <v>717</v>
      </c>
      <c r="X199" s="60">
        <v>0.21736111111111112</v>
      </c>
      <c r="Y199" s="60">
        <v>0.33333333333333331</v>
      </c>
      <c r="Z199" s="60">
        <v>0.4826388888888889</v>
      </c>
      <c r="AA199" s="60">
        <v>0.49305555555555558</v>
      </c>
      <c r="AB199" s="158">
        <f>IF(PA[[#This Row],[Acknowledgement Time ]]="NA","",(PA[[#This Row],[Acknowledgement Time ]]-PA[[#This Row],[Fault Time]])*24)</f>
        <v>2.7833333333333328</v>
      </c>
      <c r="AC199" s="158">
        <f>IF(PA[[#This Row],[Work Start time on Fault]]="NA","",(PA[[#This Row],[Work Start time on Fault]]-PA[[#This Row],[Fault Time]])*24)</f>
        <v>6.3666666666666671</v>
      </c>
      <c r="AD199" s="112">
        <f>IF(PA[[#This Row],[Status]]="Open","",(PA[[#This Row],[Work Completion time on fault]]-PA[[#This Row],[Fault Time]])*24)</f>
        <v>6.6166666666666671</v>
      </c>
      <c r="AE199" s="111">
        <f>IFERROR((PA[[#This Row],[Work Completion time on fault]]-PA[[#This Row],[Fault Time]])*24,"")</f>
        <v>6.6166666666666671</v>
      </c>
      <c r="AF199" s="114" t="s">
        <v>699</v>
      </c>
      <c r="AG199" s="6" t="s">
        <v>1275</v>
      </c>
      <c r="AH199" s="53">
        <f>IFERROR(PA[[#This Row],[Breakdown Time]]*PA[[#This Row],[Plant Equivalent Weightage]],"")</f>
        <v>2.9774999999999999E-2</v>
      </c>
      <c r="AI199" s="59">
        <v>0.46200000000000002</v>
      </c>
      <c r="AJ199" s="89">
        <f>IFERROR(IF(PA[[#This Row],[Lost PoA(kWh/m2)]]&gt;0,_xlfn.XLOOKUP(G199,'Modelling New'!$D:$D,'Modelling New'!$O:$O)*PA[[#This Row],[Lost PoA(kWh/m2)]]*S199,0),"")</f>
        <v>7.7828170465321849</v>
      </c>
    </row>
    <row r="200" spans="1:36" hidden="1" x14ac:dyDescent="0.25">
      <c r="A200" s="229">
        <v>1891</v>
      </c>
      <c r="B200" s="233">
        <v>45800</v>
      </c>
      <c r="C200" s="59"/>
      <c r="D200" s="6">
        <f>YEAR(PA[[#This Row],[Date]])</f>
        <v>2025</v>
      </c>
      <c r="E200" s="129" t="s">
        <v>73</v>
      </c>
      <c r="F200" s="130" t="s">
        <v>73</v>
      </c>
      <c r="G200" s="301">
        <v>45778</v>
      </c>
      <c r="H200" s="56">
        <f>DAY(EOMONTH(PA[[#This Row],[Date]], 0))</f>
        <v>31</v>
      </c>
      <c r="I200" s="60">
        <v>0.21736111111111112</v>
      </c>
      <c r="J200" s="60">
        <v>0.77013888888888893</v>
      </c>
      <c r="K200" s="53">
        <f>IFERROR((PA[[#This Row],[Sunset Time (POA&lt;20 W/m2)]]-PA[[#This Row],[Sunrise Time (POA&gt;20 W/m2)]])*24,"")</f>
        <v>13.266666666666667</v>
      </c>
      <c r="L200" s="59" t="s">
        <v>564</v>
      </c>
      <c r="M200" s="59"/>
      <c r="N200" s="59"/>
      <c r="O200" s="59" t="s">
        <v>618</v>
      </c>
      <c r="P200" s="56"/>
      <c r="Q200" s="6"/>
      <c r="R20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BLK5INV15</v>
      </c>
      <c r="S200" s="53">
        <v>22.25</v>
      </c>
      <c r="T200" s="90">
        <f>IFERROR(_xlfn.XLOOKUP(PA[[#This Row],[Affected Equipment ]],'Basic Data '!A:A,'Basic Data '!C:C),"")</f>
        <v>4.0000000000000001E-3</v>
      </c>
      <c r="U200" s="59" t="s">
        <v>697</v>
      </c>
      <c r="V200" s="88"/>
      <c r="W200" s="114" t="s">
        <v>712</v>
      </c>
      <c r="X200" s="60">
        <v>0.21736111111111112</v>
      </c>
      <c r="Y200" s="60">
        <v>0.33333333333333331</v>
      </c>
      <c r="Z200" s="60">
        <v>0.50694444444444442</v>
      </c>
      <c r="AA200" s="60">
        <v>0.54236111111111118</v>
      </c>
      <c r="AB200" s="158">
        <f>IF(PA[[#This Row],[Acknowledgement Time ]]="NA","",(PA[[#This Row],[Acknowledgement Time ]]-PA[[#This Row],[Fault Time]])*24)</f>
        <v>2.7833333333333328</v>
      </c>
      <c r="AC200" s="158">
        <f>IF(PA[[#This Row],[Work Start time on Fault]]="NA","",(PA[[#This Row],[Work Start time on Fault]]-PA[[#This Row],[Fault Time]])*24)</f>
        <v>6.9499999999999993</v>
      </c>
      <c r="AD200" s="112">
        <f>IF(PA[[#This Row],[Status]]="Open","",(PA[[#This Row],[Work Completion time on fault]]-PA[[#This Row],[Fault Time]])*24)</f>
        <v>7.8000000000000016</v>
      </c>
      <c r="AE200" s="111">
        <f>IFERROR((PA[[#This Row],[Work Completion time on fault]]-PA[[#This Row],[Fault Time]])*24,"")</f>
        <v>7.8000000000000016</v>
      </c>
      <c r="AF200" s="228" t="s">
        <v>713</v>
      </c>
      <c r="AG200" s="6" t="s">
        <v>1275</v>
      </c>
      <c r="AH200" s="53">
        <f>IFERROR(PA[[#This Row],[Breakdown Time]]*PA[[#This Row],[Plant Equivalent Weightage]],"")</f>
        <v>3.1200000000000006E-2</v>
      </c>
      <c r="AI200" s="59">
        <v>0.53300000000000003</v>
      </c>
      <c r="AJ200" s="89">
        <f>IFERROR(IF(PA[[#This Row],[Lost PoA(kWh/m2)]]&gt;0,_xlfn.XLOOKUP(G200,'Modelling New'!$D:$D,'Modelling New'!$O:$O)*PA[[#This Row],[Lost PoA(kWh/m2)]]*S200,0),"")</f>
        <v>8.9788776748953563</v>
      </c>
    </row>
    <row r="201" spans="1:36" hidden="1" x14ac:dyDescent="0.25">
      <c r="A201" s="229">
        <v>1892</v>
      </c>
      <c r="B201" s="233">
        <v>45800</v>
      </c>
      <c r="C201" s="59"/>
      <c r="D201" s="6">
        <f>YEAR(PA[[#This Row],[Date]])</f>
        <v>2025</v>
      </c>
      <c r="E201" s="129" t="s">
        <v>73</v>
      </c>
      <c r="F201" s="130" t="s">
        <v>73</v>
      </c>
      <c r="G201" s="301">
        <v>45778</v>
      </c>
      <c r="H201" s="56">
        <f>DAY(EOMONTH(PA[[#This Row],[Date]], 0))</f>
        <v>31</v>
      </c>
      <c r="I201" s="60">
        <v>0.21736111111111112</v>
      </c>
      <c r="J201" s="60">
        <v>0.77013888888888893</v>
      </c>
      <c r="K201" s="53">
        <f>IFERROR((PA[[#This Row],[Sunset Time (POA&lt;20 W/m2)]]-PA[[#This Row],[Sunrise Time (POA&gt;20 W/m2)]])*24,"")</f>
        <v>13.266666666666667</v>
      </c>
      <c r="L201" s="59" t="s">
        <v>615</v>
      </c>
      <c r="M201" s="59"/>
      <c r="N201" s="59"/>
      <c r="O201" s="59" t="s">
        <v>578</v>
      </c>
      <c r="P201" s="56"/>
      <c r="Q201" s="6"/>
      <c r="R20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BLK6INV12</v>
      </c>
      <c r="S201" s="53">
        <v>22.25</v>
      </c>
      <c r="T201" s="90">
        <f>IFERROR(_xlfn.XLOOKUP(PA[[#This Row],[Affected Equipment ]],'Basic Data '!A:A,'Basic Data '!C:C),"")</f>
        <v>3.9550561797752808E-3</v>
      </c>
      <c r="U201" s="59" t="s">
        <v>697</v>
      </c>
      <c r="V201" s="88"/>
      <c r="W201" s="114" t="s">
        <v>717</v>
      </c>
      <c r="X201" s="60">
        <v>0.21736111111111112</v>
      </c>
      <c r="Y201" s="60">
        <v>0.33333333333333331</v>
      </c>
      <c r="Z201" s="60">
        <v>0.72222222222222221</v>
      </c>
      <c r="AA201" s="60">
        <v>0.73611111111111116</v>
      </c>
      <c r="AB201" s="158">
        <f>IF(PA[[#This Row],[Acknowledgement Time ]]="NA","",(PA[[#This Row],[Acknowledgement Time ]]-PA[[#This Row],[Fault Time]])*24)</f>
        <v>2.7833333333333328</v>
      </c>
      <c r="AC201" s="158">
        <f>IF(PA[[#This Row],[Work Start time on Fault]]="NA","",(PA[[#This Row],[Work Start time on Fault]]-PA[[#This Row],[Fault Time]])*24)</f>
        <v>12.116666666666667</v>
      </c>
      <c r="AD201" s="112">
        <f>IF(PA[[#This Row],[Status]]="Open","",(PA[[#This Row],[Work Completion time on fault]]-PA[[#This Row],[Fault Time]])*24)</f>
        <v>12.450000000000001</v>
      </c>
      <c r="AE201" s="111">
        <f>IFERROR((PA[[#This Row],[Work Completion time on fault]]-PA[[#This Row],[Fault Time]])*24,"")</f>
        <v>12.450000000000001</v>
      </c>
      <c r="AF201" s="114" t="s">
        <v>717</v>
      </c>
      <c r="AG201" s="6" t="s">
        <v>1275</v>
      </c>
      <c r="AH201" s="53">
        <f>IFERROR(PA[[#This Row],[Breakdown Time]]*PA[[#This Row],[Plant Equivalent Weightage]],"")</f>
        <v>4.9240449438202251E-2</v>
      </c>
      <c r="AI201" s="59">
        <v>0.629</v>
      </c>
      <c r="AJ201" s="89">
        <f>IFERROR(IF(PA[[#This Row],[Lost PoA(kWh/m2)]]&gt;0,_xlfn.XLOOKUP(G201,'Modelling New'!$D:$D,'Modelling New'!$O:$O)*PA[[#This Row],[Lost PoA(kWh/m2)]]*S201,0),"")</f>
        <v>10.596086411837106</v>
      </c>
    </row>
    <row r="202" spans="1:36" hidden="1" x14ac:dyDescent="0.25">
      <c r="A202" s="229">
        <v>1893</v>
      </c>
      <c r="B202" s="233">
        <v>45800</v>
      </c>
      <c r="C202" s="59"/>
      <c r="D202" s="6">
        <f>YEAR(PA[[#This Row],[Date]])</f>
        <v>2025</v>
      </c>
      <c r="E202" s="129" t="s">
        <v>73</v>
      </c>
      <c r="F202" s="130" t="s">
        <v>73</v>
      </c>
      <c r="G202" s="301">
        <v>45778</v>
      </c>
      <c r="H202" s="56">
        <f>DAY(EOMONTH(PA[[#This Row],[Date]], 0))</f>
        <v>31</v>
      </c>
      <c r="I202" s="60">
        <v>0.21736111111111112</v>
      </c>
      <c r="J202" s="60">
        <v>0.77013888888888893</v>
      </c>
      <c r="K202" s="53">
        <f>IFERROR((PA[[#This Row],[Sunset Time (POA&lt;20 W/m2)]]-PA[[#This Row],[Sunrise Time (POA&gt;20 W/m2)]])*24,"")</f>
        <v>13.266666666666667</v>
      </c>
      <c r="L202" s="59" t="s">
        <v>615</v>
      </c>
      <c r="M202" s="59"/>
      <c r="N202" s="59"/>
      <c r="O202" s="59" t="s">
        <v>617</v>
      </c>
      <c r="P202" s="56"/>
      <c r="Q202" s="6"/>
      <c r="R20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BLK6INV8</v>
      </c>
      <c r="S202" s="53">
        <v>22.25</v>
      </c>
      <c r="T202" s="90">
        <f>IFERROR(_xlfn.XLOOKUP(PA[[#This Row],[Affected Equipment ]],'Basic Data '!A:A,'Basic Data '!C:C),"")</f>
        <v>4.4494382022471912E-3</v>
      </c>
      <c r="U202" s="59" t="s">
        <v>697</v>
      </c>
      <c r="V202" s="88"/>
      <c r="W202" s="114" t="s">
        <v>688</v>
      </c>
      <c r="X202" s="60">
        <v>0.21736111111111112</v>
      </c>
      <c r="Y202" s="60">
        <v>0.33333333333333331</v>
      </c>
      <c r="Z202" s="60">
        <v>0.71180555555555547</v>
      </c>
      <c r="AA202" s="60">
        <v>0.72569444444444453</v>
      </c>
      <c r="AB202" s="158">
        <f>IF(PA[[#This Row],[Acknowledgement Time ]]="NA","",(PA[[#This Row],[Acknowledgement Time ]]-PA[[#This Row],[Fault Time]])*24)</f>
        <v>2.7833333333333328</v>
      </c>
      <c r="AC202" s="158">
        <f>IF(PA[[#This Row],[Work Start time on Fault]]="NA","",(PA[[#This Row],[Work Start time on Fault]]-PA[[#This Row],[Fault Time]])*24)</f>
        <v>11.866666666666664</v>
      </c>
      <c r="AD202" s="112">
        <f>IF(PA[[#This Row],[Status]]="Open","",(PA[[#This Row],[Work Completion time on fault]]-PA[[#This Row],[Fault Time]])*24)</f>
        <v>12.200000000000003</v>
      </c>
      <c r="AE202" s="111">
        <f>IFERROR((PA[[#This Row],[Work Completion time on fault]]-PA[[#This Row],[Fault Time]])*24,"")</f>
        <v>12.200000000000003</v>
      </c>
      <c r="AF202" s="114" t="s">
        <v>688</v>
      </c>
      <c r="AG202" s="6" t="s">
        <v>1275</v>
      </c>
      <c r="AH202" s="53">
        <f>IFERROR(PA[[#This Row],[Breakdown Time]]*PA[[#This Row],[Plant Equivalent Weightage]],"")</f>
        <v>5.4283146067415744E-2</v>
      </c>
      <c r="AI202" s="59">
        <v>0.63100000000000001</v>
      </c>
      <c r="AJ202" s="89">
        <f>IFERROR(IF(PA[[#This Row],[Lost PoA(kWh/m2)]]&gt;0,_xlfn.XLOOKUP(G202,'Modelling New'!$D:$D,'Modelling New'!$O:$O)*PA[[#This Row],[Lost PoA(kWh/m2)]]*S202,0),"")</f>
        <v>10.629778260523395</v>
      </c>
    </row>
    <row r="203" spans="1:36" hidden="1" x14ac:dyDescent="0.25">
      <c r="A203" s="229">
        <v>1894</v>
      </c>
      <c r="B203" s="233">
        <v>45800</v>
      </c>
      <c r="C203" s="59"/>
      <c r="D203" s="6">
        <f>YEAR(PA[[#This Row],[Date]])</f>
        <v>2025</v>
      </c>
      <c r="E203" s="129" t="s">
        <v>73</v>
      </c>
      <c r="F203" s="130" t="s">
        <v>73</v>
      </c>
      <c r="G203" s="301">
        <v>45778</v>
      </c>
      <c r="H203" s="56">
        <f>DAY(EOMONTH(PA[[#This Row],[Date]], 0))</f>
        <v>31</v>
      </c>
      <c r="I203" s="60">
        <v>0.21736111111111112</v>
      </c>
      <c r="J203" s="60">
        <v>0.77013888888888893</v>
      </c>
      <c r="K203" s="53">
        <f>IFERROR((PA[[#This Row],[Sunset Time (POA&lt;20 W/m2)]]-PA[[#This Row],[Sunrise Time (POA&gt;20 W/m2)]])*24,"")</f>
        <v>13.266666666666667</v>
      </c>
      <c r="L203" s="59" t="s">
        <v>615</v>
      </c>
      <c r="M203" s="59"/>
      <c r="N203" s="59"/>
      <c r="O203" s="59" t="s">
        <v>648</v>
      </c>
      <c r="P203" s="56"/>
      <c r="Q203" s="6"/>
      <c r="R20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BLK6INV14</v>
      </c>
      <c r="S203" s="53">
        <v>22.25</v>
      </c>
      <c r="T203" s="90">
        <f>IFERROR(_xlfn.XLOOKUP(PA[[#This Row],[Affected Equipment ]],'Basic Data '!A:A,'Basic Data '!C:C),"")</f>
        <v>4.1198501872659176E-3</v>
      </c>
      <c r="U203" s="59" t="s">
        <v>697</v>
      </c>
      <c r="V203" s="88"/>
      <c r="W203" s="114" t="s">
        <v>717</v>
      </c>
      <c r="X203" s="60">
        <v>0.21736111111111112</v>
      </c>
      <c r="Y203" s="60">
        <v>0.33333333333333331</v>
      </c>
      <c r="Z203" s="60">
        <v>0.72916666666666663</v>
      </c>
      <c r="AA203" s="60">
        <v>0.73958333333333337</v>
      </c>
      <c r="AB203" s="158">
        <f>IF(PA[[#This Row],[Acknowledgement Time ]]="NA","",(PA[[#This Row],[Acknowledgement Time ]]-PA[[#This Row],[Fault Time]])*24)</f>
        <v>2.7833333333333328</v>
      </c>
      <c r="AC203" s="158">
        <f>IF(PA[[#This Row],[Work Start time on Fault]]="NA","",(PA[[#This Row],[Work Start time on Fault]]-PA[[#This Row],[Fault Time]])*24)</f>
        <v>12.283333333333331</v>
      </c>
      <c r="AD203" s="112">
        <f>IF(PA[[#This Row],[Status]]="Open","",(PA[[#This Row],[Work Completion time on fault]]-PA[[#This Row],[Fault Time]])*24)</f>
        <v>12.533333333333335</v>
      </c>
      <c r="AE203" s="111">
        <f>IFERROR((PA[[#This Row],[Work Completion time on fault]]-PA[[#This Row],[Fault Time]])*24,"")</f>
        <v>12.533333333333335</v>
      </c>
      <c r="AF203" s="114" t="s">
        <v>717</v>
      </c>
      <c r="AG203" s="6" t="s">
        <v>1275</v>
      </c>
      <c r="AH203" s="53">
        <f>IFERROR(PA[[#This Row],[Breakdown Time]]*PA[[#This Row],[Plant Equivalent Weightage]],"")</f>
        <v>5.1635455680399504E-2</v>
      </c>
      <c r="AI203" s="59">
        <v>0.63300000000000001</v>
      </c>
      <c r="AJ203" s="89">
        <f>IFERROR(IF(PA[[#This Row],[Lost PoA(kWh/m2)]]&gt;0,_xlfn.XLOOKUP(G203,'Modelling New'!$D:$D,'Modelling New'!$O:$O)*PA[[#This Row],[Lost PoA(kWh/m2)]]*S203,0),"")</f>
        <v>10.66347010920968</v>
      </c>
    </row>
    <row r="204" spans="1:36" hidden="1" x14ac:dyDescent="0.25">
      <c r="A204" s="331">
        <v>1895</v>
      </c>
      <c r="B204" s="332">
        <v>45801</v>
      </c>
      <c r="C204" s="333">
        <v>2025</v>
      </c>
      <c r="D204" s="313">
        <f>YEAR(PA!$B204)</f>
        <v>2025</v>
      </c>
      <c r="E204" s="334" t="s">
        <v>73</v>
      </c>
      <c r="F204" s="335" t="s">
        <v>73</v>
      </c>
      <c r="G204" s="336">
        <v>45778</v>
      </c>
      <c r="H204" s="337">
        <f>DAY(EOMONTH(PA!$B204, 0))</f>
        <v>31</v>
      </c>
      <c r="I204" s="338">
        <v>0.21875</v>
      </c>
      <c r="J204" s="338">
        <v>0.77013888888888893</v>
      </c>
      <c r="K204" s="304">
        <f>IFERROR((PA!$J204-PA!$I204)*24,"")</f>
        <v>13.233333333333334</v>
      </c>
      <c r="L204" s="339" t="s">
        <v>615</v>
      </c>
      <c r="M204" s="339"/>
      <c r="N204" s="339"/>
      <c r="O204" s="339" t="s">
        <v>654</v>
      </c>
      <c r="P204" s="337"/>
      <c r="Q204" s="313"/>
      <c r="R20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BLK6INV26</v>
      </c>
      <c r="S204" s="53">
        <v>22.25</v>
      </c>
      <c r="T204" s="90">
        <f>IFERROR(_xlfn.XLOOKUP(PA[[#This Row],[Affected Equipment ]],'Basic Data '!A:A,'Basic Data '!C:C),"")</f>
        <v>4.4494382022471912E-3</v>
      </c>
      <c r="U204" s="339" t="s">
        <v>718</v>
      </c>
      <c r="V204" s="340"/>
      <c r="W204" s="341" t="s">
        <v>719</v>
      </c>
      <c r="X204" s="338">
        <v>0.21875</v>
      </c>
      <c r="Y204" s="338">
        <v>0.21875</v>
      </c>
      <c r="Z204" s="338">
        <v>0.44444444444444442</v>
      </c>
      <c r="AA204" s="342">
        <v>0.49027777777777776</v>
      </c>
      <c r="AB204" s="309">
        <f>IF(PA!$Y204="NA","",(PA!$Y204-PA!$X204)*24)</f>
        <v>0</v>
      </c>
      <c r="AC204" s="309">
        <f>IF(PA!$Z204="NA","",(PA!$Z204-PA!$X204)*24)</f>
        <v>5.4166666666666661</v>
      </c>
      <c r="AD204" s="310">
        <f>IF(PA!$AG204="Open","",(PA!$AA204-PA!$X204)*24)</f>
        <v>6.5166666666666657</v>
      </c>
      <c r="AE204" s="311">
        <f>IFERROR((PA!$AA204-PA!$X204)*24,"")</f>
        <v>6.5166666666666657</v>
      </c>
      <c r="AF204" s="341" t="s">
        <v>719</v>
      </c>
      <c r="AG204" s="6" t="s">
        <v>1275</v>
      </c>
      <c r="AH204" s="304">
        <f>IFERROR(PA!$AE204*PA!$T204,"")</f>
        <v>2.8995505617977525E-2</v>
      </c>
      <c r="AI204" s="343">
        <v>2.16</v>
      </c>
      <c r="AJ204" s="89">
        <f>IFERROR(IF(PA[[#This Row],[Lost PoA(kWh/m2)]]&gt;0,_xlfn.XLOOKUP(G204,'Modelling New'!$D:$D,'Modelling New'!$O:$O)*PA[[#This Row],[Lost PoA(kWh/m2)]]*S204,0),"")</f>
        <v>36.387196581189428</v>
      </c>
    </row>
    <row r="205" spans="1:36" hidden="1" x14ac:dyDescent="0.25">
      <c r="A205" s="331">
        <v>1896</v>
      </c>
      <c r="B205" s="332">
        <v>45801</v>
      </c>
      <c r="C205" s="333">
        <v>2025</v>
      </c>
      <c r="D205" s="313">
        <f>YEAR(PA!$B205)</f>
        <v>2025</v>
      </c>
      <c r="E205" s="334" t="s">
        <v>73</v>
      </c>
      <c r="F205" s="335" t="s">
        <v>73</v>
      </c>
      <c r="G205" s="336">
        <v>45778</v>
      </c>
      <c r="H205" s="337">
        <f>DAY(EOMONTH(PA!$B205, 0))</f>
        <v>31</v>
      </c>
      <c r="I205" s="338">
        <v>0.21875</v>
      </c>
      <c r="J205" s="338">
        <v>0.77013888888888893</v>
      </c>
      <c r="K205" s="304">
        <f>IFERROR((PA!$J205-PA!$I205)*24,"")</f>
        <v>13.233333333333334</v>
      </c>
      <c r="L205" s="339" t="s">
        <v>615</v>
      </c>
      <c r="M205" s="339"/>
      <c r="N205" s="339"/>
      <c r="O205" s="339" t="s">
        <v>661</v>
      </c>
      <c r="P205" s="337"/>
      <c r="Q205" s="313"/>
      <c r="R20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BLK6INV25</v>
      </c>
      <c r="S205" s="53">
        <v>22.25</v>
      </c>
      <c r="T205" s="90">
        <f>IFERROR(_xlfn.XLOOKUP(PA[[#This Row],[Affected Equipment ]],'Basic Data '!A:A,'Basic Data '!C:C),"")</f>
        <v>4.4494382022471912E-3</v>
      </c>
      <c r="U205" s="339" t="s">
        <v>718</v>
      </c>
      <c r="V205" s="340"/>
      <c r="W205" s="344" t="s">
        <v>720</v>
      </c>
      <c r="X205" s="338">
        <v>0.21875</v>
      </c>
      <c r="Y205" s="338">
        <v>0.44305555555555554</v>
      </c>
      <c r="Z205" s="338">
        <v>0.44305555555555554</v>
      </c>
      <c r="AA205" s="345">
        <v>0.4861111111111111</v>
      </c>
      <c r="AB205" s="309">
        <f>IF(PA!$Y205="NA","",(PA!$Y205-PA!$X205)*24)</f>
        <v>5.3833333333333329</v>
      </c>
      <c r="AC205" s="309">
        <f>IF(PA!$Z205="NA","",(PA!$Z205-PA!$X205)*24)</f>
        <v>5.3833333333333329</v>
      </c>
      <c r="AD205" s="310">
        <f>IF(PA!$AG205="Open","",(PA!$AA205-PA!$X205)*24)</f>
        <v>6.4166666666666661</v>
      </c>
      <c r="AE205" s="311">
        <f>IFERROR((PA!$AA205-PA!$X205)*24,"")</f>
        <v>6.4166666666666661</v>
      </c>
      <c r="AF205" s="344" t="s">
        <v>720</v>
      </c>
      <c r="AG205" s="6" t="s">
        <v>1275</v>
      </c>
      <c r="AH205" s="304">
        <f>IFERROR(PA!$AE205*PA!$T205,"")</f>
        <v>2.8550561797752807E-2</v>
      </c>
      <c r="AI205" s="346">
        <v>0.60799999999999998</v>
      </c>
      <c r="AJ205" s="89">
        <f>IFERROR(IF(PA[[#This Row],[Lost PoA(kWh/m2)]]&gt;0,_xlfn.XLOOKUP(G205,'Modelling New'!$D:$D,'Modelling New'!$O:$O)*PA[[#This Row],[Lost PoA(kWh/m2)]]*S205,0),"")</f>
        <v>10.2423220006311</v>
      </c>
    </row>
    <row r="206" spans="1:36" hidden="1" x14ac:dyDescent="0.25">
      <c r="A206" s="331">
        <v>1897</v>
      </c>
      <c r="B206" s="332">
        <v>45801</v>
      </c>
      <c r="C206" s="333">
        <v>2025</v>
      </c>
      <c r="D206" s="313">
        <f>YEAR(PA!$B206)</f>
        <v>2025</v>
      </c>
      <c r="E206" s="334" t="s">
        <v>73</v>
      </c>
      <c r="F206" s="335" t="s">
        <v>73</v>
      </c>
      <c r="G206" s="336">
        <v>45778</v>
      </c>
      <c r="H206" s="337">
        <f>DAY(EOMONTH(PA!$B206, 0))</f>
        <v>31</v>
      </c>
      <c r="I206" s="338">
        <v>0.21875</v>
      </c>
      <c r="J206" s="338">
        <v>0.77013888888888893</v>
      </c>
      <c r="K206" s="304">
        <f>IFERROR((PA!$J206-PA!$I206)*24,"")</f>
        <v>13.233333333333334</v>
      </c>
      <c r="L206" s="339" t="s">
        <v>597</v>
      </c>
      <c r="M206" s="339"/>
      <c r="N206" s="339"/>
      <c r="O206" s="339" t="s">
        <v>721</v>
      </c>
      <c r="P206" s="337"/>
      <c r="Q206" s="313"/>
      <c r="R20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BLK3INV29</v>
      </c>
      <c r="S206" s="304">
        <v>22.25</v>
      </c>
      <c r="T206" s="90">
        <f>IFERROR(_xlfn.XLOOKUP(PA[[#This Row],[Affected Equipment ]],'Basic Data '!A:A,'Basic Data '!C:C),"")</f>
        <v>4.3333333333333331E-3</v>
      </c>
      <c r="U206" s="339" t="s">
        <v>697</v>
      </c>
      <c r="V206" s="340"/>
      <c r="W206" s="266" t="s">
        <v>722</v>
      </c>
      <c r="X206" s="338">
        <v>0.21875</v>
      </c>
      <c r="Y206" s="338">
        <v>0.375</v>
      </c>
      <c r="Z206" s="338">
        <v>0.63541666666666663</v>
      </c>
      <c r="AA206" s="345">
        <v>0.64444444444444449</v>
      </c>
      <c r="AB206" s="309">
        <f>IF(PA!$Y206="NA","",(PA!$Y206-PA!$X206)*24)</f>
        <v>3.75</v>
      </c>
      <c r="AC206" s="309">
        <f>IF(PA!$Z206="NA","",(PA!$Z206-PA!$X206)*24)</f>
        <v>10</v>
      </c>
      <c r="AD206" s="310">
        <f>IF(PA!$AG206="Open","",(PA!$AA206-PA!$X206)*24)</f>
        <v>10.216666666666669</v>
      </c>
      <c r="AE206" s="311">
        <f>IFERROR((PA!$AA206-PA!$X206)*24,"")</f>
        <v>10.216666666666669</v>
      </c>
      <c r="AF206" s="266" t="s">
        <v>722</v>
      </c>
      <c r="AG206" s="6" t="s">
        <v>1275</v>
      </c>
      <c r="AH206" s="304">
        <f>IFERROR(PA!$AE206*PA!$T206,"")</f>
        <v>4.4272222222222227E-2</v>
      </c>
      <c r="AI206" s="346">
        <v>4.9870000000000001</v>
      </c>
      <c r="AJ206" s="89">
        <f>IFERROR(IF(PA[[#This Row],[Lost PoA(kWh/m2)]]&gt;0,_xlfn.XLOOKUP(G206,'Modelling New'!$D:$D,'Modelling New'!$O:$O)*PA[[#This Row],[Lost PoA(kWh/m2)]]*S206,0),"")</f>
        <v>84.010624699255416</v>
      </c>
    </row>
    <row r="207" spans="1:36" hidden="1" x14ac:dyDescent="0.25">
      <c r="A207" s="331">
        <v>1898</v>
      </c>
      <c r="B207" s="332">
        <v>45801</v>
      </c>
      <c r="C207" s="333">
        <v>2025</v>
      </c>
      <c r="D207" s="313">
        <f>YEAR(PA!$B207)</f>
        <v>2025</v>
      </c>
      <c r="E207" s="334" t="s">
        <v>73</v>
      </c>
      <c r="F207" s="335" t="s">
        <v>73</v>
      </c>
      <c r="G207" s="336">
        <v>45778</v>
      </c>
      <c r="H207" s="337">
        <f>DAY(EOMONTH(PA!$B207, 0))</f>
        <v>31</v>
      </c>
      <c r="I207" s="338">
        <v>0.21875</v>
      </c>
      <c r="J207" s="338">
        <v>0.77013888888888893</v>
      </c>
      <c r="K207" s="304">
        <f>IFERROR((PA!$J207-PA!$I207)*24,"")</f>
        <v>13.233333333333334</v>
      </c>
      <c r="L207" s="339" t="s">
        <v>597</v>
      </c>
      <c r="M207" s="339"/>
      <c r="N207" s="339"/>
      <c r="O207" s="339" t="s">
        <v>610</v>
      </c>
      <c r="P207" s="337"/>
      <c r="Q207" s="313"/>
      <c r="R20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BLK3INV24</v>
      </c>
      <c r="S207" s="304">
        <v>22.25</v>
      </c>
      <c r="T207" s="90">
        <f>IFERROR(_xlfn.XLOOKUP(PA[[#This Row],[Affected Equipment ]],'Basic Data '!A:A,'Basic Data '!C:C),"")</f>
        <v>4.0000000000000001E-3</v>
      </c>
      <c r="U207" s="339" t="s">
        <v>697</v>
      </c>
      <c r="V207" s="340"/>
      <c r="W207" s="266" t="s">
        <v>722</v>
      </c>
      <c r="X207" s="338">
        <v>0.21875</v>
      </c>
      <c r="Y207" s="338">
        <v>0.375</v>
      </c>
      <c r="Z207" s="338">
        <v>0.63541666666666663</v>
      </c>
      <c r="AA207" s="345">
        <v>0.64722222222222225</v>
      </c>
      <c r="AB207" s="309">
        <f>IF(PA!$Y207="NA","",(PA!$Y207-PA!$X207)*24)</f>
        <v>3.75</v>
      </c>
      <c r="AC207" s="309">
        <f>IF(PA!$Z207="NA","",(PA!$Z207-PA!$X207)*24)</f>
        <v>10</v>
      </c>
      <c r="AD207" s="310">
        <f>IF(PA!$AG207="Open","",(PA!$AA207-PA!$X207)*24)</f>
        <v>10.283333333333335</v>
      </c>
      <c r="AE207" s="311">
        <f>IFERROR((PA!$AA207-PA!$X207)*24,"")</f>
        <v>10.283333333333335</v>
      </c>
      <c r="AF207" s="266" t="s">
        <v>722</v>
      </c>
      <c r="AG207" s="6" t="s">
        <v>1275</v>
      </c>
      <c r="AH207" s="304">
        <f>IFERROR(PA!$AE207*PA!$T207,"")</f>
        <v>4.1133333333333341E-2</v>
      </c>
      <c r="AI207" s="346">
        <v>5.0810000000000004</v>
      </c>
      <c r="AJ207" s="89">
        <f>IFERROR(IF(PA[[#This Row],[Lost PoA(kWh/m2)]]&gt;0,_xlfn.XLOOKUP(G207,'Modelling New'!$D:$D,'Modelling New'!$O:$O)*PA[[#This Row],[Lost PoA(kWh/m2)]]*S207,0),"")</f>
        <v>85.59414158751089</v>
      </c>
    </row>
    <row r="208" spans="1:36" hidden="1" x14ac:dyDescent="0.25">
      <c r="A208" s="331">
        <v>1899</v>
      </c>
      <c r="B208" s="332">
        <v>45801</v>
      </c>
      <c r="C208" s="333">
        <v>2025</v>
      </c>
      <c r="D208" s="313">
        <f>YEAR(PA!$B208)</f>
        <v>2025</v>
      </c>
      <c r="E208" s="334" t="s">
        <v>73</v>
      </c>
      <c r="F208" s="335" t="s">
        <v>73</v>
      </c>
      <c r="G208" s="336">
        <v>45778</v>
      </c>
      <c r="H208" s="337">
        <f>DAY(EOMONTH(PA!$B208, 0))</f>
        <v>31</v>
      </c>
      <c r="I208" s="338">
        <v>0.21875</v>
      </c>
      <c r="J208" s="338">
        <v>0.77013888888888893</v>
      </c>
      <c r="K208" s="304">
        <f>IFERROR((PA!$J208-PA!$I208)*24,"")</f>
        <v>13.233333333333334</v>
      </c>
      <c r="L208" s="339" t="s">
        <v>559</v>
      </c>
      <c r="M208" s="339"/>
      <c r="N208" s="339"/>
      <c r="O208" s="339" t="s">
        <v>610</v>
      </c>
      <c r="P208" s="337"/>
      <c r="Q208" s="313"/>
      <c r="R20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BLK2INV24</v>
      </c>
      <c r="S208" s="304">
        <v>22.25</v>
      </c>
      <c r="T208" s="90">
        <f>IFERROR(_xlfn.XLOOKUP(PA[[#This Row],[Affected Equipment ]],'Basic Data '!A:A,'Basic Data '!C:C),"")</f>
        <v>4.3333333333333331E-3</v>
      </c>
      <c r="U208" s="339" t="s">
        <v>697</v>
      </c>
      <c r="V208" s="340"/>
      <c r="W208" s="266" t="s">
        <v>723</v>
      </c>
      <c r="X208" s="338">
        <v>0.21875</v>
      </c>
      <c r="Y208" s="338">
        <v>0.375</v>
      </c>
      <c r="Z208" s="338">
        <v>0.64583333333333337</v>
      </c>
      <c r="AA208" s="345">
        <v>0.66180555555555554</v>
      </c>
      <c r="AB208" s="309">
        <f>IF(PA!$Y208="NA","",(PA!$Y208-PA!$X208)*24)</f>
        <v>3.75</v>
      </c>
      <c r="AC208" s="309">
        <f>IF(PA!$Z208="NA","",(PA!$Z208-PA!$X208)*24)</f>
        <v>10.25</v>
      </c>
      <c r="AD208" s="310">
        <f>IF(PA!$AG208="Open","",(PA!$AA208-PA!$X208)*24)</f>
        <v>10.633333333333333</v>
      </c>
      <c r="AE208" s="311">
        <f>IFERROR((PA!$AA208-PA!$X208)*24,"")</f>
        <v>10.633333333333333</v>
      </c>
      <c r="AF208" s="266" t="s">
        <v>723</v>
      </c>
      <c r="AG208" s="6" t="s">
        <v>1275</v>
      </c>
      <c r="AH208" s="304">
        <f>IFERROR(PA!$AE208*PA!$T208,"")</f>
        <v>4.6077777777777773E-2</v>
      </c>
      <c r="AI208" s="346">
        <v>5.1230000000000002</v>
      </c>
      <c r="AJ208" s="89">
        <f>IFERROR(IF(PA[[#This Row],[Lost PoA(kWh/m2)]]&gt;0,_xlfn.XLOOKUP(G208,'Modelling New'!$D:$D,'Modelling New'!$O:$O)*PA[[#This Row],[Lost PoA(kWh/m2)]]*S208,0),"")</f>
        <v>86.301670409922906</v>
      </c>
    </row>
    <row r="209" spans="1:36" hidden="1" x14ac:dyDescent="0.25">
      <c r="A209" s="331">
        <v>1900</v>
      </c>
      <c r="B209" s="332">
        <v>45801</v>
      </c>
      <c r="C209" s="333">
        <v>2025</v>
      </c>
      <c r="D209" s="313">
        <f>YEAR(PA!$B209)</f>
        <v>2025</v>
      </c>
      <c r="E209" s="334" t="s">
        <v>73</v>
      </c>
      <c r="F209" s="335" t="s">
        <v>73</v>
      </c>
      <c r="G209" s="336">
        <v>45778</v>
      </c>
      <c r="H209" s="337">
        <f>DAY(EOMONTH(PA!$B209, 0))</f>
        <v>31</v>
      </c>
      <c r="I209" s="338">
        <v>0.21875</v>
      </c>
      <c r="J209" s="338">
        <v>0.77013888888888893</v>
      </c>
      <c r="K209" s="304">
        <f>IFERROR((PA!$J209-PA!$I209)*24,"")</f>
        <v>13.233333333333334</v>
      </c>
      <c r="L209" s="339" t="s">
        <v>606</v>
      </c>
      <c r="M209" s="339"/>
      <c r="N209" s="339"/>
      <c r="O209" s="339" t="s">
        <v>591</v>
      </c>
      <c r="P209" s="337"/>
      <c r="Q209" s="313"/>
      <c r="R20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BLK7INV5</v>
      </c>
      <c r="S209" s="304">
        <v>22.25</v>
      </c>
      <c r="T209" s="90">
        <f>IFERROR(_xlfn.XLOOKUP(PA[[#This Row],[Affected Equipment ]],'Basic Data '!A:A,'Basic Data '!C:C),"")</f>
        <v>3.9550561797752808E-3</v>
      </c>
      <c r="U209" s="339" t="s">
        <v>697</v>
      </c>
      <c r="V209" s="340"/>
      <c r="W209" s="266" t="s">
        <v>722</v>
      </c>
      <c r="X209" s="338">
        <v>0.21875</v>
      </c>
      <c r="Y209" s="338">
        <v>0.375</v>
      </c>
      <c r="Z209" s="338">
        <v>0.68402777777777779</v>
      </c>
      <c r="AA209" s="345">
        <v>0.69444444444444442</v>
      </c>
      <c r="AB209" s="309">
        <f>IF(PA!$Y209="NA","",(PA!$Y209-PA!$X209)*24)</f>
        <v>3.75</v>
      </c>
      <c r="AC209" s="309">
        <f>IF(PA!$Z209="NA","",(PA!$Z209-PA!$X209)*24)</f>
        <v>11.166666666666668</v>
      </c>
      <c r="AD209" s="310">
        <f>IF(PA!$AG209="Open","",(PA!$AA209-PA!$X209)*24)</f>
        <v>11.416666666666666</v>
      </c>
      <c r="AE209" s="311">
        <f>IFERROR((PA!$AA209-PA!$X209)*24,"")</f>
        <v>11.416666666666666</v>
      </c>
      <c r="AF209" s="266" t="s">
        <v>722</v>
      </c>
      <c r="AG209" s="6" t="s">
        <v>1275</v>
      </c>
      <c r="AH209" s="304">
        <f>IFERROR(PA!$AE209*PA!$T209,"")</f>
        <v>4.5153558052434456E-2</v>
      </c>
      <c r="AI209" s="347">
        <v>5.3250000000000002</v>
      </c>
      <c r="AJ209" s="89">
        <f>IFERROR(IF(PA[[#This Row],[Lost PoA(kWh/m2)]]&gt;0,_xlfn.XLOOKUP(G209,'Modelling New'!$D:$D,'Modelling New'!$O:$O)*PA[[#This Row],[Lost PoA(kWh/m2)]]*S209,0),"")</f>
        <v>89.704547127237845</v>
      </c>
    </row>
    <row r="210" spans="1:36" hidden="1" x14ac:dyDescent="0.25">
      <c r="A210" s="331">
        <v>1901</v>
      </c>
      <c r="B210" s="332">
        <v>45801</v>
      </c>
      <c r="C210" s="333">
        <v>2025</v>
      </c>
      <c r="D210" s="313">
        <f>YEAR(PA!$B210)</f>
        <v>2025</v>
      </c>
      <c r="E210" s="334" t="s">
        <v>73</v>
      </c>
      <c r="F210" s="335" t="s">
        <v>73</v>
      </c>
      <c r="G210" s="336">
        <v>45778</v>
      </c>
      <c r="H210" s="337">
        <f>DAY(EOMONTH(PA!$B210, 0))</f>
        <v>31</v>
      </c>
      <c r="I210" s="338">
        <v>0.21875</v>
      </c>
      <c r="J210" s="338">
        <v>0.77013888888888893</v>
      </c>
      <c r="K210" s="304">
        <f>IFERROR((PA!$J210-PA!$I210)*24,"")</f>
        <v>13.233333333333334</v>
      </c>
      <c r="L210" s="339" t="s">
        <v>606</v>
      </c>
      <c r="M210" s="339"/>
      <c r="N210" s="339"/>
      <c r="O210" s="339" t="s">
        <v>571</v>
      </c>
      <c r="P210" s="337"/>
      <c r="Q210" s="313"/>
      <c r="R21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BLK7INV2</v>
      </c>
      <c r="S210" s="304">
        <v>22.25</v>
      </c>
      <c r="T210" s="90">
        <f>IFERROR(_xlfn.XLOOKUP(PA[[#This Row],[Affected Equipment ]],'Basic Data '!A:A,'Basic Data '!C:C),"")</f>
        <v>3.9550561797752808E-3</v>
      </c>
      <c r="U210" s="339" t="s">
        <v>697</v>
      </c>
      <c r="V210" s="340"/>
      <c r="W210" s="266" t="s">
        <v>722</v>
      </c>
      <c r="X210" s="338">
        <v>0.21875</v>
      </c>
      <c r="Y210" s="338">
        <v>0.375</v>
      </c>
      <c r="Z210" s="338">
        <v>0.68055555555555558</v>
      </c>
      <c r="AA210" s="345">
        <v>0.69930555555555551</v>
      </c>
      <c r="AB210" s="309">
        <f>IF(PA!$Y210="NA","",(PA!$Y210-PA!$X210)*24)</f>
        <v>3.75</v>
      </c>
      <c r="AC210" s="309">
        <f>IF(PA!$Z210="NA","",(PA!$Z210-PA!$X210)*24)</f>
        <v>11.083333333333334</v>
      </c>
      <c r="AD210" s="310">
        <f>IF(PA!$AG210="Open","",(PA!$AA210-PA!$X210)*24)</f>
        <v>11.533333333333331</v>
      </c>
      <c r="AE210" s="311">
        <f>IFERROR((PA!$AA210-PA!$X210)*24,"")</f>
        <v>11.533333333333331</v>
      </c>
      <c r="AF210" s="266" t="s">
        <v>722</v>
      </c>
      <c r="AG210" s="6" t="s">
        <v>1275</v>
      </c>
      <c r="AH210" s="304">
        <f>IFERROR(PA!$AE210*PA!$T210,"")</f>
        <v>4.5614981273408232E-2</v>
      </c>
      <c r="AI210" s="347">
        <v>5.4160000000000004</v>
      </c>
      <c r="AJ210" s="89">
        <f>IFERROR(IF(PA[[#This Row],[Lost PoA(kWh/m2)]]&gt;0,_xlfn.XLOOKUP(G210,'Modelling New'!$D:$D,'Modelling New'!$O:$O)*PA[[#This Row],[Lost PoA(kWh/m2)]]*S210,0),"")</f>
        <v>91.237526242463872</v>
      </c>
    </row>
    <row r="211" spans="1:36" hidden="1" x14ac:dyDescent="0.25">
      <c r="A211" s="331">
        <v>1902</v>
      </c>
      <c r="B211" s="332">
        <v>45801</v>
      </c>
      <c r="C211" s="333">
        <v>2025</v>
      </c>
      <c r="D211" s="313">
        <f>YEAR(PA!$B211)</f>
        <v>2025</v>
      </c>
      <c r="E211" s="334" t="s">
        <v>73</v>
      </c>
      <c r="F211" s="335" t="s">
        <v>73</v>
      </c>
      <c r="G211" s="336">
        <v>45778</v>
      </c>
      <c r="H211" s="337">
        <f>DAY(EOMONTH(PA!$B211, 0))</f>
        <v>31</v>
      </c>
      <c r="I211" s="338">
        <v>0.21875</v>
      </c>
      <c r="J211" s="338">
        <v>0.77013888888888893</v>
      </c>
      <c r="K211" s="304">
        <f>IFERROR((PA!$J211-PA!$I211)*24,"")</f>
        <v>13.233333333333334</v>
      </c>
      <c r="L211" s="339" t="s">
        <v>621</v>
      </c>
      <c r="M211" s="339"/>
      <c r="N211" s="339"/>
      <c r="O211" s="339" t="s">
        <v>612</v>
      </c>
      <c r="P211" s="337"/>
      <c r="Q211" s="313"/>
      <c r="R21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211" s="304">
        <v>22.25</v>
      </c>
      <c r="T211" s="90">
        <f>IFERROR(_xlfn.XLOOKUP(PA[[#This Row],[Affected Equipment ]],'Basic Data '!A:A,'Basic Data '!C:C),"")</f>
        <v>4.4999999999999997E-3</v>
      </c>
      <c r="U211" s="339" t="s">
        <v>697</v>
      </c>
      <c r="V211" s="340"/>
      <c r="W211" s="266" t="s">
        <v>723</v>
      </c>
      <c r="X211" s="338">
        <v>0.21875</v>
      </c>
      <c r="Y211" s="338">
        <v>0.375</v>
      </c>
      <c r="Z211" s="338">
        <v>0.70138888888888884</v>
      </c>
      <c r="AA211" s="345">
        <v>0.71666666666666667</v>
      </c>
      <c r="AB211" s="309">
        <f>IF(PA!$Y211="NA","",(PA!$Y211-PA!$X211)*24)</f>
        <v>3.75</v>
      </c>
      <c r="AC211" s="309">
        <f>IF(PA!$Z211="NA","",(PA!$Z211-PA!$X211)*24)</f>
        <v>11.583333333333332</v>
      </c>
      <c r="AD211" s="310">
        <f>IF(PA!$AG211="Open","",(PA!$AA211-PA!$X211)*24)</f>
        <v>11.95</v>
      </c>
      <c r="AE211" s="311">
        <f>IFERROR((PA!$AA211-PA!$X211)*24,"")</f>
        <v>11.95</v>
      </c>
      <c r="AF211" s="266" t="s">
        <v>723</v>
      </c>
      <c r="AG211" s="6" t="s">
        <v>1275</v>
      </c>
      <c r="AH211" s="304">
        <f>IFERROR(PA!$AE211*PA!$T211,"")</f>
        <v>5.3774999999999989E-2</v>
      </c>
      <c r="AI211" s="347">
        <v>5.44</v>
      </c>
      <c r="AJ211" s="89">
        <f>IFERROR(IF(PA[[#This Row],[Lost PoA(kWh/m2)]]&gt;0,_xlfn.XLOOKUP(G211,'Modelling New'!$D:$D,'Modelling New'!$O:$O)*PA[[#This Row],[Lost PoA(kWh/m2)]]*S211,0),"")</f>
        <v>91.64182842669932</v>
      </c>
    </row>
    <row r="212" spans="1:36" hidden="1" x14ac:dyDescent="0.25">
      <c r="A212" s="331">
        <v>1903</v>
      </c>
      <c r="B212" s="332">
        <v>45801</v>
      </c>
      <c r="C212" s="333">
        <v>2025</v>
      </c>
      <c r="D212" s="313">
        <f>YEAR(PA!$B212)</f>
        <v>2025</v>
      </c>
      <c r="E212" s="334" t="s">
        <v>73</v>
      </c>
      <c r="F212" s="335" t="s">
        <v>73</v>
      </c>
      <c r="G212" s="336">
        <v>45778</v>
      </c>
      <c r="H212" s="337">
        <f>DAY(EOMONTH(PA!$B212, 0))</f>
        <v>31</v>
      </c>
      <c r="I212" s="338">
        <v>0.21875</v>
      </c>
      <c r="J212" s="338">
        <v>0.77013888888888893</v>
      </c>
      <c r="K212" s="304">
        <f>IFERROR((PA!$J212-PA!$I212)*24,"")</f>
        <v>13.233333333333334</v>
      </c>
      <c r="L212" s="339" t="s">
        <v>621</v>
      </c>
      <c r="M212" s="339"/>
      <c r="N212" s="339"/>
      <c r="O212" s="339" t="s">
        <v>580</v>
      </c>
      <c r="P212" s="337"/>
      <c r="Q212" s="313"/>
      <c r="R21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BLK4INV31</v>
      </c>
      <c r="S212" s="304">
        <v>22.25</v>
      </c>
      <c r="T212" s="90">
        <f>IFERROR(_xlfn.XLOOKUP(PA[[#This Row],[Affected Equipment ]],'Basic Data '!A:A,'Basic Data '!C:C),"")</f>
        <v>4.0000000000000001E-3</v>
      </c>
      <c r="U212" s="339" t="s">
        <v>697</v>
      </c>
      <c r="V212" s="340"/>
      <c r="W212" s="266" t="s">
        <v>723</v>
      </c>
      <c r="X212" s="338">
        <v>0.21875</v>
      </c>
      <c r="Y212" s="338">
        <v>0.375</v>
      </c>
      <c r="Z212" s="338">
        <v>0.71875</v>
      </c>
      <c r="AA212" s="345">
        <v>0.73263888888888884</v>
      </c>
      <c r="AB212" s="309">
        <f>IF(PA!$Y212="NA","",(PA!$Y212-PA!$X212)*24)</f>
        <v>3.75</v>
      </c>
      <c r="AC212" s="309">
        <f>IF(PA!$Z212="NA","",(PA!$Z212-PA!$X212)*24)</f>
        <v>12</v>
      </c>
      <c r="AD212" s="310">
        <f>IF(PA!$AG212="Open","",(PA!$AA212-PA!$X212)*24)</f>
        <v>12.333333333333332</v>
      </c>
      <c r="AE212" s="311">
        <f>IFERROR((PA!$AA212-PA!$X212)*24,"")</f>
        <v>12.333333333333332</v>
      </c>
      <c r="AF212" s="266" t="s">
        <v>723</v>
      </c>
      <c r="AG212" s="6" t="s">
        <v>1275</v>
      </c>
      <c r="AH212" s="304">
        <f>IFERROR(PA!$AE212*PA!$T212,"")</f>
        <v>4.9333333333333326E-2</v>
      </c>
      <c r="AI212" s="347">
        <v>5.61</v>
      </c>
      <c r="AJ212" s="89">
        <f>IFERROR(IF(PA[[#This Row],[Lost PoA(kWh/m2)]]&gt;0,_xlfn.XLOOKUP(G212,'Modelling New'!$D:$D,'Modelling New'!$O:$O)*PA[[#This Row],[Lost PoA(kWh/m2)]]*S212,0),"")</f>
        <v>94.505635565033657</v>
      </c>
    </row>
    <row r="213" spans="1:36" hidden="1" x14ac:dyDescent="0.25">
      <c r="A213" s="331">
        <v>1904</v>
      </c>
      <c r="B213" s="332">
        <v>45802</v>
      </c>
      <c r="C213" s="333">
        <v>2025</v>
      </c>
      <c r="D213" s="6">
        <f>YEAR(PA[[#This Row],[Date]])</f>
        <v>2025</v>
      </c>
      <c r="E213" s="334" t="s">
        <v>73</v>
      </c>
      <c r="F213" s="335" t="s">
        <v>73</v>
      </c>
      <c r="G213" s="336">
        <v>45778</v>
      </c>
      <c r="H213" s="56">
        <f>DAY(EOMONTH(PA[[#This Row],[Date]], 0))</f>
        <v>31</v>
      </c>
      <c r="I213" s="60">
        <v>0.23958333333333334</v>
      </c>
      <c r="J213" s="60">
        <v>0.7715277777777777</v>
      </c>
      <c r="K213" s="53">
        <f>IFERROR((PA[[#This Row],[Sunset Time (POA&lt;20 W/m2)]]-PA[[#This Row],[Sunrise Time (POA&gt;20 W/m2)]])*24,"")</f>
        <v>12.766666666666664</v>
      </c>
      <c r="L213" s="59" t="s">
        <v>621</v>
      </c>
      <c r="M213" s="59"/>
      <c r="N213" s="59"/>
      <c r="O213" s="59" t="s">
        <v>610</v>
      </c>
      <c r="P213" s="56"/>
      <c r="Q213" s="6"/>
      <c r="R21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BLK4INV24</v>
      </c>
      <c r="S213" s="53">
        <v>22.25</v>
      </c>
      <c r="T213" s="90">
        <f>IFERROR(_xlfn.XLOOKUP(PA[[#This Row],[Affected Equipment ]],'Basic Data '!A:A,'Basic Data '!C:C),"")</f>
        <v>4.4999999999999997E-3</v>
      </c>
      <c r="U213" s="339" t="s">
        <v>697</v>
      </c>
      <c r="V213" s="88"/>
      <c r="W213" s="114" t="s">
        <v>724</v>
      </c>
      <c r="X213" s="60">
        <v>0.23958333333333334</v>
      </c>
      <c r="Y213" s="338">
        <v>0.375</v>
      </c>
      <c r="Z213" s="60">
        <v>0.47222222222222227</v>
      </c>
      <c r="AA213" s="60">
        <v>0.48333333333333334</v>
      </c>
      <c r="AB213" s="158">
        <f>IF(PA[[#This Row],[Acknowledgement Time ]]="NA","",(PA[[#This Row],[Acknowledgement Time ]]-PA[[#This Row],[Fault Time]])*24)</f>
        <v>3.25</v>
      </c>
      <c r="AC213" s="158">
        <f>IF(PA[[#This Row],[Work Start time on Fault]]="NA","",(PA[[#This Row],[Work Start time on Fault]]-PA[[#This Row],[Fault Time]])*24)</f>
        <v>5.5833333333333339</v>
      </c>
      <c r="AD213" s="112">
        <f>IF(PA[[#This Row],[Status]]="Open","",(PA[[#This Row],[Work Completion time on fault]]-PA[[#This Row],[Fault Time]])*24)</f>
        <v>5.85</v>
      </c>
      <c r="AE213" s="111">
        <f>IFERROR((PA[[#This Row],[Work Completion time on fault]]-PA[[#This Row],[Fault Time]])*24,"")</f>
        <v>5.85</v>
      </c>
      <c r="AF213" s="266" t="s">
        <v>725</v>
      </c>
      <c r="AG213" s="6" t="s">
        <v>1275</v>
      </c>
      <c r="AH213" s="53">
        <f>IFERROR(PA[[#This Row],[Breakdown Time]]*PA[[#This Row],[Plant Equivalent Weightage]],"")</f>
        <v>2.6324999999999998E-2</v>
      </c>
      <c r="AI213" s="59">
        <v>2.5299999999999998</v>
      </c>
      <c r="AJ213" s="89">
        <f>IFERROR(IF(PA[[#This Row],[Lost PoA(kWh/m2)]]&gt;0,_xlfn.XLOOKUP(G213,'Modelling New'!$D:$D,'Modelling New'!$O:$O)*PA[[#This Row],[Lost PoA(kWh/m2)]]*S213,0),"")</f>
        <v>42.62018858815243</v>
      </c>
    </row>
    <row r="214" spans="1:36" hidden="1" x14ac:dyDescent="0.25">
      <c r="A214" s="331">
        <v>1905</v>
      </c>
      <c r="B214" s="332">
        <v>45802</v>
      </c>
      <c r="C214" s="333">
        <v>2025</v>
      </c>
      <c r="D214" s="6">
        <f>YEAR(PA[[#This Row],[Date]])</f>
        <v>2025</v>
      </c>
      <c r="E214" s="334" t="s">
        <v>73</v>
      </c>
      <c r="F214" s="335" t="s">
        <v>73</v>
      </c>
      <c r="G214" s="336">
        <v>45778</v>
      </c>
      <c r="H214" s="56">
        <f>DAY(EOMONTH(PA[[#This Row],[Date]], 0))</f>
        <v>31</v>
      </c>
      <c r="I214" s="60">
        <v>0.23958333333333334</v>
      </c>
      <c r="J214" s="60">
        <v>0.7715277777777777</v>
      </c>
      <c r="K214" s="53">
        <f>IFERROR((PA[[#This Row],[Sunset Time (POA&lt;20 W/m2)]]-PA[[#This Row],[Sunrise Time (POA&gt;20 W/m2)]])*24,"")</f>
        <v>12.766666666666664</v>
      </c>
      <c r="L214" s="59" t="s">
        <v>559</v>
      </c>
      <c r="M214" s="59"/>
      <c r="N214" s="59"/>
      <c r="O214" s="59" t="s">
        <v>599</v>
      </c>
      <c r="P214" s="56"/>
      <c r="Q214" s="6"/>
      <c r="R21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BLK2INV20</v>
      </c>
      <c r="S214" s="53">
        <v>44.5</v>
      </c>
      <c r="T214" s="90">
        <f>IFERROR(_xlfn.XLOOKUP(PA[[#This Row],[Affected Equipment ]],'Basic Data '!A:A,'Basic Data '!C:C),"")</f>
        <v>4.0000000000000001E-3</v>
      </c>
      <c r="U214" s="339" t="s">
        <v>697</v>
      </c>
      <c r="V214" s="88"/>
      <c r="W214" s="114" t="s">
        <v>724</v>
      </c>
      <c r="X214" s="60">
        <v>0.23958333333333334</v>
      </c>
      <c r="Y214" s="338">
        <v>0.375</v>
      </c>
      <c r="Z214" s="60">
        <v>0.4236111111111111</v>
      </c>
      <c r="AA214" s="60">
        <v>0.44305555555555554</v>
      </c>
      <c r="AB214" s="158">
        <f>IF(PA[[#This Row],[Acknowledgement Time ]]="NA","",(PA[[#This Row],[Acknowledgement Time ]]-PA[[#This Row],[Fault Time]])*24)</f>
        <v>3.25</v>
      </c>
      <c r="AC214" s="158">
        <f>IF(PA[[#This Row],[Work Start time on Fault]]="NA","",(PA[[#This Row],[Work Start time on Fault]]-PA[[#This Row],[Fault Time]])*24)</f>
        <v>4.4166666666666661</v>
      </c>
      <c r="AD214" s="112">
        <f>IF(PA[[#This Row],[Status]]="Open","",(PA[[#This Row],[Work Completion time on fault]]-PA[[#This Row],[Fault Time]])*24)</f>
        <v>4.8833333333333329</v>
      </c>
      <c r="AE214" s="111">
        <f>IFERROR((PA[[#This Row],[Work Completion time on fault]]-PA[[#This Row],[Fault Time]])*24,"")</f>
        <v>4.8833333333333329</v>
      </c>
      <c r="AF214" s="228" t="s">
        <v>726</v>
      </c>
      <c r="AG214" s="6" t="s">
        <v>1275</v>
      </c>
      <c r="AH214" s="53">
        <f>IFERROR(PA[[#This Row],[Breakdown Time]]*PA[[#This Row],[Plant Equivalent Weightage]],"")</f>
        <v>1.9533333333333333E-2</v>
      </c>
      <c r="AI214" s="59">
        <v>1.75</v>
      </c>
      <c r="AJ214" s="89">
        <f>IFERROR(IF(PA[[#This Row],[Lost PoA(kWh/m2)]]&gt;0,_xlfn.XLOOKUP(G214,'Modelling New'!$D:$D,'Modelling New'!$O:$O)*PA[[#This Row],[Lost PoA(kWh/m2)]]*S214,0),"")</f>
        <v>58.960735201001391</v>
      </c>
    </row>
    <row r="215" spans="1:36" hidden="1" x14ac:dyDescent="0.25">
      <c r="A215" s="331">
        <v>1906</v>
      </c>
      <c r="B215" s="332">
        <v>45802</v>
      </c>
      <c r="C215" s="333">
        <v>2025</v>
      </c>
      <c r="D215" s="6">
        <f>YEAR(PA[[#This Row],[Date]])</f>
        <v>2025</v>
      </c>
      <c r="E215" s="334" t="s">
        <v>73</v>
      </c>
      <c r="F215" s="335" t="s">
        <v>73</v>
      </c>
      <c r="G215" s="336">
        <v>45778</v>
      </c>
      <c r="H215" s="56">
        <f>DAY(EOMONTH(PA[[#This Row],[Date]], 0))</f>
        <v>31</v>
      </c>
      <c r="I215" s="60">
        <v>0.23958333333333334</v>
      </c>
      <c r="J215" s="60">
        <v>0.7715277777777777</v>
      </c>
      <c r="K215" s="53">
        <f>IFERROR((PA[[#This Row],[Sunset Time (POA&lt;20 W/m2)]]-PA[[#This Row],[Sunrise Time (POA&gt;20 W/m2)]])*24,"")</f>
        <v>12.766666666666664</v>
      </c>
      <c r="L215" s="59" t="s">
        <v>606</v>
      </c>
      <c r="M215" s="59"/>
      <c r="N215" s="59"/>
      <c r="O215" s="59" t="s">
        <v>598</v>
      </c>
      <c r="P215" s="56"/>
      <c r="Q215" s="6"/>
      <c r="R21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BLK7INV6</v>
      </c>
      <c r="S215" s="53">
        <v>22.25</v>
      </c>
      <c r="T215" s="90">
        <f>IFERROR(_xlfn.XLOOKUP(PA[[#This Row],[Affected Equipment ]],'Basic Data '!A:A,'Basic Data '!C:C),"")</f>
        <v>3.9550561797752808E-3</v>
      </c>
      <c r="U215" s="339" t="s">
        <v>697</v>
      </c>
      <c r="V215" s="88"/>
      <c r="W215" s="114" t="s">
        <v>724</v>
      </c>
      <c r="X215" s="60">
        <v>0.23958333333333334</v>
      </c>
      <c r="Y215" s="338">
        <v>0.375</v>
      </c>
      <c r="Z215" s="60">
        <v>0.47916666666666669</v>
      </c>
      <c r="AA215" s="60">
        <v>0.49722222222222223</v>
      </c>
      <c r="AB215" s="158">
        <f>IF(PA[[#This Row],[Acknowledgement Time ]]="NA","",(PA[[#This Row],[Acknowledgement Time ]]-PA[[#This Row],[Fault Time]])*24)</f>
        <v>3.25</v>
      </c>
      <c r="AC215" s="158">
        <f>IF(PA[[#This Row],[Work Start time on Fault]]="NA","",(PA[[#This Row],[Work Start time on Fault]]-PA[[#This Row],[Fault Time]])*24)</f>
        <v>5.75</v>
      </c>
      <c r="AD215" s="112">
        <f>IF(PA[[#This Row],[Status]]="Open","",(PA[[#This Row],[Work Completion time on fault]]-PA[[#This Row],[Fault Time]])*24)</f>
        <v>6.1833333333333327</v>
      </c>
      <c r="AE215" s="111">
        <f>IFERROR((PA[[#This Row],[Work Completion time on fault]]-PA[[#This Row],[Fault Time]])*24,"")</f>
        <v>6.1833333333333327</v>
      </c>
      <c r="AF215" s="266" t="s">
        <v>725</v>
      </c>
      <c r="AG215" s="6" t="s">
        <v>1275</v>
      </c>
      <c r="AH215" s="53">
        <f>IFERROR(PA[[#This Row],[Breakdown Time]]*PA[[#This Row],[Plant Equivalent Weightage]],"")</f>
        <v>2.4455430711610483E-2</v>
      </c>
      <c r="AI215" s="59">
        <v>2.82</v>
      </c>
      <c r="AJ215" s="89">
        <f>IFERROR(IF(PA[[#This Row],[Lost PoA(kWh/m2)]]&gt;0,_xlfn.XLOOKUP(G215,'Modelling New'!$D:$D,'Modelling New'!$O:$O)*PA[[#This Row],[Lost PoA(kWh/m2)]]*S215,0),"")</f>
        <v>47.505506647663978</v>
      </c>
    </row>
    <row r="216" spans="1:36" hidden="1" x14ac:dyDescent="0.25">
      <c r="A216" s="331">
        <v>1907</v>
      </c>
      <c r="B216" s="332">
        <v>45802</v>
      </c>
      <c r="C216" s="333">
        <v>2025</v>
      </c>
      <c r="D216" s="6">
        <f>YEAR(PA[[#This Row],[Date]])</f>
        <v>2025</v>
      </c>
      <c r="E216" s="334" t="s">
        <v>73</v>
      </c>
      <c r="F216" s="335" t="s">
        <v>73</v>
      </c>
      <c r="G216" s="336">
        <v>45778</v>
      </c>
      <c r="H216" s="56">
        <f>DAY(EOMONTH(PA[[#This Row],[Date]], 0))</f>
        <v>31</v>
      </c>
      <c r="I216" s="60">
        <v>0.23958333333333334</v>
      </c>
      <c r="J216" s="60">
        <v>0.7715277777777777</v>
      </c>
      <c r="K216" s="53">
        <f>IFERROR((PA[[#This Row],[Sunset Time (POA&lt;20 W/m2)]]-PA[[#This Row],[Sunrise Time (POA&gt;20 W/m2)]])*24,"")</f>
        <v>12.766666666666664</v>
      </c>
      <c r="L216" s="59" t="s">
        <v>606</v>
      </c>
      <c r="M216" s="59"/>
      <c r="N216" s="59"/>
      <c r="O216" s="59" t="s">
        <v>607</v>
      </c>
      <c r="P216" s="56"/>
      <c r="Q216" s="6"/>
      <c r="R21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BLK7INV3</v>
      </c>
      <c r="S216" s="53">
        <v>11.5</v>
      </c>
      <c r="T216" s="90">
        <f>IFERROR(_xlfn.XLOOKUP(PA[[#This Row],[Affected Equipment ]],'Basic Data '!A:A,'Basic Data '!C:C),"")</f>
        <v>3.9550561797752808E-3</v>
      </c>
      <c r="U216" s="339" t="s">
        <v>697</v>
      </c>
      <c r="V216" s="88"/>
      <c r="W216" s="114" t="s">
        <v>727</v>
      </c>
      <c r="X216" s="60">
        <v>0.23958333333333334</v>
      </c>
      <c r="Y216" s="338">
        <v>0.375</v>
      </c>
      <c r="Z216" s="60">
        <v>0.63541666666666663</v>
      </c>
      <c r="AA216" s="60">
        <v>0.65</v>
      </c>
      <c r="AB216" s="158">
        <f>IF(PA[[#This Row],[Acknowledgement Time ]]="NA","",(PA[[#This Row],[Acknowledgement Time ]]-PA[[#This Row],[Fault Time]])*24)</f>
        <v>3.25</v>
      </c>
      <c r="AC216" s="158">
        <f>IF(PA[[#This Row],[Work Start time on Fault]]="NA","",(PA[[#This Row],[Work Start time on Fault]]-PA[[#This Row],[Fault Time]])*24)</f>
        <v>9.4999999999999982</v>
      </c>
      <c r="AD216" s="112">
        <f>IF(PA[[#This Row],[Status]]="Open","",(PA[[#This Row],[Work Completion time on fault]]-PA[[#This Row],[Fault Time]])*24)</f>
        <v>9.85</v>
      </c>
      <c r="AE216" s="111">
        <f>IFERROR((PA[[#This Row],[Work Completion time on fault]]-PA[[#This Row],[Fault Time]])*24,"")</f>
        <v>9.85</v>
      </c>
      <c r="AF216" s="228" t="s">
        <v>728</v>
      </c>
      <c r="AG216" s="6" t="s">
        <v>1275</v>
      </c>
      <c r="AH216" s="53">
        <f>IFERROR(PA[[#This Row],[Breakdown Time]]*PA[[#This Row],[Plant Equivalent Weightage]],"")</f>
        <v>3.8957303370786511E-2</v>
      </c>
      <c r="AI216" s="59">
        <v>5.76</v>
      </c>
      <c r="AJ216" s="89">
        <f>IFERROR(IF(PA[[#This Row],[Lost PoA(kWh/m2)]]&gt;0,_xlfn.XLOOKUP(G216,'Modelling New'!$D:$D,'Modelling New'!$O:$O)*PA[[#This Row],[Lost PoA(kWh/m2)]]*S216,0),"")</f>
        <v>50.15164172987906</v>
      </c>
    </row>
    <row r="217" spans="1:36" hidden="1" x14ac:dyDescent="0.25">
      <c r="A217" s="331">
        <v>1908</v>
      </c>
      <c r="B217" s="332">
        <v>45802</v>
      </c>
      <c r="C217" s="333">
        <v>2025</v>
      </c>
      <c r="D217" s="6">
        <f>YEAR(PA[[#This Row],[Date]])</f>
        <v>2025</v>
      </c>
      <c r="E217" s="334" t="s">
        <v>73</v>
      </c>
      <c r="F217" s="335" t="s">
        <v>73</v>
      </c>
      <c r="G217" s="336">
        <v>45778</v>
      </c>
      <c r="H217" s="56">
        <f>DAY(EOMONTH(PA[[#This Row],[Date]], 0))</f>
        <v>31</v>
      </c>
      <c r="I217" s="60">
        <v>0.23958333333333334</v>
      </c>
      <c r="J217" s="60">
        <v>0.7715277777777777</v>
      </c>
      <c r="K217" s="53">
        <f>IFERROR((PA[[#This Row],[Sunset Time (POA&lt;20 W/m2)]]-PA[[#This Row],[Sunrise Time (POA&gt;20 W/m2)]])*24,"")</f>
        <v>12.766666666666664</v>
      </c>
      <c r="L217" s="59" t="s">
        <v>579</v>
      </c>
      <c r="M217" s="59"/>
      <c r="N217" s="59"/>
      <c r="O217" s="59" t="s">
        <v>571</v>
      </c>
      <c r="P217" s="56"/>
      <c r="Q217" s="6"/>
      <c r="R21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v>
      </c>
      <c r="S217" s="53">
        <v>9.5</v>
      </c>
      <c r="T217" s="90">
        <f>IFERROR(_xlfn.XLOOKUP(PA[[#This Row],[Affected Equipment ]],'Basic Data '!A:A,'Basic Data '!C:C),"")</f>
        <v>2.9662921348314608E-3</v>
      </c>
      <c r="U217" s="339" t="s">
        <v>697</v>
      </c>
      <c r="V217" s="88"/>
      <c r="W217" s="114" t="s">
        <v>727</v>
      </c>
      <c r="X217" s="60">
        <v>0.23958333333333334</v>
      </c>
      <c r="Y217" s="338">
        <v>0.375</v>
      </c>
      <c r="Z217" s="60">
        <v>0.63888888888888895</v>
      </c>
      <c r="AA217" s="60">
        <v>0.65347222222222223</v>
      </c>
      <c r="AB217" s="158">
        <f>IF(PA[[#This Row],[Acknowledgement Time ]]="NA","",(PA[[#This Row],[Acknowledgement Time ]]-PA[[#This Row],[Fault Time]])*24)</f>
        <v>3.25</v>
      </c>
      <c r="AC217" s="158">
        <f>IF(PA[[#This Row],[Work Start time on Fault]]="NA","",(PA[[#This Row],[Work Start time on Fault]]-PA[[#This Row],[Fault Time]])*24)</f>
        <v>9.5833333333333339</v>
      </c>
      <c r="AD217" s="112">
        <f>IF(PA[[#This Row],[Status]]="Open","",(PA[[#This Row],[Work Completion time on fault]]-PA[[#This Row],[Fault Time]])*24)</f>
        <v>9.9333333333333336</v>
      </c>
      <c r="AE217" s="111">
        <f>IFERROR((PA[[#This Row],[Work Completion time on fault]]-PA[[#This Row],[Fault Time]])*24,"")</f>
        <v>9.9333333333333336</v>
      </c>
      <c r="AF217" s="228" t="s">
        <v>728</v>
      </c>
      <c r="AG217" s="6" t="s">
        <v>1275</v>
      </c>
      <c r="AH217" s="53">
        <f>IFERROR(PA[[#This Row],[Breakdown Time]]*PA[[#This Row],[Plant Equivalent Weightage]],"")</f>
        <v>2.9465168539325844E-2</v>
      </c>
      <c r="AI217" s="59">
        <v>5.77</v>
      </c>
      <c r="AJ217" s="89">
        <f>IFERROR(IF(PA[[#This Row],[Lost PoA(kWh/m2)]]&gt;0,_xlfn.XLOOKUP(G217,'Modelling New'!$D:$D,'Modelling New'!$O:$O)*PA[[#This Row],[Lost PoA(kWh/m2)]]*S217,0),"")</f>
        <v>41.501543499748202</v>
      </c>
    </row>
    <row r="218" spans="1:36" hidden="1" x14ac:dyDescent="0.25">
      <c r="A218" s="331">
        <v>1909</v>
      </c>
      <c r="B218" s="332">
        <v>45802</v>
      </c>
      <c r="C218" s="333">
        <v>2025</v>
      </c>
      <c r="D218" s="6">
        <f>YEAR(PA[[#This Row],[Date]])</f>
        <v>2025</v>
      </c>
      <c r="E218" s="334" t="s">
        <v>73</v>
      </c>
      <c r="F218" s="335" t="s">
        <v>73</v>
      </c>
      <c r="G218" s="336">
        <v>45778</v>
      </c>
      <c r="H218" s="56">
        <f>DAY(EOMONTH(PA[[#This Row],[Date]], 0))</f>
        <v>31</v>
      </c>
      <c r="I218" s="60">
        <v>0.23958333333333334</v>
      </c>
      <c r="J218" s="60">
        <v>0.7715277777777777</v>
      </c>
      <c r="K218" s="53">
        <f>IFERROR((PA[[#This Row],[Sunset Time (POA&lt;20 W/m2)]]-PA[[#This Row],[Sunrise Time (POA&gt;20 W/m2)]])*24,"")</f>
        <v>12.766666666666664</v>
      </c>
      <c r="L218" s="59" t="s">
        <v>579</v>
      </c>
      <c r="M218" s="59"/>
      <c r="N218" s="59"/>
      <c r="O218" s="59" t="s">
        <v>610</v>
      </c>
      <c r="P218" s="56"/>
      <c r="Q218" s="6"/>
      <c r="R21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BLK8INV24</v>
      </c>
      <c r="S218" s="53">
        <v>15.75</v>
      </c>
      <c r="T218" s="90">
        <f>IFERROR(_xlfn.XLOOKUP(PA[[#This Row],[Affected Equipment ]],'Basic Data '!A:A,'Basic Data '!C:C),"")</f>
        <v>4.0651685393258419E-3</v>
      </c>
      <c r="U218" s="339" t="s">
        <v>697</v>
      </c>
      <c r="V218" s="88"/>
      <c r="W218" s="114" t="s">
        <v>727</v>
      </c>
      <c r="X218" s="60">
        <v>0.23958333333333334</v>
      </c>
      <c r="Y218" s="338">
        <v>0.375</v>
      </c>
      <c r="Z218" s="60">
        <v>0.64236111111111105</v>
      </c>
      <c r="AA218" s="60">
        <v>0.65555555555555556</v>
      </c>
      <c r="AB218" s="158">
        <f>IF(PA[[#This Row],[Acknowledgement Time ]]="NA","",(PA[[#This Row],[Acknowledgement Time ]]-PA[[#This Row],[Fault Time]])*24)</f>
        <v>3.25</v>
      </c>
      <c r="AC218" s="158">
        <f>IF(PA[[#This Row],[Work Start time on Fault]]="NA","",(PA[[#This Row],[Work Start time on Fault]]-PA[[#This Row],[Fault Time]])*24)</f>
        <v>9.6666666666666643</v>
      </c>
      <c r="AD218" s="112">
        <f>IF(PA[[#This Row],[Status]]="Open","",(PA[[#This Row],[Work Completion time on fault]]-PA[[#This Row],[Fault Time]])*24)</f>
        <v>9.9833333333333325</v>
      </c>
      <c r="AE218" s="111">
        <f>IFERROR((PA[[#This Row],[Work Completion time on fault]]-PA[[#This Row],[Fault Time]])*24,"")</f>
        <v>9.9833333333333325</v>
      </c>
      <c r="AF218" s="228" t="s">
        <v>728</v>
      </c>
      <c r="AG218" s="6" t="s">
        <v>1275</v>
      </c>
      <c r="AH218" s="53">
        <f>IFERROR(PA[[#This Row],[Breakdown Time]]*PA[[#This Row],[Plant Equivalent Weightage]],"")</f>
        <v>4.058393258426965E-2</v>
      </c>
      <c r="AI218" s="59">
        <v>5.77</v>
      </c>
      <c r="AJ218" s="89">
        <f>IFERROR(IF(PA[[#This Row],[Lost PoA(kWh/m2)]]&gt;0,_xlfn.XLOOKUP(G218,'Modelling New'!$D:$D,'Modelling New'!$O:$O)*PA[[#This Row],[Lost PoA(kWh/m2)]]*S218,0),"")</f>
        <v>68.805190539056227</v>
      </c>
    </row>
    <row r="219" spans="1:36" hidden="1" x14ac:dyDescent="0.25">
      <c r="A219" s="331">
        <v>1910</v>
      </c>
      <c r="B219" s="332">
        <v>45802</v>
      </c>
      <c r="C219" s="333">
        <v>2025</v>
      </c>
      <c r="D219" s="6">
        <f>YEAR(PA[[#This Row],[Date]])</f>
        <v>2025</v>
      </c>
      <c r="E219" s="334" t="s">
        <v>73</v>
      </c>
      <c r="F219" s="335" t="s">
        <v>73</v>
      </c>
      <c r="G219" s="336">
        <v>45778</v>
      </c>
      <c r="H219" s="56">
        <f>DAY(EOMONTH(PA[[#This Row],[Date]], 0))</f>
        <v>31</v>
      </c>
      <c r="I219" s="60">
        <v>0.23958333333333334</v>
      </c>
      <c r="J219" s="60">
        <v>0.7715277777777777</v>
      </c>
      <c r="K219" s="53">
        <f>IFERROR((PA[[#This Row],[Sunset Time (POA&lt;20 W/m2)]]-PA[[#This Row],[Sunrise Time (POA&gt;20 W/m2)]])*24,"")</f>
        <v>12.766666666666664</v>
      </c>
      <c r="L219" s="59" t="s">
        <v>621</v>
      </c>
      <c r="M219" s="59"/>
      <c r="N219" s="59"/>
      <c r="O219" s="59" t="s">
        <v>612</v>
      </c>
      <c r="P219" s="56"/>
      <c r="Q219" s="6"/>
      <c r="R21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219" s="53">
        <v>11.25</v>
      </c>
      <c r="T219" s="90">
        <f>IFERROR(_xlfn.XLOOKUP(PA[[#This Row],[Affected Equipment ]],'Basic Data '!A:A,'Basic Data '!C:C),"")</f>
        <v>4.4999999999999997E-3</v>
      </c>
      <c r="U219" s="339" t="s">
        <v>697</v>
      </c>
      <c r="V219" s="88"/>
      <c r="W219" s="114" t="s">
        <v>727</v>
      </c>
      <c r="X219" s="60">
        <v>0.23958333333333334</v>
      </c>
      <c r="Y219" s="338">
        <v>0.375</v>
      </c>
      <c r="Z219" s="60">
        <v>0.40972222222222227</v>
      </c>
      <c r="AA219" s="60">
        <v>0.4236111111111111</v>
      </c>
      <c r="AB219" s="158">
        <f>IF(PA[[#This Row],[Acknowledgement Time ]]="NA","",(PA[[#This Row],[Acknowledgement Time ]]-PA[[#This Row],[Fault Time]])*24)</f>
        <v>3.25</v>
      </c>
      <c r="AC219" s="158">
        <f>IF(PA[[#This Row],[Work Start time on Fault]]="NA","",(PA[[#This Row],[Work Start time on Fault]]-PA[[#This Row],[Fault Time]])*24)</f>
        <v>4.0833333333333339</v>
      </c>
      <c r="AD219" s="112">
        <f>IF(PA[[#This Row],[Status]]="Open","",(PA[[#This Row],[Work Completion time on fault]]-PA[[#This Row],[Fault Time]])*24)</f>
        <v>4.4166666666666661</v>
      </c>
      <c r="AE219" s="111">
        <f>IFERROR((PA[[#This Row],[Work Completion time on fault]]-PA[[#This Row],[Fault Time]])*24,"")</f>
        <v>4.4166666666666661</v>
      </c>
      <c r="AF219" s="228" t="s">
        <v>728</v>
      </c>
      <c r="AG219" s="6" t="s">
        <v>1275</v>
      </c>
      <c r="AH219" s="53">
        <f>IFERROR(PA[[#This Row],[Breakdown Time]]*PA[[#This Row],[Plant Equivalent Weightage]],"")</f>
        <v>1.9874999999999997E-2</v>
      </c>
      <c r="AI219" s="59">
        <v>1.25</v>
      </c>
      <c r="AJ219" s="89">
        <f>IFERROR(IF(PA[[#This Row],[Lost PoA(kWh/m2)]]&gt;0,_xlfn.XLOOKUP(G219,'Modelling New'!$D:$D,'Modelling New'!$O:$O)*PA[[#This Row],[Lost PoA(kWh/m2)]]*S219,0),"")</f>
        <v>10.647002744964135</v>
      </c>
    </row>
    <row r="220" spans="1:36" hidden="1" x14ac:dyDescent="0.25">
      <c r="A220" s="331">
        <v>1911</v>
      </c>
      <c r="B220" s="332">
        <v>45802</v>
      </c>
      <c r="C220" s="333">
        <v>2025</v>
      </c>
      <c r="D220" s="6">
        <f>YEAR(PA[[#This Row],[Date]])</f>
        <v>2025</v>
      </c>
      <c r="E220" s="334" t="s">
        <v>73</v>
      </c>
      <c r="F220" s="335" t="s">
        <v>73</v>
      </c>
      <c r="G220" s="336">
        <v>45778</v>
      </c>
      <c r="H220" s="56">
        <f>DAY(EOMONTH(PA[[#This Row],[Date]], 0))</f>
        <v>31</v>
      </c>
      <c r="I220" s="60">
        <v>0.23958333333333334</v>
      </c>
      <c r="J220" s="60">
        <v>0.7715277777777777</v>
      </c>
      <c r="K220" s="53">
        <f>IFERROR((PA[[#This Row],[Sunset Time (POA&lt;20 W/m2)]]-PA[[#This Row],[Sunrise Time (POA&gt;20 W/m2)]])*24,"")</f>
        <v>12.766666666666664</v>
      </c>
      <c r="L220" s="59" t="s">
        <v>564</v>
      </c>
      <c r="M220" s="59"/>
      <c r="N220" s="59"/>
      <c r="O220" s="59" t="s">
        <v>578</v>
      </c>
      <c r="P220" s="56"/>
      <c r="Q220" s="6"/>
      <c r="R22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BLK5INV12</v>
      </c>
      <c r="S220" s="53">
        <f>_xlfn.XLOOKUP(PA[[#This Row],[Affected Equipment ]],'Basic Data '!$A:$A,'Basic Data '!$B:$B)</f>
        <v>286</v>
      </c>
      <c r="T220" s="90">
        <f>IFERROR(_xlfn.XLOOKUP(PA[[#This Row],[Affected Equipment ]],'Basic Data '!A:A,'Basic Data '!C:C),"")</f>
        <v>4.2846441947565544E-3</v>
      </c>
      <c r="U220" s="59" t="s">
        <v>566</v>
      </c>
      <c r="V220" s="88"/>
      <c r="W220" s="114" t="s">
        <v>729</v>
      </c>
      <c r="X220" s="60">
        <v>0.23958333333333334</v>
      </c>
      <c r="Y220" s="338">
        <v>0.375</v>
      </c>
      <c r="Z220" s="60">
        <v>0.28125</v>
      </c>
      <c r="AA220" s="60">
        <v>0.2951388888888889</v>
      </c>
      <c r="AB220" s="158">
        <f>IF(PA[[#This Row],[Acknowledgement Time ]]="NA","",(PA[[#This Row],[Acknowledgement Time ]]-PA[[#This Row],[Fault Time]])*24)</f>
        <v>3.25</v>
      </c>
      <c r="AC220" s="158">
        <f>IF(PA[[#This Row],[Work Start time on Fault]]="NA","",(PA[[#This Row],[Work Start time on Fault]]-PA[[#This Row],[Fault Time]])*24)</f>
        <v>0.99999999999999978</v>
      </c>
      <c r="AD220" s="112">
        <f>IF(PA[[#This Row],[Status]]="Open","",(PA[[#This Row],[Work Completion time on fault]]-PA[[#This Row],[Fault Time]])*24)</f>
        <v>1.3333333333333333</v>
      </c>
      <c r="AE220" s="111">
        <f>IFERROR((PA[[#This Row],[Work Completion time on fault]]-PA[[#This Row],[Fault Time]])*24,"")</f>
        <v>1.3333333333333333</v>
      </c>
      <c r="AF220" s="228" t="s">
        <v>636</v>
      </c>
      <c r="AG220" s="6" t="s">
        <v>1275</v>
      </c>
      <c r="AH220" s="53">
        <f>IFERROR(PA[[#This Row],[Breakdown Time]]*PA[[#This Row],[Plant Equivalent Weightage]],"")</f>
        <v>5.712858926342072E-3</v>
      </c>
      <c r="AI220" s="59">
        <v>0.20100000000000001</v>
      </c>
      <c r="AJ220" s="89">
        <f>IFERROR(IF(PA[[#This Row],[Lost PoA(kWh/m2)]]&gt;0,_xlfn.XLOOKUP(G220,'Modelling New'!$D:$D,'Modelling New'!$O:$O)*PA[[#This Row],[Lost PoA(kWh/m2)]]*S220,0),"")</f>
        <v>43.523811541120594</v>
      </c>
    </row>
    <row r="221" spans="1:36" hidden="1" x14ac:dyDescent="0.25">
      <c r="A221" s="331">
        <v>1912</v>
      </c>
      <c r="B221" s="332">
        <v>45802</v>
      </c>
      <c r="C221" s="333">
        <v>2025</v>
      </c>
      <c r="D221" s="6">
        <f>YEAR(PA[[#This Row],[Date]])</f>
        <v>2025</v>
      </c>
      <c r="E221" s="334" t="s">
        <v>73</v>
      </c>
      <c r="F221" s="335" t="s">
        <v>73</v>
      </c>
      <c r="G221" s="336">
        <v>45778</v>
      </c>
      <c r="H221" s="56">
        <f>DAY(EOMONTH(PA[[#This Row],[Date]], 0))</f>
        <v>31</v>
      </c>
      <c r="I221" s="60">
        <v>0.23958333333333334</v>
      </c>
      <c r="J221" s="60">
        <v>0.7715277777777777</v>
      </c>
      <c r="K221" s="53">
        <f>IFERROR((PA[[#This Row],[Sunset Time (POA&lt;20 W/m2)]]-PA[[#This Row],[Sunrise Time (POA&gt;20 W/m2)]])*24,"")</f>
        <v>12.766666666666664</v>
      </c>
      <c r="L221" s="59" t="s">
        <v>606</v>
      </c>
      <c r="M221" s="59"/>
      <c r="N221" s="59"/>
      <c r="O221" s="59" t="s">
        <v>601</v>
      </c>
      <c r="P221" s="56"/>
      <c r="Q221" s="6"/>
      <c r="R22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BLK7INV18</v>
      </c>
      <c r="S221" s="53">
        <f>_xlfn.XLOOKUP(PA[[#This Row],[Affected Equipment ]],'Basic Data '!$A:$A,'Basic Data '!$B:$B)</f>
        <v>267</v>
      </c>
      <c r="T221" s="90">
        <f>IFERROR(_xlfn.XLOOKUP(PA[[#This Row],[Affected Equipment ]],'Basic Data '!A:A,'Basic Data '!C:C),"")</f>
        <v>4.0000000000000001E-3</v>
      </c>
      <c r="U221" s="59" t="s">
        <v>566</v>
      </c>
      <c r="V221" s="88"/>
      <c r="W221" s="114" t="s">
        <v>729</v>
      </c>
      <c r="X221" s="60">
        <v>0.30555555555555552</v>
      </c>
      <c r="Y221" s="338">
        <v>0.375</v>
      </c>
      <c r="Z221" s="60">
        <v>0.30555555555555552</v>
      </c>
      <c r="AA221" s="60">
        <v>0.31944444444444448</v>
      </c>
      <c r="AB221" s="158">
        <f>IF(PA[[#This Row],[Acknowledgement Time ]]="NA","",(PA[[#This Row],[Acknowledgement Time ]]-PA[[#This Row],[Fault Time]])*24)</f>
        <v>1.6666666666666674</v>
      </c>
      <c r="AC221" s="158">
        <f>IF(PA[[#This Row],[Work Start time on Fault]]="NA","",(PA[[#This Row],[Work Start time on Fault]]-PA[[#This Row],[Fault Time]])*24)</f>
        <v>0</v>
      </c>
      <c r="AD221" s="112">
        <f>IF(PA[[#This Row],[Status]]="Open","",(PA[[#This Row],[Work Completion time on fault]]-PA[[#This Row],[Fault Time]])*24)</f>
        <v>0.33333333333333481</v>
      </c>
      <c r="AE221" s="111">
        <f>IFERROR((PA[[#This Row],[Work Completion time on fault]]-PA[[#This Row],[Fault Time]])*24,"")</f>
        <v>0.33333333333333481</v>
      </c>
      <c r="AF221" s="228" t="s">
        <v>636</v>
      </c>
      <c r="AG221" s="6" t="s">
        <v>1275</v>
      </c>
      <c r="AH221" s="53">
        <f>IFERROR(PA[[#This Row],[Breakdown Time]]*PA[[#This Row],[Plant Equivalent Weightage]],"")</f>
        <v>1.3333333333333394E-3</v>
      </c>
      <c r="AI221" s="59">
        <v>0.34899999999999998</v>
      </c>
      <c r="AJ221" s="89">
        <f>IFERROR(IF(PA[[#This Row],[Lost PoA(kWh/m2)]]&gt;0,_xlfn.XLOOKUP(G221,'Modelling New'!$D:$D,'Modelling New'!$O:$O)*PA[[#This Row],[Lost PoA(kWh/m2)]]*S221,0),"")</f>
        <v>70.550731149083944</v>
      </c>
    </row>
    <row r="222" spans="1:36" hidden="1" x14ac:dyDescent="0.25">
      <c r="A222" s="331">
        <v>1913</v>
      </c>
      <c r="B222" s="332">
        <v>45803</v>
      </c>
      <c r="C222" s="333">
        <v>2025</v>
      </c>
      <c r="D222" s="6">
        <f>YEAR(PA[[#This Row],[Date]])</f>
        <v>2025</v>
      </c>
      <c r="E222" s="334" t="s">
        <v>73</v>
      </c>
      <c r="F222" s="335" t="s">
        <v>73</v>
      </c>
      <c r="G222" s="336">
        <v>45778</v>
      </c>
      <c r="H222" s="56">
        <f>DAY(EOMONTH(PA[[#This Row],[Date]], 0))</f>
        <v>31</v>
      </c>
      <c r="I222" s="60">
        <v>0.21805555555555556</v>
      </c>
      <c r="J222" s="60">
        <v>0.7715277777777777</v>
      </c>
      <c r="K222" s="53">
        <f>IFERROR((PA[[#This Row],[Sunset Time (POA&lt;20 W/m2)]]-PA[[#This Row],[Sunrise Time (POA&gt;20 W/m2)]])*24,"")</f>
        <v>13.283333333333331</v>
      </c>
      <c r="L222" s="59" t="s">
        <v>579</v>
      </c>
      <c r="M222" s="59" t="s">
        <v>588</v>
      </c>
      <c r="N222" s="59"/>
      <c r="O222" s="59"/>
      <c r="P222" s="56"/>
      <c r="Q222" s="6"/>
      <c r="R22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BLK8LT1</v>
      </c>
      <c r="S222" s="53">
        <f>_xlfn.XLOOKUP(PA[[#This Row],[Affected Equipment ]],'Basic Data '!$A:$A,'Basic Data '!$B:$B)</f>
        <v>3947.5</v>
      </c>
      <c r="T222" s="90">
        <f>IFERROR(_xlfn.XLOOKUP(PA[[#This Row],[Affected Equipment ]],'Basic Data '!A:A,'Basic Data '!C:C),"")</f>
        <v>5.9138576779026217E-2</v>
      </c>
      <c r="U222" s="59" t="s">
        <v>573</v>
      </c>
      <c r="V222" s="88"/>
      <c r="W222" s="114" t="s">
        <v>730</v>
      </c>
      <c r="X222" s="60">
        <v>0.43611111111111112</v>
      </c>
      <c r="Y222" s="60">
        <v>0.43611111111111112</v>
      </c>
      <c r="Z222" s="60">
        <v>0.43958333333333338</v>
      </c>
      <c r="AA222" s="60">
        <v>0.44444444444444442</v>
      </c>
      <c r="AB222" s="158">
        <f>IF(PA[[#This Row],[Acknowledgement Time ]]="NA","",(PA[[#This Row],[Acknowledgement Time ]]-PA[[#This Row],[Fault Time]])*24)</f>
        <v>0</v>
      </c>
      <c r="AC222" s="158">
        <f>IF(PA[[#This Row],[Work Start time on Fault]]="NA","",(PA[[#This Row],[Work Start time on Fault]]-PA[[#This Row],[Fault Time]])*24)</f>
        <v>8.333333333333437E-2</v>
      </c>
      <c r="AD222" s="112">
        <f>IF(PA[[#This Row],[Status]]="Open","",(PA[[#This Row],[Work Completion time on fault]]-PA[[#This Row],[Fault Time]])*24)</f>
        <v>0.19999999999999929</v>
      </c>
      <c r="AE222" s="111">
        <f>IFERROR((PA[[#This Row],[Work Completion time on fault]]-PA[[#This Row],[Fault Time]])*24,"")</f>
        <v>0.19999999999999929</v>
      </c>
      <c r="AF222" s="228" t="s">
        <v>731</v>
      </c>
      <c r="AG222" s="6" t="s">
        <v>1275</v>
      </c>
      <c r="AH222" s="53">
        <f>IFERROR(PA[[#This Row],[Breakdown Time]]*PA[[#This Row],[Plant Equivalent Weightage]],"")</f>
        <v>1.1827715355805202E-2</v>
      </c>
      <c r="AI222" s="59">
        <v>0.113</v>
      </c>
      <c r="AJ222" s="89">
        <f>IFERROR(IF(PA[[#This Row],[Lost PoA(kWh/m2)]]&gt;0,_xlfn.XLOOKUP(G222,'Modelling New'!$D:$D,'Modelling New'!$O:$O)*PA[[#This Row],[Lost PoA(kWh/m2)]]*S222,0),"")</f>
        <v>337.72671267123837</v>
      </c>
    </row>
    <row r="223" spans="1:36" hidden="1" x14ac:dyDescent="0.25">
      <c r="A223" s="331">
        <v>1914</v>
      </c>
      <c r="B223" s="332">
        <v>45803</v>
      </c>
      <c r="C223" s="333">
        <v>2025</v>
      </c>
      <c r="D223" s="6">
        <f>YEAR(PA[[#This Row],[Date]])</f>
        <v>2025</v>
      </c>
      <c r="E223" s="334" t="s">
        <v>73</v>
      </c>
      <c r="F223" s="335" t="s">
        <v>73</v>
      </c>
      <c r="G223" s="336">
        <v>45778</v>
      </c>
      <c r="H223" s="56">
        <f>DAY(EOMONTH(PA[[#This Row],[Date]], 0))</f>
        <v>31</v>
      </c>
      <c r="I223" s="60">
        <v>0.21805555555555556</v>
      </c>
      <c r="J223" s="60">
        <v>0.7715277777777777</v>
      </c>
      <c r="K223" s="53">
        <f>IFERROR((PA[[#This Row],[Sunset Time (POA&lt;20 W/m2)]]-PA[[#This Row],[Sunrise Time (POA&gt;20 W/m2)]])*24,"")</f>
        <v>13.283333333333331</v>
      </c>
      <c r="L223" s="59" t="s">
        <v>606</v>
      </c>
      <c r="M223" s="59"/>
      <c r="N223" s="59"/>
      <c r="O223" s="59" t="s">
        <v>601</v>
      </c>
      <c r="P223" s="56"/>
      <c r="Q223" s="6"/>
      <c r="R22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BLK7INV18</v>
      </c>
      <c r="S223" s="53">
        <f>_xlfn.XLOOKUP(PA[[#This Row],[Affected Equipment ]],'Basic Data '!$A:$A,'Basic Data '!$B:$B)</f>
        <v>267</v>
      </c>
      <c r="T223" s="90">
        <f>IFERROR(_xlfn.XLOOKUP(PA[[#This Row],[Affected Equipment ]],'Basic Data '!A:A,'Basic Data '!C:C),"")</f>
        <v>4.0000000000000001E-3</v>
      </c>
      <c r="U223" s="59" t="s">
        <v>566</v>
      </c>
      <c r="V223" s="88"/>
      <c r="W223" s="114" t="s">
        <v>732</v>
      </c>
      <c r="X223" s="60">
        <v>0.47916666666666669</v>
      </c>
      <c r="Y223" s="60">
        <v>0.47916666666666669</v>
      </c>
      <c r="Z223" s="60">
        <v>0.4826388888888889</v>
      </c>
      <c r="AA223" s="60">
        <v>0.50972222222222219</v>
      </c>
      <c r="AB223" s="158">
        <f>IF(PA[[#This Row],[Acknowledgement Time ]]="NA","",(PA[[#This Row],[Acknowledgement Time ]]-PA[[#This Row],[Fault Time]])*24)</f>
        <v>0</v>
      </c>
      <c r="AC223" s="158">
        <f>IF(PA[[#This Row],[Work Start time on Fault]]="NA","",(PA[[#This Row],[Work Start time on Fault]]-PA[[#This Row],[Fault Time]])*24)</f>
        <v>8.3333333333333037E-2</v>
      </c>
      <c r="AD223" s="112">
        <f>IF(PA[[#This Row],[Status]]="Open","",(PA[[#This Row],[Work Completion time on fault]]-PA[[#This Row],[Fault Time]])*24)</f>
        <v>0.73333333333333206</v>
      </c>
      <c r="AE223" s="111">
        <f>IFERROR((PA[[#This Row],[Work Completion time on fault]]-PA[[#This Row],[Fault Time]])*24,"")</f>
        <v>0.73333333333333206</v>
      </c>
      <c r="AF223" s="228" t="s">
        <v>636</v>
      </c>
      <c r="AG223" s="6" t="s">
        <v>1275</v>
      </c>
      <c r="AH223" s="53">
        <f>IFERROR(PA[[#This Row],[Breakdown Time]]*PA[[#This Row],[Plant Equivalent Weightage]],"")</f>
        <v>2.9333333333333282E-3</v>
      </c>
      <c r="AI223" s="59">
        <v>0.39300000000000002</v>
      </c>
      <c r="AJ223" s="89">
        <f>IFERROR(IF(PA[[#This Row],[Lost PoA(kWh/m2)]]&gt;0,_xlfn.XLOOKUP(G223,'Modelling New'!$D:$D,'Modelling New'!$O:$O)*PA[[#This Row],[Lost PoA(kWh/m2)]]*S223,0),"")</f>
        <v>79.445379202263595</v>
      </c>
    </row>
    <row r="224" spans="1:36" hidden="1" x14ac:dyDescent="0.25">
      <c r="A224" s="331">
        <v>1915</v>
      </c>
      <c r="B224" s="332">
        <v>45803</v>
      </c>
      <c r="C224" s="333">
        <v>2025</v>
      </c>
      <c r="D224" s="6">
        <f>YEAR(PA[[#This Row],[Date]])</f>
        <v>2025</v>
      </c>
      <c r="E224" s="334" t="s">
        <v>73</v>
      </c>
      <c r="F224" s="335" t="s">
        <v>73</v>
      </c>
      <c r="G224" s="336">
        <v>45778</v>
      </c>
      <c r="H224" s="56">
        <f>DAY(EOMONTH(PA[[#This Row],[Date]], 0))</f>
        <v>31</v>
      </c>
      <c r="I224" s="60">
        <v>0.21805555555555556</v>
      </c>
      <c r="J224" s="60">
        <v>0.7715277777777777</v>
      </c>
      <c r="K224" s="53">
        <f>IFERROR((PA[[#This Row],[Sunset Time (POA&lt;20 W/m2)]]-PA[[#This Row],[Sunrise Time (POA&gt;20 W/m2)]])*24,"")</f>
        <v>13.283333333333331</v>
      </c>
      <c r="L224" s="59" t="s">
        <v>564</v>
      </c>
      <c r="M224" s="59"/>
      <c r="N224" s="59"/>
      <c r="O224" s="59" t="s">
        <v>575</v>
      </c>
      <c r="P224" s="56"/>
      <c r="Q224" s="6"/>
      <c r="R22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BLK5INV23</v>
      </c>
      <c r="S224" s="53">
        <v>22.25</v>
      </c>
      <c r="T224" s="90">
        <f>IFERROR(_xlfn.XLOOKUP(PA[[#This Row],[Affected Equipment ]],'Basic Data '!A:A,'Basic Data '!C:C),"")</f>
        <v>3.6666666666666666E-3</v>
      </c>
      <c r="U224" s="339" t="s">
        <v>697</v>
      </c>
      <c r="V224" s="88"/>
      <c r="W224" s="114" t="s">
        <v>733</v>
      </c>
      <c r="X224" s="60">
        <v>0.21805555555555556</v>
      </c>
      <c r="Y224" s="60">
        <v>0.375</v>
      </c>
      <c r="Z224" s="60">
        <v>0.50347222222222221</v>
      </c>
      <c r="AA224" s="60">
        <v>0.52777777777777779</v>
      </c>
      <c r="AB224" s="158">
        <f>IF(PA[[#This Row],[Acknowledgement Time ]]="NA","",(PA[[#This Row],[Acknowledgement Time ]]-PA[[#This Row],[Fault Time]])*24)</f>
        <v>3.7666666666666666</v>
      </c>
      <c r="AC224" s="158">
        <f>IF(PA[[#This Row],[Work Start time on Fault]]="NA","",(PA[[#This Row],[Work Start time on Fault]]-PA[[#This Row],[Fault Time]])*24)</f>
        <v>6.85</v>
      </c>
      <c r="AD224" s="112">
        <f>IF(PA[[#This Row],[Status]]="Open","",(PA[[#This Row],[Work Completion time on fault]]-PA[[#This Row],[Fault Time]])*24)</f>
        <v>7.4333333333333336</v>
      </c>
      <c r="AE224" s="111">
        <f>IFERROR((PA[[#This Row],[Work Completion time on fault]]-PA[[#This Row],[Fault Time]])*24,"")</f>
        <v>7.4333333333333336</v>
      </c>
      <c r="AF224" s="228" t="s">
        <v>728</v>
      </c>
      <c r="AG224" s="6" t="s">
        <v>1275</v>
      </c>
      <c r="AH224" s="53">
        <f>IFERROR(PA[[#This Row],[Breakdown Time]]*PA[[#This Row],[Plant Equivalent Weightage]],"")</f>
        <v>2.7255555555555557E-2</v>
      </c>
      <c r="AI224" s="59">
        <v>2.319</v>
      </c>
      <c r="AJ224" s="89">
        <f>IFERROR(IF(PA[[#This Row],[Lost PoA(kWh/m2)]]&gt;0,_xlfn.XLOOKUP(G224,'Modelling New'!$D:$D,'Modelling New'!$O:$O)*PA[[#This Row],[Lost PoA(kWh/m2)]]*S224,0),"")</f>
        <v>39.065698551749207</v>
      </c>
    </row>
    <row r="225" spans="1:36" hidden="1" x14ac:dyDescent="0.25">
      <c r="A225" s="331">
        <v>1916</v>
      </c>
      <c r="B225" s="332">
        <v>45803</v>
      </c>
      <c r="C225" s="333">
        <v>2025</v>
      </c>
      <c r="D225" s="6">
        <f>YEAR(PA[[#This Row],[Date]])</f>
        <v>2025</v>
      </c>
      <c r="E225" s="334" t="s">
        <v>73</v>
      </c>
      <c r="F225" s="335" t="s">
        <v>73</v>
      </c>
      <c r="G225" s="336">
        <v>45778</v>
      </c>
      <c r="H225" s="56">
        <f>DAY(EOMONTH(PA[[#This Row],[Date]], 0))</f>
        <v>31</v>
      </c>
      <c r="I225" s="60">
        <v>0.21805555555555556</v>
      </c>
      <c r="J225" s="60">
        <v>0.7715277777777777</v>
      </c>
      <c r="K225" s="53">
        <f>IFERROR((PA[[#This Row],[Sunset Time (POA&lt;20 W/m2)]]-PA[[#This Row],[Sunrise Time (POA&gt;20 W/m2)]])*24,"")</f>
        <v>13.283333333333331</v>
      </c>
      <c r="L225" s="59" t="s">
        <v>587</v>
      </c>
      <c r="M225" s="59"/>
      <c r="N225" s="59"/>
      <c r="O225" s="59" t="s">
        <v>600</v>
      </c>
      <c r="P225" s="56"/>
      <c r="Q225" s="6"/>
      <c r="R22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BLK1INV17</v>
      </c>
      <c r="S225" s="53">
        <v>22.25</v>
      </c>
      <c r="T225" s="90">
        <f>IFERROR(_xlfn.XLOOKUP(PA[[#This Row],[Affected Equipment ]],'Basic Data '!A:A,'Basic Data '!C:C),"")</f>
        <v>4.0000000000000001E-3</v>
      </c>
      <c r="U225" s="339" t="s">
        <v>697</v>
      </c>
      <c r="V225" s="88"/>
      <c r="W225" s="266" t="s">
        <v>722</v>
      </c>
      <c r="X225" s="60">
        <v>0.21805555555555556</v>
      </c>
      <c r="Y225" s="60">
        <v>0.375</v>
      </c>
      <c r="Z225" s="60">
        <v>0.52430555555555558</v>
      </c>
      <c r="AA225" s="60">
        <v>0.54166666666666663</v>
      </c>
      <c r="AB225" s="158">
        <f>IF(PA[[#This Row],[Acknowledgement Time ]]="NA","",(PA[[#This Row],[Acknowledgement Time ]]-PA[[#This Row],[Fault Time]])*24)</f>
        <v>3.7666666666666666</v>
      </c>
      <c r="AC225" s="158">
        <f>IF(PA[[#This Row],[Work Start time on Fault]]="NA","",(PA[[#This Row],[Work Start time on Fault]]-PA[[#This Row],[Fault Time]])*24)</f>
        <v>7.3500000000000005</v>
      </c>
      <c r="AD225" s="112">
        <f>IF(PA[[#This Row],[Status]]="Open","",(PA[[#This Row],[Work Completion time on fault]]-PA[[#This Row],[Fault Time]])*24)</f>
        <v>7.7666666666666657</v>
      </c>
      <c r="AE225" s="111">
        <f>IFERROR((PA[[#This Row],[Work Completion time on fault]]-PA[[#This Row],[Fault Time]])*24,"")</f>
        <v>7.7666666666666657</v>
      </c>
      <c r="AF225" s="266" t="s">
        <v>722</v>
      </c>
      <c r="AG225" s="6" t="s">
        <v>1275</v>
      </c>
      <c r="AH225" s="53">
        <f>IFERROR(PA[[#This Row],[Breakdown Time]]*PA[[#This Row],[Plant Equivalent Weightage]],"")</f>
        <v>3.1066666666666663E-2</v>
      </c>
      <c r="AI225" s="59">
        <v>2.46</v>
      </c>
      <c r="AJ225" s="89">
        <f>IFERROR(IF(PA[[#This Row],[Lost PoA(kWh/m2)]]&gt;0,_xlfn.XLOOKUP(G225,'Modelling New'!$D:$D,'Modelling New'!$O:$O)*PA[[#This Row],[Lost PoA(kWh/m2)]]*S225,0),"")</f>
        <v>41.440973884132404</v>
      </c>
    </row>
    <row r="226" spans="1:36" hidden="1" x14ac:dyDescent="0.25">
      <c r="A226" s="331">
        <v>1917</v>
      </c>
      <c r="B226" s="332">
        <v>45803</v>
      </c>
      <c r="C226" s="333">
        <v>2025</v>
      </c>
      <c r="D226" s="6">
        <f>YEAR(PA[[#This Row],[Date]])</f>
        <v>2025</v>
      </c>
      <c r="E226" s="334" t="s">
        <v>73</v>
      </c>
      <c r="F226" s="335" t="s">
        <v>73</v>
      </c>
      <c r="G226" s="336">
        <v>45778</v>
      </c>
      <c r="H226" s="56">
        <f>DAY(EOMONTH(PA[[#This Row],[Date]], 0))</f>
        <v>31</v>
      </c>
      <c r="I226" s="60">
        <v>0.21805555555555556</v>
      </c>
      <c r="J226" s="60">
        <v>0.7715277777777777</v>
      </c>
      <c r="K226" s="53">
        <f>IFERROR((PA[[#This Row],[Sunset Time (POA&lt;20 W/m2)]]-PA[[#This Row],[Sunrise Time (POA&gt;20 W/m2)]])*24,"")</f>
        <v>13.283333333333331</v>
      </c>
      <c r="L226" s="59" t="s">
        <v>587</v>
      </c>
      <c r="M226" s="59" t="s">
        <v>560</v>
      </c>
      <c r="N226" s="59"/>
      <c r="O226" s="59"/>
      <c r="P226" s="56"/>
      <c r="Q226" s="6"/>
      <c r="R22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BLK1LT2</v>
      </c>
      <c r="S226" s="53">
        <f>_xlfn.XLOOKUP(PA[[#This Row],[Affected Equipment ]],'Basic Data '!$A:$A,'Basic Data '!$B:$B)</f>
        <v>4605.75</v>
      </c>
      <c r="T226" s="90">
        <f>IFERROR(_xlfn.XLOOKUP(PA[[#This Row],[Affected Equipment ]],'Basic Data '!A:A,'Basic Data '!C:C),"")</f>
        <v>6.9000000000000006E-2</v>
      </c>
      <c r="U226" s="59" t="s">
        <v>573</v>
      </c>
      <c r="V226" s="88"/>
      <c r="W226" s="114" t="s">
        <v>730</v>
      </c>
      <c r="X226" s="60">
        <v>0.5541666666666667</v>
      </c>
      <c r="Y226" s="60">
        <v>0.5541666666666667</v>
      </c>
      <c r="Z226" s="60">
        <v>0.56180555555555556</v>
      </c>
      <c r="AA226" s="60">
        <v>0.56180555555555556</v>
      </c>
      <c r="AB226" s="158">
        <f>IF(PA[[#This Row],[Acknowledgement Time ]]="NA","",(PA[[#This Row],[Acknowledgement Time ]]-PA[[#This Row],[Fault Time]])*24)</f>
        <v>0</v>
      </c>
      <c r="AC226" s="158">
        <f>IF(PA[[#This Row],[Work Start time on Fault]]="NA","",(PA[[#This Row],[Work Start time on Fault]]-PA[[#This Row],[Fault Time]])*24)</f>
        <v>0.18333333333333268</v>
      </c>
      <c r="AD226" s="112">
        <f>IF(PA[[#This Row],[Status]]="Open","",(PA[[#This Row],[Work Completion time on fault]]-PA[[#This Row],[Fault Time]])*24)</f>
        <v>0.18333333333333268</v>
      </c>
      <c r="AE226" s="111">
        <f>IFERROR((PA[[#This Row],[Work Completion time on fault]]-PA[[#This Row],[Fault Time]])*24,"")</f>
        <v>0.18333333333333268</v>
      </c>
      <c r="AF226" s="228" t="s">
        <v>731</v>
      </c>
      <c r="AG226" s="6" t="s">
        <v>1275</v>
      </c>
      <c r="AH226" s="53">
        <f>IFERROR(PA[[#This Row],[Breakdown Time]]*PA[[#This Row],[Plant Equivalent Weightage]],"")</f>
        <v>1.2649999999999956E-2</v>
      </c>
      <c r="AI226" s="59">
        <v>0.111</v>
      </c>
      <c r="AJ226" s="89">
        <f>IFERROR(IF(PA[[#This Row],[Lost PoA(kWh/m2)]]&gt;0,_xlfn.XLOOKUP(G226,'Modelling New'!$D:$D,'Modelling New'!$O:$O)*PA[[#This Row],[Lost PoA(kWh/m2)]]*S226,0),"")</f>
        <v>387.06880363240259</v>
      </c>
    </row>
    <row r="227" spans="1:36" hidden="1" x14ac:dyDescent="0.25">
      <c r="A227" s="331">
        <v>1918</v>
      </c>
      <c r="B227" s="332">
        <v>45804</v>
      </c>
      <c r="C227" s="333">
        <v>2025</v>
      </c>
      <c r="D227" s="6">
        <f>YEAR(PA[[#This Row],[Date]])</f>
        <v>2025</v>
      </c>
      <c r="E227" s="334" t="s">
        <v>73</v>
      </c>
      <c r="F227" s="335" t="s">
        <v>73</v>
      </c>
      <c r="G227" s="336">
        <v>45778</v>
      </c>
      <c r="H227" s="56">
        <f>DAY(EOMONTH(PA[[#This Row],[Date]], 0))</f>
        <v>31</v>
      </c>
      <c r="I227" s="60">
        <v>0.21527777777777779</v>
      </c>
      <c r="J227" s="60">
        <v>0.7715277777777777</v>
      </c>
      <c r="K227" s="53">
        <f>IFERROR((PA[[#This Row],[Sunset Time (POA&lt;20 W/m2)]]-PA[[#This Row],[Sunrise Time (POA&gt;20 W/m2)]])*24,"")</f>
        <v>13.349999999999998</v>
      </c>
      <c r="L227" s="59" t="s">
        <v>564</v>
      </c>
      <c r="M227" s="59"/>
      <c r="N227" s="59"/>
      <c r="O227" s="59" t="s">
        <v>565</v>
      </c>
      <c r="P227" s="56"/>
      <c r="Q227" s="6"/>
      <c r="R22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v>
      </c>
      <c r="S227" s="53">
        <v>22.25</v>
      </c>
      <c r="T227" s="90">
        <f>IFERROR(_xlfn.XLOOKUP(PA[[#This Row],[Affected Equipment ]],'Basic Data '!A:A,'Basic Data '!C:C),"")</f>
        <v>4.4999999999999997E-3</v>
      </c>
      <c r="U227" s="339" t="s">
        <v>697</v>
      </c>
      <c r="V227" s="88"/>
      <c r="W227" s="266" t="s">
        <v>722</v>
      </c>
      <c r="X227" s="60">
        <v>0.21875</v>
      </c>
      <c r="Y227" s="60">
        <v>0.375</v>
      </c>
      <c r="Z227" s="60">
        <v>0.68402777777777779</v>
      </c>
      <c r="AA227" s="60">
        <v>0.68402777777777779</v>
      </c>
      <c r="AB227" s="158">
        <f>IF(PA[[#This Row],[Acknowledgement Time ]]="NA","",(PA[[#This Row],[Acknowledgement Time ]]-PA[[#This Row],[Fault Time]])*24)</f>
        <v>3.75</v>
      </c>
      <c r="AC227" s="158">
        <f>IF(PA[[#This Row],[Work Start time on Fault]]="NA","",(PA[[#This Row],[Work Start time on Fault]]-PA[[#This Row],[Fault Time]])*24)</f>
        <v>11.166666666666668</v>
      </c>
      <c r="AD227" s="112">
        <f>IF(PA[[#This Row],[Status]]="Open","",(PA[[#This Row],[Work Completion time on fault]]-PA[[#This Row],[Fault Time]])*24)</f>
        <v>11.166666666666668</v>
      </c>
      <c r="AE227" s="111">
        <f>IFERROR((PA[[#This Row],[Work Completion time on fault]]-PA[[#This Row],[Fault Time]])*24,"")</f>
        <v>11.166666666666668</v>
      </c>
      <c r="AF227" s="266" t="s">
        <v>722</v>
      </c>
      <c r="AG227" s="6" t="s">
        <v>1275</v>
      </c>
      <c r="AH227" s="53">
        <f>IFERROR(PA[[#This Row],[Breakdown Time]]*PA[[#This Row],[Plant Equivalent Weightage]],"")</f>
        <v>5.0250000000000003E-2</v>
      </c>
      <c r="AI227" s="59">
        <v>5</v>
      </c>
      <c r="AJ227" s="89">
        <f>IFERROR(IF(PA[[#This Row],[Lost PoA(kWh/m2)]]&gt;0,_xlfn.XLOOKUP(G227,'Modelling New'!$D:$D,'Modelling New'!$O:$O)*PA[[#This Row],[Lost PoA(kWh/m2)]]*S227,0),"")</f>
        <v>84.229621715716277</v>
      </c>
    </row>
    <row r="228" spans="1:36" hidden="1" x14ac:dyDescent="0.25">
      <c r="A228" s="331">
        <v>1919</v>
      </c>
      <c r="B228" s="332">
        <v>45804</v>
      </c>
      <c r="C228" s="333">
        <v>2025</v>
      </c>
      <c r="D228" s="6">
        <f>YEAR(PA[[#This Row],[Date]])</f>
        <v>2025</v>
      </c>
      <c r="E228" s="334" t="s">
        <v>73</v>
      </c>
      <c r="F228" s="335" t="s">
        <v>73</v>
      </c>
      <c r="G228" s="336">
        <v>45778</v>
      </c>
      <c r="H228" s="56">
        <f>DAY(EOMONTH(PA[[#This Row],[Date]], 0))</f>
        <v>31</v>
      </c>
      <c r="I228" s="60">
        <v>0.21527777777777779</v>
      </c>
      <c r="J228" s="60">
        <v>0.7715277777777777</v>
      </c>
      <c r="K228" s="53">
        <f>IFERROR((PA[[#This Row],[Sunset Time (POA&lt;20 W/m2)]]-PA[[#This Row],[Sunrise Time (POA&gt;20 W/m2)]])*24,"")</f>
        <v>13.349999999999998</v>
      </c>
      <c r="L228" s="59" t="s">
        <v>564</v>
      </c>
      <c r="M228" s="59"/>
      <c r="N228" s="59"/>
      <c r="O228" s="59" t="s">
        <v>571</v>
      </c>
      <c r="P228" s="56"/>
      <c r="Q228" s="6"/>
      <c r="R22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v>
      </c>
      <c r="S228" s="53">
        <v>22.25</v>
      </c>
      <c r="T228" s="90">
        <f>IFERROR(_xlfn.XLOOKUP(PA[[#This Row],[Affected Equipment ]],'Basic Data '!A:A,'Basic Data '!C:C),"")</f>
        <v>4.0000000000000001E-3</v>
      </c>
      <c r="U228" s="339" t="s">
        <v>697</v>
      </c>
      <c r="V228" s="88"/>
      <c r="W228" s="266" t="s">
        <v>722</v>
      </c>
      <c r="X228" s="60">
        <v>0.21875</v>
      </c>
      <c r="Y228" s="60">
        <v>0.375</v>
      </c>
      <c r="Z228" s="60">
        <v>0.67291666666666661</v>
      </c>
      <c r="AA228" s="60">
        <v>0.67291666666666661</v>
      </c>
      <c r="AB228" s="158">
        <f>IF(PA[[#This Row],[Acknowledgement Time ]]="NA","",(PA[[#This Row],[Acknowledgement Time ]]-PA[[#This Row],[Fault Time]])*24)</f>
        <v>3.75</v>
      </c>
      <c r="AC228" s="158">
        <f>IF(PA[[#This Row],[Work Start time on Fault]]="NA","",(PA[[#This Row],[Work Start time on Fault]]-PA[[#This Row],[Fault Time]])*24)</f>
        <v>10.899999999999999</v>
      </c>
      <c r="AD228" s="112">
        <f>IF(PA[[#This Row],[Status]]="Open","",(PA[[#This Row],[Work Completion time on fault]]-PA[[#This Row],[Fault Time]])*24)</f>
        <v>10.899999999999999</v>
      </c>
      <c r="AE228" s="111">
        <f>IFERROR((PA[[#This Row],[Work Completion time on fault]]-PA[[#This Row],[Fault Time]])*24,"")</f>
        <v>10.899999999999999</v>
      </c>
      <c r="AF228" s="266" t="s">
        <v>722</v>
      </c>
      <c r="AG228" s="6" t="s">
        <v>1275</v>
      </c>
      <c r="AH228" s="53">
        <f>IFERROR(PA[[#This Row],[Breakdown Time]]*PA[[#This Row],[Plant Equivalent Weightage]],"")</f>
        <v>4.3599999999999993E-2</v>
      </c>
      <c r="AI228" s="59">
        <v>4.3</v>
      </c>
      <c r="AJ228" s="89">
        <f>IFERROR(IF(PA[[#This Row],[Lost PoA(kWh/m2)]]&gt;0,_xlfn.XLOOKUP(G228,'Modelling New'!$D:$D,'Modelling New'!$O:$O)*PA[[#This Row],[Lost PoA(kWh/m2)]]*S228,0),"")</f>
        <v>72.437474675515986</v>
      </c>
    </row>
    <row r="229" spans="1:36" hidden="1" x14ac:dyDescent="0.25">
      <c r="A229" s="331">
        <v>1920</v>
      </c>
      <c r="B229" s="332">
        <v>45804</v>
      </c>
      <c r="C229" s="333">
        <v>2025</v>
      </c>
      <c r="D229" s="6">
        <f>YEAR(PA[[#This Row],[Date]])</f>
        <v>2025</v>
      </c>
      <c r="E229" s="334" t="s">
        <v>73</v>
      </c>
      <c r="F229" s="335" t="s">
        <v>73</v>
      </c>
      <c r="G229" s="336">
        <v>45778</v>
      </c>
      <c r="H229" s="56">
        <f>DAY(EOMONTH(PA[[#This Row],[Date]], 0))</f>
        <v>31</v>
      </c>
      <c r="I229" s="60">
        <v>0.21527777777777779</v>
      </c>
      <c r="J229" s="60">
        <v>0.7715277777777777</v>
      </c>
      <c r="K229" s="53">
        <f>IFERROR((PA[[#This Row],[Sunset Time (POA&lt;20 W/m2)]]-PA[[#This Row],[Sunrise Time (POA&gt;20 W/m2)]])*24,"")</f>
        <v>13.349999999999998</v>
      </c>
      <c r="L229" s="59" t="s">
        <v>564</v>
      </c>
      <c r="M229" s="59"/>
      <c r="N229" s="59"/>
      <c r="O229" s="59" t="s">
        <v>581</v>
      </c>
      <c r="P229" s="56"/>
      <c r="Q229" s="6"/>
      <c r="R22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BLK5INV32</v>
      </c>
      <c r="S229" s="53">
        <v>22.25</v>
      </c>
      <c r="T229" s="90">
        <f>IFERROR(_xlfn.XLOOKUP(PA[[#This Row],[Affected Equipment ]],'Basic Data '!A:A,'Basic Data '!C:C),"")</f>
        <v>4.0000000000000001E-3</v>
      </c>
      <c r="U229" s="339" t="s">
        <v>697</v>
      </c>
      <c r="V229" s="88"/>
      <c r="W229" s="266" t="s">
        <v>722</v>
      </c>
      <c r="X229" s="60">
        <v>0.21875</v>
      </c>
      <c r="Y229" s="60">
        <v>0.375</v>
      </c>
      <c r="Z229" s="60">
        <v>0.65972222222222221</v>
      </c>
      <c r="AA229" s="60">
        <v>0.65972222222222221</v>
      </c>
      <c r="AB229" s="158">
        <f>IF(PA[[#This Row],[Acknowledgement Time ]]="NA","",(PA[[#This Row],[Acknowledgement Time ]]-PA[[#This Row],[Fault Time]])*24)</f>
        <v>3.75</v>
      </c>
      <c r="AC229" s="158">
        <f>IF(PA[[#This Row],[Work Start time on Fault]]="NA","",(PA[[#This Row],[Work Start time on Fault]]-PA[[#This Row],[Fault Time]])*24)</f>
        <v>10.583333333333332</v>
      </c>
      <c r="AD229" s="112">
        <f>IF(PA[[#This Row],[Status]]="Open","",(PA[[#This Row],[Work Completion time on fault]]-PA[[#This Row],[Fault Time]])*24)</f>
        <v>10.583333333333332</v>
      </c>
      <c r="AE229" s="111">
        <f>IFERROR((PA[[#This Row],[Work Completion time on fault]]-PA[[#This Row],[Fault Time]])*24,"")</f>
        <v>10.583333333333332</v>
      </c>
      <c r="AF229" s="266" t="s">
        <v>722</v>
      </c>
      <c r="AG229" s="6" t="s">
        <v>1275</v>
      </c>
      <c r="AH229" s="53">
        <f>IFERROR(PA[[#This Row],[Breakdown Time]]*PA[[#This Row],[Plant Equivalent Weightage]],"")</f>
        <v>4.2333333333333327E-2</v>
      </c>
      <c r="AI229" s="59">
        <v>4.2</v>
      </c>
      <c r="AJ229" s="89">
        <f>IFERROR(IF(PA[[#This Row],[Lost PoA(kWh/m2)]]&gt;0,_xlfn.XLOOKUP(G229,'Modelling New'!$D:$D,'Modelling New'!$O:$O)*PA[[#This Row],[Lost PoA(kWh/m2)]]*S229,0),"")</f>
        <v>70.752882241201675</v>
      </c>
    </row>
    <row r="230" spans="1:36" ht="60" hidden="1" x14ac:dyDescent="0.25">
      <c r="A230" s="331">
        <v>1921</v>
      </c>
      <c r="B230" s="332">
        <v>45805</v>
      </c>
      <c r="C230" s="333">
        <v>2025</v>
      </c>
      <c r="D230" s="6">
        <f>YEAR(PA[[#This Row],[Date]])</f>
        <v>2025</v>
      </c>
      <c r="E230" s="334" t="s">
        <v>73</v>
      </c>
      <c r="F230" s="335" t="s">
        <v>73</v>
      </c>
      <c r="G230" s="336">
        <v>45778</v>
      </c>
      <c r="H230" s="56">
        <f>DAY(EOMONTH(PA[[#This Row],[Date]], 0))</f>
        <v>31</v>
      </c>
      <c r="I230" s="60">
        <v>0.21249999999999999</v>
      </c>
      <c r="J230" s="60">
        <v>0.7715277777777777</v>
      </c>
      <c r="K230" s="53">
        <f>IFERROR((PA[[#This Row],[Sunset Time (POA&lt;20 W/m2)]]-PA[[#This Row],[Sunrise Time (POA&gt;20 W/m2)]])*24,"")</f>
        <v>13.416666666666664</v>
      </c>
      <c r="L230" s="59" t="s">
        <v>587</v>
      </c>
      <c r="M230" s="59" t="s">
        <v>588</v>
      </c>
      <c r="N230" s="59"/>
      <c r="O230" s="59"/>
      <c r="P230" s="56"/>
      <c r="Q230" s="6"/>
      <c r="R23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BLK1LT1</v>
      </c>
      <c r="S230" s="53">
        <v>4338.75</v>
      </c>
      <c r="T230" s="90">
        <f>IFERROR(_xlfn.XLOOKUP(PA[[#This Row],[Affected Equipment ]],'Basic Data '!A:A,'Basic Data '!C:C),"")</f>
        <v>6.5000000000000002E-2</v>
      </c>
      <c r="U230" s="59" t="s">
        <v>573</v>
      </c>
      <c r="V230" s="88"/>
      <c r="W230" s="267" t="s">
        <v>734</v>
      </c>
      <c r="X230" s="60">
        <v>0.46597222222222223</v>
      </c>
      <c r="Y230" s="60">
        <v>0.46597222222222223</v>
      </c>
      <c r="Z230" s="60">
        <v>0.54166666666666663</v>
      </c>
      <c r="AA230" s="268">
        <v>0.54861111111111116</v>
      </c>
      <c r="AB230" s="158"/>
      <c r="AC230" s="158"/>
      <c r="AD230" s="112"/>
      <c r="AE230" s="111"/>
      <c r="AF230" s="22" t="s">
        <v>735</v>
      </c>
      <c r="AG230" s="6" t="s">
        <v>1275</v>
      </c>
      <c r="AH230" s="53">
        <f>IFERROR(PA[[#This Row],[Breakdown Time]]*PA[[#This Row],[Plant Equivalent Weightage]],"")</f>
        <v>0</v>
      </c>
      <c r="AI230" s="59">
        <v>1.746</v>
      </c>
      <c r="AJ230" s="89">
        <f>IFERROR(IF(PA[[#This Row],[Lost PoA(kWh/m2)]]&gt;0,_xlfn.XLOOKUP(G230,'Modelling New'!$D:$D,'Modelling New'!$O:$O)*PA[[#This Row],[Lost PoA(kWh/m2)]]*S230,0),"")</f>
        <v>5735.5318611099838</v>
      </c>
    </row>
    <row r="231" spans="1:36" ht="60" hidden="1" x14ac:dyDescent="0.25">
      <c r="A231" s="331">
        <v>1922</v>
      </c>
      <c r="B231" s="332">
        <v>45805</v>
      </c>
      <c r="C231" s="333">
        <v>2025</v>
      </c>
      <c r="D231" s="6">
        <f>YEAR(PA[[#This Row],[Date]])</f>
        <v>2025</v>
      </c>
      <c r="E231" s="334" t="s">
        <v>73</v>
      </c>
      <c r="F231" s="335" t="s">
        <v>73</v>
      </c>
      <c r="G231" s="336">
        <v>45778</v>
      </c>
      <c r="H231" s="56">
        <f>DAY(EOMONTH(PA[[#This Row],[Date]], 0))</f>
        <v>31</v>
      </c>
      <c r="I231" s="60">
        <v>0.21249999999999999</v>
      </c>
      <c r="J231" s="60">
        <v>0.7715277777777777</v>
      </c>
      <c r="K231" s="53">
        <f>IFERROR((PA[[#This Row],[Sunset Time (POA&lt;20 W/m2)]]-PA[[#This Row],[Sunrise Time (POA&gt;20 W/m2)]])*24,"")</f>
        <v>13.416666666666664</v>
      </c>
      <c r="L231" s="59" t="s">
        <v>587</v>
      </c>
      <c r="M231" s="59" t="s">
        <v>560</v>
      </c>
      <c r="N231" s="59"/>
      <c r="O231" s="59"/>
      <c r="P231" s="56"/>
      <c r="Q231" s="6"/>
      <c r="R23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BLK1LT2</v>
      </c>
      <c r="S231" s="53">
        <v>4605.75</v>
      </c>
      <c r="T231" s="90">
        <f>IFERROR(_xlfn.XLOOKUP(PA[[#This Row],[Affected Equipment ]],'Basic Data '!A:A,'Basic Data '!C:C),"")</f>
        <v>6.9000000000000006E-2</v>
      </c>
      <c r="U231" s="59" t="s">
        <v>573</v>
      </c>
      <c r="V231" s="88"/>
      <c r="W231" s="267" t="s">
        <v>734</v>
      </c>
      <c r="X231" s="60">
        <v>0.46597222222222223</v>
      </c>
      <c r="Y231" s="60">
        <v>0.46597222222222223</v>
      </c>
      <c r="Z231" s="60">
        <v>0.54166666666666663</v>
      </c>
      <c r="AA231" s="269">
        <v>0.54861111111111116</v>
      </c>
      <c r="AB231" s="158"/>
      <c r="AC231" s="158"/>
      <c r="AD231" s="112"/>
      <c r="AE231" s="111"/>
      <c r="AF231" s="22" t="s">
        <v>735</v>
      </c>
      <c r="AG231" s="6" t="s">
        <v>1275</v>
      </c>
      <c r="AH231" s="53">
        <f>IFERROR(PA[[#This Row],[Breakdown Time]]*PA[[#This Row],[Plant Equivalent Weightage]],"")</f>
        <v>0</v>
      </c>
      <c r="AI231" s="59">
        <v>1.746</v>
      </c>
      <c r="AJ231" s="89">
        <f>IFERROR(IF(PA[[#This Row],[Lost PoA(kWh/m2)]]&gt;0,_xlfn.XLOOKUP(G231,'Modelling New'!$D:$D,'Modelling New'!$O:$O)*PA[[#This Row],[Lost PoA(kWh/m2)]]*S231,0),"")</f>
        <v>6088.487667947521</v>
      </c>
    </row>
    <row r="232" spans="1:36" ht="60" hidden="1" x14ac:dyDescent="0.25">
      <c r="A232" s="331">
        <v>1923</v>
      </c>
      <c r="B232" s="332">
        <v>45805</v>
      </c>
      <c r="C232" s="333">
        <v>2025</v>
      </c>
      <c r="D232" s="6">
        <f>YEAR(PA[[#This Row],[Date]])</f>
        <v>2025</v>
      </c>
      <c r="E232" s="334" t="s">
        <v>73</v>
      </c>
      <c r="F232" s="335" t="s">
        <v>73</v>
      </c>
      <c r="G232" s="336">
        <v>45778</v>
      </c>
      <c r="H232" s="56">
        <f>DAY(EOMONTH(PA[[#This Row],[Date]], 0))</f>
        <v>31</v>
      </c>
      <c r="I232" s="60">
        <v>0.21249999999999999</v>
      </c>
      <c r="J232" s="60">
        <v>0.7715277777777777</v>
      </c>
      <c r="K232" s="53">
        <f>IFERROR((PA[[#This Row],[Sunset Time (POA&lt;20 W/m2)]]-PA[[#This Row],[Sunrise Time (POA&gt;20 W/m2)]])*24,"")</f>
        <v>13.416666666666664</v>
      </c>
      <c r="L232" s="59" t="s">
        <v>559</v>
      </c>
      <c r="M232" s="59" t="s">
        <v>588</v>
      </c>
      <c r="N232" s="59"/>
      <c r="O232" s="59"/>
      <c r="P232" s="56"/>
      <c r="Q232" s="6"/>
      <c r="R23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BLK2LT1</v>
      </c>
      <c r="S232" s="53">
        <f>_xlfn.XLOOKUP(PA[[#This Row],[Affected Equipment ]],'Basic Data '!$A:$A,'Basic Data '!$B:$B)</f>
        <v>4094</v>
      </c>
      <c r="T232" s="90">
        <f>IFERROR(_xlfn.XLOOKUP(PA[[#This Row],[Affected Equipment ]],'Basic Data '!A:A,'Basic Data '!C:C),"")</f>
        <v>6.133333333333333E-2</v>
      </c>
      <c r="U232" s="59" t="s">
        <v>573</v>
      </c>
      <c r="V232" s="88"/>
      <c r="W232" s="267" t="s">
        <v>734</v>
      </c>
      <c r="X232" s="60">
        <v>0.46597222222222223</v>
      </c>
      <c r="Y232" s="60">
        <v>0.46597222222222223</v>
      </c>
      <c r="Z232" s="60">
        <v>0.54166666666666663</v>
      </c>
      <c r="AA232" s="269">
        <v>0.54861111111111116</v>
      </c>
      <c r="AB232" s="158">
        <f>IF(PA[[#This Row],[Acknowledgement Time ]]="NA","",(PA[[#This Row],[Acknowledgement Time ]]-PA[[#This Row],[Fault Time]])*24)</f>
        <v>0</v>
      </c>
      <c r="AC232" s="158">
        <f>IF(PA[[#This Row],[Work Start time on Fault]]="NA","",(PA[[#This Row],[Work Start time on Fault]]-PA[[#This Row],[Fault Time]])*24)</f>
        <v>1.8166666666666655</v>
      </c>
      <c r="AD232" s="112">
        <f>IF(PA[[#This Row],[Status]]="Open","",(PA[[#This Row],[Work Completion time on fault]]-PA[[#This Row],[Fault Time]])*24)</f>
        <v>1.9833333333333343</v>
      </c>
      <c r="AE232" s="111">
        <f>IFERROR((PA[[#This Row],[Work Completion time on fault]]-PA[[#This Row],[Fault Time]])*24,"")</f>
        <v>1.9833333333333343</v>
      </c>
      <c r="AF232" s="22" t="s">
        <v>735</v>
      </c>
      <c r="AG232" s="6" t="s">
        <v>1275</v>
      </c>
      <c r="AH232" s="53">
        <f>IFERROR(PA[[#This Row],[Breakdown Time]]*PA[[#This Row],[Plant Equivalent Weightage]],"")</f>
        <v>0.1216444444444445</v>
      </c>
      <c r="AI232" s="59">
        <v>1.746</v>
      </c>
      <c r="AJ232" s="89">
        <f>IFERROR(IF(PA[[#This Row],[Lost PoA(kWh/m2)]]&gt;0,_xlfn.XLOOKUP(G232,'Modelling New'!$D:$D,'Modelling New'!$O:$O)*PA[[#This Row],[Lost PoA(kWh/m2)]]*S232,0),"")</f>
        <v>5411.989038175574</v>
      </c>
    </row>
    <row r="233" spans="1:36" ht="60" hidden="1" x14ac:dyDescent="0.25">
      <c r="A233" s="229" t="s">
        <v>736</v>
      </c>
      <c r="B233" s="332">
        <v>45805</v>
      </c>
      <c r="C233" s="333">
        <v>2025</v>
      </c>
      <c r="D233" s="6">
        <f>YEAR(PA[[#This Row],[Date]])</f>
        <v>2025</v>
      </c>
      <c r="E233" s="334" t="s">
        <v>73</v>
      </c>
      <c r="F233" s="335" t="s">
        <v>73</v>
      </c>
      <c r="G233" s="336">
        <v>45778</v>
      </c>
      <c r="H233" s="56">
        <f>DAY(EOMONTH(PA[[#This Row],[Date]], 0))</f>
        <v>31</v>
      </c>
      <c r="I233" s="60">
        <v>0.21249999999999999</v>
      </c>
      <c r="J233" s="60">
        <v>0.7715277777777777</v>
      </c>
      <c r="K233" s="53">
        <f>IFERROR((PA[[#This Row],[Sunset Time (POA&lt;20 W/m2)]]-PA[[#This Row],[Sunrise Time (POA&gt;20 W/m2)]])*24,"")</f>
        <v>13.416666666666664</v>
      </c>
      <c r="L233" s="59" t="s">
        <v>559</v>
      </c>
      <c r="M233" s="59" t="s">
        <v>560</v>
      </c>
      <c r="N233" s="59"/>
      <c r="O233" s="59"/>
      <c r="P233" s="56"/>
      <c r="Q233" s="6"/>
      <c r="R23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BLK2LT2</v>
      </c>
      <c r="S233" s="53">
        <f>_xlfn.XLOOKUP(PA[[#This Row],[Affected Equipment ]],'Basic Data '!$A:$A,'Basic Data '!$B:$B)</f>
        <v>4249.75</v>
      </c>
      <c r="T233" s="90">
        <f>IFERROR(_xlfn.XLOOKUP(PA[[#This Row],[Affected Equipment ]],'Basic Data '!A:A,'Basic Data '!C:C),"")</f>
        <v>6.3666666666666663E-2</v>
      </c>
      <c r="U233" s="59" t="s">
        <v>573</v>
      </c>
      <c r="V233" s="88"/>
      <c r="W233" s="267" t="s">
        <v>734</v>
      </c>
      <c r="X233" s="60">
        <v>0.46597222222222223</v>
      </c>
      <c r="Y233" s="60">
        <v>0.46597222222222223</v>
      </c>
      <c r="Z233" s="60">
        <v>0.54166666666666663</v>
      </c>
      <c r="AA233" s="269">
        <v>0.54861111111111116</v>
      </c>
      <c r="AB233" s="158">
        <f>IF(PA[[#This Row],[Acknowledgement Time ]]="NA","",(PA[[#This Row],[Acknowledgement Time ]]-PA[[#This Row],[Fault Time]])*24)</f>
        <v>0</v>
      </c>
      <c r="AC233" s="158">
        <f>IF(PA[[#This Row],[Work Start time on Fault]]="NA","",(PA[[#This Row],[Work Start time on Fault]]-PA[[#This Row],[Fault Time]])*24)</f>
        <v>1.8166666666666655</v>
      </c>
      <c r="AD233" s="112">
        <f>IF(PA[[#This Row],[Status]]="Open","",(PA[[#This Row],[Work Completion time on fault]]-PA[[#This Row],[Fault Time]])*24)</f>
        <v>1.9833333333333343</v>
      </c>
      <c r="AE233" s="111">
        <f>IFERROR((PA[[#This Row],[Work Completion time on fault]]-PA[[#This Row],[Fault Time]])*24,"")</f>
        <v>1.9833333333333343</v>
      </c>
      <c r="AF233" s="22" t="s">
        <v>735</v>
      </c>
      <c r="AG233" s="6" t="s">
        <v>1275</v>
      </c>
      <c r="AH233" s="53">
        <f>IFERROR(PA[[#This Row],[Breakdown Time]]*PA[[#This Row],[Plant Equivalent Weightage]],"")</f>
        <v>0.12627222222222229</v>
      </c>
      <c r="AI233" s="59">
        <v>1.746</v>
      </c>
      <c r="AJ233" s="89">
        <f>IFERROR(IF(PA[[#This Row],[Lost PoA(kWh/m2)]]&gt;0,_xlfn.XLOOKUP(G233,'Modelling New'!$D:$D,'Modelling New'!$O:$O)*PA[[#This Row],[Lost PoA(kWh/m2)]]*S233,0),"")</f>
        <v>5617.879925497471</v>
      </c>
    </row>
    <row r="234" spans="1:36" ht="60" hidden="1" x14ac:dyDescent="0.25">
      <c r="A234" s="229">
        <v>1925</v>
      </c>
      <c r="B234" s="332">
        <v>45805</v>
      </c>
      <c r="C234" s="333">
        <v>2025</v>
      </c>
      <c r="D234" s="6">
        <f>YEAR(PA[[#This Row],[Date]])</f>
        <v>2025</v>
      </c>
      <c r="E234" s="334" t="s">
        <v>73</v>
      </c>
      <c r="F234" s="335" t="s">
        <v>73</v>
      </c>
      <c r="G234" s="336">
        <v>45778</v>
      </c>
      <c r="H234" s="56">
        <f>DAY(EOMONTH(PA[[#This Row],[Date]], 0))</f>
        <v>31</v>
      </c>
      <c r="I234" s="60">
        <v>0.21249999999999999</v>
      </c>
      <c r="J234" s="60">
        <v>0.7715277777777777</v>
      </c>
      <c r="K234" s="53">
        <f>IFERROR((PA[[#This Row],[Sunset Time (POA&lt;20 W/m2)]]-PA[[#This Row],[Sunrise Time (POA&gt;20 W/m2)]])*24,"")</f>
        <v>13.416666666666664</v>
      </c>
      <c r="L234" s="59" t="s">
        <v>597</v>
      </c>
      <c r="M234" s="59" t="s">
        <v>588</v>
      </c>
      <c r="N234" s="59"/>
      <c r="O234" s="59"/>
      <c r="P234" s="56"/>
      <c r="Q234" s="6"/>
      <c r="R23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BLK3LT1</v>
      </c>
      <c r="S234" s="53">
        <f>_xlfn.XLOOKUP(PA[[#This Row],[Affected Equipment ]],'Basic Data '!$A:$A,'Basic Data '!$B:$B)</f>
        <v>4483.375</v>
      </c>
      <c r="T234" s="90">
        <f>IFERROR(_xlfn.XLOOKUP(PA[[#This Row],[Affected Equipment ]],'Basic Data '!A:A,'Basic Data '!C:C),"")</f>
        <v>6.7166666666666666E-2</v>
      </c>
      <c r="U234" s="59" t="s">
        <v>573</v>
      </c>
      <c r="V234" s="88"/>
      <c r="W234" s="267" t="s">
        <v>734</v>
      </c>
      <c r="X234" s="60">
        <v>0.46597222222222223</v>
      </c>
      <c r="Y234" s="60">
        <v>0.46597222222222223</v>
      </c>
      <c r="Z234" s="60">
        <v>0.54513888888888895</v>
      </c>
      <c r="AA234" s="269">
        <v>0.55069444444444449</v>
      </c>
      <c r="AB234" s="158">
        <f>IF(PA[[#This Row],[Acknowledgement Time ]]="NA","",(PA[[#This Row],[Acknowledgement Time ]]-PA[[#This Row],[Fault Time]])*24)</f>
        <v>0</v>
      </c>
      <c r="AC234" s="158">
        <f>IF(PA[[#This Row],[Work Start time on Fault]]="NA","",(PA[[#This Row],[Work Start time on Fault]]-PA[[#This Row],[Fault Time]])*24)</f>
        <v>1.9000000000000012</v>
      </c>
      <c r="AD234" s="112">
        <f>IF(PA[[#This Row],[Status]]="Open","",(PA[[#This Row],[Work Completion time on fault]]-PA[[#This Row],[Fault Time]])*24)</f>
        <v>2.0333333333333341</v>
      </c>
      <c r="AE234" s="111">
        <f>IFERROR((PA[[#This Row],[Work Completion time on fault]]-PA[[#This Row],[Fault Time]])*24,"")</f>
        <v>2.0333333333333341</v>
      </c>
      <c r="AF234" s="22" t="s">
        <v>735</v>
      </c>
      <c r="AG234" s="6" t="s">
        <v>1275</v>
      </c>
      <c r="AH234" s="53">
        <f>IFERROR(PA[[#This Row],[Breakdown Time]]*PA[[#This Row],[Plant Equivalent Weightage]],"")</f>
        <v>0.13657222222222226</v>
      </c>
      <c r="AI234" s="59">
        <v>1.7909999999999999</v>
      </c>
      <c r="AJ234" s="89">
        <f>IFERROR(IF(PA[[#This Row],[Lost PoA(kWh/m2)]]&gt;0,_xlfn.XLOOKUP(G234,'Modelling New'!$D:$D,'Modelling New'!$O:$O)*PA[[#This Row],[Lost PoA(kWh/m2)]]*S234,0),"")</f>
        <v>6079.4666754617674</v>
      </c>
    </row>
    <row r="235" spans="1:36" ht="60" hidden="1" x14ac:dyDescent="0.25">
      <c r="A235" s="229">
        <v>1926</v>
      </c>
      <c r="B235" s="332">
        <v>45805</v>
      </c>
      <c r="C235" s="333">
        <v>2025</v>
      </c>
      <c r="D235" s="6">
        <f>YEAR(PA[[#This Row],[Date]])</f>
        <v>2025</v>
      </c>
      <c r="E235" s="334" t="s">
        <v>73</v>
      </c>
      <c r="F235" s="335" t="s">
        <v>73</v>
      </c>
      <c r="G235" s="336">
        <v>45778</v>
      </c>
      <c r="H235" s="56">
        <f>DAY(EOMONTH(PA[[#This Row],[Date]], 0))</f>
        <v>31</v>
      </c>
      <c r="I235" s="60">
        <v>0.21249999999999999</v>
      </c>
      <c r="J235" s="60">
        <v>0.7715277777777777</v>
      </c>
      <c r="K235" s="53">
        <f>IFERROR((PA[[#This Row],[Sunset Time (POA&lt;20 W/m2)]]-PA[[#This Row],[Sunrise Time (POA&gt;20 W/m2)]])*24,"")</f>
        <v>13.416666666666664</v>
      </c>
      <c r="L235" s="59" t="s">
        <v>597</v>
      </c>
      <c r="M235" s="59" t="s">
        <v>560</v>
      </c>
      <c r="N235" s="59"/>
      <c r="O235" s="59"/>
      <c r="P235" s="56"/>
      <c r="Q235" s="6"/>
      <c r="R23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BLK3LT2</v>
      </c>
      <c r="S235" s="53">
        <f>_xlfn.XLOOKUP(PA[[#This Row],[Affected Equipment ]],'Basic Data '!$A:$A,'Basic Data '!$B:$B)</f>
        <v>4071.75</v>
      </c>
      <c r="T235" s="90">
        <f>IFERROR(_xlfn.XLOOKUP(PA[[#This Row],[Affected Equipment ]],'Basic Data '!A:A,'Basic Data '!C:C),"")</f>
        <v>6.0999999999999999E-2</v>
      </c>
      <c r="U235" s="59" t="s">
        <v>573</v>
      </c>
      <c r="V235" s="88"/>
      <c r="W235" s="267" t="s">
        <v>734</v>
      </c>
      <c r="X235" s="60">
        <v>0.46597222222222223</v>
      </c>
      <c r="Y235" s="60">
        <v>0.46597222222222223</v>
      </c>
      <c r="Z235" s="60">
        <v>0.54513888888888895</v>
      </c>
      <c r="AA235" s="269">
        <v>0.55069444444444449</v>
      </c>
      <c r="AB235" s="158">
        <f>IF(PA[[#This Row],[Acknowledgement Time ]]="NA","",(PA[[#This Row],[Acknowledgement Time ]]-PA[[#This Row],[Fault Time]])*24)</f>
        <v>0</v>
      </c>
      <c r="AC235" s="158">
        <f>IF(PA[[#This Row],[Work Start time on Fault]]="NA","",(PA[[#This Row],[Work Start time on Fault]]-PA[[#This Row],[Fault Time]])*24)</f>
        <v>1.9000000000000012</v>
      </c>
      <c r="AD235" s="112">
        <f>IF(PA[[#This Row],[Status]]="Open","",(PA[[#This Row],[Work Completion time on fault]]-PA[[#This Row],[Fault Time]])*24)</f>
        <v>2.0333333333333341</v>
      </c>
      <c r="AE235" s="111">
        <f>IFERROR((PA[[#This Row],[Work Completion time on fault]]-PA[[#This Row],[Fault Time]])*24,"")</f>
        <v>2.0333333333333341</v>
      </c>
      <c r="AF235" s="22" t="s">
        <v>735</v>
      </c>
      <c r="AG235" s="6" t="s">
        <v>1275</v>
      </c>
      <c r="AH235" s="53">
        <f>IFERROR(PA[[#This Row],[Breakdown Time]]*PA[[#This Row],[Plant Equivalent Weightage]],"")</f>
        <v>0.12403333333333338</v>
      </c>
      <c r="AI235" s="59">
        <v>1.7909999999999999</v>
      </c>
      <c r="AJ235" s="89">
        <f>IFERROR(IF(PA[[#This Row],[Lost PoA(kWh/m2)]]&gt;0,_xlfn.XLOOKUP(G235,'Modelling New'!$D:$D,'Modelling New'!$O:$O)*PA[[#This Row],[Lost PoA(kWh/m2)]]*S235,0),"")</f>
        <v>5521.3022412382306</v>
      </c>
    </row>
    <row r="236" spans="1:36" ht="60" hidden="1" x14ac:dyDescent="0.25">
      <c r="A236" s="229">
        <v>1927</v>
      </c>
      <c r="B236" s="332">
        <v>45805</v>
      </c>
      <c r="C236" s="333">
        <v>2025</v>
      </c>
      <c r="D236" s="6">
        <f>YEAR(PA[[#This Row],[Date]])</f>
        <v>2025</v>
      </c>
      <c r="E236" s="334" t="s">
        <v>73</v>
      </c>
      <c r="F236" s="335" t="s">
        <v>73</v>
      </c>
      <c r="G236" s="336">
        <v>45778</v>
      </c>
      <c r="H236" s="56">
        <f>DAY(EOMONTH(PA[[#This Row],[Date]], 0))</f>
        <v>31</v>
      </c>
      <c r="I236" s="60">
        <v>0.21249999999999999</v>
      </c>
      <c r="J236" s="60">
        <v>0.7715277777777777</v>
      </c>
      <c r="K236" s="53">
        <f>IFERROR((PA[[#This Row],[Sunset Time (POA&lt;20 W/m2)]]-PA[[#This Row],[Sunrise Time (POA&gt;20 W/m2)]])*24,"")</f>
        <v>13.416666666666664</v>
      </c>
      <c r="L236" s="59" t="s">
        <v>621</v>
      </c>
      <c r="M236" s="59" t="s">
        <v>588</v>
      </c>
      <c r="N236" s="59"/>
      <c r="O236" s="59"/>
      <c r="P236" s="56"/>
      <c r="Q236" s="6"/>
      <c r="R23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BLK4LT1</v>
      </c>
      <c r="S236" s="53">
        <f>_xlfn.XLOOKUP(PA[[#This Row],[Affected Equipment ]],'Basic Data '!$A:$A,'Basic Data '!$B:$B)</f>
        <v>4394.375</v>
      </c>
      <c r="T236" s="90">
        <f>IFERROR(_xlfn.XLOOKUP(PA[[#This Row],[Affected Equipment ]],'Basic Data '!A:A,'Basic Data '!C:C),"")</f>
        <v>6.5833333333333327E-2</v>
      </c>
      <c r="U236" s="59" t="s">
        <v>573</v>
      </c>
      <c r="V236" s="88"/>
      <c r="W236" s="267" t="s">
        <v>734</v>
      </c>
      <c r="X236" s="60">
        <v>0.46597222222222223</v>
      </c>
      <c r="Y236" s="60">
        <v>0.46597222222222223</v>
      </c>
      <c r="Z236" s="60">
        <v>0.54513888888888895</v>
      </c>
      <c r="AA236" s="269">
        <v>0.55069444444444449</v>
      </c>
      <c r="AB236" s="158">
        <f>IF(PA[[#This Row],[Acknowledgement Time ]]="NA","",(PA[[#This Row],[Acknowledgement Time ]]-PA[[#This Row],[Fault Time]])*24)</f>
        <v>0</v>
      </c>
      <c r="AC236" s="158">
        <f>IF(PA[[#This Row],[Work Start time on Fault]]="NA","",(PA[[#This Row],[Work Start time on Fault]]-PA[[#This Row],[Fault Time]])*24)</f>
        <v>1.9000000000000012</v>
      </c>
      <c r="AD236" s="112">
        <f>IF(PA[[#This Row],[Status]]="Open","",(PA[[#This Row],[Work Completion time on fault]]-PA[[#This Row],[Fault Time]])*24)</f>
        <v>2.0333333333333341</v>
      </c>
      <c r="AE236" s="111">
        <f>IFERROR((PA[[#This Row],[Work Completion time on fault]]-PA[[#This Row],[Fault Time]])*24,"")</f>
        <v>2.0333333333333341</v>
      </c>
      <c r="AF236" s="22" t="s">
        <v>735</v>
      </c>
      <c r="AG236" s="6" t="s">
        <v>1275</v>
      </c>
      <c r="AH236" s="53">
        <f>IFERROR(PA[[#This Row],[Breakdown Time]]*PA[[#This Row],[Plant Equivalent Weightage]],"")</f>
        <v>0.13386111111111115</v>
      </c>
      <c r="AI236" s="59">
        <v>1.7909999999999999</v>
      </c>
      <c r="AJ236" s="89">
        <f>IFERROR(IF(PA[[#This Row],[Lost PoA(kWh/m2)]]&gt;0,_xlfn.XLOOKUP(G236,'Modelling New'!$D:$D,'Modelling New'!$O:$O)*PA[[#This Row],[Lost PoA(kWh/m2)]]*S236,0),"")</f>
        <v>5958.7824734674896</v>
      </c>
    </row>
    <row r="237" spans="1:36" ht="60" hidden="1" x14ac:dyDescent="0.25">
      <c r="A237" s="229">
        <v>1928</v>
      </c>
      <c r="B237" s="332">
        <v>45805</v>
      </c>
      <c r="C237" s="333">
        <v>2025</v>
      </c>
      <c r="D237" s="6">
        <f>YEAR(PA[[#This Row],[Date]])</f>
        <v>2025</v>
      </c>
      <c r="E237" s="334" t="s">
        <v>73</v>
      </c>
      <c r="F237" s="335" t="s">
        <v>73</v>
      </c>
      <c r="G237" s="336">
        <v>45778</v>
      </c>
      <c r="H237" s="56">
        <f>DAY(EOMONTH(PA[[#This Row],[Date]], 0))</f>
        <v>31</v>
      </c>
      <c r="I237" s="60">
        <v>0.21249999999999999</v>
      </c>
      <c r="J237" s="60">
        <v>0.7715277777777777</v>
      </c>
      <c r="K237" s="53">
        <f>IFERROR((PA[[#This Row],[Sunset Time (POA&lt;20 W/m2)]]-PA[[#This Row],[Sunrise Time (POA&gt;20 W/m2)]])*24,"")</f>
        <v>13.416666666666664</v>
      </c>
      <c r="L237" s="59" t="s">
        <v>621</v>
      </c>
      <c r="M237" s="59" t="s">
        <v>560</v>
      </c>
      <c r="N237" s="59"/>
      <c r="O237" s="59"/>
      <c r="P237" s="56"/>
      <c r="Q237" s="6"/>
      <c r="R23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BLK4LT2</v>
      </c>
      <c r="S237" s="53">
        <f>_xlfn.XLOOKUP(PA[[#This Row],[Affected Equipment ]],'Basic Data '!$A:$A,'Basic Data '!$B:$B)</f>
        <v>4260.875</v>
      </c>
      <c r="T237" s="90">
        <f>IFERROR(_xlfn.XLOOKUP(PA[[#This Row],[Affected Equipment ]],'Basic Data '!A:A,'Basic Data '!C:C),"")</f>
        <v>6.3833333333333339E-2</v>
      </c>
      <c r="U237" s="59" t="s">
        <v>573</v>
      </c>
      <c r="V237" s="88"/>
      <c r="W237" s="267" t="s">
        <v>734</v>
      </c>
      <c r="X237" s="60">
        <v>0.46597222222222223</v>
      </c>
      <c r="Y237" s="60">
        <v>0.46597222222222223</v>
      </c>
      <c r="Z237" s="60">
        <v>0.54513888888888895</v>
      </c>
      <c r="AA237" s="269">
        <v>0.55069444444444449</v>
      </c>
      <c r="AB237" s="158">
        <f>IF(PA[[#This Row],[Acknowledgement Time ]]="NA","",(PA[[#This Row],[Acknowledgement Time ]]-PA[[#This Row],[Fault Time]])*24)</f>
        <v>0</v>
      </c>
      <c r="AC237" s="158">
        <f>IF(PA[[#This Row],[Work Start time on Fault]]="NA","",(PA[[#This Row],[Work Start time on Fault]]-PA[[#This Row],[Fault Time]])*24)</f>
        <v>1.9000000000000012</v>
      </c>
      <c r="AD237" s="112">
        <f>IF(PA[[#This Row],[Status]]="Open","",(PA[[#This Row],[Work Completion time on fault]]-PA[[#This Row],[Fault Time]])*24)</f>
        <v>2.0333333333333341</v>
      </c>
      <c r="AE237" s="111">
        <f>IFERROR((PA[[#This Row],[Work Completion time on fault]]-PA[[#This Row],[Fault Time]])*24,"")</f>
        <v>2.0333333333333341</v>
      </c>
      <c r="AF237" s="22" t="s">
        <v>735</v>
      </c>
      <c r="AG237" s="6" t="s">
        <v>1275</v>
      </c>
      <c r="AH237" s="53">
        <f>IFERROR(PA[[#This Row],[Breakdown Time]]*PA[[#This Row],[Plant Equivalent Weightage]],"")</f>
        <v>0.12979444444444452</v>
      </c>
      <c r="AI237" s="59">
        <v>1.7909999999999999</v>
      </c>
      <c r="AJ237" s="89">
        <f>IFERROR(IF(PA[[#This Row],[Lost PoA(kWh/m2)]]&gt;0,_xlfn.XLOOKUP(G237,'Modelling New'!$D:$D,'Modelling New'!$O:$O)*PA[[#This Row],[Lost PoA(kWh/m2)]]*S237,0),"")</f>
        <v>5777.7561704760719</v>
      </c>
    </row>
    <row r="238" spans="1:36" ht="60" hidden="1" x14ac:dyDescent="0.25">
      <c r="A238" s="229">
        <v>1929</v>
      </c>
      <c r="B238" s="332">
        <v>45805</v>
      </c>
      <c r="C238" s="333">
        <v>2025</v>
      </c>
      <c r="D238" s="6">
        <f>YEAR(PA[[#This Row],[Date]])</f>
        <v>2025</v>
      </c>
      <c r="E238" s="334" t="s">
        <v>73</v>
      </c>
      <c r="F238" s="335" t="s">
        <v>73</v>
      </c>
      <c r="G238" s="336">
        <v>45778</v>
      </c>
      <c r="H238" s="56">
        <f>DAY(EOMONTH(PA[[#This Row],[Date]], 0))</f>
        <v>31</v>
      </c>
      <c r="I238" s="60">
        <v>0.21249999999999999</v>
      </c>
      <c r="J238" s="60">
        <v>0.7715277777777777</v>
      </c>
      <c r="K238" s="53">
        <f>IFERROR((PA[[#This Row],[Sunset Time (POA&lt;20 W/m2)]]-PA[[#This Row],[Sunrise Time (POA&gt;20 W/m2)]])*24,"")</f>
        <v>13.416666666666664</v>
      </c>
      <c r="L238" s="59" t="s">
        <v>606</v>
      </c>
      <c r="M238" s="59" t="s">
        <v>588</v>
      </c>
      <c r="N238" s="59"/>
      <c r="O238" s="59"/>
      <c r="P238" s="56"/>
      <c r="Q238" s="6"/>
      <c r="R23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BLK7LT1</v>
      </c>
      <c r="S238" s="53">
        <f>_xlfn.XLOOKUP(PA[[#This Row],[Affected Equipment ]],'Basic Data '!$A:$A,'Basic Data '!$B:$B)</f>
        <v>3298.1</v>
      </c>
      <c r="T238" s="90">
        <f>IFERROR(_xlfn.XLOOKUP(PA[[#This Row],[Affected Equipment ]],'Basic Data '!A:A,'Basic Data '!C:C),"")</f>
        <v>4.9409737827715357E-2</v>
      </c>
      <c r="U238" s="59" t="s">
        <v>573</v>
      </c>
      <c r="V238" s="88"/>
      <c r="W238" s="267" t="s">
        <v>734</v>
      </c>
      <c r="X238" s="60">
        <v>0.46597222222222223</v>
      </c>
      <c r="Y238" s="60">
        <v>0.46597222222222223</v>
      </c>
      <c r="Z238" s="60">
        <v>0.54999999999999993</v>
      </c>
      <c r="AA238" s="60">
        <v>0.55347222222222225</v>
      </c>
      <c r="AB238" s="158">
        <f>IF(PA[[#This Row],[Acknowledgement Time ]]="NA","",(PA[[#This Row],[Acknowledgement Time ]]-PA[[#This Row],[Fault Time]])*24)</f>
        <v>0</v>
      </c>
      <c r="AC238" s="158">
        <f>IF(PA[[#This Row],[Work Start time on Fault]]="NA","",(PA[[#This Row],[Work Start time on Fault]]-PA[[#This Row],[Fault Time]])*24)</f>
        <v>2.0166666666666648</v>
      </c>
      <c r="AD238" s="112">
        <f>IF(PA[[#This Row],[Status]]="Open","",(PA[[#This Row],[Work Completion time on fault]]-PA[[#This Row],[Fault Time]])*24)</f>
        <v>2.1000000000000005</v>
      </c>
      <c r="AE238" s="111">
        <f>IFERROR((PA[[#This Row],[Work Completion time on fault]]-PA[[#This Row],[Fault Time]])*24,"")</f>
        <v>2.1000000000000005</v>
      </c>
      <c r="AF238" s="22" t="s">
        <v>735</v>
      </c>
      <c r="AG238" s="6" t="s">
        <v>1275</v>
      </c>
      <c r="AH238" s="53">
        <f>IFERROR(PA[[#This Row],[Breakdown Time]]*PA[[#This Row],[Plant Equivalent Weightage]],"")</f>
        <v>0.10376044943820227</v>
      </c>
      <c r="AI238" s="59">
        <v>1.7250000000000001</v>
      </c>
      <c r="AJ238" s="89">
        <f>IFERROR(IF(PA[[#This Row],[Lost PoA(kWh/m2)]]&gt;0,_xlfn.XLOOKUP(G238,'Modelling New'!$D:$D,'Modelling New'!$O:$O)*PA[[#This Row],[Lost PoA(kWh/m2)]]*S238,0),"")</f>
        <v>4307.425249721723</v>
      </c>
    </row>
    <row r="239" spans="1:36" ht="60" hidden="1" x14ac:dyDescent="0.25">
      <c r="A239" s="229">
        <v>1930</v>
      </c>
      <c r="B239" s="332">
        <v>45805</v>
      </c>
      <c r="C239" s="333">
        <v>2025</v>
      </c>
      <c r="D239" s="6">
        <f>YEAR(PA[[#This Row],[Date]])</f>
        <v>2025</v>
      </c>
      <c r="E239" s="334" t="s">
        <v>73</v>
      </c>
      <c r="F239" s="335" t="s">
        <v>73</v>
      </c>
      <c r="G239" s="336">
        <v>45778</v>
      </c>
      <c r="H239" s="56">
        <f>DAY(EOMONTH(PA[[#This Row],[Date]], 0))</f>
        <v>31</v>
      </c>
      <c r="I239" s="60">
        <v>0.21249999999999999</v>
      </c>
      <c r="J239" s="60">
        <v>0.7715277777777777</v>
      </c>
      <c r="K239" s="53">
        <f>IFERROR((PA[[#This Row],[Sunset Time (POA&lt;20 W/m2)]]-PA[[#This Row],[Sunrise Time (POA&gt;20 W/m2)]])*24,"")</f>
        <v>13.416666666666664</v>
      </c>
      <c r="L239" s="59" t="s">
        <v>606</v>
      </c>
      <c r="M239" s="59" t="s">
        <v>560</v>
      </c>
      <c r="N239" s="59"/>
      <c r="O239" s="59"/>
      <c r="P239" s="56"/>
      <c r="Q239" s="6"/>
      <c r="R23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BLK7LT2</v>
      </c>
      <c r="S239" s="53">
        <f>_xlfn.XLOOKUP(PA[[#This Row],[Affected Equipment ]],'Basic Data '!$A:$A,'Basic Data '!$B:$B)</f>
        <v>4071.75</v>
      </c>
      <c r="T239" s="90">
        <f>IFERROR(_xlfn.XLOOKUP(PA[[#This Row],[Affected Equipment ]],'Basic Data '!A:A,'Basic Data '!C:C),"")</f>
        <v>6.0999999999999999E-2</v>
      </c>
      <c r="U239" s="59" t="s">
        <v>573</v>
      </c>
      <c r="V239" s="88"/>
      <c r="W239" s="267" t="s">
        <v>734</v>
      </c>
      <c r="X239" s="60">
        <v>0.46597222222222223</v>
      </c>
      <c r="Y239" s="60">
        <v>0.46597222222222223</v>
      </c>
      <c r="Z239" s="60">
        <v>0.54999999999999993</v>
      </c>
      <c r="AA239" s="60">
        <v>0.55347222222222225</v>
      </c>
      <c r="AB239" s="158">
        <f>IF(PA[[#This Row],[Acknowledgement Time ]]="NA","",(PA[[#This Row],[Acknowledgement Time ]]-PA[[#This Row],[Fault Time]])*24)</f>
        <v>0</v>
      </c>
      <c r="AC239" s="158">
        <f>IF(PA[[#This Row],[Work Start time on Fault]]="NA","",(PA[[#This Row],[Work Start time on Fault]]-PA[[#This Row],[Fault Time]])*24)</f>
        <v>2.0166666666666648</v>
      </c>
      <c r="AD239" s="112">
        <f>IF(PA[[#This Row],[Status]]="Open","",(PA[[#This Row],[Work Completion time on fault]]-PA[[#This Row],[Fault Time]])*24)</f>
        <v>2.1000000000000005</v>
      </c>
      <c r="AE239" s="111">
        <f>IFERROR((PA[[#This Row],[Work Completion time on fault]]-PA[[#This Row],[Fault Time]])*24,"")</f>
        <v>2.1000000000000005</v>
      </c>
      <c r="AF239" s="22" t="s">
        <v>735</v>
      </c>
      <c r="AG239" s="6" t="s">
        <v>1275</v>
      </c>
      <c r="AH239" s="53">
        <f>IFERROR(PA[[#This Row],[Breakdown Time]]*PA[[#This Row],[Plant Equivalent Weightage]],"")</f>
        <v>0.12810000000000002</v>
      </c>
      <c r="AI239" s="59">
        <v>1.7250000000000001</v>
      </c>
      <c r="AJ239" s="89">
        <f>IFERROR(IF(PA[[#This Row],[Lost PoA(kWh/m2)]]&gt;0,_xlfn.XLOOKUP(G239,'Modelling New'!$D:$D,'Modelling New'!$O:$O)*PA[[#This Row],[Lost PoA(kWh/m2)]]*S239,0),"")</f>
        <v>5317.8371670217475</v>
      </c>
    </row>
    <row r="240" spans="1:36" ht="60" hidden="1" x14ac:dyDescent="0.25">
      <c r="A240" s="229">
        <v>1931</v>
      </c>
      <c r="B240" s="332">
        <v>45805</v>
      </c>
      <c r="C240" s="333">
        <v>2025</v>
      </c>
      <c r="D240" s="6">
        <f>YEAR(PA[[#This Row],[Date]])</f>
        <v>2025</v>
      </c>
      <c r="E240" s="334" t="s">
        <v>73</v>
      </c>
      <c r="F240" s="335" t="s">
        <v>73</v>
      </c>
      <c r="G240" s="336">
        <v>45778</v>
      </c>
      <c r="H240" s="56">
        <f>DAY(EOMONTH(PA[[#This Row],[Date]], 0))</f>
        <v>31</v>
      </c>
      <c r="I240" s="60">
        <v>0.21249999999999999</v>
      </c>
      <c r="J240" s="60">
        <v>0.7715277777777777</v>
      </c>
      <c r="K240" s="53">
        <f>IFERROR((PA[[#This Row],[Sunset Time (POA&lt;20 W/m2)]]-PA[[#This Row],[Sunrise Time (POA&gt;20 W/m2)]])*24,"")</f>
        <v>13.416666666666664</v>
      </c>
      <c r="L240" s="59" t="s">
        <v>579</v>
      </c>
      <c r="M240" s="59" t="s">
        <v>588</v>
      </c>
      <c r="N240" s="59"/>
      <c r="O240" s="59"/>
      <c r="P240" s="56"/>
      <c r="Q240" s="6"/>
      <c r="R24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BLK8LT1</v>
      </c>
      <c r="S240" s="53">
        <f>_xlfn.XLOOKUP(PA[[#This Row],[Affected Equipment ]],'Basic Data '!$A:$A,'Basic Data '!$B:$B)</f>
        <v>3947.5</v>
      </c>
      <c r="T240" s="90">
        <f>IFERROR(_xlfn.XLOOKUP(PA[[#This Row],[Affected Equipment ]],'Basic Data '!A:A,'Basic Data '!C:C),"")</f>
        <v>5.9138576779026217E-2</v>
      </c>
      <c r="U240" s="59" t="s">
        <v>573</v>
      </c>
      <c r="V240" s="88"/>
      <c r="W240" s="267" t="s">
        <v>734</v>
      </c>
      <c r="X240" s="60">
        <v>0.46597222222222223</v>
      </c>
      <c r="Y240" s="60">
        <v>0.46597222222222223</v>
      </c>
      <c r="Z240" s="60">
        <v>0.54999999999999993</v>
      </c>
      <c r="AA240" s="60">
        <v>0.55347222222222225</v>
      </c>
      <c r="AB240" s="158">
        <f>IF(PA[[#This Row],[Acknowledgement Time ]]="NA","",(PA[[#This Row],[Acknowledgement Time ]]-PA[[#This Row],[Fault Time]])*24)</f>
        <v>0</v>
      </c>
      <c r="AC240" s="158">
        <f>IF(PA[[#This Row],[Work Start time on Fault]]="NA","",(PA[[#This Row],[Work Start time on Fault]]-PA[[#This Row],[Fault Time]])*24)</f>
        <v>2.0166666666666648</v>
      </c>
      <c r="AD240" s="112">
        <f>IF(PA[[#This Row],[Status]]="Open","",(PA[[#This Row],[Work Completion time on fault]]-PA[[#This Row],[Fault Time]])*24)</f>
        <v>2.1000000000000005</v>
      </c>
      <c r="AE240" s="111">
        <f>IFERROR((PA[[#This Row],[Work Completion time on fault]]-PA[[#This Row],[Fault Time]])*24,"")</f>
        <v>2.1000000000000005</v>
      </c>
      <c r="AF240" s="22" t="s">
        <v>735</v>
      </c>
      <c r="AG240" s="6" t="s">
        <v>1275</v>
      </c>
      <c r="AH240" s="53">
        <f>IFERROR(PA[[#This Row],[Breakdown Time]]*PA[[#This Row],[Plant Equivalent Weightage]],"")</f>
        <v>0.12419101123595509</v>
      </c>
      <c r="AI240" s="59">
        <v>1.7250000000000001</v>
      </c>
      <c r="AJ240" s="89">
        <f>IFERROR(IF(PA[[#This Row],[Lost PoA(kWh/m2)]]&gt;0,_xlfn.XLOOKUP(G240,'Modelling New'!$D:$D,'Modelling New'!$O:$O)*PA[[#This Row],[Lost PoA(kWh/m2)]]*S240,0),"")</f>
        <v>5155.5626491848343</v>
      </c>
    </row>
    <row r="241" spans="1:36" ht="60" hidden="1" x14ac:dyDescent="0.25">
      <c r="A241" s="229">
        <v>1932</v>
      </c>
      <c r="B241" s="332">
        <v>45805</v>
      </c>
      <c r="C241" s="333">
        <v>2025</v>
      </c>
      <c r="D241" s="6">
        <f>YEAR(PA[[#This Row],[Date]])</f>
        <v>2025</v>
      </c>
      <c r="E241" s="334" t="s">
        <v>73</v>
      </c>
      <c r="F241" s="335" t="s">
        <v>73</v>
      </c>
      <c r="G241" s="336">
        <v>45778</v>
      </c>
      <c r="H241" s="56">
        <f>DAY(EOMONTH(PA[[#This Row],[Date]], 0))</f>
        <v>31</v>
      </c>
      <c r="I241" s="60">
        <v>0.21249999999999999</v>
      </c>
      <c r="J241" s="60">
        <v>0.7715277777777777</v>
      </c>
      <c r="K241" s="53">
        <f>IFERROR((PA[[#This Row],[Sunset Time (POA&lt;20 W/m2)]]-PA[[#This Row],[Sunrise Time (POA&gt;20 W/m2)]])*24,"")</f>
        <v>13.416666666666664</v>
      </c>
      <c r="L241" s="59" t="s">
        <v>579</v>
      </c>
      <c r="M241" s="59" t="s">
        <v>560</v>
      </c>
      <c r="N241" s="59"/>
      <c r="O241" s="59"/>
      <c r="P241" s="56"/>
      <c r="Q241" s="6"/>
      <c r="R24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BLK8LT2</v>
      </c>
      <c r="S241" s="53">
        <f>_xlfn.XLOOKUP(PA[[#This Row],[Affected Equipment ]],'Basic Data '!$A:$A,'Basic Data '!$B:$B)</f>
        <v>3093.9</v>
      </c>
      <c r="T241" s="90">
        <f>IFERROR(_xlfn.XLOOKUP(PA[[#This Row],[Affected Equipment ]],'Basic Data '!A:A,'Basic Data '!C:C),"")</f>
        <v>4.6350561797752814E-2</v>
      </c>
      <c r="U241" s="59" t="s">
        <v>573</v>
      </c>
      <c r="V241" s="88"/>
      <c r="W241" s="267" t="s">
        <v>734</v>
      </c>
      <c r="X241" s="60">
        <v>0.46597222222222223</v>
      </c>
      <c r="Y241" s="60">
        <v>0.46597222222222223</v>
      </c>
      <c r="Z241" s="60">
        <v>0.54999999999999993</v>
      </c>
      <c r="AA241" s="60">
        <v>0.55347222222222225</v>
      </c>
      <c r="AB241" s="158">
        <f>IF(PA[[#This Row],[Acknowledgement Time ]]="NA","",(PA[[#This Row],[Acknowledgement Time ]]-PA[[#This Row],[Fault Time]])*24)</f>
        <v>0</v>
      </c>
      <c r="AC241" s="158">
        <f>IF(PA[[#This Row],[Work Start time on Fault]]="NA","",(PA[[#This Row],[Work Start time on Fault]]-PA[[#This Row],[Fault Time]])*24)</f>
        <v>2.0166666666666648</v>
      </c>
      <c r="AD241" s="112">
        <f>IF(PA[[#This Row],[Status]]="Open","",(PA[[#This Row],[Work Completion time on fault]]-PA[[#This Row],[Fault Time]])*24)</f>
        <v>2.1000000000000005</v>
      </c>
      <c r="AE241" s="111">
        <f>IFERROR((PA[[#This Row],[Work Completion time on fault]]-PA[[#This Row],[Fault Time]])*24,"")</f>
        <v>2.1000000000000005</v>
      </c>
      <c r="AF241" s="22" t="s">
        <v>735</v>
      </c>
      <c r="AG241" s="6" t="s">
        <v>1275</v>
      </c>
      <c r="AH241" s="53">
        <f>IFERROR(PA[[#This Row],[Breakdown Time]]*PA[[#This Row],[Plant Equivalent Weightage]],"")</f>
        <v>9.7336179775280932E-2</v>
      </c>
      <c r="AI241" s="59">
        <v>1.7250000000000001</v>
      </c>
      <c r="AJ241" s="89">
        <f>IFERROR(IF(PA[[#This Row],[Lost PoA(kWh/m2)]]&gt;0,_xlfn.XLOOKUP(G241,'Modelling New'!$D:$D,'Modelling New'!$O:$O)*PA[[#This Row],[Lost PoA(kWh/m2)]]*S241,0),"")</f>
        <v>4040.7334465643976</v>
      </c>
    </row>
    <row r="242" spans="1:36" ht="60" hidden="1" x14ac:dyDescent="0.25">
      <c r="A242" s="229">
        <v>1933</v>
      </c>
      <c r="B242" s="332">
        <v>45805</v>
      </c>
      <c r="C242" s="333">
        <v>2025</v>
      </c>
      <c r="D242" s="6">
        <f>YEAR(PA[[#This Row],[Date]])</f>
        <v>2025</v>
      </c>
      <c r="E242" s="334" t="s">
        <v>73</v>
      </c>
      <c r="F242" s="335" t="s">
        <v>73</v>
      </c>
      <c r="G242" s="336">
        <v>45778</v>
      </c>
      <c r="H242" s="56">
        <f>DAY(EOMONTH(PA[[#This Row],[Date]], 0))</f>
        <v>31</v>
      </c>
      <c r="I242" s="60">
        <v>0.21249999999999999</v>
      </c>
      <c r="J242" s="60">
        <v>0.7715277777777777</v>
      </c>
      <c r="K242" s="53">
        <f>IFERROR((PA[[#This Row],[Sunset Time (POA&lt;20 W/m2)]]-PA[[#This Row],[Sunrise Time (POA&gt;20 W/m2)]])*24,"")</f>
        <v>13.416666666666664</v>
      </c>
      <c r="L242" s="59" t="s">
        <v>564</v>
      </c>
      <c r="M242" s="59" t="s">
        <v>588</v>
      </c>
      <c r="N242" s="59"/>
      <c r="O242" s="59"/>
      <c r="P242" s="56"/>
      <c r="Q242" s="6"/>
      <c r="R24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BLK5LT1</v>
      </c>
      <c r="S242" s="53">
        <f>_xlfn.XLOOKUP(PA[[#This Row],[Affected Equipment ]],'Basic Data '!$A:$A,'Basic Data '!$B:$B)</f>
        <v>4514.875</v>
      </c>
      <c r="T242" s="90">
        <f>IFERROR(_xlfn.XLOOKUP(PA[[#This Row],[Affected Equipment ]],'Basic Data '!A:A,'Basic Data '!C:C),"")</f>
        <v>6.763857677902621E-2</v>
      </c>
      <c r="U242" s="59" t="s">
        <v>573</v>
      </c>
      <c r="V242" s="88"/>
      <c r="W242" s="267" t="s">
        <v>734</v>
      </c>
      <c r="X242" s="60">
        <v>0.46597222222222223</v>
      </c>
      <c r="Y242" s="60">
        <v>0.46597222222222223</v>
      </c>
      <c r="Z242" s="60">
        <v>0.64583333333333337</v>
      </c>
      <c r="AA242" s="60">
        <v>0.65208333333333335</v>
      </c>
      <c r="AB242" s="158">
        <f>IF(PA[[#This Row],[Acknowledgement Time ]]="NA","",(PA[[#This Row],[Acknowledgement Time ]]-PA[[#This Row],[Fault Time]])*24)</f>
        <v>0</v>
      </c>
      <c r="AC242" s="158">
        <f>IF(PA[[#This Row],[Work Start time on Fault]]="NA","",(PA[[#This Row],[Work Start time on Fault]]-PA[[#This Row],[Fault Time]])*24)</f>
        <v>4.3166666666666673</v>
      </c>
      <c r="AD242" s="112">
        <f>IF(PA[[#This Row],[Status]]="Open","",(PA[[#This Row],[Work Completion time on fault]]-PA[[#This Row],[Fault Time]])*24)</f>
        <v>4.4666666666666668</v>
      </c>
      <c r="AE242" s="111">
        <f>IFERROR((PA[[#This Row],[Work Completion time on fault]]-PA[[#This Row],[Fault Time]])*24,"")</f>
        <v>4.4666666666666668</v>
      </c>
      <c r="AF242" s="22" t="s">
        <v>735</v>
      </c>
      <c r="AG242" s="6" t="s">
        <v>1275</v>
      </c>
      <c r="AH242" s="53">
        <f>IFERROR(PA[[#This Row],[Breakdown Time]]*PA[[#This Row],[Plant Equivalent Weightage]],"")</f>
        <v>0.3021189762796504</v>
      </c>
      <c r="AI242" s="59">
        <v>2.1520000000000001</v>
      </c>
      <c r="AJ242" s="89">
        <f>IFERROR(IF(PA[[#This Row],[Lost PoA(kWh/m2)]]&gt;0,_xlfn.XLOOKUP(G242,'Modelling New'!$D:$D,'Modelling New'!$O:$O)*PA[[#This Row],[Lost PoA(kWh/m2)]]*S242,0),"")</f>
        <v>7356.1881448605682</v>
      </c>
    </row>
    <row r="243" spans="1:36" ht="60" hidden="1" x14ac:dyDescent="0.25">
      <c r="A243" s="229">
        <v>1934</v>
      </c>
      <c r="B243" s="332">
        <v>45805</v>
      </c>
      <c r="C243" s="333">
        <v>2025</v>
      </c>
      <c r="D243" s="6">
        <f>YEAR(PA[[#This Row],[Date]])</f>
        <v>2025</v>
      </c>
      <c r="E243" s="334" t="s">
        <v>73</v>
      </c>
      <c r="F243" s="335" t="s">
        <v>73</v>
      </c>
      <c r="G243" s="336">
        <v>45778</v>
      </c>
      <c r="H243" s="56">
        <f>DAY(EOMONTH(PA[[#This Row],[Date]], 0))</f>
        <v>31</v>
      </c>
      <c r="I243" s="60">
        <v>0.21249999999999999</v>
      </c>
      <c r="J243" s="60">
        <v>0.7715277777777777</v>
      </c>
      <c r="K243" s="53">
        <f>IFERROR((PA[[#This Row],[Sunset Time (POA&lt;20 W/m2)]]-PA[[#This Row],[Sunrise Time (POA&gt;20 W/m2)]])*24,"")</f>
        <v>13.416666666666664</v>
      </c>
      <c r="L243" s="59" t="s">
        <v>564</v>
      </c>
      <c r="M243" s="59" t="s">
        <v>560</v>
      </c>
      <c r="N243" s="59"/>
      <c r="O243" s="59"/>
      <c r="P243" s="56"/>
      <c r="Q243" s="6"/>
      <c r="R24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BLK5LT2</v>
      </c>
      <c r="S243" s="53">
        <f>_xlfn.XLOOKUP(PA[[#This Row],[Affected Equipment ]],'Basic Data '!$A:$A,'Basic Data '!$B:$B)</f>
        <v>4349.875</v>
      </c>
      <c r="T243" s="90">
        <f>IFERROR(_xlfn.XLOOKUP(PA[[#This Row],[Affected Equipment ]],'Basic Data '!A:A,'Basic Data '!C:C),"")</f>
        <v>6.5166666666666664E-2</v>
      </c>
      <c r="U243" s="59" t="s">
        <v>573</v>
      </c>
      <c r="V243" s="88"/>
      <c r="W243" s="267" t="s">
        <v>734</v>
      </c>
      <c r="X243" s="60">
        <v>0.46597222222222223</v>
      </c>
      <c r="Y243" s="60">
        <v>0.46597222222222223</v>
      </c>
      <c r="Z243" s="60">
        <v>0.64583333333333337</v>
      </c>
      <c r="AA243" s="60">
        <v>0.65208333333333335</v>
      </c>
      <c r="AB243" s="158">
        <f>IF(PA[[#This Row],[Acknowledgement Time ]]="NA","",(PA[[#This Row],[Acknowledgement Time ]]-PA[[#This Row],[Fault Time]])*24)</f>
        <v>0</v>
      </c>
      <c r="AC243" s="158">
        <f>IF(PA[[#This Row],[Work Start time on Fault]]="NA","",(PA[[#This Row],[Work Start time on Fault]]-PA[[#This Row],[Fault Time]])*24)</f>
        <v>4.3166666666666673</v>
      </c>
      <c r="AD243" s="112">
        <f>IF(PA[[#This Row],[Status]]="Open","",(PA[[#This Row],[Work Completion time on fault]]-PA[[#This Row],[Fault Time]])*24)</f>
        <v>4.4666666666666668</v>
      </c>
      <c r="AE243" s="111">
        <f>IFERROR((PA[[#This Row],[Work Completion time on fault]]-PA[[#This Row],[Fault Time]])*24,"")</f>
        <v>4.4666666666666668</v>
      </c>
      <c r="AF243" s="22" t="s">
        <v>735</v>
      </c>
      <c r="AG243" s="6" t="s">
        <v>1275</v>
      </c>
      <c r="AH243" s="53">
        <f>IFERROR(PA[[#This Row],[Breakdown Time]]*PA[[#This Row],[Plant Equivalent Weightage]],"")</f>
        <v>0.29107777777777777</v>
      </c>
      <c r="AI243" s="59">
        <v>2.1520000000000001</v>
      </c>
      <c r="AJ243" s="89">
        <f>IFERROR(IF(PA[[#This Row],[Lost PoA(kWh/m2)]]&gt;0,_xlfn.XLOOKUP(G243,'Modelling New'!$D:$D,'Modelling New'!$O:$O)*PA[[#This Row],[Lost PoA(kWh/m2)]]*S243,0),"")</f>
        <v>7087.3499059498581</v>
      </c>
    </row>
    <row r="244" spans="1:36" ht="60" hidden="1" x14ac:dyDescent="0.25">
      <c r="A244" s="229">
        <v>1935</v>
      </c>
      <c r="B244" s="332">
        <v>45805</v>
      </c>
      <c r="C244" s="333">
        <v>2025</v>
      </c>
      <c r="D244" s="6">
        <f>YEAR(PA[[#This Row],[Date]])</f>
        <v>2025</v>
      </c>
      <c r="E244" s="334" t="s">
        <v>73</v>
      </c>
      <c r="F244" s="335" t="s">
        <v>73</v>
      </c>
      <c r="G244" s="336">
        <v>45778</v>
      </c>
      <c r="H244" s="56">
        <f>DAY(EOMONTH(PA[[#This Row],[Date]], 0))</f>
        <v>31</v>
      </c>
      <c r="I244" s="60">
        <v>0.21249999999999999</v>
      </c>
      <c r="J244" s="60">
        <v>0.7715277777777777</v>
      </c>
      <c r="K244" s="53">
        <f>IFERROR((PA[[#This Row],[Sunset Time (POA&lt;20 W/m2)]]-PA[[#This Row],[Sunrise Time (POA&gt;20 W/m2)]])*24,"")</f>
        <v>13.416666666666664</v>
      </c>
      <c r="L244" s="59" t="s">
        <v>615</v>
      </c>
      <c r="M244" s="59" t="s">
        <v>588</v>
      </c>
      <c r="N244" s="59"/>
      <c r="O244" s="59"/>
      <c r="P244" s="56"/>
      <c r="Q244" s="6"/>
      <c r="R24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BLK6LT1</v>
      </c>
      <c r="S244" s="53">
        <f>_xlfn.XLOOKUP(PA[[#This Row],[Affected Equipment ]],'Basic Data '!$A:$A,'Basic Data '!$B:$B)</f>
        <v>4477</v>
      </c>
      <c r="T244" s="90">
        <f>IFERROR(_xlfn.XLOOKUP(PA[[#This Row],[Affected Equipment ]],'Basic Data '!A:A,'Basic Data '!C:C),"")</f>
        <v>6.707116104868914E-2</v>
      </c>
      <c r="U244" s="59" t="s">
        <v>573</v>
      </c>
      <c r="V244" s="88"/>
      <c r="W244" s="267" t="s">
        <v>734</v>
      </c>
      <c r="X244" s="60">
        <v>0.46597222222222223</v>
      </c>
      <c r="Y244" s="60">
        <v>0.46597222222222223</v>
      </c>
      <c r="Z244" s="60">
        <v>0.7715277777777777</v>
      </c>
      <c r="AA244" s="60">
        <v>0.7715277777777777</v>
      </c>
      <c r="AB244" s="158">
        <f>IF(PA[[#This Row],[Acknowledgement Time ]]="NA","",(PA[[#This Row],[Acknowledgement Time ]]-PA[[#This Row],[Fault Time]])*24)</f>
        <v>0</v>
      </c>
      <c r="AC244" s="158">
        <f>IF(PA[[#This Row],[Work Start time on Fault]]="NA","",(PA[[#This Row],[Work Start time on Fault]]-PA[[#This Row],[Fault Time]])*24)</f>
        <v>7.3333333333333313</v>
      </c>
      <c r="AD244" s="112">
        <f>IF(PA[[#This Row],[Status]]="Open","",(PA[[#This Row],[Work Completion time on fault]]-PA[[#This Row],[Fault Time]])*24)</f>
        <v>7.3333333333333313</v>
      </c>
      <c r="AE244" s="111">
        <f>IFERROR((PA[[#This Row],[Work Completion time on fault]]-PA[[#This Row],[Fault Time]])*24,"")</f>
        <v>7.3333333333333313</v>
      </c>
      <c r="AF244" s="270" t="s">
        <v>737</v>
      </c>
      <c r="AG244" s="6" t="s">
        <v>1275</v>
      </c>
      <c r="AH244" s="53">
        <f>IFERROR(PA[[#This Row],[Breakdown Time]]*PA[[#This Row],[Plant Equivalent Weightage]],"")</f>
        <v>0.49185518102372022</v>
      </c>
      <c r="AI244" s="59">
        <v>4.3810000000000002</v>
      </c>
      <c r="AJ244" s="89">
        <f>IFERROR(IF(PA[[#This Row],[Lost PoA(kWh/m2)]]&gt;0,_xlfn.XLOOKUP(G244,'Modelling New'!$D:$D,'Modelling New'!$O:$O)*PA[[#This Row],[Lost PoA(kWh/m2)]]*S244,0),"")</f>
        <v>14849.956385991443</v>
      </c>
    </row>
    <row r="245" spans="1:36" ht="60" hidden="1" x14ac:dyDescent="0.25">
      <c r="A245" s="229">
        <v>1936</v>
      </c>
      <c r="B245" s="332">
        <v>45805</v>
      </c>
      <c r="C245" s="333">
        <v>2025</v>
      </c>
      <c r="D245" s="6">
        <f>YEAR(PA[[#This Row],[Date]])</f>
        <v>2025</v>
      </c>
      <c r="E245" s="334" t="s">
        <v>73</v>
      </c>
      <c r="F245" s="335" t="s">
        <v>73</v>
      </c>
      <c r="G245" s="336">
        <v>45778</v>
      </c>
      <c r="H245" s="56">
        <f>DAY(EOMONTH(PA[[#This Row],[Date]], 0))</f>
        <v>31</v>
      </c>
      <c r="I245" s="60">
        <v>0.21249999999999999</v>
      </c>
      <c r="J245" s="60">
        <v>0.7715277777777777</v>
      </c>
      <c r="K245" s="53">
        <f>IFERROR((PA[[#This Row],[Sunset Time (POA&lt;20 W/m2)]]-PA[[#This Row],[Sunrise Time (POA&gt;20 W/m2)]])*24,"")</f>
        <v>13.416666666666664</v>
      </c>
      <c r="L245" s="59" t="s">
        <v>615</v>
      </c>
      <c r="M245" s="59" t="s">
        <v>560</v>
      </c>
      <c r="N245" s="59"/>
      <c r="O245" s="59"/>
      <c r="P245" s="56"/>
      <c r="Q245" s="6"/>
      <c r="R24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BLK6LT2</v>
      </c>
      <c r="S245" s="53">
        <f>_xlfn.XLOOKUP(PA[[#This Row],[Affected Equipment ]],'Basic Data '!$A:$A,'Basic Data '!$B:$B)</f>
        <v>4499</v>
      </c>
      <c r="T245" s="90">
        <f>IFERROR(_xlfn.XLOOKUP(PA[[#This Row],[Affected Equipment ]],'Basic Data '!A:A,'Basic Data '!C:C),"")</f>
        <v>6.7400749063670412E-2</v>
      </c>
      <c r="U245" s="59" t="s">
        <v>573</v>
      </c>
      <c r="V245" s="88"/>
      <c r="W245" s="267" t="s">
        <v>734</v>
      </c>
      <c r="X245" s="60">
        <v>0.46597222222222223</v>
      </c>
      <c r="Y245" s="60">
        <v>0.46597222222222223</v>
      </c>
      <c r="Z245" s="60">
        <v>0.7715277777777777</v>
      </c>
      <c r="AA245" s="60">
        <v>0.7715277777777777</v>
      </c>
      <c r="AB245" s="158">
        <f>IF(PA[[#This Row],[Acknowledgement Time ]]="NA","",(PA[[#This Row],[Acknowledgement Time ]]-PA[[#This Row],[Fault Time]])*24)</f>
        <v>0</v>
      </c>
      <c r="AC245" s="158">
        <f>IF(PA[[#This Row],[Work Start time on Fault]]="NA","",(PA[[#This Row],[Work Start time on Fault]]-PA[[#This Row],[Fault Time]])*24)</f>
        <v>7.3333333333333313</v>
      </c>
      <c r="AD245" s="112">
        <f>IF(PA[[#This Row],[Status]]="Open","",(PA[[#This Row],[Work Completion time on fault]]-PA[[#This Row],[Fault Time]])*24)</f>
        <v>7.3333333333333313</v>
      </c>
      <c r="AE245" s="111">
        <f>IFERROR((PA[[#This Row],[Work Completion time on fault]]-PA[[#This Row],[Fault Time]])*24,"")</f>
        <v>7.3333333333333313</v>
      </c>
      <c r="AF245" s="270" t="s">
        <v>737</v>
      </c>
      <c r="AG245" s="6" t="s">
        <v>1275</v>
      </c>
      <c r="AH245" s="53">
        <f>IFERROR(PA[[#This Row],[Breakdown Time]]*PA[[#This Row],[Plant Equivalent Weightage]],"")</f>
        <v>0.49427215980024952</v>
      </c>
      <c r="AI245" s="59">
        <v>4.3810000000000002</v>
      </c>
      <c r="AJ245" s="89">
        <f>IFERROR(IF(PA[[#This Row],[Lost PoA(kWh/m2)]]&gt;0,_xlfn.XLOOKUP(G245,'Modelling New'!$D:$D,'Modelling New'!$O:$O)*PA[[#This Row],[Lost PoA(kWh/m2)]]*S245,0),"")</f>
        <v>14922.929144644962</v>
      </c>
    </row>
    <row r="246" spans="1:36" ht="45" hidden="1" x14ac:dyDescent="0.25">
      <c r="A246" s="229">
        <v>1937</v>
      </c>
      <c r="B246" s="332">
        <v>45805</v>
      </c>
      <c r="C246" s="333">
        <v>2025</v>
      </c>
      <c r="D246" s="6">
        <f>YEAR(PA[[#This Row],[Date]])</f>
        <v>2025</v>
      </c>
      <c r="E246" s="334" t="s">
        <v>73</v>
      </c>
      <c r="F246" s="335" t="s">
        <v>73</v>
      </c>
      <c r="G246" s="336">
        <v>45778</v>
      </c>
      <c r="H246" s="56">
        <f>DAY(EOMONTH(PA[[#This Row],[Date]], 0))</f>
        <v>31</v>
      </c>
      <c r="I246" s="60">
        <v>0.21249999999999999</v>
      </c>
      <c r="J246" s="60">
        <v>0.7715277777777777</v>
      </c>
      <c r="K246" s="53">
        <f>IFERROR((PA[[#This Row],[Sunset Time (POA&lt;20 W/m2)]]-PA[[#This Row],[Sunrise Time (POA&gt;20 W/m2)]])*24,"")</f>
        <v>13.416666666666664</v>
      </c>
      <c r="L246" s="59" t="s">
        <v>559</v>
      </c>
      <c r="M246" s="59"/>
      <c r="N246" s="59"/>
      <c r="O246" s="59" t="s">
        <v>571</v>
      </c>
      <c r="P246" s="56"/>
      <c r="Q246" s="6"/>
      <c r="R24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v>
      </c>
      <c r="S246" s="53">
        <v>22.25</v>
      </c>
      <c r="T246" s="90">
        <f>IFERROR(_xlfn.XLOOKUP(PA[[#This Row],[Affected Equipment ]],'Basic Data '!A:A,'Basic Data '!C:C),"")</f>
        <v>3.3333333333333335E-3</v>
      </c>
      <c r="U246" s="59" t="s">
        <v>738</v>
      </c>
      <c r="V246" s="88"/>
      <c r="W246" s="114" t="s">
        <v>739</v>
      </c>
      <c r="X246" s="60">
        <v>0.55208333333333337</v>
      </c>
      <c r="Y246" s="60">
        <v>0.55208333333333337</v>
      </c>
      <c r="Z246" s="60">
        <v>0.55555555555555558</v>
      </c>
      <c r="AA246" s="60">
        <v>0.52916666666666667</v>
      </c>
      <c r="AB246" s="158">
        <f>IF(PA[[#This Row],[Acknowledgement Time ]]="NA","",(PA[[#This Row],[Acknowledgement Time ]]-PA[[#This Row],[Fault Time]])*24)</f>
        <v>0</v>
      </c>
      <c r="AC246" s="158">
        <f>IF(PA[[#This Row],[Work Start time on Fault]]="NA","",(PA[[#This Row],[Work Start time on Fault]]-PA[[#This Row],[Fault Time]])*24)</f>
        <v>8.3333333333333037E-2</v>
      </c>
      <c r="AD246" s="112">
        <f>IF(PA[[#This Row],[Status]]="Open","",(PA[[#This Row],[Work Completion time on fault]]-PA[[#This Row],[Fault Time]])*24)</f>
        <v>-0.55000000000000071</v>
      </c>
      <c r="AE246" s="111">
        <f>IFERROR((PA[[#This Row],[Work Completion time on fault]]-PA[[#This Row],[Fault Time]])*24,"")</f>
        <v>-0.55000000000000071</v>
      </c>
      <c r="AF246" s="228" t="s">
        <v>740</v>
      </c>
      <c r="AG246" s="6" t="s">
        <v>1275</v>
      </c>
      <c r="AH246" s="53">
        <f>IFERROR(PA[[#This Row],[Breakdown Time]]*PA[[#This Row],[Plant Equivalent Weightage]],"")</f>
        <v>-1.8333333333333359E-3</v>
      </c>
      <c r="AI246" s="59">
        <v>0.39800000000000002</v>
      </c>
      <c r="AJ246" s="89">
        <f>IFERROR(IF(PA[[#This Row],[Lost PoA(kWh/m2)]]&gt;0,_xlfn.XLOOKUP(G246,'Modelling New'!$D:$D,'Modelling New'!$O:$O)*PA[[#This Row],[Lost PoA(kWh/m2)]]*S246,0),"")</f>
        <v>6.7046778885710152</v>
      </c>
    </row>
    <row r="247" spans="1:36" ht="30" hidden="1" x14ac:dyDescent="0.25">
      <c r="A247" s="229">
        <v>1938</v>
      </c>
      <c r="B247" s="332">
        <v>45806</v>
      </c>
      <c r="C247" s="333">
        <v>2025</v>
      </c>
      <c r="D247" s="6">
        <f>YEAR(PA[[#This Row],[Date]])</f>
        <v>2025</v>
      </c>
      <c r="E247" s="334" t="s">
        <v>73</v>
      </c>
      <c r="F247" s="335" t="s">
        <v>73</v>
      </c>
      <c r="G247" s="336">
        <v>45778</v>
      </c>
      <c r="H247" s="56">
        <f>DAY(EOMONTH(PA[[#This Row],[Date]], 0))</f>
        <v>31</v>
      </c>
      <c r="I247" s="60">
        <v>0.21458333333333335</v>
      </c>
      <c r="J247" s="60">
        <v>0.7631944444444444</v>
      </c>
      <c r="K247" s="53">
        <f>IFERROR((PA[[#This Row],[Sunset Time (POA&lt;20 W/m2)]]-PA[[#This Row],[Sunrise Time (POA&gt;20 W/m2)]])*24,"")</f>
        <v>13.166666666666664</v>
      </c>
      <c r="L247" s="59" t="s">
        <v>564</v>
      </c>
      <c r="M247" s="59" t="s">
        <v>588</v>
      </c>
      <c r="N247" s="59"/>
      <c r="O247" s="59"/>
      <c r="P247" s="56"/>
      <c r="Q247" s="6"/>
      <c r="R24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BLK5LT1</v>
      </c>
      <c r="S247" s="53">
        <f>_xlfn.XLOOKUP(PA[[#This Row],[Affected Equipment ]],'Basic Data '!$A:$A,'Basic Data '!$B:$B)</f>
        <v>4514.875</v>
      </c>
      <c r="T247" s="90">
        <f>IFERROR(_xlfn.XLOOKUP(PA[[#This Row],[Affected Equipment ]],'Basic Data '!A:A,'Basic Data '!C:C),"")</f>
        <v>6.763857677902621E-2</v>
      </c>
      <c r="U247" s="59" t="s">
        <v>573</v>
      </c>
      <c r="V247" s="88"/>
      <c r="W247" s="114" t="s">
        <v>741</v>
      </c>
      <c r="X247" s="60">
        <v>0.55555555555555558</v>
      </c>
      <c r="Y247" s="60">
        <v>0.55555555555555558</v>
      </c>
      <c r="Z247" s="60">
        <v>0.56944444444444442</v>
      </c>
      <c r="AA247" s="60">
        <v>0.5805555555555556</v>
      </c>
      <c r="AB247" s="158">
        <f>IF(PA[[#This Row],[Acknowledgement Time ]]="NA","",(PA[[#This Row],[Acknowledgement Time ]]-PA[[#This Row],[Fault Time]])*24)</f>
        <v>0</v>
      </c>
      <c r="AC247" s="158">
        <f>IF(PA[[#This Row],[Work Start time on Fault]]="NA","",(PA[[#This Row],[Work Start time on Fault]]-PA[[#This Row],[Fault Time]])*24)</f>
        <v>0.33333333333333215</v>
      </c>
      <c r="AD247" s="112">
        <f>IF(PA[[#This Row],[Status]]="Open","",(PA[[#This Row],[Work Completion time on fault]]-PA[[#This Row],[Fault Time]])*24)</f>
        <v>0.60000000000000053</v>
      </c>
      <c r="AE247" s="111">
        <f>IFERROR((PA[[#This Row],[Work Completion time on fault]]-PA[[#This Row],[Fault Time]])*24,"")</f>
        <v>0.60000000000000053</v>
      </c>
      <c r="AF247" s="228" t="s">
        <v>742</v>
      </c>
      <c r="AG247" s="6" t="s">
        <v>1275</v>
      </c>
      <c r="AH247" s="53">
        <f>IFERROR(PA[[#This Row],[Breakdown Time]]*PA[[#This Row],[Plant Equivalent Weightage]],"")</f>
        <v>4.0583146067415761E-2</v>
      </c>
      <c r="AI247" s="59">
        <v>0.45600000000000002</v>
      </c>
      <c r="AJ247" s="89">
        <f>IFERROR(IF(PA[[#This Row],[Lost PoA(kWh/m2)]]&gt;0,_xlfn.XLOOKUP(G247,'Modelling New'!$D:$D,'Modelling New'!$O:$O)*PA[[#This Row],[Lost PoA(kWh/m2)]]*S247,0),"")</f>
        <v>1558.7461868291912</v>
      </c>
    </row>
    <row r="248" spans="1:36" ht="30" hidden="1" x14ac:dyDescent="0.25">
      <c r="A248" s="229">
        <v>1939</v>
      </c>
      <c r="B248" s="332">
        <v>45806</v>
      </c>
      <c r="C248" s="333">
        <v>2025</v>
      </c>
      <c r="D248" s="6">
        <f>YEAR(PA[[#This Row],[Date]])</f>
        <v>2025</v>
      </c>
      <c r="E248" s="334" t="s">
        <v>73</v>
      </c>
      <c r="F248" s="335" t="s">
        <v>73</v>
      </c>
      <c r="G248" s="336">
        <v>45778</v>
      </c>
      <c r="H248" s="56">
        <f>DAY(EOMONTH(PA[[#This Row],[Date]], 0))</f>
        <v>31</v>
      </c>
      <c r="I248" s="60">
        <v>0.21458333333333335</v>
      </c>
      <c r="J248" s="60">
        <v>0.7631944444444444</v>
      </c>
      <c r="K248" s="53">
        <f>IFERROR((PA[[#This Row],[Sunset Time (POA&lt;20 W/m2)]]-PA[[#This Row],[Sunrise Time (POA&gt;20 W/m2)]])*24,"")</f>
        <v>13.166666666666664</v>
      </c>
      <c r="L248" s="59" t="s">
        <v>564</v>
      </c>
      <c r="M248" s="59" t="s">
        <v>560</v>
      </c>
      <c r="N248" s="59"/>
      <c r="O248" s="59"/>
      <c r="P248" s="56"/>
      <c r="Q248" s="6"/>
      <c r="R24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BLK5LT2</v>
      </c>
      <c r="S248" s="53">
        <f>_xlfn.XLOOKUP(PA[[#This Row],[Affected Equipment ]],'Basic Data '!$A:$A,'Basic Data '!$B:$B)</f>
        <v>4349.875</v>
      </c>
      <c r="T248" s="90">
        <f>IFERROR(_xlfn.XLOOKUP(PA[[#This Row],[Affected Equipment ]],'Basic Data '!A:A,'Basic Data '!C:C),"")</f>
        <v>6.5166666666666664E-2</v>
      </c>
      <c r="U248" s="59" t="s">
        <v>573</v>
      </c>
      <c r="V248" s="88"/>
      <c r="W248" s="114" t="s">
        <v>741</v>
      </c>
      <c r="X248" s="60">
        <v>0.55555555555555558</v>
      </c>
      <c r="Y248" s="60">
        <v>0.55555555555555558</v>
      </c>
      <c r="Z248" s="60">
        <v>0.56944444444444442</v>
      </c>
      <c r="AA248" s="60">
        <v>0.5805555555555556</v>
      </c>
      <c r="AB248" s="158">
        <f>IF(PA[[#This Row],[Acknowledgement Time ]]="NA","",(PA[[#This Row],[Acknowledgement Time ]]-PA[[#This Row],[Fault Time]])*24)</f>
        <v>0</v>
      </c>
      <c r="AC248" s="158">
        <f>IF(PA[[#This Row],[Work Start time on Fault]]="NA","",(PA[[#This Row],[Work Start time on Fault]]-PA[[#This Row],[Fault Time]])*24)</f>
        <v>0.33333333333333215</v>
      </c>
      <c r="AD248" s="112">
        <f>IF(PA[[#This Row],[Status]]="Open","",(PA[[#This Row],[Work Completion time on fault]]-PA[[#This Row],[Fault Time]])*24)</f>
        <v>0.60000000000000053</v>
      </c>
      <c r="AE248" s="111">
        <f>IFERROR((PA[[#This Row],[Work Completion time on fault]]-PA[[#This Row],[Fault Time]])*24,"")</f>
        <v>0.60000000000000053</v>
      </c>
      <c r="AF248" s="228" t="s">
        <v>742</v>
      </c>
      <c r="AG248" s="6" t="s">
        <v>1275</v>
      </c>
      <c r="AH248" s="53">
        <f>IFERROR(PA[[#This Row],[Breakdown Time]]*PA[[#This Row],[Plant Equivalent Weightage]],"")</f>
        <v>3.9100000000000031E-2</v>
      </c>
      <c r="AI248" s="59">
        <v>0.45600000000000002</v>
      </c>
      <c r="AJ248" s="89">
        <f>IFERROR(IF(PA[[#This Row],[Lost PoA(kWh/m2)]]&gt;0,_xlfn.XLOOKUP(G248,'Modelling New'!$D:$D,'Modelling New'!$O:$O)*PA[[#This Row],[Lost PoA(kWh/m2)]]*S248,0),"")</f>
        <v>1501.7804633425351</v>
      </c>
    </row>
    <row r="249" spans="1:36" hidden="1" x14ac:dyDescent="0.25">
      <c r="A249" s="229">
        <v>1940</v>
      </c>
      <c r="B249" s="332">
        <v>45806</v>
      </c>
      <c r="C249" s="333">
        <v>2025</v>
      </c>
      <c r="D249" s="6">
        <f>YEAR(PA[[#This Row],[Date]])</f>
        <v>2025</v>
      </c>
      <c r="E249" s="334" t="s">
        <v>73</v>
      </c>
      <c r="F249" s="335" t="s">
        <v>73</v>
      </c>
      <c r="G249" s="336">
        <v>45778</v>
      </c>
      <c r="H249" s="56">
        <f>DAY(EOMONTH(PA[[#This Row],[Date]], 0))</f>
        <v>31</v>
      </c>
      <c r="I249" s="60">
        <v>0.21458333333333335</v>
      </c>
      <c r="J249" s="60">
        <v>0.7631944444444444</v>
      </c>
      <c r="K249" s="53">
        <f>IFERROR((PA[[#This Row],[Sunset Time (POA&lt;20 W/m2)]]-PA[[#This Row],[Sunrise Time (POA&gt;20 W/m2)]])*24,"")</f>
        <v>13.166666666666664</v>
      </c>
      <c r="L249" s="59" t="s">
        <v>615</v>
      </c>
      <c r="M249" s="59" t="s">
        <v>588</v>
      </c>
      <c r="N249" s="59"/>
      <c r="O249" s="59"/>
      <c r="P249" s="56"/>
      <c r="Q249" s="6"/>
      <c r="R24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BLK6LT1</v>
      </c>
      <c r="S249" s="53">
        <f>_xlfn.XLOOKUP(PA[[#This Row],[Affected Equipment ]],'Basic Data '!$A:$A,'Basic Data '!$B:$B)</f>
        <v>4477</v>
      </c>
      <c r="T249" s="90">
        <f>IFERROR(_xlfn.XLOOKUP(PA[[#This Row],[Affected Equipment ]],'Basic Data '!A:A,'Basic Data '!C:C),"")</f>
        <v>6.707116104868914E-2</v>
      </c>
      <c r="U249" s="59" t="s">
        <v>573</v>
      </c>
      <c r="V249" s="88"/>
      <c r="W249" s="114" t="s">
        <v>743</v>
      </c>
      <c r="X249" s="60">
        <v>0.21458333333333335</v>
      </c>
      <c r="Y249" s="60">
        <v>0.21458333333333335</v>
      </c>
      <c r="Z249" s="60">
        <v>0.58333333333333337</v>
      </c>
      <c r="AA249" s="60">
        <v>0.59236111111111112</v>
      </c>
      <c r="AB249" s="158">
        <f>IF(PA[[#This Row],[Acknowledgement Time ]]="NA","",(PA[[#This Row],[Acknowledgement Time ]]-PA[[#This Row],[Fault Time]])*24)</f>
        <v>0</v>
      </c>
      <c r="AC249" s="158">
        <f>IF(PA[[#This Row],[Work Start time on Fault]]="NA","",(PA[[#This Row],[Work Start time on Fault]]-PA[[#This Row],[Fault Time]])*24)</f>
        <v>8.8500000000000014</v>
      </c>
      <c r="AD249" s="112">
        <f>IF(PA[[#This Row],[Status]]="Open","",(PA[[#This Row],[Work Completion time on fault]]-PA[[#This Row],[Fault Time]])*24)</f>
        <v>9.0666666666666664</v>
      </c>
      <c r="AE249" s="111">
        <f>IFERROR((PA[[#This Row],[Work Completion time on fault]]-PA[[#This Row],[Fault Time]])*24,"")</f>
        <v>9.0666666666666664</v>
      </c>
      <c r="AF249" s="228" t="s">
        <v>744</v>
      </c>
      <c r="AG249" s="6" t="s">
        <v>1275</v>
      </c>
      <c r="AH249" s="53">
        <f>IFERROR(PA[[#This Row],[Breakdown Time]]*PA[[#This Row],[Plant Equivalent Weightage]],"")</f>
        <v>0.60811186017478147</v>
      </c>
      <c r="AI249" s="59">
        <v>4.47</v>
      </c>
      <c r="AJ249" s="89">
        <f>IFERROR(IF(PA[[#This Row],[Lost PoA(kWh/m2)]]&gt;0,_xlfn.XLOOKUP(G249,'Modelling New'!$D:$D,'Modelling New'!$O:$O)*PA[[#This Row],[Lost PoA(kWh/m2)]]*S249,0),"")</f>
        <v>15151.63319912845</v>
      </c>
    </row>
    <row r="250" spans="1:36" hidden="1" x14ac:dyDescent="0.25">
      <c r="A250" s="229">
        <v>1941</v>
      </c>
      <c r="B250" s="332">
        <v>45806</v>
      </c>
      <c r="C250" s="333">
        <v>2025</v>
      </c>
      <c r="D250" s="6">
        <f>YEAR(PA[[#This Row],[Date]])</f>
        <v>2025</v>
      </c>
      <c r="E250" s="334" t="s">
        <v>73</v>
      </c>
      <c r="F250" s="335" t="s">
        <v>73</v>
      </c>
      <c r="G250" s="336">
        <v>45778</v>
      </c>
      <c r="H250" s="56">
        <f>DAY(EOMONTH(PA[[#This Row],[Date]], 0))</f>
        <v>31</v>
      </c>
      <c r="I250" s="60">
        <v>0.21458333333333335</v>
      </c>
      <c r="J250" s="60">
        <v>0.7631944444444444</v>
      </c>
      <c r="K250" s="53">
        <f>IFERROR((PA[[#This Row],[Sunset Time (POA&lt;20 W/m2)]]-PA[[#This Row],[Sunrise Time (POA&gt;20 W/m2)]])*24,"")</f>
        <v>13.166666666666664</v>
      </c>
      <c r="L250" s="59" t="s">
        <v>615</v>
      </c>
      <c r="M250" s="59" t="s">
        <v>560</v>
      </c>
      <c r="N250" s="59"/>
      <c r="O250" s="59"/>
      <c r="P250" s="56"/>
      <c r="Q250" s="6"/>
      <c r="R25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BLK6LT2</v>
      </c>
      <c r="S250" s="53">
        <f>_xlfn.XLOOKUP(PA[[#This Row],[Affected Equipment ]],'Basic Data '!$A:$A,'Basic Data '!$B:$B)</f>
        <v>4499</v>
      </c>
      <c r="T250" s="90">
        <f>IFERROR(_xlfn.XLOOKUP(PA[[#This Row],[Affected Equipment ]],'Basic Data '!A:A,'Basic Data '!C:C),"")</f>
        <v>6.7400749063670412E-2</v>
      </c>
      <c r="U250" s="59" t="s">
        <v>573</v>
      </c>
      <c r="V250" s="88"/>
      <c r="W250" s="114" t="s">
        <v>743</v>
      </c>
      <c r="X250" s="60">
        <v>0.21458333333333335</v>
      </c>
      <c r="Y250" s="60">
        <v>0.21458333333333335</v>
      </c>
      <c r="Z250" s="60">
        <v>0.58333333333333337</v>
      </c>
      <c r="AA250" s="60">
        <v>0.59236111111111112</v>
      </c>
      <c r="AB250" s="158">
        <f>IF(PA[[#This Row],[Acknowledgement Time ]]="NA","",(PA[[#This Row],[Acknowledgement Time ]]-PA[[#This Row],[Fault Time]])*24)</f>
        <v>0</v>
      </c>
      <c r="AC250" s="158">
        <f>IF(PA[[#This Row],[Work Start time on Fault]]="NA","",(PA[[#This Row],[Work Start time on Fault]]-PA[[#This Row],[Fault Time]])*24)</f>
        <v>8.8500000000000014</v>
      </c>
      <c r="AD250" s="112">
        <f>IF(PA[[#This Row],[Status]]="Open","",(PA[[#This Row],[Work Completion time on fault]]-PA[[#This Row],[Fault Time]])*24)</f>
        <v>9.0666666666666664</v>
      </c>
      <c r="AE250" s="111">
        <f>IFERROR((PA[[#This Row],[Work Completion time on fault]]-PA[[#This Row],[Fault Time]])*24,"")</f>
        <v>9.0666666666666664</v>
      </c>
      <c r="AF250" s="228" t="s">
        <v>744</v>
      </c>
      <c r="AG250" s="6" t="s">
        <v>1275</v>
      </c>
      <c r="AH250" s="53">
        <f>IFERROR(PA[[#This Row],[Breakdown Time]]*PA[[#This Row],[Plant Equivalent Weightage]],"")</f>
        <v>0.61110012484394505</v>
      </c>
      <c r="AI250" s="59">
        <v>4.47</v>
      </c>
      <c r="AJ250" s="89">
        <f>IFERROR(IF(PA[[#This Row],[Lost PoA(kWh/m2)]]&gt;0,_xlfn.XLOOKUP(G250,'Modelling New'!$D:$D,'Modelling New'!$O:$O)*PA[[#This Row],[Lost PoA(kWh/m2)]]*S250,0),"")</f>
        <v>15226.088399124166</v>
      </c>
    </row>
    <row r="251" spans="1:36" hidden="1" x14ac:dyDescent="0.25">
      <c r="A251" s="229">
        <v>1942</v>
      </c>
      <c r="B251" s="332">
        <v>45806</v>
      </c>
      <c r="C251" s="333">
        <v>2025</v>
      </c>
      <c r="D251" s="6">
        <f>YEAR(PA[[#This Row],[Date]])</f>
        <v>2025</v>
      </c>
      <c r="E251" s="334" t="s">
        <v>73</v>
      </c>
      <c r="F251" s="335" t="s">
        <v>73</v>
      </c>
      <c r="G251" s="336">
        <v>45778</v>
      </c>
      <c r="H251" s="56">
        <f>DAY(EOMONTH(PA[[#This Row],[Date]], 0))</f>
        <v>31</v>
      </c>
      <c r="I251" s="60">
        <v>0.21458333333333335</v>
      </c>
      <c r="J251" s="60">
        <v>0.7631944444444444</v>
      </c>
      <c r="K251" s="53">
        <f>IFERROR((PA[[#This Row],[Sunset Time (POA&lt;20 W/m2)]]-PA[[#This Row],[Sunrise Time (POA&gt;20 W/m2)]])*24,"")</f>
        <v>13.166666666666664</v>
      </c>
      <c r="L251" s="59" t="s">
        <v>579</v>
      </c>
      <c r="M251" s="59" t="s">
        <v>588</v>
      </c>
      <c r="N251" s="59"/>
      <c r="O251" s="59"/>
      <c r="P251" s="56"/>
      <c r="Q251" s="6"/>
      <c r="R25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BLK8LT1</v>
      </c>
      <c r="S251" s="53">
        <f>_xlfn.XLOOKUP(PA[[#This Row],[Affected Equipment ]],'Basic Data '!$A:$A,'Basic Data '!$B:$B)</f>
        <v>3947.5</v>
      </c>
      <c r="T251" s="90">
        <f>IFERROR(_xlfn.XLOOKUP(PA[[#This Row],[Affected Equipment ]],'Basic Data '!A:A,'Basic Data '!C:C),"")</f>
        <v>5.9138576779026217E-2</v>
      </c>
      <c r="U251" s="59" t="s">
        <v>573</v>
      </c>
      <c r="V251" s="88"/>
      <c r="W251" s="114" t="s">
        <v>745</v>
      </c>
      <c r="X251" s="60">
        <v>0.5708333333333333</v>
      </c>
      <c r="Y251" s="60">
        <v>0.57638888888888895</v>
      </c>
      <c r="Z251" s="60">
        <v>0.60763888888888895</v>
      </c>
      <c r="AA251" s="60">
        <v>0.6166666666666667</v>
      </c>
      <c r="AB251" s="158">
        <f>IF(PA[[#This Row],[Acknowledgement Time ]]="NA","",(PA[[#This Row],[Acknowledgement Time ]]-PA[[#This Row],[Fault Time]])*24)</f>
        <v>0.13333333333333552</v>
      </c>
      <c r="AC251" s="158">
        <f>IF(PA[[#This Row],[Work Start time on Fault]]="NA","",(PA[[#This Row],[Work Start time on Fault]]-PA[[#This Row],[Fault Time]])*24)</f>
        <v>0.88333333333333552</v>
      </c>
      <c r="AD251" s="112">
        <f>IF(PA[[#This Row],[Status]]="Open","",(PA[[#This Row],[Work Completion time on fault]]-PA[[#This Row],[Fault Time]])*24)</f>
        <v>1.1000000000000014</v>
      </c>
      <c r="AE251" s="111">
        <f>IFERROR((PA[[#This Row],[Work Completion time on fault]]-PA[[#This Row],[Fault Time]])*24,"")</f>
        <v>1.1000000000000014</v>
      </c>
      <c r="AF251" s="228" t="s">
        <v>746</v>
      </c>
      <c r="AG251" s="6" t="s">
        <v>1275</v>
      </c>
      <c r="AH251" s="53">
        <f>IFERROR(PA[[#This Row],[Breakdown Time]]*PA[[#This Row],[Plant Equivalent Weightage]],"")</f>
        <v>6.5052434456928918E-2</v>
      </c>
      <c r="AI251" s="59">
        <v>0.34499999999999997</v>
      </c>
      <c r="AJ251" s="89">
        <f>IFERROR(IF(PA[[#This Row],[Lost PoA(kWh/m2)]]&gt;0,_xlfn.XLOOKUP(G251,'Modelling New'!$D:$D,'Modelling New'!$O:$O)*PA[[#This Row],[Lost PoA(kWh/m2)]]*S251,0),"")</f>
        <v>1031.1125298369668</v>
      </c>
    </row>
    <row r="252" spans="1:36" hidden="1" x14ac:dyDescent="0.25">
      <c r="A252" s="229">
        <v>1943</v>
      </c>
      <c r="B252" s="233">
        <v>45808</v>
      </c>
      <c r="C252" s="333">
        <v>2025</v>
      </c>
      <c r="D252" s="6">
        <f>YEAR(PA[[#This Row],[Date]])</f>
        <v>2025</v>
      </c>
      <c r="E252" s="334" t="s">
        <v>73</v>
      </c>
      <c r="F252" s="335" t="s">
        <v>73</v>
      </c>
      <c r="G252" s="336">
        <v>45778</v>
      </c>
      <c r="H252" s="56">
        <f>DAY(EOMONTH(PA[[#This Row],[Date]], 0))</f>
        <v>31</v>
      </c>
      <c r="I252" s="10" t="s">
        <v>747</v>
      </c>
      <c r="J252" s="10" t="s">
        <v>748</v>
      </c>
      <c r="K252" s="53">
        <f>IFERROR((PA[[#This Row],[Sunset Time (POA&lt;20 W/m2)]]-PA[[#This Row],[Sunrise Time (POA&gt;20 W/m2)]])*24,"")</f>
        <v>13.183333333333334</v>
      </c>
      <c r="L252" s="59" t="s">
        <v>615</v>
      </c>
      <c r="M252" s="59" t="s">
        <v>560</v>
      </c>
      <c r="N252" s="59"/>
      <c r="O252" s="59"/>
      <c r="P252" s="56"/>
      <c r="Q252" s="6"/>
      <c r="R25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BLK6LT2</v>
      </c>
      <c r="S252" s="53">
        <v>22.25</v>
      </c>
      <c r="T252" s="90">
        <f>IFERROR(_xlfn.XLOOKUP(PA[[#This Row],[Affected Equipment ]],'Basic Data '!A:A,'Basic Data '!C:C),"")</f>
        <v>6.7400749063670412E-2</v>
      </c>
      <c r="U252" s="59" t="s">
        <v>738</v>
      </c>
      <c r="V252" s="88"/>
      <c r="W252" s="266" t="s">
        <v>722</v>
      </c>
      <c r="X252" s="60">
        <v>0.21875</v>
      </c>
      <c r="Y252" s="60">
        <v>80.416666666666671</v>
      </c>
      <c r="Z252" s="60">
        <v>0.4375</v>
      </c>
      <c r="AA252" s="60">
        <v>0.4375</v>
      </c>
      <c r="AB252" s="158">
        <f>IF(PA[[#This Row],[Acknowledgement Time ]]="NA","",(PA[[#This Row],[Acknowledgement Time ]]-PA[[#This Row],[Fault Time]])*24)</f>
        <v>1924.75</v>
      </c>
      <c r="AC252" s="158">
        <f>IF(PA[[#This Row],[Work Start time on Fault]]="NA","",(PA[[#This Row],[Work Start time on Fault]]-PA[[#This Row],[Fault Time]])*24)</f>
        <v>5.25</v>
      </c>
      <c r="AD252" s="112">
        <f>IF(PA[[#This Row],[Status]]="Open","",(PA[[#This Row],[Work Completion time on fault]]-PA[[#This Row],[Fault Time]])*24)</f>
        <v>5.25</v>
      </c>
      <c r="AE252" s="111">
        <f>IFERROR((PA[[#This Row],[Work Completion time on fault]]-PA[[#This Row],[Fault Time]])*24,"")</f>
        <v>5.25</v>
      </c>
      <c r="AF252" s="266" t="s">
        <v>722</v>
      </c>
      <c r="AG252" s="6" t="s">
        <v>1275</v>
      </c>
      <c r="AH252" s="53">
        <f>IFERROR(PA[[#This Row],[Breakdown Time]]*PA[[#This Row],[Plant Equivalent Weightage]],"")</f>
        <v>0.35385393258426967</v>
      </c>
      <c r="AI252" s="59">
        <v>2.2000000000000002</v>
      </c>
      <c r="AJ252" s="89">
        <f>IFERROR(IF(PA[[#This Row],[Lost PoA(kWh/m2)]]&gt;0,_xlfn.XLOOKUP(G252,'Modelling New'!$D:$D,'Modelling New'!$O:$O)*PA[[#This Row],[Lost PoA(kWh/m2)]]*S252,0),"")</f>
        <v>37.061033554915163</v>
      </c>
    </row>
    <row r="253" spans="1:36" hidden="1" x14ac:dyDescent="0.25">
      <c r="A253" s="229">
        <v>1944</v>
      </c>
      <c r="B253" s="233">
        <v>45808</v>
      </c>
      <c r="C253" s="333">
        <v>2025</v>
      </c>
      <c r="D253" s="6">
        <f>YEAR(PA[[#This Row],[Date]])</f>
        <v>2025</v>
      </c>
      <c r="E253" s="334" t="s">
        <v>73</v>
      </c>
      <c r="F253" s="335" t="s">
        <v>73</v>
      </c>
      <c r="G253" s="336">
        <v>45778</v>
      </c>
      <c r="H253" s="56">
        <f>DAY(EOMONTH(PA[[#This Row],[Date]], 0))</f>
        <v>31</v>
      </c>
      <c r="I253" s="10" t="s">
        <v>747</v>
      </c>
      <c r="J253" s="10" t="s">
        <v>748</v>
      </c>
      <c r="K253" s="53">
        <f>IFERROR((PA[[#This Row],[Sunset Time (POA&lt;20 W/m2)]]-PA[[#This Row],[Sunrise Time (POA&gt;20 W/m2)]])*24,"")</f>
        <v>13.183333333333334</v>
      </c>
      <c r="L253" s="59" t="s">
        <v>615</v>
      </c>
      <c r="M253" s="59" t="s">
        <v>560</v>
      </c>
      <c r="N253" s="59"/>
      <c r="O253" s="59"/>
      <c r="P253" s="56"/>
      <c r="Q253" s="6"/>
      <c r="R25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BLK6LT2</v>
      </c>
      <c r="S253" s="53">
        <v>22.25</v>
      </c>
      <c r="T253" s="90">
        <f>IFERROR(_xlfn.XLOOKUP(PA[[#This Row],[Affected Equipment ]],'Basic Data '!A:A,'Basic Data '!C:C),"")</f>
        <v>6.7400749063670412E-2</v>
      </c>
      <c r="U253" s="59" t="s">
        <v>738</v>
      </c>
      <c r="V253" s="88"/>
      <c r="W253" s="266" t="s">
        <v>722</v>
      </c>
      <c r="X253" s="60">
        <v>0.21875</v>
      </c>
      <c r="Y253" s="60">
        <v>80.416666666666671</v>
      </c>
      <c r="Z253" s="60">
        <v>0.45833333333333331</v>
      </c>
      <c r="AA253" s="60">
        <v>0.45833333333333331</v>
      </c>
      <c r="AB253" s="158">
        <f>IF(PA[[#This Row],[Acknowledgement Time ]]="NA","",(PA[[#This Row],[Acknowledgement Time ]]-PA[[#This Row],[Fault Time]])*24)</f>
        <v>1924.75</v>
      </c>
      <c r="AC253" s="158">
        <f>IF(PA[[#This Row],[Work Start time on Fault]]="NA","",(PA[[#This Row],[Work Start time on Fault]]-PA[[#This Row],[Fault Time]])*24)</f>
        <v>5.75</v>
      </c>
      <c r="AD253" s="112">
        <f>IF(PA[[#This Row],[Status]]="Open","",(PA[[#This Row],[Work Completion time on fault]]-PA[[#This Row],[Fault Time]])*24)</f>
        <v>5.75</v>
      </c>
      <c r="AE253" s="111">
        <f>IFERROR((PA[[#This Row],[Work Completion time on fault]]-PA[[#This Row],[Fault Time]])*24,"")</f>
        <v>5.75</v>
      </c>
      <c r="AF253" s="266" t="s">
        <v>722</v>
      </c>
      <c r="AG253" s="6" t="s">
        <v>1275</v>
      </c>
      <c r="AH253" s="53">
        <f>IFERROR(PA[[#This Row],[Breakdown Time]]*PA[[#This Row],[Plant Equivalent Weightage]],"")</f>
        <v>0.38755430711610489</v>
      </c>
      <c r="AI253" s="59">
        <v>2.1</v>
      </c>
      <c r="AJ253" s="89">
        <f>IFERROR(IF(PA[[#This Row],[Lost PoA(kWh/m2)]]&gt;0,_xlfn.XLOOKUP(G253,'Modelling New'!$D:$D,'Modelling New'!$O:$O)*PA[[#This Row],[Lost PoA(kWh/m2)]]*S253,0),"")</f>
        <v>35.376441120600838</v>
      </c>
    </row>
    <row r="254" spans="1:36" hidden="1" x14ac:dyDescent="0.25">
      <c r="A254" s="229">
        <v>1945</v>
      </c>
      <c r="B254" s="233">
        <v>45808</v>
      </c>
      <c r="C254" s="333">
        <v>2025</v>
      </c>
      <c r="D254" s="6">
        <f>YEAR(PA[[#This Row],[Date]])</f>
        <v>2025</v>
      </c>
      <c r="E254" s="334" t="s">
        <v>73</v>
      </c>
      <c r="F254" s="335" t="s">
        <v>73</v>
      </c>
      <c r="G254" s="336">
        <v>45778</v>
      </c>
      <c r="H254" s="56">
        <f>DAY(EOMONTH(PA[[#This Row],[Date]], 0))</f>
        <v>31</v>
      </c>
      <c r="I254" s="10" t="s">
        <v>747</v>
      </c>
      <c r="J254" s="10" t="s">
        <v>748</v>
      </c>
      <c r="K254" s="53">
        <f>IFERROR((PA[[#This Row],[Sunset Time (POA&lt;20 W/m2)]]-PA[[#This Row],[Sunrise Time (POA&gt;20 W/m2)]])*24,"")</f>
        <v>13.183333333333334</v>
      </c>
      <c r="L254" s="59" t="s">
        <v>615</v>
      </c>
      <c r="M254" s="59" t="s">
        <v>560</v>
      </c>
      <c r="N254" s="59"/>
      <c r="O254" s="59"/>
      <c r="P254" s="56"/>
      <c r="Q254" s="6"/>
      <c r="R25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BLK6LT2</v>
      </c>
      <c r="S254" s="53">
        <v>22.25</v>
      </c>
      <c r="T254" s="90">
        <f>IFERROR(_xlfn.XLOOKUP(PA[[#This Row],[Affected Equipment ]],'Basic Data '!A:A,'Basic Data '!C:C),"")</f>
        <v>6.7400749063670412E-2</v>
      </c>
      <c r="U254" s="59" t="s">
        <v>738</v>
      </c>
      <c r="V254" s="88"/>
      <c r="W254" s="266" t="s">
        <v>722</v>
      </c>
      <c r="X254" s="60">
        <v>0.21875</v>
      </c>
      <c r="Y254" s="60">
        <v>80.416666666666671</v>
      </c>
      <c r="Z254" s="60">
        <v>0.46180555555555558</v>
      </c>
      <c r="AA254" s="60">
        <v>0.46180555555555558</v>
      </c>
      <c r="AB254" s="158">
        <f>IF(PA[[#This Row],[Acknowledgement Time ]]="NA","",(PA[[#This Row],[Acknowledgement Time ]]-PA[[#This Row],[Fault Time]])*24)</f>
        <v>1924.75</v>
      </c>
      <c r="AC254" s="158">
        <f>IF(PA[[#This Row],[Work Start time on Fault]]="NA","",(PA[[#This Row],[Work Start time on Fault]]-PA[[#This Row],[Fault Time]])*24)</f>
        <v>5.8333333333333339</v>
      </c>
      <c r="AD254" s="112">
        <f>IF(PA[[#This Row],[Status]]="Open","",(PA[[#This Row],[Work Completion time on fault]]-PA[[#This Row],[Fault Time]])*24)</f>
        <v>5.8333333333333339</v>
      </c>
      <c r="AE254" s="111">
        <f>IFERROR((PA[[#This Row],[Work Completion time on fault]]-PA[[#This Row],[Fault Time]])*24,"")</f>
        <v>5.8333333333333339</v>
      </c>
      <c r="AF254" s="266" t="s">
        <v>722</v>
      </c>
      <c r="AG254" s="6" t="s">
        <v>1275</v>
      </c>
      <c r="AH254" s="53">
        <f>IFERROR(PA[[#This Row],[Breakdown Time]]*PA[[#This Row],[Plant Equivalent Weightage]],"")</f>
        <v>0.39317103620474408</v>
      </c>
      <c r="AI254" s="59">
        <v>2.1</v>
      </c>
      <c r="AJ254" s="89">
        <f>IFERROR(IF(PA[[#This Row],[Lost PoA(kWh/m2)]]&gt;0,_xlfn.XLOOKUP(G254,'Modelling New'!$D:$D,'Modelling New'!$O:$O)*PA[[#This Row],[Lost PoA(kWh/m2)]]*S254,0),"")</f>
        <v>35.376441120600838</v>
      </c>
    </row>
    <row r="255" spans="1:36" hidden="1" x14ac:dyDescent="0.25">
      <c r="A255" s="229">
        <v>1946</v>
      </c>
      <c r="B255" s="233">
        <v>45808</v>
      </c>
      <c r="C255" s="333">
        <v>2025</v>
      </c>
      <c r="D255" s="6">
        <f>YEAR(PA[[#This Row],[Date]])</f>
        <v>2025</v>
      </c>
      <c r="E255" s="334" t="s">
        <v>73</v>
      </c>
      <c r="F255" s="335" t="s">
        <v>73</v>
      </c>
      <c r="G255" s="336">
        <v>45778</v>
      </c>
      <c r="H255" s="56">
        <f>DAY(EOMONTH(PA[[#This Row],[Date]], 0))</f>
        <v>31</v>
      </c>
      <c r="I255" s="10" t="s">
        <v>747</v>
      </c>
      <c r="J255" s="10" t="s">
        <v>748</v>
      </c>
      <c r="K255" s="53">
        <f>IFERROR((PA[[#This Row],[Sunset Time (POA&lt;20 W/m2)]]-PA[[#This Row],[Sunrise Time (POA&gt;20 W/m2)]])*24,"")</f>
        <v>13.183333333333334</v>
      </c>
      <c r="L255" s="59" t="s">
        <v>587</v>
      </c>
      <c r="M255" s="59" t="s">
        <v>588</v>
      </c>
      <c r="N255" s="59"/>
      <c r="O255" s="59"/>
      <c r="P255" s="56"/>
      <c r="Q255" s="6"/>
      <c r="R25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BLK1LT1</v>
      </c>
      <c r="S255" s="53">
        <v>22.25</v>
      </c>
      <c r="T255" s="90">
        <f>IFERROR(_xlfn.XLOOKUP(PA[[#This Row],[Affected Equipment ]],'Basic Data '!A:A,'Basic Data '!C:C),"")</f>
        <v>6.5000000000000002E-2</v>
      </c>
      <c r="U255" s="59" t="s">
        <v>738</v>
      </c>
      <c r="V255" s="88"/>
      <c r="W255" s="266" t="s">
        <v>722</v>
      </c>
      <c r="X255" s="60">
        <v>0.21875</v>
      </c>
      <c r="Y255" s="60">
        <v>80.416666666666671</v>
      </c>
      <c r="Z255" s="60">
        <v>0.60277777777777775</v>
      </c>
      <c r="AA255" s="60">
        <v>0.60277777777777775</v>
      </c>
      <c r="AB255" s="158">
        <f>IF(PA[[#This Row],[Acknowledgement Time ]]="NA","",(PA[[#This Row],[Acknowledgement Time ]]-PA[[#This Row],[Fault Time]])*24)</f>
        <v>1924.75</v>
      </c>
      <c r="AC255" s="158">
        <f>IF(PA[[#This Row],[Work Start time on Fault]]="NA","",(PA[[#This Row],[Work Start time on Fault]]-PA[[#This Row],[Fault Time]])*24)</f>
        <v>9.216666666666665</v>
      </c>
      <c r="AD255" s="112">
        <f>IF(PA[[#This Row],[Status]]="Open","",(PA[[#This Row],[Work Completion time on fault]]-PA[[#This Row],[Fault Time]])*24)</f>
        <v>9.216666666666665</v>
      </c>
      <c r="AE255" s="111">
        <f>IFERROR((PA[[#This Row],[Work Completion time on fault]]-PA[[#This Row],[Fault Time]])*24,"")</f>
        <v>9.216666666666665</v>
      </c>
      <c r="AF255" s="266" t="s">
        <v>722</v>
      </c>
      <c r="AG255" s="6" t="s">
        <v>1275</v>
      </c>
      <c r="AH255" s="53">
        <f>IFERROR(PA[[#This Row],[Breakdown Time]]*PA[[#This Row],[Plant Equivalent Weightage]],"")</f>
        <v>0.5990833333333333</v>
      </c>
      <c r="AI255" s="59">
        <v>4.3</v>
      </c>
      <c r="AJ255" s="89">
        <f>IFERROR(IF(PA[[#This Row],[Lost PoA(kWh/m2)]]&gt;0,_xlfn.XLOOKUP(G255,'Modelling New'!$D:$D,'Modelling New'!$O:$O)*PA[[#This Row],[Lost PoA(kWh/m2)]]*S255,0),"")</f>
        <v>72.437474675515986</v>
      </c>
    </row>
    <row r="256" spans="1:36" hidden="1" x14ac:dyDescent="0.25">
      <c r="A256" s="229">
        <v>1947</v>
      </c>
      <c r="B256" s="233">
        <v>45808</v>
      </c>
      <c r="C256" s="333">
        <v>2025</v>
      </c>
      <c r="D256" s="6">
        <f>YEAR(PA[[#This Row],[Date]])</f>
        <v>2025</v>
      </c>
      <c r="E256" s="334" t="s">
        <v>73</v>
      </c>
      <c r="F256" s="335" t="s">
        <v>73</v>
      </c>
      <c r="G256" s="336">
        <v>45778</v>
      </c>
      <c r="H256" s="56">
        <f>DAY(EOMONTH(PA[[#This Row],[Date]], 0))</f>
        <v>31</v>
      </c>
      <c r="I256" s="10" t="s">
        <v>747</v>
      </c>
      <c r="J256" s="10" t="s">
        <v>748</v>
      </c>
      <c r="K256" s="53">
        <f>IFERROR((PA[[#This Row],[Sunset Time (POA&lt;20 W/m2)]]-PA[[#This Row],[Sunrise Time (POA&gt;20 W/m2)]])*24,"")</f>
        <v>13.183333333333334</v>
      </c>
      <c r="L256" s="59" t="s">
        <v>587</v>
      </c>
      <c r="M256" s="59" t="s">
        <v>588</v>
      </c>
      <c r="N256" s="59"/>
      <c r="O256" s="59"/>
      <c r="P256" s="56"/>
      <c r="Q256" s="6"/>
      <c r="R25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BLK1LT1</v>
      </c>
      <c r="S256" s="53">
        <v>22.25</v>
      </c>
      <c r="T256" s="90">
        <f>IFERROR(_xlfn.XLOOKUP(PA[[#This Row],[Affected Equipment ]],'Basic Data '!A:A,'Basic Data '!C:C),"")</f>
        <v>6.5000000000000002E-2</v>
      </c>
      <c r="U256" s="59" t="s">
        <v>738</v>
      </c>
      <c r="V256" s="88"/>
      <c r="W256" s="266" t="s">
        <v>722</v>
      </c>
      <c r="X256" s="60">
        <v>0.21875</v>
      </c>
      <c r="Y256" s="60">
        <v>80.416666666666671</v>
      </c>
      <c r="Z256" s="60">
        <v>0.60972222222222217</v>
      </c>
      <c r="AA256" s="60">
        <v>0.60972222222222217</v>
      </c>
      <c r="AB256" s="158">
        <f>IF(PA[[#This Row],[Acknowledgement Time ]]="NA","",(PA[[#This Row],[Acknowledgement Time ]]-PA[[#This Row],[Fault Time]])*24)</f>
        <v>1924.75</v>
      </c>
      <c r="AC256" s="158">
        <f>IF(PA[[#This Row],[Work Start time on Fault]]="NA","",(PA[[#This Row],[Work Start time on Fault]]-PA[[#This Row],[Fault Time]])*24)</f>
        <v>9.3833333333333329</v>
      </c>
      <c r="AD256" s="112">
        <f>IF(PA[[#This Row],[Status]]="Open","",(PA[[#This Row],[Work Completion time on fault]]-PA[[#This Row],[Fault Time]])*24)</f>
        <v>9.3833333333333329</v>
      </c>
      <c r="AE256" s="111">
        <f>IFERROR((PA[[#This Row],[Work Completion time on fault]]-PA[[#This Row],[Fault Time]])*24,"")</f>
        <v>9.3833333333333329</v>
      </c>
      <c r="AF256" s="266" t="s">
        <v>722</v>
      </c>
      <c r="AG256" s="6" t="s">
        <v>1275</v>
      </c>
      <c r="AH256" s="53">
        <f>IFERROR(PA[[#This Row],[Breakdown Time]]*PA[[#This Row],[Plant Equivalent Weightage]],"")</f>
        <v>0.60991666666666666</v>
      </c>
      <c r="AI256" s="59">
        <v>4.4000000000000004</v>
      </c>
      <c r="AJ256" s="89">
        <f>IFERROR(IF(PA[[#This Row],[Lost PoA(kWh/m2)]]&gt;0,_xlfn.XLOOKUP(G256,'Modelling New'!$D:$D,'Modelling New'!$O:$O)*PA[[#This Row],[Lost PoA(kWh/m2)]]*S256,0),"")</f>
        <v>74.122067109830326</v>
      </c>
    </row>
    <row r="257" spans="1:36" hidden="1" x14ac:dyDescent="0.25">
      <c r="A257" s="229">
        <v>1948</v>
      </c>
      <c r="B257" s="233">
        <v>45808</v>
      </c>
      <c r="C257" s="333">
        <v>2025</v>
      </c>
      <c r="D257" s="6">
        <f>YEAR(PA[[#This Row],[Date]])</f>
        <v>2025</v>
      </c>
      <c r="E257" s="334" t="s">
        <v>73</v>
      </c>
      <c r="F257" s="335" t="s">
        <v>73</v>
      </c>
      <c r="G257" s="336">
        <v>45778</v>
      </c>
      <c r="H257" s="56">
        <f>DAY(EOMONTH(PA[[#This Row],[Date]], 0))</f>
        <v>31</v>
      </c>
      <c r="I257" s="10" t="s">
        <v>747</v>
      </c>
      <c r="J257" s="10" t="s">
        <v>748</v>
      </c>
      <c r="K257" s="53">
        <f>IFERROR((PA[[#This Row],[Sunset Time (POA&lt;20 W/m2)]]-PA[[#This Row],[Sunrise Time (POA&gt;20 W/m2)]])*24,"")</f>
        <v>13.183333333333334</v>
      </c>
      <c r="L257" s="59" t="s">
        <v>559</v>
      </c>
      <c r="M257" s="59" t="s">
        <v>560</v>
      </c>
      <c r="N257" s="59"/>
      <c r="O257" s="59"/>
      <c r="P257" s="56"/>
      <c r="Q257" s="6"/>
      <c r="R25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BLK2LT2</v>
      </c>
      <c r="S257" s="53">
        <v>22.25</v>
      </c>
      <c r="T257" s="90">
        <f>IFERROR(_xlfn.XLOOKUP(PA[[#This Row],[Affected Equipment ]],'Basic Data '!A:A,'Basic Data '!C:C),"")</f>
        <v>6.3666666666666663E-2</v>
      </c>
      <c r="U257" s="59" t="s">
        <v>738</v>
      </c>
      <c r="V257" s="88"/>
      <c r="W257" s="266" t="s">
        <v>722</v>
      </c>
      <c r="X257" s="60">
        <v>0.21875</v>
      </c>
      <c r="Y257" s="60">
        <v>80.416666666666671</v>
      </c>
      <c r="Z257" s="60">
        <v>0.62013888888888891</v>
      </c>
      <c r="AA257" s="60">
        <v>0.62013888888888891</v>
      </c>
      <c r="AB257" s="158">
        <f>IF(PA[[#This Row],[Acknowledgement Time ]]="NA","",(PA[[#This Row],[Acknowledgement Time ]]-PA[[#This Row],[Fault Time]])*24)</f>
        <v>1924.75</v>
      </c>
      <c r="AC257" s="158">
        <f>IF(PA[[#This Row],[Work Start time on Fault]]="NA","",(PA[[#This Row],[Work Start time on Fault]]-PA[[#This Row],[Fault Time]])*24)</f>
        <v>9.6333333333333329</v>
      </c>
      <c r="AD257" s="112">
        <f>IF(PA[[#This Row],[Status]]="Open","",(PA[[#This Row],[Work Completion time on fault]]-PA[[#This Row],[Fault Time]])*24)</f>
        <v>9.6333333333333329</v>
      </c>
      <c r="AE257" s="111">
        <f>IFERROR((PA[[#This Row],[Work Completion time on fault]]-PA[[#This Row],[Fault Time]])*24,"")</f>
        <v>9.6333333333333329</v>
      </c>
      <c r="AF257" s="266" t="s">
        <v>722</v>
      </c>
      <c r="AG257" s="6" t="s">
        <v>1275</v>
      </c>
      <c r="AH257" s="53">
        <f>IFERROR(PA[[#This Row],[Breakdown Time]]*PA[[#This Row],[Plant Equivalent Weightage]],"")</f>
        <v>0.6133222222222221</v>
      </c>
      <c r="AI257" s="59">
        <v>4.5</v>
      </c>
      <c r="AJ257" s="89">
        <f>IFERROR(IF(PA[[#This Row],[Lost PoA(kWh/m2)]]&gt;0,_xlfn.XLOOKUP(G257,'Modelling New'!$D:$D,'Modelling New'!$O:$O)*PA[[#This Row],[Lost PoA(kWh/m2)]]*S257,0),"")</f>
        <v>75.806659544144651</v>
      </c>
    </row>
    <row r="258" spans="1:36" hidden="1" x14ac:dyDescent="0.25">
      <c r="A258" s="229">
        <v>1949</v>
      </c>
      <c r="B258" s="233">
        <v>45808</v>
      </c>
      <c r="C258" s="333">
        <v>2025</v>
      </c>
      <c r="D258" s="6">
        <f>YEAR(PA[[#This Row],[Date]])</f>
        <v>2025</v>
      </c>
      <c r="E258" s="334" t="s">
        <v>73</v>
      </c>
      <c r="F258" s="335" t="s">
        <v>73</v>
      </c>
      <c r="G258" s="336">
        <v>45778</v>
      </c>
      <c r="H258" s="56">
        <f>DAY(EOMONTH(PA[[#This Row],[Date]], 0))</f>
        <v>31</v>
      </c>
      <c r="I258" s="10" t="s">
        <v>747</v>
      </c>
      <c r="J258" s="10" t="s">
        <v>748</v>
      </c>
      <c r="K258" s="53">
        <f>IFERROR((PA[[#This Row],[Sunset Time (POA&lt;20 W/m2)]]-PA[[#This Row],[Sunrise Time (POA&gt;20 W/m2)]])*24,"")</f>
        <v>13.183333333333334</v>
      </c>
      <c r="L258" s="59" t="s">
        <v>559</v>
      </c>
      <c r="M258" s="59" t="s">
        <v>560</v>
      </c>
      <c r="N258" s="59"/>
      <c r="O258" s="59"/>
      <c r="P258" s="56"/>
      <c r="Q258" s="6"/>
      <c r="R25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BLK2LT2</v>
      </c>
      <c r="S258" s="53">
        <v>22.25</v>
      </c>
      <c r="T258" s="90">
        <f>IFERROR(_xlfn.XLOOKUP(PA[[#This Row],[Affected Equipment ]],'Basic Data '!A:A,'Basic Data '!C:C),"")</f>
        <v>6.3666666666666663E-2</v>
      </c>
      <c r="U258" s="59" t="s">
        <v>738</v>
      </c>
      <c r="V258" s="88"/>
      <c r="W258" s="266" t="s">
        <v>722</v>
      </c>
      <c r="X258" s="60">
        <v>0.21875</v>
      </c>
      <c r="Y258" s="60">
        <v>80.416666666666671</v>
      </c>
      <c r="Z258" s="60">
        <v>0.65138888888888891</v>
      </c>
      <c r="AA258" s="60">
        <v>0.65138888888888891</v>
      </c>
      <c r="AB258" s="158">
        <f>IF(PA[[#This Row],[Acknowledgement Time ]]="NA","",(PA[[#This Row],[Acknowledgement Time ]]-PA[[#This Row],[Fault Time]])*24)</f>
        <v>1924.75</v>
      </c>
      <c r="AC258" s="158">
        <f>IF(PA[[#This Row],[Work Start time on Fault]]="NA","",(PA[[#This Row],[Work Start time on Fault]]-PA[[#This Row],[Fault Time]])*24)</f>
        <v>10.383333333333333</v>
      </c>
      <c r="AD258" s="112">
        <f>IF(PA[[#This Row],[Status]]="Open","",(PA[[#This Row],[Work Completion time on fault]]-PA[[#This Row],[Fault Time]])*24)</f>
        <v>10.383333333333333</v>
      </c>
      <c r="AE258" s="111">
        <f>IFERROR((PA[[#This Row],[Work Completion time on fault]]-PA[[#This Row],[Fault Time]])*24,"")</f>
        <v>10.383333333333333</v>
      </c>
      <c r="AF258" s="266" t="s">
        <v>722</v>
      </c>
      <c r="AG258" s="6" t="s">
        <v>1275</v>
      </c>
      <c r="AH258" s="53">
        <f>IFERROR(PA[[#This Row],[Breakdown Time]]*PA[[#This Row],[Plant Equivalent Weightage]],"")</f>
        <v>0.66107222222222217</v>
      </c>
      <c r="AI258" s="59">
        <v>5</v>
      </c>
      <c r="AJ258" s="89">
        <f>IFERROR(IF(PA[[#This Row],[Lost PoA(kWh/m2)]]&gt;0,_xlfn.XLOOKUP(G258,'Modelling New'!$D:$D,'Modelling New'!$O:$O)*PA[[#This Row],[Lost PoA(kWh/m2)]]*S258,0),"")</f>
        <v>84.229621715716277</v>
      </c>
    </row>
    <row r="259" spans="1:36" ht="30" hidden="1" x14ac:dyDescent="0.25">
      <c r="A259" s="229">
        <v>1950</v>
      </c>
      <c r="B259" s="233">
        <v>45808</v>
      </c>
      <c r="C259" s="333">
        <v>2025</v>
      </c>
      <c r="D259" s="6">
        <f>YEAR(PA[[#This Row],[Date]])</f>
        <v>2025</v>
      </c>
      <c r="E259" s="334" t="s">
        <v>73</v>
      </c>
      <c r="F259" s="335" t="s">
        <v>73</v>
      </c>
      <c r="G259" s="336">
        <v>45778</v>
      </c>
      <c r="H259" s="56">
        <f>DAY(EOMONTH(PA[[#This Row],[Date]], 0))</f>
        <v>31</v>
      </c>
      <c r="I259" s="10" t="s">
        <v>747</v>
      </c>
      <c r="J259" s="10" t="s">
        <v>748</v>
      </c>
      <c r="K259" s="53">
        <f>IFERROR((PA[[#This Row],[Sunset Time (POA&lt;20 W/m2)]]-PA[[#This Row],[Sunrise Time (POA&gt;20 W/m2)]])*24,"")</f>
        <v>13.183333333333334</v>
      </c>
      <c r="L259" s="59" t="s">
        <v>579</v>
      </c>
      <c r="M259" s="59" t="s">
        <v>560</v>
      </c>
      <c r="N259" s="59"/>
      <c r="O259" s="59"/>
      <c r="P259" s="56"/>
      <c r="Q259" s="6"/>
      <c r="R25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BLK8LT2</v>
      </c>
      <c r="S259" s="53">
        <v>67.25</v>
      </c>
      <c r="T259" s="90">
        <f>IFERROR(_xlfn.XLOOKUP(PA[[#This Row],[Affected Equipment ]],'Basic Data '!A:A,'Basic Data '!C:C),"")</f>
        <v>4.6350561797752814E-2</v>
      </c>
      <c r="U259" s="59" t="s">
        <v>738</v>
      </c>
      <c r="V259" s="88"/>
      <c r="W259" s="265" t="s">
        <v>749</v>
      </c>
      <c r="X259" s="60">
        <v>0.21875</v>
      </c>
      <c r="Y259" s="60">
        <v>80.416666666666671</v>
      </c>
      <c r="Z259" s="60">
        <v>0.69444444444444453</v>
      </c>
      <c r="AA259" s="60">
        <v>0.69444444444444453</v>
      </c>
      <c r="AB259" s="158">
        <f>IF(PA[[#This Row],[Acknowledgement Time ]]="NA","",(PA[[#This Row],[Acknowledgement Time ]]-PA[[#This Row],[Fault Time]])*24)</f>
        <v>1924.75</v>
      </c>
      <c r="AC259" s="158">
        <f>IF(PA[[#This Row],[Work Start time on Fault]]="NA","",(PA[[#This Row],[Work Start time on Fault]]-PA[[#This Row],[Fault Time]])*24)</f>
        <v>11.416666666666668</v>
      </c>
      <c r="AD259" s="112">
        <f>IF(PA[[#This Row],[Status]]="Open","",(PA[[#This Row],[Work Completion time on fault]]-PA[[#This Row],[Fault Time]])*24)</f>
        <v>11.416666666666668</v>
      </c>
      <c r="AE259" s="111">
        <f>IFERROR((PA[[#This Row],[Work Completion time on fault]]-PA[[#This Row],[Fault Time]])*24,"")</f>
        <v>11.416666666666668</v>
      </c>
      <c r="AF259" s="265" t="s">
        <v>749</v>
      </c>
      <c r="AG259" s="6" t="s">
        <v>1275</v>
      </c>
      <c r="AH259" s="53">
        <f>IFERROR(PA[[#This Row],[Breakdown Time]]*PA[[#This Row],[Plant Equivalent Weightage]],"")</f>
        <v>0.52916891385767806</v>
      </c>
      <c r="AI259" s="59">
        <v>5.3</v>
      </c>
      <c r="AJ259" s="89">
        <f>IFERROR(IF(PA[[#This Row],[Lost PoA(kWh/m2)]]&gt;0,_xlfn.XLOOKUP(G259,'Modelling New'!$D:$D,'Modelling New'!$O:$O)*PA[[#This Row],[Lost PoA(kWh/m2)]]*S259,0),"")</f>
        <v>269.85656557325103</v>
      </c>
    </row>
    <row r="260" spans="1:36" hidden="1" x14ac:dyDescent="0.25">
      <c r="A260" s="229">
        <v>1951</v>
      </c>
      <c r="B260" s="233">
        <v>45809</v>
      </c>
      <c r="C260" s="333">
        <v>2025</v>
      </c>
      <c r="D260" s="6">
        <f>YEAR(PA[[#This Row],[Date]])</f>
        <v>2025</v>
      </c>
      <c r="E260" s="334" t="s">
        <v>73</v>
      </c>
      <c r="F260" s="335" t="s">
        <v>73</v>
      </c>
      <c r="G260" s="323">
        <v>45809</v>
      </c>
      <c r="H260">
        <f>DAY(EOMONTH(PA[[#This Row],[Date]], 0))</f>
        <v>30</v>
      </c>
      <c r="I260" s="272">
        <v>0.21805555555555556</v>
      </c>
      <c r="J260" s="272">
        <v>0.7729166666666667</v>
      </c>
      <c r="K260" s="53">
        <f>IFERROR((PA[[#This Row],[Sunset Time (POA&lt;20 W/m2)]]-PA[[#This Row],[Sunrise Time (POA&gt;20 W/m2)]])*24,"")</f>
        <v>13.316666666666666</v>
      </c>
      <c r="L260" s="59" t="s">
        <v>606</v>
      </c>
      <c r="M260" s="59"/>
      <c r="N260" s="59"/>
      <c r="O260" s="59" t="s">
        <v>598</v>
      </c>
      <c r="P260" s="56"/>
      <c r="Q260" s="6"/>
      <c r="R26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BLK7INV6</v>
      </c>
      <c r="S260" s="53">
        <v>267</v>
      </c>
      <c r="T260" s="90">
        <f>IFERROR(_xlfn.XLOOKUP(PA[[#This Row],[Affected Equipment ]],'Basic Data '!A:A,'Basic Data '!C:C),"")</f>
        <v>3.9550561797752808E-3</v>
      </c>
      <c r="U260" s="59" t="s">
        <v>566</v>
      </c>
      <c r="V260" s="88"/>
      <c r="W260" s="114" t="s">
        <v>750</v>
      </c>
      <c r="X260" s="60">
        <v>0.21805555555555556</v>
      </c>
      <c r="Y260" s="60">
        <v>0.41666666666666669</v>
      </c>
      <c r="Z260" s="60">
        <v>0.3972222222222222</v>
      </c>
      <c r="AA260" s="60">
        <v>0.3972222222222222</v>
      </c>
      <c r="AB260" s="158">
        <f>IF(PA[[#This Row],[Acknowledgement Time ]]="NA","",(PA[[#This Row],[Acknowledgement Time ]]-PA[[#This Row],[Fault Time]])*24)</f>
        <v>4.7666666666666675</v>
      </c>
      <c r="AC260" s="158">
        <f>IF(PA[[#This Row],[Work Start time on Fault]]="NA","",(PA[[#This Row],[Work Start time on Fault]]-PA[[#This Row],[Fault Time]])*24)</f>
        <v>4.2999999999999989</v>
      </c>
      <c r="AD260" s="112">
        <f>IF(PA[[#This Row],[Status]]="Open","",(PA[[#This Row],[Work Completion time on fault]]-PA[[#This Row],[Fault Time]])*24)</f>
        <v>4.2999999999999989</v>
      </c>
      <c r="AE260" s="111">
        <f>IFERROR((PA[[#This Row],[Work Completion time on fault]]-PA[[#This Row],[Fault Time]])*24,"")</f>
        <v>4.2999999999999989</v>
      </c>
      <c r="AF260" s="114" t="s">
        <v>750</v>
      </c>
      <c r="AG260" s="6" t="s">
        <v>1275</v>
      </c>
      <c r="AH260" s="53">
        <f>IFERROR(PA[[#This Row],[Breakdown Time]]*PA[[#This Row],[Plant Equivalent Weightage]],"")</f>
        <v>1.7006741573033703E-2</v>
      </c>
      <c r="AI260" s="59">
        <v>2.1</v>
      </c>
      <c r="AJ260" s="89">
        <f>IFERROR(IF(PA[[#This Row],[Lost PoA(kWh/m2)]]&gt;0,_xlfn.XLOOKUP(G260,'Modelling New'!$D:$D,'Modelling New'!$O:$O)*PA[[#This Row],[Lost PoA(kWh/m2)]]*S260,0),"")</f>
        <v>426.2119312931531</v>
      </c>
    </row>
    <row r="261" spans="1:36" hidden="1" x14ac:dyDescent="0.25">
      <c r="A261" s="229">
        <v>1952</v>
      </c>
      <c r="B261" s="233">
        <v>45809</v>
      </c>
      <c r="C261" s="333">
        <v>2025</v>
      </c>
      <c r="D261" s="6">
        <f>YEAR(PA[[#This Row],[Date]])</f>
        <v>2025</v>
      </c>
      <c r="E261" s="334" t="s">
        <v>73</v>
      </c>
      <c r="F261" s="335" t="s">
        <v>73</v>
      </c>
      <c r="G261" s="323">
        <v>45809</v>
      </c>
      <c r="H261">
        <f>DAY(EOMONTH(PA[[#This Row],[Date]], 0))</f>
        <v>30</v>
      </c>
      <c r="I261" s="272">
        <v>0.21805555555555556</v>
      </c>
      <c r="J261" s="272">
        <v>0.7729166666666667</v>
      </c>
      <c r="K261" s="53">
        <f>IFERROR((PA[[#This Row],[Sunset Time (POA&lt;20 W/m2)]]-PA[[#This Row],[Sunrise Time (POA&gt;20 W/m2)]])*24,"")</f>
        <v>13.316666666666666</v>
      </c>
      <c r="L261" s="59" t="s">
        <v>615</v>
      </c>
      <c r="M261" s="59"/>
      <c r="N261" s="59"/>
      <c r="O261" s="59" t="s">
        <v>610</v>
      </c>
      <c r="P261" s="56"/>
      <c r="Q261" s="6"/>
      <c r="R26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BLK6INV24</v>
      </c>
      <c r="S261" s="53">
        <v>22.3</v>
      </c>
      <c r="T261" s="90">
        <f>IFERROR(_xlfn.XLOOKUP(PA[[#This Row],[Affected Equipment ]],'Basic Data '!A:A,'Basic Data '!C:C),"")</f>
        <v>4.2846441947565544E-3</v>
      </c>
      <c r="U261" s="59" t="s">
        <v>738</v>
      </c>
      <c r="V261" s="88"/>
      <c r="W261" s="266" t="s">
        <v>722</v>
      </c>
      <c r="X261" s="60">
        <v>0.21805555555555556</v>
      </c>
      <c r="Y261" s="60">
        <v>0.41666666666666669</v>
      </c>
      <c r="Z261" s="60">
        <v>0.43055555555555558</v>
      </c>
      <c r="AA261" s="60">
        <v>0.43055555555555558</v>
      </c>
      <c r="AB261" s="158">
        <f>IF(PA[[#This Row],[Acknowledgement Time ]]="NA","",(PA[[#This Row],[Acknowledgement Time ]]-PA[[#This Row],[Fault Time]])*24)</f>
        <v>4.7666666666666675</v>
      </c>
      <c r="AC261" s="158">
        <f>IF(PA[[#This Row],[Work Start time on Fault]]="NA","",(PA[[#This Row],[Work Start time on Fault]]-PA[[#This Row],[Fault Time]])*24)</f>
        <v>5.1000000000000005</v>
      </c>
      <c r="AD261" s="112">
        <f>IF(PA[[#This Row],[Status]]="Open","",(PA[[#This Row],[Work Completion time on fault]]-PA[[#This Row],[Fault Time]])*24)</f>
        <v>5.1000000000000005</v>
      </c>
      <c r="AE261" s="111">
        <f>IFERROR((PA[[#This Row],[Work Completion time on fault]]-PA[[#This Row],[Fault Time]])*24,"")</f>
        <v>5.1000000000000005</v>
      </c>
      <c r="AF261" s="266" t="s">
        <v>722</v>
      </c>
      <c r="AG261" s="6" t="s">
        <v>1275</v>
      </c>
      <c r="AH261" s="53">
        <f>IFERROR(PA[[#This Row],[Breakdown Time]]*PA[[#This Row],[Plant Equivalent Weightage]],"")</f>
        <v>2.1851685393258428E-2</v>
      </c>
      <c r="AI261" s="59">
        <v>1.3</v>
      </c>
      <c r="AJ261" s="89">
        <f>IFERROR(IF(PA[[#This Row],[Lost PoA(kWh/m2)]]&gt;0,_xlfn.XLOOKUP(G261,'Modelling New'!$D:$D,'Modelling New'!$O:$O)*PA[[#This Row],[Lost PoA(kWh/m2)]]*S261,0),"")</f>
        <v>22.036532705882841</v>
      </c>
    </row>
    <row r="262" spans="1:36" hidden="1" x14ac:dyDescent="0.25">
      <c r="A262" s="229">
        <v>1953</v>
      </c>
      <c r="B262" s="233">
        <v>45809</v>
      </c>
      <c r="C262" s="333">
        <v>2025</v>
      </c>
      <c r="D262" s="6">
        <f>YEAR(PA[[#This Row],[Date]])</f>
        <v>2025</v>
      </c>
      <c r="E262" s="334" t="s">
        <v>73</v>
      </c>
      <c r="F262" s="335" t="s">
        <v>73</v>
      </c>
      <c r="G262" s="323">
        <v>45809</v>
      </c>
      <c r="H262">
        <f>DAY(EOMONTH(PA[[#This Row],[Date]], 0))</f>
        <v>30</v>
      </c>
      <c r="I262" s="272">
        <v>0.21805555555555556</v>
      </c>
      <c r="J262" s="272">
        <v>0.7729166666666667</v>
      </c>
      <c r="K262" s="53">
        <f>IFERROR((PA[[#This Row],[Sunset Time (POA&lt;20 W/m2)]]-PA[[#This Row],[Sunrise Time (POA&gt;20 W/m2)]])*24,"")</f>
        <v>13.316666666666666</v>
      </c>
      <c r="L262" s="59" t="s">
        <v>579</v>
      </c>
      <c r="M262" s="59"/>
      <c r="N262" s="59"/>
      <c r="O262" s="59" t="s">
        <v>648</v>
      </c>
      <c r="P262" s="56"/>
      <c r="Q262" s="6"/>
      <c r="R26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BLK8INV14</v>
      </c>
      <c r="S262" s="53">
        <v>22.3</v>
      </c>
      <c r="T262" s="90">
        <f>IFERROR(_xlfn.XLOOKUP(PA[[#This Row],[Affected Equipment ]],'Basic Data '!A:A,'Basic Data '!C:C),"")</f>
        <v>3.8561797752808993E-3</v>
      </c>
      <c r="U262" s="59" t="s">
        <v>738</v>
      </c>
      <c r="V262" s="88"/>
      <c r="W262" s="266" t="s">
        <v>722</v>
      </c>
      <c r="X262" s="60">
        <v>0.21805555555555556</v>
      </c>
      <c r="Y262" s="60">
        <v>0.41666666666666669</v>
      </c>
      <c r="Z262" s="60">
        <v>0.44305555555555554</v>
      </c>
      <c r="AA262" s="60">
        <v>0.44305555555555554</v>
      </c>
      <c r="AB262" s="158">
        <f>IF(PA[[#This Row],[Acknowledgement Time ]]="NA","",(PA[[#This Row],[Acknowledgement Time ]]-PA[[#This Row],[Fault Time]])*24)</f>
        <v>4.7666666666666675</v>
      </c>
      <c r="AC262" s="158">
        <f>IF(PA[[#This Row],[Work Start time on Fault]]="NA","",(PA[[#This Row],[Work Start time on Fault]]-PA[[#This Row],[Fault Time]])*24)</f>
        <v>5.3999999999999995</v>
      </c>
      <c r="AD262" s="112">
        <f>IF(PA[[#This Row],[Status]]="Open","",(PA[[#This Row],[Work Completion time on fault]]-PA[[#This Row],[Fault Time]])*24)</f>
        <v>5.3999999999999995</v>
      </c>
      <c r="AE262" s="111">
        <f>IFERROR((PA[[#This Row],[Work Completion time on fault]]-PA[[#This Row],[Fault Time]])*24,"")</f>
        <v>5.3999999999999995</v>
      </c>
      <c r="AF262" s="266" t="s">
        <v>722</v>
      </c>
      <c r="AG262" s="6" t="s">
        <v>1275</v>
      </c>
      <c r="AH262" s="53">
        <f>IFERROR(PA[[#This Row],[Breakdown Time]]*PA[[#This Row],[Plant Equivalent Weightage]],"")</f>
        <v>2.0823370786516856E-2</v>
      </c>
      <c r="AI262" s="59">
        <v>1.4</v>
      </c>
      <c r="AJ262" s="89">
        <f>IFERROR(IF(PA[[#This Row],[Lost PoA(kWh/m2)]]&gt;0,_xlfn.XLOOKUP(G262,'Modelling New'!$D:$D,'Modelling New'!$O:$O)*PA[[#This Row],[Lost PoA(kWh/m2)]]*S262,0),"")</f>
        <v>23.731650606335361</v>
      </c>
    </row>
    <row r="263" spans="1:36" hidden="1" x14ac:dyDescent="0.25">
      <c r="A263" s="229">
        <v>1954</v>
      </c>
      <c r="B263" s="233">
        <v>45809</v>
      </c>
      <c r="C263" s="333">
        <v>2025</v>
      </c>
      <c r="D263" s="6">
        <f>YEAR(PA[[#This Row],[Date]])</f>
        <v>2025</v>
      </c>
      <c r="E263" s="334" t="s">
        <v>73</v>
      </c>
      <c r="F263" s="335" t="s">
        <v>73</v>
      </c>
      <c r="G263" s="323">
        <v>45809</v>
      </c>
      <c r="H263">
        <f>DAY(EOMONTH(PA[[#This Row],[Date]], 0))</f>
        <v>30</v>
      </c>
      <c r="I263" s="272">
        <v>0.21805555555555556</v>
      </c>
      <c r="J263" s="272">
        <v>0.7729166666666667</v>
      </c>
      <c r="K263" s="53">
        <f>IFERROR((PA[[#This Row],[Sunset Time (POA&lt;20 W/m2)]]-PA[[#This Row],[Sunrise Time (POA&gt;20 W/m2)]])*24,"")</f>
        <v>13.316666666666666</v>
      </c>
      <c r="L263" s="59" t="s">
        <v>559</v>
      </c>
      <c r="M263" s="59"/>
      <c r="N263" s="59"/>
      <c r="O263" s="59" t="s">
        <v>721</v>
      </c>
      <c r="P263" s="56"/>
      <c r="Q263" s="6"/>
      <c r="R26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BLK2INV29</v>
      </c>
      <c r="S263" s="53">
        <v>22.3</v>
      </c>
      <c r="T263" s="90">
        <f>IFERROR(_xlfn.XLOOKUP(PA[[#This Row],[Affected Equipment ]],'Basic Data '!A:A,'Basic Data '!C:C),"")</f>
        <v>4.4999999999999997E-3</v>
      </c>
      <c r="U263" s="59" t="s">
        <v>738</v>
      </c>
      <c r="V263" s="88"/>
      <c r="W263" s="266" t="s">
        <v>722</v>
      </c>
      <c r="X263" s="60">
        <v>0.21805555555555556</v>
      </c>
      <c r="Y263" s="60">
        <v>0.41666666666666669</v>
      </c>
      <c r="Z263" s="60">
        <v>0.47222222222222227</v>
      </c>
      <c r="AA263" s="60">
        <v>0.47222222222222227</v>
      </c>
      <c r="AB263" s="158">
        <f>IF(PA[[#This Row],[Acknowledgement Time ]]="NA","",(PA[[#This Row],[Acknowledgement Time ]]-PA[[#This Row],[Fault Time]])*24)</f>
        <v>4.7666666666666675</v>
      </c>
      <c r="AC263" s="158">
        <f>IF(PA[[#This Row],[Work Start time on Fault]]="NA","",(PA[[#This Row],[Work Start time on Fault]]-PA[[#This Row],[Fault Time]])*24)</f>
        <v>6.1000000000000014</v>
      </c>
      <c r="AD263" s="112">
        <f>IF(PA[[#This Row],[Status]]="Open","",(PA[[#This Row],[Work Completion time on fault]]-PA[[#This Row],[Fault Time]])*24)</f>
        <v>6.1000000000000014</v>
      </c>
      <c r="AE263" s="111">
        <f>IFERROR((PA[[#This Row],[Work Completion time on fault]]-PA[[#This Row],[Fault Time]])*24,"")</f>
        <v>6.1000000000000014</v>
      </c>
      <c r="AF263" s="266" t="s">
        <v>722</v>
      </c>
      <c r="AG263" s="6" t="s">
        <v>1275</v>
      </c>
      <c r="AH263" s="53">
        <f>IFERROR(PA[[#This Row],[Breakdown Time]]*PA[[#This Row],[Plant Equivalent Weightage]],"")</f>
        <v>2.7450000000000006E-2</v>
      </c>
      <c r="AI263" s="59">
        <v>1.5</v>
      </c>
      <c r="AJ263" s="89">
        <f>IFERROR(IF(PA[[#This Row],[Lost PoA(kWh/m2)]]&gt;0,_xlfn.XLOOKUP(G263,'Modelling New'!$D:$D,'Modelling New'!$O:$O)*PA[[#This Row],[Lost PoA(kWh/m2)]]*S263,0),"")</f>
        <v>25.426768506787891</v>
      </c>
    </row>
    <row r="264" spans="1:36" hidden="1" x14ac:dyDescent="0.25">
      <c r="A264" s="229">
        <v>1955</v>
      </c>
      <c r="B264" s="233">
        <v>45809</v>
      </c>
      <c r="C264" s="333">
        <v>2025</v>
      </c>
      <c r="D264" s="6">
        <f>YEAR(PA[[#This Row],[Date]])</f>
        <v>2025</v>
      </c>
      <c r="E264" s="334" t="s">
        <v>73</v>
      </c>
      <c r="F264" s="335" t="s">
        <v>73</v>
      </c>
      <c r="G264" s="323">
        <v>45809</v>
      </c>
      <c r="H264">
        <f>DAY(EOMONTH(PA[[#This Row],[Date]], 0))</f>
        <v>30</v>
      </c>
      <c r="I264" s="272">
        <v>0.21805555555555556</v>
      </c>
      <c r="J264" s="272">
        <v>0.7729166666666667</v>
      </c>
      <c r="K264" s="53">
        <f>IFERROR((PA[[#This Row],[Sunset Time (POA&lt;20 W/m2)]]-PA[[#This Row],[Sunrise Time (POA&gt;20 W/m2)]])*24,"")</f>
        <v>13.316666666666666</v>
      </c>
      <c r="L264" s="59" t="s">
        <v>579</v>
      </c>
      <c r="M264" s="59"/>
      <c r="N264" s="59"/>
      <c r="O264" s="59" t="s">
        <v>654</v>
      </c>
      <c r="P264" s="56"/>
      <c r="Q264" s="6"/>
      <c r="R26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BLK8INV26</v>
      </c>
      <c r="S264" s="53">
        <v>22.3</v>
      </c>
      <c r="T264" s="90">
        <f>IFERROR(_xlfn.XLOOKUP(PA[[#This Row],[Affected Equipment ]],'Basic Data '!A:A,'Basic Data '!C:C),"")</f>
        <v>4.0651685393258419E-3</v>
      </c>
      <c r="U264" s="59" t="s">
        <v>738</v>
      </c>
      <c r="V264" s="88"/>
      <c r="W264" s="266" t="s">
        <v>722</v>
      </c>
      <c r="X264" s="60">
        <v>0.21805555555555556</v>
      </c>
      <c r="Y264" s="60">
        <v>0.41666666666666669</v>
      </c>
      <c r="Z264" s="60">
        <v>0.11458333333333333</v>
      </c>
      <c r="AA264" s="60">
        <v>0.11458333333333333</v>
      </c>
      <c r="AB264" s="158">
        <f>IF(PA[[#This Row],[Acknowledgement Time ]]="NA","",(PA[[#This Row],[Acknowledgement Time ]]-PA[[#This Row],[Fault Time]])*24)</f>
        <v>4.7666666666666675</v>
      </c>
      <c r="AC264" s="158">
        <f>IF(PA[[#This Row],[Work Start time on Fault]]="NA","",(PA[[#This Row],[Work Start time on Fault]]-PA[[#This Row],[Fault Time]])*24)</f>
        <v>-2.4833333333333334</v>
      </c>
      <c r="AD264" s="112">
        <f>IF(PA[[#This Row],[Status]]="Open","",(PA[[#This Row],[Work Completion time on fault]]-PA[[#This Row],[Fault Time]])*24)</f>
        <v>-2.4833333333333334</v>
      </c>
      <c r="AE264" s="111">
        <f>IFERROR((PA[[#This Row],[Work Completion time on fault]]-PA[[#This Row],[Fault Time]])*24,"")</f>
        <v>-2.4833333333333334</v>
      </c>
      <c r="AF264" s="266" t="s">
        <v>722</v>
      </c>
      <c r="AG264" s="6" t="s">
        <v>1275</v>
      </c>
      <c r="AH264" s="53">
        <f>IFERROR(PA[[#This Row],[Breakdown Time]]*PA[[#This Row],[Plant Equivalent Weightage]],"")</f>
        <v>-1.0095168539325841E-2</v>
      </c>
      <c r="AI264" s="59">
        <v>1.4</v>
      </c>
      <c r="AJ264" s="89">
        <f>IFERROR(IF(PA[[#This Row],[Lost PoA(kWh/m2)]]&gt;0,_xlfn.XLOOKUP(G264,'Modelling New'!$D:$D,'Modelling New'!$O:$O)*PA[[#This Row],[Lost PoA(kWh/m2)]]*S264,0),"")</f>
        <v>23.731650606335361</v>
      </c>
    </row>
    <row r="265" spans="1:36" ht="30" hidden="1" x14ac:dyDescent="0.25">
      <c r="A265" s="229">
        <v>1956</v>
      </c>
      <c r="B265" s="233">
        <v>45810</v>
      </c>
      <c r="C265" s="333">
        <v>2025</v>
      </c>
      <c r="D265" s="6">
        <f>YEAR(PA[[#This Row],[Date]])</f>
        <v>2025</v>
      </c>
      <c r="E265" s="334" t="s">
        <v>73</v>
      </c>
      <c r="F265" s="335" t="s">
        <v>73</v>
      </c>
      <c r="G265" s="323">
        <v>45809</v>
      </c>
      <c r="H265">
        <f>DAY(EOMONTH(PA[[#This Row],[Date]], 0))</f>
        <v>30</v>
      </c>
      <c r="I265" s="272">
        <v>0.21875</v>
      </c>
      <c r="J265" s="272">
        <v>0.74722222222222223</v>
      </c>
      <c r="K265" s="53">
        <f>IFERROR((PA[[#This Row],[Sunset Time (POA&lt;20 W/m2)]]-PA[[#This Row],[Sunrise Time (POA&gt;20 W/m2)]])*24,"")</f>
        <v>12.683333333333334</v>
      </c>
      <c r="L265" s="59" t="s">
        <v>587</v>
      </c>
      <c r="M265" s="59"/>
      <c r="N265" s="59"/>
      <c r="O265" s="59" t="s">
        <v>789</v>
      </c>
      <c r="P265" s="56"/>
      <c r="Q265" s="6"/>
      <c r="R26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265" s="53">
        <v>8944.5</v>
      </c>
      <c r="T265" s="90">
        <f>IFERROR(_xlfn.XLOOKUP(PA[[#This Row],[Affected Equipment ]],'Basic Data '!A:A,'Basic Data '!C:C),"")</f>
        <v>0.13400000000000001</v>
      </c>
      <c r="U265" s="59" t="s">
        <v>589</v>
      </c>
      <c r="V265" s="88"/>
      <c r="W265" s="273" t="s">
        <v>751</v>
      </c>
      <c r="X265" s="60">
        <v>0.48333333333333334</v>
      </c>
      <c r="Y265" s="60">
        <v>0.48333333333333334</v>
      </c>
      <c r="Z265" s="60">
        <v>0.48333333333333334</v>
      </c>
      <c r="AA265" s="60">
        <v>0.49027777777777781</v>
      </c>
      <c r="AB265" s="158">
        <f>IF(PA[[#This Row],[Acknowledgement Time ]]="NA","",(PA[[#This Row],[Acknowledgement Time ]]-PA[[#This Row],[Fault Time]])*24)</f>
        <v>0</v>
      </c>
      <c r="AC265" s="158">
        <f>IF(PA[[#This Row],[Work Start time on Fault]]="NA","",(PA[[#This Row],[Work Start time on Fault]]-PA[[#This Row],[Fault Time]])*24)</f>
        <v>0</v>
      </c>
      <c r="AD265" s="112">
        <f>IF(PA[[#This Row],[Status]]="Open","",(PA[[#This Row],[Work Completion time on fault]]-PA[[#This Row],[Fault Time]])*24)</f>
        <v>0.16666666666666741</v>
      </c>
      <c r="AE265" s="111">
        <f>IFERROR((PA[[#This Row],[Work Completion time on fault]]-PA[[#This Row],[Fault Time]])*24,"")</f>
        <v>0.16666666666666741</v>
      </c>
      <c r="AF265" s="273" t="s">
        <v>751</v>
      </c>
      <c r="AG265" s="6" t="s">
        <v>1275</v>
      </c>
      <c r="AH265" s="53">
        <f>IFERROR(PA[[#This Row],[Breakdown Time]]*PA[[#This Row],[Plant Equivalent Weightage]],"")</f>
        <v>2.2333333333333434E-2</v>
      </c>
      <c r="AI265" s="59">
        <v>0.3</v>
      </c>
      <c r="AJ265" s="89">
        <f>IFERROR(IF(PA[[#This Row],[Lost PoA(kWh/m2)]]&gt;0,_xlfn.XLOOKUP(G265,'Modelling New'!$D:$D,'Modelling New'!$O:$O)*PA[[#This Row],[Lost PoA(kWh/m2)]]*S265,0),"")</f>
        <v>2039.728528331518</v>
      </c>
    </row>
    <row r="266" spans="1:36" ht="30" hidden="1" x14ac:dyDescent="0.25">
      <c r="A266" s="229">
        <v>1957</v>
      </c>
      <c r="B266" s="233">
        <v>45810</v>
      </c>
      <c r="C266" s="333">
        <v>2025</v>
      </c>
      <c r="D266" s="6">
        <f>YEAR(PA[[#This Row],[Date]])</f>
        <v>2025</v>
      </c>
      <c r="E266" s="334" t="s">
        <v>73</v>
      </c>
      <c r="F266" s="335" t="s">
        <v>73</v>
      </c>
      <c r="G266" s="323">
        <v>45809</v>
      </c>
      <c r="H266">
        <f>DAY(EOMONTH(PA[[#This Row],[Date]], 0))</f>
        <v>30</v>
      </c>
      <c r="I266" s="272">
        <v>0.21875</v>
      </c>
      <c r="J266" s="272">
        <v>0.74722222222222223</v>
      </c>
      <c r="K266" s="53">
        <f>IFERROR((PA[[#This Row],[Sunset Time (POA&lt;20 W/m2)]]-PA[[#This Row],[Sunrise Time (POA&gt;20 W/m2)]])*24,"")</f>
        <v>12.683333333333334</v>
      </c>
      <c r="L266" s="59" t="s">
        <v>564</v>
      </c>
      <c r="M266" s="59"/>
      <c r="N266" s="59"/>
      <c r="O266" s="59" t="s">
        <v>789</v>
      </c>
      <c r="P266" s="56"/>
      <c r="Q266" s="6"/>
      <c r="R26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266" s="53">
        <v>8909</v>
      </c>
      <c r="T266" s="90">
        <f>IFERROR(_xlfn.XLOOKUP(PA[[#This Row],[Affected Equipment ]],'Basic Data '!A:A,'Basic Data '!C:C),"")</f>
        <v>0.13280524344569289</v>
      </c>
      <c r="U266" s="59" t="s">
        <v>589</v>
      </c>
      <c r="V266" s="88"/>
      <c r="W266" s="273" t="s">
        <v>752</v>
      </c>
      <c r="X266" s="269">
        <v>0.48333333333333334</v>
      </c>
      <c r="Y266" s="269">
        <v>0.48333333333333334</v>
      </c>
      <c r="Z266" s="269">
        <v>0.49027777777777776</v>
      </c>
      <c r="AA266" s="269">
        <v>0.49027777777777776</v>
      </c>
      <c r="AB266" s="158">
        <f>IF(PA[[#This Row],[Acknowledgement Time ]]="NA","",(PA[[#This Row],[Acknowledgement Time ]]-PA[[#This Row],[Fault Time]])*24)</f>
        <v>0</v>
      </c>
      <c r="AC266" s="158">
        <f>IF(PA[[#This Row],[Work Start time on Fault]]="NA","",(PA[[#This Row],[Work Start time on Fault]]-PA[[#This Row],[Fault Time]])*24)</f>
        <v>0.16666666666666607</v>
      </c>
      <c r="AD266" s="112">
        <f>IF(PA[[#This Row],[Status]]="Open","",(PA[[#This Row],[Work Completion time on fault]]-PA[[#This Row],[Fault Time]])*24)</f>
        <v>0.16666666666666607</v>
      </c>
      <c r="AE266" s="111">
        <f>IFERROR((PA[[#This Row],[Work Completion time on fault]]-PA[[#This Row],[Fault Time]])*24,"")</f>
        <v>0.16666666666666607</v>
      </c>
      <c r="AF266" s="273" t="s">
        <v>752</v>
      </c>
      <c r="AG266" s="6" t="s">
        <v>1275</v>
      </c>
      <c r="AH266" s="53">
        <f>IFERROR(PA[[#This Row],[Breakdown Time]]*PA[[#This Row],[Plant Equivalent Weightage]],"")</f>
        <v>2.2134207240948736E-2</v>
      </c>
      <c r="AI266" s="59">
        <v>0.3</v>
      </c>
      <c r="AJ266" s="89">
        <f>IFERROR(IF(PA[[#This Row],[Lost PoA(kWh/m2)]]&gt;0,_xlfn.XLOOKUP(G266,'Modelling New'!$D:$D,'Modelling New'!$O:$O)*PA[[#This Row],[Lost PoA(kWh/m2)]]*S266,0),"")</f>
        <v>2031.6330101073838</v>
      </c>
    </row>
    <row r="267" spans="1:36" ht="30" hidden="1" x14ac:dyDescent="0.25">
      <c r="A267" s="229">
        <v>1958</v>
      </c>
      <c r="B267" s="233">
        <v>45810</v>
      </c>
      <c r="C267" s="333">
        <v>2025</v>
      </c>
      <c r="D267" s="6">
        <f>YEAR(PA[[#This Row],[Date]])</f>
        <v>2025</v>
      </c>
      <c r="E267" s="334" t="s">
        <v>73</v>
      </c>
      <c r="F267" s="335" t="s">
        <v>73</v>
      </c>
      <c r="G267" s="323">
        <v>45809</v>
      </c>
      <c r="H267">
        <f>DAY(EOMONTH(PA[[#This Row],[Date]], 0))</f>
        <v>30</v>
      </c>
      <c r="I267" s="272">
        <v>0.21875</v>
      </c>
      <c r="J267" s="272">
        <v>0.74722222222222223</v>
      </c>
      <c r="K267" s="53">
        <f>IFERROR((PA[[#This Row],[Sunset Time (POA&lt;20 W/m2)]]-PA[[#This Row],[Sunrise Time (POA&gt;20 W/m2)]])*24,"")</f>
        <v>12.683333333333334</v>
      </c>
      <c r="L267" s="59" t="s">
        <v>615</v>
      </c>
      <c r="M267" s="59"/>
      <c r="N267" s="59"/>
      <c r="O267" s="59" t="s">
        <v>789</v>
      </c>
      <c r="P267" s="56"/>
      <c r="Q267" s="6"/>
      <c r="R26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BLK6MVP</v>
      </c>
      <c r="S267" s="53">
        <v>8944.5</v>
      </c>
      <c r="T267" s="90">
        <f>IFERROR(_xlfn.XLOOKUP(PA[[#This Row],[Affected Equipment ]],'Basic Data '!A:A,'Basic Data '!C:C),"")</f>
        <v>0.13447191011235954</v>
      </c>
      <c r="U267" s="59" t="s">
        <v>589</v>
      </c>
      <c r="V267" s="88"/>
      <c r="W267" s="273" t="s">
        <v>753</v>
      </c>
      <c r="X267" s="269">
        <v>0.48472222222222222</v>
      </c>
      <c r="Y267" s="269">
        <v>0.48472222222222222</v>
      </c>
      <c r="Z267" s="269">
        <v>0.49166666666666664</v>
      </c>
      <c r="AA267" s="269">
        <v>0.49166666666666664</v>
      </c>
      <c r="AB267" s="158">
        <f>IF(PA[[#This Row],[Acknowledgement Time ]]="NA","",(PA[[#This Row],[Acknowledgement Time ]]-PA[[#This Row],[Fault Time]])*24)</f>
        <v>0</v>
      </c>
      <c r="AC267" s="158">
        <f>IF(PA[[#This Row],[Work Start time on Fault]]="NA","",(PA[[#This Row],[Work Start time on Fault]]-PA[[#This Row],[Fault Time]])*24)</f>
        <v>0.16666666666666607</v>
      </c>
      <c r="AD267" s="112">
        <f>IF(PA[[#This Row],[Status]]="Open","",(PA[[#This Row],[Work Completion time on fault]]-PA[[#This Row],[Fault Time]])*24)</f>
        <v>0.16666666666666607</v>
      </c>
      <c r="AE267" s="111">
        <f>IFERROR((PA[[#This Row],[Work Completion time on fault]]-PA[[#This Row],[Fault Time]])*24,"")</f>
        <v>0.16666666666666607</v>
      </c>
      <c r="AF267" s="273" t="s">
        <v>753</v>
      </c>
      <c r="AG267" s="6" t="s">
        <v>1275</v>
      </c>
      <c r="AH267" s="53">
        <f>IFERROR(PA[[#This Row],[Breakdown Time]]*PA[[#This Row],[Plant Equivalent Weightage]],"")</f>
        <v>2.2411985018726509E-2</v>
      </c>
      <c r="AI267" s="59">
        <v>0.3</v>
      </c>
      <c r="AJ267" s="89">
        <f>IFERROR(IF(PA[[#This Row],[Lost PoA(kWh/m2)]]&gt;0,_xlfn.XLOOKUP(G267,'Modelling New'!$D:$D,'Modelling New'!$O:$O)*PA[[#This Row],[Lost PoA(kWh/m2)]]*S267,0),"")</f>
        <v>2039.728528331518</v>
      </c>
    </row>
    <row r="268" spans="1:36" ht="30" hidden="1" x14ac:dyDescent="0.25">
      <c r="A268" s="229">
        <v>1959</v>
      </c>
      <c r="B268" s="233">
        <v>45810</v>
      </c>
      <c r="C268" s="333">
        <v>2025</v>
      </c>
      <c r="D268" s="6">
        <f>YEAR(PA[[#This Row],[Date]])</f>
        <v>2025</v>
      </c>
      <c r="E268" s="334" t="s">
        <v>73</v>
      </c>
      <c r="F268" s="335" t="s">
        <v>73</v>
      </c>
      <c r="G268" s="323">
        <v>45809</v>
      </c>
      <c r="H268">
        <f>DAY(EOMONTH(PA[[#This Row],[Date]], 0))</f>
        <v>30</v>
      </c>
      <c r="I268" s="272">
        <v>0.21875</v>
      </c>
      <c r="J268" s="272">
        <v>0.74722222222222223</v>
      </c>
      <c r="K268" s="53">
        <f>IFERROR((PA[[#This Row],[Sunset Time (POA&lt;20 W/m2)]]-PA[[#This Row],[Sunrise Time (POA&gt;20 W/m2)]])*24,"")</f>
        <v>12.683333333333334</v>
      </c>
      <c r="L268" s="59" t="s">
        <v>587</v>
      </c>
      <c r="M268" s="59"/>
      <c r="N268" s="59"/>
      <c r="O268" s="59" t="s">
        <v>789</v>
      </c>
      <c r="P268" s="56"/>
      <c r="Q268" s="6"/>
      <c r="R26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268" s="53">
        <v>8944.5</v>
      </c>
      <c r="T268" s="90">
        <f>IFERROR(_xlfn.XLOOKUP(PA[[#This Row],[Affected Equipment ]],'Basic Data '!A:A,'Basic Data '!C:C),"")</f>
        <v>0.13400000000000001</v>
      </c>
      <c r="U268" s="59" t="s">
        <v>589</v>
      </c>
      <c r="V268" s="88"/>
      <c r="W268" s="273" t="s">
        <v>751</v>
      </c>
      <c r="X268" s="269">
        <v>0.48472222222222222</v>
      </c>
      <c r="Y268" s="269">
        <v>0.48472222222222222</v>
      </c>
      <c r="Z268" s="269">
        <v>0.49513888888888891</v>
      </c>
      <c r="AA268" s="269">
        <v>0.49513888888888891</v>
      </c>
      <c r="AB268" s="158">
        <f>IF(PA[[#This Row],[Acknowledgement Time ]]="NA","",(PA[[#This Row],[Acknowledgement Time ]]-PA[[#This Row],[Fault Time]])*24)</f>
        <v>0</v>
      </c>
      <c r="AC268" s="158">
        <f>IF(PA[[#This Row],[Work Start time on Fault]]="NA","",(PA[[#This Row],[Work Start time on Fault]]-PA[[#This Row],[Fault Time]])*24)</f>
        <v>0.25000000000000044</v>
      </c>
      <c r="AD268" s="112">
        <f>IF(PA[[#This Row],[Status]]="Open","",(PA[[#This Row],[Work Completion time on fault]]-PA[[#This Row],[Fault Time]])*24)</f>
        <v>0.25000000000000044</v>
      </c>
      <c r="AE268" s="111">
        <f>IFERROR((PA[[#This Row],[Work Completion time on fault]]-PA[[#This Row],[Fault Time]])*24,"")</f>
        <v>0.25000000000000044</v>
      </c>
      <c r="AF268" s="273" t="s">
        <v>751</v>
      </c>
      <c r="AG268" s="6" t="s">
        <v>1275</v>
      </c>
      <c r="AH268" s="53">
        <f>IFERROR(PA[[#This Row],[Breakdown Time]]*PA[[#This Row],[Plant Equivalent Weightage]],"")</f>
        <v>3.3500000000000064E-2</v>
      </c>
      <c r="AI268" s="59">
        <v>0.4</v>
      </c>
      <c r="AJ268" s="89">
        <f>IFERROR(IF(PA[[#This Row],[Lost PoA(kWh/m2)]]&gt;0,_xlfn.XLOOKUP(G268,'Modelling New'!$D:$D,'Modelling New'!$O:$O)*PA[[#This Row],[Lost PoA(kWh/m2)]]*S268,0),"")</f>
        <v>2719.638037775358</v>
      </c>
    </row>
    <row r="269" spans="1:36" ht="30" hidden="1" x14ac:dyDescent="0.25">
      <c r="A269" s="229">
        <v>1960</v>
      </c>
      <c r="B269" s="233">
        <v>45810</v>
      </c>
      <c r="C269" s="333">
        <v>2025</v>
      </c>
      <c r="D269" s="6">
        <f>YEAR(PA[[#This Row],[Date]])</f>
        <v>2025</v>
      </c>
      <c r="E269" s="334" t="s">
        <v>73</v>
      </c>
      <c r="F269" s="335" t="s">
        <v>73</v>
      </c>
      <c r="G269" s="323">
        <v>45809</v>
      </c>
      <c r="H269">
        <f>DAY(EOMONTH(PA[[#This Row],[Date]], 0))</f>
        <v>30</v>
      </c>
      <c r="I269" s="272">
        <v>0.21875</v>
      </c>
      <c r="J269" s="272">
        <v>0.74722222222222223</v>
      </c>
      <c r="K269" s="53">
        <f>IFERROR((PA[[#This Row],[Sunset Time (POA&lt;20 W/m2)]]-PA[[#This Row],[Sunrise Time (POA&gt;20 W/m2)]])*24,"")</f>
        <v>12.683333333333334</v>
      </c>
      <c r="L269" s="59" t="s">
        <v>559</v>
      </c>
      <c r="M269" s="59"/>
      <c r="N269" s="59"/>
      <c r="O269" s="59" t="s">
        <v>789</v>
      </c>
      <c r="P269" s="56"/>
      <c r="Q269" s="6"/>
      <c r="R26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269" s="53">
        <v>8870.1</v>
      </c>
      <c r="T269" s="90">
        <f>IFERROR(_xlfn.XLOOKUP(PA[[#This Row],[Affected Equipment ]],'Basic Data '!A:A,'Basic Data '!C:C),"")</f>
        <v>0.125</v>
      </c>
      <c r="U269" s="59" t="s">
        <v>589</v>
      </c>
      <c r="V269" s="88"/>
      <c r="W269" s="273" t="s">
        <v>754</v>
      </c>
      <c r="X269" s="269">
        <v>0.51666666666666672</v>
      </c>
      <c r="Y269" s="269">
        <v>0.51666666666666672</v>
      </c>
      <c r="Z269" s="269">
        <v>0.52152777777777781</v>
      </c>
      <c r="AA269" s="269">
        <v>0.52152777777777781</v>
      </c>
      <c r="AB269" s="158">
        <f>IF(PA[[#This Row],[Acknowledgement Time ]]="NA","",(PA[[#This Row],[Acknowledgement Time ]]-PA[[#This Row],[Fault Time]])*24)</f>
        <v>0</v>
      </c>
      <c r="AC269" s="158">
        <f>IF(PA[[#This Row],[Work Start time on Fault]]="NA","",(PA[[#This Row],[Work Start time on Fault]]-PA[[#This Row],[Fault Time]])*24)</f>
        <v>0.11666666666666625</v>
      </c>
      <c r="AD269" s="112">
        <f>IF(PA[[#This Row],[Status]]="Open","",(PA[[#This Row],[Work Completion time on fault]]-PA[[#This Row],[Fault Time]])*24)</f>
        <v>0.11666666666666625</v>
      </c>
      <c r="AE269" s="111">
        <f>IFERROR((PA[[#This Row],[Work Completion time on fault]]-PA[[#This Row],[Fault Time]])*24,"")</f>
        <v>0.11666666666666625</v>
      </c>
      <c r="AF269" s="273" t="s">
        <v>754</v>
      </c>
      <c r="AG269" s="6" t="s">
        <v>1275</v>
      </c>
      <c r="AH269" s="53">
        <f>IFERROR(PA[[#This Row],[Breakdown Time]]*PA[[#This Row],[Plant Equivalent Weightage]],"")</f>
        <v>1.4583333333333282E-2</v>
      </c>
      <c r="AI269" s="59">
        <v>0.28000000000000003</v>
      </c>
      <c r="AJ269" s="89">
        <f>IFERROR(IF(PA[[#This Row],[Lost PoA(kWh/m2)]]&gt;0,_xlfn.XLOOKUP(G269,'Modelling New'!$D:$D,'Modelling New'!$O:$O)*PA[[#This Row],[Lost PoA(kWh/m2)]]*S269,0),"")</f>
        <v>1887.9113367108102</v>
      </c>
    </row>
    <row r="270" spans="1:36" ht="30" hidden="1" x14ac:dyDescent="0.25">
      <c r="A270" s="229">
        <v>1961</v>
      </c>
      <c r="B270" s="233">
        <v>45810</v>
      </c>
      <c r="C270" s="333">
        <v>2025</v>
      </c>
      <c r="D270" s="6">
        <f>YEAR(PA[[#This Row],[Date]])</f>
        <v>2025</v>
      </c>
      <c r="E270" s="334" t="s">
        <v>73</v>
      </c>
      <c r="F270" s="335" t="s">
        <v>73</v>
      </c>
      <c r="G270" s="323">
        <v>45809</v>
      </c>
      <c r="H270">
        <f>DAY(EOMONTH(PA[[#This Row],[Date]], 0))</f>
        <v>30</v>
      </c>
      <c r="I270" s="272">
        <v>0.21875</v>
      </c>
      <c r="J270" s="272">
        <v>0.74722222222222223</v>
      </c>
      <c r="K270" s="53">
        <f>IFERROR((PA[[#This Row],[Sunset Time (POA&lt;20 W/m2)]]-PA[[#This Row],[Sunrise Time (POA&gt;20 W/m2)]])*24,"")</f>
        <v>12.683333333333334</v>
      </c>
      <c r="L270" s="59" t="s">
        <v>564</v>
      </c>
      <c r="M270" s="59"/>
      <c r="N270" s="59"/>
      <c r="O270" s="59" t="s">
        <v>789</v>
      </c>
      <c r="P270" s="56"/>
      <c r="Q270" s="6"/>
      <c r="R27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270" s="53">
        <v>8976</v>
      </c>
      <c r="T270" s="90">
        <f>IFERROR(_xlfn.XLOOKUP(PA[[#This Row],[Affected Equipment ]],'Basic Data '!A:A,'Basic Data '!C:C),"")</f>
        <v>0.13280524344569289</v>
      </c>
      <c r="U270" s="59" t="s">
        <v>589</v>
      </c>
      <c r="V270" s="88"/>
      <c r="W270" s="273" t="s">
        <v>752</v>
      </c>
      <c r="X270" s="269">
        <v>0.51666666666666672</v>
      </c>
      <c r="Y270" s="269">
        <v>0.51666666666666672</v>
      </c>
      <c r="Z270" s="269">
        <v>0.52430555555555558</v>
      </c>
      <c r="AA270" s="269">
        <v>0.52430555555555558</v>
      </c>
      <c r="AB270" s="158">
        <f>IF(PA[[#This Row],[Acknowledgement Time ]]="NA","",(PA[[#This Row],[Acknowledgement Time ]]-PA[[#This Row],[Fault Time]])*24)</f>
        <v>0</v>
      </c>
      <c r="AC270" s="158">
        <f>IF(PA[[#This Row],[Work Start time on Fault]]="NA","",(PA[[#This Row],[Work Start time on Fault]]-PA[[#This Row],[Fault Time]])*24)</f>
        <v>0.18333333333333268</v>
      </c>
      <c r="AD270" s="112">
        <f>IF(PA[[#This Row],[Status]]="Open","",(PA[[#This Row],[Work Completion time on fault]]-PA[[#This Row],[Fault Time]])*24)</f>
        <v>0.18333333333333268</v>
      </c>
      <c r="AE270" s="111">
        <f>IFERROR((PA[[#This Row],[Work Completion time on fault]]-PA[[#This Row],[Fault Time]])*24,"")</f>
        <v>0.18333333333333268</v>
      </c>
      <c r="AF270" s="273" t="s">
        <v>752</v>
      </c>
      <c r="AG270" s="6" t="s">
        <v>1275</v>
      </c>
      <c r="AH270" s="53">
        <f>IFERROR(PA[[#This Row],[Breakdown Time]]*PA[[#This Row],[Plant Equivalent Weightage]],"")</f>
        <v>2.4347627965043611E-2</v>
      </c>
      <c r="AI270" s="59">
        <v>0.28999999999999998</v>
      </c>
      <c r="AJ270" s="89">
        <f>IFERROR(IF(PA[[#This Row],[Lost PoA(kWh/m2)]]&gt;0,_xlfn.XLOOKUP(G270,'Modelling New'!$D:$D,'Modelling New'!$O:$O)*PA[[#This Row],[Lost PoA(kWh/m2)]]*S270,0),"")</f>
        <v>1978.6814796385395</v>
      </c>
    </row>
    <row r="271" spans="1:36" ht="30" hidden="1" x14ac:dyDescent="0.25">
      <c r="A271" s="229">
        <v>1963</v>
      </c>
      <c r="B271" s="233">
        <v>45810</v>
      </c>
      <c r="C271" s="333">
        <v>2025</v>
      </c>
      <c r="D271" s="6">
        <f>YEAR(PA[[#This Row],[Date]])</f>
        <v>2025</v>
      </c>
      <c r="E271" s="334" t="s">
        <v>73</v>
      </c>
      <c r="F271" s="335" t="s">
        <v>73</v>
      </c>
      <c r="G271" s="323">
        <v>45809</v>
      </c>
      <c r="H271">
        <f>DAY(EOMONTH(PA[[#This Row],[Date]], 0))</f>
        <v>30</v>
      </c>
      <c r="I271" s="272">
        <v>0.21875</v>
      </c>
      <c r="J271" s="272">
        <v>0.74722222222222223</v>
      </c>
      <c r="K271" s="53">
        <f>IFERROR((PA[[#This Row],[Sunset Time (POA&lt;20 W/m2)]]-PA[[#This Row],[Sunrise Time (POA&gt;20 W/m2)]])*24,"")</f>
        <v>12.683333333333334</v>
      </c>
      <c r="L271" s="59" t="s">
        <v>615</v>
      </c>
      <c r="M271" s="59"/>
      <c r="N271" s="59"/>
      <c r="O271" s="59" t="s">
        <v>789</v>
      </c>
      <c r="P271" s="56"/>
      <c r="Q271" s="6"/>
      <c r="R27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BLK6MVP</v>
      </c>
      <c r="S271" s="53">
        <v>8909.25</v>
      </c>
      <c r="T271" s="90">
        <f>IFERROR(_xlfn.XLOOKUP(PA[[#This Row],[Affected Equipment ]],'Basic Data '!A:A,'Basic Data '!C:C),"")</f>
        <v>0.13447191011235954</v>
      </c>
      <c r="U271" s="59" t="s">
        <v>589</v>
      </c>
      <c r="V271" s="88"/>
      <c r="W271" s="273" t="s">
        <v>753</v>
      </c>
      <c r="X271" s="269">
        <v>0.51666666666666672</v>
      </c>
      <c r="Y271" s="269">
        <v>0.51666666666666672</v>
      </c>
      <c r="Z271" s="269">
        <v>0.52638888888888891</v>
      </c>
      <c r="AA271" s="269">
        <v>0.52638888888888891</v>
      </c>
      <c r="AB271" s="158">
        <f>IF(PA[[#This Row],[Acknowledgement Time ]]="NA","",(PA[[#This Row],[Acknowledgement Time ]]-PA[[#This Row],[Fault Time]])*24)</f>
        <v>0</v>
      </c>
      <c r="AC271" s="158">
        <f>IF(PA[[#This Row],[Work Start time on Fault]]="NA","",(PA[[#This Row],[Work Start time on Fault]]-PA[[#This Row],[Fault Time]])*24)</f>
        <v>0.2333333333333325</v>
      </c>
      <c r="AD271" s="112">
        <f>IF(PA[[#This Row],[Status]]="Open","",(PA[[#This Row],[Work Completion time on fault]]-PA[[#This Row],[Fault Time]])*24)</f>
        <v>0.2333333333333325</v>
      </c>
      <c r="AE271" s="111">
        <f>IFERROR((PA[[#This Row],[Work Completion time on fault]]-PA[[#This Row],[Fault Time]])*24,"")</f>
        <v>0.2333333333333325</v>
      </c>
      <c r="AF271" s="273" t="s">
        <v>753</v>
      </c>
      <c r="AG271" s="6" t="s">
        <v>1275</v>
      </c>
      <c r="AH271" s="53">
        <f>IFERROR(PA[[#This Row],[Breakdown Time]]*PA[[#This Row],[Plant Equivalent Weightage]],"")</f>
        <v>3.1376779026217112E-2</v>
      </c>
      <c r="AI271" s="59">
        <v>0.31</v>
      </c>
      <c r="AJ271" s="89">
        <f>IFERROR(IF(PA[[#This Row],[Lost PoA(kWh/m2)]]&gt;0,_xlfn.XLOOKUP(G271,'Modelling New'!$D:$D,'Modelling New'!$O:$O)*PA[[#This Row],[Lost PoA(kWh/m2)]]*S271,0),"")</f>
        <v>2099.4130214924066</v>
      </c>
    </row>
    <row r="272" spans="1:36" ht="30" hidden="1" x14ac:dyDescent="0.25">
      <c r="A272" s="229">
        <v>1964</v>
      </c>
      <c r="B272" s="233">
        <v>45810</v>
      </c>
      <c r="C272" s="333">
        <v>2025</v>
      </c>
      <c r="D272" s="6">
        <f>YEAR(PA[[#This Row],[Date]])</f>
        <v>2025</v>
      </c>
      <c r="E272" s="334" t="s">
        <v>73</v>
      </c>
      <c r="F272" s="335" t="s">
        <v>73</v>
      </c>
      <c r="G272" s="323">
        <v>45809</v>
      </c>
      <c r="H272">
        <f>DAY(EOMONTH(PA[[#This Row],[Date]], 0))</f>
        <v>30</v>
      </c>
      <c r="I272" s="272">
        <v>0.21875</v>
      </c>
      <c r="J272" s="272">
        <v>0.74722222222222223</v>
      </c>
      <c r="K272" s="53">
        <f>IFERROR((PA[[#This Row],[Sunset Time (POA&lt;20 W/m2)]]-PA[[#This Row],[Sunrise Time (POA&gt;20 W/m2)]])*24,"")</f>
        <v>12.683333333333334</v>
      </c>
      <c r="L272" s="59" t="s">
        <v>564</v>
      </c>
      <c r="M272" s="59"/>
      <c r="N272" s="59"/>
      <c r="O272" s="59" t="s">
        <v>599</v>
      </c>
      <c r="P272" s="56"/>
      <c r="Q272" s="6"/>
      <c r="R27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BLK5INV20</v>
      </c>
      <c r="S272" s="53">
        <v>22.5</v>
      </c>
      <c r="T272" s="90">
        <f>IFERROR(_xlfn.XLOOKUP(PA[[#This Row],[Affected Equipment ]],'Basic Data '!A:A,'Basic Data '!C:C),"")</f>
        <v>4.0000000000000001E-3</v>
      </c>
      <c r="U272" s="59" t="s">
        <v>738</v>
      </c>
      <c r="V272" s="88"/>
      <c r="W272" s="274" t="s">
        <v>755</v>
      </c>
      <c r="X272" s="269">
        <v>0.51666666666666672</v>
      </c>
      <c r="Y272" s="269">
        <v>0.51666666666666672</v>
      </c>
      <c r="Z272" s="269">
        <v>0.52777777777777779</v>
      </c>
      <c r="AA272" s="269">
        <v>0.52777777777777779</v>
      </c>
      <c r="AB272" s="158">
        <f>IF(PA[[#This Row],[Acknowledgement Time ]]="NA","",(PA[[#This Row],[Acknowledgement Time ]]-PA[[#This Row],[Fault Time]])*24)</f>
        <v>0</v>
      </c>
      <c r="AC272" s="158">
        <f>IF(PA[[#This Row],[Work Start time on Fault]]="NA","",(PA[[#This Row],[Work Start time on Fault]]-PA[[#This Row],[Fault Time]])*24)</f>
        <v>0.26666666666666572</v>
      </c>
      <c r="AD272" s="112">
        <f>IF(PA[[#This Row],[Status]]="Open","",(PA[[#This Row],[Work Completion time on fault]]-PA[[#This Row],[Fault Time]])*24)</f>
        <v>0.26666666666666572</v>
      </c>
      <c r="AE272" s="111">
        <f>IFERROR((PA[[#This Row],[Work Completion time on fault]]-PA[[#This Row],[Fault Time]])*24,"")</f>
        <v>0.26666666666666572</v>
      </c>
      <c r="AF272" s="274" t="s">
        <v>755</v>
      </c>
      <c r="AG272" s="6" t="s">
        <v>1275</v>
      </c>
      <c r="AH272" s="53">
        <f>IFERROR(PA[[#This Row],[Breakdown Time]]*PA[[#This Row],[Plant Equivalent Weightage]],"")</f>
        <v>1.0666666666666628E-3</v>
      </c>
      <c r="AI272" s="59">
        <v>0.31</v>
      </c>
      <c r="AJ272" s="89">
        <f>IFERROR(IF(PA[[#This Row],[Lost PoA(kWh/m2)]]&gt;0,_xlfn.XLOOKUP(G272,'Modelling New'!$D:$D,'Modelling New'!$O:$O)*PA[[#This Row],[Lost PoA(kWh/m2)]]*S272,0),"")</f>
        <v>5.3019943298907481</v>
      </c>
    </row>
    <row r="273" spans="1:38" hidden="1" x14ac:dyDescent="0.25">
      <c r="A273" s="229">
        <v>1965</v>
      </c>
      <c r="B273" s="233">
        <v>45810</v>
      </c>
      <c r="C273" s="333">
        <v>2025</v>
      </c>
      <c r="D273" s="6">
        <f>YEAR(PA[[#This Row],[Date]])</f>
        <v>2025</v>
      </c>
      <c r="E273" s="334" t="s">
        <v>73</v>
      </c>
      <c r="F273" s="335" t="s">
        <v>73</v>
      </c>
      <c r="G273" s="323">
        <v>45809</v>
      </c>
      <c r="H273">
        <f>DAY(EOMONTH(PA[[#This Row],[Date]], 0))</f>
        <v>30</v>
      </c>
      <c r="I273" s="272">
        <v>0.21875</v>
      </c>
      <c r="J273" s="272">
        <v>0.74722222222222223</v>
      </c>
      <c r="K273" s="53">
        <f>IFERROR((PA[[#This Row],[Sunset Time (POA&lt;20 W/m2)]]-PA[[#This Row],[Sunrise Time (POA&gt;20 W/m2)]])*24,"")</f>
        <v>12.683333333333334</v>
      </c>
      <c r="L273" s="59" t="s">
        <v>564</v>
      </c>
      <c r="M273" s="59"/>
      <c r="N273" s="59"/>
      <c r="O273" s="59" t="s">
        <v>591</v>
      </c>
      <c r="P273" s="56"/>
      <c r="Q273" s="6"/>
      <c r="R27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BLK5INV5</v>
      </c>
      <c r="S273" s="53">
        <v>22.5</v>
      </c>
      <c r="T273" s="90">
        <f>IFERROR(_xlfn.XLOOKUP(PA[[#This Row],[Affected Equipment ]],'Basic Data '!A:A,'Basic Data '!C:C),"")</f>
        <v>4.4999999999999997E-3</v>
      </c>
      <c r="U273" s="59" t="s">
        <v>738</v>
      </c>
      <c r="V273" s="88"/>
      <c r="W273" s="274" t="s">
        <v>756</v>
      </c>
      <c r="X273" s="161">
        <v>0.21875</v>
      </c>
      <c r="Y273" s="161">
        <v>0.375</v>
      </c>
      <c r="Z273" s="161">
        <v>0.62916666666666665</v>
      </c>
      <c r="AA273" s="161">
        <v>0.62916666666666665</v>
      </c>
      <c r="AB273" s="158">
        <f>IF(PA[[#This Row],[Acknowledgement Time ]]="NA","",(PA[[#This Row],[Acknowledgement Time ]]-PA[[#This Row],[Fault Time]])*24)</f>
        <v>3.75</v>
      </c>
      <c r="AC273" s="158">
        <f>IF(PA[[#This Row],[Work Start time on Fault]]="NA","",(PA[[#This Row],[Work Start time on Fault]]-PA[[#This Row],[Fault Time]])*24)</f>
        <v>9.85</v>
      </c>
      <c r="AD273" s="112">
        <f>IF(PA[[#This Row],[Status]]="Open","",(PA[[#This Row],[Work Completion time on fault]]-PA[[#This Row],[Fault Time]])*24)</f>
        <v>9.85</v>
      </c>
      <c r="AE273" s="111">
        <f>IFERROR((PA[[#This Row],[Work Completion time on fault]]-PA[[#This Row],[Fault Time]])*24,"")</f>
        <v>9.85</v>
      </c>
      <c r="AF273" s="274" t="s">
        <v>756</v>
      </c>
      <c r="AG273" s="6" t="s">
        <v>1275</v>
      </c>
      <c r="AH273" s="53">
        <f>IFERROR(PA[[#This Row],[Breakdown Time]]*PA[[#This Row],[Plant Equivalent Weightage]],"")</f>
        <v>4.4324999999999996E-2</v>
      </c>
      <c r="AI273" s="59">
        <v>5.0999999999999996</v>
      </c>
      <c r="AJ273" s="89">
        <f>IFERROR(IF(PA[[#This Row],[Lost PoA(kWh/m2)]]&gt;0,_xlfn.XLOOKUP(G273,'Modelling New'!$D:$D,'Modelling New'!$O:$O)*PA[[#This Row],[Lost PoA(kWh/m2)]]*S273,0),"")</f>
        <v>87.226358330460684</v>
      </c>
    </row>
    <row r="274" spans="1:38" ht="30" hidden="1" x14ac:dyDescent="0.25">
      <c r="A274" s="229">
        <v>1966</v>
      </c>
      <c r="B274" s="233">
        <v>45811</v>
      </c>
      <c r="C274" s="333">
        <v>2025</v>
      </c>
      <c r="D274" s="6">
        <f>YEAR(PA[[#This Row],[Date]])</f>
        <v>2025</v>
      </c>
      <c r="E274" s="334" t="s">
        <v>73</v>
      </c>
      <c r="F274" s="335" t="s">
        <v>73</v>
      </c>
      <c r="G274" s="323">
        <v>45809</v>
      </c>
      <c r="I274" s="10">
        <v>0.22152777777777777</v>
      </c>
      <c r="J274" s="10">
        <v>0.7729166666666667</v>
      </c>
      <c r="K274" s="53">
        <f>IFERROR((PA[[#This Row],[Sunset Time (POA&lt;20 W/m2)]]-PA[[#This Row],[Sunrise Time (POA&gt;20 W/m2)]])*24,"")</f>
        <v>13.233333333333334</v>
      </c>
      <c r="L274" s="59" t="s">
        <v>559</v>
      </c>
      <c r="M274" s="59"/>
      <c r="N274" s="59"/>
      <c r="O274" s="59" t="s">
        <v>789</v>
      </c>
      <c r="P274" s="56"/>
      <c r="Q274" s="6"/>
      <c r="R27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274" s="53">
        <v>8870.1</v>
      </c>
      <c r="T274" s="90">
        <f>IFERROR(_xlfn.XLOOKUP(PA[[#This Row],[Affected Equipment ]],'Basic Data '!A:A,'Basic Data '!C:C),"")</f>
        <v>0.125</v>
      </c>
      <c r="U274" s="59" t="s">
        <v>589</v>
      </c>
      <c r="V274" s="88"/>
      <c r="W274" s="273" t="s">
        <v>754</v>
      </c>
      <c r="X274" s="269">
        <v>0.46597222222222223</v>
      </c>
      <c r="Y274" s="269">
        <v>0.47638888888888886</v>
      </c>
      <c r="Z274" s="161">
        <v>0.47013888888888888</v>
      </c>
      <c r="AA274" s="161">
        <v>0.47013888888888888</v>
      </c>
      <c r="AB274" s="158">
        <f>IF(PA[[#This Row],[Acknowledgement Time ]]="NA","",(PA[[#This Row],[Acknowledgement Time ]]-PA[[#This Row],[Fault Time]])*24)</f>
        <v>0.24999999999999911</v>
      </c>
      <c r="AC274" s="158">
        <f>IF(PA[[#This Row],[Work Start time on Fault]]="NA","",(PA[[#This Row],[Work Start time on Fault]]-PA[[#This Row],[Fault Time]])*24)</f>
        <v>9.9999999999999645E-2</v>
      </c>
      <c r="AD274" s="112"/>
      <c r="AE274" s="111"/>
      <c r="AF274" s="273" t="s">
        <v>754</v>
      </c>
      <c r="AG274" s="6" t="s">
        <v>1275</v>
      </c>
      <c r="AH274" s="53">
        <f>IFERROR(PA[[#This Row],[Breakdown Time]]*PA[[#This Row],[Plant Equivalent Weightage]],"")</f>
        <v>0</v>
      </c>
      <c r="AI274" s="59">
        <v>0.35</v>
      </c>
      <c r="AJ274" s="89">
        <f>IFERROR(IF(PA[[#This Row],[Lost PoA(kWh/m2)]]&gt;0,_xlfn.XLOOKUP(G274,'Modelling New'!$D:$D,'Modelling New'!$O:$O)*PA[[#This Row],[Lost PoA(kWh/m2)]]*S274,0),"")</f>
        <v>2359.8891708885121</v>
      </c>
    </row>
    <row r="275" spans="1:38" ht="30" hidden="1" x14ac:dyDescent="0.25">
      <c r="A275" s="229">
        <v>1967</v>
      </c>
      <c r="B275" s="233">
        <v>45811</v>
      </c>
      <c r="C275" s="333">
        <v>2025</v>
      </c>
      <c r="D275" s="6">
        <f>YEAR(PA[[#This Row],[Date]])</f>
        <v>2025</v>
      </c>
      <c r="E275" s="334" t="s">
        <v>73</v>
      </c>
      <c r="F275" s="335" t="s">
        <v>73</v>
      </c>
      <c r="G275" s="323">
        <v>45809</v>
      </c>
      <c r="H275">
        <f>DAY(EOMONTH(PA[[#This Row],[Date]], 0))</f>
        <v>30</v>
      </c>
      <c r="I275" s="10">
        <v>0.22152777777777777</v>
      </c>
      <c r="J275" s="10">
        <v>0.7729166666666667</v>
      </c>
      <c r="K275" s="53">
        <f>IFERROR((PA[[#This Row],[Sunset Time (POA&lt;20 W/m2)]]-PA[[#This Row],[Sunrise Time (POA&gt;20 W/m2)]])*24,"")</f>
        <v>13.233333333333334</v>
      </c>
      <c r="L275" s="59" t="s">
        <v>564</v>
      </c>
      <c r="M275" s="59"/>
      <c r="N275" s="59"/>
      <c r="O275" s="59" t="s">
        <v>789</v>
      </c>
      <c r="P275" s="56"/>
      <c r="Q275" s="6"/>
      <c r="R27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275" s="53">
        <v>8976</v>
      </c>
      <c r="T275" s="90">
        <f>IFERROR(_xlfn.XLOOKUP(PA[[#This Row],[Affected Equipment ]],'Basic Data '!A:A,'Basic Data '!C:C),"")</f>
        <v>0.13280524344569289</v>
      </c>
      <c r="U275" s="59" t="s">
        <v>589</v>
      </c>
      <c r="V275" s="88"/>
      <c r="W275" s="273" t="s">
        <v>752</v>
      </c>
      <c r="X275" s="269">
        <v>0.47222222222222221</v>
      </c>
      <c r="Y275" s="269">
        <v>0.47569444444444442</v>
      </c>
      <c r="Z275" s="60">
        <v>0.47569444444444442</v>
      </c>
      <c r="AA275" s="60">
        <v>0.47569444444444442</v>
      </c>
      <c r="AB275" s="158">
        <f>IF(PA[[#This Row],[Acknowledgement Time ]]="NA","",(PA[[#This Row],[Acknowledgement Time ]]-PA[[#This Row],[Fault Time]])*24)</f>
        <v>8.3333333333333037E-2</v>
      </c>
      <c r="AC275" s="158">
        <f>IF(PA[[#This Row],[Work Start time on Fault]]="NA","",(PA[[#This Row],[Work Start time on Fault]]-PA[[#This Row],[Fault Time]])*24)</f>
        <v>8.3333333333333037E-2</v>
      </c>
      <c r="AD275" s="112">
        <f>IF(PA[[#This Row],[Status]]="Open","",(PA[[#This Row],[Work Completion time on fault]]-PA[[#This Row],[Fault Time]])*24)</f>
        <v>8.3333333333333037E-2</v>
      </c>
      <c r="AE275" s="111">
        <f>IFERROR((PA[[#This Row],[Work Completion time on fault]]-PA[[#This Row],[Fault Time]])*24,"")</f>
        <v>8.3333333333333037E-2</v>
      </c>
      <c r="AF275" s="273" t="s">
        <v>752</v>
      </c>
      <c r="AG275" s="6" t="s">
        <v>1275</v>
      </c>
      <c r="AH275" s="53">
        <f>IFERROR(PA[[#This Row],[Breakdown Time]]*PA[[#This Row],[Plant Equivalent Weightage]],"")</f>
        <v>1.1067103620474368E-2</v>
      </c>
      <c r="AI275" s="59">
        <v>0.21</v>
      </c>
      <c r="AJ275" s="89">
        <f>IFERROR(IF(PA[[#This Row],[Lost PoA(kWh/m2)]]&gt;0,_xlfn.XLOOKUP(G275,'Modelling New'!$D:$D,'Modelling New'!$O:$O)*PA[[#This Row],[Lost PoA(kWh/m2)]]*S275,0),"")</f>
        <v>1432.8383128417011</v>
      </c>
    </row>
    <row r="276" spans="1:38" ht="30" hidden="1" x14ac:dyDescent="0.25">
      <c r="A276" s="229">
        <v>1968</v>
      </c>
      <c r="B276" s="233">
        <v>45811</v>
      </c>
      <c r="C276" s="333">
        <v>2025</v>
      </c>
      <c r="D276" s="6">
        <f>YEAR(PA[[#This Row],[Date]])</f>
        <v>2025</v>
      </c>
      <c r="E276" s="334" t="s">
        <v>73</v>
      </c>
      <c r="F276" s="335" t="s">
        <v>73</v>
      </c>
      <c r="G276" s="323">
        <v>45809</v>
      </c>
      <c r="H276">
        <f>DAY(EOMONTH(PA[[#This Row],[Date]], 0))</f>
        <v>30</v>
      </c>
      <c r="I276" s="10">
        <v>0.22152777777777777</v>
      </c>
      <c r="J276" s="10">
        <v>0.7729166666666667</v>
      </c>
      <c r="K276" s="53">
        <f>IFERROR((PA[[#This Row],[Sunset Time (POA&lt;20 W/m2)]]-PA[[#This Row],[Sunrise Time (POA&gt;20 W/m2)]])*24,"")</f>
        <v>13.233333333333334</v>
      </c>
      <c r="L276" s="59" t="s">
        <v>559</v>
      </c>
      <c r="M276" s="59"/>
      <c r="N276" s="59"/>
      <c r="O276" s="59" t="s">
        <v>789</v>
      </c>
      <c r="P276" s="56"/>
      <c r="Q276" s="6"/>
      <c r="R27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276" s="53">
        <v>8870.1</v>
      </c>
      <c r="T276" s="90">
        <f>IFERROR(_xlfn.XLOOKUP(PA[[#This Row],[Affected Equipment ]],'Basic Data '!A:A,'Basic Data '!C:C),"")</f>
        <v>0.125</v>
      </c>
      <c r="U276" s="59" t="s">
        <v>589</v>
      </c>
      <c r="V276" s="88"/>
      <c r="W276" s="273" t="s">
        <v>754</v>
      </c>
      <c r="X276" s="269">
        <v>0.49166666666666664</v>
      </c>
      <c r="Y276" s="269">
        <v>0.5</v>
      </c>
      <c r="Z276" s="60">
        <v>0.49652777777777773</v>
      </c>
      <c r="AA276" s="60">
        <v>0.49652777777777773</v>
      </c>
      <c r="AB276" s="158">
        <f>IF(PA[[#This Row],[Acknowledgement Time ]]="NA","",(PA[[#This Row],[Acknowledgement Time ]]-PA[[#This Row],[Fault Time]])*24)</f>
        <v>0.20000000000000062</v>
      </c>
      <c r="AC276" s="158">
        <f>IF(PA[[#This Row],[Work Start time on Fault]]="NA","",(PA[[#This Row],[Work Start time on Fault]]-PA[[#This Row],[Fault Time]])*24)</f>
        <v>0.11666666666666625</v>
      </c>
      <c r="AD276" s="112">
        <f>IF(PA[[#This Row],[Status]]="Open","",(PA[[#This Row],[Work Completion time on fault]]-PA[[#This Row],[Fault Time]])*24)</f>
        <v>0.11666666666666625</v>
      </c>
      <c r="AE276" s="111">
        <f>IFERROR((PA[[#This Row],[Work Completion time on fault]]-PA[[#This Row],[Fault Time]])*24,"")</f>
        <v>0.11666666666666625</v>
      </c>
      <c r="AF276" s="273" t="s">
        <v>754</v>
      </c>
      <c r="AG276" s="6" t="s">
        <v>1275</v>
      </c>
      <c r="AH276" s="53">
        <f>IFERROR(PA[[#This Row],[Breakdown Time]]*PA[[#This Row],[Plant Equivalent Weightage]],"")</f>
        <v>1.4583333333333282E-2</v>
      </c>
      <c r="AI276" s="59">
        <v>0.21</v>
      </c>
      <c r="AJ276" s="89">
        <f>IFERROR(IF(PA[[#This Row],[Lost PoA(kWh/m2)]]&gt;0,_xlfn.XLOOKUP(G276,'Modelling New'!$D:$D,'Modelling New'!$O:$O)*PA[[#This Row],[Lost PoA(kWh/m2)]]*S276,0),"")</f>
        <v>1415.9335025331075</v>
      </c>
    </row>
    <row r="277" spans="1:38" ht="30" hidden="1" x14ac:dyDescent="0.25">
      <c r="A277" s="229">
        <v>1969</v>
      </c>
      <c r="B277" s="233">
        <v>45811</v>
      </c>
      <c r="C277" s="333">
        <v>2025</v>
      </c>
      <c r="D277" s="6">
        <f>YEAR(PA[[#This Row],[Date]])</f>
        <v>2025</v>
      </c>
      <c r="E277" s="334" t="s">
        <v>73</v>
      </c>
      <c r="F277" s="335" t="s">
        <v>73</v>
      </c>
      <c r="G277" s="323">
        <v>45809</v>
      </c>
      <c r="H277">
        <f>DAY(EOMONTH(PA[[#This Row],[Date]], 0))</f>
        <v>30</v>
      </c>
      <c r="I277" s="10">
        <v>0.22152777777777777</v>
      </c>
      <c r="J277" s="10">
        <v>0.7729166666666667</v>
      </c>
      <c r="K277" s="53">
        <f>IFERROR((PA[[#This Row],[Sunset Time (POA&lt;20 W/m2)]]-PA[[#This Row],[Sunrise Time (POA&gt;20 W/m2)]])*24,"")</f>
        <v>13.233333333333334</v>
      </c>
      <c r="L277" s="59" t="s">
        <v>564</v>
      </c>
      <c r="M277" s="59"/>
      <c r="N277" s="59"/>
      <c r="O277" s="59" t="s">
        <v>789</v>
      </c>
      <c r="P277" s="56"/>
      <c r="Q277" s="6"/>
      <c r="R27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277" s="53">
        <v>8976</v>
      </c>
      <c r="T277" s="90">
        <f>IFERROR(_xlfn.XLOOKUP(PA[[#This Row],[Affected Equipment ]],'Basic Data '!A:A,'Basic Data '!C:C),"")</f>
        <v>0.13280524344569289</v>
      </c>
      <c r="U277" s="59" t="s">
        <v>589</v>
      </c>
      <c r="V277" s="88"/>
      <c r="W277" s="273" t="s">
        <v>752</v>
      </c>
      <c r="X277" s="269">
        <v>0.49166666666666664</v>
      </c>
      <c r="Y277" s="269">
        <v>0.49722222222222223</v>
      </c>
      <c r="Z277" s="60">
        <v>0.49652777777777773</v>
      </c>
      <c r="AA277" s="60">
        <v>0.49652777777777773</v>
      </c>
      <c r="AB277" s="158">
        <f>IF(PA[[#This Row],[Acknowledgement Time ]]="NA","",(PA[[#This Row],[Acknowledgement Time ]]-PA[[#This Row],[Fault Time]])*24)</f>
        <v>0.13333333333333419</v>
      </c>
      <c r="AC277" s="158">
        <f>IF(PA[[#This Row],[Work Start time on Fault]]="NA","",(PA[[#This Row],[Work Start time on Fault]]-PA[[#This Row],[Fault Time]])*24)</f>
        <v>0.11666666666666625</v>
      </c>
      <c r="AD277" s="112">
        <f>IF(PA[[#This Row],[Status]]="Open","",(PA[[#This Row],[Work Completion time on fault]]-PA[[#This Row],[Fault Time]])*24)</f>
        <v>0.11666666666666625</v>
      </c>
      <c r="AE277" s="111">
        <f>IFERROR((PA[[#This Row],[Work Completion time on fault]]-PA[[#This Row],[Fault Time]])*24,"")</f>
        <v>0.11666666666666625</v>
      </c>
      <c r="AF277" s="273" t="s">
        <v>752</v>
      </c>
      <c r="AG277" s="6" t="s">
        <v>1275</v>
      </c>
      <c r="AH277" s="53">
        <f>IFERROR(PA[[#This Row],[Breakdown Time]]*PA[[#This Row],[Plant Equivalent Weightage]],"")</f>
        <v>1.5493945068664115E-2</v>
      </c>
      <c r="AI277" s="59">
        <v>0.21</v>
      </c>
      <c r="AJ277" s="89">
        <f>IFERROR(IF(PA[[#This Row],[Lost PoA(kWh/m2)]]&gt;0,_xlfn.XLOOKUP(G277,'Modelling New'!$D:$D,'Modelling New'!$O:$O)*PA[[#This Row],[Lost PoA(kWh/m2)]]*S277,0),"")</f>
        <v>1432.8383128417011</v>
      </c>
    </row>
    <row r="278" spans="1:38" ht="30" hidden="1" x14ac:dyDescent="0.25">
      <c r="A278" s="229">
        <v>1970</v>
      </c>
      <c r="B278" s="233">
        <v>45811</v>
      </c>
      <c r="C278" s="333">
        <v>2025</v>
      </c>
      <c r="D278" s="6">
        <f>YEAR(PA[[#This Row],[Date]])</f>
        <v>2025</v>
      </c>
      <c r="E278" s="334" t="s">
        <v>73</v>
      </c>
      <c r="F278" s="335" t="s">
        <v>73</v>
      </c>
      <c r="G278" s="323">
        <v>45809</v>
      </c>
      <c r="H278">
        <f>DAY(EOMONTH(PA[[#This Row],[Date]], 0))</f>
        <v>30</v>
      </c>
      <c r="I278" s="10">
        <v>0.22152777777777777</v>
      </c>
      <c r="J278" s="10">
        <v>0.7729166666666667</v>
      </c>
      <c r="K278" s="53">
        <f>IFERROR((PA[[#This Row],[Sunset Time (POA&lt;20 W/m2)]]-PA[[#This Row],[Sunrise Time (POA&gt;20 W/m2)]])*24,"")</f>
        <v>13.233333333333334</v>
      </c>
      <c r="L278" s="59" t="s">
        <v>587</v>
      </c>
      <c r="M278" s="59"/>
      <c r="N278" s="59"/>
      <c r="O278" s="59" t="s">
        <v>789</v>
      </c>
      <c r="P278" s="56"/>
      <c r="Q278" s="6"/>
      <c r="R27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278" s="53">
        <v>8944.5</v>
      </c>
      <c r="T278" s="90">
        <f>IFERROR(_xlfn.XLOOKUP(PA[[#This Row],[Affected Equipment ]],'Basic Data '!A:A,'Basic Data '!C:C),"")</f>
        <v>0.13400000000000001</v>
      </c>
      <c r="U278" s="59" t="s">
        <v>589</v>
      </c>
      <c r="V278" s="88"/>
      <c r="W278" s="273" t="s">
        <v>751</v>
      </c>
      <c r="X278" s="269">
        <v>0.50624999999999998</v>
      </c>
      <c r="Y278" s="269">
        <v>0.51527777777777772</v>
      </c>
      <c r="Z278" s="60">
        <v>0.51041666666666663</v>
      </c>
      <c r="AA278" s="60">
        <v>0.51041666666666663</v>
      </c>
      <c r="AB278" s="158">
        <f>IF(PA[[#This Row],[Acknowledgement Time ]]="NA","",(PA[[#This Row],[Acknowledgement Time ]]-PA[[#This Row],[Fault Time]])*24)</f>
        <v>0.2166666666666659</v>
      </c>
      <c r="AC278" s="158">
        <f>IF(PA[[#This Row],[Work Start time on Fault]]="NA","",(PA[[#This Row],[Work Start time on Fault]]-PA[[#This Row],[Fault Time]])*24)</f>
        <v>9.9999999999999645E-2</v>
      </c>
      <c r="AD278" s="112">
        <f>IF(PA[[#This Row],[Status]]="Open","",(PA[[#This Row],[Work Completion time on fault]]-PA[[#This Row],[Fault Time]])*24)</f>
        <v>9.9999999999999645E-2</v>
      </c>
      <c r="AE278" s="111">
        <f>IFERROR((PA[[#This Row],[Work Completion time on fault]]-PA[[#This Row],[Fault Time]])*24,"")</f>
        <v>9.9999999999999645E-2</v>
      </c>
      <c r="AF278" s="273" t="s">
        <v>751</v>
      </c>
      <c r="AG278" s="6" t="s">
        <v>1275</v>
      </c>
      <c r="AH278" s="53">
        <f>IFERROR(PA[[#This Row],[Breakdown Time]]*PA[[#This Row],[Plant Equivalent Weightage]],"")</f>
        <v>1.3399999999999954E-2</v>
      </c>
      <c r="AI278" s="59">
        <v>0.15</v>
      </c>
      <c r="AJ278" s="89">
        <f>IFERROR(IF(PA[[#This Row],[Lost PoA(kWh/m2)]]&gt;0,_xlfn.XLOOKUP(G278,'Modelling New'!$D:$D,'Modelling New'!$O:$O)*PA[[#This Row],[Lost PoA(kWh/m2)]]*S278,0),"")</f>
        <v>1019.864264165759</v>
      </c>
    </row>
    <row r="279" spans="1:38" ht="30" hidden="1" x14ac:dyDescent="0.25">
      <c r="A279" s="229">
        <v>1971</v>
      </c>
      <c r="B279" s="233">
        <v>45811</v>
      </c>
      <c r="C279" s="333">
        <v>2025</v>
      </c>
      <c r="D279" s="6">
        <f>YEAR(PA[[#This Row],[Date]])</f>
        <v>2025</v>
      </c>
      <c r="E279" s="334" t="s">
        <v>73</v>
      </c>
      <c r="F279" s="335" t="s">
        <v>73</v>
      </c>
      <c r="G279" s="323">
        <v>45809</v>
      </c>
      <c r="H279">
        <f>DAY(EOMONTH(PA[[#This Row],[Date]], 0))</f>
        <v>30</v>
      </c>
      <c r="I279" s="10">
        <v>0.22152777777777777</v>
      </c>
      <c r="J279" s="10">
        <v>0.7729166666666667</v>
      </c>
      <c r="K279" s="53">
        <f>IFERROR((PA[[#This Row],[Sunset Time (POA&lt;20 W/m2)]]-PA[[#This Row],[Sunrise Time (POA&gt;20 W/m2)]])*24,"")</f>
        <v>13.233333333333334</v>
      </c>
      <c r="L279" s="59" t="s">
        <v>559</v>
      </c>
      <c r="M279" s="59"/>
      <c r="N279" s="59"/>
      <c r="O279" s="59" t="s">
        <v>789</v>
      </c>
      <c r="P279" s="56"/>
      <c r="Q279" s="6"/>
      <c r="R27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279" s="53">
        <v>8870.1</v>
      </c>
      <c r="T279" s="90">
        <f>IFERROR(_xlfn.XLOOKUP(PA[[#This Row],[Affected Equipment ]],'Basic Data '!A:A,'Basic Data '!C:C),"")</f>
        <v>0.125</v>
      </c>
      <c r="U279" s="59" t="s">
        <v>589</v>
      </c>
      <c r="V279" s="88"/>
      <c r="W279" s="273" t="s">
        <v>754</v>
      </c>
      <c r="X279" s="269">
        <v>0.50624999999999998</v>
      </c>
      <c r="Y279" s="269">
        <v>0.51388888888888884</v>
      </c>
      <c r="Z279" s="60">
        <v>0.51041666666666663</v>
      </c>
      <c r="AA279" s="60">
        <v>0.51041666666666663</v>
      </c>
      <c r="AB279" s="158">
        <f>IF(PA[[#This Row],[Acknowledgement Time ]]="NA","",(PA[[#This Row],[Acknowledgement Time ]]-PA[[#This Row],[Fault Time]])*24)</f>
        <v>0.18333333333333268</v>
      </c>
      <c r="AC279" s="158">
        <f>IF(PA[[#This Row],[Work Start time on Fault]]="NA","",(PA[[#This Row],[Work Start time on Fault]]-PA[[#This Row],[Fault Time]])*24)</f>
        <v>9.9999999999999645E-2</v>
      </c>
      <c r="AD279" s="112">
        <f>IF(PA[[#This Row],[Status]]="Open","",(PA[[#This Row],[Work Completion time on fault]]-PA[[#This Row],[Fault Time]])*24)</f>
        <v>9.9999999999999645E-2</v>
      </c>
      <c r="AE279" s="111">
        <f>IFERROR((PA[[#This Row],[Work Completion time on fault]]-PA[[#This Row],[Fault Time]])*24,"")</f>
        <v>9.9999999999999645E-2</v>
      </c>
      <c r="AF279" s="273" t="s">
        <v>754</v>
      </c>
      <c r="AG279" s="6" t="s">
        <v>1275</v>
      </c>
      <c r="AH279" s="53">
        <f>IFERROR(PA[[#This Row],[Breakdown Time]]*PA[[#This Row],[Plant Equivalent Weightage]],"")</f>
        <v>1.2499999999999956E-2</v>
      </c>
      <c r="AI279" s="59">
        <v>0.15</v>
      </c>
      <c r="AJ279" s="89">
        <f>IFERROR(IF(PA[[#This Row],[Lost PoA(kWh/m2)]]&gt;0,_xlfn.XLOOKUP(G279,'Modelling New'!$D:$D,'Modelling New'!$O:$O)*PA[[#This Row],[Lost PoA(kWh/m2)]]*S279,0),"")</f>
        <v>1011.3810732379338</v>
      </c>
    </row>
    <row r="280" spans="1:38" ht="30" hidden="1" x14ac:dyDescent="0.25">
      <c r="A280" s="229">
        <v>1972</v>
      </c>
      <c r="B280" s="233">
        <v>45811</v>
      </c>
      <c r="C280" s="333">
        <v>2025</v>
      </c>
      <c r="D280" s="6">
        <f>YEAR(PA[[#This Row],[Date]])</f>
        <v>2025</v>
      </c>
      <c r="E280" s="334" t="s">
        <v>73</v>
      </c>
      <c r="F280" s="335" t="s">
        <v>73</v>
      </c>
      <c r="G280" s="323">
        <v>45809</v>
      </c>
      <c r="H280">
        <f>DAY(EOMONTH(PA[[#This Row],[Date]], 0))</f>
        <v>30</v>
      </c>
      <c r="I280" s="10">
        <v>0.22152777777777777</v>
      </c>
      <c r="J280" s="10">
        <v>0.7729166666666667</v>
      </c>
      <c r="K280" s="53">
        <f>IFERROR((PA[[#This Row],[Sunset Time (POA&lt;20 W/m2)]]-PA[[#This Row],[Sunrise Time (POA&gt;20 W/m2)]])*24,"")</f>
        <v>13.233333333333334</v>
      </c>
      <c r="L280" s="59" t="s">
        <v>564</v>
      </c>
      <c r="M280" s="59"/>
      <c r="N280" s="59"/>
      <c r="O280" s="59" t="s">
        <v>789</v>
      </c>
      <c r="P280" s="56"/>
      <c r="Q280" s="6"/>
      <c r="R28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280" s="53">
        <v>8976</v>
      </c>
      <c r="T280" s="90">
        <f>IFERROR(_xlfn.XLOOKUP(PA[[#This Row],[Affected Equipment ]],'Basic Data '!A:A,'Basic Data '!C:C),"")</f>
        <v>0.13280524344569289</v>
      </c>
      <c r="U280" s="59" t="s">
        <v>589</v>
      </c>
      <c r="V280" s="88"/>
      <c r="W280" s="273" t="s">
        <v>752</v>
      </c>
      <c r="X280" s="269">
        <v>0.51041666666666663</v>
      </c>
      <c r="Y280" s="269">
        <v>0.51458333333333328</v>
      </c>
      <c r="Z280" s="60">
        <v>0.51527777777777783</v>
      </c>
      <c r="AA280" s="60">
        <v>0.51527777777777783</v>
      </c>
      <c r="AB280" s="158">
        <f>IF(PA[[#This Row],[Acknowledgement Time ]]="NA","",(PA[[#This Row],[Acknowledgement Time ]]-PA[[#This Row],[Fault Time]])*24)</f>
        <v>9.9999999999999645E-2</v>
      </c>
      <c r="AC280" s="158">
        <f>IF(PA[[#This Row],[Work Start time on Fault]]="NA","",(PA[[#This Row],[Work Start time on Fault]]-PA[[#This Row],[Fault Time]])*24)</f>
        <v>0.11666666666666892</v>
      </c>
      <c r="AD280" s="112">
        <f>IF(PA[[#This Row],[Status]]="Open","",(PA[[#This Row],[Work Completion time on fault]]-PA[[#This Row],[Fault Time]])*24)</f>
        <v>0.11666666666666892</v>
      </c>
      <c r="AE280" s="111">
        <f>IFERROR((PA[[#This Row],[Work Completion time on fault]]-PA[[#This Row],[Fault Time]])*24,"")</f>
        <v>0.11666666666666892</v>
      </c>
      <c r="AF280" s="273" t="s">
        <v>752</v>
      </c>
      <c r="AG280" s="6" t="s">
        <v>1275</v>
      </c>
      <c r="AH280" s="53">
        <f>IFERROR(PA[[#This Row],[Breakdown Time]]*PA[[#This Row],[Plant Equivalent Weightage]],"")</f>
        <v>1.5493945068664468E-2</v>
      </c>
      <c r="AI280" s="59">
        <v>0.16</v>
      </c>
      <c r="AJ280" s="89">
        <f>IFERROR(IF(PA[[#This Row],[Lost PoA(kWh/m2)]]&gt;0,_xlfn.XLOOKUP(G280,'Modelling New'!$D:$D,'Modelling New'!$O:$O)*PA[[#This Row],[Lost PoA(kWh/m2)]]*S280,0),"")</f>
        <v>1091.6863335936769</v>
      </c>
    </row>
    <row r="281" spans="1:38" ht="30" hidden="1" x14ac:dyDescent="0.25">
      <c r="A281" s="229">
        <v>1973</v>
      </c>
      <c r="B281" s="233">
        <v>45811</v>
      </c>
      <c r="C281" s="333">
        <v>2025</v>
      </c>
      <c r="D281" s="6">
        <f>YEAR(PA[[#This Row],[Date]])</f>
        <v>2025</v>
      </c>
      <c r="E281" s="334" t="s">
        <v>73</v>
      </c>
      <c r="F281" s="335" t="s">
        <v>73</v>
      </c>
      <c r="G281" s="323">
        <v>45809</v>
      </c>
      <c r="H281">
        <f>DAY(EOMONTH(PA[[#This Row],[Date]], 0))</f>
        <v>30</v>
      </c>
      <c r="I281" s="10">
        <v>0.22152777777777777</v>
      </c>
      <c r="J281" s="10">
        <v>0.7729166666666667</v>
      </c>
      <c r="K281" s="53">
        <f>IFERROR((PA[[#This Row],[Sunset Time (POA&lt;20 W/m2)]]-PA[[#This Row],[Sunrise Time (POA&gt;20 W/m2)]])*24,"")</f>
        <v>13.233333333333334</v>
      </c>
      <c r="L281" s="59" t="s">
        <v>559</v>
      </c>
      <c r="M281" s="59"/>
      <c r="N281" s="59"/>
      <c r="O281" s="59" t="s">
        <v>789</v>
      </c>
      <c r="P281" s="56"/>
      <c r="Q281" s="6"/>
      <c r="R28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281" s="53">
        <v>8870.1</v>
      </c>
      <c r="T281" s="90">
        <f>IFERROR(_xlfn.XLOOKUP(PA[[#This Row],[Affected Equipment ]],'Basic Data '!A:A,'Basic Data '!C:C),"")</f>
        <v>0.125</v>
      </c>
      <c r="U281" s="59" t="s">
        <v>589</v>
      </c>
      <c r="V281" s="88"/>
      <c r="W281" s="273" t="s">
        <v>754</v>
      </c>
      <c r="X281" s="269">
        <v>0.51944444444444449</v>
      </c>
      <c r="Y281" s="269">
        <v>0.52361111111111114</v>
      </c>
      <c r="Z281" s="60">
        <v>0.52430555555555558</v>
      </c>
      <c r="AA281" s="60">
        <v>0.52430555555555558</v>
      </c>
      <c r="AB281" s="158">
        <f>IF(PA[[#This Row],[Acknowledgement Time ]]="NA","",(PA[[#This Row],[Acknowledgement Time ]]-PA[[#This Row],[Fault Time]])*24)</f>
        <v>9.9999999999999645E-2</v>
      </c>
      <c r="AC281" s="158">
        <f>IF(PA[[#This Row],[Work Start time on Fault]]="NA","",(PA[[#This Row],[Work Start time on Fault]]-PA[[#This Row],[Fault Time]])*24)</f>
        <v>0.11666666666666625</v>
      </c>
      <c r="AD281" s="112">
        <f>IF(PA[[#This Row],[Status]]="Open","",(PA[[#This Row],[Work Completion time on fault]]-PA[[#This Row],[Fault Time]])*24)</f>
        <v>0.11666666666666625</v>
      </c>
      <c r="AE281" s="111">
        <f>IFERROR((PA[[#This Row],[Work Completion time on fault]]-PA[[#This Row],[Fault Time]])*24,"")</f>
        <v>0.11666666666666625</v>
      </c>
      <c r="AF281" s="273" t="s">
        <v>754</v>
      </c>
      <c r="AG281" s="6" t="s">
        <v>1275</v>
      </c>
      <c r="AH281" s="53">
        <f>IFERROR(PA[[#This Row],[Breakdown Time]]*PA[[#This Row],[Plant Equivalent Weightage]],"")</f>
        <v>1.4583333333333282E-2</v>
      </c>
      <c r="AI281" s="59">
        <v>0.16</v>
      </c>
      <c r="AJ281" s="89">
        <f>IFERROR(IF(PA[[#This Row],[Lost PoA(kWh/m2)]]&gt;0,_xlfn.XLOOKUP(G281,'Modelling New'!$D:$D,'Modelling New'!$O:$O)*PA[[#This Row],[Lost PoA(kWh/m2)]]*S281,0),"")</f>
        <v>1078.8064781204628</v>
      </c>
    </row>
    <row r="282" spans="1:38" ht="30" hidden="1" x14ac:dyDescent="0.25">
      <c r="A282" s="229">
        <v>1974</v>
      </c>
      <c r="B282" s="233">
        <v>45811</v>
      </c>
      <c r="C282" s="333">
        <v>2025</v>
      </c>
      <c r="D282" s="6">
        <f>YEAR(PA[[#This Row],[Date]])</f>
        <v>2025</v>
      </c>
      <c r="E282" s="334" t="s">
        <v>73</v>
      </c>
      <c r="F282" s="335" t="s">
        <v>73</v>
      </c>
      <c r="G282" s="323">
        <v>45809</v>
      </c>
      <c r="H282">
        <f>DAY(EOMONTH(PA[[#This Row],[Date]], 0))</f>
        <v>30</v>
      </c>
      <c r="I282" s="10">
        <v>0.22152777777777777</v>
      </c>
      <c r="J282" s="10">
        <v>0.7729166666666667</v>
      </c>
      <c r="K282" s="53">
        <f>IFERROR((PA[[#This Row],[Sunset Time (POA&lt;20 W/m2)]]-PA[[#This Row],[Sunrise Time (POA&gt;20 W/m2)]])*24,"")</f>
        <v>13.233333333333334</v>
      </c>
      <c r="L282" s="59" t="s">
        <v>564</v>
      </c>
      <c r="M282" s="59"/>
      <c r="N282" s="59"/>
      <c r="O282" s="59" t="s">
        <v>789</v>
      </c>
      <c r="P282" s="56"/>
      <c r="Q282" s="6"/>
      <c r="R28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282" s="53">
        <v>8976</v>
      </c>
      <c r="T282" s="90">
        <f>IFERROR(_xlfn.XLOOKUP(PA[[#This Row],[Affected Equipment ]],'Basic Data '!A:A,'Basic Data '!C:C),"")</f>
        <v>0.13280524344569289</v>
      </c>
      <c r="U282" s="59" t="s">
        <v>589</v>
      </c>
      <c r="V282" s="88"/>
      <c r="W282" s="273" t="s">
        <v>752</v>
      </c>
      <c r="X282" s="269">
        <v>0.52013888888888893</v>
      </c>
      <c r="Y282" s="269">
        <v>0.52500000000000002</v>
      </c>
      <c r="Z282" s="60">
        <v>0.52430555555555558</v>
      </c>
      <c r="AA282" s="60">
        <v>0.52430555555555558</v>
      </c>
      <c r="AB282" s="158">
        <f>IF(PA[[#This Row],[Acknowledgement Time ]]="NA","",(PA[[#This Row],[Acknowledgement Time ]]-PA[[#This Row],[Fault Time]])*24)</f>
        <v>0.11666666666666625</v>
      </c>
      <c r="AC282" s="158">
        <f>IF(PA[[#This Row],[Work Start time on Fault]]="NA","",(PA[[#This Row],[Work Start time on Fault]]-PA[[#This Row],[Fault Time]])*24)</f>
        <v>9.9999999999999645E-2</v>
      </c>
      <c r="AD282" s="112">
        <f>IF(PA[[#This Row],[Status]]="Open","",(PA[[#This Row],[Work Completion time on fault]]-PA[[#This Row],[Fault Time]])*24)</f>
        <v>9.9999999999999645E-2</v>
      </c>
      <c r="AE282" s="111">
        <f>IFERROR((PA[[#This Row],[Work Completion time on fault]]-PA[[#This Row],[Fault Time]])*24,"")</f>
        <v>9.9999999999999645E-2</v>
      </c>
      <c r="AF282" s="273" t="s">
        <v>752</v>
      </c>
      <c r="AG282" s="6" t="s">
        <v>1275</v>
      </c>
      <c r="AH282" s="53">
        <f>IFERROR(PA[[#This Row],[Breakdown Time]]*PA[[#This Row],[Plant Equivalent Weightage]],"")</f>
        <v>1.3280524344569241E-2</v>
      </c>
      <c r="AI282" s="59">
        <v>0.14000000000000001</v>
      </c>
      <c r="AJ282" s="89">
        <f>IFERROR(IF(PA[[#This Row],[Lost PoA(kWh/m2)]]&gt;0,_xlfn.XLOOKUP(G282,'Modelling New'!$D:$D,'Modelling New'!$O:$O)*PA[[#This Row],[Lost PoA(kWh/m2)]]*S282,0),"")</f>
        <v>955.22554189446748</v>
      </c>
    </row>
    <row r="283" spans="1:38" ht="30" hidden="1" x14ac:dyDescent="0.25">
      <c r="A283" s="229">
        <v>1975</v>
      </c>
      <c r="B283" s="233">
        <v>45811</v>
      </c>
      <c r="C283" s="333">
        <v>2025</v>
      </c>
      <c r="D283" s="6">
        <f>YEAR(PA[[#This Row],[Date]])</f>
        <v>2025</v>
      </c>
      <c r="E283" s="334" t="s">
        <v>73</v>
      </c>
      <c r="F283" s="335" t="s">
        <v>73</v>
      </c>
      <c r="G283" s="323">
        <v>45809</v>
      </c>
      <c r="H283">
        <f>DAY(EOMONTH(PA[[#This Row],[Date]], 0))</f>
        <v>30</v>
      </c>
      <c r="I283" s="10">
        <v>0.22152777777777777</v>
      </c>
      <c r="J283" s="10">
        <v>0.7729166666666667</v>
      </c>
      <c r="K283" s="53">
        <f>IFERROR((PA[[#This Row],[Sunset Time (POA&lt;20 W/m2)]]-PA[[#This Row],[Sunrise Time (POA&gt;20 W/m2)]])*24,"")</f>
        <v>13.233333333333334</v>
      </c>
      <c r="L283" s="59" t="s">
        <v>615</v>
      </c>
      <c r="M283" s="59"/>
      <c r="N283" s="59"/>
      <c r="O283" s="59" t="s">
        <v>789</v>
      </c>
      <c r="P283" s="56"/>
      <c r="Q283" s="6"/>
      <c r="R28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BLK6MVP</v>
      </c>
      <c r="S283" s="53">
        <v>8976</v>
      </c>
      <c r="T283" s="90">
        <f>IFERROR(_xlfn.XLOOKUP(PA[[#This Row],[Affected Equipment ]],'Basic Data '!A:A,'Basic Data '!C:C),"")</f>
        <v>0.13447191011235954</v>
      </c>
      <c r="U283" s="59" t="s">
        <v>589</v>
      </c>
      <c r="V283" s="88"/>
      <c r="W283" s="273" t="s">
        <v>753</v>
      </c>
      <c r="X283" s="269">
        <v>0.52013888888888893</v>
      </c>
      <c r="Y283" s="269">
        <v>0.52638888888888891</v>
      </c>
      <c r="Z283" s="60">
        <v>0.52430555555555558</v>
      </c>
      <c r="AA283" s="60">
        <v>0.52430555555555558</v>
      </c>
      <c r="AB283" s="158">
        <f>IF(PA[[#This Row],[Acknowledgement Time ]]="NA","",(PA[[#This Row],[Acknowledgement Time ]]-PA[[#This Row],[Fault Time]])*24)</f>
        <v>0.14999999999999947</v>
      </c>
      <c r="AC283" s="158">
        <f>IF(PA[[#This Row],[Work Start time on Fault]]="NA","",(PA[[#This Row],[Work Start time on Fault]]-PA[[#This Row],[Fault Time]])*24)</f>
        <v>9.9999999999999645E-2</v>
      </c>
      <c r="AD283" s="112">
        <f>IF(PA[[#This Row],[Status]]="Open","",(PA[[#This Row],[Work Completion time on fault]]-PA[[#This Row],[Fault Time]])*24)</f>
        <v>9.9999999999999645E-2</v>
      </c>
      <c r="AE283" s="111">
        <f>IFERROR((PA[[#This Row],[Work Completion time on fault]]-PA[[#This Row],[Fault Time]])*24,"")</f>
        <v>9.9999999999999645E-2</v>
      </c>
      <c r="AF283" s="273" t="s">
        <v>753</v>
      </c>
      <c r="AG283" s="6" t="s">
        <v>1275</v>
      </c>
      <c r="AH283" s="53">
        <f>IFERROR(PA[[#This Row],[Breakdown Time]]*PA[[#This Row],[Plant Equivalent Weightage]],"")</f>
        <v>1.3447191011235905E-2</v>
      </c>
      <c r="AI283" s="59">
        <v>0.14499999999999999</v>
      </c>
      <c r="AJ283" s="89">
        <f>IFERROR(IF(PA[[#This Row],[Lost PoA(kWh/m2)]]&gt;0,_xlfn.XLOOKUP(G283,'Modelling New'!$D:$D,'Modelling New'!$O:$O)*PA[[#This Row],[Lost PoA(kWh/m2)]]*S283,0),"")</f>
        <v>989.34073981926974</v>
      </c>
    </row>
    <row r="284" spans="1:38" ht="30" hidden="1" x14ac:dyDescent="0.25">
      <c r="A284" s="229">
        <v>1976</v>
      </c>
      <c r="B284" s="233">
        <v>45811</v>
      </c>
      <c r="C284" s="333">
        <v>2025</v>
      </c>
      <c r="D284" s="6">
        <f>YEAR(PA[[#This Row],[Date]])</f>
        <v>2025</v>
      </c>
      <c r="E284" s="334" t="s">
        <v>73</v>
      </c>
      <c r="F284" s="335" t="s">
        <v>73</v>
      </c>
      <c r="G284" s="323">
        <v>45809</v>
      </c>
      <c r="H284">
        <f>DAY(EOMONTH(PA[[#This Row],[Date]], 0))</f>
        <v>30</v>
      </c>
      <c r="I284" s="10">
        <v>0.22152777777777777</v>
      </c>
      <c r="J284" s="10">
        <v>0.7729166666666667</v>
      </c>
      <c r="K284" s="53">
        <f>IFERROR((PA[[#This Row],[Sunset Time (POA&lt;20 W/m2)]]-PA[[#This Row],[Sunrise Time (POA&gt;20 W/m2)]])*24,"")</f>
        <v>13.233333333333334</v>
      </c>
      <c r="L284" s="59" t="s">
        <v>606</v>
      </c>
      <c r="M284" s="59" t="s">
        <v>588</v>
      </c>
      <c r="N284" s="59"/>
      <c r="O284" s="59"/>
      <c r="P284" s="56"/>
      <c r="Q284" s="6"/>
      <c r="R28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BLK7LT1</v>
      </c>
      <c r="S284" s="53">
        <v>4071.75</v>
      </c>
      <c r="T284" s="90">
        <f>IFERROR(_xlfn.XLOOKUP(PA[[#This Row],[Affected Equipment ]],'Basic Data '!A:A,'Basic Data '!C:C),"")</f>
        <v>4.9409737827715357E-2</v>
      </c>
      <c r="U284" s="59" t="s">
        <v>573</v>
      </c>
      <c r="V284" s="88"/>
      <c r="W284" s="273" t="s">
        <v>757</v>
      </c>
      <c r="X284" s="269">
        <v>0.51736111111111116</v>
      </c>
      <c r="Y284" s="269">
        <v>0.52222222222222225</v>
      </c>
      <c r="Z284" s="60">
        <v>0.52430555555555558</v>
      </c>
      <c r="AA284" s="60">
        <v>0.52430555555555558</v>
      </c>
      <c r="AB284" s="158">
        <f>IF(PA[[#This Row],[Acknowledgement Time ]]="NA","",(PA[[#This Row],[Acknowledgement Time ]]-PA[[#This Row],[Fault Time]])*24)</f>
        <v>0.11666666666666625</v>
      </c>
      <c r="AC284" s="158">
        <f>IF(PA[[#This Row],[Work Start time on Fault]]="NA","",(PA[[#This Row],[Work Start time on Fault]]-PA[[#This Row],[Fault Time]])*24)</f>
        <v>0.16666666666666607</v>
      </c>
      <c r="AD284" s="112">
        <f>IF(PA[[#This Row],[Status]]="Open","",(PA[[#This Row],[Work Completion time on fault]]-PA[[#This Row],[Fault Time]])*24)</f>
        <v>0.16666666666666607</v>
      </c>
      <c r="AE284" s="111">
        <f>IFERROR((PA[[#This Row],[Work Completion time on fault]]-PA[[#This Row],[Fault Time]])*24,"")</f>
        <v>0.16666666666666607</v>
      </c>
      <c r="AF284" s="273" t="s">
        <v>757</v>
      </c>
      <c r="AG284" s="6" t="s">
        <v>1275</v>
      </c>
      <c r="AH284" s="53">
        <f>IFERROR(PA[[#This Row],[Breakdown Time]]*PA[[#This Row],[Plant Equivalent Weightage]],"")</f>
        <v>8.2349563046191961E-3</v>
      </c>
      <c r="AI284" s="59">
        <v>0.13</v>
      </c>
      <c r="AJ284" s="89">
        <f>IFERROR(IF(PA[[#This Row],[Lost PoA(kWh/m2)]]&gt;0,_xlfn.XLOOKUP(G284,'Modelling New'!$D:$D,'Modelling New'!$O:$O)*PA[[#This Row],[Lost PoA(kWh/m2)]]*S284,0),"")</f>
        <v>402.36435894698855</v>
      </c>
    </row>
    <row r="285" spans="1:38" ht="30" hidden="1" x14ac:dyDescent="0.25">
      <c r="A285" s="229">
        <v>1977</v>
      </c>
      <c r="B285" s="233">
        <v>45811</v>
      </c>
      <c r="C285" s="333">
        <v>2025</v>
      </c>
      <c r="D285" s="6">
        <f>YEAR(PA[[#This Row],[Date]])</f>
        <v>2025</v>
      </c>
      <c r="E285" s="334" t="s">
        <v>73</v>
      </c>
      <c r="F285" s="335" t="s">
        <v>73</v>
      </c>
      <c r="G285" s="323">
        <v>45809</v>
      </c>
      <c r="H285">
        <f>DAY(EOMONTH(PA[[#This Row],[Date]], 0))</f>
        <v>30</v>
      </c>
      <c r="I285" s="10">
        <v>0.22152777777777777</v>
      </c>
      <c r="J285" s="10">
        <v>0.7729166666666667</v>
      </c>
      <c r="K285" s="53">
        <f>IFERROR((PA[[#This Row],[Sunset Time (POA&lt;20 W/m2)]]-PA[[#This Row],[Sunrise Time (POA&gt;20 W/m2)]])*24,"")</f>
        <v>13.233333333333334</v>
      </c>
      <c r="L285" s="59" t="s">
        <v>587</v>
      </c>
      <c r="M285" s="59"/>
      <c r="N285" s="59"/>
      <c r="O285" s="59" t="s">
        <v>565</v>
      </c>
      <c r="P285" s="56"/>
      <c r="Q285" s="6"/>
      <c r="R28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BLK1INV1</v>
      </c>
      <c r="S285" s="53">
        <v>289.25</v>
      </c>
      <c r="T285" s="90">
        <f>IFERROR(_xlfn.XLOOKUP(PA[[#This Row],[Affected Equipment ]],'Basic Data '!A:A,'Basic Data '!C:C),"")</f>
        <v>4.3333333333333331E-3</v>
      </c>
      <c r="U285" s="59" t="s">
        <v>566</v>
      </c>
      <c r="V285" s="88"/>
      <c r="W285" s="273" t="s">
        <v>758</v>
      </c>
      <c r="X285" s="269">
        <v>0.51180555555555551</v>
      </c>
      <c r="Y285" s="269">
        <v>0.55000000000000004</v>
      </c>
      <c r="Z285" s="60">
        <v>0.51666666666666672</v>
      </c>
      <c r="AA285" s="60">
        <v>0.51666666666666672</v>
      </c>
      <c r="AB285" s="158">
        <f>IF(PA[[#This Row],[Acknowledgement Time ]]="NA","",(PA[[#This Row],[Acknowledgement Time ]]-PA[[#This Row],[Fault Time]])*24)</f>
        <v>0.91666666666666874</v>
      </c>
      <c r="AC285" s="158">
        <f>IF(PA[[#This Row],[Work Start time on Fault]]="NA","",(PA[[#This Row],[Work Start time on Fault]]-PA[[#This Row],[Fault Time]])*24)</f>
        <v>0.11666666666666892</v>
      </c>
      <c r="AD285" s="112">
        <f>IF(PA[[#This Row],[Status]]="Open","",(PA[[#This Row],[Work Completion time on fault]]-PA[[#This Row],[Fault Time]])*24)</f>
        <v>0.11666666666666892</v>
      </c>
      <c r="AE285" s="111">
        <f>IFERROR((PA[[#This Row],[Work Completion time on fault]]-PA[[#This Row],[Fault Time]])*24,"")</f>
        <v>0.11666666666666892</v>
      </c>
      <c r="AF285" s="273" t="s">
        <v>758</v>
      </c>
      <c r="AG285" s="6" t="s">
        <v>1275</v>
      </c>
      <c r="AH285" s="53">
        <f>IFERROR(PA[[#This Row],[Breakdown Time]]*PA[[#This Row],[Plant Equivalent Weightage]],"")</f>
        <v>5.0555555555556529E-4</v>
      </c>
      <c r="AI285" s="59">
        <v>0.44</v>
      </c>
      <c r="AJ285" s="89">
        <f>IFERROR(IF(PA[[#This Row],[Lost PoA(kWh/m2)]]&gt;0,_xlfn.XLOOKUP(G285,'Modelling New'!$D:$D,'Modelling New'!$O:$O)*PA[[#This Row],[Lost PoA(kWh/m2)]]*S285,0),"")</f>
        <v>96.743343134795069</v>
      </c>
      <c r="AK285" s="89" t="str">
        <f>IFERROR(IF(PA[[#This Row],[Approximate Energy Loss (KWh)]]&gt;0,_xlfn.XLOOKUP(H285,'Modelling New'!$D:$D,'Modelling New'!$O:$O)*PA[[#This Row],[Approximate Energy Loss (KWh)]]*T285,0),"")</f>
        <v/>
      </c>
    </row>
    <row r="286" spans="1:38" s="256" customFormat="1" ht="30" hidden="1" x14ac:dyDescent="0.25">
      <c r="A286" s="229">
        <v>1978</v>
      </c>
      <c r="B286" s="233">
        <v>45811</v>
      </c>
      <c r="C286" s="333">
        <v>2025</v>
      </c>
      <c r="D286" s="6">
        <f>YEAR(PA[[#This Row],[Date]])</f>
        <v>2025</v>
      </c>
      <c r="E286" s="334" t="s">
        <v>73</v>
      </c>
      <c r="F286" s="335" t="s">
        <v>73</v>
      </c>
      <c r="G286" s="323">
        <v>45809</v>
      </c>
      <c r="H286">
        <f>DAY(EOMONTH(PA[[#This Row],[Date]], 0))</f>
        <v>30</v>
      </c>
      <c r="I286" s="10">
        <v>0.22152777777777777</v>
      </c>
      <c r="J286" s="10">
        <v>0.7729166666666667</v>
      </c>
      <c r="K286" s="53">
        <f>IFERROR((PA[[#This Row],[Sunset Time (POA&lt;20 W/m2)]]-PA[[#This Row],[Sunrise Time (POA&gt;20 W/m2)]])*24,"")</f>
        <v>13.233333333333334</v>
      </c>
      <c r="L286" s="59" t="s">
        <v>587</v>
      </c>
      <c r="M286" s="59"/>
      <c r="N286" s="59"/>
      <c r="O286" s="59" t="s">
        <v>571</v>
      </c>
      <c r="P286" s="56"/>
      <c r="Q286" s="6"/>
      <c r="R28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BLK1INV2</v>
      </c>
      <c r="S286" s="53">
        <v>289.25</v>
      </c>
      <c r="T286" s="90">
        <f>IFERROR(_xlfn.XLOOKUP(PA[[#This Row],[Affected Equipment ]],'Basic Data '!A:A,'Basic Data '!C:C),"")</f>
        <v>4.3333333333333331E-3</v>
      </c>
      <c r="U286" s="59" t="s">
        <v>566</v>
      </c>
      <c r="V286" s="88"/>
      <c r="W286" s="273" t="s">
        <v>758</v>
      </c>
      <c r="X286" s="269">
        <v>0.51180555555555551</v>
      </c>
      <c r="Y286" s="269">
        <v>0.55000000000000004</v>
      </c>
      <c r="Z286" s="60">
        <v>0.51666666666666672</v>
      </c>
      <c r="AA286" s="60">
        <v>0.51666666666666672</v>
      </c>
      <c r="AB286" s="158">
        <f>IF(PA[[#This Row],[Acknowledgement Time ]]="NA","",(PA[[#This Row],[Acknowledgement Time ]]-PA[[#This Row],[Fault Time]])*24)</f>
        <v>0.91666666666666874</v>
      </c>
      <c r="AC286" s="158">
        <f>IF(PA[[#This Row],[Work Start time on Fault]]="NA","",(PA[[#This Row],[Work Start time on Fault]]-PA[[#This Row],[Fault Time]])*24)</f>
        <v>0.11666666666666892</v>
      </c>
      <c r="AD286" s="112">
        <f>IF(PA[[#This Row],[Status]]="Open","",(PA[[#This Row],[Work Completion time on fault]]-PA[[#This Row],[Fault Time]])*24)</f>
        <v>0.11666666666666892</v>
      </c>
      <c r="AE286" s="111">
        <f>IFERROR((PA[[#This Row],[Work Completion time on fault]]-PA[[#This Row],[Fault Time]])*24,"")</f>
        <v>0.11666666666666892</v>
      </c>
      <c r="AF286" s="273" t="s">
        <v>758</v>
      </c>
      <c r="AG286" s="6" t="s">
        <v>1275</v>
      </c>
      <c r="AH286" s="53">
        <f>IFERROR(PA[[#This Row],[Breakdown Time]]*PA[[#This Row],[Plant Equivalent Weightage]],"")</f>
        <v>5.0555555555556529E-4</v>
      </c>
      <c r="AI286" s="59">
        <v>0.44</v>
      </c>
      <c r="AJ286" s="89">
        <f>IFERROR(IF(PA[[#This Row],[Lost PoA(kWh/m2)]]&gt;0,_xlfn.XLOOKUP(G286,'Modelling New'!$D:$D,'Modelling New'!$O:$O)*PA[[#This Row],[Lost PoA(kWh/m2)]]*S286,0),"")</f>
        <v>96.743343134795069</v>
      </c>
      <c r="AK286" s="89" t="str">
        <f>IFERROR(IF(PA[[#This Row],[Approximate Energy Loss (KWh)]]&gt;0,_xlfn.XLOOKUP(H286,'Modelling New'!$D:$D,'Modelling New'!$O:$O)*PA[[#This Row],[Approximate Energy Loss (KWh)]]*T286,0),"")</f>
        <v/>
      </c>
      <c r="AL286"/>
    </row>
    <row r="287" spans="1:38" ht="30" hidden="1" x14ac:dyDescent="0.25">
      <c r="A287" s="229">
        <v>1979</v>
      </c>
      <c r="B287" s="233">
        <v>45811</v>
      </c>
      <c r="C287" s="333">
        <v>2025</v>
      </c>
      <c r="D287" s="6">
        <f>YEAR(PA[[#This Row],[Date]])</f>
        <v>2025</v>
      </c>
      <c r="E287" s="334" t="s">
        <v>73</v>
      </c>
      <c r="F287" s="335" t="s">
        <v>73</v>
      </c>
      <c r="G287" s="323">
        <v>45809</v>
      </c>
      <c r="H287">
        <f>DAY(EOMONTH(PA[[#This Row],[Date]], 0))</f>
        <v>30</v>
      </c>
      <c r="I287" s="10">
        <v>0.22152777777777777</v>
      </c>
      <c r="J287" s="10">
        <v>0.7729166666666667</v>
      </c>
      <c r="K287" s="53">
        <f>IFERROR((PA[[#This Row],[Sunset Time (POA&lt;20 W/m2)]]-PA[[#This Row],[Sunrise Time (POA&gt;20 W/m2)]])*24,"")</f>
        <v>13.233333333333334</v>
      </c>
      <c r="L287" s="59" t="s">
        <v>587</v>
      </c>
      <c r="M287" s="59"/>
      <c r="N287" s="59"/>
      <c r="O287" s="59" t="s">
        <v>607</v>
      </c>
      <c r="P287" s="56"/>
      <c r="Q287" s="6"/>
      <c r="R28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BLK1INV3</v>
      </c>
      <c r="S287" s="53">
        <v>289.25</v>
      </c>
      <c r="T287" s="90">
        <f>IFERROR(_xlfn.XLOOKUP(PA[[#This Row],[Affected Equipment ]],'Basic Data '!A:A,'Basic Data '!C:C),"")</f>
        <v>4.0000000000000001E-3</v>
      </c>
      <c r="U287" s="59" t="s">
        <v>566</v>
      </c>
      <c r="V287" s="88"/>
      <c r="W287" s="273" t="s">
        <v>758</v>
      </c>
      <c r="X287" s="269">
        <v>0.51180555555555551</v>
      </c>
      <c r="Y287" s="269">
        <v>0.55069444444444449</v>
      </c>
      <c r="Z287" s="60">
        <v>0.51666666666666672</v>
      </c>
      <c r="AA287" s="60">
        <v>0.51666666666666672</v>
      </c>
      <c r="AB287" s="158">
        <f>IF(PA[[#This Row],[Acknowledgement Time ]]="NA","",(PA[[#This Row],[Acknowledgement Time ]]-PA[[#This Row],[Fault Time]])*24)</f>
        <v>0.93333333333333535</v>
      </c>
      <c r="AC287" s="158">
        <f>IF(PA[[#This Row],[Work Start time on Fault]]="NA","",(PA[[#This Row],[Work Start time on Fault]]-PA[[#This Row],[Fault Time]])*24)</f>
        <v>0.11666666666666892</v>
      </c>
      <c r="AD287" s="112">
        <f>IF(PA[[#This Row],[Status]]="Open","",(PA[[#This Row],[Work Completion time on fault]]-PA[[#This Row],[Fault Time]])*24)</f>
        <v>0.11666666666666892</v>
      </c>
      <c r="AE287" s="111">
        <f>IFERROR((PA[[#This Row],[Work Completion time on fault]]-PA[[#This Row],[Fault Time]])*24,"")</f>
        <v>0.11666666666666892</v>
      </c>
      <c r="AF287" s="273" t="s">
        <v>758</v>
      </c>
      <c r="AG287" s="6" t="s">
        <v>1275</v>
      </c>
      <c r="AH287" s="53">
        <f>IFERROR(PA[[#This Row],[Breakdown Time]]*PA[[#This Row],[Plant Equivalent Weightage]],"")</f>
        <v>4.6666666666667566E-4</v>
      </c>
      <c r="AI287" s="245">
        <v>0.44</v>
      </c>
      <c r="AJ287" s="89">
        <f>IFERROR(IF(PA[[#This Row],[Lost PoA(kWh/m2)]]&gt;0,_xlfn.XLOOKUP(G287,'Modelling New'!$D:$D,'Modelling New'!$O:$O)*PA[[#This Row],[Lost PoA(kWh/m2)]]*S287,0),"")</f>
        <v>96.743343134795069</v>
      </c>
      <c r="AK287" s="89" t="str">
        <f>IFERROR(IF(PA[[#This Row],[Approximate Energy Loss (KWh)]]&gt;0,_xlfn.XLOOKUP(H287,'Modelling New'!$D:$D,'Modelling New'!$O:$O)*PA[[#This Row],[Approximate Energy Loss (KWh)]]*T287,0),"")</f>
        <v/>
      </c>
    </row>
    <row r="288" spans="1:38" ht="30" hidden="1" x14ac:dyDescent="0.25">
      <c r="A288" s="229">
        <v>1980</v>
      </c>
      <c r="B288" s="233">
        <v>45811</v>
      </c>
      <c r="C288" s="333">
        <v>2025</v>
      </c>
      <c r="D288" s="6">
        <f>YEAR(PA[[#This Row],[Date]])</f>
        <v>2025</v>
      </c>
      <c r="E288" s="334" t="s">
        <v>73</v>
      </c>
      <c r="F288" s="335" t="s">
        <v>73</v>
      </c>
      <c r="G288" s="323">
        <v>45809</v>
      </c>
      <c r="H288">
        <f>DAY(EOMONTH(PA[[#This Row],[Date]], 0))</f>
        <v>30</v>
      </c>
      <c r="I288" s="10">
        <v>0.22152777777777777</v>
      </c>
      <c r="J288" s="10">
        <v>0.7729166666666667</v>
      </c>
      <c r="K288" s="53">
        <f>IFERROR((PA[[#This Row],[Sunset Time (POA&lt;20 W/m2)]]-PA[[#This Row],[Sunrise Time (POA&gt;20 W/m2)]])*24,"")</f>
        <v>13.233333333333334</v>
      </c>
      <c r="L288" s="59" t="s">
        <v>559</v>
      </c>
      <c r="M288" s="59"/>
      <c r="N288" s="59"/>
      <c r="O288" s="59" t="s">
        <v>565</v>
      </c>
      <c r="P288" s="56"/>
      <c r="Q288" s="6"/>
      <c r="R28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v>
      </c>
      <c r="S288" s="53">
        <v>243.27500000000001</v>
      </c>
      <c r="T288" s="90">
        <f>IFERROR(_xlfn.XLOOKUP(PA[[#This Row],[Affected Equipment ]],'Basic Data '!A:A,'Basic Data '!C:C),"")</f>
        <v>4.4999999999999997E-3</v>
      </c>
      <c r="U288" s="59" t="s">
        <v>566</v>
      </c>
      <c r="V288" s="88"/>
      <c r="W288" s="273" t="s">
        <v>758</v>
      </c>
      <c r="X288" s="269">
        <v>0.51111111111111107</v>
      </c>
      <c r="Y288" s="269">
        <v>0.54097222222222219</v>
      </c>
      <c r="Z288" s="60">
        <v>0.51666666666666672</v>
      </c>
      <c r="AA288" s="60">
        <v>0.51666666666666672</v>
      </c>
      <c r="AB288" s="158">
        <f>IF(PA[[#This Row],[Acknowledgement Time ]]="NA","",(PA[[#This Row],[Acknowledgement Time ]]-PA[[#This Row],[Fault Time]])*24)</f>
        <v>0.71666666666666679</v>
      </c>
      <c r="AC288" s="158">
        <f>IF(PA[[#This Row],[Work Start time on Fault]]="NA","",(PA[[#This Row],[Work Start time on Fault]]-PA[[#This Row],[Fault Time]])*24)</f>
        <v>0.13333333333333552</v>
      </c>
      <c r="AD288" s="112">
        <f>IF(PA[[#This Row],[Status]]="Open","",(PA[[#This Row],[Work Completion time on fault]]-PA[[#This Row],[Fault Time]])*24)</f>
        <v>0.13333333333333552</v>
      </c>
      <c r="AE288" s="111">
        <f>IFERROR((PA[[#This Row],[Work Completion time on fault]]-PA[[#This Row],[Fault Time]])*24,"")</f>
        <v>0.13333333333333552</v>
      </c>
      <c r="AF288" s="273" t="s">
        <v>758</v>
      </c>
      <c r="AG288" s="6" t="s">
        <v>1275</v>
      </c>
      <c r="AH288" s="53">
        <f>IFERROR(PA[[#This Row],[Breakdown Time]]*PA[[#This Row],[Plant Equivalent Weightage]],"")</f>
        <v>6.0000000000000981E-4</v>
      </c>
      <c r="AI288" s="59">
        <v>0.46</v>
      </c>
      <c r="AJ288" s="89">
        <f>IFERROR(IF(PA[[#This Row],[Lost PoA(kWh/m2)]]&gt;0,_xlfn.XLOOKUP(G288,'Modelling New'!$D:$D,'Modelling New'!$O:$O)*PA[[#This Row],[Lost PoA(kWh/m2)]]*S288,0),"")</f>
        <v>85.064892971744669</v>
      </c>
      <c r="AK288" s="89" t="str">
        <f>IFERROR(IF(PA[[#This Row],[Approximate Energy Loss (KWh)]]&gt;0,_xlfn.XLOOKUP(H288,'Modelling New'!$D:$D,'Modelling New'!$O:$O)*PA[[#This Row],[Approximate Energy Loss (KWh)]]*T288,0),"")</f>
        <v/>
      </c>
    </row>
    <row r="289" spans="1:38" ht="30" hidden="1" x14ac:dyDescent="0.25">
      <c r="A289" s="229">
        <v>1981</v>
      </c>
      <c r="B289" s="233">
        <v>45811</v>
      </c>
      <c r="C289" s="333">
        <v>2025</v>
      </c>
      <c r="D289" s="6">
        <f>YEAR(PA[[#This Row],[Date]])</f>
        <v>2025</v>
      </c>
      <c r="E289" s="334" t="s">
        <v>73</v>
      </c>
      <c r="F289" s="335" t="s">
        <v>73</v>
      </c>
      <c r="G289" s="323">
        <v>45809</v>
      </c>
      <c r="H289">
        <f>DAY(EOMONTH(PA[[#This Row],[Date]], 0))</f>
        <v>30</v>
      </c>
      <c r="I289" s="10">
        <v>0.22152777777777777</v>
      </c>
      <c r="J289" s="10">
        <v>0.7729166666666667</v>
      </c>
      <c r="K289" s="53">
        <f>IFERROR((PA[[#This Row],[Sunset Time (POA&lt;20 W/m2)]]-PA[[#This Row],[Sunrise Time (POA&gt;20 W/m2)]])*24,"")</f>
        <v>13.233333333333334</v>
      </c>
      <c r="L289" s="59" t="s">
        <v>559</v>
      </c>
      <c r="M289" s="59"/>
      <c r="N289" s="59"/>
      <c r="O289" s="59" t="s">
        <v>571</v>
      </c>
      <c r="P289" s="56"/>
      <c r="Q289" s="6"/>
      <c r="R28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v>
      </c>
      <c r="S289" s="53">
        <v>334.55</v>
      </c>
      <c r="T289" s="90">
        <f>IFERROR(_xlfn.XLOOKUP(PA[[#This Row],[Affected Equipment ]],'Basic Data '!A:A,'Basic Data '!C:C),"")</f>
        <v>3.3333333333333335E-3</v>
      </c>
      <c r="U289" s="59" t="s">
        <v>566</v>
      </c>
      <c r="V289" s="88"/>
      <c r="W289" s="273" t="s">
        <v>758</v>
      </c>
      <c r="X289" s="269">
        <v>0.51111111111111107</v>
      </c>
      <c r="Y289" s="269">
        <v>0.54513888888888884</v>
      </c>
      <c r="Z289" s="60">
        <v>0.51666666666666672</v>
      </c>
      <c r="AA289" s="60">
        <v>0.51666666666666672</v>
      </c>
      <c r="AB289" s="158">
        <f>IF(PA[[#This Row],[Acknowledgement Time ]]="NA","",(PA[[#This Row],[Acknowledgement Time ]]-PA[[#This Row],[Fault Time]])*24)</f>
        <v>0.81666666666666643</v>
      </c>
      <c r="AC289" s="158">
        <f>IF(PA[[#This Row],[Work Start time on Fault]]="NA","",(PA[[#This Row],[Work Start time on Fault]]-PA[[#This Row],[Fault Time]])*24)</f>
        <v>0.13333333333333552</v>
      </c>
      <c r="AD289" s="112">
        <f>IF(PA[[#This Row],[Status]]="Open","",(PA[[#This Row],[Work Completion time on fault]]-PA[[#This Row],[Fault Time]])*24)</f>
        <v>0.13333333333333552</v>
      </c>
      <c r="AE289" s="111">
        <f>IFERROR((PA[[#This Row],[Work Completion time on fault]]-PA[[#This Row],[Fault Time]])*24,"")</f>
        <v>0.13333333333333552</v>
      </c>
      <c r="AF289" s="273" t="s">
        <v>758</v>
      </c>
      <c r="AG289" s="6" t="s">
        <v>1275</v>
      </c>
      <c r="AH289" s="53">
        <f>IFERROR(PA[[#This Row],[Breakdown Time]]*PA[[#This Row],[Plant Equivalent Weightage]],"")</f>
        <v>4.4444444444445178E-4</v>
      </c>
      <c r="AI289" s="59">
        <v>0.46</v>
      </c>
      <c r="AJ289" s="89">
        <f>IFERROR(IF(PA[[#This Row],[Lost PoA(kWh/m2)]]&gt;0,_xlfn.XLOOKUP(G289,'Modelling New'!$D:$D,'Modelling New'!$O:$O)*PA[[#This Row],[Lost PoA(kWh/m2)]]*S289,0),"")</f>
        <v>116.98061841001821</v>
      </c>
      <c r="AK289" s="89" t="str">
        <f>IFERROR(IF(PA[[#This Row],[Approximate Energy Loss (KWh)]]&gt;0,_xlfn.XLOOKUP(H289,'Modelling New'!$D:$D,'Modelling New'!$O:$O)*PA[[#This Row],[Approximate Energy Loss (KWh)]]*T289,0),"")</f>
        <v/>
      </c>
    </row>
    <row r="290" spans="1:38" ht="30" hidden="1" x14ac:dyDescent="0.25">
      <c r="A290" s="229">
        <v>1982</v>
      </c>
      <c r="B290" s="233">
        <v>45811</v>
      </c>
      <c r="C290" s="333">
        <v>2025</v>
      </c>
      <c r="D290" s="6">
        <f>YEAR(PA[[#This Row],[Date]])</f>
        <v>2025</v>
      </c>
      <c r="E290" s="334" t="s">
        <v>73</v>
      </c>
      <c r="F290" s="335" t="s">
        <v>73</v>
      </c>
      <c r="G290" s="323">
        <v>45809</v>
      </c>
      <c r="H290">
        <f>DAY(EOMONTH(PA[[#This Row],[Date]], 0))</f>
        <v>30</v>
      </c>
      <c r="I290" s="10">
        <v>0.22152777777777777</v>
      </c>
      <c r="J290" s="10">
        <v>0.7729166666666667</v>
      </c>
      <c r="K290" s="53">
        <f>IFERROR((PA[[#This Row],[Sunset Time (POA&lt;20 W/m2)]]-PA[[#This Row],[Sunrise Time (POA&gt;20 W/m2)]])*24,"")</f>
        <v>13.233333333333334</v>
      </c>
      <c r="L290" s="59" t="s">
        <v>564</v>
      </c>
      <c r="M290" s="59"/>
      <c r="N290" s="59"/>
      <c r="O290" s="59" t="s">
        <v>663</v>
      </c>
      <c r="P290" s="56"/>
      <c r="Q290" s="6"/>
      <c r="R29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BLK5INV16</v>
      </c>
      <c r="S290" s="53">
        <v>289.25</v>
      </c>
      <c r="T290" s="90">
        <f>IFERROR(_xlfn.XLOOKUP(PA[[#This Row],[Affected Equipment ]],'Basic Data '!A:A,'Basic Data '!C:C),"")</f>
        <v>4.3333333333333331E-3</v>
      </c>
      <c r="U290" s="59" t="s">
        <v>566</v>
      </c>
      <c r="V290" s="88"/>
      <c r="W290" s="273" t="s">
        <v>758</v>
      </c>
      <c r="X290" s="269">
        <v>0.51388888888888884</v>
      </c>
      <c r="Y290" s="269">
        <v>0.54861111111111116</v>
      </c>
      <c r="Z290" s="60">
        <v>0.51666666666666672</v>
      </c>
      <c r="AA290" s="60">
        <v>0.51666666666666672</v>
      </c>
      <c r="AB290" s="158">
        <f>IF(PA[[#This Row],[Acknowledgement Time ]]="NA","",(PA[[#This Row],[Acknowledgement Time ]]-PA[[#This Row],[Fault Time]])*24)</f>
        <v>0.8333333333333357</v>
      </c>
      <c r="AC290" s="158">
        <f>IF(PA[[#This Row],[Work Start time on Fault]]="NA","",(PA[[#This Row],[Work Start time on Fault]]-PA[[#This Row],[Fault Time]])*24)</f>
        <v>6.6666666666669094E-2</v>
      </c>
      <c r="AD290" s="112">
        <f>IF(PA[[#This Row],[Status]]="Open","",(PA[[#This Row],[Work Completion time on fault]]-PA[[#This Row],[Fault Time]])*24)</f>
        <v>6.6666666666669094E-2</v>
      </c>
      <c r="AE290" s="111">
        <f>IFERROR((PA[[#This Row],[Work Completion time on fault]]-PA[[#This Row],[Fault Time]])*24,"")</f>
        <v>6.6666666666669094E-2</v>
      </c>
      <c r="AF290" s="273" t="s">
        <v>758</v>
      </c>
      <c r="AG290" s="6" t="s">
        <v>1275</v>
      </c>
      <c r="AH290" s="53">
        <f>IFERROR(PA[[#This Row],[Breakdown Time]]*PA[[#This Row],[Plant Equivalent Weightage]],"")</f>
        <v>2.8888888888889939E-4</v>
      </c>
      <c r="AI290" s="59">
        <v>0.31</v>
      </c>
      <c r="AJ290" s="89">
        <f>IFERROR(IF(PA[[#This Row],[Lost PoA(kWh/m2)]]&gt;0,_xlfn.XLOOKUP(G290,'Modelling New'!$D:$D,'Modelling New'!$O:$O)*PA[[#This Row],[Lost PoA(kWh/m2)]]*S290,0),"")</f>
        <v>68.160082663151059</v>
      </c>
    </row>
    <row r="291" spans="1:38" ht="30" hidden="1" x14ac:dyDescent="0.25">
      <c r="A291" s="229">
        <v>1983</v>
      </c>
      <c r="B291" s="233">
        <v>45811</v>
      </c>
      <c r="C291" s="333">
        <v>2025</v>
      </c>
      <c r="D291" s="6">
        <f>YEAR(PA[[#This Row],[Date]])</f>
        <v>2025</v>
      </c>
      <c r="E291" s="334" t="s">
        <v>73</v>
      </c>
      <c r="F291" s="335" t="s">
        <v>73</v>
      </c>
      <c r="G291" s="323">
        <v>45809</v>
      </c>
      <c r="H291">
        <f>DAY(EOMONTH(PA[[#This Row],[Date]], 0))</f>
        <v>30</v>
      </c>
      <c r="I291" s="10">
        <v>0.22152777777777777</v>
      </c>
      <c r="J291" s="10">
        <v>0.7729166666666667</v>
      </c>
      <c r="K291" s="53">
        <f>IFERROR((PA[[#This Row],[Sunset Time (POA&lt;20 W/m2)]]-PA[[#This Row],[Sunrise Time (POA&gt;20 W/m2)]])*24,"")</f>
        <v>13.233333333333334</v>
      </c>
      <c r="L291" s="59" t="s">
        <v>564</v>
      </c>
      <c r="M291" s="59"/>
      <c r="N291" s="59"/>
      <c r="O291" s="59" t="s">
        <v>714</v>
      </c>
      <c r="P291" s="56"/>
      <c r="Q291" s="6"/>
      <c r="R29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BLK5INV22</v>
      </c>
      <c r="S291" s="53">
        <v>244.75</v>
      </c>
      <c r="T291" s="90">
        <f>IFERROR(_xlfn.XLOOKUP(PA[[#This Row],[Affected Equipment ]],'Basic Data '!A:A,'Basic Data '!C:C),"")</f>
        <v>4.0000000000000001E-3</v>
      </c>
      <c r="U291" s="59" t="s">
        <v>566</v>
      </c>
      <c r="V291" s="88"/>
      <c r="W291" s="273" t="s">
        <v>758</v>
      </c>
      <c r="X291" s="269">
        <v>0.51388888888888884</v>
      </c>
      <c r="Y291" s="269">
        <v>0.54861111111111116</v>
      </c>
      <c r="Z291" s="60">
        <v>0.51666666666666672</v>
      </c>
      <c r="AA291" s="60">
        <v>0.51666666666666672</v>
      </c>
      <c r="AB291" s="158">
        <f>IF(PA[[#This Row],[Acknowledgement Time ]]="NA","",(PA[[#This Row],[Acknowledgement Time ]]-PA[[#This Row],[Fault Time]])*24)</f>
        <v>0.8333333333333357</v>
      </c>
      <c r="AC291" s="158">
        <f>IF(PA[[#This Row],[Work Start time on Fault]]="NA","",(PA[[#This Row],[Work Start time on Fault]]-PA[[#This Row],[Fault Time]])*24)</f>
        <v>6.6666666666669094E-2</v>
      </c>
      <c r="AD291" s="112">
        <f>IF(PA[[#This Row],[Status]]="Open","",(PA[[#This Row],[Work Completion time on fault]]-PA[[#This Row],[Fault Time]])*24)</f>
        <v>6.6666666666669094E-2</v>
      </c>
      <c r="AE291" s="111">
        <f>IFERROR((PA[[#This Row],[Work Completion time on fault]]-PA[[#This Row],[Fault Time]])*24,"")</f>
        <v>6.6666666666669094E-2</v>
      </c>
      <c r="AF291" s="273" t="s">
        <v>758</v>
      </c>
      <c r="AG291" s="6" t="s">
        <v>1275</v>
      </c>
      <c r="AH291" s="53">
        <f>IFERROR(PA[[#This Row],[Breakdown Time]]*PA[[#This Row],[Plant Equivalent Weightage]],"")</f>
        <v>2.6666666666667638E-4</v>
      </c>
      <c r="AI291" s="59">
        <v>0.31</v>
      </c>
      <c r="AJ291" s="89">
        <f>IFERROR(IF(PA[[#This Row],[Lost PoA(kWh/m2)]]&gt;0,_xlfn.XLOOKUP(G291,'Modelling New'!$D:$D,'Modelling New'!$O:$O)*PA[[#This Row],[Lost PoA(kWh/m2)]]*S291,0),"")</f>
        <v>57.673916099589363</v>
      </c>
    </row>
    <row r="292" spans="1:38" hidden="1" x14ac:dyDescent="0.25">
      <c r="A292" s="229">
        <v>1984</v>
      </c>
      <c r="B292" s="233">
        <v>45811</v>
      </c>
      <c r="C292" s="333">
        <v>2025</v>
      </c>
      <c r="D292" s="6">
        <f>YEAR(PA[[#This Row],[Date]])</f>
        <v>2025</v>
      </c>
      <c r="E292" s="334" t="s">
        <v>73</v>
      </c>
      <c r="F292" s="335" t="s">
        <v>73</v>
      </c>
      <c r="G292" s="323">
        <v>45809</v>
      </c>
      <c r="H292">
        <f>DAY(EOMONTH(PA[[#This Row],[Date]], 0))</f>
        <v>30</v>
      </c>
      <c r="I292" s="10">
        <v>0.22152777777777777</v>
      </c>
      <c r="J292" s="10">
        <v>0.7729166666666667</v>
      </c>
      <c r="K292" s="53">
        <f>IFERROR((PA[[#This Row],[Sunset Time (POA&lt;20 W/m2)]]-PA[[#This Row],[Sunrise Time (POA&gt;20 W/m2)]])*24,"")</f>
        <v>13.233333333333334</v>
      </c>
      <c r="L292" s="59" t="s">
        <v>579</v>
      </c>
      <c r="M292" s="59"/>
      <c r="N292" s="59"/>
      <c r="O292" s="59" t="s">
        <v>610</v>
      </c>
      <c r="P292" s="56"/>
      <c r="Q292" s="6"/>
      <c r="R29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BLK8INV24</v>
      </c>
      <c r="S292" s="53">
        <v>31.9</v>
      </c>
      <c r="T292" s="90">
        <f>IFERROR(_xlfn.XLOOKUP(PA[[#This Row],[Affected Equipment ]],'Basic Data '!A:A,'Basic Data '!C:C),"")</f>
        <v>4.0651685393258419E-3</v>
      </c>
      <c r="U292" s="59" t="s">
        <v>697</v>
      </c>
      <c r="V292" s="88"/>
      <c r="W292" s="274" t="s">
        <v>759</v>
      </c>
      <c r="X292" s="269">
        <v>0.22152777777777777</v>
      </c>
      <c r="Y292" s="269">
        <v>0.375</v>
      </c>
      <c r="Z292" s="269">
        <v>0.43819444444444444</v>
      </c>
      <c r="AA292" s="269">
        <v>0.43819444444444444</v>
      </c>
      <c r="AB292" s="158">
        <f>IF(PA[[#This Row],[Acknowledgement Time ]]="NA","",(PA[[#This Row],[Acknowledgement Time ]]-PA[[#This Row],[Fault Time]])*24)</f>
        <v>3.6833333333333336</v>
      </c>
      <c r="AC292" s="158">
        <f>IF(PA[[#This Row],[Work Start time on Fault]]="NA","",(PA[[#This Row],[Work Start time on Fault]]-PA[[#This Row],[Fault Time]])*24)</f>
        <v>5.2</v>
      </c>
      <c r="AD292" s="112">
        <f>IF(PA[[#This Row],[Status]]="Open","",(PA[[#This Row],[Work Completion time on fault]]-PA[[#This Row],[Fault Time]])*24)</f>
        <v>5.2</v>
      </c>
      <c r="AE292" s="111">
        <f>IFERROR((PA[[#This Row],[Work Completion time on fault]]-PA[[#This Row],[Fault Time]])*24,"")</f>
        <v>5.2</v>
      </c>
      <c r="AF292" s="274" t="s">
        <v>759</v>
      </c>
      <c r="AG292" s="6" t="s">
        <v>1275</v>
      </c>
      <c r="AH292" s="53">
        <f>IFERROR(PA[[#This Row],[Breakdown Time]]*PA[[#This Row],[Plant Equivalent Weightage]],"")</f>
        <v>2.113887640449438E-2</v>
      </c>
      <c r="AI292" s="59">
        <v>1.28</v>
      </c>
      <c r="AJ292" s="89">
        <f>IFERROR(IF(PA[[#This Row],[Lost PoA(kWh/m2)]]&gt;0,_xlfn.XLOOKUP(G292,'Modelling New'!$D:$D,'Modelling New'!$O:$O)*PA[[#This Row],[Lost PoA(kWh/m2)]]*S292,0),"")</f>
        <v>31.038140857075128</v>
      </c>
    </row>
    <row r="293" spans="1:38" hidden="1" x14ac:dyDescent="0.25">
      <c r="A293" s="229">
        <v>1985</v>
      </c>
      <c r="B293" s="233">
        <v>45811</v>
      </c>
      <c r="C293" s="333">
        <v>2025</v>
      </c>
      <c r="D293" s="6">
        <f>YEAR(PA[[#This Row],[Date]])</f>
        <v>2025</v>
      </c>
      <c r="E293" s="334" t="s">
        <v>73</v>
      </c>
      <c r="F293" s="335" t="s">
        <v>73</v>
      </c>
      <c r="G293" s="323">
        <v>45809</v>
      </c>
      <c r="H293">
        <f>DAY(EOMONTH(PA[[#This Row],[Date]], 0))</f>
        <v>30</v>
      </c>
      <c r="I293" s="10">
        <v>0.22152777777777777</v>
      </c>
      <c r="J293" s="10">
        <v>0.7729166666666667</v>
      </c>
      <c r="K293" s="53">
        <f>IFERROR((PA[[#This Row],[Sunset Time (POA&lt;20 W/m2)]]-PA[[#This Row],[Sunrise Time (POA&gt;20 W/m2)]])*24,"")</f>
        <v>13.233333333333334</v>
      </c>
      <c r="L293" s="59" t="s">
        <v>579</v>
      </c>
      <c r="M293" s="59"/>
      <c r="N293" s="59"/>
      <c r="O293" s="59" t="s">
        <v>618</v>
      </c>
      <c r="P293" s="56"/>
      <c r="Q293" s="6"/>
      <c r="R29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BLK8INV15</v>
      </c>
      <c r="S293" s="53">
        <v>20.100000000000001</v>
      </c>
      <c r="T293" s="90">
        <f>IFERROR(_xlfn.XLOOKUP(PA[[#This Row],[Affected Equipment ]],'Basic Data '!A:A,'Basic Data '!C:C),"")</f>
        <v>4.0044943820224709E-3</v>
      </c>
      <c r="U293" s="59" t="s">
        <v>697</v>
      </c>
      <c r="V293" s="88"/>
      <c r="W293" s="273" t="s">
        <v>722</v>
      </c>
      <c r="X293" s="269">
        <v>0.22152777777777777</v>
      </c>
      <c r="Y293" s="269">
        <v>0.375</v>
      </c>
      <c r="Z293" s="269">
        <v>0.44791666666666669</v>
      </c>
      <c r="AA293" s="269">
        <v>0.44791666666666669</v>
      </c>
      <c r="AB293" s="158">
        <f>IF(PA[[#This Row],[Acknowledgement Time ]]="NA","",(PA[[#This Row],[Acknowledgement Time ]]-PA[[#This Row],[Fault Time]])*24)</f>
        <v>3.6833333333333336</v>
      </c>
      <c r="AC293" s="158">
        <f>IF(PA[[#This Row],[Work Start time on Fault]]="NA","",(PA[[#This Row],[Work Start time on Fault]]-PA[[#This Row],[Fault Time]])*24)</f>
        <v>5.4333333333333336</v>
      </c>
      <c r="AD293" s="112">
        <f>IF(PA[[#This Row],[Status]]="Open","",(PA[[#This Row],[Work Completion time on fault]]-PA[[#This Row],[Fault Time]])*24)</f>
        <v>5.4333333333333336</v>
      </c>
      <c r="AE293" s="111">
        <f>IFERROR((PA[[#This Row],[Work Completion time on fault]]-PA[[#This Row],[Fault Time]])*24,"")</f>
        <v>5.4333333333333336</v>
      </c>
      <c r="AF293" s="273" t="s">
        <v>722</v>
      </c>
      <c r="AG293" s="6" t="s">
        <v>1275</v>
      </c>
      <c r="AH293" s="53">
        <f>IFERROR(PA[[#This Row],[Breakdown Time]]*PA[[#This Row],[Plant Equivalent Weightage]],"")</f>
        <v>2.175775280898876E-2</v>
      </c>
      <c r="AI293" s="59">
        <v>1.41</v>
      </c>
      <c r="AJ293" s="89">
        <f>IFERROR(IF(PA[[#This Row],[Lost PoA(kWh/m2)]]&gt;0,_xlfn.XLOOKUP(G293,'Modelling New'!$D:$D,'Modelling New'!$O:$O)*PA[[#This Row],[Lost PoA(kWh/m2)]]*S293,0),"")</f>
        <v>21.543200186872216</v>
      </c>
    </row>
    <row r="294" spans="1:38" hidden="1" x14ac:dyDescent="0.25">
      <c r="A294" s="229">
        <v>1986</v>
      </c>
      <c r="B294" s="233">
        <v>45811</v>
      </c>
      <c r="C294" s="333">
        <v>2025</v>
      </c>
      <c r="D294" s="6">
        <f>YEAR(PA[[#This Row],[Date]])</f>
        <v>2025</v>
      </c>
      <c r="E294" s="334" t="s">
        <v>73</v>
      </c>
      <c r="F294" s="335" t="s">
        <v>73</v>
      </c>
      <c r="G294" s="323">
        <v>45809</v>
      </c>
      <c r="H294">
        <f>DAY(EOMONTH(PA[[#This Row],[Date]], 0))</f>
        <v>30</v>
      </c>
      <c r="I294" s="10">
        <v>0.22152777777777777</v>
      </c>
      <c r="J294" s="10">
        <v>0.7729166666666667</v>
      </c>
      <c r="K294" s="53">
        <f>IFERROR((PA[[#This Row],[Sunset Time (POA&lt;20 W/m2)]]-PA[[#This Row],[Sunrise Time (POA&gt;20 W/m2)]])*24,"")</f>
        <v>13.233333333333334</v>
      </c>
      <c r="L294" s="59" t="s">
        <v>579</v>
      </c>
      <c r="M294" s="59"/>
      <c r="N294" s="59"/>
      <c r="O294" s="59" t="s">
        <v>627</v>
      </c>
      <c r="P294" s="56"/>
      <c r="Q294" s="6"/>
      <c r="R29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BLK8INV21</v>
      </c>
      <c r="S294" s="53">
        <v>20.100000000000001</v>
      </c>
      <c r="T294" s="90">
        <f>IFERROR(_xlfn.XLOOKUP(PA[[#This Row],[Affected Equipment ]],'Basic Data '!A:A,'Basic Data '!C:C),"")</f>
        <v>4.0044943820224709E-3</v>
      </c>
      <c r="U294" s="59" t="s">
        <v>697</v>
      </c>
      <c r="V294" s="88"/>
      <c r="W294" s="273" t="s">
        <v>722</v>
      </c>
      <c r="X294" s="269">
        <v>0.22152777777777777</v>
      </c>
      <c r="Y294" s="269">
        <v>0.375</v>
      </c>
      <c r="Z294" s="269">
        <v>0.45833333333333331</v>
      </c>
      <c r="AA294" s="269">
        <v>0.45833333333333331</v>
      </c>
      <c r="AB294" s="158">
        <f>IF(PA[[#This Row],[Acknowledgement Time ]]="NA","",(PA[[#This Row],[Acknowledgement Time ]]-PA[[#This Row],[Fault Time]])*24)</f>
        <v>3.6833333333333336</v>
      </c>
      <c r="AC294" s="158">
        <f>IF(PA[[#This Row],[Work Start time on Fault]]="NA","",(PA[[#This Row],[Work Start time on Fault]]-PA[[#This Row],[Fault Time]])*24)</f>
        <v>5.6833333333333336</v>
      </c>
      <c r="AD294" s="112">
        <f>IF(PA[[#This Row],[Status]]="Open","",(PA[[#This Row],[Work Completion time on fault]]-PA[[#This Row],[Fault Time]])*24)</f>
        <v>5.6833333333333336</v>
      </c>
      <c r="AE294" s="111">
        <f>IFERROR((PA[[#This Row],[Work Completion time on fault]]-PA[[#This Row],[Fault Time]])*24,"")</f>
        <v>5.6833333333333336</v>
      </c>
      <c r="AF294" s="273" t="s">
        <v>722</v>
      </c>
      <c r="AG294" s="6" t="s">
        <v>1275</v>
      </c>
      <c r="AH294" s="53">
        <f>IFERROR(PA[[#This Row],[Breakdown Time]]*PA[[#This Row],[Plant Equivalent Weightage]],"")</f>
        <v>2.2758876404494376E-2</v>
      </c>
      <c r="AI294" s="59">
        <v>1.56</v>
      </c>
      <c r="AJ294" s="89">
        <f>IFERROR(IF(PA[[#This Row],[Lost PoA(kWh/m2)]]&gt;0,_xlfn.XLOOKUP(G294,'Modelling New'!$D:$D,'Modelling New'!$O:$O)*PA[[#This Row],[Lost PoA(kWh/m2)]]*S294,0),"")</f>
        <v>23.835029993986282</v>
      </c>
    </row>
    <row r="295" spans="1:38" hidden="1" x14ac:dyDescent="0.25">
      <c r="A295" s="229">
        <v>1987</v>
      </c>
      <c r="B295" s="233">
        <v>45811</v>
      </c>
      <c r="C295" s="333">
        <v>2025</v>
      </c>
      <c r="D295" s="6">
        <f>YEAR(PA[[#This Row],[Date]])</f>
        <v>2025</v>
      </c>
      <c r="E295" s="334" t="s">
        <v>73</v>
      </c>
      <c r="F295" s="335" t="s">
        <v>73</v>
      </c>
      <c r="G295" s="323">
        <v>45809</v>
      </c>
      <c r="H295">
        <f>DAY(EOMONTH(PA[[#This Row],[Date]], 0))</f>
        <v>30</v>
      </c>
      <c r="I295" s="10">
        <v>0.22152777777777777</v>
      </c>
      <c r="J295" s="10">
        <v>0.7729166666666667</v>
      </c>
      <c r="K295" s="53">
        <f>IFERROR((PA[[#This Row],[Sunset Time (POA&lt;20 W/m2)]]-PA[[#This Row],[Sunrise Time (POA&gt;20 W/m2)]])*24,"")</f>
        <v>13.233333333333334</v>
      </c>
      <c r="L295" s="59" t="s">
        <v>579</v>
      </c>
      <c r="M295" s="59"/>
      <c r="N295" s="59"/>
      <c r="O295" s="59" t="s">
        <v>594</v>
      </c>
      <c r="P295" s="56"/>
      <c r="Q295" s="6"/>
      <c r="R29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BLK8INV10</v>
      </c>
      <c r="S295" s="53">
        <v>20.100000000000001</v>
      </c>
      <c r="T295" s="90">
        <f>IFERROR(_xlfn.XLOOKUP(PA[[#This Row],[Affected Equipment ]],'Basic Data '!A:A,'Basic Data '!C:C),"")</f>
        <v>4.4999999999999997E-3</v>
      </c>
      <c r="U295" s="59" t="s">
        <v>697</v>
      </c>
      <c r="V295" s="88"/>
      <c r="W295" s="274" t="s">
        <v>759</v>
      </c>
      <c r="X295" s="269">
        <v>0.22152777777777777</v>
      </c>
      <c r="Y295" s="269">
        <v>0.375</v>
      </c>
      <c r="Z295" s="269">
        <v>0.63541666666666663</v>
      </c>
      <c r="AA295" s="269">
        <v>0.63541666666666663</v>
      </c>
      <c r="AB295" s="158">
        <f>IF(PA[[#This Row],[Acknowledgement Time ]]="NA","",(PA[[#This Row],[Acknowledgement Time ]]-PA[[#This Row],[Fault Time]])*24)</f>
        <v>3.6833333333333336</v>
      </c>
      <c r="AC295" s="158">
        <f>IF(PA[[#This Row],[Work Start time on Fault]]="NA","",(PA[[#This Row],[Work Start time on Fault]]-PA[[#This Row],[Fault Time]])*24)</f>
        <v>9.9333333333333336</v>
      </c>
      <c r="AD295" s="112">
        <f>IF(PA[[#This Row],[Status]]="Open","",(PA[[#This Row],[Work Completion time on fault]]-PA[[#This Row],[Fault Time]])*24)</f>
        <v>9.9333333333333336</v>
      </c>
      <c r="AE295" s="111">
        <f>IFERROR((PA[[#This Row],[Work Completion time on fault]]-PA[[#This Row],[Fault Time]])*24,"")</f>
        <v>9.9333333333333336</v>
      </c>
      <c r="AF295" s="274" t="s">
        <v>759</v>
      </c>
      <c r="AG295" s="6" t="s">
        <v>1275</v>
      </c>
      <c r="AH295" s="53">
        <f>IFERROR(PA[[#This Row],[Breakdown Time]]*PA[[#This Row],[Plant Equivalent Weightage]],"")</f>
        <v>4.4699999999999997E-2</v>
      </c>
      <c r="AI295" s="59">
        <v>3.7</v>
      </c>
      <c r="AJ295" s="89">
        <f>IFERROR(IF(PA[[#This Row],[Lost PoA(kWh/m2)]]&gt;0,_xlfn.XLOOKUP(G295,'Modelling New'!$D:$D,'Modelling New'!$O:$O)*PA[[#This Row],[Lost PoA(kWh/m2)]]*S295,0),"")</f>
        <v>56.53180190881362</v>
      </c>
    </row>
    <row r="296" spans="1:38" hidden="1" x14ac:dyDescent="0.25">
      <c r="A296" s="229">
        <v>1988</v>
      </c>
      <c r="B296" s="233">
        <v>45811</v>
      </c>
      <c r="C296" s="333">
        <v>2025</v>
      </c>
      <c r="D296" s="6">
        <f>YEAR(PA[[#This Row],[Date]])</f>
        <v>2025</v>
      </c>
      <c r="E296" s="334" t="s">
        <v>73</v>
      </c>
      <c r="F296" s="335" t="s">
        <v>73</v>
      </c>
      <c r="G296" s="323">
        <v>45809</v>
      </c>
      <c r="H296">
        <f>DAY(EOMONTH(PA[[#This Row],[Date]], 0))</f>
        <v>30</v>
      </c>
      <c r="I296" s="10">
        <v>0.22152777777777777</v>
      </c>
      <c r="J296" s="10">
        <v>0.7729166666666667</v>
      </c>
      <c r="K296" s="53">
        <f>IFERROR((PA[[#This Row],[Sunset Time (POA&lt;20 W/m2)]]-PA[[#This Row],[Sunrise Time (POA&gt;20 W/m2)]])*24,"")</f>
        <v>13.233333333333334</v>
      </c>
      <c r="L296" s="59" t="s">
        <v>579</v>
      </c>
      <c r="M296" s="59"/>
      <c r="N296" s="59"/>
      <c r="O296" s="59" t="s">
        <v>601</v>
      </c>
      <c r="P296" s="56"/>
      <c r="Q296" s="6"/>
      <c r="R29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BLK8INV18</v>
      </c>
      <c r="S296" s="53">
        <v>20.100000000000001</v>
      </c>
      <c r="T296" s="90">
        <f>IFERROR(_xlfn.XLOOKUP(PA[[#This Row],[Affected Equipment ]],'Basic Data '!A:A,'Basic Data '!C:C),"")</f>
        <v>3.3333333333333335E-3</v>
      </c>
      <c r="U296" s="59" t="s">
        <v>697</v>
      </c>
      <c r="V296" s="88"/>
      <c r="W296" s="273" t="s">
        <v>722</v>
      </c>
      <c r="X296" s="269">
        <v>0.22152777777777777</v>
      </c>
      <c r="Y296" s="269">
        <v>0.375</v>
      </c>
      <c r="Z296" s="269">
        <v>0.64583333333333337</v>
      </c>
      <c r="AA296" s="269">
        <v>0.64583333333333337</v>
      </c>
      <c r="AB296" s="158">
        <f>IF(PA[[#This Row],[Acknowledgement Time ]]="NA","",(PA[[#This Row],[Acknowledgement Time ]]-PA[[#This Row],[Fault Time]])*24)</f>
        <v>3.6833333333333336</v>
      </c>
      <c r="AC296" s="158">
        <f>IF(PA[[#This Row],[Work Start time on Fault]]="NA","",(PA[[#This Row],[Work Start time on Fault]]-PA[[#This Row],[Fault Time]])*24)</f>
        <v>10.183333333333334</v>
      </c>
      <c r="AD296" s="112">
        <f>IF(PA[[#This Row],[Status]]="Open","",(PA[[#This Row],[Work Completion time on fault]]-PA[[#This Row],[Fault Time]])*24)</f>
        <v>10.183333333333334</v>
      </c>
      <c r="AE296" s="111">
        <f>IFERROR((PA[[#This Row],[Work Completion time on fault]]-PA[[#This Row],[Fault Time]])*24,"")</f>
        <v>10.183333333333334</v>
      </c>
      <c r="AF296" s="273" t="s">
        <v>722</v>
      </c>
      <c r="AG296" s="6" t="s">
        <v>1275</v>
      </c>
      <c r="AH296" s="53">
        <f>IFERROR(PA[[#This Row],[Breakdown Time]]*PA[[#This Row],[Plant Equivalent Weightage]],"")</f>
        <v>3.3944444444444451E-2</v>
      </c>
      <c r="AI296" s="59">
        <v>3.76</v>
      </c>
      <c r="AJ296" s="89">
        <f>IFERROR(IF(PA[[#This Row],[Lost PoA(kWh/m2)]]&gt;0,_xlfn.XLOOKUP(G296,'Modelling New'!$D:$D,'Modelling New'!$O:$O)*PA[[#This Row],[Lost PoA(kWh/m2)]]*S296,0),"")</f>
        <v>57.448533831659233</v>
      </c>
    </row>
    <row r="297" spans="1:38" hidden="1" x14ac:dyDescent="0.25">
      <c r="A297" s="229">
        <v>1989</v>
      </c>
      <c r="B297" s="233">
        <v>45811</v>
      </c>
      <c r="C297" s="333">
        <v>2025</v>
      </c>
      <c r="D297" s="6">
        <f>YEAR(PA[[#This Row],[Date]])</f>
        <v>2025</v>
      </c>
      <c r="E297" s="334" t="s">
        <v>73</v>
      </c>
      <c r="F297" s="335" t="s">
        <v>73</v>
      </c>
      <c r="G297" s="323">
        <v>45809</v>
      </c>
      <c r="H297">
        <f>DAY(EOMONTH(PA[[#This Row],[Date]], 0))</f>
        <v>30</v>
      </c>
      <c r="I297" s="10">
        <v>0.22152777777777777</v>
      </c>
      <c r="J297" s="10">
        <v>0.7729166666666667</v>
      </c>
      <c r="K297" s="53">
        <f>IFERROR((PA[[#This Row],[Sunset Time (POA&lt;20 W/m2)]]-PA[[#This Row],[Sunrise Time (POA&gt;20 W/m2)]])*24,"")</f>
        <v>13.233333333333334</v>
      </c>
      <c r="L297" s="59" t="s">
        <v>606</v>
      </c>
      <c r="M297" s="59"/>
      <c r="N297" s="59"/>
      <c r="O297" s="59" t="s">
        <v>607</v>
      </c>
      <c r="P297" s="56"/>
      <c r="Q297" s="6"/>
      <c r="R29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BLK7INV3</v>
      </c>
      <c r="S297" s="53">
        <v>22.25</v>
      </c>
      <c r="T297" s="90">
        <f>IFERROR(_xlfn.XLOOKUP(PA[[#This Row],[Affected Equipment ]],'Basic Data '!A:A,'Basic Data '!C:C),"")</f>
        <v>3.9550561797752808E-3</v>
      </c>
      <c r="U297" s="59" t="s">
        <v>697</v>
      </c>
      <c r="V297" s="88"/>
      <c r="W297" s="274" t="s">
        <v>760</v>
      </c>
      <c r="X297" s="269">
        <v>0.22152777777777777</v>
      </c>
      <c r="Y297" s="269">
        <v>0.375</v>
      </c>
      <c r="Z297" s="269">
        <v>0.65625</v>
      </c>
      <c r="AA297" s="269">
        <v>0.65625</v>
      </c>
      <c r="AB297" s="158">
        <f>IF(PA[[#This Row],[Acknowledgement Time ]]="NA","",(PA[[#This Row],[Acknowledgement Time ]]-PA[[#This Row],[Fault Time]])*24)</f>
        <v>3.6833333333333336</v>
      </c>
      <c r="AC297" s="158">
        <f>IF(PA[[#This Row],[Work Start time on Fault]]="NA","",(PA[[#This Row],[Work Start time on Fault]]-PA[[#This Row],[Fault Time]])*24)</f>
        <v>10.433333333333334</v>
      </c>
      <c r="AD297" s="112">
        <f>IF(PA[[#This Row],[Status]]="Open","",(PA[[#This Row],[Work Completion time on fault]]-PA[[#This Row],[Fault Time]])*24)</f>
        <v>10.433333333333334</v>
      </c>
      <c r="AE297" s="111">
        <f>IFERROR((PA[[#This Row],[Work Completion time on fault]]-PA[[#This Row],[Fault Time]])*24,"")</f>
        <v>10.433333333333334</v>
      </c>
      <c r="AF297" s="274" t="s">
        <v>760</v>
      </c>
      <c r="AG297" s="6" t="s">
        <v>1275</v>
      </c>
      <c r="AH297" s="53">
        <f>IFERROR(PA[[#This Row],[Breakdown Time]]*PA[[#This Row],[Plant Equivalent Weightage]],"")</f>
        <v>4.1264419475655428E-2</v>
      </c>
      <c r="AI297" s="59">
        <v>3.82</v>
      </c>
      <c r="AJ297" s="89">
        <f>IFERROR(IF(PA[[#This Row],[Lost PoA(kWh/m2)]]&gt;0,_xlfn.XLOOKUP(G297,'Modelling New'!$D:$D,'Modelling New'!$O:$O)*PA[[#This Row],[Lost PoA(kWh/m2)]]*S297,0),"")</f>
        <v>64.608316569041463</v>
      </c>
    </row>
    <row r="298" spans="1:38" hidden="1" x14ac:dyDescent="0.25">
      <c r="A298" s="229">
        <v>1990</v>
      </c>
      <c r="B298" s="233">
        <v>45811</v>
      </c>
      <c r="C298" s="333">
        <v>2025</v>
      </c>
      <c r="D298" s="6">
        <f>YEAR(PA[[#This Row],[Date]])</f>
        <v>2025</v>
      </c>
      <c r="E298" s="334" t="s">
        <v>73</v>
      </c>
      <c r="F298" s="335" t="s">
        <v>73</v>
      </c>
      <c r="G298" s="323">
        <v>45809</v>
      </c>
      <c r="H298">
        <f>DAY(EOMONTH(PA[[#This Row],[Date]], 0))</f>
        <v>30</v>
      </c>
      <c r="I298" s="10">
        <v>0.22152777777777777</v>
      </c>
      <c r="J298" s="10">
        <v>0.7729166666666667</v>
      </c>
      <c r="K298" s="53">
        <f>IFERROR((PA[[#This Row],[Sunset Time (POA&lt;20 W/m2)]]-PA[[#This Row],[Sunrise Time (POA&gt;20 W/m2)]])*24,"")</f>
        <v>13.233333333333334</v>
      </c>
      <c r="L298" s="59" t="s">
        <v>606</v>
      </c>
      <c r="M298" s="59"/>
      <c r="N298" s="59"/>
      <c r="O298" s="59" t="s">
        <v>598</v>
      </c>
      <c r="P298" s="56"/>
      <c r="Q298" s="6"/>
      <c r="R29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BLK7INV6</v>
      </c>
      <c r="S298" s="53">
        <v>22.25</v>
      </c>
      <c r="T298" s="90">
        <f>IFERROR(_xlfn.XLOOKUP(PA[[#This Row],[Affected Equipment ]],'Basic Data '!A:A,'Basic Data '!C:C),"")</f>
        <v>3.9550561797752808E-3</v>
      </c>
      <c r="U298" s="59" t="s">
        <v>697</v>
      </c>
      <c r="V298" s="88"/>
      <c r="W298" s="274" t="s">
        <v>759</v>
      </c>
      <c r="X298" s="269">
        <v>0.22152777777777777</v>
      </c>
      <c r="Y298" s="269">
        <v>0.375</v>
      </c>
      <c r="Z298" s="269">
        <v>0.67361111111111116</v>
      </c>
      <c r="AA298" s="269">
        <v>0.67361111111111116</v>
      </c>
      <c r="AB298" s="158">
        <f>IF(PA[[#This Row],[Acknowledgement Time ]]="NA","",(PA[[#This Row],[Acknowledgement Time ]]-PA[[#This Row],[Fault Time]])*24)</f>
        <v>3.6833333333333336</v>
      </c>
      <c r="AC298" s="158">
        <f>IF(PA[[#This Row],[Work Start time on Fault]]="NA","",(PA[[#This Row],[Work Start time on Fault]]-PA[[#This Row],[Fault Time]])*24)</f>
        <v>10.850000000000001</v>
      </c>
      <c r="AD298" s="112">
        <f>IF(PA[[#This Row],[Status]]="Open","",(PA[[#This Row],[Work Completion time on fault]]-PA[[#This Row],[Fault Time]])*24)</f>
        <v>10.850000000000001</v>
      </c>
      <c r="AE298" s="111">
        <f>IFERROR((PA[[#This Row],[Work Completion time on fault]]-PA[[#This Row],[Fault Time]])*24,"")</f>
        <v>10.850000000000001</v>
      </c>
      <c r="AF298" s="274" t="s">
        <v>759</v>
      </c>
      <c r="AG298" s="6" t="s">
        <v>1275</v>
      </c>
      <c r="AH298" s="53">
        <f>IFERROR(PA[[#This Row],[Breakdown Time]]*PA[[#This Row],[Plant Equivalent Weightage]],"")</f>
        <v>4.2912359550561802E-2</v>
      </c>
      <c r="AI298" s="59">
        <v>3.92</v>
      </c>
      <c r="AJ298" s="89">
        <f>IFERROR(IF(PA[[#This Row],[Lost PoA(kWh/m2)]]&gt;0,_xlfn.XLOOKUP(G298,'Modelling New'!$D:$D,'Modelling New'!$O:$O)*PA[[#This Row],[Lost PoA(kWh/m2)]]*S298,0),"")</f>
        <v>66.299633756712694</v>
      </c>
    </row>
    <row r="299" spans="1:38" hidden="1" x14ac:dyDescent="0.25">
      <c r="A299" s="229">
        <v>1991</v>
      </c>
      <c r="B299" s="233">
        <v>45811</v>
      </c>
      <c r="C299" s="333">
        <v>2025</v>
      </c>
      <c r="D299" s="6">
        <f>YEAR(PA[[#This Row],[Date]])</f>
        <v>2025</v>
      </c>
      <c r="E299" s="334" t="s">
        <v>73</v>
      </c>
      <c r="F299" s="335" t="s">
        <v>73</v>
      </c>
      <c r="G299" s="323">
        <v>45809</v>
      </c>
      <c r="H299">
        <f>DAY(EOMONTH(PA[[#This Row],[Date]], 0))</f>
        <v>30</v>
      </c>
      <c r="I299" s="10">
        <v>0.22152777777777777</v>
      </c>
      <c r="J299" s="10">
        <v>0.7729166666666667</v>
      </c>
      <c r="K299" s="53">
        <f>IFERROR((PA[[#This Row],[Sunset Time (POA&lt;20 W/m2)]]-PA[[#This Row],[Sunrise Time (POA&gt;20 W/m2)]])*24,"")</f>
        <v>13.233333333333334</v>
      </c>
      <c r="L299" s="59" t="s">
        <v>597</v>
      </c>
      <c r="M299" s="59"/>
      <c r="N299" s="59"/>
      <c r="O299" s="59" t="s">
        <v>612</v>
      </c>
      <c r="P299" s="56"/>
      <c r="Q299" s="6"/>
      <c r="R29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BLK3INV28</v>
      </c>
      <c r="S299" s="53">
        <v>22.25</v>
      </c>
      <c r="T299" s="90">
        <f>IFERROR(_xlfn.XLOOKUP(PA[[#This Row],[Affected Equipment ]],'Basic Data '!A:A,'Basic Data '!C:C),"")</f>
        <v>4.1666666666666666E-3</v>
      </c>
      <c r="U299" s="59" t="s">
        <v>761</v>
      </c>
      <c r="V299" s="88"/>
      <c r="W299" s="274" t="s">
        <v>760</v>
      </c>
      <c r="X299" s="269">
        <v>0.22152777777777777</v>
      </c>
      <c r="Y299" s="269">
        <v>0.375</v>
      </c>
      <c r="Z299" s="269">
        <v>0.68055555555555558</v>
      </c>
      <c r="AA299" s="269">
        <v>0.68055555555555558</v>
      </c>
      <c r="AB299" s="158">
        <f>IF(PA[[#This Row],[Acknowledgement Time ]]="NA","",(PA[[#This Row],[Acknowledgement Time ]]-PA[[#This Row],[Fault Time]])*24)</f>
        <v>3.6833333333333336</v>
      </c>
      <c r="AC299" s="158">
        <f>IF(PA[[#This Row],[Work Start time on Fault]]="NA","",(PA[[#This Row],[Work Start time on Fault]]-PA[[#This Row],[Fault Time]])*24)</f>
        <v>11.016666666666667</v>
      </c>
      <c r="AD299" s="112">
        <f>IF(PA[[#This Row],[Status]]="Open","",(PA[[#This Row],[Work Completion time on fault]]-PA[[#This Row],[Fault Time]])*24)</f>
        <v>11.016666666666667</v>
      </c>
      <c r="AE299" s="111">
        <f>IFERROR((PA[[#This Row],[Work Completion time on fault]]-PA[[#This Row],[Fault Time]])*24,"")</f>
        <v>11.016666666666667</v>
      </c>
      <c r="AF299" s="274" t="s">
        <v>760</v>
      </c>
      <c r="AG299" s="6" t="s">
        <v>1275</v>
      </c>
      <c r="AH299" s="53">
        <f>IFERROR(PA[[#This Row],[Breakdown Time]]*PA[[#This Row],[Plant Equivalent Weightage]],"")</f>
        <v>4.5902777777777778E-2</v>
      </c>
      <c r="AI299" s="59">
        <v>3.95</v>
      </c>
      <c r="AJ299" s="89">
        <f>IFERROR(IF(PA[[#This Row],[Lost PoA(kWh/m2)]]&gt;0,_xlfn.XLOOKUP(G299,'Modelling New'!$D:$D,'Modelling New'!$O:$O)*PA[[#This Row],[Lost PoA(kWh/m2)]]*S299,0),"")</f>
        <v>66.807028913014079</v>
      </c>
    </row>
    <row r="300" spans="1:38" hidden="1" x14ac:dyDescent="0.25">
      <c r="A300" s="229">
        <v>1992</v>
      </c>
      <c r="B300" s="233">
        <v>45811</v>
      </c>
      <c r="C300" s="333">
        <v>2025</v>
      </c>
      <c r="D300" s="6">
        <f>YEAR(PA[[#This Row],[Date]])</f>
        <v>2025</v>
      </c>
      <c r="E300" s="334" t="s">
        <v>73</v>
      </c>
      <c r="F300" s="335" t="s">
        <v>73</v>
      </c>
      <c r="G300" s="323">
        <v>45809</v>
      </c>
      <c r="H300">
        <f>DAY(EOMONTH(PA[[#This Row],[Date]], 0))</f>
        <v>30</v>
      </c>
      <c r="I300" s="10">
        <v>0.22152777777777777</v>
      </c>
      <c r="J300" s="10">
        <v>0.7729166666666667</v>
      </c>
      <c r="K300" s="53">
        <f>IFERROR((PA[[#This Row],[Sunset Time (POA&lt;20 W/m2)]]-PA[[#This Row],[Sunrise Time (POA&gt;20 W/m2)]])*24,"")</f>
        <v>13.233333333333334</v>
      </c>
      <c r="L300" s="59" t="s">
        <v>621</v>
      </c>
      <c r="M300" s="59"/>
      <c r="N300" s="59"/>
      <c r="O300" s="59" t="s">
        <v>644</v>
      </c>
      <c r="P300" s="56"/>
      <c r="Q300" s="6"/>
      <c r="R30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BLK4INV4</v>
      </c>
      <c r="S300" s="53">
        <v>22.25</v>
      </c>
      <c r="T300" s="90">
        <f>IFERROR(_xlfn.XLOOKUP(PA[[#This Row],[Affected Equipment ]],'Basic Data '!A:A,'Basic Data '!C:C),"")</f>
        <v>4.0000000000000001E-3</v>
      </c>
      <c r="U300" s="59" t="s">
        <v>697</v>
      </c>
      <c r="V300" s="88"/>
      <c r="W300" s="273" t="s">
        <v>762</v>
      </c>
      <c r="X300" s="269">
        <v>0.22152777777777777</v>
      </c>
      <c r="Y300" s="269">
        <v>0.375</v>
      </c>
      <c r="Z300" s="269">
        <v>0.69097222222222221</v>
      </c>
      <c r="AA300" s="269">
        <v>0.69097222222222221</v>
      </c>
      <c r="AB300" s="158">
        <f>IF(PA[[#This Row],[Acknowledgement Time ]]="NA","",(PA[[#This Row],[Acknowledgement Time ]]-PA[[#This Row],[Fault Time]])*24)</f>
        <v>3.6833333333333336</v>
      </c>
      <c r="AC300" s="158">
        <f>IF(PA[[#This Row],[Work Start time on Fault]]="NA","",(PA[[#This Row],[Work Start time on Fault]]-PA[[#This Row],[Fault Time]])*24)</f>
        <v>11.266666666666666</v>
      </c>
      <c r="AD300" s="112">
        <f>IF(PA[[#This Row],[Status]]="Open","",(PA[[#This Row],[Work Completion time on fault]]-PA[[#This Row],[Fault Time]])*24)</f>
        <v>11.266666666666666</v>
      </c>
      <c r="AE300" s="111">
        <f>IFERROR((PA[[#This Row],[Work Completion time on fault]]-PA[[#This Row],[Fault Time]])*24,"")</f>
        <v>11.266666666666666</v>
      </c>
      <c r="AF300" s="273" t="s">
        <v>762</v>
      </c>
      <c r="AG300" s="6" t="s">
        <v>1275</v>
      </c>
      <c r="AH300" s="53">
        <f>IFERROR(PA[[#This Row],[Breakdown Time]]*PA[[#This Row],[Plant Equivalent Weightage]],"")</f>
        <v>4.5066666666666665E-2</v>
      </c>
      <c r="AI300" s="59">
        <v>4.01</v>
      </c>
      <c r="AJ300" s="89">
        <f>IFERROR(IF(PA[[#This Row],[Lost PoA(kWh/m2)]]&gt;0,_xlfn.XLOOKUP(G300,'Modelling New'!$D:$D,'Modelling New'!$O:$O)*PA[[#This Row],[Lost PoA(kWh/m2)]]*S300,0),"")</f>
        <v>67.821819225616807</v>
      </c>
    </row>
    <row r="301" spans="1:38" hidden="1" x14ac:dyDescent="0.25">
      <c r="A301" s="229">
        <v>1993</v>
      </c>
      <c r="B301" s="233">
        <v>45811</v>
      </c>
      <c r="C301" s="333">
        <v>2025</v>
      </c>
      <c r="D301" s="6">
        <f>YEAR(PA[[#This Row],[Date]])</f>
        <v>2025</v>
      </c>
      <c r="E301" s="334" t="s">
        <v>73</v>
      </c>
      <c r="F301" s="335" t="s">
        <v>73</v>
      </c>
      <c r="G301" s="323">
        <v>45809</v>
      </c>
      <c r="H301">
        <f>DAY(EOMONTH(PA[[#This Row],[Date]], 0))</f>
        <v>30</v>
      </c>
      <c r="I301" s="10">
        <v>0.22152777777777777</v>
      </c>
      <c r="J301" s="10">
        <v>0.7729166666666667</v>
      </c>
      <c r="K301" s="53">
        <f>IFERROR((PA[[#This Row],[Sunset Time (POA&lt;20 W/m2)]]-PA[[#This Row],[Sunrise Time (POA&gt;20 W/m2)]])*24,"")</f>
        <v>13.233333333333334</v>
      </c>
      <c r="L301" s="59" t="s">
        <v>564</v>
      </c>
      <c r="M301" s="59"/>
      <c r="N301" s="59"/>
      <c r="O301" s="59" t="s">
        <v>617</v>
      </c>
      <c r="P301" s="56"/>
      <c r="Q301" s="6"/>
      <c r="R30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BLK5INV8</v>
      </c>
      <c r="S301" s="53">
        <v>22.25</v>
      </c>
      <c r="T301" s="90">
        <f>IFERROR(_xlfn.XLOOKUP(PA[[#This Row],[Affected Equipment ]],'Basic Data '!A:A,'Basic Data '!C:C),"")</f>
        <v>4.3333333333333331E-3</v>
      </c>
      <c r="U301" s="59" t="s">
        <v>697</v>
      </c>
      <c r="V301" s="88"/>
      <c r="W301" s="273" t="s">
        <v>762</v>
      </c>
      <c r="X301" s="269">
        <v>0.22152777777777777</v>
      </c>
      <c r="Y301" s="269">
        <v>0.375</v>
      </c>
      <c r="Z301" s="269">
        <v>0.70486111111111116</v>
      </c>
      <c r="AA301" s="269">
        <v>0.70486111111111116</v>
      </c>
      <c r="AB301" s="158">
        <f>IF(PA[[#This Row],[Acknowledgement Time ]]="NA","",(PA[[#This Row],[Acknowledgement Time ]]-PA[[#This Row],[Fault Time]])*24)</f>
        <v>3.6833333333333336</v>
      </c>
      <c r="AC301" s="158">
        <f>IF(PA[[#This Row],[Work Start time on Fault]]="NA","",(PA[[#This Row],[Work Start time on Fault]]-PA[[#This Row],[Fault Time]])*24)</f>
        <v>11.600000000000001</v>
      </c>
      <c r="AD301" s="112">
        <f>IF(PA[[#This Row],[Status]]="Open","",(PA[[#This Row],[Work Completion time on fault]]-PA[[#This Row],[Fault Time]])*24)</f>
        <v>11.600000000000001</v>
      </c>
      <c r="AE301" s="111">
        <f>IFERROR((PA[[#This Row],[Work Completion time on fault]]-PA[[#This Row],[Fault Time]])*24,"")</f>
        <v>11.600000000000001</v>
      </c>
      <c r="AF301" s="273" t="s">
        <v>762</v>
      </c>
      <c r="AG301" s="6" t="s">
        <v>1275</v>
      </c>
      <c r="AH301" s="53">
        <f>IFERROR(PA[[#This Row],[Breakdown Time]]*PA[[#This Row],[Plant Equivalent Weightage]],"")</f>
        <v>5.0266666666666668E-2</v>
      </c>
      <c r="AI301" s="59">
        <v>4.07</v>
      </c>
      <c r="AJ301" s="89">
        <f>IFERROR(IF(PA[[#This Row],[Lost PoA(kWh/m2)]]&gt;0,_xlfn.XLOOKUP(G301,'Modelling New'!$D:$D,'Modelling New'!$O:$O)*PA[[#This Row],[Lost PoA(kWh/m2)]]*S301,0),"")</f>
        <v>68.836609538219562</v>
      </c>
    </row>
    <row r="302" spans="1:38" hidden="1" x14ac:dyDescent="0.25">
      <c r="A302" s="229">
        <v>1994</v>
      </c>
      <c r="B302" s="233">
        <v>45811</v>
      </c>
      <c r="C302" s="333">
        <v>2025</v>
      </c>
      <c r="D302" s="6">
        <f>YEAR(PA[[#This Row],[Date]])</f>
        <v>2025</v>
      </c>
      <c r="E302" s="334" t="s">
        <v>73</v>
      </c>
      <c r="F302" s="335" t="s">
        <v>73</v>
      </c>
      <c r="G302" s="323">
        <v>45809</v>
      </c>
      <c r="H302">
        <f>DAY(EOMONTH(PA[[#This Row],[Date]], 0))</f>
        <v>30</v>
      </c>
      <c r="I302" s="10">
        <v>0.22152777777777777</v>
      </c>
      <c r="J302" s="10">
        <v>0.7729166666666667</v>
      </c>
      <c r="K302" s="53">
        <f>IFERROR((PA[[#This Row],[Sunset Time (POA&lt;20 W/m2)]]-PA[[#This Row],[Sunrise Time (POA&gt;20 W/m2)]])*24,"")</f>
        <v>13.233333333333334</v>
      </c>
      <c r="L302" s="59" t="s">
        <v>564</v>
      </c>
      <c r="M302" s="59"/>
      <c r="N302" s="59"/>
      <c r="O302" s="59" t="s">
        <v>627</v>
      </c>
      <c r="P302" s="56"/>
      <c r="Q302" s="6"/>
      <c r="R30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BLK5INV21</v>
      </c>
      <c r="S302" s="53">
        <v>22.25</v>
      </c>
      <c r="T302" s="90">
        <f>IFERROR(_xlfn.XLOOKUP(PA[[#This Row],[Affected Equipment ]],'Basic Data '!A:A,'Basic Data '!C:C),"")</f>
        <v>4.3333333333333331E-3</v>
      </c>
      <c r="U302" s="59" t="s">
        <v>697</v>
      </c>
      <c r="V302" s="88"/>
      <c r="W302" s="273" t="s">
        <v>762</v>
      </c>
      <c r="X302" s="269">
        <v>0.22152777777777777</v>
      </c>
      <c r="Y302" s="269">
        <v>0.375</v>
      </c>
      <c r="Z302" s="269">
        <v>0.71527777777777779</v>
      </c>
      <c r="AA302" s="269">
        <v>0.71527777777777779</v>
      </c>
      <c r="AB302" s="158">
        <f>IF(PA[[#This Row],[Acknowledgement Time ]]="NA","",(PA[[#This Row],[Acknowledgement Time ]]-PA[[#This Row],[Fault Time]])*24)</f>
        <v>3.6833333333333336</v>
      </c>
      <c r="AC302" s="158">
        <f>IF(PA[[#This Row],[Work Start time on Fault]]="NA","",(PA[[#This Row],[Work Start time on Fault]]-PA[[#This Row],[Fault Time]])*24)</f>
        <v>11.850000000000001</v>
      </c>
      <c r="AD302" s="112">
        <f>IF(PA[[#This Row],[Status]]="Open","",(PA[[#This Row],[Work Completion time on fault]]-PA[[#This Row],[Fault Time]])*24)</f>
        <v>11.850000000000001</v>
      </c>
      <c r="AE302" s="111">
        <f>IFERROR((PA[[#This Row],[Work Completion time on fault]]-PA[[#This Row],[Fault Time]])*24,"")</f>
        <v>11.850000000000001</v>
      </c>
      <c r="AF302" s="273" t="s">
        <v>762</v>
      </c>
      <c r="AG302" s="6" t="s">
        <v>1275</v>
      </c>
      <c r="AH302" s="53">
        <f>IFERROR(PA[[#This Row],[Breakdown Time]]*PA[[#This Row],[Plant Equivalent Weightage]],"")</f>
        <v>5.1350000000000007E-2</v>
      </c>
      <c r="AI302" s="59">
        <v>4.1100000000000003</v>
      </c>
      <c r="AJ302" s="89">
        <f>IFERROR(IF(PA[[#This Row],[Lost PoA(kWh/m2)]]&gt;0,_xlfn.XLOOKUP(G302,'Modelling New'!$D:$D,'Modelling New'!$O:$O)*PA[[#This Row],[Lost PoA(kWh/m2)]]*S302,0),"")</f>
        <v>69.513136413288066</v>
      </c>
    </row>
    <row r="303" spans="1:38" s="256" customFormat="1" ht="30" hidden="1" x14ac:dyDescent="0.25">
      <c r="A303" s="229">
        <v>1995</v>
      </c>
      <c r="B303" s="233">
        <v>45812</v>
      </c>
      <c r="C303" s="333">
        <v>2025</v>
      </c>
      <c r="D303" s="6">
        <f>YEAR(PA[[#This Row],[Date]])</f>
        <v>2025</v>
      </c>
      <c r="E303" s="334" t="s">
        <v>73</v>
      </c>
      <c r="F303" s="335" t="s">
        <v>73</v>
      </c>
      <c r="G303" s="323">
        <v>45809</v>
      </c>
      <c r="H303">
        <f>DAY(EOMONTH(PA[[#This Row],[Date]], 0))</f>
        <v>30</v>
      </c>
      <c r="I303" s="10">
        <v>0.21527777777777779</v>
      </c>
      <c r="J303" s="10">
        <v>0.7729166666666667</v>
      </c>
      <c r="K303" s="53">
        <f>IFERROR((PA[[#This Row],[Sunset Time (POA&lt;20 W/m2)]]-PA[[#This Row],[Sunrise Time (POA&gt;20 W/m2)]])*24,"")</f>
        <v>13.383333333333333</v>
      </c>
      <c r="L303" s="59" t="s">
        <v>559</v>
      </c>
      <c r="M303" s="59"/>
      <c r="N303" s="59"/>
      <c r="O303" s="59" t="s">
        <v>1245</v>
      </c>
      <c r="P303" s="56"/>
      <c r="Q303" s="6"/>
      <c r="R30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303" s="53">
        <v>8870.1</v>
      </c>
      <c r="T303" s="90">
        <f>IFERROR(_xlfn.XLOOKUP(PA[[#This Row],[Affected Equipment ]],'Basic Data '!A:A,'Basic Data '!C:C),"")</f>
        <v>0.125</v>
      </c>
      <c r="U303" s="59" t="s">
        <v>589</v>
      </c>
      <c r="V303" s="88"/>
      <c r="W303" s="273" t="s">
        <v>754</v>
      </c>
      <c r="X303" s="269">
        <v>0.46736111111111112</v>
      </c>
      <c r="Y303" s="269">
        <v>0.46736111111111112</v>
      </c>
      <c r="Z303" s="269">
        <v>0.46875</v>
      </c>
      <c r="AA303" s="269">
        <v>0.47083333333333338</v>
      </c>
      <c r="AB303" s="158">
        <f>IF(PA[[#This Row],[Acknowledgement Time ]]="NA","",(PA[[#This Row],[Acknowledgement Time ]]-PA[[#This Row],[Fault Time]])*24)</f>
        <v>0</v>
      </c>
      <c r="AC303" s="158">
        <f>IF(PA[[#This Row],[Work Start time on Fault]]="NA","",(PA[[#This Row],[Work Start time on Fault]]-PA[[#This Row],[Fault Time]])*24)</f>
        <v>3.3333333333333215E-2</v>
      </c>
      <c r="AD303" s="112">
        <f>IF(PA[[#This Row],[Status]]="Open","",(PA[[#This Row],[Work Completion time on fault]]-PA[[#This Row],[Fault Time]])*24)</f>
        <v>8.333333333333437E-2</v>
      </c>
      <c r="AE303" s="111">
        <f>IFERROR((PA[[#This Row],[Work Completion time on fault]]-PA[[#This Row],[Fault Time]])*24,"")</f>
        <v>8.333333333333437E-2</v>
      </c>
      <c r="AF303" s="273" t="s">
        <v>754</v>
      </c>
      <c r="AG303" s="6" t="s">
        <v>1275</v>
      </c>
      <c r="AH303" s="53">
        <f>IFERROR(PA[[#This Row],[Breakdown Time]]*PA[[#This Row],[Plant Equivalent Weightage]],"")</f>
        <v>1.0416666666666796E-2</v>
      </c>
      <c r="AI303" s="59">
        <v>6.5000000000000002E-2</v>
      </c>
      <c r="AJ303" s="89">
        <f>IFERROR(IF(PA[[#This Row],[Lost PoA(kWh/m2)]]&gt;0,_xlfn.XLOOKUP(G303,'Modelling New'!$D:$D,'Modelling New'!$O:$O)*PA[[#This Row],[Lost PoA(kWh/m2)]]*S303,0),"")</f>
        <v>438.26513173643804</v>
      </c>
      <c r="AK303"/>
      <c r="AL303"/>
    </row>
    <row r="304" spans="1:38" ht="30" hidden="1" x14ac:dyDescent="0.25">
      <c r="A304" s="229">
        <v>1996</v>
      </c>
      <c r="B304" s="233">
        <v>45812</v>
      </c>
      <c r="C304" s="333">
        <v>2025</v>
      </c>
      <c r="D304" s="6">
        <f>YEAR(PA[[#This Row],[Date]])</f>
        <v>2025</v>
      </c>
      <c r="E304" s="334" t="s">
        <v>73</v>
      </c>
      <c r="F304" s="335" t="s">
        <v>73</v>
      </c>
      <c r="G304" s="323">
        <v>45809</v>
      </c>
      <c r="H304">
        <f>DAY(EOMONTH(PA[[#This Row],[Date]], 0))</f>
        <v>30</v>
      </c>
      <c r="I304" s="272">
        <v>0.21527777777777779</v>
      </c>
      <c r="J304" s="10">
        <v>0.7729166666666667</v>
      </c>
      <c r="K304" s="53">
        <f>IFERROR((PA[[#This Row],[Sunset Time (POA&lt;20 W/m2)]]-PA[[#This Row],[Sunrise Time (POA&gt;20 W/m2)]])*24,"")</f>
        <v>13.383333333333333</v>
      </c>
      <c r="L304" s="59" t="s">
        <v>564</v>
      </c>
      <c r="M304" s="59"/>
      <c r="N304" s="59"/>
      <c r="O304" s="59" t="s">
        <v>1245</v>
      </c>
      <c r="P304" s="56"/>
      <c r="Q304" s="6"/>
      <c r="R30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304" s="53">
        <v>8976</v>
      </c>
      <c r="T304" s="90">
        <f>IFERROR(_xlfn.XLOOKUP(PA[[#This Row],[Affected Equipment ]],'Basic Data '!A:A,'Basic Data '!C:C),"")</f>
        <v>0.13280524344569289</v>
      </c>
      <c r="U304" s="59" t="s">
        <v>589</v>
      </c>
      <c r="V304" s="88"/>
      <c r="W304" s="273" t="s">
        <v>752</v>
      </c>
      <c r="X304" s="60">
        <v>0.46666666666666662</v>
      </c>
      <c r="Y304" s="60">
        <v>0.46666666666666662</v>
      </c>
      <c r="Z304" s="60">
        <v>0.4680555555555555</v>
      </c>
      <c r="AA304" s="60">
        <v>0.47013888888888888</v>
      </c>
      <c r="AB304" s="158">
        <f>IF(PA[[#This Row],[Acknowledgement Time ]]="NA","",(PA[[#This Row],[Acknowledgement Time ]]-PA[[#This Row],[Fault Time]])*24)</f>
        <v>0</v>
      </c>
      <c r="AC304" s="158">
        <f>IF(PA[[#This Row],[Work Start time on Fault]]="NA","",(PA[[#This Row],[Work Start time on Fault]]-PA[[#This Row],[Fault Time]])*24)</f>
        <v>3.3333333333333215E-2</v>
      </c>
      <c r="AD304" s="112">
        <f>IF(PA[[#This Row],[Status]]="Open","",(PA[[#This Row],[Work Completion time on fault]]-PA[[#This Row],[Fault Time]])*24)</f>
        <v>8.333333333333437E-2</v>
      </c>
      <c r="AE304" s="111">
        <f>IFERROR((PA[[#This Row],[Work Completion time on fault]]-PA[[#This Row],[Fault Time]])*24,"")</f>
        <v>8.333333333333437E-2</v>
      </c>
      <c r="AF304" s="273" t="s">
        <v>752</v>
      </c>
      <c r="AG304" s="6" t="s">
        <v>1275</v>
      </c>
      <c r="AH304" s="53">
        <f>IFERROR(PA[[#This Row],[Breakdown Time]]*PA[[#This Row],[Plant Equivalent Weightage]],"")</f>
        <v>1.1067103620474545E-2</v>
      </c>
      <c r="AI304" s="59">
        <v>6.4000000000000001E-2</v>
      </c>
      <c r="AJ304" s="89">
        <f>IFERROR(IF(PA[[#This Row],[Lost PoA(kWh/m2)]]&gt;0,_xlfn.XLOOKUP(G304,'Modelling New'!$D:$D,'Modelling New'!$O:$O)*PA[[#This Row],[Lost PoA(kWh/m2)]]*S304,0),"")</f>
        <v>436.67453343747081</v>
      </c>
    </row>
    <row r="305" spans="1:36" hidden="1" x14ac:dyDescent="0.25">
      <c r="A305" s="229">
        <v>1997</v>
      </c>
      <c r="B305" s="233">
        <v>45812</v>
      </c>
      <c r="C305" s="333">
        <v>2025</v>
      </c>
      <c r="D305" s="6">
        <f>YEAR(PA[[#This Row],[Date]])</f>
        <v>2025</v>
      </c>
      <c r="E305" s="334" t="s">
        <v>73</v>
      </c>
      <c r="F305" s="335" t="s">
        <v>73</v>
      </c>
      <c r="G305" s="323">
        <v>45809</v>
      </c>
      <c r="H305">
        <f>DAY(EOMONTH(PA[[#This Row],[Date]], 0))</f>
        <v>30</v>
      </c>
      <c r="I305" s="272">
        <v>0.21527777777777779</v>
      </c>
      <c r="J305" s="10">
        <v>0.7729166666666667</v>
      </c>
      <c r="K305" s="53">
        <f>IFERROR((PA[[#This Row],[Sunset Time (POA&lt;20 W/m2)]]-PA[[#This Row],[Sunrise Time (POA&gt;20 W/m2)]])*24,"")</f>
        <v>13.383333333333333</v>
      </c>
      <c r="L305" s="59" t="s">
        <v>564</v>
      </c>
      <c r="M305" s="59"/>
      <c r="N305" s="59"/>
      <c r="O305" s="59" t="s">
        <v>581</v>
      </c>
      <c r="P305" s="56"/>
      <c r="Q305" s="6"/>
      <c r="R30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BLK5INV32</v>
      </c>
      <c r="S305" s="53">
        <v>22.23</v>
      </c>
      <c r="T305" s="90">
        <f>IFERROR(_xlfn.XLOOKUP(PA[[#This Row],[Affected Equipment ]],'Basic Data '!A:A,'Basic Data '!C:C),"")</f>
        <v>4.0000000000000001E-3</v>
      </c>
      <c r="U305" s="59" t="s">
        <v>697</v>
      </c>
      <c r="V305" s="88"/>
      <c r="W305" s="270" t="s">
        <v>763</v>
      </c>
      <c r="X305" s="60">
        <v>0.21527777777777779</v>
      </c>
      <c r="Y305" s="60">
        <v>0.375</v>
      </c>
      <c r="Z305" s="60">
        <v>0.49652777777777773</v>
      </c>
      <c r="AA305" s="60">
        <v>0.50694444444444442</v>
      </c>
      <c r="AB305" s="158">
        <f>IF(PA[[#This Row],[Acknowledgement Time ]]="NA","",(PA[[#This Row],[Acknowledgement Time ]]-PA[[#This Row],[Fault Time]])*24)</f>
        <v>3.833333333333333</v>
      </c>
      <c r="AC305" s="158">
        <f>IF(PA[[#This Row],[Work Start time on Fault]]="NA","",(PA[[#This Row],[Work Start time on Fault]]-PA[[#This Row],[Fault Time]])*24)</f>
        <v>6.7499999999999982</v>
      </c>
      <c r="AD305" s="112">
        <f>IF(PA[[#This Row],[Status]]="Open","",(PA[[#This Row],[Work Completion time on fault]]-PA[[#This Row],[Fault Time]])*24)</f>
        <v>6.9999999999999991</v>
      </c>
      <c r="AE305" s="111">
        <f>IFERROR((PA[[#This Row],[Work Completion time on fault]]-PA[[#This Row],[Fault Time]])*24,"")</f>
        <v>6.9999999999999991</v>
      </c>
      <c r="AF305" s="228" t="s">
        <v>764</v>
      </c>
      <c r="AG305" s="6" t="s">
        <v>1275</v>
      </c>
      <c r="AH305" s="53">
        <f>IFERROR(PA[[#This Row],[Breakdown Time]]*PA[[#This Row],[Plant Equivalent Weightage]],"")</f>
        <v>2.7999999999999997E-2</v>
      </c>
      <c r="AI305" s="59">
        <v>2.0609999999999999</v>
      </c>
      <c r="AJ305" s="89">
        <f>IFERROR(IF(PA[[#This Row],[Lost PoA(kWh/m2)]]&gt;0,_xlfn.XLOOKUP(G305,'Modelling New'!$D:$D,'Modelling New'!$O:$O)*PA[[#This Row],[Lost PoA(kWh/m2)]]*S305,0),"")</f>
        <v>34.826714161735396</v>
      </c>
    </row>
    <row r="306" spans="1:36" hidden="1" x14ac:dyDescent="0.25">
      <c r="A306" s="229">
        <v>1998</v>
      </c>
      <c r="B306" s="233">
        <v>45812</v>
      </c>
      <c r="C306" s="333">
        <v>2025</v>
      </c>
      <c r="D306" s="6">
        <f>YEAR(PA[[#This Row],[Date]])</f>
        <v>2025</v>
      </c>
      <c r="E306" s="334" t="s">
        <v>73</v>
      </c>
      <c r="F306" s="335" t="s">
        <v>73</v>
      </c>
      <c r="G306" s="323">
        <v>45809</v>
      </c>
      <c r="H306">
        <f>DAY(EOMONTH(PA[[#This Row],[Date]], 0))</f>
        <v>30</v>
      </c>
      <c r="I306" s="272">
        <v>0.21527777777777779</v>
      </c>
      <c r="J306" s="10">
        <v>0.7729166666666667</v>
      </c>
      <c r="K306" s="53">
        <f>IFERROR((PA[[#This Row],[Sunset Time (POA&lt;20 W/m2)]]-PA[[#This Row],[Sunrise Time (POA&gt;20 W/m2)]])*24,"")</f>
        <v>13.383333333333333</v>
      </c>
      <c r="L306" s="59" t="s">
        <v>564</v>
      </c>
      <c r="M306" s="59"/>
      <c r="N306" s="59"/>
      <c r="O306" s="59" t="s">
        <v>721</v>
      </c>
      <c r="P306" s="56"/>
      <c r="Q306" s="6"/>
      <c r="R30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BLK5INV29</v>
      </c>
      <c r="S306" s="53">
        <v>22.23</v>
      </c>
      <c r="T306" s="90">
        <f>IFERROR(_xlfn.XLOOKUP(PA[[#This Row],[Affected Equipment ]],'Basic Data '!A:A,'Basic Data '!C:C),"")</f>
        <v>4.0000000000000001E-3</v>
      </c>
      <c r="U306" s="59" t="s">
        <v>697</v>
      </c>
      <c r="V306" s="88"/>
      <c r="W306" s="270" t="s">
        <v>765</v>
      </c>
      <c r="X306" s="60">
        <v>0.21527777777777779</v>
      </c>
      <c r="Y306" s="60">
        <v>0.375</v>
      </c>
      <c r="Z306" s="60">
        <v>0.50694444444444442</v>
      </c>
      <c r="AA306" s="60">
        <v>0.51736111111111116</v>
      </c>
      <c r="AB306" s="158">
        <f>IF(PA[[#This Row],[Acknowledgement Time ]]="NA","",(PA[[#This Row],[Acknowledgement Time ]]-PA[[#This Row],[Fault Time]])*24)</f>
        <v>3.833333333333333</v>
      </c>
      <c r="AC306" s="158">
        <f>IF(PA[[#This Row],[Work Start time on Fault]]="NA","",(PA[[#This Row],[Work Start time on Fault]]-PA[[#This Row],[Fault Time]])*24)</f>
        <v>6.9999999999999991</v>
      </c>
      <c r="AD306" s="112">
        <f>IF(PA[[#This Row],[Status]]="Open","",(PA[[#This Row],[Work Completion time on fault]]-PA[[#This Row],[Fault Time]])*24)</f>
        <v>7.2500000000000009</v>
      </c>
      <c r="AE306" s="111">
        <f>IFERROR((PA[[#This Row],[Work Completion time on fault]]-PA[[#This Row],[Fault Time]])*24,"")</f>
        <v>7.2500000000000009</v>
      </c>
      <c r="AF306" s="228" t="s">
        <v>759</v>
      </c>
      <c r="AG306" s="6" t="s">
        <v>1275</v>
      </c>
      <c r="AH306" s="53">
        <f>IFERROR(PA[[#This Row],[Breakdown Time]]*PA[[#This Row],[Plant Equivalent Weightage]],"")</f>
        <v>2.9000000000000005E-2</v>
      </c>
      <c r="AI306" s="59">
        <v>2.21</v>
      </c>
      <c r="AJ306" s="89">
        <f>IFERROR(IF(PA[[#This Row],[Lost PoA(kWh/m2)]]&gt;0,_xlfn.XLOOKUP(G306,'Modelling New'!$D:$D,'Modelling New'!$O:$O)*PA[[#This Row],[Lost PoA(kWh/m2)]]*S306,0),"")</f>
        <v>37.344511546547906</v>
      </c>
    </row>
    <row r="307" spans="1:36" hidden="1" x14ac:dyDescent="0.25">
      <c r="A307" s="229">
        <v>1999</v>
      </c>
      <c r="B307" s="233">
        <v>45812</v>
      </c>
      <c r="C307" s="333">
        <v>2025</v>
      </c>
      <c r="D307" s="6">
        <f>YEAR(PA[[#This Row],[Date]])</f>
        <v>2025</v>
      </c>
      <c r="E307" s="334" t="s">
        <v>73</v>
      </c>
      <c r="F307" s="335" t="s">
        <v>73</v>
      </c>
      <c r="G307" s="323">
        <v>45809</v>
      </c>
      <c r="H307">
        <f>DAY(EOMONTH(PA[[#This Row],[Date]], 0))</f>
        <v>30</v>
      </c>
      <c r="I307" s="272">
        <v>0.21527777777777779</v>
      </c>
      <c r="J307" s="10">
        <v>0.7729166666666667</v>
      </c>
      <c r="K307" s="53">
        <f>IFERROR((PA[[#This Row],[Sunset Time (POA&lt;20 W/m2)]]-PA[[#This Row],[Sunrise Time (POA&gt;20 W/m2)]])*24,"")</f>
        <v>13.383333333333333</v>
      </c>
      <c r="L307" s="59" t="s">
        <v>564</v>
      </c>
      <c r="M307" s="59"/>
      <c r="N307" s="59"/>
      <c r="O307" s="59" t="s">
        <v>583</v>
      </c>
      <c r="P307" s="56"/>
      <c r="Q307" s="6"/>
      <c r="R30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BLK5INV30</v>
      </c>
      <c r="S307" s="53">
        <v>22.23</v>
      </c>
      <c r="T307" s="90">
        <f>IFERROR(_xlfn.XLOOKUP(PA[[#This Row],[Affected Equipment ]],'Basic Data '!A:A,'Basic Data '!C:C),"")</f>
        <v>4.0000000000000001E-3</v>
      </c>
      <c r="U307" s="59" t="s">
        <v>697</v>
      </c>
      <c r="V307" s="88"/>
      <c r="W307" s="22" t="s">
        <v>766</v>
      </c>
      <c r="X307" s="60">
        <v>0.21527777777777779</v>
      </c>
      <c r="Y307" s="60">
        <v>0.375</v>
      </c>
      <c r="Z307" s="60">
        <v>0.51736111111111105</v>
      </c>
      <c r="AA307" s="60">
        <v>0.53125</v>
      </c>
      <c r="AB307" s="158">
        <f>IF(PA[[#This Row],[Acknowledgement Time ]]="NA","",(PA[[#This Row],[Acknowledgement Time ]]-PA[[#This Row],[Fault Time]])*24)</f>
        <v>3.833333333333333</v>
      </c>
      <c r="AC307" s="158">
        <f>IF(PA[[#This Row],[Work Start time on Fault]]="NA","",(PA[[#This Row],[Work Start time on Fault]]-PA[[#This Row],[Fault Time]])*24)</f>
        <v>7.2499999999999982</v>
      </c>
      <c r="AD307" s="112">
        <f>IF(PA[[#This Row],[Status]]="Open","",(PA[[#This Row],[Work Completion time on fault]]-PA[[#This Row],[Fault Time]])*24)</f>
        <v>7.583333333333333</v>
      </c>
      <c r="AE307" s="111">
        <f>IFERROR((PA[[#This Row],[Work Completion time on fault]]-PA[[#This Row],[Fault Time]])*24,"")</f>
        <v>7.583333333333333</v>
      </c>
      <c r="AF307" s="228" t="s">
        <v>762</v>
      </c>
      <c r="AG307" s="6" t="s">
        <v>1275</v>
      </c>
      <c r="AH307" s="53">
        <f>IFERROR(PA[[#This Row],[Breakdown Time]]*PA[[#This Row],[Plant Equivalent Weightage]],"")</f>
        <v>3.0333333333333334E-2</v>
      </c>
      <c r="AI307" s="59">
        <v>2.38</v>
      </c>
      <c r="AJ307" s="89">
        <f>IFERROR(IF(PA[[#This Row],[Lost PoA(kWh/m2)]]&gt;0,_xlfn.XLOOKUP(G307,'Modelling New'!$D:$D,'Modelling New'!$O:$O)*PA[[#This Row],[Lost PoA(kWh/m2)]]*S307,0),"")</f>
        <v>40.217166280897743</v>
      </c>
    </row>
    <row r="308" spans="1:36" hidden="1" x14ac:dyDescent="0.25">
      <c r="A308" s="229">
        <v>2000</v>
      </c>
      <c r="B308" s="233">
        <v>45812</v>
      </c>
      <c r="C308" s="333">
        <v>2025</v>
      </c>
      <c r="D308" s="6">
        <f>YEAR(PA[[#This Row],[Date]])</f>
        <v>2025</v>
      </c>
      <c r="E308" s="334" t="s">
        <v>73</v>
      </c>
      <c r="F308" s="335" t="s">
        <v>73</v>
      </c>
      <c r="G308" s="323">
        <v>45809</v>
      </c>
      <c r="H308">
        <f>DAY(EOMONTH(PA[[#This Row],[Date]], 0))</f>
        <v>30</v>
      </c>
      <c r="I308" s="272">
        <v>0.21527777777777779</v>
      </c>
      <c r="J308" s="10">
        <v>0.7729166666666667</v>
      </c>
      <c r="K308" s="53">
        <f>IFERROR((PA[[#This Row],[Sunset Time (POA&lt;20 W/m2)]]-PA[[#This Row],[Sunrise Time (POA&gt;20 W/m2)]])*24,"")</f>
        <v>13.383333333333333</v>
      </c>
      <c r="L308" s="59" t="s">
        <v>564</v>
      </c>
      <c r="M308" s="59"/>
      <c r="N308" s="59"/>
      <c r="O308" s="59" t="s">
        <v>612</v>
      </c>
      <c r="P308" s="56"/>
      <c r="Q308" s="6"/>
      <c r="R30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BLK5INV28</v>
      </c>
      <c r="S308" s="53">
        <v>22.23</v>
      </c>
      <c r="T308" s="90">
        <f>IFERROR(_xlfn.XLOOKUP(PA[[#This Row],[Affected Equipment ]],'Basic Data '!A:A,'Basic Data '!C:C),"")</f>
        <v>4.4999999999999997E-3</v>
      </c>
      <c r="U308" s="59" t="s">
        <v>697</v>
      </c>
      <c r="V308" s="88"/>
      <c r="W308" s="22" t="s">
        <v>767</v>
      </c>
      <c r="X308" s="60">
        <v>0.21527777777777779</v>
      </c>
      <c r="Y308" s="60">
        <v>0.375</v>
      </c>
      <c r="Z308" s="60">
        <v>0.53125</v>
      </c>
      <c r="AA308" s="60">
        <v>0.54513888888888884</v>
      </c>
      <c r="AB308" s="158">
        <f>IF(PA[[#This Row],[Acknowledgement Time ]]="NA","",(PA[[#This Row],[Acknowledgement Time ]]-PA[[#This Row],[Fault Time]])*24)</f>
        <v>3.833333333333333</v>
      </c>
      <c r="AC308" s="158">
        <f>IF(PA[[#This Row],[Work Start time on Fault]]="NA","",(PA[[#This Row],[Work Start time on Fault]]-PA[[#This Row],[Fault Time]])*24)</f>
        <v>7.583333333333333</v>
      </c>
      <c r="AD308" s="112">
        <f>IF(PA[[#This Row],[Status]]="Open","",(PA[[#This Row],[Work Completion time on fault]]-PA[[#This Row],[Fault Time]])*24)</f>
        <v>7.9166666666666652</v>
      </c>
      <c r="AE308" s="111">
        <f>IFERROR((PA[[#This Row],[Work Completion time on fault]]-PA[[#This Row],[Fault Time]])*24,"")</f>
        <v>7.9166666666666652</v>
      </c>
      <c r="AF308" s="228" t="s">
        <v>762</v>
      </c>
      <c r="AG308" s="6" t="s">
        <v>1275</v>
      </c>
      <c r="AH308" s="53">
        <f>IFERROR(PA[[#This Row],[Breakdown Time]]*PA[[#This Row],[Plant Equivalent Weightage]],"")</f>
        <v>3.562499999999999E-2</v>
      </c>
      <c r="AI308" s="59">
        <v>2.54</v>
      </c>
      <c r="AJ308" s="89">
        <f>IFERROR(IF(PA[[#This Row],[Lost PoA(kWh/m2)]]&gt;0,_xlfn.XLOOKUP(G308,'Modelling New'!$D:$D,'Modelling New'!$O:$O)*PA[[#This Row],[Lost PoA(kWh/m2)]]*S308,0),"")</f>
        <v>42.920841324991713</v>
      </c>
    </row>
    <row r="309" spans="1:36" hidden="1" x14ac:dyDescent="0.25">
      <c r="A309" s="229">
        <v>2001</v>
      </c>
      <c r="B309" s="233">
        <v>45812</v>
      </c>
      <c r="C309" s="333">
        <v>2025</v>
      </c>
      <c r="D309" s="6">
        <f>YEAR(PA[[#This Row],[Date]])</f>
        <v>2025</v>
      </c>
      <c r="E309" s="334" t="s">
        <v>73</v>
      </c>
      <c r="F309" s="335" t="s">
        <v>73</v>
      </c>
      <c r="G309" s="323">
        <v>45809</v>
      </c>
      <c r="H309">
        <f>DAY(EOMONTH(PA[[#This Row],[Date]], 0))</f>
        <v>30</v>
      </c>
      <c r="I309" s="272">
        <v>0.21527777777777779</v>
      </c>
      <c r="J309" s="10">
        <v>0.7729166666666667</v>
      </c>
      <c r="K309" s="53">
        <f>IFERROR((PA[[#This Row],[Sunset Time (POA&lt;20 W/m2)]]-PA[[#This Row],[Sunrise Time (POA&gt;20 W/m2)]])*24,"")</f>
        <v>13.383333333333333</v>
      </c>
      <c r="L309" s="59" t="s">
        <v>564</v>
      </c>
      <c r="M309" s="59"/>
      <c r="N309" s="59"/>
      <c r="O309" s="59" t="s">
        <v>580</v>
      </c>
      <c r="P309" s="56"/>
      <c r="Q309" s="6"/>
      <c r="R30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BLK5INV31</v>
      </c>
      <c r="S309" s="53">
        <v>22.23</v>
      </c>
      <c r="T309" s="90">
        <f>IFERROR(_xlfn.XLOOKUP(PA[[#This Row],[Affected Equipment ]],'Basic Data '!A:A,'Basic Data '!C:C),"")</f>
        <v>4.0000000000000001E-3</v>
      </c>
      <c r="U309" s="59" t="s">
        <v>697</v>
      </c>
      <c r="V309" s="88"/>
      <c r="W309" s="22" t="s">
        <v>767</v>
      </c>
      <c r="X309" s="60">
        <v>0.21527777777777779</v>
      </c>
      <c r="Y309" s="60">
        <v>0.375</v>
      </c>
      <c r="Z309" s="60">
        <v>0.61805555555555558</v>
      </c>
      <c r="AA309" s="60">
        <v>0.63194444444444442</v>
      </c>
      <c r="AB309" s="158">
        <f>IF(PA[[#This Row],[Acknowledgement Time ]]="NA","",(PA[[#This Row],[Acknowledgement Time ]]-PA[[#This Row],[Fault Time]])*24)</f>
        <v>3.833333333333333</v>
      </c>
      <c r="AC309" s="158">
        <f>IF(PA[[#This Row],[Work Start time on Fault]]="NA","",(PA[[#This Row],[Work Start time on Fault]]-PA[[#This Row],[Fault Time]])*24)</f>
        <v>9.6666666666666679</v>
      </c>
      <c r="AD309" s="112">
        <f>IF(PA[[#This Row],[Status]]="Open","",(PA[[#This Row],[Work Completion time on fault]]-PA[[#This Row],[Fault Time]])*24)</f>
        <v>10</v>
      </c>
      <c r="AE309" s="111">
        <f>IFERROR((PA[[#This Row],[Work Completion time on fault]]-PA[[#This Row],[Fault Time]])*24,"")</f>
        <v>10</v>
      </c>
      <c r="AF309" s="228" t="s">
        <v>762</v>
      </c>
      <c r="AG309" s="6" t="s">
        <v>1275</v>
      </c>
      <c r="AH309" s="53">
        <f>IFERROR(PA[[#This Row],[Breakdown Time]]*PA[[#This Row],[Plant Equivalent Weightage]],"")</f>
        <v>0.04</v>
      </c>
      <c r="AI309" s="59">
        <v>3.84</v>
      </c>
      <c r="AJ309" s="89">
        <f>IFERROR(IF(PA[[#This Row],[Lost PoA(kWh/m2)]]&gt;0,_xlfn.XLOOKUP(G309,'Modelling New'!$D:$D,'Modelling New'!$O:$O)*PA[[#This Row],[Lost PoA(kWh/m2)]]*S309,0),"")</f>
        <v>64.888201058255191</v>
      </c>
    </row>
    <row r="310" spans="1:36" hidden="1" x14ac:dyDescent="0.25">
      <c r="A310" s="229">
        <v>2002</v>
      </c>
      <c r="B310" s="233">
        <v>45812</v>
      </c>
      <c r="C310" s="333">
        <v>2025</v>
      </c>
      <c r="D310" s="6">
        <f>YEAR(PA[[#This Row],[Date]])</f>
        <v>2025</v>
      </c>
      <c r="E310" s="334" t="s">
        <v>73</v>
      </c>
      <c r="F310" s="335" t="s">
        <v>73</v>
      </c>
      <c r="G310" s="323">
        <v>45809</v>
      </c>
      <c r="H310">
        <f>DAY(EOMONTH(PA[[#This Row],[Date]], 0))</f>
        <v>30</v>
      </c>
      <c r="I310" s="272">
        <v>0.21527777777777779</v>
      </c>
      <c r="J310" s="10">
        <v>0.7729166666666667</v>
      </c>
      <c r="K310" s="53">
        <f>IFERROR((PA[[#This Row],[Sunset Time (POA&lt;20 W/m2)]]-PA[[#This Row],[Sunrise Time (POA&gt;20 W/m2)]])*24,"")</f>
        <v>13.383333333333333</v>
      </c>
      <c r="L310" s="59" t="s">
        <v>564</v>
      </c>
      <c r="M310" s="59"/>
      <c r="N310" s="59"/>
      <c r="O310" s="59" t="s">
        <v>578</v>
      </c>
      <c r="P310" s="56"/>
      <c r="Q310" s="6"/>
      <c r="R31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BLK5INV12</v>
      </c>
      <c r="S310" s="53">
        <v>22.23</v>
      </c>
      <c r="T310" s="90">
        <f>IFERROR(_xlfn.XLOOKUP(PA[[#This Row],[Affected Equipment ]],'Basic Data '!A:A,'Basic Data '!C:C),"")</f>
        <v>4.2846441947565544E-3</v>
      </c>
      <c r="U310" s="59" t="s">
        <v>697</v>
      </c>
      <c r="V310" s="88"/>
      <c r="W310" s="22" t="s">
        <v>767</v>
      </c>
      <c r="X310" s="60">
        <v>0.21527777777777779</v>
      </c>
      <c r="Y310" s="60">
        <v>0.375</v>
      </c>
      <c r="Z310" s="60">
        <v>0.63194444444444442</v>
      </c>
      <c r="AA310" s="60">
        <v>0.64583333333333337</v>
      </c>
      <c r="AB310" s="158">
        <f>IF(PA[[#This Row],[Acknowledgement Time ]]="NA","",(PA[[#This Row],[Acknowledgement Time ]]-PA[[#This Row],[Fault Time]])*24)</f>
        <v>3.833333333333333</v>
      </c>
      <c r="AC310" s="158">
        <f>IF(PA[[#This Row],[Work Start time on Fault]]="NA","",(PA[[#This Row],[Work Start time on Fault]]-PA[[#This Row],[Fault Time]])*24)</f>
        <v>10</v>
      </c>
      <c r="AD310" s="112">
        <f>IF(PA[[#This Row],[Status]]="Open","",(PA[[#This Row],[Work Completion time on fault]]-PA[[#This Row],[Fault Time]])*24)</f>
        <v>10.333333333333334</v>
      </c>
      <c r="AE310" s="111">
        <f>IFERROR((PA[[#This Row],[Work Completion time on fault]]-PA[[#This Row],[Fault Time]])*24,"")</f>
        <v>10.333333333333334</v>
      </c>
      <c r="AF310" s="228" t="s">
        <v>762</v>
      </c>
      <c r="AG310" s="6" t="s">
        <v>1275</v>
      </c>
      <c r="AH310" s="53">
        <f>IFERROR(PA[[#This Row],[Breakdown Time]]*PA[[#This Row],[Plant Equivalent Weightage]],"")</f>
        <v>4.4274656679151064E-2</v>
      </c>
      <c r="AI310" s="59">
        <v>4.08</v>
      </c>
      <c r="AJ310" s="89">
        <f>IFERROR(IF(PA[[#This Row],[Lost PoA(kWh/m2)]]&gt;0,_xlfn.XLOOKUP(G310,'Modelling New'!$D:$D,'Modelling New'!$O:$O)*PA[[#This Row],[Lost PoA(kWh/m2)]]*S310,0),"")</f>
        <v>68.943713624396139</v>
      </c>
    </row>
    <row r="311" spans="1:36" hidden="1" x14ac:dyDescent="0.25">
      <c r="A311" s="229">
        <v>2003</v>
      </c>
      <c r="B311" s="233">
        <v>45812</v>
      </c>
      <c r="C311" s="333">
        <v>2025</v>
      </c>
      <c r="D311" s="6">
        <f>YEAR(PA[[#This Row],[Date]])</f>
        <v>2025</v>
      </c>
      <c r="E311" s="334" t="s">
        <v>73</v>
      </c>
      <c r="F311" s="335" t="s">
        <v>73</v>
      </c>
      <c r="G311" s="323">
        <v>45809</v>
      </c>
      <c r="H311">
        <f>DAY(EOMONTH(PA[[#This Row],[Date]], 0))</f>
        <v>30</v>
      </c>
      <c r="I311" s="272">
        <v>0.21527777777777779</v>
      </c>
      <c r="J311" s="10">
        <v>0.7729166666666667</v>
      </c>
      <c r="K311" s="53">
        <f>IFERROR((PA[[#This Row],[Sunset Time (POA&lt;20 W/m2)]]-PA[[#This Row],[Sunrise Time (POA&gt;20 W/m2)]])*24,"")</f>
        <v>13.383333333333333</v>
      </c>
      <c r="L311" s="59" t="s">
        <v>564</v>
      </c>
      <c r="M311" s="59"/>
      <c r="N311" s="59"/>
      <c r="O311" s="59" t="s">
        <v>591</v>
      </c>
      <c r="P311" s="56"/>
      <c r="Q311" s="6"/>
      <c r="R31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BLK5INV5</v>
      </c>
      <c r="S311" s="53">
        <v>22.23</v>
      </c>
      <c r="T311" s="90">
        <f>IFERROR(_xlfn.XLOOKUP(PA[[#This Row],[Affected Equipment ]],'Basic Data '!A:A,'Basic Data '!C:C),"")</f>
        <v>4.4999999999999997E-3</v>
      </c>
      <c r="U311" s="59" t="s">
        <v>697</v>
      </c>
      <c r="V311" s="88"/>
      <c r="W311" s="270" t="s">
        <v>768</v>
      </c>
      <c r="X311" s="60">
        <v>0.21527777777777779</v>
      </c>
      <c r="Y311" s="60">
        <v>0.375</v>
      </c>
      <c r="Z311" s="60">
        <v>0.64236111111111105</v>
      </c>
      <c r="AA311" s="60">
        <v>0.65625</v>
      </c>
      <c r="AB311" s="158">
        <f>IF(PA[[#This Row],[Acknowledgement Time ]]="NA","",(PA[[#This Row],[Acknowledgement Time ]]-PA[[#This Row],[Fault Time]])*24)</f>
        <v>3.833333333333333</v>
      </c>
      <c r="AC311" s="158">
        <f>IF(PA[[#This Row],[Work Start time on Fault]]="NA","",(PA[[#This Row],[Work Start time on Fault]]-PA[[#This Row],[Fault Time]])*24)</f>
        <v>10.249999999999998</v>
      </c>
      <c r="AD311" s="112">
        <f>IF(PA[[#This Row],[Status]]="Open","",(PA[[#This Row],[Work Completion time on fault]]-PA[[#This Row],[Fault Time]])*24)</f>
        <v>10.583333333333332</v>
      </c>
      <c r="AE311" s="111">
        <f>IFERROR((PA[[#This Row],[Work Completion time on fault]]-PA[[#This Row],[Fault Time]])*24,"")</f>
        <v>10.583333333333332</v>
      </c>
      <c r="AF311" s="228" t="s">
        <v>769</v>
      </c>
      <c r="AG311" s="6" t="s">
        <v>1275</v>
      </c>
      <c r="AH311" s="53">
        <f>IFERROR(PA[[#This Row],[Breakdown Time]]*PA[[#This Row],[Plant Equivalent Weightage]],"")</f>
        <v>4.7624999999999994E-2</v>
      </c>
      <c r="AI311" s="59">
        <v>4.22</v>
      </c>
      <c r="AJ311" s="89">
        <f>IFERROR(IF(PA[[#This Row],[Lost PoA(kWh/m2)]]&gt;0,_xlfn.XLOOKUP(G311,'Modelling New'!$D:$D,'Modelling New'!$O:$O)*PA[[#This Row],[Lost PoA(kWh/m2)]]*S311,0),"")</f>
        <v>71.309429287978361</v>
      </c>
    </row>
    <row r="312" spans="1:36" ht="30" hidden="1" x14ac:dyDescent="0.25">
      <c r="A312" s="229">
        <v>2004</v>
      </c>
      <c r="B312" s="233">
        <v>45812</v>
      </c>
      <c r="C312" s="333">
        <v>2025</v>
      </c>
      <c r="D312" s="6">
        <f>YEAR(PA[[#This Row],[Date]])</f>
        <v>2025</v>
      </c>
      <c r="E312" s="334" t="s">
        <v>73</v>
      </c>
      <c r="F312" s="335" t="s">
        <v>73</v>
      </c>
      <c r="G312" s="323">
        <v>45809</v>
      </c>
      <c r="H312">
        <f>DAY(EOMONTH(PA[[#This Row],[Date]], 0))</f>
        <v>30</v>
      </c>
      <c r="I312" s="272">
        <v>0.21527777777777779</v>
      </c>
      <c r="J312" s="10">
        <v>0.7729166666666667</v>
      </c>
      <c r="K312" s="53">
        <f>IFERROR((PA[[#This Row],[Sunset Time (POA&lt;20 W/m2)]]-PA[[#This Row],[Sunrise Time (POA&gt;20 W/m2)]])*24,"")</f>
        <v>13.383333333333333</v>
      </c>
      <c r="L312" s="59" t="s">
        <v>606</v>
      </c>
      <c r="M312" s="59"/>
      <c r="N312" s="59"/>
      <c r="O312" s="59" t="s">
        <v>601</v>
      </c>
      <c r="P312" s="56"/>
      <c r="Q312" s="6"/>
      <c r="R31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BLK7INV18</v>
      </c>
      <c r="S312" s="53">
        <f>_xlfn.XLOOKUP(PA[[#This Row],[Affected Equipment ]],'Basic Data '!$A:$A,'Basic Data '!$B:$B)</f>
        <v>267</v>
      </c>
      <c r="T312" s="90">
        <f>IFERROR(_xlfn.XLOOKUP(PA[[#This Row],[Affected Equipment ]],'Basic Data '!A:A,'Basic Data '!C:C),"")</f>
        <v>4.0000000000000001E-3</v>
      </c>
      <c r="U312" s="59" t="s">
        <v>697</v>
      </c>
      <c r="V312" s="88"/>
      <c r="W312" s="22" t="s">
        <v>770</v>
      </c>
      <c r="X312" s="60">
        <v>0.33333333333333331</v>
      </c>
      <c r="Y312" s="60">
        <v>0.33333333333333331</v>
      </c>
      <c r="Z312" s="60">
        <v>0.34375</v>
      </c>
      <c r="AA312" s="60">
        <v>0.40347222222222223</v>
      </c>
      <c r="AB312" s="158">
        <f>IF(PA[[#This Row],[Acknowledgement Time ]]="NA","",(PA[[#This Row],[Acknowledgement Time ]]-PA[[#This Row],[Fault Time]])*24)</f>
        <v>0</v>
      </c>
      <c r="AC312" s="158">
        <f>IF(PA[[#This Row],[Work Start time on Fault]]="NA","",(PA[[#This Row],[Work Start time on Fault]]-PA[[#This Row],[Fault Time]])*24)</f>
        <v>0.25000000000000044</v>
      </c>
      <c r="AD312" s="112">
        <f>IF(PA[[#This Row],[Status]]="Open","",(PA[[#This Row],[Work Completion time on fault]]-PA[[#This Row],[Fault Time]])*24)</f>
        <v>1.683333333333334</v>
      </c>
      <c r="AE312" s="111">
        <f>IFERROR((PA[[#This Row],[Work Completion time on fault]]-PA[[#This Row],[Fault Time]])*24,"")</f>
        <v>1.683333333333334</v>
      </c>
      <c r="AF312" s="228" t="s">
        <v>771</v>
      </c>
      <c r="AG312" s="6" t="s">
        <v>1275</v>
      </c>
      <c r="AH312" s="53">
        <f>IFERROR(PA[[#This Row],[Breakdown Time]]*PA[[#This Row],[Plant Equivalent Weightage]],"")</f>
        <v>6.733333333333336E-3</v>
      </c>
      <c r="AI312" s="59">
        <v>0.65</v>
      </c>
      <c r="AJ312" s="89">
        <f>IFERROR(IF(PA[[#This Row],[Lost PoA(kWh/m2)]]&gt;0,_xlfn.XLOOKUP(G312,'Modelling New'!$D:$D,'Modelling New'!$O:$O)*PA[[#This Row],[Lost PoA(kWh/m2)]]*S312,0),"")</f>
        <v>131.92274063835691</v>
      </c>
    </row>
    <row r="313" spans="1:36" ht="30" hidden="1" x14ac:dyDescent="0.25">
      <c r="A313" s="229">
        <v>2005</v>
      </c>
      <c r="B313" s="233">
        <v>45813</v>
      </c>
      <c r="C313" s="333">
        <v>2025</v>
      </c>
      <c r="D313" s="6">
        <f>YEAR(PA[[#This Row],[Date]])</f>
        <v>2025</v>
      </c>
      <c r="E313" s="334" t="s">
        <v>73</v>
      </c>
      <c r="F313" s="335" t="s">
        <v>73</v>
      </c>
      <c r="G313" s="323">
        <v>45809</v>
      </c>
      <c r="H313">
        <f>DAY(EOMONTH(PA[[#This Row],[Date]], 0))</f>
        <v>30</v>
      </c>
      <c r="I313" s="272">
        <v>0.21249999999999999</v>
      </c>
      <c r="J313" s="272">
        <v>0.77500000000000002</v>
      </c>
      <c r="K313" s="53">
        <f>IFERROR((PA[[#This Row],[Sunset Time (POA&lt;20 W/m2)]]-PA[[#This Row],[Sunrise Time (POA&gt;20 W/m2)]])*24,"")</f>
        <v>13.5</v>
      </c>
      <c r="L313" s="59" t="s">
        <v>587</v>
      </c>
      <c r="M313" s="59"/>
      <c r="N313" s="59"/>
      <c r="O313" s="128" t="s">
        <v>789</v>
      </c>
      <c r="P313" s="56"/>
      <c r="Q313" s="6"/>
      <c r="R31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313" s="53">
        <v>8944.5</v>
      </c>
      <c r="T313" s="90">
        <f>IFERROR(_xlfn.XLOOKUP(PA[[#This Row],[Affected Equipment ]],'Basic Data '!A:A,'Basic Data '!C:C),"")</f>
        <v>0.13400000000000001</v>
      </c>
      <c r="U313" s="59" t="s">
        <v>589</v>
      </c>
      <c r="V313" s="88"/>
      <c r="W313" s="273" t="s">
        <v>751</v>
      </c>
      <c r="X313" s="269">
        <v>0.53055555555555556</v>
      </c>
      <c r="Y313" s="269">
        <v>0.53055555555555556</v>
      </c>
      <c r="Z313" s="60">
        <v>0.53194444444444444</v>
      </c>
      <c r="AA313" s="269">
        <v>0.5395833333333333</v>
      </c>
      <c r="AB313" s="158">
        <f>IF(PA[[#This Row],[Acknowledgement Time ]]="NA","",(PA[[#This Row],[Acknowledgement Time ]]-PA[[#This Row],[Fault Time]])*24)</f>
        <v>0</v>
      </c>
      <c r="AC313" s="158">
        <f>IF(PA[[#This Row],[Work Start time on Fault]]="NA","",(PA[[#This Row],[Work Start time on Fault]]-PA[[#This Row],[Fault Time]])*24)</f>
        <v>3.3333333333333215E-2</v>
      </c>
      <c r="AD313" s="112">
        <f>IF(PA[[#This Row],[Status]]="Open","",(PA[[#This Row],[Work Completion time on fault]]-PA[[#This Row],[Fault Time]])*24)</f>
        <v>0.2166666666666659</v>
      </c>
      <c r="AE313" s="111">
        <f>IFERROR((PA[[#This Row],[Work Completion time on fault]]-PA[[#This Row],[Fault Time]])*24,"")</f>
        <v>0.2166666666666659</v>
      </c>
      <c r="AF313" s="273" t="s">
        <v>751</v>
      </c>
      <c r="AG313" s="6" t="s">
        <v>1275</v>
      </c>
      <c r="AH313" s="53">
        <f>IFERROR(PA[[#This Row],[Breakdown Time]]*PA[[#This Row],[Plant Equivalent Weightage]],"")</f>
        <v>2.9033333333333231E-2</v>
      </c>
      <c r="AI313" s="59">
        <v>0.38</v>
      </c>
      <c r="AJ313" s="89">
        <f>IFERROR(IF(PA[[#This Row],[Lost PoA(kWh/m2)]]&gt;0,_xlfn.XLOOKUP(G313,'Modelling New'!$D:$D,'Modelling New'!$O:$O)*PA[[#This Row],[Lost PoA(kWh/m2)]]*S313,0),"")</f>
        <v>2583.6561358865897</v>
      </c>
    </row>
    <row r="314" spans="1:36" ht="30" hidden="1" x14ac:dyDescent="0.25">
      <c r="A314" s="229">
        <v>2006</v>
      </c>
      <c r="B314" s="233">
        <v>45813</v>
      </c>
      <c r="C314" s="333">
        <v>2025</v>
      </c>
      <c r="D314" s="6">
        <f>YEAR(PA[[#This Row],[Date]])</f>
        <v>2025</v>
      </c>
      <c r="E314" s="334" t="s">
        <v>73</v>
      </c>
      <c r="F314" s="335" t="s">
        <v>73</v>
      </c>
      <c r="G314" s="323">
        <v>45809</v>
      </c>
      <c r="H314">
        <f>DAY(EOMONTH(PA[[#This Row],[Date]], 0))</f>
        <v>30</v>
      </c>
      <c r="I314" s="272">
        <v>0.21249999999999999</v>
      </c>
      <c r="J314" s="272"/>
      <c r="K314" s="53">
        <f>IFERROR((PA[[#This Row],[Sunset Time (POA&lt;20 W/m2)]]-PA[[#This Row],[Sunrise Time (POA&gt;20 W/m2)]])*24,"")</f>
        <v>-5.0999999999999996</v>
      </c>
      <c r="L314" s="59" t="s">
        <v>559</v>
      </c>
      <c r="M314" s="59"/>
      <c r="N314" s="59"/>
      <c r="O314" s="128" t="s">
        <v>789</v>
      </c>
      <c r="P314" s="56"/>
      <c r="Q314" s="6"/>
      <c r="R31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314" s="53">
        <v>8870.1</v>
      </c>
      <c r="T314" s="90">
        <f>IFERROR(_xlfn.XLOOKUP(PA[[#This Row],[Affected Equipment ]],'Basic Data '!A:A,'Basic Data '!C:C),"")</f>
        <v>0.125</v>
      </c>
      <c r="U314" s="59" t="s">
        <v>589</v>
      </c>
      <c r="V314" s="88"/>
      <c r="W314" s="273" t="s">
        <v>754</v>
      </c>
      <c r="X314" s="269">
        <v>0.53055555555555556</v>
      </c>
      <c r="Y314" s="269">
        <v>0.53055555555555556</v>
      </c>
      <c r="Z314" s="60">
        <v>0.53194444444444444</v>
      </c>
      <c r="AA314" s="60">
        <v>0.53819444444444442</v>
      </c>
      <c r="AB314" s="158">
        <f>IF(PA[[#This Row],[Acknowledgement Time ]]="NA","",(PA[[#This Row],[Acknowledgement Time ]]-PA[[#This Row],[Fault Time]])*24)</f>
        <v>0</v>
      </c>
      <c r="AC314" s="158">
        <f>IF(PA[[#This Row],[Work Start time on Fault]]="NA","",(PA[[#This Row],[Work Start time on Fault]]-PA[[#This Row],[Fault Time]])*24)</f>
        <v>3.3333333333333215E-2</v>
      </c>
      <c r="AD314" s="112">
        <f>IF(PA[[#This Row],[Status]]="Open","",(PA[[#This Row],[Work Completion time on fault]]-PA[[#This Row],[Fault Time]])*24)</f>
        <v>0.18333333333333268</v>
      </c>
      <c r="AE314" s="111">
        <f>IFERROR((PA[[#This Row],[Work Completion time on fault]]-PA[[#This Row],[Fault Time]])*24,"")</f>
        <v>0.18333333333333268</v>
      </c>
      <c r="AF314" s="273" t="s">
        <v>754</v>
      </c>
      <c r="AG314" s="6" t="s">
        <v>1275</v>
      </c>
      <c r="AH314" s="53">
        <f>IFERROR(PA[[#This Row],[Breakdown Time]]*PA[[#This Row],[Plant Equivalent Weightage]],"")</f>
        <v>2.2916666666666585E-2</v>
      </c>
      <c r="AI314" s="59">
        <v>0.38</v>
      </c>
      <c r="AJ314" s="89">
        <f>IFERROR(IF(PA[[#This Row],[Lost PoA(kWh/m2)]]&gt;0,_xlfn.XLOOKUP(G314,'Modelling New'!$D:$D,'Modelling New'!$O:$O)*PA[[#This Row],[Lost PoA(kWh/m2)]]*S314,0),"")</f>
        <v>2562.1653855360992</v>
      </c>
    </row>
    <row r="315" spans="1:36" ht="30" hidden="1" x14ac:dyDescent="0.25">
      <c r="A315" s="229">
        <v>2007</v>
      </c>
      <c r="B315" s="233">
        <v>45813</v>
      </c>
      <c r="C315" s="333">
        <v>2025</v>
      </c>
      <c r="D315" s="6">
        <f>YEAR(PA[[#This Row],[Date]])</f>
        <v>2025</v>
      </c>
      <c r="E315" s="334" t="s">
        <v>73</v>
      </c>
      <c r="F315" s="335" t="s">
        <v>73</v>
      </c>
      <c r="G315" s="323">
        <v>45809</v>
      </c>
      <c r="H315">
        <f>DAY(EOMONTH(PA[[#This Row],[Date]], 0))</f>
        <v>30</v>
      </c>
      <c r="I315" s="272">
        <v>0.21249999999999999</v>
      </c>
      <c r="J315" s="272"/>
      <c r="K315" s="53">
        <f>IFERROR((PA[[#This Row],[Sunset Time (POA&lt;20 W/m2)]]-PA[[#This Row],[Sunrise Time (POA&gt;20 W/m2)]])*24,"")</f>
        <v>-5.0999999999999996</v>
      </c>
      <c r="L315" s="59" t="s">
        <v>564</v>
      </c>
      <c r="M315" s="59"/>
      <c r="N315" s="59"/>
      <c r="O315" s="128" t="s">
        <v>789</v>
      </c>
      <c r="P315" s="56"/>
      <c r="Q315" s="6"/>
      <c r="R31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315" s="53">
        <v>8976</v>
      </c>
      <c r="T315" s="90">
        <f>IFERROR(_xlfn.XLOOKUP(PA[[#This Row],[Affected Equipment ]],'Basic Data '!A:A,'Basic Data '!C:C),"")</f>
        <v>0.13280524344569289</v>
      </c>
      <c r="U315" s="59" t="s">
        <v>589</v>
      </c>
      <c r="V315" s="88"/>
      <c r="W315" s="273" t="s">
        <v>752</v>
      </c>
      <c r="X315" s="269">
        <v>0.53055555555555556</v>
      </c>
      <c r="Y315" s="269">
        <v>0.53055555555555556</v>
      </c>
      <c r="Z315" s="60">
        <v>0.53194444444444444</v>
      </c>
      <c r="AA315" s="269">
        <v>0.53541666666666665</v>
      </c>
      <c r="AB315" s="158">
        <f>IF(PA[[#This Row],[Acknowledgement Time ]]="NA","",(PA[[#This Row],[Acknowledgement Time ]]-PA[[#This Row],[Fault Time]])*24)</f>
        <v>0</v>
      </c>
      <c r="AC315" s="158">
        <f>IF(PA[[#This Row],[Work Start time on Fault]]="NA","",(PA[[#This Row],[Work Start time on Fault]]-PA[[#This Row],[Fault Time]])*24)</f>
        <v>3.3333333333333215E-2</v>
      </c>
      <c r="AD315" s="112">
        <f>IF(PA[[#This Row],[Status]]="Open","",(PA[[#This Row],[Work Completion time on fault]]-PA[[#This Row],[Fault Time]])*24)</f>
        <v>0.11666666666666625</v>
      </c>
      <c r="AE315" s="111">
        <f>IFERROR((PA[[#This Row],[Work Completion time on fault]]-PA[[#This Row],[Fault Time]])*24,"")</f>
        <v>0.11666666666666625</v>
      </c>
      <c r="AF315" s="273" t="s">
        <v>752</v>
      </c>
      <c r="AG315" s="6" t="s">
        <v>1275</v>
      </c>
      <c r="AH315" s="53">
        <f>IFERROR(PA[[#This Row],[Breakdown Time]]*PA[[#This Row],[Plant Equivalent Weightage]],"")</f>
        <v>1.5493945068664115E-2</v>
      </c>
      <c r="AI315" s="59">
        <v>0.28000000000000003</v>
      </c>
      <c r="AJ315" s="89">
        <f>IFERROR(IF(PA[[#This Row],[Lost PoA(kWh/m2)]]&gt;0,_xlfn.XLOOKUP(G315,'Modelling New'!$D:$D,'Modelling New'!$O:$O)*PA[[#This Row],[Lost PoA(kWh/m2)]]*S315,0),"")</f>
        <v>1910.451083788935</v>
      </c>
    </row>
    <row r="316" spans="1:36" ht="30" hidden="1" x14ac:dyDescent="0.25">
      <c r="A316" s="229">
        <v>2008</v>
      </c>
      <c r="B316" s="233">
        <v>45813</v>
      </c>
      <c r="C316" s="333">
        <v>2025</v>
      </c>
      <c r="D316" s="6">
        <f>YEAR(PA[[#This Row],[Date]])</f>
        <v>2025</v>
      </c>
      <c r="E316" s="334" t="s">
        <v>73</v>
      </c>
      <c r="F316" s="335" t="s">
        <v>73</v>
      </c>
      <c r="G316" s="323">
        <v>45809</v>
      </c>
      <c r="H316">
        <f>DAY(EOMONTH(PA[[#This Row],[Date]], 0))</f>
        <v>30</v>
      </c>
      <c r="I316" s="272">
        <v>0.21249999999999999</v>
      </c>
      <c r="J316" s="272"/>
      <c r="K316" s="53">
        <f>IFERROR((PA[[#This Row],[Sunset Time (POA&lt;20 W/m2)]]-PA[[#This Row],[Sunrise Time (POA&gt;20 W/m2)]])*24,"")</f>
        <v>-5.0999999999999996</v>
      </c>
      <c r="L316" s="59" t="s">
        <v>615</v>
      </c>
      <c r="M316" s="59"/>
      <c r="N316" s="59"/>
      <c r="O316" s="128" t="s">
        <v>789</v>
      </c>
      <c r="P316" s="56"/>
      <c r="Q316" s="6"/>
      <c r="R31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BLK6MVP</v>
      </c>
      <c r="S316" s="53">
        <v>8976</v>
      </c>
      <c r="T316" s="90">
        <f>IFERROR(_xlfn.XLOOKUP(PA[[#This Row],[Affected Equipment ]],'Basic Data '!A:A,'Basic Data '!C:C),"")</f>
        <v>0.13447191011235954</v>
      </c>
      <c r="U316" s="59" t="s">
        <v>589</v>
      </c>
      <c r="V316" s="88"/>
      <c r="W316" s="273" t="s">
        <v>753</v>
      </c>
      <c r="X316" s="269">
        <v>0.53055555555555556</v>
      </c>
      <c r="Y316" s="269">
        <v>0.53055555555555556</v>
      </c>
      <c r="Z316" s="60">
        <v>0.53194444444444444</v>
      </c>
      <c r="AA316" s="269">
        <v>0.53472222222222221</v>
      </c>
      <c r="AB316" s="158">
        <f>IF(PA[[#This Row],[Acknowledgement Time ]]="NA","",(PA[[#This Row],[Acknowledgement Time ]]-PA[[#This Row],[Fault Time]])*24)</f>
        <v>0</v>
      </c>
      <c r="AC316" s="158">
        <f>IF(PA[[#This Row],[Work Start time on Fault]]="NA","",(PA[[#This Row],[Work Start time on Fault]]-PA[[#This Row],[Fault Time]])*24)</f>
        <v>3.3333333333333215E-2</v>
      </c>
      <c r="AD316" s="112">
        <f>IF(PA[[#This Row],[Status]]="Open","",(PA[[#This Row],[Work Completion time on fault]]-PA[[#This Row],[Fault Time]])*24)</f>
        <v>9.9999999999999645E-2</v>
      </c>
      <c r="AE316" s="111">
        <f>IFERROR((PA[[#This Row],[Work Completion time on fault]]-PA[[#This Row],[Fault Time]])*24,"")</f>
        <v>9.9999999999999645E-2</v>
      </c>
      <c r="AF316" s="273" t="s">
        <v>753</v>
      </c>
      <c r="AG316" s="6" t="s">
        <v>1275</v>
      </c>
      <c r="AH316" s="53">
        <f>IFERROR(PA[[#This Row],[Breakdown Time]]*PA[[#This Row],[Plant Equivalent Weightage]],"")</f>
        <v>1.3447191011235905E-2</v>
      </c>
      <c r="AI316" s="59">
        <v>0.26</v>
      </c>
      <c r="AJ316" s="89">
        <f>IFERROR(IF(PA[[#This Row],[Lost PoA(kWh/m2)]]&gt;0,_xlfn.XLOOKUP(G316,'Modelling New'!$D:$D,'Modelling New'!$O:$O)*PA[[#This Row],[Lost PoA(kWh/m2)]]*S316,0),"")</f>
        <v>1773.990292089725</v>
      </c>
    </row>
    <row r="317" spans="1:36" ht="30" hidden="1" x14ac:dyDescent="0.25">
      <c r="A317" s="229">
        <v>2009</v>
      </c>
      <c r="B317" s="233">
        <v>45813</v>
      </c>
      <c r="C317" s="333">
        <v>2025</v>
      </c>
      <c r="D317" s="6">
        <f>YEAR(PA[[#This Row],[Date]])</f>
        <v>2025</v>
      </c>
      <c r="E317" s="334" t="s">
        <v>73</v>
      </c>
      <c r="F317" s="335" t="s">
        <v>73</v>
      </c>
      <c r="G317" s="323">
        <v>45809</v>
      </c>
      <c r="H317">
        <f>DAY(EOMONTH(PA[[#This Row],[Date]], 0))</f>
        <v>30</v>
      </c>
      <c r="I317" s="272">
        <v>0.21249999999999999</v>
      </c>
      <c r="J317" s="272"/>
      <c r="K317" s="53">
        <f>IFERROR((PA[[#This Row],[Sunset Time (POA&lt;20 W/m2)]]-PA[[#This Row],[Sunrise Time (POA&gt;20 W/m2)]])*24,"")</f>
        <v>-5.0999999999999996</v>
      </c>
      <c r="L317" s="59" t="s">
        <v>559</v>
      </c>
      <c r="M317" s="59"/>
      <c r="N317" s="59"/>
      <c r="O317" s="128" t="s">
        <v>789</v>
      </c>
      <c r="P317" s="56"/>
      <c r="Q317" s="6"/>
      <c r="R31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317" s="53">
        <v>8870.1</v>
      </c>
      <c r="T317" s="90">
        <f>IFERROR(_xlfn.XLOOKUP(PA[[#This Row],[Affected Equipment ]],'Basic Data '!A:A,'Basic Data '!C:C),"")</f>
        <v>0.125</v>
      </c>
      <c r="U317" s="59" t="s">
        <v>589</v>
      </c>
      <c r="V317" s="88"/>
      <c r="W317" s="273" t="s">
        <v>754</v>
      </c>
      <c r="X317" s="269">
        <v>0.5444444444444444</v>
      </c>
      <c r="Y317" s="269">
        <v>0.5444444444444444</v>
      </c>
      <c r="Z317" s="60">
        <v>0.54583333333333328</v>
      </c>
      <c r="AA317" s="269">
        <v>0.55486111111111114</v>
      </c>
      <c r="AB317" s="158">
        <f>IF(PA[[#This Row],[Acknowledgement Time ]]="NA","",(PA[[#This Row],[Acknowledgement Time ]]-PA[[#This Row],[Fault Time]])*24)</f>
        <v>0</v>
      </c>
      <c r="AC317" s="158">
        <f>IF(PA[[#This Row],[Work Start time on Fault]]="NA","",(PA[[#This Row],[Work Start time on Fault]]-PA[[#This Row],[Fault Time]])*24)</f>
        <v>3.3333333333333215E-2</v>
      </c>
      <c r="AD317" s="112">
        <f>IF(PA[[#This Row],[Status]]="Open","",(PA[[#This Row],[Work Completion time on fault]]-PA[[#This Row],[Fault Time]])*24)</f>
        <v>0.25000000000000178</v>
      </c>
      <c r="AE317" s="111">
        <f>IFERROR((PA[[#This Row],[Work Completion time on fault]]-PA[[#This Row],[Fault Time]])*24,"")</f>
        <v>0.25000000000000178</v>
      </c>
      <c r="AF317" s="273" t="s">
        <v>754</v>
      </c>
      <c r="AG317" s="6" t="s">
        <v>1275</v>
      </c>
      <c r="AH317" s="53">
        <f>IFERROR(PA[[#This Row],[Breakdown Time]]*PA[[#This Row],[Plant Equivalent Weightage]],"")</f>
        <v>3.1250000000000222E-2</v>
      </c>
      <c r="AI317" s="59">
        <v>0.28000000000000003</v>
      </c>
      <c r="AJ317" s="89">
        <f>IFERROR(IF(PA[[#This Row],[Lost PoA(kWh/m2)]]&gt;0,_xlfn.XLOOKUP(G317,'Modelling New'!$D:$D,'Modelling New'!$O:$O)*PA[[#This Row],[Lost PoA(kWh/m2)]]*S317,0),"")</f>
        <v>1887.9113367108102</v>
      </c>
    </row>
    <row r="318" spans="1:36" ht="30" hidden="1" x14ac:dyDescent="0.25">
      <c r="A318" s="229">
        <v>2010</v>
      </c>
      <c r="B318" s="233">
        <v>45813</v>
      </c>
      <c r="C318" s="333">
        <v>2025</v>
      </c>
      <c r="D318" s="6">
        <f>YEAR(PA[[#This Row],[Date]])</f>
        <v>2025</v>
      </c>
      <c r="E318" s="334" t="s">
        <v>73</v>
      </c>
      <c r="F318" s="335" t="s">
        <v>73</v>
      </c>
      <c r="G318" s="323">
        <v>45809</v>
      </c>
      <c r="H318">
        <f>DAY(EOMONTH(PA[[#This Row],[Date]], 0))</f>
        <v>30</v>
      </c>
      <c r="I318" s="272">
        <v>0.21249999999999999</v>
      </c>
      <c r="J318" s="272"/>
      <c r="K318" s="53">
        <f>IFERROR((PA[[#This Row],[Sunset Time (POA&lt;20 W/m2)]]-PA[[#This Row],[Sunrise Time (POA&gt;20 W/m2)]])*24,"")</f>
        <v>-5.0999999999999996</v>
      </c>
      <c r="L318" s="59" t="s">
        <v>564</v>
      </c>
      <c r="M318" s="59"/>
      <c r="N318" s="59"/>
      <c r="O318" s="128" t="s">
        <v>789</v>
      </c>
      <c r="P318" s="56"/>
      <c r="Q318" s="6"/>
      <c r="R31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318" s="53">
        <v>8976</v>
      </c>
      <c r="T318" s="90">
        <f>IFERROR(_xlfn.XLOOKUP(PA[[#This Row],[Affected Equipment ]],'Basic Data '!A:A,'Basic Data '!C:C),"")</f>
        <v>0.13280524344569289</v>
      </c>
      <c r="U318" s="59" t="s">
        <v>589</v>
      </c>
      <c r="V318" s="88"/>
      <c r="W318" s="273" t="s">
        <v>752</v>
      </c>
      <c r="X318" s="269">
        <v>0.55000000000000004</v>
      </c>
      <c r="Y318" s="269">
        <v>0.55000000000000004</v>
      </c>
      <c r="Z318" s="60">
        <v>0.55138888888888882</v>
      </c>
      <c r="AA318" s="269">
        <v>0.55347222222222225</v>
      </c>
      <c r="AB318" s="158">
        <f>IF(PA[[#This Row],[Acknowledgement Time ]]="NA","",(PA[[#This Row],[Acknowledgement Time ]]-PA[[#This Row],[Fault Time]])*24)</f>
        <v>0</v>
      </c>
      <c r="AC318" s="158">
        <f>IF(PA[[#This Row],[Work Start time on Fault]]="NA","",(PA[[#This Row],[Work Start time on Fault]]-PA[[#This Row],[Fault Time]])*24)</f>
        <v>3.333333333333055E-2</v>
      </c>
      <c r="AD318" s="112">
        <f>IF(PA[[#This Row],[Status]]="Open","",(PA[[#This Row],[Work Completion time on fault]]-PA[[#This Row],[Fault Time]])*24)</f>
        <v>8.3333333333333037E-2</v>
      </c>
      <c r="AE318" s="111">
        <f>IFERROR((PA[[#This Row],[Work Completion time on fault]]-PA[[#This Row],[Fault Time]])*24,"")</f>
        <v>8.3333333333333037E-2</v>
      </c>
      <c r="AF318" s="273" t="s">
        <v>752</v>
      </c>
      <c r="AG318" s="6" t="s">
        <v>1275</v>
      </c>
      <c r="AH318" s="53">
        <f>IFERROR(PA[[#This Row],[Breakdown Time]]*PA[[#This Row],[Plant Equivalent Weightage]],"")</f>
        <v>1.1067103620474368E-2</v>
      </c>
      <c r="AI318" s="59">
        <v>0.25</v>
      </c>
      <c r="AJ318" s="89">
        <f>IFERROR(IF(PA[[#This Row],[Lost PoA(kWh/m2)]]&gt;0,_xlfn.XLOOKUP(G318,'Modelling New'!$D:$D,'Modelling New'!$O:$O)*PA[[#This Row],[Lost PoA(kWh/m2)]]*S318,0),"")</f>
        <v>1705.7598962401203</v>
      </c>
    </row>
    <row r="319" spans="1:36" ht="30" hidden="1" x14ac:dyDescent="0.25">
      <c r="A319" s="229">
        <v>2011</v>
      </c>
      <c r="B319" s="233">
        <v>45813</v>
      </c>
      <c r="C319" s="333">
        <v>2025</v>
      </c>
      <c r="D319" s="6">
        <f>YEAR(PA[[#This Row],[Date]])</f>
        <v>2025</v>
      </c>
      <c r="E319" s="334" t="s">
        <v>73</v>
      </c>
      <c r="F319" s="335" t="s">
        <v>73</v>
      </c>
      <c r="G319" s="323">
        <v>45809</v>
      </c>
      <c r="H319">
        <f>DAY(EOMONTH(PA[[#This Row],[Date]], 0))</f>
        <v>30</v>
      </c>
      <c r="I319" s="272">
        <v>0.21249999999999999</v>
      </c>
      <c r="J319" s="272"/>
      <c r="K319" s="53">
        <f>IFERROR((PA[[#This Row],[Sunset Time (POA&lt;20 W/m2)]]-PA[[#This Row],[Sunrise Time (POA&gt;20 W/m2)]])*24,"")</f>
        <v>-5.0999999999999996</v>
      </c>
      <c r="L319" s="59" t="s">
        <v>606</v>
      </c>
      <c r="M319" s="59"/>
      <c r="N319" s="59"/>
      <c r="O319" s="128" t="s">
        <v>789</v>
      </c>
      <c r="P319" s="56"/>
      <c r="Q319" s="6"/>
      <c r="R31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BLK7MVP</v>
      </c>
      <c r="S319" s="53">
        <v>8870.1</v>
      </c>
      <c r="T319" s="90">
        <f>IFERROR(_xlfn.XLOOKUP(PA[[#This Row],[Affected Equipment ]],'Basic Data '!A:A,'Basic Data '!C:C),"")</f>
        <v>0.11040973782771536</v>
      </c>
      <c r="U319" s="59" t="s">
        <v>589</v>
      </c>
      <c r="V319" s="88"/>
      <c r="W319" s="273" t="s">
        <v>757</v>
      </c>
      <c r="X319" s="269">
        <v>0.52777777777777779</v>
      </c>
      <c r="Y319" s="269">
        <v>0.52777777777777779</v>
      </c>
      <c r="Z319" s="60">
        <v>0.52916666666666667</v>
      </c>
      <c r="AA319" s="269">
        <v>0.53472222222222221</v>
      </c>
      <c r="AB319" s="158">
        <f>IF(PA[[#This Row],[Acknowledgement Time ]]="NA","",(PA[[#This Row],[Acknowledgement Time ]]-PA[[#This Row],[Fault Time]])*24)</f>
        <v>0</v>
      </c>
      <c r="AC319" s="158">
        <f>IF(PA[[#This Row],[Work Start time on Fault]]="NA","",(PA[[#This Row],[Work Start time on Fault]]-PA[[#This Row],[Fault Time]])*24)</f>
        <v>3.3333333333333215E-2</v>
      </c>
      <c r="AD319" s="112">
        <f>IF(PA[[#This Row],[Status]]="Open","",(PA[[#This Row],[Work Completion time on fault]]-PA[[#This Row],[Fault Time]])*24)</f>
        <v>0.16666666666666607</v>
      </c>
      <c r="AE319" s="111">
        <f>IFERROR((PA[[#This Row],[Work Completion time on fault]]-PA[[#This Row],[Fault Time]])*24,"")</f>
        <v>0.16666666666666607</v>
      </c>
      <c r="AF319" s="273" t="s">
        <v>757</v>
      </c>
      <c r="AG319" s="6" t="s">
        <v>1275</v>
      </c>
      <c r="AH319" s="53">
        <f>IFERROR(PA[[#This Row],[Breakdown Time]]*PA[[#This Row],[Plant Equivalent Weightage]],"")</f>
        <v>1.8401622971285829E-2</v>
      </c>
      <c r="AI319" s="59">
        <v>0.22</v>
      </c>
      <c r="AJ319" s="89">
        <f>IFERROR(IF(PA[[#This Row],[Lost PoA(kWh/m2)]]&gt;0,_xlfn.XLOOKUP(G319,'Modelling New'!$D:$D,'Modelling New'!$O:$O)*PA[[#This Row],[Lost PoA(kWh/m2)]]*S319,0),"")</f>
        <v>1483.3589074156366</v>
      </c>
    </row>
    <row r="320" spans="1:36" ht="30" hidden="1" x14ac:dyDescent="0.25">
      <c r="A320" s="229">
        <v>2012</v>
      </c>
      <c r="B320" s="233">
        <v>45813</v>
      </c>
      <c r="C320" s="333">
        <v>2025</v>
      </c>
      <c r="D320" s="6">
        <f>YEAR(PA[[#This Row],[Date]])</f>
        <v>2025</v>
      </c>
      <c r="E320" s="334" t="s">
        <v>73</v>
      </c>
      <c r="F320" s="335" t="s">
        <v>73</v>
      </c>
      <c r="G320" s="323">
        <v>45809</v>
      </c>
      <c r="H320">
        <f>DAY(EOMONTH(PA[[#This Row],[Date]], 0))</f>
        <v>30</v>
      </c>
      <c r="I320" s="272">
        <v>0.21249999999999999</v>
      </c>
      <c r="J320" s="272"/>
      <c r="K320" s="53">
        <f>IFERROR((PA[[#This Row],[Sunset Time (POA&lt;20 W/m2)]]-PA[[#This Row],[Sunrise Time (POA&gt;20 W/m2)]])*24,"")</f>
        <v>-5.0999999999999996</v>
      </c>
      <c r="L320" s="59" t="s">
        <v>587</v>
      </c>
      <c r="M320" s="59"/>
      <c r="N320" s="59"/>
      <c r="O320" s="59" t="s">
        <v>565</v>
      </c>
      <c r="P320" s="56"/>
      <c r="Q320" s="6"/>
      <c r="R32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BLK1INV1</v>
      </c>
      <c r="S320" s="53">
        <v>289.25</v>
      </c>
      <c r="T320" s="90">
        <f>IFERROR(_xlfn.XLOOKUP(PA[[#This Row],[Affected Equipment ]],'Basic Data '!A:A,'Basic Data '!C:C),"")</f>
        <v>4.3333333333333331E-3</v>
      </c>
      <c r="U320" s="59" t="s">
        <v>566</v>
      </c>
      <c r="V320" s="88"/>
      <c r="W320" s="273" t="s">
        <v>772</v>
      </c>
      <c r="X320" s="269">
        <v>0.44374999999999998</v>
      </c>
      <c r="Y320" s="269">
        <v>0.4548611111111111</v>
      </c>
      <c r="Z320" s="269">
        <v>0.4548611111111111</v>
      </c>
      <c r="AA320" s="269">
        <v>0.4548611111111111</v>
      </c>
      <c r="AB320" s="158">
        <f>IF(PA[[#This Row],[Acknowledgement Time ]]="NA","",(PA[[#This Row],[Acknowledgement Time ]]-PA[[#This Row],[Fault Time]])*24)</f>
        <v>0.26666666666666705</v>
      </c>
      <c r="AC320" s="158">
        <f>IF(PA[[#This Row],[Work Start time on Fault]]="NA","",(PA[[#This Row],[Work Start time on Fault]]-PA[[#This Row],[Fault Time]])*24)</f>
        <v>0.26666666666666705</v>
      </c>
      <c r="AD320" s="112">
        <f>IF(PA[[#This Row],[Status]]="Open","",(PA[[#This Row],[Work Completion time on fault]]-PA[[#This Row],[Fault Time]])*24)</f>
        <v>0.26666666666666705</v>
      </c>
      <c r="AE320" s="111">
        <f>IFERROR((PA[[#This Row],[Work Completion time on fault]]-PA[[#This Row],[Fault Time]])*24,"")</f>
        <v>0.26666666666666705</v>
      </c>
      <c r="AF320" s="273" t="s">
        <v>772</v>
      </c>
      <c r="AG320" s="6" t="s">
        <v>1275</v>
      </c>
      <c r="AH320" s="53">
        <f>IFERROR(PA[[#This Row],[Breakdown Time]]*PA[[#This Row],[Plant Equivalent Weightage]],"")</f>
        <v>1.1555555555555572E-3</v>
      </c>
      <c r="AI320" s="59">
        <v>0.31</v>
      </c>
      <c r="AJ320" s="89">
        <f>IFERROR(IF(PA[[#This Row],[Lost PoA(kWh/m2)]]&gt;0,_xlfn.XLOOKUP(G320,'Modelling New'!$D:$D,'Modelling New'!$O:$O)*PA[[#This Row],[Lost PoA(kWh/m2)]]*S320,0),"")</f>
        <v>68.160082663151059</v>
      </c>
    </row>
    <row r="321" spans="1:36" ht="30" hidden="1" x14ac:dyDescent="0.25">
      <c r="A321" s="229">
        <v>2013</v>
      </c>
      <c r="B321" s="233">
        <v>45813</v>
      </c>
      <c r="C321" s="333">
        <v>2025</v>
      </c>
      <c r="D321" s="6">
        <f>YEAR(PA[[#This Row],[Date]])</f>
        <v>2025</v>
      </c>
      <c r="E321" s="334" t="s">
        <v>73</v>
      </c>
      <c r="F321" s="335" t="s">
        <v>73</v>
      </c>
      <c r="G321" s="323">
        <v>45809</v>
      </c>
      <c r="H321">
        <f>DAY(EOMONTH(PA[[#This Row],[Date]], 0))</f>
        <v>30</v>
      </c>
      <c r="I321" s="272">
        <v>0.21249999999999999</v>
      </c>
      <c r="J321" s="272"/>
      <c r="K321" s="53">
        <f>IFERROR((PA[[#This Row],[Sunset Time (POA&lt;20 W/m2)]]-PA[[#This Row],[Sunrise Time (POA&gt;20 W/m2)]])*24,"")</f>
        <v>-5.0999999999999996</v>
      </c>
      <c r="L321" s="59" t="s">
        <v>559</v>
      </c>
      <c r="M321" s="59"/>
      <c r="N321" s="59"/>
      <c r="O321" s="59" t="s">
        <v>721</v>
      </c>
      <c r="P321" s="56"/>
      <c r="Q321" s="6"/>
      <c r="R32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BLK2INV29</v>
      </c>
      <c r="S321" s="53">
        <v>267</v>
      </c>
      <c r="T321" s="90">
        <f>IFERROR(_xlfn.XLOOKUP(PA[[#This Row],[Affected Equipment ]],'Basic Data '!A:A,'Basic Data '!C:C),"")</f>
        <v>4.4999999999999997E-3</v>
      </c>
      <c r="U321" s="59" t="s">
        <v>566</v>
      </c>
      <c r="V321" s="88"/>
      <c r="W321" s="273" t="s">
        <v>772</v>
      </c>
      <c r="X321" s="269">
        <v>0.44374999999999998</v>
      </c>
      <c r="Y321" s="269">
        <v>0.4548611111111111</v>
      </c>
      <c r="Z321" s="269">
        <v>0.4548611111111111</v>
      </c>
      <c r="AA321" s="269">
        <v>0.4548611111111111</v>
      </c>
      <c r="AB321" s="158">
        <f>IF(PA[[#This Row],[Acknowledgement Time ]]="NA","",(PA[[#This Row],[Acknowledgement Time ]]-PA[[#This Row],[Fault Time]])*24)</f>
        <v>0.26666666666666705</v>
      </c>
      <c r="AC321" s="158">
        <f>IF(PA[[#This Row],[Work Start time on Fault]]="NA","",(PA[[#This Row],[Work Start time on Fault]]-PA[[#This Row],[Fault Time]])*24)</f>
        <v>0.26666666666666705</v>
      </c>
      <c r="AD321" s="112">
        <f>IF(PA[[#This Row],[Status]]="Open","",(PA[[#This Row],[Work Completion time on fault]]-PA[[#This Row],[Fault Time]])*24)</f>
        <v>0.26666666666666705</v>
      </c>
      <c r="AE321" s="111">
        <f>IFERROR((PA[[#This Row],[Work Completion time on fault]]-PA[[#This Row],[Fault Time]])*24,"")</f>
        <v>0.26666666666666705</v>
      </c>
      <c r="AF321" s="273" t="s">
        <v>772</v>
      </c>
      <c r="AG321" s="6" t="s">
        <v>1275</v>
      </c>
      <c r="AH321" s="53">
        <f>IFERROR(PA[[#This Row],[Breakdown Time]]*PA[[#This Row],[Plant Equivalent Weightage]],"")</f>
        <v>1.2000000000000016E-3</v>
      </c>
      <c r="AI321" s="59">
        <v>0.31</v>
      </c>
      <c r="AJ321" s="89">
        <f>IFERROR(IF(PA[[#This Row],[Lost PoA(kWh/m2)]]&gt;0,_xlfn.XLOOKUP(G321,'Modelling New'!$D:$D,'Modelling New'!$O:$O)*PA[[#This Row],[Lost PoA(kWh/m2)]]*S321,0),"")</f>
        <v>62.916999381370211</v>
      </c>
    </row>
    <row r="322" spans="1:36" ht="30" hidden="1" x14ac:dyDescent="0.25">
      <c r="A322" s="229">
        <v>2014</v>
      </c>
      <c r="B322" s="233">
        <v>45813</v>
      </c>
      <c r="C322" s="333">
        <v>2025</v>
      </c>
      <c r="D322" s="6">
        <f>YEAR(PA[[#This Row],[Date]])</f>
        <v>2025</v>
      </c>
      <c r="E322" s="334" t="s">
        <v>73</v>
      </c>
      <c r="F322" s="335" t="s">
        <v>73</v>
      </c>
      <c r="G322" s="323">
        <v>45809</v>
      </c>
      <c r="H322">
        <f>DAY(EOMONTH(PA[[#This Row],[Date]], 0))</f>
        <v>30</v>
      </c>
      <c r="I322" s="272">
        <v>0.21249999999999999</v>
      </c>
      <c r="J322" s="272"/>
      <c r="K322" s="53">
        <f>IFERROR((PA[[#This Row],[Sunset Time (POA&lt;20 W/m2)]]-PA[[#This Row],[Sunrise Time (POA&gt;20 W/m2)]])*24,"")</f>
        <v>-5.0999999999999996</v>
      </c>
      <c r="L322" s="59" t="s">
        <v>559</v>
      </c>
      <c r="M322" s="59"/>
      <c r="N322" s="59"/>
      <c r="O322" s="59" t="s">
        <v>583</v>
      </c>
      <c r="P322" s="56"/>
      <c r="Q322" s="6"/>
      <c r="R32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BLK2INV30</v>
      </c>
      <c r="S322" s="53">
        <v>298</v>
      </c>
      <c r="T322" s="90">
        <f>IFERROR(_xlfn.XLOOKUP(PA[[#This Row],[Affected Equipment ]],'Basic Data '!A:A,'Basic Data '!C:C),"")</f>
        <v>4.0000000000000001E-3</v>
      </c>
      <c r="U322" s="59" t="s">
        <v>566</v>
      </c>
      <c r="V322" s="88"/>
      <c r="W322" s="273" t="s">
        <v>772</v>
      </c>
      <c r="X322" s="269">
        <v>0.44374999999999998</v>
      </c>
      <c r="Y322" s="269">
        <v>0.4548611111111111</v>
      </c>
      <c r="Z322" s="269">
        <v>0.4548611111111111</v>
      </c>
      <c r="AA322" s="269">
        <v>0.4548611111111111</v>
      </c>
      <c r="AB322" s="158">
        <f>IF(PA[[#This Row],[Acknowledgement Time ]]="NA","",(PA[[#This Row],[Acknowledgement Time ]]-PA[[#This Row],[Fault Time]])*24)</f>
        <v>0.26666666666666705</v>
      </c>
      <c r="AC322" s="158">
        <f>IF(PA[[#This Row],[Work Start time on Fault]]="NA","",(PA[[#This Row],[Work Start time on Fault]]-PA[[#This Row],[Fault Time]])*24)</f>
        <v>0.26666666666666705</v>
      </c>
      <c r="AD322" s="112">
        <f>IF(PA[[#This Row],[Status]]="Open","",(PA[[#This Row],[Work Completion time on fault]]-PA[[#This Row],[Fault Time]])*24)</f>
        <v>0.26666666666666705</v>
      </c>
      <c r="AE322" s="111">
        <f>IFERROR((PA[[#This Row],[Work Completion time on fault]]-PA[[#This Row],[Fault Time]])*24,"")</f>
        <v>0.26666666666666705</v>
      </c>
      <c r="AF322" s="273" t="s">
        <v>772</v>
      </c>
      <c r="AG322" s="6" t="s">
        <v>1275</v>
      </c>
      <c r="AH322" s="53">
        <f>IFERROR(PA[[#This Row],[Breakdown Time]]*PA[[#This Row],[Plant Equivalent Weightage]],"")</f>
        <v>1.0666666666666682E-3</v>
      </c>
      <c r="AI322" s="59">
        <v>0.31</v>
      </c>
      <c r="AJ322" s="89">
        <f>IFERROR(IF(PA[[#This Row],[Lost PoA(kWh/m2)]]&gt;0,_xlfn.XLOOKUP(G322,'Modelling New'!$D:$D,'Modelling New'!$O:$O)*PA[[#This Row],[Lost PoA(kWh/m2)]]*S322,0),"")</f>
        <v>70.221969346997469</v>
      </c>
    </row>
    <row r="323" spans="1:36" hidden="1" x14ac:dyDescent="0.25">
      <c r="A323" s="229">
        <v>2015</v>
      </c>
      <c r="B323" s="233">
        <v>45813</v>
      </c>
      <c r="C323" s="333">
        <v>2025</v>
      </c>
      <c r="D323" s="6">
        <f>YEAR(PA[[#This Row],[Date]])</f>
        <v>2025</v>
      </c>
      <c r="E323" s="334" t="s">
        <v>73</v>
      </c>
      <c r="F323" s="335" t="s">
        <v>73</v>
      </c>
      <c r="G323" s="323">
        <v>45809</v>
      </c>
      <c r="H323">
        <f>DAY(EOMONTH(PA[[#This Row],[Date]], 0))</f>
        <v>30</v>
      </c>
      <c r="I323" s="272">
        <v>0.21249999999999999</v>
      </c>
      <c r="J323" s="272"/>
      <c r="K323" s="53">
        <f>IFERROR((PA[[#This Row],[Sunset Time (POA&lt;20 W/m2)]]-PA[[#This Row],[Sunrise Time (POA&gt;20 W/m2)]])*24,"")</f>
        <v>-5.0999999999999996</v>
      </c>
      <c r="L323" s="59" t="s">
        <v>597</v>
      </c>
      <c r="M323" s="59"/>
      <c r="N323" s="59"/>
      <c r="O323" s="59" t="s">
        <v>600</v>
      </c>
      <c r="P323" s="56"/>
      <c r="Q323" s="6"/>
      <c r="R32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BLK3INV17</v>
      </c>
      <c r="S323" s="53">
        <v>22.5</v>
      </c>
      <c r="T323" s="90">
        <f>IFERROR(_xlfn.XLOOKUP(PA[[#This Row],[Affected Equipment ]],'Basic Data '!A:A,'Basic Data '!C:C),"")</f>
        <v>4.3333333333333331E-3</v>
      </c>
      <c r="U323" s="59" t="s">
        <v>773</v>
      </c>
      <c r="V323" s="88"/>
      <c r="W323" s="273" t="s">
        <v>762</v>
      </c>
      <c r="X323" s="269">
        <v>0.375</v>
      </c>
      <c r="Y323" s="269">
        <v>0.4548611111111111</v>
      </c>
      <c r="Z323" s="269">
        <v>0.4548611111111111</v>
      </c>
      <c r="AA323" s="269">
        <v>0.4548611111111111</v>
      </c>
      <c r="AB323" s="158">
        <f>IF(PA[[#This Row],[Acknowledgement Time ]]="NA","",(PA[[#This Row],[Acknowledgement Time ]]-PA[[#This Row],[Fault Time]])*24)</f>
        <v>1.9166666666666665</v>
      </c>
      <c r="AC323" s="158">
        <f>IF(PA[[#This Row],[Work Start time on Fault]]="NA","",(PA[[#This Row],[Work Start time on Fault]]-PA[[#This Row],[Fault Time]])*24)</f>
        <v>1.9166666666666665</v>
      </c>
      <c r="AD323" s="112">
        <f>IF(PA[[#This Row],[Status]]="Open","",(PA[[#This Row],[Work Completion time on fault]]-PA[[#This Row],[Fault Time]])*24)</f>
        <v>1.9166666666666665</v>
      </c>
      <c r="AE323" s="111">
        <f>IFERROR((PA[[#This Row],[Work Completion time on fault]]-PA[[#This Row],[Fault Time]])*24,"")</f>
        <v>1.9166666666666665</v>
      </c>
      <c r="AF323" s="273" t="s">
        <v>762</v>
      </c>
      <c r="AG323" s="6" t="s">
        <v>1275</v>
      </c>
      <c r="AH323" s="53">
        <f>IFERROR(PA[[#This Row],[Breakdown Time]]*PA[[#This Row],[Plant Equivalent Weightage]],"")</f>
        <v>8.3055555555555539E-3</v>
      </c>
      <c r="AI323" s="59">
        <v>0.33</v>
      </c>
      <c r="AJ323" s="89">
        <f>IFERROR(IF(PA[[#This Row],[Lost PoA(kWh/m2)]]&gt;0,_xlfn.XLOOKUP(G323,'Modelling New'!$D:$D,'Modelling New'!$O:$O)*PA[[#This Row],[Lost PoA(kWh/m2)]]*S323,0),"")</f>
        <v>5.6440584802062812</v>
      </c>
    </row>
    <row r="324" spans="1:36" hidden="1" x14ac:dyDescent="0.25">
      <c r="A324" s="229">
        <v>2016</v>
      </c>
      <c r="B324" s="233">
        <v>45813</v>
      </c>
      <c r="C324" s="333">
        <v>2025</v>
      </c>
      <c r="D324" s="6">
        <f>YEAR(PA[[#This Row],[Date]])</f>
        <v>2025</v>
      </c>
      <c r="E324" s="334" t="s">
        <v>73</v>
      </c>
      <c r="F324" s="335" t="s">
        <v>73</v>
      </c>
      <c r="G324" s="323">
        <v>45809</v>
      </c>
      <c r="H324">
        <f>DAY(EOMONTH(PA[[#This Row],[Date]], 0))</f>
        <v>30</v>
      </c>
      <c r="I324" s="272">
        <v>0.21249999999999999</v>
      </c>
      <c r="J324" s="272"/>
      <c r="K324" s="53">
        <f>IFERROR((PA[[#This Row],[Sunset Time (POA&lt;20 W/m2)]]-PA[[#This Row],[Sunrise Time (POA&gt;20 W/m2)]])*24,"")</f>
        <v>-5.0999999999999996</v>
      </c>
      <c r="L324" s="59" t="s">
        <v>621</v>
      </c>
      <c r="M324" s="59"/>
      <c r="N324" s="59"/>
      <c r="O324" s="59" t="s">
        <v>627</v>
      </c>
      <c r="P324" s="56"/>
      <c r="Q324" s="6"/>
      <c r="R32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BLK4INV21</v>
      </c>
      <c r="S324" s="53">
        <v>22.5</v>
      </c>
      <c r="T324" s="90">
        <f>IFERROR(_xlfn.XLOOKUP(PA[[#This Row],[Affected Equipment ]],'Basic Data '!A:A,'Basic Data '!C:C),"")</f>
        <v>4.0000000000000001E-3</v>
      </c>
      <c r="U324" s="59" t="s">
        <v>773</v>
      </c>
      <c r="V324" s="88"/>
      <c r="W324" s="273" t="s">
        <v>762</v>
      </c>
      <c r="X324" s="269">
        <v>0.375</v>
      </c>
      <c r="Y324" s="269">
        <v>0.63194444444444442</v>
      </c>
      <c r="Z324" s="269">
        <v>0.63194444444444442</v>
      </c>
      <c r="AA324" s="269">
        <v>0.63194444444444442</v>
      </c>
      <c r="AB324" s="158">
        <f>IF(PA[[#This Row],[Acknowledgement Time ]]="NA","",(PA[[#This Row],[Acknowledgement Time ]]-PA[[#This Row],[Fault Time]])*24)</f>
        <v>6.1666666666666661</v>
      </c>
      <c r="AC324" s="158">
        <f>IF(PA[[#This Row],[Work Start time on Fault]]="NA","",(PA[[#This Row],[Work Start time on Fault]]-PA[[#This Row],[Fault Time]])*24)</f>
        <v>6.1666666666666661</v>
      </c>
      <c r="AD324" s="112">
        <f>IF(PA[[#This Row],[Status]]="Open","",(PA[[#This Row],[Work Completion time on fault]]-PA[[#This Row],[Fault Time]])*24)</f>
        <v>6.1666666666666661</v>
      </c>
      <c r="AE324" s="111">
        <f>IFERROR((PA[[#This Row],[Work Completion time on fault]]-PA[[#This Row],[Fault Time]])*24,"")</f>
        <v>6.1666666666666661</v>
      </c>
      <c r="AF324" s="273" t="s">
        <v>762</v>
      </c>
      <c r="AG324" s="6" t="s">
        <v>1275</v>
      </c>
      <c r="AH324" s="53">
        <f>IFERROR(PA[[#This Row],[Breakdown Time]]*PA[[#This Row],[Plant Equivalent Weightage]],"")</f>
        <v>2.4666666666666663E-2</v>
      </c>
      <c r="AI324" s="59">
        <v>0.64</v>
      </c>
      <c r="AJ324" s="89">
        <f>IFERROR(IF(PA[[#This Row],[Lost PoA(kWh/m2)]]&gt;0,_xlfn.XLOOKUP(G324,'Modelling New'!$D:$D,'Modelling New'!$O:$O)*PA[[#This Row],[Lost PoA(kWh/m2)]]*S324,0),"")</f>
        <v>10.946052810097029</v>
      </c>
    </row>
    <row r="325" spans="1:36" hidden="1" x14ac:dyDescent="0.25">
      <c r="A325" s="229">
        <v>2017</v>
      </c>
      <c r="B325" s="233">
        <v>45813</v>
      </c>
      <c r="C325" s="333">
        <v>2025</v>
      </c>
      <c r="D325" s="6">
        <f>YEAR(PA[[#This Row],[Date]])</f>
        <v>2025</v>
      </c>
      <c r="E325" s="334" t="s">
        <v>73</v>
      </c>
      <c r="F325" s="335" t="s">
        <v>73</v>
      </c>
      <c r="G325" s="323">
        <v>45809</v>
      </c>
      <c r="H325">
        <f>DAY(EOMONTH(PA[[#This Row],[Date]], 0))</f>
        <v>30</v>
      </c>
      <c r="I325" s="272">
        <v>0.21249999999999999</v>
      </c>
      <c r="J325" s="272"/>
      <c r="K325" s="53">
        <f>IFERROR((PA[[#This Row],[Sunset Time (POA&lt;20 W/m2)]]-PA[[#This Row],[Sunrise Time (POA&gt;20 W/m2)]])*24,"")</f>
        <v>-5.0999999999999996</v>
      </c>
      <c r="L325" s="59" t="s">
        <v>621</v>
      </c>
      <c r="M325" s="59"/>
      <c r="N325" s="59"/>
      <c r="O325" s="59" t="s">
        <v>637</v>
      </c>
      <c r="P325" s="56"/>
      <c r="Q325" s="6"/>
      <c r="R32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325" s="53">
        <v>22.5</v>
      </c>
      <c r="T325" s="90">
        <f>IFERROR(_xlfn.XLOOKUP(PA[[#This Row],[Affected Equipment ]],'Basic Data '!A:A,'Basic Data '!C:C),"")</f>
        <v>4.0000000000000001E-3</v>
      </c>
      <c r="U325" s="59" t="s">
        <v>773</v>
      </c>
      <c r="V325" s="88"/>
      <c r="W325" s="273" t="s">
        <v>762</v>
      </c>
      <c r="X325" s="269">
        <v>0.375</v>
      </c>
      <c r="Y325" s="269">
        <v>0.64583333333333337</v>
      </c>
      <c r="Z325" s="269">
        <v>0.64583333333333337</v>
      </c>
      <c r="AA325" s="269">
        <v>0.64583333333333337</v>
      </c>
      <c r="AB325" s="158">
        <f>IF(PA[[#This Row],[Acknowledgement Time ]]="NA","",(PA[[#This Row],[Acknowledgement Time ]]-PA[[#This Row],[Fault Time]])*24)</f>
        <v>6.5000000000000009</v>
      </c>
      <c r="AC325" s="158">
        <f>IF(PA[[#This Row],[Work Start time on Fault]]="NA","",(PA[[#This Row],[Work Start time on Fault]]-PA[[#This Row],[Fault Time]])*24)</f>
        <v>6.5000000000000009</v>
      </c>
      <c r="AD325" s="112">
        <f>IF(PA[[#This Row],[Status]]="Open","",(PA[[#This Row],[Work Completion time on fault]]-PA[[#This Row],[Fault Time]])*24)</f>
        <v>6.5000000000000009</v>
      </c>
      <c r="AE325" s="111">
        <f>IFERROR((PA[[#This Row],[Work Completion time on fault]]-PA[[#This Row],[Fault Time]])*24,"")</f>
        <v>6.5000000000000009</v>
      </c>
      <c r="AF325" s="273" t="s">
        <v>762</v>
      </c>
      <c r="AG325" s="6" t="s">
        <v>1275</v>
      </c>
      <c r="AH325" s="53">
        <f>IFERROR(PA[[#This Row],[Breakdown Time]]*PA[[#This Row],[Plant Equivalent Weightage]],"")</f>
        <v>2.6000000000000006E-2</v>
      </c>
      <c r="AI325" s="59">
        <v>0.61</v>
      </c>
      <c r="AJ325" s="89">
        <f>IFERROR(IF(PA[[#This Row],[Lost PoA(kWh/m2)]]&gt;0,_xlfn.XLOOKUP(G325,'Modelling New'!$D:$D,'Modelling New'!$O:$O)*PA[[#This Row],[Lost PoA(kWh/m2)]]*S325,0),"")</f>
        <v>10.43295658462373</v>
      </c>
    </row>
    <row r="326" spans="1:36" hidden="1" x14ac:dyDescent="0.25">
      <c r="A326" s="229">
        <v>2018</v>
      </c>
      <c r="B326" s="233">
        <v>45813</v>
      </c>
      <c r="C326" s="333">
        <v>2025</v>
      </c>
      <c r="D326" s="6">
        <f>YEAR(PA[[#This Row],[Date]])</f>
        <v>2025</v>
      </c>
      <c r="E326" s="334" t="s">
        <v>73</v>
      </c>
      <c r="F326" s="335" t="s">
        <v>73</v>
      </c>
      <c r="G326" s="323">
        <v>45809</v>
      </c>
      <c r="H326">
        <f>DAY(EOMONTH(PA[[#This Row],[Date]], 0))</f>
        <v>30</v>
      </c>
      <c r="I326" s="272">
        <v>0.21249999999999999</v>
      </c>
      <c r="J326" s="272"/>
      <c r="K326" s="53">
        <f>IFERROR((PA[[#This Row],[Sunset Time (POA&lt;20 W/m2)]]-PA[[#This Row],[Sunrise Time (POA&gt;20 W/m2)]])*24,"")</f>
        <v>-5.0999999999999996</v>
      </c>
      <c r="L326" s="59" t="s">
        <v>559</v>
      </c>
      <c r="M326" s="59"/>
      <c r="N326" s="59"/>
      <c r="O326" s="59" t="s">
        <v>580</v>
      </c>
      <c r="P326" s="56"/>
      <c r="Q326" s="6"/>
      <c r="R32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BLK2INV31</v>
      </c>
      <c r="S326" s="53">
        <v>22.5</v>
      </c>
      <c r="T326" s="90">
        <f>IFERROR(_xlfn.XLOOKUP(PA[[#This Row],[Affected Equipment ]],'Basic Data '!A:A,'Basic Data '!C:C),"")</f>
        <v>4.0000000000000001E-3</v>
      </c>
      <c r="U326" s="59" t="s">
        <v>773</v>
      </c>
      <c r="V326" s="88"/>
      <c r="W326" s="273" t="s">
        <v>762</v>
      </c>
      <c r="X326" s="269">
        <v>0.375</v>
      </c>
      <c r="Y326" s="269">
        <v>0.65972222222222221</v>
      </c>
      <c r="Z326" s="269">
        <v>0.65972222222222221</v>
      </c>
      <c r="AA326" s="269">
        <v>0.65972222222222221</v>
      </c>
      <c r="AB326" s="158">
        <f>IF(PA[[#This Row],[Acknowledgement Time ]]="NA","",(PA[[#This Row],[Acknowledgement Time ]]-PA[[#This Row],[Fault Time]])*24)</f>
        <v>6.833333333333333</v>
      </c>
      <c r="AC326" s="158">
        <f>IF(PA[[#This Row],[Work Start time on Fault]]="NA","",(PA[[#This Row],[Work Start time on Fault]]-PA[[#This Row],[Fault Time]])*24)</f>
        <v>6.833333333333333</v>
      </c>
      <c r="AD326" s="112">
        <f>IF(PA[[#This Row],[Status]]="Open","",(PA[[#This Row],[Work Completion time on fault]]-PA[[#This Row],[Fault Time]])*24)</f>
        <v>6.833333333333333</v>
      </c>
      <c r="AE326" s="111">
        <f>IFERROR((PA[[#This Row],[Work Completion time on fault]]-PA[[#This Row],[Fault Time]])*24,"")</f>
        <v>6.833333333333333</v>
      </c>
      <c r="AF326" s="273" t="s">
        <v>762</v>
      </c>
      <c r="AG326" s="6" t="s">
        <v>1275</v>
      </c>
      <c r="AH326" s="53">
        <f>IFERROR(PA[[#This Row],[Breakdown Time]]*PA[[#This Row],[Plant Equivalent Weightage]],"")</f>
        <v>2.7333333333333331E-2</v>
      </c>
      <c r="AI326" s="59">
        <v>0.62</v>
      </c>
      <c r="AJ326" s="89">
        <f>IFERROR(IF(PA[[#This Row],[Lost PoA(kWh/m2)]]&gt;0,_xlfn.XLOOKUP(G326,'Modelling New'!$D:$D,'Modelling New'!$O:$O)*PA[[#This Row],[Lost PoA(kWh/m2)]]*S326,0),"")</f>
        <v>10.603988659781496</v>
      </c>
    </row>
    <row r="327" spans="1:36" hidden="1" x14ac:dyDescent="0.25">
      <c r="A327" s="229">
        <v>2019</v>
      </c>
      <c r="B327" s="233">
        <v>45815</v>
      </c>
      <c r="C327" s="333">
        <v>2025</v>
      </c>
      <c r="D327" s="6">
        <f>YEAR(PA[[#This Row],[Date]])</f>
        <v>2025</v>
      </c>
      <c r="E327" s="334" t="s">
        <v>73</v>
      </c>
      <c r="F327" s="335" t="s">
        <v>73</v>
      </c>
      <c r="G327" s="323">
        <v>45809</v>
      </c>
      <c r="H327">
        <f>DAY(EOMONTH(PA[[#This Row],[Date]], 0))</f>
        <v>30</v>
      </c>
      <c r="I327" s="272">
        <v>0.21319444444444444</v>
      </c>
      <c r="J327" s="272">
        <v>0.77500000000000002</v>
      </c>
      <c r="K327" s="53">
        <f>IFERROR((PA[[#This Row],[Sunset Time (POA&lt;20 W/m2)]]-PA[[#This Row],[Sunrise Time (POA&gt;20 W/m2)]])*24,"")</f>
        <v>13.483333333333334</v>
      </c>
      <c r="L327" s="59" t="s">
        <v>587</v>
      </c>
      <c r="M327" s="59"/>
      <c r="N327" s="59"/>
      <c r="O327" s="59" t="s">
        <v>580</v>
      </c>
      <c r="P327" s="56"/>
      <c r="Q327" s="6"/>
      <c r="R32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BLK1INV31</v>
      </c>
      <c r="S327" s="53">
        <v>22.5</v>
      </c>
      <c r="T327" s="90">
        <f>IFERROR(_xlfn.XLOOKUP(PA[[#This Row],[Affected Equipment ]],'Basic Data '!A:A,'Basic Data '!C:C),"")</f>
        <v>4.4999999999999997E-3</v>
      </c>
      <c r="U327" s="59" t="s">
        <v>773</v>
      </c>
      <c r="V327" s="88"/>
      <c r="W327" s="273" t="s">
        <v>762</v>
      </c>
      <c r="X327" s="60">
        <v>0.21319444444444444</v>
      </c>
      <c r="Y327" s="60">
        <v>0.65625</v>
      </c>
      <c r="Z327" s="60">
        <v>0.65625</v>
      </c>
      <c r="AA327" s="60">
        <v>0.67222222222222217</v>
      </c>
      <c r="AB327" s="158">
        <f>IF(PA[[#This Row],[Acknowledgement Time ]]="NA","",(PA[[#This Row],[Acknowledgement Time ]]-PA[[#This Row],[Fault Time]])*24)</f>
        <v>10.633333333333333</v>
      </c>
      <c r="AC327" s="158">
        <f>IF(PA[[#This Row],[Work Start time on Fault]]="NA","",(PA[[#This Row],[Work Start time on Fault]]-PA[[#This Row],[Fault Time]])*24)</f>
        <v>10.633333333333333</v>
      </c>
      <c r="AD327" s="112">
        <f>IF(PA[[#This Row],[Status]]="Open","",(PA[[#This Row],[Work Completion time on fault]]-PA[[#This Row],[Fault Time]])*24)</f>
        <v>11.016666666666666</v>
      </c>
      <c r="AE327" s="111">
        <f>IFERROR((PA[[#This Row],[Work Completion time on fault]]-PA[[#This Row],[Fault Time]])*24,"")</f>
        <v>11.016666666666666</v>
      </c>
      <c r="AF327" s="273" t="s">
        <v>762</v>
      </c>
      <c r="AG327" s="6" t="s">
        <v>1275</v>
      </c>
      <c r="AH327" s="53">
        <f>IFERROR(PA[[#This Row],[Breakdown Time]]*PA[[#This Row],[Plant Equivalent Weightage]],"")</f>
        <v>4.9574999999999994E-2</v>
      </c>
      <c r="AI327" s="59">
        <v>5.23</v>
      </c>
      <c r="AJ327" s="89">
        <f>IFERROR(IF(PA[[#This Row],[Lost PoA(kWh/m2)]]&gt;0,_xlfn.XLOOKUP(G327,'Modelling New'!$D:$D,'Modelling New'!$O:$O)*PA[[#This Row],[Lost PoA(kWh/m2)]]*S327,0),"")</f>
        <v>89.449775307511658</v>
      </c>
    </row>
    <row r="328" spans="1:36" hidden="1" x14ac:dyDescent="0.25">
      <c r="A328" s="229">
        <v>2020</v>
      </c>
      <c r="B328" s="233">
        <v>45815</v>
      </c>
      <c r="C328" s="333">
        <v>2025</v>
      </c>
      <c r="D328" s="6">
        <f>YEAR(PA[[#This Row],[Date]])</f>
        <v>2025</v>
      </c>
      <c r="E328" s="334" t="s">
        <v>73</v>
      </c>
      <c r="F328" s="335" t="s">
        <v>73</v>
      </c>
      <c r="G328" s="323">
        <v>45809</v>
      </c>
      <c r="H328">
        <f>DAY(EOMONTH(PA[[#This Row],[Date]], 0))</f>
        <v>30</v>
      </c>
      <c r="I328" s="272">
        <v>0.21319444444444444</v>
      </c>
      <c r="J328" s="272">
        <v>0.77500000000000002</v>
      </c>
      <c r="K328" s="53">
        <f>IFERROR((PA[[#This Row],[Sunset Time (POA&lt;20 W/m2)]]-PA[[#This Row],[Sunrise Time (POA&gt;20 W/m2)]])*24,"")</f>
        <v>13.483333333333334</v>
      </c>
      <c r="L328" s="59" t="s">
        <v>587</v>
      </c>
      <c r="M328" s="59"/>
      <c r="N328" s="59"/>
      <c r="O328" s="59" t="s">
        <v>617</v>
      </c>
      <c r="P328" s="56"/>
      <c r="Q328" s="6"/>
      <c r="R32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BLK1INV8</v>
      </c>
      <c r="S328" s="53">
        <v>22.5</v>
      </c>
      <c r="T328" s="90">
        <f>IFERROR(_xlfn.XLOOKUP(PA[[#This Row],[Affected Equipment ]],'Basic Data '!A:A,'Basic Data '!C:C),"")</f>
        <v>4.0000000000000001E-3</v>
      </c>
      <c r="U328" s="59" t="s">
        <v>773</v>
      </c>
      <c r="V328" s="88"/>
      <c r="W328" s="273" t="s">
        <v>762</v>
      </c>
      <c r="X328" s="60">
        <v>0.21319444444444444</v>
      </c>
      <c r="Y328" s="60">
        <v>0.68055555555555547</v>
      </c>
      <c r="Z328" s="60">
        <v>0.68055555555555547</v>
      </c>
      <c r="AA328" s="60">
        <v>0.68541666666666667</v>
      </c>
      <c r="AB328" s="158">
        <f>IF(PA[[#This Row],[Acknowledgement Time ]]="NA","",(PA[[#This Row],[Acknowledgement Time ]]-PA[[#This Row],[Fault Time]])*24)</f>
        <v>11.216666666666665</v>
      </c>
      <c r="AC328" s="158">
        <f>IF(PA[[#This Row],[Work Start time on Fault]]="NA","",(PA[[#This Row],[Work Start time on Fault]]-PA[[#This Row],[Fault Time]])*24)</f>
        <v>11.216666666666665</v>
      </c>
      <c r="AD328" s="112">
        <f>IF(PA[[#This Row],[Status]]="Open","",(PA[[#This Row],[Work Completion time on fault]]-PA[[#This Row],[Fault Time]])*24)</f>
        <v>11.333333333333332</v>
      </c>
      <c r="AE328" s="111">
        <f>IFERROR((PA[[#This Row],[Work Completion time on fault]]-PA[[#This Row],[Fault Time]])*24,"")</f>
        <v>11.333333333333332</v>
      </c>
      <c r="AF328" s="273" t="s">
        <v>762</v>
      </c>
      <c r="AG328" s="6" t="s">
        <v>1275</v>
      </c>
      <c r="AH328" s="53">
        <f>IFERROR(PA[[#This Row],[Breakdown Time]]*PA[[#This Row],[Plant Equivalent Weightage]],"")</f>
        <v>4.533333333333333E-2</v>
      </c>
      <c r="AI328" s="59">
        <v>5.32</v>
      </c>
      <c r="AJ328" s="89">
        <f>IFERROR(IF(PA[[#This Row],[Lost PoA(kWh/m2)]]&gt;0,_xlfn.XLOOKUP(G328,'Modelling New'!$D:$D,'Modelling New'!$O:$O)*PA[[#This Row],[Lost PoA(kWh/m2)]]*S328,0),"")</f>
        <v>90.989063983931558</v>
      </c>
    </row>
    <row r="329" spans="1:36" hidden="1" x14ac:dyDescent="0.25">
      <c r="A329" s="229">
        <v>2021</v>
      </c>
      <c r="B329" s="233">
        <v>45815</v>
      </c>
      <c r="C329" s="333">
        <v>2025</v>
      </c>
      <c r="D329" s="6">
        <f>YEAR(PA[[#This Row],[Date]])</f>
        <v>2025</v>
      </c>
      <c r="E329" s="334" t="s">
        <v>73</v>
      </c>
      <c r="F329" s="335" t="s">
        <v>73</v>
      </c>
      <c r="G329" s="323">
        <v>45809</v>
      </c>
      <c r="H329">
        <f>DAY(EOMONTH(PA[[#This Row],[Date]], 0))</f>
        <v>30</v>
      </c>
      <c r="I329" s="272">
        <v>0.21319444444444444</v>
      </c>
      <c r="J329" s="272">
        <v>0.77500000000000002</v>
      </c>
      <c r="K329" s="53">
        <f>IFERROR((PA[[#This Row],[Sunset Time (POA&lt;20 W/m2)]]-PA[[#This Row],[Sunrise Time (POA&gt;20 W/m2)]])*24,"")</f>
        <v>13.483333333333334</v>
      </c>
      <c r="L329" s="59" t="s">
        <v>587</v>
      </c>
      <c r="M329" s="59"/>
      <c r="N329" s="59"/>
      <c r="O329" s="59" t="s">
        <v>617</v>
      </c>
      <c r="P329" s="56"/>
      <c r="Q329" s="6"/>
      <c r="R32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BLK1INV8</v>
      </c>
      <c r="S329" s="53">
        <v>22.5</v>
      </c>
      <c r="T329" s="90">
        <f>IFERROR(_xlfn.XLOOKUP(PA[[#This Row],[Affected Equipment ]],'Basic Data '!A:A,'Basic Data '!C:C),"")</f>
        <v>4.0000000000000001E-3</v>
      </c>
      <c r="U329" s="59" t="s">
        <v>773</v>
      </c>
      <c r="V329" s="88"/>
      <c r="W329" s="273" t="s">
        <v>762</v>
      </c>
      <c r="X329" s="60">
        <v>0.21319444444444444</v>
      </c>
      <c r="Y329" s="60">
        <v>0.67361111111111116</v>
      </c>
      <c r="Z329" s="60">
        <v>0.67361111111111116</v>
      </c>
      <c r="AA329" s="60">
        <v>0.68680555555555556</v>
      </c>
      <c r="AB329" s="158">
        <f>IF(PA[[#This Row],[Acknowledgement Time ]]="NA","",(PA[[#This Row],[Acknowledgement Time ]]-PA[[#This Row],[Fault Time]])*24)</f>
        <v>11.05</v>
      </c>
      <c r="AC329" s="158">
        <f>IF(PA[[#This Row],[Work Start time on Fault]]="NA","",(PA[[#This Row],[Work Start time on Fault]]-PA[[#This Row],[Fault Time]])*24)</f>
        <v>11.05</v>
      </c>
      <c r="AD329" s="112">
        <f>IF(PA[[#This Row],[Status]]="Open","",(PA[[#This Row],[Work Completion time on fault]]-PA[[#This Row],[Fault Time]])*24)</f>
        <v>11.366666666666667</v>
      </c>
      <c r="AE329" s="111">
        <f>IFERROR((PA[[#This Row],[Work Completion time on fault]]-PA[[#This Row],[Fault Time]])*24,"")</f>
        <v>11.366666666666667</v>
      </c>
      <c r="AF329" s="273" t="s">
        <v>762</v>
      </c>
      <c r="AG329" s="6" t="s">
        <v>1275</v>
      </c>
      <c r="AH329" s="53">
        <f>IFERROR(PA[[#This Row],[Breakdown Time]]*PA[[#This Row],[Plant Equivalent Weightage]],"")</f>
        <v>4.5466666666666669E-2</v>
      </c>
      <c r="AI329" s="59">
        <v>5.41</v>
      </c>
      <c r="AJ329" s="89">
        <f>IFERROR(IF(PA[[#This Row],[Lost PoA(kWh/m2)]]&gt;0,_xlfn.XLOOKUP(G329,'Modelling New'!$D:$D,'Modelling New'!$O:$O)*PA[[#This Row],[Lost PoA(kWh/m2)]]*S329,0),"")</f>
        <v>92.528352660351459</v>
      </c>
    </row>
    <row r="330" spans="1:36" hidden="1" x14ac:dyDescent="0.25">
      <c r="A330" s="229">
        <v>2022</v>
      </c>
      <c r="B330" s="233">
        <v>45815</v>
      </c>
      <c r="C330" s="333">
        <v>2025</v>
      </c>
      <c r="D330" s="6">
        <f>YEAR(PA[[#This Row],[Date]])</f>
        <v>2025</v>
      </c>
      <c r="E330" s="334" t="s">
        <v>73</v>
      </c>
      <c r="F330" s="335" t="s">
        <v>73</v>
      </c>
      <c r="G330" s="323">
        <v>45809</v>
      </c>
      <c r="H330">
        <f>DAY(EOMONTH(PA[[#This Row],[Date]], 0))</f>
        <v>30</v>
      </c>
      <c r="I330" s="272">
        <v>0.21319444444444444</v>
      </c>
      <c r="J330" s="272">
        <v>0.77500000000000002</v>
      </c>
      <c r="K330" s="53">
        <f>IFERROR((PA[[#This Row],[Sunset Time (POA&lt;20 W/m2)]]-PA[[#This Row],[Sunrise Time (POA&gt;20 W/m2)]])*24,"")</f>
        <v>13.483333333333334</v>
      </c>
      <c r="L330" s="59" t="s">
        <v>587</v>
      </c>
      <c r="M330" s="59"/>
      <c r="N330" s="59"/>
      <c r="O330" s="59" t="s">
        <v>581</v>
      </c>
      <c r="P330" s="56"/>
      <c r="Q330" s="6"/>
      <c r="R33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BLK1INV32</v>
      </c>
      <c r="S330" s="53">
        <v>22.5</v>
      </c>
      <c r="T330" s="90">
        <f>IFERROR(_xlfn.XLOOKUP(PA[[#This Row],[Affected Equipment ]],'Basic Data '!A:A,'Basic Data '!C:C),"")</f>
        <v>4.4999999999999997E-3</v>
      </c>
      <c r="U330" s="59" t="s">
        <v>773</v>
      </c>
      <c r="V330" s="88"/>
      <c r="W330" s="273" t="s">
        <v>762</v>
      </c>
      <c r="X330" s="60">
        <v>0.21319444444444444</v>
      </c>
      <c r="Y330" s="60">
        <v>0.67361111111111116</v>
      </c>
      <c r="Z330" s="60">
        <v>0.67361111111111116</v>
      </c>
      <c r="AA330" s="60">
        <v>0.69652777777777775</v>
      </c>
      <c r="AB330" s="158">
        <f>IF(PA[[#This Row],[Acknowledgement Time ]]="NA","",(PA[[#This Row],[Acknowledgement Time ]]-PA[[#This Row],[Fault Time]])*24)</f>
        <v>11.05</v>
      </c>
      <c r="AC330" s="158">
        <f>IF(PA[[#This Row],[Work Start time on Fault]]="NA","",(PA[[#This Row],[Work Start time on Fault]]-PA[[#This Row],[Fault Time]])*24)</f>
        <v>11.05</v>
      </c>
      <c r="AD330" s="112">
        <f>IF(PA[[#This Row],[Status]]="Open","",(PA[[#This Row],[Work Completion time on fault]]-PA[[#This Row],[Fault Time]])*24)</f>
        <v>11.599999999999998</v>
      </c>
      <c r="AE330" s="111">
        <f>IFERROR((PA[[#This Row],[Work Completion time on fault]]-PA[[#This Row],[Fault Time]])*24,"")</f>
        <v>11.599999999999998</v>
      </c>
      <c r="AF330" s="273" t="s">
        <v>762</v>
      </c>
      <c r="AG330" s="6" t="s">
        <v>1275</v>
      </c>
      <c r="AH330" s="53">
        <f>IFERROR(PA[[#This Row],[Breakdown Time]]*PA[[#This Row],[Plant Equivalent Weightage]],"")</f>
        <v>5.2199999999999989E-2</v>
      </c>
      <c r="AI330" s="59">
        <v>5.46</v>
      </c>
      <c r="AJ330" s="89">
        <f>IFERROR(IF(PA[[#This Row],[Lost PoA(kWh/m2)]]&gt;0,_xlfn.XLOOKUP(G330,'Modelling New'!$D:$D,'Modelling New'!$O:$O)*PA[[#This Row],[Lost PoA(kWh/m2)]]*S330,0),"")</f>
        <v>93.383513036140272</v>
      </c>
    </row>
    <row r="331" spans="1:36" hidden="1" x14ac:dyDescent="0.25">
      <c r="A331" s="229">
        <v>2023</v>
      </c>
      <c r="B331" s="233">
        <v>45815</v>
      </c>
      <c r="C331" s="333">
        <v>2025</v>
      </c>
      <c r="D331" s="6">
        <f>YEAR(PA[[#This Row],[Date]])</f>
        <v>2025</v>
      </c>
      <c r="E331" s="334" t="s">
        <v>73</v>
      </c>
      <c r="F331" s="335" t="s">
        <v>73</v>
      </c>
      <c r="G331" s="323">
        <v>45809</v>
      </c>
      <c r="H331">
        <f>DAY(EOMONTH(PA[[#This Row],[Date]], 0))</f>
        <v>30</v>
      </c>
      <c r="I331" s="272">
        <v>0.21319444444444444</v>
      </c>
      <c r="J331" s="272">
        <v>0.77500000000000002</v>
      </c>
      <c r="K331" s="53">
        <f>IFERROR((PA[[#This Row],[Sunset Time (POA&lt;20 W/m2)]]-PA[[#This Row],[Sunrise Time (POA&gt;20 W/m2)]])*24,"")</f>
        <v>13.483333333333334</v>
      </c>
      <c r="L331" s="59" t="s">
        <v>559</v>
      </c>
      <c r="M331" s="59"/>
      <c r="N331" s="59"/>
      <c r="O331" s="59" t="s">
        <v>599</v>
      </c>
      <c r="P331" s="56"/>
      <c r="Q331" s="6"/>
      <c r="R33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BLK2INV20</v>
      </c>
      <c r="S331" s="53">
        <v>22.5</v>
      </c>
      <c r="T331" s="90">
        <f>IFERROR(_xlfn.XLOOKUP(PA[[#This Row],[Affected Equipment ]],'Basic Data '!A:A,'Basic Data '!C:C),"")</f>
        <v>4.0000000000000001E-3</v>
      </c>
      <c r="U331" s="59" t="s">
        <v>773</v>
      </c>
      <c r="V331" s="88"/>
      <c r="W331" s="273" t="s">
        <v>762</v>
      </c>
      <c r="X331" s="60">
        <v>0.21319444444444444</v>
      </c>
      <c r="Y331" s="60">
        <v>0.68055555555555547</v>
      </c>
      <c r="Z331" s="60">
        <v>0.68055555555555547</v>
      </c>
      <c r="AA331" s="60">
        <v>0.69930555555555562</v>
      </c>
      <c r="AB331" s="158">
        <f>IF(PA[[#This Row],[Acknowledgement Time ]]="NA","",(PA[[#This Row],[Acknowledgement Time ]]-PA[[#This Row],[Fault Time]])*24)</f>
        <v>11.216666666666665</v>
      </c>
      <c r="AC331" s="158">
        <f>IF(PA[[#This Row],[Work Start time on Fault]]="NA","",(PA[[#This Row],[Work Start time on Fault]]-PA[[#This Row],[Fault Time]])*24)</f>
        <v>11.216666666666665</v>
      </c>
      <c r="AD331" s="112">
        <f>IF(PA[[#This Row],[Status]]="Open","",(PA[[#This Row],[Work Completion time on fault]]-PA[[#This Row],[Fault Time]])*24)</f>
        <v>11.666666666666668</v>
      </c>
      <c r="AE331" s="111">
        <f>IFERROR((PA[[#This Row],[Work Completion time on fault]]-PA[[#This Row],[Fault Time]])*24,"")</f>
        <v>11.666666666666668</v>
      </c>
      <c r="AF331" s="273" t="s">
        <v>762</v>
      </c>
      <c r="AG331" s="6" t="s">
        <v>1275</v>
      </c>
      <c r="AH331" s="53">
        <f>IFERROR(PA[[#This Row],[Breakdown Time]]*PA[[#This Row],[Plant Equivalent Weightage]],"")</f>
        <v>4.6666666666666676E-2</v>
      </c>
      <c r="AI331" s="59">
        <v>5.51</v>
      </c>
      <c r="AJ331" s="89">
        <f>IFERROR(IF(PA[[#This Row],[Lost PoA(kWh/m2)]]&gt;0,_xlfn.XLOOKUP(G331,'Modelling New'!$D:$D,'Modelling New'!$O:$O)*PA[[#This Row],[Lost PoA(kWh/m2)]]*S331,0),"")</f>
        <v>94.238673411929099</v>
      </c>
    </row>
    <row r="332" spans="1:36" hidden="1" x14ac:dyDescent="0.25">
      <c r="A332" s="229">
        <v>2024</v>
      </c>
      <c r="B332" s="233">
        <v>45815</v>
      </c>
      <c r="C332" s="333">
        <v>2025</v>
      </c>
      <c r="D332" s="6">
        <f>YEAR(PA[[#This Row],[Date]])</f>
        <v>2025</v>
      </c>
      <c r="E332" s="334" t="s">
        <v>73</v>
      </c>
      <c r="F332" s="335" t="s">
        <v>73</v>
      </c>
      <c r="G332" s="323">
        <v>45809</v>
      </c>
      <c r="H332">
        <f>DAY(EOMONTH(PA[[#This Row],[Date]], 0))</f>
        <v>30</v>
      </c>
      <c r="I332" s="272">
        <v>0.21319444444444444</v>
      </c>
      <c r="J332" s="272">
        <v>0.77500000000000002</v>
      </c>
      <c r="K332" s="53">
        <f>IFERROR((PA[[#This Row],[Sunset Time (POA&lt;20 W/m2)]]-PA[[#This Row],[Sunrise Time (POA&gt;20 W/m2)]])*24,"")</f>
        <v>13.483333333333334</v>
      </c>
      <c r="L332" s="59" t="s">
        <v>559</v>
      </c>
      <c r="M332" s="59"/>
      <c r="N332" s="59"/>
      <c r="O332" s="59" t="s">
        <v>600</v>
      </c>
      <c r="P332" s="56"/>
      <c r="Q332" s="6"/>
      <c r="R33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BLK2INV17</v>
      </c>
      <c r="S332" s="53">
        <v>22.5</v>
      </c>
      <c r="T332" s="90">
        <f>IFERROR(_xlfn.XLOOKUP(PA[[#This Row],[Affected Equipment ]],'Basic Data '!A:A,'Basic Data '!C:C),"")</f>
        <v>4.0000000000000001E-3</v>
      </c>
      <c r="U332" s="59" t="s">
        <v>773</v>
      </c>
      <c r="V332" s="88"/>
      <c r="W332" s="273" t="s">
        <v>762</v>
      </c>
      <c r="X332" s="60">
        <v>0.21319444444444444</v>
      </c>
      <c r="Y332" s="60">
        <v>0.68888888888888899</v>
      </c>
      <c r="Z332" s="60">
        <v>0.68888888888888899</v>
      </c>
      <c r="AA332" s="60">
        <v>0.70277777777777783</v>
      </c>
      <c r="AB332" s="158">
        <f>IF(PA[[#This Row],[Acknowledgement Time ]]="NA","",(PA[[#This Row],[Acknowledgement Time ]]-PA[[#This Row],[Fault Time]])*24)</f>
        <v>11.416666666666668</v>
      </c>
      <c r="AC332" s="158">
        <f>IF(PA[[#This Row],[Work Start time on Fault]]="NA","",(PA[[#This Row],[Work Start time on Fault]]-PA[[#This Row],[Fault Time]])*24)</f>
        <v>11.416666666666668</v>
      </c>
      <c r="AD332" s="112">
        <f>IF(PA[[#This Row],[Status]]="Open","",(PA[[#This Row],[Work Completion time on fault]]-PA[[#This Row],[Fault Time]])*24)</f>
        <v>11.75</v>
      </c>
      <c r="AE332" s="111">
        <f>IFERROR((PA[[#This Row],[Work Completion time on fault]]-PA[[#This Row],[Fault Time]])*24,"")</f>
        <v>11.75</v>
      </c>
      <c r="AF332" s="273" t="s">
        <v>762</v>
      </c>
      <c r="AG332" s="6" t="s">
        <v>1275</v>
      </c>
      <c r="AH332" s="53">
        <f>IFERROR(PA[[#This Row],[Breakdown Time]]*PA[[#This Row],[Plant Equivalent Weightage]],"")</f>
        <v>4.7E-2</v>
      </c>
      <c r="AI332" s="59">
        <v>5.59</v>
      </c>
      <c r="AJ332" s="89">
        <f>IFERROR(IF(PA[[#This Row],[Lost PoA(kWh/m2)]]&gt;0,_xlfn.XLOOKUP(G332,'Modelling New'!$D:$D,'Modelling New'!$O:$O)*PA[[#This Row],[Lost PoA(kWh/m2)]]*S332,0),"")</f>
        <v>95.606930013191231</v>
      </c>
    </row>
    <row r="333" spans="1:36" hidden="1" x14ac:dyDescent="0.25">
      <c r="A333" s="229">
        <v>2025</v>
      </c>
      <c r="B333" s="233">
        <v>45815</v>
      </c>
      <c r="C333" s="333">
        <v>2025</v>
      </c>
      <c r="D333" s="6">
        <f>YEAR(PA[[#This Row],[Date]])</f>
        <v>2025</v>
      </c>
      <c r="E333" s="334" t="s">
        <v>73</v>
      </c>
      <c r="F333" s="335" t="s">
        <v>73</v>
      </c>
      <c r="G333" s="323">
        <v>45809</v>
      </c>
      <c r="H333">
        <f>DAY(EOMONTH(PA[[#This Row],[Date]], 0))</f>
        <v>30</v>
      </c>
      <c r="I333" s="272">
        <v>0.21319444444444444</v>
      </c>
      <c r="J333" s="272">
        <v>0.77500000000000002</v>
      </c>
      <c r="K333" s="53">
        <f>IFERROR((PA[[#This Row],[Sunset Time (POA&lt;20 W/m2)]]-PA[[#This Row],[Sunrise Time (POA&gt;20 W/m2)]])*24,"")</f>
        <v>13.483333333333334</v>
      </c>
      <c r="L333" s="59" t="s">
        <v>559</v>
      </c>
      <c r="M333" s="59"/>
      <c r="N333" s="59"/>
      <c r="O333" s="59" t="s">
        <v>601</v>
      </c>
      <c r="P333" s="56"/>
      <c r="Q333" s="6"/>
      <c r="R33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BLK2INV18</v>
      </c>
      <c r="S333" s="53">
        <v>22.5</v>
      </c>
      <c r="T333" s="90">
        <f>IFERROR(_xlfn.XLOOKUP(PA[[#This Row],[Affected Equipment ]],'Basic Data '!A:A,'Basic Data '!C:C),"")</f>
        <v>4.1666666666666666E-3</v>
      </c>
      <c r="U333" s="59" t="s">
        <v>773</v>
      </c>
      <c r="V333" s="88"/>
      <c r="W333" s="273" t="s">
        <v>762</v>
      </c>
      <c r="X333" s="60">
        <v>0.21319444444444444</v>
      </c>
      <c r="Y333" s="60">
        <v>0.6972222222222223</v>
      </c>
      <c r="Z333" s="60">
        <v>0.6972222222222223</v>
      </c>
      <c r="AA333" s="60">
        <v>0.7055555555555556</v>
      </c>
      <c r="AB333" s="158">
        <f>IF(PA[[#This Row],[Acknowledgement Time ]]="NA","",(PA[[#This Row],[Acknowledgement Time ]]-PA[[#This Row],[Fault Time]])*24)</f>
        <v>11.616666666666667</v>
      </c>
      <c r="AC333" s="158">
        <f>IF(PA[[#This Row],[Work Start time on Fault]]="NA","",(PA[[#This Row],[Work Start time on Fault]]-PA[[#This Row],[Fault Time]])*24)</f>
        <v>11.616666666666667</v>
      </c>
      <c r="AD333" s="112">
        <f>IF(PA[[#This Row],[Status]]="Open","",(PA[[#This Row],[Work Completion time on fault]]-PA[[#This Row],[Fault Time]])*24)</f>
        <v>11.816666666666666</v>
      </c>
      <c r="AE333" s="111">
        <f>IFERROR((PA[[#This Row],[Work Completion time on fault]]-PA[[#This Row],[Fault Time]])*24,"")</f>
        <v>11.816666666666666</v>
      </c>
      <c r="AF333" s="273" t="s">
        <v>762</v>
      </c>
      <c r="AG333" s="6" t="s">
        <v>1275</v>
      </c>
      <c r="AH333" s="53">
        <f>IFERROR(PA[[#This Row],[Breakdown Time]]*PA[[#This Row],[Plant Equivalent Weightage]],"")</f>
        <v>4.9236111111111112E-2</v>
      </c>
      <c r="AI333" s="59">
        <v>6.12</v>
      </c>
      <c r="AJ333" s="89">
        <f>IFERROR(IF(PA[[#This Row],[Lost PoA(kWh/m2)]]&gt;0,_xlfn.XLOOKUP(G333,'Modelling New'!$D:$D,'Modelling New'!$O:$O)*PA[[#This Row],[Lost PoA(kWh/m2)]]*S333,0),"")</f>
        <v>104.67162999655284</v>
      </c>
    </row>
    <row r="334" spans="1:36" hidden="1" x14ac:dyDescent="0.25">
      <c r="A334" s="229">
        <v>2026</v>
      </c>
      <c r="B334" s="233">
        <v>45815</v>
      </c>
      <c r="C334" s="333">
        <v>2025</v>
      </c>
      <c r="D334" s="6">
        <f>YEAR(PA[[#This Row],[Date]])</f>
        <v>2025</v>
      </c>
      <c r="E334" s="334" t="s">
        <v>73</v>
      </c>
      <c r="F334" s="335" t="s">
        <v>73</v>
      </c>
      <c r="G334" s="323">
        <v>45809</v>
      </c>
      <c r="H334">
        <f>DAY(EOMONTH(PA[[#This Row],[Date]], 0))</f>
        <v>30</v>
      </c>
      <c r="I334" s="272">
        <v>0.21319444444444444</v>
      </c>
      <c r="J334" s="272">
        <v>0.77500000000000002</v>
      </c>
      <c r="K334" s="53">
        <f>IFERROR((PA[[#This Row],[Sunset Time (POA&lt;20 W/m2)]]-PA[[#This Row],[Sunrise Time (POA&gt;20 W/m2)]])*24,"")</f>
        <v>13.483333333333334</v>
      </c>
      <c r="L334" s="59" t="s">
        <v>559</v>
      </c>
      <c r="M334" s="59"/>
      <c r="N334" s="59"/>
      <c r="O334" s="59" t="s">
        <v>663</v>
      </c>
      <c r="P334" s="56"/>
      <c r="Q334" s="6"/>
      <c r="R33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BLK2INV16</v>
      </c>
      <c r="S334" s="53">
        <v>22.5</v>
      </c>
      <c r="T334" s="90">
        <f>IFERROR(_xlfn.XLOOKUP(PA[[#This Row],[Affected Equipment ]],'Basic Data '!A:A,'Basic Data '!C:C),"")</f>
        <v>4.3333333333333331E-3</v>
      </c>
      <c r="U334" s="59" t="s">
        <v>773</v>
      </c>
      <c r="V334" s="88"/>
      <c r="W334" s="114" t="s">
        <v>774</v>
      </c>
      <c r="X334" s="60">
        <v>0.21319444444444444</v>
      </c>
      <c r="Y334" s="60">
        <v>0.7055555555555556</v>
      </c>
      <c r="Z334" s="60">
        <v>0.7055555555555556</v>
      </c>
      <c r="AA334" s="60">
        <v>0.71388888888888891</v>
      </c>
      <c r="AB334" s="158">
        <f>IF(PA[[#This Row],[Acknowledgement Time ]]="NA","",(PA[[#This Row],[Acknowledgement Time ]]-PA[[#This Row],[Fault Time]])*24)</f>
        <v>11.816666666666666</v>
      </c>
      <c r="AC334" s="158">
        <f>IF(PA[[#This Row],[Work Start time on Fault]]="NA","",(PA[[#This Row],[Work Start time on Fault]]-PA[[#This Row],[Fault Time]])*24)</f>
        <v>11.816666666666666</v>
      </c>
      <c r="AD334" s="112">
        <f>IF(PA[[#This Row],[Status]]="Open","",(PA[[#This Row],[Work Completion time on fault]]-PA[[#This Row],[Fault Time]])*24)</f>
        <v>12.016666666666666</v>
      </c>
      <c r="AE334" s="111">
        <f>IFERROR((PA[[#This Row],[Work Completion time on fault]]-PA[[#This Row],[Fault Time]])*24,"")</f>
        <v>12.016666666666666</v>
      </c>
      <c r="AF334" s="356" t="s">
        <v>762</v>
      </c>
      <c r="AG334" s="6" t="s">
        <v>1275</v>
      </c>
      <c r="AH334" s="53">
        <f>IFERROR(PA[[#This Row],[Breakdown Time]]*PA[[#This Row],[Plant Equivalent Weightage]],"")</f>
        <v>5.2072222222222214E-2</v>
      </c>
      <c r="AI334" s="59">
        <v>6.18</v>
      </c>
      <c r="AJ334" s="89">
        <f>IFERROR(IF(PA[[#This Row],[Lost PoA(kWh/m2)]]&gt;0,_xlfn.XLOOKUP(G334,'Modelling New'!$D:$D,'Modelling New'!$O:$O)*PA[[#This Row],[Lost PoA(kWh/m2)]]*S334,0),"")</f>
        <v>105.69782244749942</v>
      </c>
    </row>
    <row r="335" spans="1:36" hidden="1" x14ac:dyDescent="0.25">
      <c r="A335" s="229">
        <v>2027</v>
      </c>
      <c r="B335" s="233">
        <v>45815</v>
      </c>
      <c r="C335" s="333">
        <v>2025</v>
      </c>
      <c r="D335" s="6">
        <f>YEAR(PA[[#This Row],[Date]])</f>
        <v>2025</v>
      </c>
      <c r="E335" s="334" t="s">
        <v>73</v>
      </c>
      <c r="F335" s="335" t="s">
        <v>73</v>
      </c>
      <c r="G335" s="323">
        <v>45809</v>
      </c>
      <c r="H335">
        <f>DAY(EOMONTH(PA[[#This Row],[Date]], 0))</f>
        <v>30</v>
      </c>
      <c r="I335" s="272">
        <v>0.21319444444444444</v>
      </c>
      <c r="J335" s="272">
        <v>0.77500000000000002</v>
      </c>
      <c r="K335" s="53">
        <f>IFERROR((PA[[#This Row],[Sunset Time (POA&lt;20 W/m2)]]-PA[[#This Row],[Sunrise Time (POA&gt;20 W/m2)]])*24,"")</f>
        <v>13.483333333333334</v>
      </c>
      <c r="L335" s="59" t="s">
        <v>559</v>
      </c>
      <c r="M335" s="59"/>
      <c r="N335" s="59"/>
      <c r="O335" s="59" t="s">
        <v>571</v>
      </c>
      <c r="P335" s="56"/>
      <c r="Q335" s="6"/>
      <c r="R33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v>
      </c>
      <c r="S335" s="53">
        <v>22.5</v>
      </c>
      <c r="T335" s="90">
        <f>IFERROR(_xlfn.XLOOKUP(PA[[#This Row],[Affected Equipment ]],'Basic Data '!A:A,'Basic Data '!C:C),"")</f>
        <v>3.3333333333333335E-3</v>
      </c>
      <c r="U335" s="59" t="s">
        <v>773</v>
      </c>
      <c r="V335" s="88"/>
      <c r="W335" s="114" t="s">
        <v>774</v>
      </c>
      <c r="X335" s="60">
        <v>0.21319444444444444</v>
      </c>
      <c r="Y335" s="60">
        <v>0.70833333333333337</v>
      </c>
      <c r="Z335" s="60">
        <v>0.70833333333333337</v>
      </c>
      <c r="AA335" s="60">
        <v>0.71736111111111101</v>
      </c>
      <c r="AB335" s="158">
        <f>IF(PA[[#This Row],[Acknowledgement Time ]]="NA","",(PA[[#This Row],[Acknowledgement Time ]]-PA[[#This Row],[Fault Time]])*24)</f>
        <v>11.883333333333333</v>
      </c>
      <c r="AC335" s="158">
        <f>IF(PA[[#This Row],[Work Start time on Fault]]="NA","",(PA[[#This Row],[Work Start time on Fault]]-PA[[#This Row],[Fault Time]])*24)</f>
        <v>11.883333333333333</v>
      </c>
      <c r="AD335" s="112">
        <f>IF(PA[[#This Row],[Status]]="Open","",(PA[[#This Row],[Work Completion time on fault]]-PA[[#This Row],[Fault Time]])*24)</f>
        <v>12.099999999999998</v>
      </c>
      <c r="AE335" s="111">
        <f>IFERROR((PA[[#This Row],[Work Completion time on fault]]-PA[[#This Row],[Fault Time]])*24,"")</f>
        <v>12.099999999999998</v>
      </c>
      <c r="AF335" s="356" t="s">
        <v>762</v>
      </c>
      <c r="AG335" s="6" t="s">
        <v>1275</v>
      </c>
      <c r="AH335" s="53">
        <f>IFERROR(PA[[#This Row],[Breakdown Time]]*PA[[#This Row],[Plant Equivalent Weightage]],"")</f>
        <v>4.0333333333333332E-2</v>
      </c>
      <c r="AI335" s="59">
        <v>6.26</v>
      </c>
      <c r="AJ335" s="89">
        <f>IFERROR(IF(PA[[#This Row],[Lost PoA(kWh/m2)]]&gt;0,_xlfn.XLOOKUP(G335,'Modelling New'!$D:$D,'Modelling New'!$O:$O)*PA[[#This Row],[Lost PoA(kWh/m2)]]*S335,0),"")</f>
        <v>107.06607904876155</v>
      </c>
    </row>
    <row r="336" spans="1:36" hidden="1" x14ac:dyDescent="0.25">
      <c r="A336" s="229">
        <v>2028</v>
      </c>
      <c r="B336" s="233">
        <v>45816</v>
      </c>
      <c r="C336" s="333">
        <v>2025</v>
      </c>
      <c r="D336" s="6">
        <f>YEAR(PA[[#This Row],[Date]])</f>
        <v>2025</v>
      </c>
      <c r="E336" s="334" t="s">
        <v>73</v>
      </c>
      <c r="F336" s="335" t="s">
        <v>73</v>
      </c>
      <c r="G336" s="323">
        <v>45809</v>
      </c>
      <c r="H336">
        <f>DAY(EOMONTH(PA[[#This Row],[Date]], 0))</f>
        <v>30</v>
      </c>
      <c r="I336" s="272">
        <v>0.21388888888888891</v>
      </c>
      <c r="J336" s="272">
        <v>0.77500000000000002</v>
      </c>
      <c r="K336" s="53">
        <f>IFERROR((PA[[#This Row],[Sunset Time (POA&lt;20 W/m2)]]-PA[[#This Row],[Sunrise Time (POA&gt;20 W/m2)]])*24,"")</f>
        <v>13.466666666666667</v>
      </c>
      <c r="L336" s="59" t="s">
        <v>597</v>
      </c>
      <c r="M336" s="59"/>
      <c r="N336" s="59"/>
      <c r="O336" s="59" t="s">
        <v>610</v>
      </c>
      <c r="P336" s="56"/>
      <c r="Q336" s="6"/>
      <c r="R33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BLK3INV24</v>
      </c>
      <c r="S336" s="53">
        <v>22.5</v>
      </c>
      <c r="T336" s="90">
        <f>IFERROR(_xlfn.XLOOKUP(PA[[#This Row],[Affected Equipment ]],'Basic Data '!A:A,'Basic Data '!C:C),"")</f>
        <v>4.0000000000000001E-3</v>
      </c>
      <c r="U336" s="59" t="s">
        <v>773</v>
      </c>
      <c r="V336" s="88"/>
      <c r="W336" s="350" t="s">
        <v>767</v>
      </c>
      <c r="X336" s="358">
        <v>0.21388888888888888</v>
      </c>
      <c r="Y336" s="349">
        <v>0.42430555555555555</v>
      </c>
      <c r="Z336" s="349">
        <v>0.42430555555555555</v>
      </c>
      <c r="AA336" s="352">
        <v>0.43402777777777779</v>
      </c>
      <c r="AB336" s="158">
        <f>IF(PA[[#This Row],[Acknowledgement Time ]]="NA","",(PA[[#This Row],[Acknowledgement Time ]]-PA[[#This Row],[Fault Time]])*24)</f>
        <v>5.05</v>
      </c>
      <c r="AC336" s="158">
        <f>IF(PA[[#This Row],[Work Start time on Fault]]="NA","",(PA[[#This Row],[Work Start time on Fault]]-PA[[#This Row],[Fault Time]])*24)</f>
        <v>5.05</v>
      </c>
      <c r="AD336" s="112">
        <f>IF(PA[[#This Row],[Status]]="Open","",(PA[[#This Row],[Work Completion time on fault]]-PA[[#This Row],[Fault Time]])*24)</f>
        <v>5.2833333333333341</v>
      </c>
      <c r="AE336" s="111">
        <f>IFERROR((PA[[#This Row],[Work Completion time on fault]]-PA[[#This Row],[Fault Time]])*24,"")</f>
        <v>5.2833333333333341</v>
      </c>
      <c r="AF336" s="356" t="s">
        <v>762</v>
      </c>
      <c r="AG336" s="6" t="s">
        <v>1275</v>
      </c>
      <c r="AH336" s="53">
        <f>IFERROR(PA[[#This Row],[Breakdown Time]]*PA[[#This Row],[Plant Equivalent Weightage]],"")</f>
        <v>2.1133333333333337E-2</v>
      </c>
      <c r="AI336" s="59">
        <v>0.95</v>
      </c>
      <c r="AJ336" s="89">
        <f>IFERROR(IF(PA[[#This Row],[Lost PoA(kWh/m2)]]&gt;0,_xlfn.XLOOKUP(G336,'Modelling New'!$D:$D,'Modelling New'!$O:$O)*PA[[#This Row],[Lost PoA(kWh/m2)]]*S336,0),"")</f>
        <v>16.248047139987776</v>
      </c>
    </row>
    <row r="337" spans="1:38" hidden="1" x14ac:dyDescent="0.25">
      <c r="A337" s="229">
        <v>2029</v>
      </c>
      <c r="B337" s="233">
        <v>45816</v>
      </c>
      <c r="C337" s="333">
        <v>2025</v>
      </c>
      <c r="D337" s="6">
        <f>YEAR(PA[[#This Row],[Date]])</f>
        <v>2025</v>
      </c>
      <c r="E337" s="334" t="s">
        <v>73</v>
      </c>
      <c r="F337" s="335" t="s">
        <v>73</v>
      </c>
      <c r="G337" s="323">
        <v>45809</v>
      </c>
      <c r="H337">
        <f>DAY(EOMONTH(PA[[#This Row],[Date]], 0))</f>
        <v>30</v>
      </c>
      <c r="I337" s="272">
        <v>0.21388888888888891</v>
      </c>
      <c r="J337" s="272">
        <v>0.77500000000000002</v>
      </c>
      <c r="K337" s="53">
        <f>IFERROR((PA[[#This Row],[Sunset Time (POA&lt;20 W/m2)]]-PA[[#This Row],[Sunrise Time (POA&gt;20 W/m2)]])*24,"")</f>
        <v>13.466666666666667</v>
      </c>
      <c r="L337" s="59" t="s">
        <v>606</v>
      </c>
      <c r="M337" s="59"/>
      <c r="N337" s="59"/>
      <c r="O337" s="59" t="s">
        <v>607</v>
      </c>
      <c r="P337" s="56"/>
      <c r="Q337" s="6"/>
      <c r="R33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BLK7INV3</v>
      </c>
      <c r="S337" s="53">
        <v>22.5</v>
      </c>
      <c r="T337" s="90">
        <f>IFERROR(_xlfn.XLOOKUP(PA[[#This Row],[Affected Equipment ]],'Basic Data '!A:A,'Basic Data '!C:C),"")</f>
        <v>3.9550561797752808E-3</v>
      </c>
      <c r="U337" s="59" t="s">
        <v>773</v>
      </c>
      <c r="V337" s="88"/>
      <c r="W337" s="356" t="s">
        <v>767</v>
      </c>
      <c r="X337" s="351">
        <v>0.21388888888888888</v>
      </c>
      <c r="Y337" s="349">
        <v>0.43055555555555558</v>
      </c>
      <c r="Z337" s="349">
        <v>0.43055555555555558</v>
      </c>
      <c r="AA337" s="352">
        <v>0.44791666666666669</v>
      </c>
      <c r="AB337" s="158">
        <f>IF(PA[[#This Row],[Acknowledgement Time ]]="NA","",(PA[[#This Row],[Acknowledgement Time ]]-PA[[#This Row],[Fault Time]])*24)</f>
        <v>5.2000000000000011</v>
      </c>
      <c r="AC337" s="158">
        <f>IF(PA[[#This Row],[Work Start time on Fault]]="NA","",(PA[[#This Row],[Work Start time on Fault]]-PA[[#This Row],[Fault Time]])*24)</f>
        <v>5.2000000000000011</v>
      </c>
      <c r="AD337" s="112">
        <f>IF(PA[[#This Row],[Status]]="Open","",(PA[[#This Row],[Work Completion time on fault]]-PA[[#This Row],[Fault Time]])*24)</f>
        <v>5.6166666666666671</v>
      </c>
      <c r="AE337" s="111">
        <f>IFERROR((PA[[#This Row],[Work Completion time on fault]]-PA[[#This Row],[Fault Time]])*24,"")</f>
        <v>5.6166666666666671</v>
      </c>
      <c r="AF337" s="356" t="s">
        <v>762</v>
      </c>
      <c r="AG337" s="6" t="s">
        <v>1275</v>
      </c>
      <c r="AH337" s="53">
        <f>IFERROR(PA[[#This Row],[Breakdown Time]]*PA[[#This Row],[Plant Equivalent Weightage]],"")</f>
        <v>2.2214232209737828E-2</v>
      </c>
      <c r="AI337" s="59">
        <v>1.2</v>
      </c>
      <c r="AJ337" s="89">
        <f>IFERROR(IF(PA[[#This Row],[Lost PoA(kWh/m2)]]&gt;0,_xlfn.XLOOKUP(G337,'Modelling New'!$D:$D,'Modelling New'!$O:$O)*PA[[#This Row],[Lost PoA(kWh/m2)]]*S337,0),"")</f>
        <v>20.523849018931926</v>
      </c>
    </row>
    <row r="338" spans="1:38" hidden="1" x14ac:dyDescent="0.25">
      <c r="A338" s="229">
        <v>2030</v>
      </c>
      <c r="B338" s="233">
        <v>45816</v>
      </c>
      <c r="C338" s="333">
        <v>2025</v>
      </c>
      <c r="D338" s="6">
        <f>YEAR(PA[[#This Row],[Date]])</f>
        <v>2025</v>
      </c>
      <c r="E338" s="334" t="s">
        <v>73</v>
      </c>
      <c r="F338" s="335" t="s">
        <v>73</v>
      </c>
      <c r="G338" s="323">
        <v>45809</v>
      </c>
      <c r="H338">
        <f>DAY(EOMONTH(PA[[#This Row],[Date]], 0))</f>
        <v>30</v>
      </c>
      <c r="I338" s="272">
        <v>0.21388888888888891</v>
      </c>
      <c r="J338" s="272">
        <v>0.77500000000000002</v>
      </c>
      <c r="K338" s="53">
        <f>IFERROR((PA[[#This Row],[Sunset Time (POA&lt;20 W/m2)]]-PA[[#This Row],[Sunrise Time (POA&gt;20 W/m2)]])*24,"")</f>
        <v>13.466666666666667</v>
      </c>
      <c r="L338" s="59" t="s">
        <v>606</v>
      </c>
      <c r="M338" s="59"/>
      <c r="N338" s="59"/>
      <c r="O338" s="59" t="s">
        <v>598</v>
      </c>
      <c r="P338" s="56"/>
      <c r="Q338" s="6"/>
      <c r="R33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BLK7INV6</v>
      </c>
      <c r="S338" s="53">
        <v>22.5</v>
      </c>
      <c r="T338" s="90">
        <f>IFERROR(_xlfn.XLOOKUP(PA[[#This Row],[Affected Equipment ]],'Basic Data '!A:A,'Basic Data '!C:C),"")</f>
        <v>3.9550561797752808E-3</v>
      </c>
      <c r="U338" s="59" t="s">
        <v>773</v>
      </c>
      <c r="V338" s="88"/>
      <c r="W338" s="356" t="s">
        <v>767</v>
      </c>
      <c r="X338" s="351">
        <v>0.21388888888888888</v>
      </c>
      <c r="Y338" s="349">
        <v>0.4597222222222222</v>
      </c>
      <c r="Z338" s="349">
        <v>0.4597222222222222</v>
      </c>
      <c r="AA338" s="352">
        <v>0.46527777777777779</v>
      </c>
      <c r="AB338" s="158">
        <f>IF(PA[[#This Row],[Acknowledgement Time ]]="NA","",(PA[[#This Row],[Acknowledgement Time ]]-PA[[#This Row],[Fault Time]])*24)</f>
        <v>5.8999999999999995</v>
      </c>
      <c r="AC338" s="158">
        <f>IF(PA[[#This Row],[Work Start time on Fault]]="NA","",(PA[[#This Row],[Work Start time on Fault]]-PA[[#This Row],[Fault Time]])*24)</f>
        <v>5.8999999999999995</v>
      </c>
      <c r="AD338" s="112">
        <f>IF(PA[[#This Row],[Status]]="Open","",(PA[[#This Row],[Work Completion time on fault]]-PA[[#This Row],[Fault Time]])*24)</f>
        <v>6.0333333333333332</v>
      </c>
      <c r="AE338" s="111">
        <f>IFERROR((PA[[#This Row],[Work Completion time on fault]]-PA[[#This Row],[Fault Time]])*24,"")</f>
        <v>6.0333333333333332</v>
      </c>
      <c r="AF338" s="356" t="s">
        <v>762</v>
      </c>
      <c r="AG338" s="6" t="s">
        <v>1275</v>
      </c>
      <c r="AH338" s="53">
        <f>IFERROR(PA[[#This Row],[Breakdown Time]]*PA[[#This Row],[Plant Equivalent Weightage]],"")</f>
        <v>2.3862172284644195E-2</v>
      </c>
      <c r="AI338" s="59">
        <v>1.47</v>
      </c>
      <c r="AJ338" s="89">
        <f>IFERROR(IF(PA[[#This Row],[Lost PoA(kWh/m2)]]&gt;0,_xlfn.XLOOKUP(G338,'Modelling New'!$D:$D,'Modelling New'!$O:$O)*PA[[#This Row],[Lost PoA(kWh/m2)]]*S338,0),"")</f>
        <v>25.141715048191614</v>
      </c>
    </row>
    <row r="339" spans="1:38" hidden="1" x14ac:dyDescent="0.25">
      <c r="A339" s="229">
        <v>2031</v>
      </c>
      <c r="B339" s="233">
        <v>45816</v>
      </c>
      <c r="C339" s="333">
        <v>2025</v>
      </c>
      <c r="D339" s="6">
        <f>YEAR(PA[[#This Row],[Date]])</f>
        <v>2025</v>
      </c>
      <c r="E339" s="334" t="s">
        <v>73</v>
      </c>
      <c r="F339" s="335" t="s">
        <v>73</v>
      </c>
      <c r="G339" s="323">
        <v>45809</v>
      </c>
      <c r="H339">
        <f>DAY(EOMONTH(PA[[#This Row],[Date]], 0))</f>
        <v>30</v>
      </c>
      <c r="I339" s="272">
        <v>0.21388888888888891</v>
      </c>
      <c r="J339" s="272">
        <v>0.77500000000000002</v>
      </c>
      <c r="K339" s="53">
        <f>IFERROR((PA[[#This Row],[Sunset Time (POA&lt;20 W/m2)]]-PA[[#This Row],[Sunrise Time (POA&gt;20 W/m2)]])*24,"")</f>
        <v>13.466666666666667</v>
      </c>
      <c r="L339" s="59" t="s">
        <v>579</v>
      </c>
      <c r="M339" s="59"/>
      <c r="N339" s="59"/>
      <c r="O339" s="59" t="s">
        <v>594</v>
      </c>
      <c r="P339" s="56"/>
      <c r="Q339" s="6"/>
      <c r="R33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BLK8INV10</v>
      </c>
      <c r="S339" s="53">
        <v>22.5</v>
      </c>
      <c r="T339" s="90">
        <f>IFERROR(_xlfn.XLOOKUP(PA[[#This Row],[Affected Equipment ]],'Basic Data '!A:A,'Basic Data '!C:C),"")</f>
        <v>4.4999999999999997E-3</v>
      </c>
      <c r="U339" s="59" t="s">
        <v>773</v>
      </c>
      <c r="V339" s="88"/>
      <c r="W339" s="356" t="s">
        <v>767</v>
      </c>
      <c r="X339" s="351">
        <v>0.21388888888888888</v>
      </c>
      <c r="Y339" s="349">
        <v>0.4597222222222222</v>
      </c>
      <c r="Z339" s="349">
        <v>0.4597222222222222</v>
      </c>
      <c r="AA339" s="352">
        <v>0.47916666666666669</v>
      </c>
      <c r="AB339" s="158">
        <f>IF(PA[[#This Row],[Acknowledgement Time ]]="NA","",(PA[[#This Row],[Acknowledgement Time ]]-PA[[#This Row],[Fault Time]])*24)</f>
        <v>5.8999999999999995</v>
      </c>
      <c r="AC339" s="158">
        <f>IF(PA[[#This Row],[Work Start time on Fault]]="NA","",(PA[[#This Row],[Work Start time on Fault]]-PA[[#This Row],[Fault Time]])*24)</f>
        <v>5.8999999999999995</v>
      </c>
      <c r="AD339" s="112">
        <f>IF(PA[[#This Row],[Status]]="Open","",(PA[[#This Row],[Work Completion time on fault]]-PA[[#This Row],[Fault Time]])*24)</f>
        <v>6.366666666666668</v>
      </c>
      <c r="AE339" s="111">
        <f>IFERROR((PA[[#This Row],[Work Completion time on fault]]-PA[[#This Row],[Fault Time]])*24,"")</f>
        <v>6.366666666666668</v>
      </c>
      <c r="AF339" s="356" t="s">
        <v>762</v>
      </c>
      <c r="AG339" s="6" t="s">
        <v>1275</v>
      </c>
      <c r="AH339" s="53">
        <f>IFERROR(PA[[#This Row],[Breakdown Time]]*PA[[#This Row],[Plant Equivalent Weightage]],"")</f>
        <v>2.8650000000000005E-2</v>
      </c>
      <c r="AI339" s="59">
        <v>1.88</v>
      </c>
      <c r="AJ339" s="89">
        <f>IFERROR(IF(PA[[#This Row],[Lost PoA(kWh/m2)]]&gt;0,_xlfn.XLOOKUP(G339,'Modelling New'!$D:$D,'Modelling New'!$O:$O)*PA[[#This Row],[Lost PoA(kWh/m2)]]*S339,0),"")</f>
        <v>32.154030129660015</v>
      </c>
    </row>
    <row r="340" spans="1:38" hidden="1" x14ac:dyDescent="0.25">
      <c r="A340" s="229">
        <v>2032</v>
      </c>
      <c r="B340" s="233">
        <v>45816</v>
      </c>
      <c r="C340" s="333">
        <v>2025</v>
      </c>
      <c r="D340" s="6">
        <f>YEAR(PA[[#This Row],[Date]])</f>
        <v>2025</v>
      </c>
      <c r="E340" s="334" t="s">
        <v>73</v>
      </c>
      <c r="F340" s="335" t="s">
        <v>73</v>
      </c>
      <c r="G340" s="323">
        <v>45809</v>
      </c>
      <c r="H340">
        <f>DAY(EOMONTH(PA[[#This Row],[Date]], 0))</f>
        <v>30</v>
      </c>
      <c r="I340" s="272">
        <v>0.21388888888888891</v>
      </c>
      <c r="J340" s="272">
        <v>0.77500000000000002</v>
      </c>
      <c r="K340" s="53">
        <f>IFERROR((PA[[#This Row],[Sunset Time (POA&lt;20 W/m2)]]-PA[[#This Row],[Sunrise Time (POA&gt;20 W/m2)]])*24,"")</f>
        <v>13.466666666666667</v>
      </c>
      <c r="L340" s="59" t="s">
        <v>559</v>
      </c>
      <c r="M340" s="59"/>
      <c r="N340" s="59"/>
      <c r="O340" s="59" t="s">
        <v>580</v>
      </c>
      <c r="P340" s="56"/>
      <c r="Q340" s="6"/>
      <c r="R34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BLK2INV31</v>
      </c>
      <c r="S340" s="53">
        <v>22.5</v>
      </c>
      <c r="T340" s="90">
        <f>IFERROR(_xlfn.XLOOKUP(PA[[#This Row],[Affected Equipment ]],'Basic Data '!A:A,'Basic Data '!C:C),"")</f>
        <v>4.0000000000000001E-3</v>
      </c>
      <c r="U340" s="59" t="s">
        <v>773</v>
      </c>
      <c r="V340" s="88"/>
      <c r="W340" s="357" t="s">
        <v>760</v>
      </c>
      <c r="X340" s="351">
        <v>0.21388888888888888</v>
      </c>
      <c r="Y340" s="349">
        <v>0.49652777777777773</v>
      </c>
      <c r="Z340" s="349">
        <v>0.49652777777777773</v>
      </c>
      <c r="AA340" s="352">
        <v>0.50694444444444442</v>
      </c>
      <c r="AB340" s="158">
        <f>IF(PA[[#This Row],[Acknowledgement Time ]]="NA","",(PA[[#This Row],[Acknowledgement Time ]]-PA[[#This Row],[Fault Time]])*24)</f>
        <v>6.7833333333333332</v>
      </c>
      <c r="AC340" s="158">
        <f>IF(PA[[#This Row],[Work Start time on Fault]]="NA","",(PA[[#This Row],[Work Start time on Fault]]-PA[[#This Row],[Fault Time]])*24)</f>
        <v>6.7833333333333332</v>
      </c>
      <c r="AD340" s="112">
        <f>IF(PA[[#This Row],[Status]]="Open","",(PA[[#This Row],[Work Completion time on fault]]-PA[[#This Row],[Fault Time]])*24)</f>
        <v>7.0333333333333323</v>
      </c>
      <c r="AE340" s="111">
        <f>IFERROR((PA[[#This Row],[Work Completion time on fault]]-PA[[#This Row],[Fault Time]])*24,"")</f>
        <v>7.0333333333333323</v>
      </c>
      <c r="AF340" s="353" t="s">
        <v>760</v>
      </c>
      <c r="AG340" s="6" t="s">
        <v>1275</v>
      </c>
      <c r="AH340" s="53">
        <f>IFERROR(PA[[#This Row],[Breakdown Time]]*PA[[#This Row],[Plant Equivalent Weightage]],"")</f>
        <v>2.813333333333333E-2</v>
      </c>
      <c r="AI340" s="59">
        <v>2.29</v>
      </c>
      <c r="AJ340" s="89">
        <f>IFERROR(IF(PA[[#This Row],[Lost PoA(kWh/m2)]]&gt;0,_xlfn.XLOOKUP(G340,'Modelling New'!$D:$D,'Modelling New'!$O:$O)*PA[[#This Row],[Lost PoA(kWh/m2)]]*S340,0),"")</f>
        <v>39.16634521112843</v>
      </c>
    </row>
    <row r="341" spans="1:38" hidden="1" x14ac:dyDescent="0.25">
      <c r="A341" s="229">
        <v>2033</v>
      </c>
      <c r="B341" s="233">
        <v>45816</v>
      </c>
      <c r="C341" s="333">
        <v>2025</v>
      </c>
      <c r="D341" s="6">
        <f>YEAR(PA[[#This Row],[Date]])</f>
        <v>2025</v>
      </c>
      <c r="E341" s="334" t="s">
        <v>73</v>
      </c>
      <c r="F341" s="335" t="s">
        <v>73</v>
      </c>
      <c r="G341" s="323">
        <v>45809</v>
      </c>
      <c r="H341">
        <f>DAY(EOMONTH(PA[[#This Row],[Date]], 0))</f>
        <v>30</v>
      </c>
      <c r="I341" s="272">
        <v>0.21388888888888891</v>
      </c>
      <c r="J341" s="272">
        <v>0.77500000000000002</v>
      </c>
      <c r="K341" s="53">
        <f>IFERROR((PA[[#This Row],[Sunset Time (POA&lt;20 W/m2)]]-PA[[#This Row],[Sunrise Time (POA&gt;20 W/m2)]])*24,"")</f>
        <v>13.466666666666667</v>
      </c>
      <c r="L341" s="59" t="s">
        <v>559</v>
      </c>
      <c r="M341" s="59"/>
      <c r="N341" s="59"/>
      <c r="O341" s="59" t="s">
        <v>580</v>
      </c>
      <c r="P341" s="56"/>
      <c r="Q341" s="6"/>
      <c r="R34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BLK2INV31</v>
      </c>
      <c r="S341" s="53">
        <v>22.5</v>
      </c>
      <c r="T341" s="90">
        <f>IFERROR(_xlfn.XLOOKUP(PA[[#This Row],[Affected Equipment ]],'Basic Data '!A:A,'Basic Data '!C:C),"")</f>
        <v>4.0000000000000001E-3</v>
      </c>
      <c r="U341" s="59" t="s">
        <v>773</v>
      </c>
      <c r="V341" s="88"/>
      <c r="W341" s="357" t="s">
        <v>760</v>
      </c>
      <c r="X341" s="351">
        <v>0.21388888888888888</v>
      </c>
      <c r="Y341" s="349">
        <v>0.49652777777777773</v>
      </c>
      <c r="Z341" s="349">
        <v>0.49652777777777773</v>
      </c>
      <c r="AA341" s="352">
        <v>0.51388888888888884</v>
      </c>
      <c r="AB341" s="158">
        <f>IF(PA[[#This Row],[Acknowledgement Time ]]="NA","",(PA[[#This Row],[Acknowledgement Time ]]-PA[[#This Row],[Fault Time]])*24)</f>
        <v>6.7833333333333332</v>
      </c>
      <c r="AC341" s="158">
        <f>IF(PA[[#This Row],[Work Start time on Fault]]="NA","",(PA[[#This Row],[Work Start time on Fault]]-PA[[#This Row],[Fault Time]])*24)</f>
        <v>6.7833333333333332</v>
      </c>
      <c r="AD341" s="112">
        <f>IF(PA[[#This Row],[Status]]="Open","",(PA[[#This Row],[Work Completion time on fault]]-PA[[#This Row],[Fault Time]])*24)</f>
        <v>7.1999999999999984</v>
      </c>
      <c r="AE341" s="111">
        <f>IFERROR((PA[[#This Row],[Work Completion time on fault]]-PA[[#This Row],[Fault Time]])*24,"")</f>
        <v>7.1999999999999984</v>
      </c>
      <c r="AF341" s="353" t="s">
        <v>760</v>
      </c>
      <c r="AG341" s="6" t="s">
        <v>1275</v>
      </c>
      <c r="AH341" s="53">
        <f>IFERROR(PA[[#This Row],[Breakdown Time]]*PA[[#This Row],[Plant Equivalent Weightage]],"")</f>
        <v>2.8799999999999996E-2</v>
      </c>
      <c r="AI341" s="59">
        <v>2.77</v>
      </c>
      <c r="AJ341" s="89">
        <f>IFERROR(IF(PA[[#This Row],[Lost PoA(kWh/m2)]]&gt;0,_xlfn.XLOOKUP(G341,'Modelling New'!$D:$D,'Modelling New'!$O:$O)*PA[[#This Row],[Lost PoA(kWh/m2)]]*S341,0),"")</f>
        <v>47.375884818701202</v>
      </c>
    </row>
    <row r="342" spans="1:38" hidden="1" x14ac:dyDescent="0.25">
      <c r="A342" s="229">
        <v>2034</v>
      </c>
      <c r="B342" s="233">
        <v>45816</v>
      </c>
      <c r="C342" s="333">
        <v>2025</v>
      </c>
      <c r="D342" s="348">
        <f>YEAR(PA[[#This Row],[Date]])</f>
        <v>2025</v>
      </c>
      <c r="E342" s="334" t="s">
        <v>73</v>
      </c>
      <c r="F342" s="335" t="s">
        <v>73</v>
      </c>
      <c r="G342" s="323">
        <v>45809</v>
      </c>
      <c r="H342" s="354">
        <f>DAY(EOMONTH(PA[[#This Row],[Date]], 0))</f>
        <v>30</v>
      </c>
      <c r="I342" s="272">
        <v>0.21388888888888891</v>
      </c>
      <c r="J342" s="272">
        <v>0.77500000000000002</v>
      </c>
      <c r="K342" s="53">
        <f>IFERROR((PA[[#This Row],[Sunset Time (POA&lt;20 W/m2)]]-PA[[#This Row],[Sunrise Time (POA&gt;20 W/m2)]])*24,"")</f>
        <v>13.466666666666667</v>
      </c>
      <c r="L342" s="59" t="s">
        <v>587</v>
      </c>
      <c r="M342" s="59"/>
      <c r="N342" s="59"/>
      <c r="O342" s="59" t="s">
        <v>580</v>
      </c>
      <c r="P342" s="56"/>
      <c r="Q342" s="6"/>
      <c r="R34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BLK1INV31</v>
      </c>
      <c r="S342" s="53">
        <v>22.25</v>
      </c>
      <c r="T342" s="90">
        <f>IFERROR(_xlfn.XLOOKUP(PA[[#This Row],[Affected Equipment ]],'Basic Data '!A:A,'Basic Data '!C:C),"")</f>
        <v>4.4999999999999997E-3</v>
      </c>
      <c r="U342" s="59" t="s">
        <v>773</v>
      </c>
      <c r="V342" s="88"/>
      <c r="W342" s="356" t="s">
        <v>767</v>
      </c>
      <c r="X342" s="355">
        <v>0.21388888888888888</v>
      </c>
      <c r="Y342" s="349">
        <v>0.375</v>
      </c>
      <c r="Z342" s="349">
        <v>0.67361111111111116</v>
      </c>
      <c r="AA342" s="349">
        <v>0.68055555555555547</v>
      </c>
      <c r="AB342" s="158">
        <f>IF(PA[[#This Row],[Acknowledgement Time ]]="NA","",(PA[[#This Row],[Acknowledgement Time ]]-PA[[#This Row],[Fault Time]])*24)</f>
        <v>3.8666666666666671</v>
      </c>
      <c r="AC342" s="158">
        <f>IF(PA[[#This Row],[Work Start time on Fault]]="NA","",(PA[[#This Row],[Work Start time on Fault]]-PA[[#This Row],[Fault Time]])*24)</f>
        <v>11.033333333333335</v>
      </c>
      <c r="AD342" s="112">
        <f>IF(PA[[#This Row],[Status]]="Open","",(PA[[#This Row],[Work Completion time on fault]]-PA[[#This Row],[Fault Time]])*24)</f>
        <v>11.199999999999998</v>
      </c>
      <c r="AE342" s="111">
        <f>IFERROR((PA[[#This Row],[Work Completion time on fault]]-PA[[#This Row],[Fault Time]])*24,"")</f>
        <v>11.199999999999998</v>
      </c>
      <c r="AF342" s="228" t="s">
        <v>762</v>
      </c>
      <c r="AG342" s="6" t="s">
        <v>1275</v>
      </c>
      <c r="AH342" s="53">
        <f>IFERROR(PA[[#This Row],[Breakdown Time]]*PA[[#This Row],[Plant Equivalent Weightage]],"")</f>
        <v>5.0399999999999986E-2</v>
      </c>
      <c r="AI342" s="59">
        <v>5.88</v>
      </c>
      <c r="AJ342" s="89">
        <f>IFERROR(IF(PA[[#This Row],[Lost PoA(kWh/m2)]]&gt;0,_xlfn.XLOOKUP(G342,'Modelling New'!$D:$D,'Modelling New'!$O:$O)*PA[[#This Row],[Lost PoA(kWh/m2)]]*S342,0),"")</f>
        <v>99.449450635069041</v>
      </c>
      <c r="AK342" s="354"/>
      <c r="AL342" s="354"/>
    </row>
    <row r="343" spans="1:38" hidden="1" x14ac:dyDescent="0.25">
      <c r="A343" s="229">
        <v>2035</v>
      </c>
      <c r="B343" s="233">
        <v>45816</v>
      </c>
      <c r="C343" s="333">
        <v>2025</v>
      </c>
      <c r="D343" s="348">
        <f>YEAR(PA[[#This Row],[Date]])</f>
        <v>2025</v>
      </c>
      <c r="E343" s="334" t="s">
        <v>73</v>
      </c>
      <c r="F343" s="335" t="s">
        <v>73</v>
      </c>
      <c r="G343" s="323">
        <v>45809</v>
      </c>
      <c r="H343" s="354">
        <f>DAY(EOMONTH(PA[[#This Row],[Date]], 0))</f>
        <v>30</v>
      </c>
      <c r="I343" s="272">
        <v>0.21388888888888891</v>
      </c>
      <c r="J343" s="272">
        <v>0.77500000000000002</v>
      </c>
      <c r="K343" s="53">
        <f>IFERROR((PA[[#This Row],[Sunset Time (POA&lt;20 W/m2)]]-PA[[#This Row],[Sunrise Time (POA&gt;20 W/m2)]])*24,"")</f>
        <v>13.466666666666667</v>
      </c>
      <c r="L343" s="59" t="s">
        <v>587</v>
      </c>
      <c r="M343" s="59"/>
      <c r="N343" s="59"/>
      <c r="O343" s="59" t="s">
        <v>581</v>
      </c>
      <c r="P343" s="56"/>
      <c r="Q343" s="6"/>
      <c r="R34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BLK1INV32</v>
      </c>
      <c r="S343" s="53">
        <v>22.25</v>
      </c>
      <c r="T343" s="90">
        <f>IFERROR(_xlfn.XLOOKUP(PA[[#This Row],[Affected Equipment ]],'Basic Data '!A:A,'Basic Data '!C:C),"")</f>
        <v>4.4999999999999997E-3</v>
      </c>
      <c r="U343" s="59" t="s">
        <v>773</v>
      </c>
      <c r="V343" s="88"/>
      <c r="W343" s="356" t="s">
        <v>767</v>
      </c>
      <c r="X343" s="355">
        <v>0.21388888888888888</v>
      </c>
      <c r="Y343" s="349">
        <v>0.375</v>
      </c>
      <c r="Z343" s="349">
        <v>0.69444444444444453</v>
      </c>
      <c r="AA343" s="349">
        <v>0.70486111111111116</v>
      </c>
      <c r="AB343" s="158">
        <f>IF(PA[[#This Row],[Acknowledgement Time ]]="NA","",(PA[[#This Row],[Acknowledgement Time ]]-PA[[#This Row],[Fault Time]])*24)</f>
        <v>3.8666666666666671</v>
      </c>
      <c r="AC343" s="158">
        <f>IF(PA[[#This Row],[Work Start time on Fault]]="NA","",(PA[[#This Row],[Work Start time on Fault]]-PA[[#This Row],[Fault Time]])*24)</f>
        <v>11.533333333333335</v>
      </c>
      <c r="AD343" s="112">
        <f>IF(PA[[#This Row],[Status]]="Open","",(PA[[#This Row],[Work Completion time on fault]]-PA[[#This Row],[Fault Time]])*24)</f>
        <v>11.783333333333335</v>
      </c>
      <c r="AE343" s="111">
        <f>IFERROR((PA[[#This Row],[Work Completion time on fault]]-PA[[#This Row],[Fault Time]])*24,"")</f>
        <v>11.783333333333335</v>
      </c>
      <c r="AF343" s="228" t="s">
        <v>762</v>
      </c>
      <c r="AG343" s="6" t="s">
        <v>1275</v>
      </c>
      <c r="AH343" s="53">
        <f>IFERROR(PA[[#This Row],[Breakdown Time]]*PA[[#This Row],[Plant Equivalent Weightage]],"")</f>
        <v>5.3025000000000003E-2</v>
      </c>
      <c r="AI343" s="59">
        <v>5.88</v>
      </c>
      <c r="AJ343" s="89">
        <f>IFERROR(IF(PA[[#This Row],[Lost PoA(kWh/m2)]]&gt;0,_xlfn.XLOOKUP(G343,'Modelling New'!$D:$D,'Modelling New'!$O:$O)*PA[[#This Row],[Lost PoA(kWh/m2)]]*S343,0),"")</f>
        <v>99.449450635069041</v>
      </c>
      <c r="AK343" s="354"/>
      <c r="AL343" s="354"/>
    </row>
    <row r="344" spans="1:38" hidden="1" x14ac:dyDescent="0.25">
      <c r="A344" s="229">
        <v>2036</v>
      </c>
      <c r="B344" s="233">
        <v>45817</v>
      </c>
      <c r="C344" s="333">
        <v>2025</v>
      </c>
      <c r="D344" s="348">
        <f>YEAR(PA[[#This Row],[Date]])</f>
        <v>2025</v>
      </c>
      <c r="E344" s="334" t="s">
        <v>73</v>
      </c>
      <c r="F344" s="335" t="s">
        <v>73</v>
      </c>
      <c r="G344" s="323">
        <v>45809</v>
      </c>
      <c r="H344" s="354">
        <f>DAY(EOMONTH(PA[[#This Row],[Date]], 0))</f>
        <v>30</v>
      </c>
      <c r="I344" s="272">
        <v>0.21388888888888891</v>
      </c>
      <c r="J344" s="272">
        <v>0.77500000000000002</v>
      </c>
      <c r="K344" s="53">
        <f>IFERROR((PA[[#This Row],[Sunset Time (POA&lt;20 W/m2)]]-PA[[#This Row],[Sunrise Time (POA&gt;20 W/m2)]])*24,"")</f>
        <v>13.466666666666667</v>
      </c>
      <c r="L344" s="59" t="s">
        <v>564</v>
      </c>
      <c r="M344" s="59"/>
      <c r="N344" s="59"/>
      <c r="O344" s="59" t="s">
        <v>565</v>
      </c>
      <c r="P344" s="56"/>
      <c r="Q344" s="6"/>
      <c r="R34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v>
      </c>
      <c r="S344" s="53">
        <v>22.25</v>
      </c>
      <c r="T344" s="90">
        <f>IFERROR(_xlfn.XLOOKUP(PA[[#This Row],[Affected Equipment ]],'Basic Data '!A:A,'Basic Data '!C:C),"")</f>
        <v>4.4999999999999997E-3</v>
      </c>
      <c r="U344" s="59" t="s">
        <v>773</v>
      </c>
      <c r="V344" s="88"/>
      <c r="W344" s="22" t="s">
        <v>766</v>
      </c>
      <c r="X344" s="355">
        <v>0.21388888888888888</v>
      </c>
      <c r="Y344" s="359">
        <v>0.375</v>
      </c>
      <c r="Z344" s="359">
        <v>0.375</v>
      </c>
      <c r="AA344" s="355">
        <v>0.40625</v>
      </c>
      <c r="AB344" s="158">
        <f>IF(PA[[#This Row],[Acknowledgement Time ]]="NA","",(PA[[#This Row],[Acknowledgement Time ]]-PA[[#This Row],[Fault Time]])*24)</f>
        <v>3.8666666666666671</v>
      </c>
      <c r="AC344" s="158">
        <f>IF(PA[[#This Row],[Work Start time on Fault]]="NA","",(PA[[#This Row],[Work Start time on Fault]]-PA[[#This Row],[Fault Time]])*24)</f>
        <v>3.8666666666666671</v>
      </c>
      <c r="AD344" s="112">
        <f>IF(PA[[#This Row],[Status]]="Open","",(PA[[#This Row],[Work Completion time on fault]]-PA[[#This Row],[Fault Time]])*24)</f>
        <v>4.6166666666666671</v>
      </c>
      <c r="AE344" s="111">
        <f>IFERROR((PA[[#This Row],[Work Completion time on fault]]-PA[[#This Row],[Fault Time]])*24,"")</f>
        <v>4.6166666666666671</v>
      </c>
      <c r="AF344" s="22" t="s">
        <v>762</v>
      </c>
      <c r="AG344" s="6" t="s">
        <v>1275</v>
      </c>
      <c r="AH344" s="53">
        <f>IFERROR(PA[[#This Row],[Breakdown Time]]*PA[[#This Row],[Plant Equivalent Weightage]],"")</f>
        <v>2.0775000000000002E-2</v>
      </c>
      <c r="AI344" s="59">
        <v>1.19</v>
      </c>
      <c r="AJ344" s="89">
        <f>IFERROR(IF(PA[[#This Row],[Lost PoA(kWh/m2)]]&gt;0,_xlfn.XLOOKUP(G344,'Modelling New'!$D:$D,'Modelling New'!$O:$O)*PA[[#This Row],[Lost PoA(kWh/m2)]]*S344,0),"")</f>
        <v>20.12667453328778</v>
      </c>
      <c r="AK344" s="354"/>
      <c r="AL344" s="354"/>
    </row>
    <row r="345" spans="1:38" hidden="1" x14ac:dyDescent="0.25">
      <c r="A345" s="229">
        <v>2037</v>
      </c>
      <c r="B345" s="233">
        <v>45817</v>
      </c>
      <c r="C345" s="333">
        <v>2025</v>
      </c>
      <c r="D345" s="348">
        <f>YEAR(PA[[#This Row],[Date]])</f>
        <v>2025</v>
      </c>
      <c r="E345" s="334" t="s">
        <v>73</v>
      </c>
      <c r="F345" s="335" t="s">
        <v>73</v>
      </c>
      <c r="G345" s="323">
        <v>45809</v>
      </c>
      <c r="H345" s="354">
        <f>DAY(EOMONTH(PA[[#This Row],[Date]], 0))</f>
        <v>30</v>
      </c>
      <c r="I345" s="272">
        <v>0.21388888888888891</v>
      </c>
      <c r="J345" s="272">
        <v>0.77500000000000002</v>
      </c>
      <c r="K345" s="53">
        <f>IFERROR((PA[[#This Row],[Sunset Time (POA&lt;20 W/m2)]]-PA[[#This Row],[Sunrise Time (POA&gt;20 W/m2)]])*24,"")</f>
        <v>13.466666666666667</v>
      </c>
      <c r="L345" s="59" t="s">
        <v>564</v>
      </c>
      <c r="M345" s="59"/>
      <c r="N345" s="59"/>
      <c r="O345" s="59" t="s">
        <v>565</v>
      </c>
      <c r="P345" s="56"/>
      <c r="Q345" s="6"/>
      <c r="R34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v>
      </c>
      <c r="S345" s="53">
        <v>22.25</v>
      </c>
      <c r="T345" s="90">
        <f>IFERROR(_xlfn.XLOOKUP(PA[[#This Row],[Affected Equipment ]],'Basic Data '!A:A,'Basic Data '!C:C),"")</f>
        <v>4.4999999999999997E-3</v>
      </c>
      <c r="U345" s="59" t="s">
        <v>773</v>
      </c>
      <c r="V345" s="88"/>
      <c r="W345" s="22" t="s">
        <v>766</v>
      </c>
      <c r="X345" s="355">
        <v>0.21388888888888888</v>
      </c>
      <c r="Y345" s="359">
        <v>0.3888888888888889</v>
      </c>
      <c r="Z345" s="359">
        <v>0.3888888888888889</v>
      </c>
      <c r="AA345" s="355">
        <v>0.41319444444444442</v>
      </c>
      <c r="AB345" s="158">
        <f>IF(PA[[#This Row],[Acknowledgement Time ]]="NA","",(PA[[#This Row],[Acknowledgement Time ]]-PA[[#This Row],[Fault Time]])*24)</f>
        <v>4.2</v>
      </c>
      <c r="AC345" s="158">
        <f>IF(PA[[#This Row],[Work Start time on Fault]]="NA","",(PA[[#This Row],[Work Start time on Fault]]-PA[[#This Row],[Fault Time]])*24)</f>
        <v>4.2</v>
      </c>
      <c r="AD345" s="112">
        <f>IF(PA[[#This Row],[Status]]="Open","",(PA[[#This Row],[Work Completion time on fault]]-PA[[#This Row],[Fault Time]])*24)</f>
        <v>4.7833333333333332</v>
      </c>
      <c r="AE345" s="111">
        <f>IFERROR((PA[[#This Row],[Work Completion time on fault]]-PA[[#This Row],[Fault Time]])*24,"")</f>
        <v>4.7833333333333332</v>
      </c>
      <c r="AF345" s="22" t="s">
        <v>762</v>
      </c>
      <c r="AG345" s="6" t="s">
        <v>1275</v>
      </c>
      <c r="AH345" s="53">
        <f>IFERROR(PA[[#This Row],[Breakdown Time]]*PA[[#This Row],[Plant Equivalent Weightage]],"")</f>
        <v>2.1524999999999999E-2</v>
      </c>
      <c r="AI345" s="59">
        <v>1.22</v>
      </c>
      <c r="AJ345" s="89">
        <f>IFERROR(IF(PA[[#This Row],[Lost PoA(kWh/m2)]]&gt;0,_xlfn.XLOOKUP(G345,'Modelling New'!$D:$D,'Modelling New'!$O:$O)*PA[[#This Row],[Lost PoA(kWh/m2)]]*S345,0),"")</f>
        <v>20.634069689589158</v>
      </c>
      <c r="AK345" s="354"/>
      <c r="AL345" s="354"/>
    </row>
    <row r="346" spans="1:38" hidden="1" x14ac:dyDescent="0.25">
      <c r="A346" s="229">
        <v>2038</v>
      </c>
      <c r="B346" s="233">
        <v>45817</v>
      </c>
      <c r="C346" s="333">
        <v>2025</v>
      </c>
      <c r="D346" s="348">
        <f>YEAR(PA[[#This Row],[Date]])</f>
        <v>2025</v>
      </c>
      <c r="E346" s="334" t="s">
        <v>73</v>
      </c>
      <c r="F346" s="335" t="s">
        <v>73</v>
      </c>
      <c r="G346" s="323">
        <v>45809</v>
      </c>
      <c r="H346" s="354">
        <f>DAY(EOMONTH(PA[[#This Row],[Date]], 0))</f>
        <v>30</v>
      </c>
      <c r="I346" s="272">
        <v>0.21388888888888891</v>
      </c>
      <c r="J346" s="272">
        <v>0.77500000000000002</v>
      </c>
      <c r="K346" s="53">
        <f>IFERROR((PA[[#This Row],[Sunset Time (POA&lt;20 W/m2)]]-PA[[#This Row],[Sunrise Time (POA&gt;20 W/m2)]])*24,"")</f>
        <v>13.466666666666667</v>
      </c>
      <c r="L346" s="59" t="s">
        <v>564</v>
      </c>
      <c r="M346" s="59"/>
      <c r="N346" s="59"/>
      <c r="O346" s="59" t="s">
        <v>571</v>
      </c>
      <c r="P346" s="56"/>
      <c r="Q346" s="6"/>
      <c r="R34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v>
      </c>
      <c r="S346" s="53">
        <v>22.25</v>
      </c>
      <c r="T346" s="90">
        <f>IFERROR(_xlfn.XLOOKUP(PA[[#This Row],[Affected Equipment ]],'Basic Data '!A:A,'Basic Data '!C:C),"")</f>
        <v>4.0000000000000001E-3</v>
      </c>
      <c r="U346" s="59" t="s">
        <v>773</v>
      </c>
      <c r="V346" s="88"/>
      <c r="W346" s="22" t="s">
        <v>766</v>
      </c>
      <c r="X346" s="355">
        <v>0.21388888888888888</v>
      </c>
      <c r="Y346" s="359">
        <v>0.41666666666666669</v>
      </c>
      <c r="Z346" s="359">
        <v>0.41666666666666669</v>
      </c>
      <c r="AA346" s="355">
        <v>0.42708333333333331</v>
      </c>
      <c r="AB346" s="158">
        <f>IF(PA[[#This Row],[Acknowledgement Time ]]="NA","",(PA[[#This Row],[Acknowledgement Time ]]-PA[[#This Row],[Fault Time]])*24)</f>
        <v>4.8666666666666671</v>
      </c>
      <c r="AC346" s="158">
        <f>IF(PA[[#This Row],[Work Start time on Fault]]="NA","",(PA[[#This Row],[Work Start time on Fault]]-PA[[#This Row],[Fault Time]])*24)</f>
        <v>4.8666666666666671</v>
      </c>
      <c r="AD346" s="112">
        <f>IF(PA[[#This Row],[Status]]="Open","",(PA[[#This Row],[Work Completion time on fault]]-PA[[#This Row],[Fault Time]])*24)</f>
        <v>5.1166666666666663</v>
      </c>
      <c r="AE346" s="111">
        <f>IFERROR((PA[[#This Row],[Work Completion time on fault]]-PA[[#This Row],[Fault Time]])*24,"")</f>
        <v>5.1166666666666663</v>
      </c>
      <c r="AF346" s="22" t="s">
        <v>762</v>
      </c>
      <c r="AG346" s="6" t="s">
        <v>1275</v>
      </c>
      <c r="AH346" s="53">
        <f>IFERROR(PA[[#This Row],[Breakdown Time]]*PA[[#This Row],[Plant Equivalent Weightage]],"")</f>
        <v>2.0466666666666664E-2</v>
      </c>
      <c r="AI346" s="59">
        <v>1.78</v>
      </c>
      <c r="AJ346" s="89">
        <f>IFERROR(IF(PA[[#This Row],[Lost PoA(kWh/m2)]]&gt;0,_xlfn.XLOOKUP(G346,'Modelling New'!$D:$D,'Modelling New'!$O:$O)*PA[[#This Row],[Lost PoA(kWh/m2)]]*S346,0),"")</f>
        <v>30.105445940548115</v>
      </c>
      <c r="AK346" s="354"/>
      <c r="AL346" s="354"/>
    </row>
    <row r="347" spans="1:38" hidden="1" x14ac:dyDescent="0.25">
      <c r="A347" s="229">
        <v>2039</v>
      </c>
      <c r="B347" s="233">
        <v>45817</v>
      </c>
      <c r="C347" s="333">
        <v>2025</v>
      </c>
      <c r="D347" s="348">
        <f>YEAR(PA[[#This Row],[Date]])</f>
        <v>2025</v>
      </c>
      <c r="E347" s="334" t="s">
        <v>73</v>
      </c>
      <c r="F347" s="335" t="s">
        <v>73</v>
      </c>
      <c r="G347" s="323">
        <v>45809</v>
      </c>
      <c r="H347" s="354">
        <f>DAY(EOMONTH(PA[[#This Row],[Date]], 0))</f>
        <v>30</v>
      </c>
      <c r="I347" s="272">
        <v>0.21388888888888891</v>
      </c>
      <c r="J347" s="272">
        <v>0.77500000000000002</v>
      </c>
      <c r="K347" s="53">
        <f>IFERROR((PA[[#This Row],[Sunset Time (POA&lt;20 W/m2)]]-PA[[#This Row],[Sunrise Time (POA&gt;20 W/m2)]])*24,"")</f>
        <v>13.466666666666667</v>
      </c>
      <c r="L347" s="59" t="s">
        <v>564</v>
      </c>
      <c r="M347" s="59"/>
      <c r="N347" s="59"/>
      <c r="O347" s="59" t="s">
        <v>591</v>
      </c>
      <c r="P347" s="56"/>
      <c r="Q347" s="6"/>
      <c r="R34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BLK5INV5</v>
      </c>
      <c r="S347" s="53">
        <v>22.25</v>
      </c>
      <c r="T347" s="90">
        <f>IFERROR(_xlfn.XLOOKUP(PA[[#This Row],[Affected Equipment ]],'Basic Data '!A:A,'Basic Data '!C:C),"")</f>
        <v>4.4999999999999997E-3</v>
      </c>
      <c r="U347" s="59" t="s">
        <v>773</v>
      </c>
      <c r="V347" s="88"/>
      <c r="W347" s="22" t="s">
        <v>766</v>
      </c>
      <c r="X347" s="355">
        <v>0.21388888888888888</v>
      </c>
      <c r="Y347" s="359">
        <v>0.4236111111111111</v>
      </c>
      <c r="Z347" s="359">
        <v>0.4236111111111111</v>
      </c>
      <c r="AA347" s="355">
        <v>0.44097222222222221</v>
      </c>
      <c r="AB347" s="158">
        <f>IF(PA[[#This Row],[Acknowledgement Time ]]="NA","",(PA[[#This Row],[Acknowledgement Time ]]-PA[[#This Row],[Fault Time]])*24)</f>
        <v>5.0333333333333332</v>
      </c>
      <c r="AC347" s="158">
        <f>IF(PA[[#This Row],[Work Start time on Fault]]="NA","",(PA[[#This Row],[Work Start time on Fault]]-PA[[#This Row],[Fault Time]])*24)</f>
        <v>5.0333333333333332</v>
      </c>
      <c r="AD347" s="112">
        <f>IF(PA[[#This Row],[Status]]="Open","",(PA[[#This Row],[Work Completion time on fault]]-PA[[#This Row],[Fault Time]])*24)</f>
        <v>5.45</v>
      </c>
      <c r="AE347" s="111">
        <f>IFERROR((PA[[#This Row],[Work Completion time on fault]]-PA[[#This Row],[Fault Time]])*24,"")</f>
        <v>5.45</v>
      </c>
      <c r="AF347" s="22" t="s">
        <v>762</v>
      </c>
      <c r="AG347" s="6" t="s">
        <v>1275</v>
      </c>
      <c r="AH347" s="53">
        <f>IFERROR(PA[[#This Row],[Breakdown Time]]*PA[[#This Row],[Plant Equivalent Weightage]],"")</f>
        <v>2.4524999999999998E-2</v>
      </c>
      <c r="AI347" s="59">
        <v>2.76</v>
      </c>
      <c r="AJ347" s="89">
        <f>IFERROR(IF(PA[[#This Row],[Lost PoA(kWh/m2)]]&gt;0,_xlfn.XLOOKUP(G347,'Modelling New'!$D:$D,'Modelling New'!$O:$O)*PA[[#This Row],[Lost PoA(kWh/m2)]]*S347,0),"")</f>
        <v>46.680354379726282</v>
      </c>
      <c r="AK347" s="354"/>
      <c r="AL347" s="354"/>
    </row>
    <row r="348" spans="1:38" hidden="1" x14ac:dyDescent="0.25">
      <c r="A348" s="229">
        <v>2040</v>
      </c>
      <c r="B348" s="233">
        <v>45817</v>
      </c>
      <c r="C348" s="333">
        <v>2025</v>
      </c>
      <c r="D348" s="348">
        <f>YEAR(PA[[#This Row],[Date]])</f>
        <v>2025</v>
      </c>
      <c r="E348" s="334" t="s">
        <v>73</v>
      </c>
      <c r="F348" s="335" t="s">
        <v>73</v>
      </c>
      <c r="G348" s="323">
        <v>45809</v>
      </c>
      <c r="H348" s="354">
        <f>DAY(EOMONTH(PA[[#This Row],[Date]], 0))</f>
        <v>30</v>
      </c>
      <c r="I348" s="272">
        <v>0.21388888888888891</v>
      </c>
      <c r="J348" s="272">
        <v>0.77500000000000002</v>
      </c>
      <c r="K348" s="53">
        <f>IFERROR((PA[[#This Row],[Sunset Time (POA&lt;20 W/m2)]]-PA[[#This Row],[Sunrise Time (POA&gt;20 W/m2)]])*24,"")</f>
        <v>13.466666666666667</v>
      </c>
      <c r="L348" s="59" t="s">
        <v>564</v>
      </c>
      <c r="M348" s="59"/>
      <c r="N348" s="59"/>
      <c r="O348" s="59" t="s">
        <v>578</v>
      </c>
      <c r="P348" s="56"/>
      <c r="Q348" s="6"/>
      <c r="R34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BLK5INV12</v>
      </c>
      <c r="S348" s="53">
        <v>22.25</v>
      </c>
      <c r="T348" s="90">
        <f>IFERROR(_xlfn.XLOOKUP(PA[[#This Row],[Affected Equipment ]],'Basic Data '!A:A,'Basic Data '!C:C),"")</f>
        <v>4.2846441947565544E-3</v>
      </c>
      <c r="U348" s="59" t="s">
        <v>773</v>
      </c>
      <c r="V348" s="88"/>
      <c r="W348" s="22" t="s">
        <v>766</v>
      </c>
      <c r="X348" s="355">
        <v>0.21388888888888888</v>
      </c>
      <c r="Y348" s="359">
        <v>0.45833333333333331</v>
      </c>
      <c r="Z348" s="359">
        <v>0.45833333333333331</v>
      </c>
      <c r="AA348" s="355">
        <v>0.46527777777777779</v>
      </c>
      <c r="AB348" s="158">
        <f>IF(PA[[#This Row],[Acknowledgement Time ]]="NA","",(PA[[#This Row],[Acknowledgement Time ]]-PA[[#This Row],[Fault Time]])*24)</f>
        <v>5.8666666666666663</v>
      </c>
      <c r="AC348" s="158">
        <f>IF(PA[[#This Row],[Work Start time on Fault]]="NA","",(PA[[#This Row],[Work Start time on Fault]]-PA[[#This Row],[Fault Time]])*24)</f>
        <v>5.8666666666666663</v>
      </c>
      <c r="AD348" s="112">
        <f>IF(PA[[#This Row],[Status]]="Open","",(PA[[#This Row],[Work Completion time on fault]]-PA[[#This Row],[Fault Time]])*24)</f>
        <v>6.0333333333333332</v>
      </c>
      <c r="AE348" s="111">
        <f>IFERROR((PA[[#This Row],[Work Completion time on fault]]-PA[[#This Row],[Fault Time]])*24,"")</f>
        <v>6.0333333333333332</v>
      </c>
      <c r="AF348" s="22" t="s">
        <v>762</v>
      </c>
      <c r="AG348" s="6" t="s">
        <v>1275</v>
      </c>
      <c r="AH348" s="53">
        <f>IFERROR(PA[[#This Row],[Breakdown Time]]*PA[[#This Row],[Plant Equivalent Weightage]],"")</f>
        <v>2.5850686641697877E-2</v>
      </c>
      <c r="AI348" s="59">
        <v>2.98</v>
      </c>
      <c r="AJ348" s="89">
        <f>IFERROR(IF(PA[[#This Row],[Lost PoA(kWh/m2)]]&gt;0,_xlfn.XLOOKUP(G348,'Modelling New'!$D:$D,'Modelling New'!$O:$O)*PA[[#This Row],[Lost PoA(kWh/m2)]]*S348,0),"")</f>
        <v>50.401252192603017</v>
      </c>
      <c r="AK348" s="354"/>
      <c r="AL348" s="354"/>
    </row>
    <row r="349" spans="1:38" ht="30" hidden="1" x14ac:dyDescent="0.25">
      <c r="A349" s="229">
        <v>2041</v>
      </c>
      <c r="B349" s="233">
        <v>45817</v>
      </c>
      <c r="C349" s="333">
        <v>2025</v>
      </c>
      <c r="D349" s="348">
        <f>YEAR(PA[[#This Row],[Date]])</f>
        <v>2025</v>
      </c>
      <c r="E349" s="334" t="s">
        <v>73</v>
      </c>
      <c r="F349" s="335" t="s">
        <v>73</v>
      </c>
      <c r="G349" s="323">
        <v>45809</v>
      </c>
      <c r="H349" s="354">
        <f>DAY(EOMONTH(PA[[#This Row],[Date]], 0))</f>
        <v>30</v>
      </c>
      <c r="I349" s="272">
        <v>0.21388888888888891</v>
      </c>
      <c r="J349" s="272">
        <v>0.77500000000000002</v>
      </c>
      <c r="K349" s="53">
        <f>IFERROR((PA[[#This Row],[Sunset Time (POA&lt;20 W/m2)]]-PA[[#This Row],[Sunrise Time (POA&gt;20 W/m2)]])*24,"")</f>
        <v>13.466666666666667</v>
      </c>
      <c r="L349" s="59" t="s">
        <v>621</v>
      </c>
      <c r="M349" s="59"/>
      <c r="N349" s="59"/>
      <c r="O349" s="59" t="s">
        <v>565</v>
      </c>
      <c r="P349" s="56"/>
      <c r="Q349" s="6"/>
      <c r="R349"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v>
      </c>
      <c r="S349" s="53">
        <v>22.25</v>
      </c>
      <c r="T349" s="90">
        <f>IFERROR(_xlfn.XLOOKUP(PA[[#This Row],[Affected Equipment ]],'Basic Data '!A:A,'Basic Data '!C:C),"")</f>
        <v>4.4999999999999997E-3</v>
      </c>
      <c r="U349" s="59" t="s">
        <v>773</v>
      </c>
      <c r="V349" s="88"/>
      <c r="W349" s="360" t="s">
        <v>1238</v>
      </c>
      <c r="X349" s="355">
        <v>0.21388888888888888</v>
      </c>
      <c r="Y349" s="359">
        <v>0.50347222222222221</v>
      </c>
      <c r="Z349" s="359">
        <v>0.50347222222222221</v>
      </c>
      <c r="AA349" s="355">
        <v>0.51041666666666663</v>
      </c>
      <c r="AB349" s="158">
        <f>IF(PA[[#This Row],[Acknowledgement Time ]]="NA","",(PA[[#This Row],[Acknowledgement Time ]]-PA[[#This Row],[Fault Time]])*24)</f>
        <v>6.9499999999999993</v>
      </c>
      <c r="AC349" s="158">
        <f>IF(PA[[#This Row],[Work Start time on Fault]]="NA","",(PA[[#This Row],[Work Start time on Fault]]-PA[[#This Row],[Fault Time]])*24)</f>
        <v>6.9499999999999993</v>
      </c>
      <c r="AD349" s="112">
        <f>IF(PA[[#This Row],[Status]]="Open","",(PA[[#This Row],[Work Completion time on fault]]-PA[[#This Row],[Fault Time]])*24)</f>
        <v>7.1166666666666654</v>
      </c>
      <c r="AE349" s="111">
        <f>IFERROR((PA[[#This Row],[Work Completion time on fault]]-PA[[#This Row],[Fault Time]])*24,"")</f>
        <v>7.1166666666666654</v>
      </c>
      <c r="AF349" s="360" t="s">
        <v>1235</v>
      </c>
      <c r="AG349" s="6" t="s">
        <v>1275</v>
      </c>
      <c r="AH349" s="53">
        <f>IFERROR(PA[[#This Row],[Breakdown Time]]*PA[[#This Row],[Plant Equivalent Weightage]],"")</f>
        <v>3.2024999999999991E-2</v>
      </c>
      <c r="AI349" s="59">
        <v>3.55</v>
      </c>
      <c r="AJ349" s="89">
        <f>IFERROR(IF(PA[[#This Row],[Lost PoA(kWh/m2)]]&gt;0,_xlfn.XLOOKUP(G349,'Modelling New'!$D:$D,'Modelling New'!$O:$O)*PA[[#This Row],[Lost PoA(kWh/m2)]]*S349,0),"")</f>
        <v>60.041760162329098</v>
      </c>
      <c r="AK349" s="354"/>
      <c r="AL349" s="354"/>
    </row>
    <row r="350" spans="1:38" hidden="1" x14ac:dyDescent="0.25">
      <c r="A350" s="229">
        <v>2042</v>
      </c>
      <c r="B350" s="233">
        <v>45817</v>
      </c>
      <c r="C350" s="333">
        <v>2025</v>
      </c>
      <c r="D350" s="348">
        <f>YEAR(PA[[#This Row],[Date]])</f>
        <v>2025</v>
      </c>
      <c r="E350" s="334" t="s">
        <v>73</v>
      </c>
      <c r="F350" s="335" t="s">
        <v>73</v>
      </c>
      <c r="G350" s="323">
        <v>45809</v>
      </c>
      <c r="H350" s="354">
        <f>DAY(EOMONTH(PA[[#This Row],[Date]], 0))</f>
        <v>30</v>
      </c>
      <c r="I350" s="272">
        <v>0.21388888888888891</v>
      </c>
      <c r="J350" s="272">
        <v>0.77500000000000002</v>
      </c>
      <c r="K350" s="53">
        <f>IFERROR((PA[[#This Row],[Sunset Time (POA&lt;20 W/m2)]]-PA[[#This Row],[Sunrise Time (POA&gt;20 W/m2)]])*24,"")</f>
        <v>13.466666666666667</v>
      </c>
      <c r="L350" s="59" t="s">
        <v>597</v>
      </c>
      <c r="M350" s="59"/>
      <c r="N350" s="59"/>
      <c r="O350" s="59" t="s">
        <v>610</v>
      </c>
      <c r="P350" s="56"/>
      <c r="Q350" s="6"/>
      <c r="R350"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BLK3INV24</v>
      </c>
      <c r="S350" s="53">
        <v>22.25</v>
      </c>
      <c r="T350" s="90">
        <f>IFERROR(_xlfn.XLOOKUP(PA[[#This Row],[Affected Equipment ]],'Basic Data '!A:A,'Basic Data '!C:C),"")</f>
        <v>4.0000000000000001E-3</v>
      </c>
      <c r="U350" s="59" t="s">
        <v>773</v>
      </c>
      <c r="V350" s="88"/>
      <c r="W350" s="22" t="s">
        <v>1239</v>
      </c>
      <c r="X350" s="355">
        <v>0.21388888888888888</v>
      </c>
      <c r="Y350" s="359">
        <v>0.62847222222222221</v>
      </c>
      <c r="Z350" s="359">
        <v>0.62847222222222221</v>
      </c>
      <c r="AA350" s="355">
        <v>0.63194444444444442</v>
      </c>
      <c r="AB350" s="158">
        <f>IF(PA[[#This Row],[Acknowledgement Time ]]="NA","",(PA[[#This Row],[Acknowledgement Time ]]-PA[[#This Row],[Fault Time]])*24)</f>
        <v>9.9499999999999993</v>
      </c>
      <c r="AC350" s="158">
        <f>IF(PA[[#This Row],[Work Start time on Fault]]="NA","",(PA[[#This Row],[Work Start time on Fault]]-PA[[#This Row],[Fault Time]])*24)</f>
        <v>9.9499999999999993</v>
      </c>
      <c r="AD350" s="112">
        <f>IF(PA[[#This Row],[Status]]="Open","",(PA[[#This Row],[Work Completion time on fault]]-PA[[#This Row],[Fault Time]])*24)</f>
        <v>10.033333333333331</v>
      </c>
      <c r="AE350" s="111">
        <f>IFERROR((PA[[#This Row],[Work Completion time on fault]]-PA[[#This Row],[Fault Time]])*24,"")</f>
        <v>10.033333333333331</v>
      </c>
      <c r="AF350" s="22" t="s">
        <v>1236</v>
      </c>
      <c r="AG350" s="6" t="s">
        <v>1275</v>
      </c>
      <c r="AH350" s="53">
        <f>IFERROR(PA[[#This Row],[Breakdown Time]]*PA[[#This Row],[Plant Equivalent Weightage]],"")</f>
        <v>4.0133333333333326E-2</v>
      </c>
      <c r="AI350" s="59">
        <v>5.1100000000000003</v>
      </c>
      <c r="AJ350" s="89">
        <f>IFERROR(IF(PA[[#This Row],[Lost PoA(kWh/m2)]]&gt;0,_xlfn.XLOOKUP(G350,'Modelling New'!$D:$D,'Modelling New'!$O:$O)*PA[[#This Row],[Lost PoA(kWh/m2)]]*S350,0),"")</f>
        <v>86.426308290000478</v>
      </c>
      <c r="AK350" s="354"/>
      <c r="AL350" s="354"/>
    </row>
    <row r="351" spans="1:38" hidden="1" x14ac:dyDescent="0.25">
      <c r="A351" s="229">
        <v>2043</v>
      </c>
      <c r="B351" s="233">
        <v>45817</v>
      </c>
      <c r="C351" s="333">
        <v>2025</v>
      </c>
      <c r="D351" s="348">
        <f>YEAR(PA[[#This Row],[Date]])</f>
        <v>2025</v>
      </c>
      <c r="E351" s="334" t="s">
        <v>73</v>
      </c>
      <c r="F351" s="335" t="s">
        <v>73</v>
      </c>
      <c r="G351" s="323">
        <v>45809</v>
      </c>
      <c r="H351" s="354">
        <f>DAY(EOMONTH(PA[[#This Row],[Date]], 0))</f>
        <v>30</v>
      </c>
      <c r="I351" s="272">
        <v>0.21388888888888891</v>
      </c>
      <c r="J351" s="272">
        <v>0.77500000000000002</v>
      </c>
      <c r="K351" s="53">
        <f>IFERROR((PA[[#This Row],[Sunset Time (POA&lt;20 W/m2)]]-PA[[#This Row],[Sunrise Time (POA&gt;20 W/m2)]])*24,"")</f>
        <v>13.466666666666667</v>
      </c>
      <c r="L351" s="59" t="s">
        <v>559</v>
      </c>
      <c r="M351" s="59"/>
      <c r="N351" s="59"/>
      <c r="O351" s="59" t="s">
        <v>607</v>
      </c>
      <c r="P351" s="56"/>
      <c r="Q351" s="6"/>
      <c r="R351"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v>
      </c>
      <c r="S351" s="53">
        <v>22.25</v>
      </c>
      <c r="T351" s="90">
        <f>IFERROR(_xlfn.XLOOKUP(PA[[#This Row],[Affected Equipment ]],'Basic Data '!A:A,'Basic Data '!C:C),"")</f>
        <v>1.6666666666666668E-3</v>
      </c>
      <c r="U351" s="59" t="s">
        <v>773</v>
      </c>
      <c r="V351" s="88"/>
      <c r="W351" s="357" t="s">
        <v>1240</v>
      </c>
      <c r="X351" s="355">
        <v>0.21388888888888888</v>
      </c>
      <c r="Y351" s="359">
        <v>0.63194444444444442</v>
      </c>
      <c r="Z351" s="359">
        <v>0.63194444444444442</v>
      </c>
      <c r="AA351" s="355">
        <v>0.64583333333333337</v>
      </c>
      <c r="AB351" s="158">
        <f>IF(PA[[#This Row],[Acknowledgement Time ]]="NA","",(PA[[#This Row],[Acknowledgement Time ]]-PA[[#This Row],[Fault Time]])*24)</f>
        <v>10.033333333333331</v>
      </c>
      <c r="AC351" s="158">
        <f>IF(PA[[#This Row],[Work Start time on Fault]]="NA","",(PA[[#This Row],[Work Start time on Fault]]-PA[[#This Row],[Fault Time]])*24)</f>
        <v>10.033333333333331</v>
      </c>
      <c r="AD351" s="112">
        <f>IF(PA[[#This Row],[Status]]="Open","",(PA[[#This Row],[Work Completion time on fault]]-PA[[#This Row],[Fault Time]])*24)</f>
        <v>10.366666666666667</v>
      </c>
      <c r="AE351" s="111">
        <f>IFERROR((PA[[#This Row],[Work Completion time on fault]]-PA[[#This Row],[Fault Time]])*24,"")</f>
        <v>10.366666666666667</v>
      </c>
      <c r="AF351" s="357" t="s">
        <v>1237</v>
      </c>
      <c r="AG351" s="6" t="s">
        <v>1275</v>
      </c>
      <c r="AH351" s="53">
        <f>IFERROR(PA[[#This Row],[Breakdown Time]]*PA[[#This Row],[Plant Equivalent Weightage]],"")</f>
        <v>1.7277777777777781E-2</v>
      </c>
      <c r="AI351" s="59">
        <v>5.45</v>
      </c>
      <c r="AJ351" s="89">
        <f>IFERROR(IF(PA[[#This Row],[Lost PoA(kWh/m2)]]&gt;0,_xlfn.XLOOKUP(G351,'Modelling New'!$D:$D,'Modelling New'!$O:$O)*PA[[#This Row],[Lost PoA(kWh/m2)]]*S351,0),"")</f>
        <v>92.176786728082718</v>
      </c>
      <c r="AK351" s="354"/>
      <c r="AL351" s="354"/>
    </row>
    <row r="352" spans="1:38" hidden="1" x14ac:dyDescent="0.25">
      <c r="A352" s="229">
        <v>2044</v>
      </c>
      <c r="B352" s="233">
        <v>45817</v>
      </c>
      <c r="C352" s="333">
        <v>2025</v>
      </c>
      <c r="D352" s="348">
        <f>YEAR(PA[[#This Row],[Date]])</f>
        <v>2025</v>
      </c>
      <c r="E352" s="334" t="s">
        <v>73</v>
      </c>
      <c r="F352" s="335" t="s">
        <v>73</v>
      </c>
      <c r="G352" s="323">
        <v>45809</v>
      </c>
      <c r="H352" s="354">
        <f>DAY(EOMONTH(PA[[#This Row],[Date]], 0))</f>
        <v>30</v>
      </c>
      <c r="I352" s="272">
        <v>0.21388888888888891</v>
      </c>
      <c r="J352" s="272">
        <v>0.77500000000000002</v>
      </c>
      <c r="K352" s="53">
        <f>IFERROR((PA[[#This Row],[Sunset Time (POA&lt;20 W/m2)]]-PA[[#This Row],[Sunrise Time (POA&gt;20 W/m2)]])*24,"")</f>
        <v>13.466666666666667</v>
      </c>
      <c r="L352" s="59" t="s">
        <v>559</v>
      </c>
      <c r="M352" s="59"/>
      <c r="N352" s="59"/>
      <c r="O352" s="59" t="s">
        <v>600</v>
      </c>
      <c r="P352" s="56"/>
      <c r="Q352" s="6"/>
      <c r="R352"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BLK2INV17</v>
      </c>
      <c r="S352" s="53">
        <v>22.25</v>
      </c>
      <c r="T352" s="90">
        <f>IFERROR(_xlfn.XLOOKUP(PA[[#This Row],[Affected Equipment ]],'Basic Data '!A:A,'Basic Data '!C:C),"")</f>
        <v>4.0000000000000001E-3</v>
      </c>
      <c r="U352" s="59" t="s">
        <v>773</v>
      </c>
      <c r="V352" s="88"/>
      <c r="W352" s="22" t="s">
        <v>1241</v>
      </c>
      <c r="X352" s="355">
        <v>0.21388888888888888</v>
      </c>
      <c r="Y352" s="359">
        <v>0.63888888888888895</v>
      </c>
      <c r="Z352" s="359">
        <v>0.63888888888888895</v>
      </c>
      <c r="AA352" s="355">
        <v>0.66319444444444442</v>
      </c>
      <c r="AB352" s="158">
        <f>IF(PA[[#This Row],[Acknowledgement Time ]]="NA","",(PA[[#This Row],[Acknowledgement Time ]]-PA[[#This Row],[Fault Time]])*24)</f>
        <v>10.200000000000001</v>
      </c>
      <c r="AC352" s="158">
        <f>IF(PA[[#This Row],[Work Start time on Fault]]="NA","",(PA[[#This Row],[Work Start time on Fault]]-PA[[#This Row],[Fault Time]])*24)</f>
        <v>10.200000000000001</v>
      </c>
      <c r="AD352" s="112">
        <f>IF(PA[[#This Row],[Status]]="Open","",(PA[[#This Row],[Work Completion time on fault]]-PA[[#This Row],[Fault Time]])*24)</f>
        <v>10.783333333333331</v>
      </c>
      <c r="AE352" s="111">
        <f>IFERROR((PA[[#This Row],[Work Completion time on fault]]-PA[[#This Row],[Fault Time]])*24,"")</f>
        <v>10.783333333333331</v>
      </c>
      <c r="AF352" s="22" t="s">
        <v>1252</v>
      </c>
      <c r="AG352" s="6" t="s">
        <v>1275</v>
      </c>
      <c r="AH352" s="53">
        <f>IFERROR(PA[[#This Row],[Breakdown Time]]*PA[[#This Row],[Plant Equivalent Weightage]],"")</f>
        <v>4.3133333333333329E-2</v>
      </c>
      <c r="AI352" s="59">
        <v>6.11</v>
      </c>
      <c r="AJ352" s="89">
        <f>IFERROR(IF(PA[[#This Row],[Lost PoA(kWh/m2)]]&gt;0,_xlfn.XLOOKUP(G352,'Modelling New'!$D:$D,'Modelling New'!$O:$O)*PA[[#This Row],[Lost PoA(kWh/m2)]]*S352,0),"")</f>
        <v>103.33948016671292</v>
      </c>
      <c r="AK352" s="354"/>
      <c r="AL352" s="354"/>
    </row>
    <row r="353" spans="1:38" hidden="1" x14ac:dyDescent="0.25">
      <c r="A353" s="229">
        <v>2045</v>
      </c>
      <c r="B353" s="233">
        <v>45818</v>
      </c>
      <c r="C353" s="333">
        <v>2025</v>
      </c>
      <c r="D353" s="348">
        <f>YEAR(PA[[#This Row],[Date]])</f>
        <v>2025</v>
      </c>
      <c r="E353" s="334" t="s">
        <v>73</v>
      </c>
      <c r="F353" s="335" t="s">
        <v>73</v>
      </c>
      <c r="G353" s="323">
        <v>45809</v>
      </c>
      <c r="H353" s="354">
        <f>DAY(EOMONTH(PA[[#This Row],[Date]], 0))</f>
        <v>30</v>
      </c>
      <c r="I353" s="361">
        <v>0.21458333333333335</v>
      </c>
      <c r="J353" s="361">
        <v>0.77638888888888891</v>
      </c>
      <c r="K353" s="53">
        <f>IFERROR((PA[[#This Row],[Sunset Time (POA&lt;20 W/m2)]]-PA[[#This Row],[Sunrise Time (POA&gt;20 W/m2)]])*24,"")</f>
        <v>13.483333333333334</v>
      </c>
      <c r="L353" s="59" t="s">
        <v>579</v>
      </c>
      <c r="M353" s="59"/>
      <c r="N353" s="59"/>
      <c r="O353" s="59" t="s">
        <v>654</v>
      </c>
      <c r="P353" s="56"/>
      <c r="Q353" s="6"/>
      <c r="R353"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BLK8INV26</v>
      </c>
      <c r="S353" s="53">
        <f>_xlfn.XLOOKUP(PA[[#This Row],[Affected Equipment ]],'Basic Data '!$A:$A,'Basic Data '!$B:$B)</f>
        <v>271.34999999999997</v>
      </c>
      <c r="T353" s="90">
        <f>IFERROR(_xlfn.XLOOKUP(PA[[#This Row],[Affected Equipment ]],'Basic Data '!A:A,'Basic Data '!C:C),"")</f>
        <v>4.0651685393258419E-3</v>
      </c>
      <c r="U353" s="59" t="s">
        <v>566</v>
      </c>
      <c r="V353" s="88"/>
      <c r="W353" s="362" t="s">
        <v>1242</v>
      </c>
      <c r="X353" s="359">
        <v>0.37152777777777773</v>
      </c>
      <c r="Y353" s="359">
        <v>0.375</v>
      </c>
      <c r="Z353" s="359">
        <v>0.39930555555555558</v>
      </c>
      <c r="AA353" s="359">
        <v>0.47569444444444442</v>
      </c>
      <c r="AB353" s="158">
        <f>IF(PA[[#This Row],[Acknowledgement Time ]]="NA","",(PA[[#This Row],[Acknowledgement Time ]]-PA[[#This Row],[Fault Time]])*24)</f>
        <v>8.333333333333437E-2</v>
      </c>
      <c r="AC353" s="158">
        <f>IF(PA[[#This Row],[Work Start time on Fault]]="NA","",(PA[[#This Row],[Work Start time on Fault]]-PA[[#This Row],[Fault Time]])*24)</f>
        <v>0.66666666666666829</v>
      </c>
      <c r="AD353" s="112">
        <f>IF(PA[[#This Row],[Status]]="Open","",(PA[[#This Row],[Work Completion time on fault]]-PA[[#This Row],[Fault Time]])*24)</f>
        <v>2.5000000000000004</v>
      </c>
      <c r="AE353" s="111">
        <f>IFERROR((PA[[#This Row],[Work Completion time on fault]]-PA[[#This Row],[Fault Time]])*24,"")</f>
        <v>2.5000000000000004</v>
      </c>
      <c r="AF353" s="228" t="s">
        <v>1243</v>
      </c>
      <c r="AG353" s="6" t="s">
        <v>1275</v>
      </c>
      <c r="AH353" s="53">
        <f>IFERROR(PA[[#This Row],[Breakdown Time]]*PA[[#This Row],[Plant Equivalent Weightage]],"")</f>
        <v>1.0162921348314606E-2</v>
      </c>
      <c r="AI353" s="59">
        <v>0.746</v>
      </c>
      <c r="AJ353" s="89">
        <f>IFERROR(IF(PA[[#This Row],[Lost PoA(kWh/m2)]]&gt;0,_xlfn.XLOOKUP(G353,'Modelling New'!$D:$D,'Modelling New'!$O:$O)*PA[[#This Row],[Lost PoA(kWh/m2)]]*S353,0),"")</f>
        <v>153.87345324963835</v>
      </c>
      <c r="AK353" s="354"/>
      <c r="AL353" s="354"/>
    </row>
    <row r="354" spans="1:38" ht="30" hidden="1" x14ac:dyDescent="0.25">
      <c r="A354" s="229">
        <v>2046</v>
      </c>
      <c r="B354" s="233">
        <v>45822</v>
      </c>
      <c r="C354" s="333">
        <v>2025</v>
      </c>
      <c r="D354" s="348">
        <f>YEAR(PA[[#This Row],[Date]])</f>
        <v>2025</v>
      </c>
      <c r="E354" s="334" t="s">
        <v>73</v>
      </c>
      <c r="F354" s="335" t="s">
        <v>73</v>
      </c>
      <c r="G354" s="323">
        <v>45809</v>
      </c>
      <c r="H354" s="354">
        <f>DAY(EOMONTH(PA[[#This Row],[Date]], 0))</f>
        <v>30</v>
      </c>
      <c r="I354" s="361">
        <v>0.21388888888888891</v>
      </c>
      <c r="J354" s="361">
        <v>0.77986111111111101</v>
      </c>
      <c r="K354" s="53">
        <f>IFERROR((PA[[#This Row],[Sunset Time (POA&lt;20 W/m2)]]-PA[[#This Row],[Sunrise Time (POA&gt;20 W/m2)]])*24,"")</f>
        <v>13.58333333333333</v>
      </c>
      <c r="L354" s="59" t="s">
        <v>606</v>
      </c>
      <c r="M354" s="59"/>
      <c r="N354" s="59"/>
      <c r="O354" s="59" t="s">
        <v>598</v>
      </c>
      <c r="P354" s="56"/>
      <c r="Q354" s="6"/>
      <c r="R354"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BLK7INV6</v>
      </c>
      <c r="S354" s="53">
        <f>_xlfn.XLOOKUP(PA[[#This Row],[Affected Equipment ]],'Basic Data '!$A:$A,'Basic Data '!$B:$B)</f>
        <v>264</v>
      </c>
      <c r="T354" s="90">
        <f>IFERROR(_xlfn.XLOOKUP(PA[[#This Row],[Affected Equipment ]],'Basic Data '!A:A,'Basic Data '!C:C),"")</f>
        <v>3.9550561797752808E-3</v>
      </c>
      <c r="U354" s="59" t="s">
        <v>566</v>
      </c>
      <c r="V354" s="88"/>
      <c r="W354" s="362" t="s">
        <v>1347</v>
      </c>
      <c r="X354" s="359">
        <v>0.32291666666666669</v>
      </c>
      <c r="Y354" s="359">
        <v>0.3263888888888889</v>
      </c>
      <c r="Z354" s="359">
        <v>0.33680555555555558</v>
      </c>
      <c r="AA354" s="359">
        <v>0.34861111111111115</v>
      </c>
      <c r="AB354" s="158">
        <f>IF(PA[[#This Row],[Acknowledgement Time ]]="NA","",(PA[[#This Row],[Acknowledgement Time ]]-PA[[#This Row],[Fault Time]])*24)</f>
        <v>8.3333333333333037E-2</v>
      </c>
      <c r="AC354" s="158">
        <f>IF(PA[[#This Row],[Work Start time on Fault]]="NA","",(PA[[#This Row],[Work Start time on Fault]]-PA[[#This Row],[Fault Time]])*24)</f>
        <v>0.33333333333333348</v>
      </c>
      <c r="AD354" s="112">
        <f>IF(PA[[#This Row],[Status]]="Open","",(PA[[#This Row],[Work Completion time on fault]]-PA[[#This Row],[Fault Time]])*24)</f>
        <v>0.61666666666666714</v>
      </c>
      <c r="AE354" s="111">
        <f>IFERROR((PA[[#This Row],[Work Completion time on fault]]-PA[[#This Row],[Fault Time]])*24,"")</f>
        <v>0.61666666666666714</v>
      </c>
      <c r="AF354" s="228" t="s">
        <v>1244</v>
      </c>
      <c r="AG354" s="6" t="s">
        <v>1275</v>
      </c>
      <c r="AH354" s="53">
        <f>IFERROR(PA[[#This Row],[Breakdown Time]]*PA[[#This Row],[Plant Equivalent Weightage]],"")</f>
        <v>2.4389513108614251E-3</v>
      </c>
      <c r="AI354" s="59">
        <v>0.186</v>
      </c>
      <c r="AJ354" s="89">
        <f>IFERROR(IF(PA[[#This Row],[Lost PoA(kWh/m2)]]&gt;0,_xlfn.XLOOKUP(G354,'Modelling New'!$D:$D,'Modelling New'!$O:$O)*PA[[#This Row],[Lost PoA(kWh/m2)]]*S354,0),"")</f>
        <v>37.326040082430865</v>
      </c>
      <c r="AK354" s="354"/>
      <c r="AL354" s="354"/>
    </row>
    <row r="355" spans="1:38" ht="30" hidden="1" x14ac:dyDescent="0.25">
      <c r="A355" s="229">
        <v>2047</v>
      </c>
      <c r="B355" s="233">
        <v>45823</v>
      </c>
      <c r="C355" s="333">
        <v>2025</v>
      </c>
      <c r="D355" s="364">
        <f>YEAR(PA[[#This Row],[Date]])</f>
        <v>2025</v>
      </c>
      <c r="E355" s="334" t="s">
        <v>73</v>
      </c>
      <c r="F355" s="335" t="s">
        <v>73</v>
      </c>
      <c r="G355" s="323">
        <v>45809</v>
      </c>
      <c r="H355" s="365">
        <f>DAY(EOMONTH(PA[[#This Row],[Date]], 0))</f>
        <v>30</v>
      </c>
      <c r="I355" s="361">
        <v>0.21875</v>
      </c>
      <c r="J355" s="361">
        <v>0.77013888888888893</v>
      </c>
      <c r="K355" s="131">
        <f>IFERROR((PA[[#This Row],[Sunset Time (POA&lt;20 W/m2)]]-PA[[#This Row],[Sunrise Time (POA&gt;20 W/m2)]])*24,"")</f>
        <v>13.233333333333334</v>
      </c>
      <c r="L355" s="128" t="s">
        <v>559</v>
      </c>
      <c r="M355" s="128"/>
      <c r="N355" s="128"/>
      <c r="O355" s="128" t="s">
        <v>789</v>
      </c>
      <c r="P355" s="130"/>
      <c r="Q355" s="129"/>
      <c r="R355"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355" s="53">
        <v>8870.1</v>
      </c>
      <c r="T355" s="90">
        <f>IFERROR(_xlfn.XLOOKUP(PA[[#This Row],[Affected Equipment ]],'Basic Data '!A:A,'Basic Data '!C:C),"")</f>
        <v>0.125</v>
      </c>
      <c r="U355" s="128" t="s">
        <v>589</v>
      </c>
      <c r="V355" s="117"/>
      <c r="W355" s="356" t="s">
        <v>754</v>
      </c>
      <c r="X355" s="366">
        <v>0.51736111111111105</v>
      </c>
      <c r="Y355" s="366">
        <v>0.51736111111111105</v>
      </c>
      <c r="Z355" s="366">
        <v>0.51874999999999993</v>
      </c>
      <c r="AA355" s="366">
        <v>0.52013888888888882</v>
      </c>
      <c r="AB355" s="158">
        <f>IF(PA[[#This Row],[Acknowledgement Time ]]="NA","",(PA[[#This Row],[Acknowledgement Time ]]-PA[[#This Row],[Fault Time]])*24)</f>
        <v>0</v>
      </c>
      <c r="AC355" s="159">
        <f>IF(PA[[#This Row],[Work Start time on Fault]]="NA","",(PA[[#This Row],[Work Start time on Fault]]-PA[[#This Row],[Fault Time]])*24)</f>
        <v>3.3333333333333215E-2</v>
      </c>
      <c r="AD355" s="135">
        <f>IF(PA[[#This Row],[Status]]="Open","",(PA[[#This Row],[Work Completion time on fault]]-PA[[#This Row],[Fault Time]])*24)</f>
        <v>6.666666666666643E-2</v>
      </c>
      <c r="AE355" s="134">
        <f>IFERROR((PA[[#This Row],[Work Completion time on fault]]-PA[[#This Row],[Fault Time]])*24,"")</f>
        <v>6.666666666666643E-2</v>
      </c>
      <c r="AF355" s="226" t="s">
        <v>754</v>
      </c>
      <c r="AG355" s="6" t="s">
        <v>1275</v>
      </c>
      <c r="AH355" s="53">
        <f>IFERROR(PA[[#This Row],[Breakdown Time]]*PA[[#This Row],[Plant Equivalent Weightage]],"")</f>
        <v>8.3333333333333037E-3</v>
      </c>
      <c r="AI355" s="128">
        <v>3.7100000000000001E-2</v>
      </c>
      <c r="AJ355" s="89">
        <f>IFERROR(IF(PA[[#This Row],[Lost PoA(kWh/m2)]]&gt;0,_xlfn.XLOOKUP(G355,'Modelling New'!$D:$D,'Modelling New'!$O:$O)*PA[[#This Row],[Lost PoA(kWh/m2)]]*S355,0),"")</f>
        <v>250.14825211418236</v>
      </c>
      <c r="AK355" s="365"/>
      <c r="AL355" s="365"/>
    </row>
    <row r="356" spans="1:38" ht="30" hidden="1" x14ac:dyDescent="0.25">
      <c r="A356" s="229">
        <v>2048</v>
      </c>
      <c r="B356" s="233">
        <v>45823</v>
      </c>
      <c r="C356" s="333">
        <v>2025</v>
      </c>
      <c r="D356" s="364">
        <f>YEAR(PA[[#This Row],[Date]])</f>
        <v>2025</v>
      </c>
      <c r="E356" s="334" t="s">
        <v>73</v>
      </c>
      <c r="F356" s="335" t="s">
        <v>73</v>
      </c>
      <c r="G356" s="323">
        <v>45809</v>
      </c>
      <c r="H356" s="365">
        <f>DAY(EOMONTH(PA[[#This Row],[Date]], 0))</f>
        <v>30</v>
      </c>
      <c r="I356" s="361">
        <v>0.21875</v>
      </c>
      <c r="J356" s="361">
        <v>0.77013888888888893</v>
      </c>
      <c r="K356" s="131">
        <f>IFERROR((PA[[#This Row],[Sunset Time (POA&lt;20 W/m2)]]-PA[[#This Row],[Sunrise Time (POA&gt;20 W/m2)]])*24,"")</f>
        <v>13.233333333333334</v>
      </c>
      <c r="L356" s="128" t="s">
        <v>564</v>
      </c>
      <c r="M356" s="128"/>
      <c r="N356" s="128"/>
      <c r="O356" s="128" t="s">
        <v>789</v>
      </c>
      <c r="P356" s="130"/>
      <c r="Q356" s="129"/>
      <c r="R356"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356" s="53">
        <v>8976</v>
      </c>
      <c r="T356" s="90">
        <f>IFERROR(_xlfn.XLOOKUP(PA[[#This Row],[Affected Equipment ]],'Basic Data '!A:A,'Basic Data '!C:C),"")</f>
        <v>0.13280524344569289</v>
      </c>
      <c r="U356" s="128" t="s">
        <v>589</v>
      </c>
      <c r="V356" s="117"/>
      <c r="W356" s="356" t="s">
        <v>752</v>
      </c>
      <c r="X356" s="366">
        <v>0.51666666666666672</v>
      </c>
      <c r="Y356" s="366">
        <v>0.51666666666666672</v>
      </c>
      <c r="Z356" s="366">
        <v>0.51944444444444449</v>
      </c>
      <c r="AA356" s="366">
        <v>0.52013888888888882</v>
      </c>
      <c r="AB356" s="158">
        <f>IF(PA[[#This Row],[Acknowledgement Time ]]="NA","",(PA[[#This Row],[Acknowledgement Time ]]-PA[[#This Row],[Fault Time]])*24)</f>
        <v>0</v>
      </c>
      <c r="AC356" s="159">
        <f>IF(PA[[#This Row],[Work Start time on Fault]]="NA","",(PA[[#This Row],[Work Start time on Fault]]-PA[[#This Row],[Fault Time]])*24)</f>
        <v>6.666666666666643E-2</v>
      </c>
      <c r="AD356" s="135">
        <f>IF(PA[[#This Row],[Status]]="Open","",(PA[[#This Row],[Work Completion time on fault]]-PA[[#This Row],[Fault Time]])*24)</f>
        <v>8.3333333333330373E-2</v>
      </c>
      <c r="AE356" s="134">
        <f>IFERROR((PA[[#This Row],[Work Completion time on fault]]-PA[[#This Row],[Fault Time]])*24,"")</f>
        <v>8.3333333333330373E-2</v>
      </c>
      <c r="AF356" s="226" t="s">
        <v>752</v>
      </c>
      <c r="AG356" s="6" t="s">
        <v>1275</v>
      </c>
      <c r="AH356" s="53">
        <f>IFERROR(PA[[#This Row],[Breakdown Time]]*PA[[#This Row],[Plant Equivalent Weightage]],"")</f>
        <v>1.1067103620474014E-2</v>
      </c>
      <c r="AI356" s="128">
        <v>3.7100000000000001E-2</v>
      </c>
      <c r="AJ356" s="89">
        <f>IFERROR(IF(PA[[#This Row],[Lost PoA(kWh/m2)]]&gt;0,_xlfn.XLOOKUP(G356,'Modelling New'!$D:$D,'Modelling New'!$O:$O)*PA[[#This Row],[Lost PoA(kWh/m2)]]*S356,0),"")</f>
        <v>253.13476860203386</v>
      </c>
      <c r="AK356" s="365"/>
      <c r="AL356" s="365"/>
    </row>
    <row r="357" spans="1:38" ht="30" hidden="1" x14ac:dyDescent="0.25">
      <c r="A357" s="229">
        <v>2049</v>
      </c>
      <c r="B357" s="233">
        <v>45824</v>
      </c>
      <c r="C357" s="333">
        <v>2025</v>
      </c>
      <c r="D357" s="348">
        <f>YEAR(PA[[#This Row],[Date]])</f>
        <v>2025</v>
      </c>
      <c r="E357" s="334" t="s">
        <v>73</v>
      </c>
      <c r="F357" s="335" t="s">
        <v>73</v>
      </c>
      <c r="G357" s="323">
        <v>45809</v>
      </c>
      <c r="H357" s="365">
        <f>DAY(EOMONTH(PA[[#This Row],[Date]], 0))</f>
        <v>30</v>
      </c>
      <c r="I357" s="361">
        <v>0.2590277777777778</v>
      </c>
      <c r="J357" s="361">
        <v>0.74513888888888891</v>
      </c>
      <c r="K357" s="53">
        <f>IFERROR((PA[[#This Row],[Sunset Time (POA&lt;20 W/m2)]]-PA[[#This Row],[Sunrise Time (POA&gt;20 W/m2)]])*24,"")</f>
        <v>11.666666666666666</v>
      </c>
      <c r="L357" s="128" t="s">
        <v>559</v>
      </c>
      <c r="M357" s="59"/>
      <c r="N357" s="59"/>
      <c r="O357" s="128" t="s">
        <v>789</v>
      </c>
      <c r="P357" s="56"/>
      <c r="Q357" s="6"/>
      <c r="R357"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357" s="53">
        <v>8870.1</v>
      </c>
      <c r="T357" s="90">
        <f>IFERROR(_xlfn.XLOOKUP(PA[[#This Row],[Affected Equipment ]],'Basic Data '!A:A,'Basic Data '!C:C),"")</f>
        <v>0.125</v>
      </c>
      <c r="U357" s="128" t="s">
        <v>589</v>
      </c>
      <c r="V357" s="88"/>
      <c r="W357" s="356" t="s">
        <v>754</v>
      </c>
      <c r="X357" s="359">
        <v>0.53611111111111109</v>
      </c>
      <c r="Y357" s="359">
        <v>0.53611111111111109</v>
      </c>
      <c r="Z357" s="359">
        <v>0.53888888888888886</v>
      </c>
      <c r="AA357" s="359">
        <v>0.5395833333333333</v>
      </c>
      <c r="AB357" s="158">
        <f>IF(PA[[#This Row],[Acknowledgement Time ]]="NA","",(PA[[#This Row],[Acknowledgement Time ]]-PA[[#This Row],[Fault Time]])*24)</f>
        <v>0</v>
      </c>
      <c r="AC357" s="158">
        <f>IF(PA[[#This Row],[Work Start time on Fault]]="NA","",(PA[[#This Row],[Work Start time on Fault]]-PA[[#This Row],[Fault Time]])*24)</f>
        <v>6.666666666666643E-2</v>
      </c>
      <c r="AD357" s="112">
        <f>IF(PA[[#This Row],[Status]]="Open","",(PA[[#This Row],[Work Completion time on fault]]-PA[[#This Row],[Fault Time]])*24)</f>
        <v>8.3333333333333037E-2</v>
      </c>
      <c r="AE357" s="111">
        <f>IFERROR((PA[[#This Row],[Work Completion time on fault]]-PA[[#This Row],[Fault Time]])*24,"")</f>
        <v>8.3333333333333037E-2</v>
      </c>
      <c r="AF357" s="226" t="s">
        <v>754</v>
      </c>
      <c r="AG357" s="6" t="s">
        <v>1275</v>
      </c>
      <c r="AH357" s="53">
        <f>IFERROR(PA[[#This Row],[Breakdown Time]]*PA[[#This Row],[Plant Equivalent Weightage]],"")</f>
        <v>1.041666666666663E-2</v>
      </c>
      <c r="AI357" s="59">
        <v>7.4999999999999997E-2</v>
      </c>
      <c r="AJ357" s="89">
        <f>IFERROR(IF(PA[[#This Row],[Lost PoA(kWh/m2)]]&gt;0,_xlfn.XLOOKUP(G357,'Modelling New'!$D:$D,'Modelling New'!$O:$O)*PA[[#This Row],[Lost PoA(kWh/m2)]]*S357,0),"")</f>
        <v>505.69053661896692</v>
      </c>
      <c r="AK357" s="365"/>
      <c r="AL357" s="365"/>
    </row>
    <row r="358" spans="1:38" ht="30" hidden="1" x14ac:dyDescent="0.25">
      <c r="A358" s="229">
        <v>2050</v>
      </c>
      <c r="B358" s="233">
        <v>45824</v>
      </c>
      <c r="C358" s="333">
        <v>2025</v>
      </c>
      <c r="D358" s="348">
        <f>YEAR(PA[[#This Row],[Date]])</f>
        <v>2025</v>
      </c>
      <c r="E358" s="334" t="s">
        <v>73</v>
      </c>
      <c r="F358" s="335" t="s">
        <v>73</v>
      </c>
      <c r="G358" s="323">
        <v>45809</v>
      </c>
      <c r="H358" s="365">
        <f>DAY(EOMONTH(PA[[#This Row],[Date]], 0))</f>
        <v>30</v>
      </c>
      <c r="I358" s="361">
        <v>0.21875</v>
      </c>
      <c r="J358" s="361">
        <v>0.77013888888888893</v>
      </c>
      <c r="K358" s="53">
        <f>IFERROR((PA[[#This Row],[Sunset Time (POA&lt;20 W/m2)]]-PA[[#This Row],[Sunrise Time (POA&gt;20 W/m2)]])*24,"")</f>
        <v>13.233333333333334</v>
      </c>
      <c r="L358" s="128" t="s">
        <v>564</v>
      </c>
      <c r="M358" s="59"/>
      <c r="N358" s="59"/>
      <c r="O358" s="128" t="s">
        <v>789</v>
      </c>
      <c r="P358" s="56"/>
      <c r="Q358" s="6"/>
      <c r="R358" s="129"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358" s="53">
        <v>8976</v>
      </c>
      <c r="T358" s="90">
        <f>IFERROR(_xlfn.XLOOKUP(PA[[#This Row],[Affected Equipment ]],'Basic Data '!A:A,'Basic Data '!C:C),"")</f>
        <v>0.13280524344569289</v>
      </c>
      <c r="U358" s="128" t="s">
        <v>589</v>
      </c>
      <c r="V358" s="88"/>
      <c r="W358" s="356" t="s">
        <v>752</v>
      </c>
      <c r="X358" s="359">
        <v>0.49652777777777773</v>
      </c>
      <c r="Y358" s="359">
        <v>0.49652777777777773</v>
      </c>
      <c r="Z358" s="359">
        <v>0.49861111111111112</v>
      </c>
      <c r="AA358" s="359">
        <v>0.4993055555555555</v>
      </c>
      <c r="AB358" s="158">
        <f>IF(PA[[#This Row],[Acknowledgement Time ]]="NA","",(PA[[#This Row],[Acknowledgement Time ]]-PA[[#This Row],[Fault Time]])*24)</f>
        <v>0</v>
      </c>
      <c r="AC358" s="158">
        <f>IF(PA[[#This Row],[Work Start time on Fault]]="NA","",(PA[[#This Row],[Work Start time on Fault]]-PA[[#This Row],[Fault Time]])*24)</f>
        <v>5.0000000000001155E-2</v>
      </c>
      <c r="AD358" s="112">
        <f>IF(PA[[#This Row],[Status]]="Open","",(PA[[#This Row],[Work Completion time on fault]]-PA[[#This Row],[Fault Time]])*24)</f>
        <v>6.666666666666643E-2</v>
      </c>
      <c r="AE358" s="111">
        <f>IFERROR((PA[[#This Row],[Work Completion time on fault]]-PA[[#This Row],[Fault Time]])*24,"")</f>
        <v>6.666666666666643E-2</v>
      </c>
      <c r="AF358" s="226" t="s">
        <v>752</v>
      </c>
      <c r="AG358" s="6" t="s">
        <v>1275</v>
      </c>
      <c r="AH358" s="53">
        <f>IFERROR(PA[[#This Row],[Breakdown Time]]*PA[[#This Row],[Plant Equivalent Weightage]],"")</f>
        <v>8.8536828963794948E-3</v>
      </c>
      <c r="AI358" s="59">
        <v>0.112</v>
      </c>
      <c r="AJ358" s="89">
        <f>IFERROR(IF(PA[[#This Row],[Lost PoA(kWh/m2)]]&gt;0,_xlfn.XLOOKUP(G358,'Modelling New'!$D:$D,'Modelling New'!$O:$O)*PA[[#This Row],[Lost PoA(kWh/m2)]]*S358,0),"")</f>
        <v>764.1804335155739</v>
      </c>
      <c r="AK358" s="365"/>
      <c r="AL358" s="365"/>
    </row>
    <row r="359" spans="1:38" ht="30" hidden="1" x14ac:dyDescent="0.25">
      <c r="A359" s="229">
        <v>2051</v>
      </c>
      <c r="B359" s="233">
        <v>45826</v>
      </c>
      <c r="C359" s="333">
        <v>2025</v>
      </c>
      <c r="D359" s="348">
        <f>YEAR(PA[[#This Row],[Date]])</f>
        <v>2025</v>
      </c>
      <c r="E359" s="334" t="s">
        <v>73</v>
      </c>
      <c r="F359" s="335" t="s">
        <v>73</v>
      </c>
      <c r="G359" s="323">
        <v>45809</v>
      </c>
      <c r="H359" s="365">
        <f>DAY(EOMONTH(PA[[#This Row],[Date]], 0))</f>
        <v>30</v>
      </c>
      <c r="I359" s="361">
        <v>0.21249999999999999</v>
      </c>
      <c r="J359" s="361">
        <v>0.77361111111111114</v>
      </c>
      <c r="K359" s="53">
        <f>IFERROR((PA[[#This Row],[Sunset Time (POA&lt;20 W/m2)]]-PA[[#This Row],[Sunrise Time (POA&gt;20 W/m2)]])*24,"")</f>
        <v>13.466666666666667</v>
      </c>
      <c r="L359" s="128" t="s">
        <v>559</v>
      </c>
      <c r="M359" s="59"/>
      <c r="N359" s="59"/>
      <c r="O359" s="128" t="s">
        <v>789</v>
      </c>
      <c r="P359" s="56"/>
      <c r="Q359" s="6"/>
      <c r="R35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359" s="53">
        <f>_xlfn.XLOOKUP(PA[[#This Row],[Affected Equipment ]],'Basic Data '!$A:$A,'Basic Data '!$B:$B)</f>
        <v>8343.75</v>
      </c>
      <c r="T359" s="90">
        <f>IFERROR(_xlfn.XLOOKUP(PA[[#This Row],[Affected Equipment ]],'Basic Data '!A:A,'Basic Data '!C:C),"")</f>
        <v>0.125</v>
      </c>
      <c r="U359" s="128" t="s">
        <v>589</v>
      </c>
      <c r="V359" s="88"/>
      <c r="W359" s="356" t="s">
        <v>754</v>
      </c>
      <c r="X359" s="359">
        <v>0.4909722222222222</v>
      </c>
      <c r="Y359" s="359">
        <v>0.4909722222222222</v>
      </c>
      <c r="Z359" s="359">
        <v>0.49444444444444446</v>
      </c>
      <c r="AA359" s="359">
        <v>0.49444444444444446</v>
      </c>
      <c r="AB359" s="158">
        <f>IF(PA[[#This Row],[Acknowledgement Time ]]="NA","",(PA[[#This Row],[Acknowledgement Time ]]-PA[[#This Row],[Fault Time]])*24)</f>
        <v>0</v>
      </c>
      <c r="AC359" s="158">
        <f>IF(PA[[#This Row],[Work Start time on Fault]]="NA","",(PA[[#This Row],[Work Start time on Fault]]-PA[[#This Row],[Fault Time]])*24)</f>
        <v>8.333333333333437E-2</v>
      </c>
      <c r="AD359" s="112">
        <f>IF(PA[[#This Row],[Status]]="Open","",(PA[[#This Row],[Work Completion time on fault]]-PA[[#This Row],[Fault Time]])*24)</f>
        <v>8.333333333333437E-2</v>
      </c>
      <c r="AE359" s="111">
        <f>IFERROR((PA[[#This Row],[Work Completion time on fault]]-PA[[#This Row],[Fault Time]])*24,"")</f>
        <v>8.333333333333437E-2</v>
      </c>
      <c r="AF359" s="226" t="s">
        <v>754</v>
      </c>
      <c r="AG359" s="6" t="s">
        <v>1275</v>
      </c>
      <c r="AH359" s="53">
        <f>IFERROR(PA[[#This Row],[Breakdown Time]]*PA[[#This Row],[Plant Equivalent Weightage]],"")</f>
        <v>1.0416666666666796E-2</v>
      </c>
      <c r="AI359" s="59">
        <v>0.10100000000000001</v>
      </c>
      <c r="AJ359" s="89">
        <f>IFERROR(IF(PA[[#This Row],[Lost PoA(kWh/m2)]]&gt;0,_xlfn.XLOOKUP(G359,'Modelling New'!$D:$D,'Modelling New'!$O:$O)*PA[[#This Row],[Lost PoA(kWh/m2)]]*S359,0),"")</f>
        <v>640.58638483048298</v>
      </c>
      <c r="AK359" s="365"/>
      <c r="AL359" s="365"/>
    </row>
    <row r="360" spans="1:38" ht="30" hidden="1" x14ac:dyDescent="0.25">
      <c r="A360" s="229">
        <v>2052</v>
      </c>
      <c r="B360" s="233">
        <v>45826</v>
      </c>
      <c r="C360" s="333">
        <v>2025</v>
      </c>
      <c r="D360" s="348">
        <f>YEAR(PA[[#This Row],[Date]])</f>
        <v>2025</v>
      </c>
      <c r="E360" s="334" t="s">
        <v>73</v>
      </c>
      <c r="F360" s="335" t="s">
        <v>73</v>
      </c>
      <c r="G360" s="323">
        <v>45809</v>
      </c>
      <c r="H360" s="365">
        <f>DAY(EOMONTH(PA[[#This Row],[Date]], 0))</f>
        <v>30</v>
      </c>
      <c r="I360" s="361">
        <v>0.21249999999999999</v>
      </c>
      <c r="J360" s="361">
        <v>0.77361111111111114</v>
      </c>
      <c r="K360" s="53">
        <f>IFERROR((PA[[#This Row],[Sunset Time (POA&lt;20 W/m2)]]-PA[[#This Row],[Sunrise Time (POA&gt;20 W/m2)]])*24,"")</f>
        <v>13.466666666666667</v>
      </c>
      <c r="L360" s="128" t="s">
        <v>564</v>
      </c>
      <c r="M360" s="59"/>
      <c r="N360" s="59"/>
      <c r="O360" s="128" t="s">
        <v>789</v>
      </c>
      <c r="P360" s="56"/>
      <c r="Q360" s="6"/>
      <c r="R36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360" s="53">
        <f>_xlfn.XLOOKUP(PA[[#This Row],[Affected Equipment ]],'Basic Data '!$A:$A,'Basic Data '!$B:$B)</f>
        <v>8864.75</v>
      </c>
      <c r="T360" s="90">
        <f>IFERROR(_xlfn.XLOOKUP(PA[[#This Row],[Affected Equipment ]],'Basic Data '!A:A,'Basic Data '!C:C),"")</f>
        <v>0.13280524344569289</v>
      </c>
      <c r="U360" s="128" t="s">
        <v>589</v>
      </c>
      <c r="V360" s="88"/>
      <c r="W360" s="356" t="s">
        <v>752</v>
      </c>
      <c r="X360" s="359">
        <v>0.53749999999999998</v>
      </c>
      <c r="Y360" s="359">
        <v>0.53749999999999998</v>
      </c>
      <c r="Z360" s="359">
        <v>0.54027777777777775</v>
      </c>
      <c r="AA360" s="359">
        <v>0.54027777777777775</v>
      </c>
      <c r="AB360" s="158">
        <f>IF(PA[[#This Row],[Acknowledgement Time ]]="NA","",(PA[[#This Row],[Acknowledgement Time ]]-PA[[#This Row],[Fault Time]])*24)</f>
        <v>0</v>
      </c>
      <c r="AC360" s="158">
        <f>IF(PA[[#This Row],[Work Start time on Fault]]="NA","",(PA[[#This Row],[Work Start time on Fault]]-PA[[#This Row],[Fault Time]])*24)</f>
        <v>6.666666666666643E-2</v>
      </c>
      <c r="AD360" s="112">
        <f>IF(PA[[#This Row],[Status]]="Open","",(PA[[#This Row],[Work Completion time on fault]]-PA[[#This Row],[Fault Time]])*24)</f>
        <v>6.666666666666643E-2</v>
      </c>
      <c r="AE360" s="111">
        <f>IFERROR((PA[[#This Row],[Work Completion time on fault]]-PA[[#This Row],[Fault Time]])*24,"")</f>
        <v>6.666666666666643E-2</v>
      </c>
      <c r="AF360" s="226" t="s">
        <v>752</v>
      </c>
      <c r="AG360" s="6" t="s">
        <v>1275</v>
      </c>
      <c r="AH360" s="53">
        <f>IFERROR(PA[[#This Row],[Breakdown Time]]*PA[[#This Row],[Plant Equivalent Weightage]],"")</f>
        <v>8.8536828963794948E-3</v>
      </c>
      <c r="AI360" s="59">
        <v>6.9000000000000006E-2</v>
      </c>
      <c r="AJ360" s="89">
        <f>IFERROR(IF(PA[[#This Row],[Lost PoA(kWh/m2)]]&gt;0,_xlfn.XLOOKUP(G360,'Modelling New'!$D:$D,'Modelling New'!$O:$O)*PA[[#This Row],[Lost PoA(kWh/m2)]]*S360,0),"")</f>
        <v>464.95468706480744</v>
      </c>
      <c r="AK360" s="365"/>
      <c r="AL360" s="365"/>
    </row>
    <row r="361" spans="1:38" ht="30" hidden="1" x14ac:dyDescent="0.25">
      <c r="A361" s="229">
        <v>2053</v>
      </c>
      <c r="B361" s="233">
        <v>45826</v>
      </c>
      <c r="C361" s="333">
        <v>2025</v>
      </c>
      <c r="D361" s="348">
        <f>YEAR(PA[[#This Row],[Date]])</f>
        <v>2025</v>
      </c>
      <c r="E361" s="334" t="s">
        <v>73</v>
      </c>
      <c r="F361" s="335" t="s">
        <v>73</v>
      </c>
      <c r="G361" s="323">
        <v>45809</v>
      </c>
      <c r="H361" s="365">
        <f>DAY(EOMONTH(PA[[#This Row],[Date]], 0))</f>
        <v>30</v>
      </c>
      <c r="I361" s="361">
        <v>0.21249999999999999</v>
      </c>
      <c r="J361" s="361">
        <v>0.77361111111111114</v>
      </c>
      <c r="K361" s="53">
        <f>IFERROR((PA[[#This Row],[Sunset Time (POA&lt;20 W/m2)]]-PA[[#This Row],[Sunrise Time (POA&gt;20 W/m2)]])*24,"")</f>
        <v>13.466666666666667</v>
      </c>
      <c r="L361" s="59" t="s">
        <v>559</v>
      </c>
      <c r="M361" s="59"/>
      <c r="N361" s="59"/>
      <c r="O361" s="59" t="s">
        <v>571</v>
      </c>
      <c r="P361" s="56"/>
      <c r="Q361" s="6"/>
      <c r="R36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v>
      </c>
      <c r="S361" s="53">
        <v>22.25</v>
      </c>
      <c r="T361" s="90">
        <f>IFERROR(_xlfn.XLOOKUP(PA[[#This Row],[Affected Equipment ]],'Basic Data '!A:A,'Basic Data '!C:C),"")</f>
        <v>3.3333333333333335E-3</v>
      </c>
      <c r="U361" s="59" t="s">
        <v>566</v>
      </c>
      <c r="V361" s="88"/>
      <c r="W361" s="114" t="s">
        <v>1250</v>
      </c>
      <c r="X361" s="359">
        <v>0.49444444444444446</v>
      </c>
      <c r="Y361" s="359">
        <v>0.49444444444444446</v>
      </c>
      <c r="Z361" s="359">
        <v>0.5</v>
      </c>
      <c r="AA361" s="359">
        <v>0.5180555555555556</v>
      </c>
      <c r="AB361" s="158">
        <f>IF(PA[[#This Row],[Acknowledgement Time ]]="NA","",(PA[[#This Row],[Acknowledgement Time ]]-PA[[#This Row],[Fault Time]])*24)</f>
        <v>0</v>
      </c>
      <c r="AC361" s="158">
        <f>IF(PA[[#This Row],[Work Start time on Fault]]="NA","",(PA[[#This Row],[Work Start time on Fault]]-PA[[#This Row],[Fault Time]])*24)</f>
        <v>0.13333333333333286</v>
      </c>
      <c r="AD361" s="112">
        <f>IF(PA[[#This Row],[Status]]="Open","",(PA[[#This Row],[Work Completion time on fault]]-PA[[#This Row],[Fault Time]])*24)</f>
        <v>0.56666666666666732</v>
      </c>
      <c r="AE361" s="111">
        <f>IFERROR((PA[[#This Row],[Work Completion time on fault]]-PA[[#This Row],[Fault Time]])*24,"")</f>
        <v>0.56666666666666732</v>
      </c>
      <c r="AF361" s="228" t="s">
        <v>1253</v>
      </c>
      <c r="AG361" s="6" t="s">
        <v>1275</v>
      </c>
      <c r="AH361" s="53">
        <f>IFERROR(PA[[#This Row],[Breakdown Time]]*PA[[#This Row],[Plant Equivalent Weightage]],"")</f>
        <v>1.8888888888888911E-3</v>
      </c>
      <c r="AI361" s="59">
        <v>0.55900000000000005</v>
      </c>
      <c r="AJ361" s="89">
        <f>IFERROR(IF(PA[[#This Row],[Lost PoA(kWh/m2)]]&gt;0,_xlfn.XLOOKUP(G361,'Modelling New'!$D:$D,'Modelling New'!$O:$O)*PA[[#This Row],[Lost PoA(kWh/m2)]]*S361,0),"")</f>
        <v>9.4544630790822453</v>
      </c>
      <c r="AK361" s="365"/>
      <c r="AL361" s="365"/>
    </row>
    <row r="362" spans="1:38" ht="45" hidden="1" x14ac:dyDescent="0.25">
      <c r="A362" s="229">
        <v>2054</v>
      </c>
      <c r="B362" s="233">
        <v>45826</v>
      </c>
      <c r="C362" s="333">
        <v>2025</v>
      </c>
      <c r="D362" s="348">
        <f>YEAR(PA[[#This Row],[Date]])</f>
        <v>2025</v>
      </c>
      <c r="E362" s="334" t="s">
        <v>73</v>
      </c>
      <c r="F362" s="335" t="s">
        <v>73</v>
      </c>
      <c r="G362" s="323">
        <v>45809</v>
      </c>
      <c r="H362" s="365">
        <f>DAY(EOMONTH(PA[[#This Row],[Date]], 0))</f>
        <v>30</v>
      </c>
      <c r="I362" s="361">
        <v>0.21249999999999999</v>
      </c>
      <c r="J362" s="361">
        <v>0.77361111111111114</v>
      </c>
      <c r="K362" s="53">
        <f>IFERROR((PA[[#This Row],[Sunset Time (POA&lt;20 W/m2)]]-PA[[#This Row],[Sunrise Time (POA&gt;20 W/m2)]])*24,"")</f>
        <v>13.466666666666667</v>
      </c>
      <c r="L362" s="59" t="s">
        <v>606</v>
      </c>
      <c r="M362" s="59"/>
      <c r="N362" s="59"/>
      <c r="O362" s="59" t="s">
        <v>601</v>
      </c>
      <c r="P362" s="56"/>
      <c r="Q362" s="6"/>
      <c r="R36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BLK7INV18</v>
      </c>
      <c r="S362" s="53">
        <f>_xlfn.XLOOKUP(PA[[#This Row],[Affected Equipment ]],'Basic Data '!$A:$A,'Basic Data '!$B:$B)</f>
        <v>267</v>
      </c>
      <c r="T362" s="90">
        <f>IFERROR(_xlfn.XLOOKUP(PA[[#This Row],[Affected Equipment ]],'Basic Data '!A:A,'Basic Data '!C:C),"")</f>
        <v>4.0000000000000001E-3</v>
      </c>
      <c r="U362" s="59" t="s">
        <v>566</v>
      </c>
      <c r="V362" s="88"/>
      <c r="W362" s="265" t="s">
        <v>1251</v>
      </c>
      <c r="X362" s="359">
        <v>0.41666666666666669</v>
      </c>
      <c r="Y362" s="359">
        <v>0.41805555555555557</v>
      </c>
      <c r="Z362" s="359">
        <v>0.4236111111111111</v>
      </c>
      <c r="AA362" s="359">
        <v>0.4375</v>
      </c>
      <c r="AB362" s="158">
        <f>IF(PA[[#This Row],[Acknowledgement Time ]]="NA","",(PA[[#This Row],[Acknowledgement Time ]]-PA[[#This Row],[Fault Time]])*24)</f>
        <v>3.3333333333333215E-2</v>
      </c>
      <c r="AC362" s="158">
        <f>IF(PA[[#This Row],[Work Start time on Fault]]="NA","",(PA[[#This Row],[Work Start time on Fault]]-PA[[#This Row],[Fault Time]])*24)</f>
        <v>0.16666666666666607</v>
      </c>
      <c r="AD362" s="112">
        <f>IF(PA[[#This Row],[Status]]="Open","",(PA[[#This Row],[Work Completion time on fault]]-PA[[#This Row],[Fault Time]])*24)</f>
        <v>0.49999999999999956</v>
      </c>
      <c r="AE362" s="111">
        <f>IFERROR((PA[[#This Row],[Work Completion time on fault]]-PA[[#This Row],[Fault Time]])*24,"")</f>
        <v>0.49999999999999956</v>
      </c>
      <c r="AF362" s="228" t="s">
        <v>1254</v>
      </c>
      <c r="AG362" s="6" t="s">
        <v>1275</v>
      </c>
      <c r="AH362" s="53">
        <f>IFERROR(PA[[#This Row],[Breakdown Time]]*PA[[#This Row],[Plant Equivalent Weightage]],"")</f>
        <v>1.9999999999999983E-3</v>
      </c>
      <c r="AI362" s="59">
        <v>0.219</v>
      </c>
      <c r="AJ362" s="89">
        <f>IFERROR(IF(PA[[#This Row],[Lost PoA(kWh/m2)]]&gt;0,_xlfn.XLOOKUP(G362,'Modelling New'!$D:$D,'Modelling New'!$O:$O)*PA[[#This Row],[Lost PoA(kWh/m2)]]*S362,0),"")</f>
        <v>44.447815692000248</v>
      </c>
      <c r="AK362" s="365"/>
      <c r="AL362" s="365"/>
    </row>
    <row r="363" spans="1:38" ht="45" hidden="1" x14ac:dyDescent="0.25">
      <c r="A363" s="229">
        <v>2055</v>
      </c>
      <c r="B363" s="233">
        <v>45827</v>
      </c>
      <c r="C363" s="333">
        <v>2025</v>
      </c>
      <c r="D363" s="348">
        <f>YEAR(PA[[#This Row],[Date]])</f>
        <v>2025</v>
      </c>
      <c r="E363" s="334" t="s">
        <v>73</v>
      </c>
      <c r="F363" s="335" t="s">
        <v>73</v>
      </c>
      <c r="G363" s="323">
        <v>45809</v>
      </c>
      <c r="H363" s="365">
        <f>DAY(EOMONTH(PA[[#This Row],[Date]], 0))</f>
        <v>30</v>
      </c>
      <c r="I363" s="361">
        <v>0.22500000000000001</v>
      </c>
      <c r="J363" s="361">
        <v>0.74305555555555547</v>
      </c>
      <c r="K363" s="53">
        <f>IFERROR((PA[[#This Row],[Sunset Time (POA&lt;20 W/m2)]]-PA[[#This Row],[Sunrise Time (POA&gt;20 W/m2)]])*24,"")</f>
        <v>12.433333333333332</v>
      </c>
      <c r="L363" s="59" t="s">
        <v>606</v>
      </c>
      <c r="M363" s="59"/>
      <c r="N363" s="59"/>
      <c r="O363" s="59" t="s">
        <v>601</v>
      </c>
      <c r="P363" s="56"/>
      <c r="Q363" s="6"/>
      <c r="R36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BLK7INV18</v>
      </c>
      <c r="S363" s="53">
        <f>_xlfn.XLOOKUP(PA[[#This Row],[Affected Equipment ]],'Basic Data '!$A:$A,'Basic Data '!$B:$B)</f>
        <v>267</v>
      </c>
      <c r="T363" s="90">
        <f>IFERROR(_xlfn.XLOOKUP(PA[[#This Row],[Affected Equipment ]],'Basic Data '!A:A,'Basic Data '!C:C),"")</f>
        <v>4.0000000000000001E-3</v>
      </c>
      <c r="U363" s="59" t="s">
        <v>566</v>
      </c>
      <c r="V363" s="88"/>
      <c r="W363" s="265" t="s">
        <v>1251</v>
      </c>
      <c r="X363" s="359">
        <v>0.33888888888888885</v>
      </c>
      <c r="Y363" s="359">
        <v>0.34027777777777773</v>
      </c>
      <c r="Z363" s="359">
        <v>0.34722222222222227</v>
      </c>
      <c r="AA363" s="359">
        <v>0.37708333333333338</v>
      </c>
      <c r="AB363" s="158">
        <f>IF(PA[[#This Row],[Acknowledgement Time ]]="NA","",(PA[[#This Row],[Acknowledgement Time ]]-PA[[#This Row],[Fault Time]])*24)</f>
        <v>3.3333333333333215E-2</v>
      </c>
      <c r="AC363" s="158">
        <f>IF(PA[[#This Row],[Work Start time on Fault]]="NA","",(PA[[#This Row],[Work Start time on Fault]]-PA[[#This Row],[Fault Time]])*24)</f>
        <v>0.20000000000000195</v>
      </c>
      <c r="AD363" s="112">
        <f>IF(PA[[#This Row],[Status]]="Open","",(PA[[#This Row],[Work Completion time on fault]]-PA[[#This Row],[Fault Time]])*24)</f>
        <v>0.91666666666666874</v>
      </c>
      <c r="AE363" s="111">
        <f>IFERROR((PA[[#This Row],[Work Completion time on fault]]-PA[[#This Row],[Fault Time]])*24,"")</f>
        <v>0.91666666666666874</v>
      </c>
      <c r="AF363" s="228" t="s">
        <v>1255</v>
      </c>
      <c r="AG363" s="6" t="s">
        <v>1275</v>
      </c>
      <c r="AH363" s="53">
        <f>IFERROR(PA[[#This Row],[Breakdown Time]]*PA[[#This Row],[Plant Equivalent Weightage]],"")</f>
        <v>3.6666666666666748E-3</v>
      </c>
      <c r="AI363" s="59">
        <v>0.217</v>
      </c>
      <c r="AJ363" s="89">
        <f>IFERROR(IF(PA[[#This Row],[Lost PoA(kWh/m2)]]&gt;0,_xlfn.XLOOKUP(G363,'Modelling New'!$D:$D,'Modelling New'!$O:$O)*PA[[#This Row],[Lost PoA(kWh/m2)]]*S363,0),"")</f>
        <v>44.041899566959145</v>
      </c>
      <c r="AK363" s="365"/>
      <c r="AL363" s="365"/>
    </row>
    <row r="364" spans="1:38" hidden="1" x14ac:dyDescent="0.25">
      <c r="A364" s="229">
        <v>2056</v>
      </c>
      <c r="B364" s="233">
        <v>45827</v>
      </c>
      <c r="C364" s="333">
        <v>2025</v>
      </c>
      <c r="D364" s="348">
        <f>YEAR(PA[[#This Row],[Date]])</f>
        <v>2025</v>
      </c>
      <c r="E364" s="334" t="s">
        <v>73</v>
      </c>
      <c r="F364" s="335" t="s">
        <v>73</v>
      </c>
      <c r="G364" s="323">
        <v>45809</v>
      </c>
      <c r="H364" s="365">
        <f>DAY(EOMONTH(PA[[#This Row],[Date]], 0))</f>
        <v>30</v>
      </c>
      <c r="I364" s="361">
        <v>0.22500000000000001</v>
      </c>
      <c r="J364" s="361">
        <v>0.74305555555555547</v>
      </c>
      <c r="K364" s="53">
        <f>IFERROR((PA[[#This Row],[Sunset Time (POA&lt;20 W/m2)]]-PA[[#This Row],[Sunrise Time (POA&gt;20 W/m2)]])*24,"")</f>
        <v>12.433333333333332</v>
      </c>
      <c r="L364" s="59" t="s">
        <v>621</v>
      </c>
      <c r="M364" s="59"/>
      <c r="N364" s="59"/>
      <c r="O364" s="59" t="s">
        <v>789</v>
      </c>
      <c r="P364" s="56"/>
      <c r="Q364" s="6"/>
      <c r="R36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BLK4MVP</v>
      </c>
      <c r="S364" s="53">
        <f>_xlfn.XLOOKUP(PA[[#This Row],[Affected Equipment ]],'Basic Data '!$A:$A,'Basic Data '!$B:$B)</f>
        <v>8655.25</v>
      </c>
      <c r="T364" s="90">
        <f>IFERROR(_xlfn.XLOOKUP(PA[[#This Row],[Affected Equipment ]],'Basic Data '!A:A,'Basic Data '!C:C),"")</f>
        <v>0.12966666666666668</v>
      </c>
      <c r="U364" s="59" t="s">
        <v>589</v>
      </c>
      <c r="V364" s="88"/>
      <c r="W364" s="265" t="s">
        <v>1256</v>
      </c>
      <c r="X364" s="359">
        <v>0.71111111111111114</v>
      </c>
      <c r="Y364" s="359">
        <v>0.71111111111111114</v>
      </c>
      <c r="Z364" s="359">
        <v>0.34722222222222227</v>
      </c>
      <c r="AA364" s="359">
        <v>0.92083333333333339</v>
      </c>
      <c r="AB364" s="158">
        <f>IF(PA[[#This Row],[Acknowledgement Time ]]="NA","",(PA[[#This Row],[Acknowledgement Time ]]-PA[[#This Row],[Fault Time]])*24)</f>
        <v>0</v>
      </c>
      <c r="AC364" s="158">
        <f>IF(PA[[#This Row],[Work Start time on Fault]]="NA","",(PA[[#This Row],[Work Start time on Fault]]-PA[[#This Row],[Fault Time]])*24)</f>
        <v>-8.7333333333333325</v>
      </c>
      <c r="AD364" s="112">
        <f>IF(PA[[#This Row],[Status]]="Open","",(PA[[#This Row],[Work Completion time on fault]]-PA[[#This Row],[Fault Time]])*24)</f>
        <v>5.0333333333333341</v>
      </c>
      <c r="AE364" s="111">
        <f>IFERROR((PA[[#This Row],[Work Completion time on fault]]-PA[[#This Row],[Fault Time]])*24,"")</f>
        <v>5.0333333333333341</v>
      </c>
      <c r="AF364" s="228" t="s">
        <v>1257</v>
      </c>
      <c r="AG364" s="6" t="s">
        <v>1275</v>
      </c>
      <c r="AH364" s="53">
        <f>IFERROR(PA[[#This Row],[Breakdown Time]]*PA[[#This Row],[Plant Equivalent Weightage]],"")</f>
        <v>0.65265555555555577</v>
      </c>
      <c r="AI364" s="59">
        <v>0</v>
      </c>
      <c r="AJ364" s="89">
        <f>IFERROR(IF(PA[[#This Row],[Lost PoA(kWh/m2)]]&gt;0,_xlfn.XLOOKUP(G364,'Modelling New'!$D:$D,'Modelling New'!$O:$O)*PA[[#This Row],[Lost PoA(kWh/m2)]]*S364,0),"")</f>
        <v>0</v>
      </c>
      <c r="AK364" s="365"/>
      <c r="AL364" s="365"/>
    </row>
    <row r="365" spans="1:38" hidden="1" x14ac:dyDescent="0.25">
      <c r="A365" s="229">
        <v>2057</v>
      </c>
      <c r="B365" s="233">
        <v>45827</v>
      </c>
      <c r="C365" s="333">
        <v>2025</v>
      </c>
      <c r="D365" s="348">
        <f>YEAR(PA[[#This Row],[Date]])</f>
        <v>2025</v>
      </c>
      <c r="E365" s="334" t="s">
        <v>73</v>
      </c>
      <c r="F365" s="335" t="s">
        <v>73</v>
      </c>
      <c r="G365" s="323">
        <v>45809</v>
      </c>
      <c r="H365" s="365">
        <f>DAY(EOMONTH(PA[[#This Row],[Date]], 0))</f>
        <v>30</v>
      </c>
      <c r="I365" s="361">
        <v>0.22500000000000001</v>
      </c>
      <c r="J365" s="361">
        <v>0.74305555555555547</v>
      </c>
      <c r="K365" s="53">
        <f>IFERROR((PA[[#This Row],[Sunset Time (POA&lt;20 W/m2)]]-PA[[#This Row],[Sunrise Time (POA&gt;20 W/m2)]])*24,"")</f>
        <v>12.433333333333332</v>
      </c>
      <c r="L365" s="59" t="s">
        <v>621</v>
      </c>
      <c r="M365" s="59" t="s">
        <v>588</v>
      </c>
      <c r="N365" s="59" t="s">
        <v>785</v>
      </c>
      <c r="O365" s="59"/>
      <c r="P365" s="56"/>
      <c r="Q365" s="6"/>
      <c r="R36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BLK4LT1ACCB1</v>
      </c>
      <c r="S365" s="53">
        <f>_xlfn.XLOOKUP(PA[[#This Row],[Affected Equipment ]],'Basic Data '!$A:$A,'Basic Data '!$B:$B)</f>
        <v>534</v>
      </c>
      <c r="T365" s="90">
        <f>IFERROR(_xlfn.XLOOKUP(PA[[#This Row],[Affected Equipment ]],'Basic Data '!A:A,'Basic Data '!C:C),"")</f>
        <v>8.0000000000000002E-3</v>
      </c>
      <c r="U365" s="59" t="s">
        <v>795</v>
      </c>
      <c r="V365" s="88"/>
      <c r="W365" s="265" t="s">
        <v>1256</v>
      </c>
      <c r="X365" s="359">
        <v>0.71111111111111114</v>
      </c>
      <c r="Y365" s="359">
        <v>0.71111111111111114</v>
      </c>
      <c r="Z365" s="359">
        <v>0.34722222222222227</v>
      </c>
      <c r="AA365" s="359"/>
      <c r="AB365" s="158">
        <f>IF(PA[[#This Row],[Acknowledgement Time ]]="NA","",(PA[[#This Row],[Acknowledgement Time ]]-PA[[#This Row],[Fault Time]])*24)</f>
        <v>0</v>
      </c>
      <c r="AC365" s="158">
        <f>IF(PA[[#This Row],[Work Start time on Fault]]="NA","",(PA[[#This Row],[Work Start time on Fault]]-PA[[#This Row],[Fault Time]])*24)</f>
        <v>-8.7333333333333325</v>
      </c>
      <c r="AD365" s="112">
        <f>IF(PA[[#This Row],[Status]]="Open","",(PA[[#This Row],[Work Completion time on fault]]-PA[[#This Row],[Fault Time]])*24)</f>
        <v>-17.066666666666666</v>
      </c>
      <c r="AE365" s="111">
        <f>IFERROR((PA[[#This Row],[Work Completion time on fault]]-PA[[#This Row],[Fault Time]])*24,"")</f>
        <v>-17.066666666666666</v>
      </c>
      <c r="AF365" s="228" t="s">
        <v>1259</v>
      </c>
      <c r="AG365" s="6" t="s">
        <v>1275</v>
      </c>
      <c r="AH365" s="53">
        <f>IFERROR(PA[[#This Row],[Breakdown Time]]*PA[[#This Row],[Plant Equivalent Weightage]],"")</f>
        <v>-0.13653333333333334</v>
      </c>
      <c r="AI365" s="59">
        <v>0</v>
      </c>
      <c r="AJ365" s="89">
        <f>IFERROR(IF(PA[[#This Row],[Lost PoA(kWh/m2)]]&gt;0,_xlfn.XLOOKUP(G365,'Modelling New'!$D:$D,'Modelling New'!$O:$O)*PA[[#This Row],[Lost PoA(kWh/m2)]]*S365,0),"")</f>
        <v>0</v>
      </c>
      <c r="AK365" s="365"/>
      <c r="AL365" s="365"/>
    </row>
    <row r="366" spans="1:38" ht="30" hidden="1" x14ac:dyDescent="0.25">
      <c r="A366" s="229">
        <v>2058</v>
      </c>
      <c r="B366" s="233">
        <v>45827</v>
      </c>
      <c r="C366" s="333">
        <v>2025</v>
      </c>
      <c r="D366" s="348">
        <f>YEAR(PA[[#This Row],[Date]])</f>
        <v>2025</v>
      </c>
      <c r="E366" s="334" t="s">
        <v>73</v>
      </c>
      <c r="F366" s="335" t="s">
        <v>73</v>
      </c>
      <c r="G366" s="323">
        <v>45809</v>
      </c>
      <c r="H366" s="365">
        <f>DAY(EOMONTH(PA[[#This Row],[Date]], 0))</f>
        <v>30</v>
      </c>
      <c r="I366" s="361">
        <v>0.22500000000000001</v>
      </c>
      <c r="J366" s="361">
        <v>0.74305555555555547</v>
      </c>
      <c r="K366" s="53">
        <f>IFERROR((PA[[#This Row],[Sunset Time (POA&lt;20 W/m2)]]-PA[[#This Row],[Sunrise Time (POA&gt;20 W/m2)]])*24,"")</f>
        <v>12.433333333333332</v>
      </c>
      <c r="L366" s="59" t="s">
        <v>621</v>
      </c>
      <c r="M366" s="59" t="s">
        <v>588</v>
      </c>
      <c r="N366" s="59" t="s">
        <v>788</v>
      </c>
      <c r="O366" s="59"/>
      <c r="P366" s="56"/>
      <c r="Q366" s="6"/>
      <c r="R36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BLK4LT1ACCB2</v>
      </c>
      <c r="S366" s="53">
        <f>_xlfn.XLOOKUP(PA[[#This Row],[Affected Equipment ]],'Basic Data '!$A:$A,'Basic Data '!$B:$B)</f>
        <v>534</v>
      </c>
      <c r="T366" s="90">
        <f>IFERROR(_xlfn.XLOOKUP(PA[[#This Row],[Affected Equipment ]],'Basic Data '!A:A,'Basic Data '!C:C),"")</f>
        <v>8.0000000000000002E-3</v>
      </c>
      <c r="U366" s="59" t="s">
        <v>795</v>
      </c>
      <c r="V366" s="88"/>
      <c r="W366" s="265" t="s">
        <v>1256</v>
      </c>
      <c r="X366" s="359">
        <v>0.71111111111111114</v>
      </c>
      <c r="Y366" s="359">
        <v>0.71111111111111114</v>
      </c>
      <c r="Z366" s="359">
        <v>0.34722222222222227</v>
      </c>
      <c r="AA366" s="359">
        <v>0.94374999999999998</v>
      </c>
      <c r="AB366" s="158">
        <f>IF(PA[[#This Row],[Acknowledgement Time ]]="NA","",(PA[[#This Row],[Acknowledgement Time ]]-PA[[#This Row],[Fault Time]])*24)</f>
        <v>0</v>
      </c>
      <c r="AC366" s="158">
        <f>IF(PA[[#This Row],[Work Start time on Fault]]="NA","",(PA[[#This Row],[Work Start time on Fault]]-PA[[#This Row],[Fault Time]])*24)</f>
        <v>-8.7333333333333325</v>
      </c>
      <c r="AD366" s="112">
        <f>IF(PA[[#This Row],[Status]]="Open","",(PA[[#This Row],[Work Completion time on fault]]-PA[[#This Row],[Fault Time]])*24)</f>
        <v>5.5833333333333321</v>
      </c>
      <c r="AE366" s="111">
        <f>IFERROR((PA[[#This Row],[Work Completion time on fault]]-PA[[#This Row],[Fault Time]])*24,"")</f>
        <v>5.5833333333333321</v>
      </c>
      <c r="AF366" s="228" t="s">
        <v>1258</v>
      </c>
      <c r="AG366" s="6" t="s">
        <v>1275</v>
      </c>
      <c r="AH366" s="53">
        <f>IFERROR(PA[[#This Row],[Breakdown Time]]*PA[[#This Row],[Plant Equivalent Weightage]],"")</f>
        <v>4.466666666666666E-2</v>
      </c>
      <c r="AI366" s="59">
        <v>0</v>
      </c>
      <c r="AJ366" s="89">
        <f>IFERROR(IF(PA[[#This Row],[Lost PoA(kWh/m2)]]&gt;0,_xlfn.XLOOKUP(G366,'Modelling New'!$D:$D,'Modelling New'!$O:$O)*PA[[#This Row],[Lost PoA(kWh/m2)]]*S366,0),"")</f>
        <v>0</v>
      </c>
      <c r="AK366" s="365"/>
      <c r="AL366" s="365"/>
    </row>
    <row r="367" spans="1:38" hidden="1" x14ac:dyDescent="0.25">
      <c r="A367" s="229">
        <v>2059</v>
      </c>
      <c r="B367" s="233">
        <v>45827</v>
      </c>
      <c r="C367" s="333">
        <v>2025</v>
      </c>
      <c r="D367" s="348">
        <f>YEAR(PA[[#This Row],[Date]])</f>
        <v>2025</v>
      </c>
      <c r="E367" s="334" t="s">
        <v>73</v>
      </c>
      <c r="F367" s="335" t="s">
        <v>73</v>
      </c>
      <c r="G367" s="323">
        <v>45809</v>
      </c>
      <c r="H367" s="365">
        <f>DAY(EOMONTH(PA[[#This Row],[Date]], 0))</f>
        <v>30</v>
      </c>
      <c r="I367" s="361">
        <v>0.22500000000000001</v>
      </c>
      <c r="J367" s="361">
        <v>0.74305555555555547</v>
      </c>
      <c r="K367" s="53">
        <f>IFERROR((PA[[#This Row],[Sunset Time (POA&lt;20 W/m2)]]-PA[[#This Row],[Sunrise Time (POA&gt;20 W/m2)]])*24,"")</f>
        <v>12.433333333333332</v>
      </c>
      <c r="L367" s="59" t="s">
        <v>621</v>
      </c>
      <c r="M367" s="59" t="s">
        <v>588</v>
      </c>
      <c r="N367" s="59" t="s">
        <v>799</v>
      </c>
      <c r="O367" s="59"/>
      <c r="P367" s="56"/>
      <c r="Q367" s="6"/>
      <c r="R36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BLK4LT1ACCB5</v>
      </c>
      <c r="S367" s="53">
        <f>_xlfn.XLOOKUP(PA[[#This Row],[Affected Equipment ]],'Basic Data '!$A:$A,'Basic Data '!$B:$B)</f>
        <v>567.375</v>
      </c>
      <c r="T367" s="90">
        <f>IFERROR(_xlfn.XLOOKUP(PA[[#This Row],[Affected Equipment ]],'Basic Data '!A:A,'Basic Data '!C:C),"")</f>
        <v>8.5000000000000006E-3</v>
      </c>
      <c r="U367" s="59" t="s">
        <v>795</v>
      </c>
      <c r="V367" s="88"/>
      <c r="W367" s="265" t="s">
        <v>1256</v>
      </c>
      <c r="X367" s="359">
        <v>0.71111111111111114</v>
      </c>
      <c r="Y367" s="359">
        <v>0.71111111111111114</v>
      </c>
      <c r="Z367" s="359">
        <v>0.34722222222222227</v>
      </c>
      <c r="AA367" s="359">
        <v>0.94374999999999998</v>
      </c>
      <c r="AB367" s="158">
        <f>IF(PA[[#This Row],[Acknowledgement Time ]]="NA","",(PA[[#This Row],[Acknowledgement Time ]]-PA[[#This Row],[Fault Time]])*24)</f>
        <v>0</v>
      </c>
      <c r="AC367" s="158">
        <f>IF(PA[[#This Row],[Work Start time on Fault]]="NA","",(PA[[#This Row],[Work Start time on Fault]]-PA[[#This Row],[Fault Time]])*24)</f>
        <v>-8.7333333333333325</v>
      </c>
      <c r="AD367" s="112">
        <f>IF(PA[[#This Row],[Status]]="Open","",(PA[[#This Row],[Work Completion time on fault]]-PA[[#This Row],[Fault Time]])*24)</f>
        <v>5.5833333333333321</v>
      </c>
      <c r="AE367" s="111">
        <f>IFERROR((PA[[#This Row],[Work Completion time on fault]]-PA[[#This Row],[Fault Time]])*24,"")</f>
        <v>5.5833333333333321</v>
      </c>
      <c r="AF367" s="228" t="s">
        <v>1259</v>
      </c>
      <c r="AG367" s="6" t="s">
        <v>1275</v>
      </c>
      <c r="AH367" s="53">
        <f>IFERROR(PA[[#This Row],[Breakdown Time]]*PA[[#This Row],[Plant Equivalent Weightage]],"")</f>
        <v>4.7458333333333325E-2</v>
      </c>
      <c r="AI367" s="59">
        <v>0</v>
      </c>
      <c r="AJ367" s="89">
        <f>IFERROR(IF(PA[[#This Row],[Lost PoA(kWh/m2)]]&gt;0,_xlfn.XLOOKUP(G367,'Modelling New'!$D:$D,'Modelling New'!$O:$O)*PA[[#This Row],[Lost PoA(kWh/m2)]]*S367,0),"")</f>
        <v>0</v>
      </c>
      <c r="AK367" s="365"/>
      <c r="AL367" s="365"/>
    </row>
    <row r="368" spans="1:38" ht="30" hidden="1" x14ac:dyDescent="0.25">
      <c r="A368" s="229">
        <v>2060</v>
      </c>
      <c r="B368" s="233">
        <v>45827</v>
      </c>
      <c r="C368" s="333">
        <v>2025</v>
      </c>
      <c r="D368" s="348">
        <f>YEAR(PA[[#This Row],[Date]])</f>
        <v>2025</v>
      </c>
      <c r="E368" s="334" t="s">
        <v>73</v>
      </c>
      <c r="F368" s="335" t="s">
        <v>73</v>
      </c>
      <c r="G368" s="323">
        <v>45809</v>
      </c>
      <c r="H368" s="365">
        <f>DAY(EOMONTH(PA[[#This Row],[Date]], 0))</f>
        <v>30</v>
      </c>
      <c r="I368" s="361">
        <v>0.22500000000000001</v>
      </c>
      <c r="J368" s="361">
        <v>0.74305555555555547</v>
      </c>
      <c r="K368" s="53">
        <f>IFERROR((PA[[#This Row],[Sunset Time (POA&lt;20 W/m2)]]-PA[[#This Row],[Sunrise Time (POA&gt;20 W/m2)]])*24,"")</f>
        <v>12.433333333333332</v>
      </c>
      <c r="L368" s="59" t="s">
        <v>621</v>
      </c>
      <c r="M368" s="59" t="s">
        <v>588</v>
      </c>
      <c r="N368" s="59" t="s">
        <v>802</v>
      </c>
      <c r="O368" s="59"/>
      <c r="P368" s="56"/>
      <c r="Q368" s="6"/>
      <c r="R36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BLK4LT1ACCB6</v>
      </c>
      <c r="S368" s="53">
        <f>_xlfn.XLOOKUP(PA[[#This Row],[Affected Equipment ]],'Basic Data '!$A:$A,'Basic Data '!$B:$B)</f>
        <v>567.375</v>
      </c>
      <c r="T368" s="90">
        <f>IFERROR(_xlfn.XLOOKUP(PA[[#This Row],[Affected Equipment ]],'Basic Data '!A:A,'Basic Data '!C:C),"")</f>
        <v>8.5000000000000006E-3</v>
      </c>
      <c r="U368" s="59" t="s">
        <v>795</v>
      </c>
      <c r="V368" s="88"/>
      <c r="W368" s="265" t="s">
        <v>1256</v>
      </c>
      <c r="X368" s="359">
        <v>0.71111111111111114</v>
      </c>
      <c r="Y368" s="359">
        <v>0.71111111111111114</v>
      </c>
      <c r="Z368" s="359">
        <v>0.34722222222222227</v>
      </c>
      <c r="AA368" s="359">
        <v>0.47916666666666669</v>
      </c>
      <c r="AB368" s="158">
        <f>IF(PA[[#This Row],[Acknowledgement Time ]]="NA","",(PA[[#This Row],[Acknowledgement Time ]]-PA[[#This Row],[Fault Time]])*24)</f>
        <v>0</v>
      </c>
      <c r="AC368" s="158">
        <f>IF(PA[[#This Row],[Work Start time on Fault]]="NA","",(PA[[#This Row],[Work Start time on Fault]]-PA[[#This Row],[Fault Time]])*24)</f>
        <v>-8.7333333333333325</v>
      </c>
      <c r="AD368" s="112">
        <f>IF(PA[[#This Row],[Status]]="Open","",(PA[[#This Row],[Work Completion time on fault]]-PA[[#This Row],[Fault Time]])*24)</f>
        <v>-5.5666666666666664</v>
      </c>
      <c r="AE368" s="111">
        <f>IFERROR((PA[[#This Row],[Work Completion time on fault]]-PA[[#This Row],[Fault Time]])*24,"")</f>
        <v>-5.5666666666666664</v>
      </c>
      <c r="AF368" s="228" t="s">
        <v>1258</v>
      </c>
      <c r="AG368" s="6" t="s">
        <v>1275</v>
      </c>
      <c r="AH368" s="53">
        <f>IFERROR(PA[[#This Row],[Breakdown Time]]*PA[[#This Row],[Plant Equivalent Weightage]],"")</f>
        <v>-4.7316666666666667E-2</v>
      </c>
      <c r="AI368" s="59">
        <v>0</v>
      </c>
      <c r="AJ368" s="89">
        <f>IFERROR(IF(PA[[#This Row],[Lost PoA(kWh/m2)]]&gt;0,_xlfn.XLOOKUP(G368,'Modelling New'!$D:$D,'Modelling New'!$O:$O)*PA[[#This Row],[Lost PoA(kWh/m2)]]*S368,0),"")</f>
        <v>0</v>
      </c>
      <c r="AK368" s="365"/>
      <c r="AL368" s="365"/>
    </row>
    <row r="369" spans="1:38" ht="30" hidden="1" x14ac:dyDescent="0.25">
      <c r="A369" s="229">
        <v>2061</v>
      </c>
      <c r="B369" s="233">
        <v>45828</v>
      </c>
      <c r="C369" s="333">
        <v>2025</v>
      </c>
      <c r="D369" s="348">
        <f>YEAR(PA[[#This Row],[Date]])</f>
        <v>2025</v>
      </c>
      <c r="E369" s="334" t="s">
        <v>73</v>
      </c>
      <c r="F369" s="335" t="s">
        <v>73</v>
      </c>
      <c r="G369" s="323">
        <v>45809</v>
      </c>
      <c r="H369" s="365">
        <f>DAY(EOMONTH(PA[[#This Row],[Date]], 0))</f>
        <v>30</v>
      </c>
      <c r="I369" s="361">
        <v>0.22708333333333333</v>
      </c>
      <c r="J369" s="361">
        <v>0.77916666666666667</v>
      </c>
      <c r="K369" s="53">
        <f>IFERROR((PA[[#This Row],[Sunset Time (POA&lt;20 W/m2)]]-PA[[#This Row],[Sunrise Time (POA&gt;20 W/m2)]])*24,"")</f>
        <v>13.25</v>
      </c>
      <c r="L369" s="59" t="s">
        <v>621</v>
      </c>
      <c r="M369" s="59"/>
      <c r="N369" s="59"/>
      <c r="O369" s="59" t="s">
        <v>565</v>
      </c>
      <c r="P369" s="56"/>
      <c r="Q369" s="6"/>
      <c r="R36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v>
      </c>
      <c r="S369" s="53">
        <f>_xlfn.XLOOKUP(PA[[#This Row],[Affected Equipment ]],'Basic Data '!$A:$A,'Basic Data '!$B:$B)</f>
        <v>300.375</v>
      </c>
      <c r="T369" s="90">
        <f>IFERROR(_xlfn.XLOOKUP(PA[[#This Row],[Affected Equipment ]],'Basic Data '!A:A,'Basic Data '!C:C),"")</f>
        <v>4.4999999999999997E-3</v>
      </c>
      <c r="U369" s="59" t="s">
        <v>566</v>
      </c>
      <c r="V369" s="88"/>
      <c r="W369" s="356" t="s">
        <v>1261</v>
      </c>
      <c r="X369" s="359">
        <v>0.23958333333333334</v>
      </c>
      <c r="Y369" s="359">
        <v>0.23958333333333334</v>
      </c>
      <c r="Z369" s="359">
        <v>0.78125</v>
      </c>
      <c r="AA369" s="359">
        <v>0.83333333333333337</v>
      </c>
      <c r="AB369" s="158">
        <f>IF(PA[[#This Row],[Acknowledgement Time ]]="NA","",(PA[[#This Row],[Acknowledgement Time ]]-PA[[#This Row],[Fault Time]])*24)</f>
        <v>0</v>
      </c>
      <c r="AC369" s="158">
        <f>IF(PA[[#This Row],[Work Start time on Fault]]="NA","",(PA[[#This Row],[Work Start time on Fault]]-PA[[#This Row],[Fault Time]])*24)</f>
        <v>13</v>
      </c>
      <c r="AD369" s="112">
        <f>IF(PA[[#This Row],[Status]]="Open","",(PA[[#This Row],[Work Completion time on fault]]-PA[[#This Row],[Fault Time]])*24)</f>
        <v>14.25</v>
      </c>
      <c r="AE369" s="111">
        <f>IFERROR((PA[[#This Row],[Work Completion time on fault]]-PA[[#This Row],[Fault Time]])*24,"")</f>
        <v>14.25</v>
      </c>
      <c r="AF369" s="228" t="s">
        <v>1262</v>
      </c>
      <c r="AG369" s="6" t="s">
        <v>1275</v>
      </c>
      <c r="AH369" s="53">
        <f>IFERROR(PA[[#This Row],[Breakdown Time]]*PA[[#This Row],[Plant Equivalent Weightage]],"")</f>
        <v>6.4125000000000001E-2</v>
      </c>
      <c r="AI369" s="59">
        <v>2.4</v>
      </c>
      <c r="AJ369" s="89">
        <f>IFERROR(IF(PA[[#This Row],[Lost PoA(kWh/m2)]]&gt;0,_xlfn.XLOOKUP(G369,'Modelling New'!$D:$D,'Modelling New'!$O:$O)*PA[[#This Row],[Lost PoA(kWh/m2)]]*S369,0),"")</f>
        <v>547.98676880548248</v>
      </c>
      <c r="AK369" s="365"/>
      <c r="AL369" s="365"/>
    </row>
    <row r="370" spans="1:38" ht="30" hidden="1" x14ac:dyDescent="0.25">
      <c r="A370" s="229">
        <v>2062</v>
      </c>
      <c r="B370" s="233">
        <v>45828</v>
      </c>
      <c r="C370" s="333">
        <v>2025</v>
      </c>
      <c r="D370" s="348">
        <f>YEAR(PA[[#This Row],[Date]])</f>
        <v>2025</v>
      </c>
      <c r="E370" s="334" t="s">
        <v>73</v>
      </c>
      <c r="F370" s="335" t="s">
        <v>73</v>
      </c>
      <c r="G370" s="323">
        <v>45809</v>
      </c>
      <c r="H370" s="365">
        <f>DAY(EOMONTH(PA[[#This Row],[Date]], 0))</f>
        <v>30</v>
      </c>
      <c r="I370" s="361">
        <v>0.22708333333333333</v>
      </c>
      <c r="J370" s="361">
        <v>0.77916666666666667</v>
      </c>
      <c r="K370" s="53">
        <f>IFERROR((PA[[#This Row],[Sunset Time (POA&lt;20 W/m2)]]-PA[[#This Row],[Sunrise Time (POA&gt;20 W/m2)]])*24,"")</f>
        <v>13.25</v>
      </c>
      <c r="L370" s="59" t="s">
        <v>621</v>
      </c>
      <c r="M370" s="59"/>
      <c r="N370" s="59"/>
      <c r="O370" s="59" t="s">
        <v>571</v>
      </c>
      <c r="P370" s="56"/>
      <c r="Q370" s="6"/>
      <c r="R37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v>
      </c>
      <c r="S370" s="53">
        <f>_xlfn.XLOOKUP(PA[[#This Row],[Affected Equipment ]],'Basic Data '!$A:$A,'Basic Data '!$B:$B)</f>
        <v>267</v>
      </c>
      <c r="T370" s="90">
        <f>IFERROR(_xlfn.XLOOKUP(PA[[#This Row],[Affected Equipment ]],'Basic Data '!A:A,'Basic Data '!C:C),"")</f>
        <v>4.0000000000000001E-3</v>
      </c>
      <c r="U370" s="59" t="s">
        <v>566</v>
      </c>
      <c r="V370" s="88"/>
      <c r="W370" s="356" t="s">
        <v>1261</v>
      </c>
      <c r="X370" s="359">
        <v>0.23958333333333334</v>
      </c>
      <c r="Y370" s="359">
        <v>0.23958333333333334</v>
      </c>
      <c r="Z370" s="359">
        <v>0.78125</v>
      </c>
      <c r="AA370" s="359">
        <v>0.83333333333333337</v>
      </c>
      <c r="AB370" s="158">
        <f>IF(PA[[#This Row],[Acknowledgement Time ]]="NA","",(PA[[#This Row],[Acknowledgement Time ]]-PA[[#This Row],[Fault Time]])*24)</f>
        <v>0</v>
      </c>
      <c r="AC370" s="158">
        <f>IF(PA[[#This Row],[Work Start time on Fault]]="NA","",(PA[[#This Row],[Work Start time on Fault]]-PA[[#This Row],[Fault Time]])*24)</f>
        <v>13</v>
      </c>
      <c r="AD370" s="112">
        <f>IF(PA[[#This Row],[Status]]="Open","",(PA[[#This Row],[Work Completion time on fault]]-PA[[#This Row],[Fault Time]])*24)</f>
        <v>14.25</v>
      </c>
      <c r="AE370" s="111">
        <f>IFERROR((PA[[#This Row],[Work Completion time on fault]]-PA[[#This Row],[Fault Time]])*24,"")</f>
        <v>14.25</v>
      </c>
      <c r="AF370" s="228" t="s">
        <v>1262</v>
      </c>
      <c r="AG370" s="6" t="s">
        <v>1275</v>
      </c>
      <c r="AH370" s="53">
        <f>IFERROR(PA[[#This Row],[Breakdown Time]]*PA[[#This Row],[Plant Equivalent Weightage]],"")</f>
        <v>5.7000000000000002E-2</v>
      </c>
      <c r="AI370" s="59">
        <v>2.4</v>
      </c>
      <c r="AJ370" s="89">
        <f>IFERROR(IF(PA[[#This Row],[Lost PoA(kWh/m2)]]&gt;0,_xlfn.XLOOKUP(G370,'Modelling New'!$D:$D,'Modelling New'!$O:$O)*PA[[#This Row],[Lost PoA(kWh/m2)]]*S370,0),"")</f>
        <v>487.09935004931771</v>
      </c>
      <c r="AK370" s="365"/>
      <c r="AL370" s="365"/>
    </row>
    <row r="371" spans="1:38" ht="30" hidden="1" x14ac:dyDescent="0.25">
      <c r="A371" s="229">
        <v>2063</v>
      </c>
      <c r="B371" s="233">
        <v>45828</v>
      </c>
      <c r="C371" s="333">
        <v>2025</v>
      </c>
      <c r="D371" s="348">
        <f>YEAR(PA[[#This Row],[Date]])</f>
        <v>2025</v>
      </c>
      <c r="E371" s="334" t="s">
        <v>73</v>
      </c>
      <c r="F371" s="335" t="s">
        <v>73</v>
      </c>
      <c r="G371" s="323">
        <v>45809</v>
      </c>
      <c r="H371" s="365">
        <f>DAY(EOMONTH(PA[[#This Row],[Date]], 0))</f>
        <v>30</v>
      </c>
      <c r="I371" s="361">
        <v>0.22708333333333333</v>
      </c>
      <c r="J371" s="361">
        <v>0.77916666666666667</v>
      </c>
      <c r="K371" s="53">
        <f>IFERROR((PA[[#This Row],[Sunset Time (POA&lt;20 W/m2)]]-PA[[#This Row],[Sunrise Time (POA&gt;20 W/m2)]])*24,"")</f>
        <v>13.25</v>
      </c>
      <c r="L371" s="59" t="s">
        <v>621</v>
      </c>
      <c r="M371" s="59"/>
      <c r="N371" s="59"/>
      <c r="O371" s="59" t="s">
        <v>595</v>
      </c>
      <c r="P371" s="56"/>
      <c r="Q371" s="6"/>
      <c r="R37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BLK4INV11</v>
      </c>
      <c r="S371" s="53">
        <f>_xlfn.XLOOKUP(PA[[#This Row],[Affected Equipment ]],'Basic Data '!$A:$A,'Basic Data '!$B:$B)</f>
        <v>300.375</v>
      </c>
      <c r="T371" s="90">
        <f>IFERROR(_xlfn.XLOOKUP(PA[[#This Row],[Affected Equipment ]],'Basic Data '!A:A,'Basic Data '!C:C),"")</f>
        <v>4.4999999999999997E-3</v>
      </c>
      <c r="U371" s="59" t="s">
        <v>566</v>
      </c>
      <c r="V371" s="88"/>
      <c r="W371" s="356" t="s">
        <v>1263</v>
      </c>
      <c r="X371" s="359">
        <v>0.23958333333333334</v>
      </c>
      <c r="Y371" s="359">
        <v>0.23958333333333334</v>
      </c>
      <c r="Z371" s="359"/>
      <c r="AA371" s="359"/>
      <c r="AB371" s="158">
        <f>IF(PA[[#This Row],[Acknowledgement Time ]]="NA","",(PA[[#This Row],[Acknowledgement Time ]]-PA[[#This Row],[Fault Time]])*24)</f>
        <v>0</v>
      </c>
      <c r="AC371" s="158">
        <f>IF(PA[[#This Row],[Work Start time on Fault]]="NA","",(PA[[#This Row],[Work Start time on Fault]]-PA[[#This Row],[Fault Time]])*24)</f>
        <v>-5.75</v>
      </c>
      <c r="AD371" s="112">
        <f>IF(PA[[#This Row],[Status]]="Open","",(PA[[#This Row],[Work Completion time on fault]]-PA[[#This Row],[Fault Time]])*24)</f>
        <v>-5.75</v>
      </c>
      <c r="AE371" s="111">
        <f>IFERROR((PA[[#This Row],[Work Completion time on fault]]-PA[[#This Row],[Fault Time]])*24,"")</f>
        <v>-5.75</v>
      </c>
      <c r="AF371" s="228" t="s">
        <v>1263</v>
      </c>
      <c r="AG371" s="6" t="s">
        <v>1275</v>
      </c>
      <c r="AH371" s="53">
        <f>IFERROR(PA[[#This Row],[Breakdown Time]]*PA[[#This Row],[Plant Equivalent Weightage]],"")</f>
        <v>-2.5874999999999999E-2</v>
      </c>
      <c r="AI371" s="59">
        <v>2.4</v>
      </c>
      <c r="AJ371" s="89">
        <f>IFERROR(IF(PA[[#This Row],[Lost PoA(kWh/m2)]]&gt;0,_xlfn.XLOOKUP(G371,'Modelling New'!$D:$D,'Modelling New'!$O:$O)*PA[[#This Row],[Lost PoA(kWh/m2)]]*S371,0),"")</f>
        <v>547.98676880548248</v>
      </c>
      <c r="AK371" s="365"/>
      <c r="AL371" s="365"/>
    </row>
    <row r="372" spans="1:38" ht="30" hidden="1" x14ac:dyDescent="0.25">
      <c r="A372" s="229">
        <v>2064</v>
      </c>
      <c r="B372" s="233">
        <v>45828</v>
      </c>
      <c r="C372" s="333">
        <v>2025</v>
      </c>
      <c r="D372" s="348">
        <f>YEAR(PA[[#This Row],[Date]])</f>
        <v>2025</v>
      </c>
      <c r="E372" s="334" t="s">
        <v>73</v>
      </c>
      <c r="F372" s="335" t="s">
        <v>73</v>
      </c>
      <c r="G372" s="323">
        <v>45809</v>
      </c>
      <c r="H372" s="365">
        <f>DAY(EOMONTH(PA[[#This Row],[Date]], 0))</f>
        <v>30</v>
      </c>
      <c r="I372" s="361">
        <v>0.22708333333333333</v>
      </c>
      <c r="J372" s="361">
        <v>0.77916666666666667</v>
      </c>
      <c r="K372" s="53">
        <f>IFERROR((PA[[#This Row],[Sunset Time (POA&lt;20 W/m2)]]-PA[[#This Row],[Sunrise Time (POA&gt;20 W/m2)]])*24,"")</f>
        <v>13.25</v>
      </c>
      <c r="L372" s="59" t="s">
        <v>621</v>
      </c>
      <c r="M372" s="59"/>
      <c r="N372" s="59"/>
      <c r="O372" s="59" t="s">
        <v>578</v>
      </c>
      <c r="P372" s="56"/>
      <c r="Q372" s="6"/>
      <c r="R37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BLK4INV12</v>
      </c>
      <c r="S372" s="53">
        <f>_xlfn.XLOOKUP(PA[[#This Row],[Affected Equipment ]],'Basic Data '!$A:$A,'Basic Data '!$B:$B)</f>
        <v>267</v>
      </c>
      <c r="T372" s="90">
        <f>IFERROR(_xlfn.XLOOKUP(PA[[#This Row],[Affected Equipment ]],'Basic Data '!A:A,'Basic Data '!C:C),"")</f>
        <v>4.0000000000000001E-3</v>
      </c>
      <c r="U372" s="59" t="s">
        <v>566</v>
      </c>
      <c r="V372" s="88"/>
      <c r="W372" s="356" t="s">
        <v>1261</v>
      </c>
      <c r="X372" s="359">
        <v>0.23958333333333334</v>
      </c>
      <c r="Y372" s="359">
        <v>0.23958333333333334</v>
      </c>
      <c r="Z372" s="359"/>
      <c r="AA372" s="359"/>
      <c r="AB372" s="158">
        <f>IF(PA[[#This Row],[Acknowledgement Time ]]="NA","",(PA[[#This Row],[Acknowledgement Time ]]-PA[[#This Row],[Fault Time]])*24)</f>
        <v>0</v>
      </c>
      <c r="AC372" s="158">
        <f>IF(PA[[#This Row],[Work Start time on Fault]]="NA","",(PA[[#This Row],[Work Start time on Fault]]-PA[[#This Row],[Fault Time]])*24)</f>
        <v>-5.75</v>
      </c>
      <c r="AD372" s="112">
        <f>IF(PA[[#This Row],[Status]]="Open","",(PA[[#This Row],[Work Completion time on fault]]-PA[[#This Row],[Fault Time]])*24)</f>
        <v>-5.75</v>
      </c>
      <c r="AE372" s="111">
        <f>IFERROR((PA[[#This Row],[Work Completion time on fault]]-PA[[#This Row],[Fault Time]])*24,"")</f>
        <v>-5.75</v>
      </c>
      <c r="AF372" s="228" t="s">
        <v>1262</v>
      </c>
      <c r="AG372" s="6" t="s">
        <v>1275</v>
      </c>
      <c r="AH372" s="53">
        <f>IFERROR(PA[[#This Row],[Breakdown Time]]*PA[[#This Row],[Plant Equivalent Weightage]],"")</f>
        <v>-2.3E-2</v>
      </c>
      <c r="AI372" s="59">
        <v>2.4</v>
      </c>
      <c r="AJ372" s="89">
        <f>IFERROR(IF(PA[[#This Row],[Lost PoA(kWh/m2)]]&gt;0,_xlfn.XLOOKUP(G372,'Modelling New'!$D:$D,'Modelling New'!$O:$O)*PA[[#This Row],[Lost PoA(kWh/m2)]]*S372,0),"")</f>
        <v>487.09935004931771</v>
      </c>
      <c r="AK372" s="365"/>
      <c r="AL372" s="365"/>
    </row>
    <row r="373" spans="1:38" ht="30" hidden="1" x14ac:dyDescent="0.25">
      <c r="A373" s="229">
        <v>2065</v>
      </c>
      <c r="B373" s="233">
        <v>45828</v>
      </c>
      <c r="C373" s="333">
        <v>2025</v>
      </c>
      <c r="D373" s="348">
        <f>YEAR(PA[[#This Row],[Date]])</f>
        <v>2025</v>
      </c>
      <c r="E373" s="334" t="s">
        <v>73</v>
      </c>
      <c r="F373" s="335" t="s">
        <v>73</v>
      </c>
      <c r="G373" s="323">
        <v>45809</v>
      </c>
      <c r="H373" s="365">
        <f>DAY(EOMONTH(PA[[#This Row],[Date]], 0))</f>
        <v>30</v>
      </c>
      <c r="I373" s="361">
        <v>0.22708333333333333</v>
      </c>
      <c r="J373" s="361">
        <v>0.77916666666666667</v>
      </c>
      <c r="K373" s="53">
        <f>IFERROR((PA[[#This Row],[Sunset Time (POA&lt;20 W/m2)]]-PA[[#This Row],[Sunrise Time (POA&gt;20 W/m2)]])*24,"")</f>
        <v>13.25</v>
      </c>
      <c r="L373" s="59" t="s">
        <v>621</v>
      </c>
      <c r="M373" s="59"/>
      <c r="N373" s="59"/>
      <c r="O373" s="59" t="s">
        <v>637</v>
      </c>
      <c r="P373" s="56"/>
      <c r="Q373" s="6"/>
      <c r="R37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373" s="53">
        <f>_xlfn.XLOOKUP(PA[[#This Row],[Affected Equipment ]],'Basic Data '!$A:$A,'Basic Data '!$B:$B)</f>
        <v>267</v>
      </c>
      <c r="T373" s="90">
        <f>IFERROR(_xlfn.XLOOKUP(PA[[#This Row],[Affected Equipment ]],'Basic Data '!A:A,'Basic Data '!C:C),"")</f>
        <v>4.0000000000000001E-3</v>
      </c>
      <c r="U373" s="59" t="s">
        <v>1260</v>
      </c>
      <c r="V373" s="88"/>
      <c r="W373" s="265" t="s">
        <v>1264</v>
      </c>
      <c r="X373" s="359">
        <v>0.23958333333333334</v>
      </c>
      <c r="Y373" s="359">
        <v>0.31597222222222221</v>
      </c>
      <c r="Z373" s="359">
        <v>0.4375</v>
      </c>
      <c r="AA373" s="359">
        <v>0.44791666666666669</v>
      </c>
      <c r="AB373" s="158">
        <f>IF(PA[[#This Row],[Acknowledgement Time ]]="NA","",(PA[[#This Row],[Acknowledgement Time ]]-PA[[#This Row],[Fault Time]])*24)</f>
        <v>1.8333333333333328</v>
      </c>
      <c r="AC373" s="158">
        <f>IF(PA[[#This Row],[Work Start time on Fault]]="NA","",(PA[[#This Row],[Work Start time on Fault]]-PA[[#This Row],[Fault Time]])*24)</f>
        <v>4.75</v>
      </c>
      <c r="AD373" s="112">
        <f>IF(PA[[#This Row],[Status]]="Open","",(PA[[#This Row],[Work Completion time on fault]]-PA[[#This Row],[Fault Time]])*24)</f>
        <v>5</v>
      </c>
      <c r="AE373" s="111">
        <f>IFERROR((PA[[#This Row],[Work Completion time on fault]]-PA[[#This Row],[Fault Time]])*24,"")</f>
        <v>5</v>
      </c>
      <c r="AF373" s="228" t="s">
        <v>1274</v>
      </c>
      <c r="AG373" s="6" t="s">
        <v>1275</v>
      </c>
      <c r="AH373" s="53">
        <f>IFERROR(PA[[#This Row],[Breakdown Time]]*PA[[#This Row],[Plant Equivalent Weightage]],"")</f>
        <v>0.02</v>
      </c>
      <c r="AI373" s="59">
        <v>0.64</v>
      </c>
      <c r="AJ373" s="89">
        <f>IFERROR(IF(PA[[#This Row],[Lost PoA(kWh/m2)]]&gt;0,_xlfn.XLOOKUP(G373,'Modelling New'!$D:$D,'Modelling New'!$O:$O)*PA[[#This Row],[Lost PoA(kWh/m2)]]*S373,0),"")</f>
        <v>129.8931600131514</v>
      </c>
      <c r="AK373" s="365"/>
      <c r="AL373" s="365"/>
    </row>
    <row r="374" spans="1:38" ht="30" hidden="1" x14ac:dyDescent="0.25">
      <c r="A374" s="229">
        <v>2066</v>
      </c>
      <c r="B374" s="233">
        <v>45828</v>
      </c>
      <c r="C374" s="333">
        <v>2025</v>
      </c>
      <c r="D374" s="348">
        <f>YEAR(PA[[#This Row],[Date]])</f>
        <v>2025</v>
      </c>
      <c r="E374" s="334" t="s">
        <v>73</v>
      </c>
      <c r="F374" s="335" t="s">
        <v>73</v>
      </c>
      <c r="G374" s="323">
        <v>45809</v>
      </c>
      <c r="H374" s="365">
        <f>DAY(EOMONTH(PA[[#This Row],[Date]], 0))</f>
        <v>30</v>
      </c>
      <c r="I374" s="361">
        <v>0.22708333333333333</v>
      </c>
      <c r="J374" s="361">
        <v>0.77916666666666667</v>
      </c>
      <c r="K374" s="53">
        <f>IFERROR((PA[[#This Row],[Sunset Time (POA&lt;20 W/m2)]]-PA[[#This Row],[Sunrise Time (POA&gt;20 W/m2)]])*24,"")</f>
        <v>13.25</v>
      </c>
      <c r="L374" s="59" t="s">
        <v>621</v>
      </c>
      <c r="M374" s="59"/>
      <c r="N374" s="59"/>
      <c r="O374" s="59" t="s">
        <v>612</v>
      </c>
      <c r="P374" s="56"/>
      <c r="Q374" s="6"/>
      <c r="R37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374" s="53">
        <f>_xlfn.XLOOKUP(PA[[#This Row],[Affected Equipment ]],'Basic Data '!$A:$A,'Basic Data '!$B:$B)</f>
        <v>300.375</v>
      </c>
      <c r="T374" s="90">
        <f>IFERROR(_xlfn.XLOOKUP(PA[[#This Row],[Affected Equipment ]],'Basic Data '!A:A,'Basic Data '!C:C),"")</f>
        <v>4.4999999999999997E-3</v>
      </c>
      <c r="U374" s="59" t="s">
        <v>1260</v>
      </c>
      <c r="V374" s="88"/>
      <c r="W374" s="265" t="s">
        <v>1265</v>
      </c>
      <c r="X374" s="359">
        <v>0.23958333333333334</v>
      </c>
      <c r="Y374" s="359">
        <v>0.31597222222222221</v>
      </c>
      <c r="Z374" s="359">
        <v>0.4513888888888889</v>
      </c>
      <c r="AA374" s="359">
        <v>0.46527777777777779</v>
      </c>
      <c r="AB374" s="158">
        <f>IF(PA[[#This Row],[Acknowledgement Time ]]="NA","",(PA[[#This Row],[Acknowledgement Time ]]-PA[[#This Row],[Fault Time]])*24)</f>
        <v>1.8333333333333328</v>
      </c>
      <c r="AC374" s="158">
        <f>IF(PA[[#This Row],[Work Start time on Fault]]="NA","",(PA[[#This Row],[Work Start time on Fault]]-PA[[#This Row],[Fault Time]])*24)</f>
        <v>5.083333333333333</v>
      </c>
      <c r="AD374" s="112">
        <f>IF(PA[[#This Row],[Status]]="Open","",(PA[[#This Row],[Work Completion time on fault]]-PA[[#This Row],[Fault Time]])*24)</f>
        <v>5.416666666666667</v>
      </c>
      <c r="AE374" s="111">
        <f>IFERROR((PA[[#This Row],[Work Completion time on fault]]-PA[[#This Row],[Fault Time]])*24,"")</f>
        <v>5.416666666666667</v>
      </c>
      <c r="AF374" s="228" t="s">
        <v>1273</v>
      </c>
      <c r="AG374" s="6" t="s">
        <v>1275</v>
      </c>
      <c r="AH374" s="53">
        <f>IFERROR(PA[[#This Row],[Breakdown Time]]*PA[[#This Row],[Plant Equivalent Weightage]],"")</f>
        <v>2.4375000000000001E-2</v>
      </c>
      <c r="AI374" s="59">
        <v>0.82699999999999996</v>
      </c>
      <c r="AJ374" s="89">
        <f>IFERROR(IF(PA[[#This Row],[Lost PoA(kWh/m2)]]&gt;0,_xlfn.XLOOKUP(G374,'Modelling New'!$D:$D,'Modelling New'!$O:$O)*PA[[#This Row],[Lost PoA(kWh/m2)]]*S374,0),"")</f>
        <v>188.82710741755582</v>
      </c>
      <c r="AK374" s="365"/>
      <c r="AL374" s="365"/>
    </row>
    <row r="375" spans="1:38" ht="30" hidden="1" x14ac:dyDescent="0.25">
      <c r="A375" s="229">
        <v>2067</v>
      </c>
      <c r="B375" s="233">
        <v>45828</v>
      </c>
      <c r="C375" s="333">
        <v>2025</v>
      </c>
      <c r="D375" s="348">
        <f>YEAR(PA[[#This Row],[Date]])</f>
        <v>2025</v>
      </c>
      <c r="E375" s="334" t="s">
        <v>73</v>
      </c>
      <c r="F375" s="335" t="s">
        <v>73</v>
      </c>
      <c r="G375" s="323">
        <v>45809</v>
      </c>
      <c r="H375" s="365">
        <f>DAY(EOMONTH(PA[[#This Row],[Date]], 0))</f>
        <v>30</v>
      </c>
      <c r="I375" s="361">
        <v>0.22708333333333333</v>
      </c>
      <c r="J375" s="361">
        <v>0.77916666666666667</v>
      </c>
      <c r="K375" s="53">
        <f>IFERROR((PA[[#This Row],[Sunset Time (POA&lt;20 W/m2)]]-PA[[#This Row],[Sunrise Time (POA&gt;20 W/m2)]])*24,"")</f>
        <v>13.25</v>
      </c>
      <c r="L375" s="59" t="s">
        <v>587</v>
      </c>
      <c r="M375" s="59"/>
      <c r="N375" s="59"/>
      <c r="O375" s="59" t="s">
        <v>634</v>
      </c>
      <c r="P375" s="56"/>
      <c r="Q375" s="6"/>
      <c r="R37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BLK1INV9</v>
      </c>
      <c r="S375" s="53">
        <f>_xlfn.XLOOKUP(PA[[#This Row],[Affected Equipment ]],'Basic Data '!$A:$A,'Basic Data '!$B:$B)</f>
        <v>278.125</v>
      </c>
      <c r="T375" s="90">
        <f>IFERROR(_xlfn.XLOOKUP(PA[[#This Row],[Affected Equipment ]],'Basic Data '!A:A,'Basic Data '!C:C),"")</f>
        <v>4.1666666666666666E-3</v>
      </c>
      <c r="U375" s="59" t="s">
        <v>1260</v>
      </c>
      <c r="V375" s="88"/>
      <c r="W375" s="265" t="s">
        <v>1266</v>
      </c>
      <c r="X375" s="359">
        <v>0.23958333333333334</v>
      </c>
      <c r="Y375" s="359">
        <v>0.31597222222222221</v>
      </c>
      <c r="Z375" s="359">
        <v>0.48958333333333331</v>
      </c>
      <c r="AA375" s="359">
        <v>0.50416666666666665</v>
      </c>
      <c r="AB375" s="158">
        <f>IF(PA[[#This Row],[Acknowledgement Time ]]="NA","",(PA[[#This Row],[Acknowledgement Time ]]-PA[[#This Row],[Fault Time]])*24)</f>
        <v>1.8333333333333328</v>
      </c>
      <c r="AC375" s="158">
        <f>IF(PA[[#This Row],[Work Start time on Fault]]="NA","",(PA[[#This Row],[Work Start time on Fault]]-PA[[#This Row],[Fault Time]])*24)</f>
        <v>5.9999999999999991</v>
      </c>
      <c r="AD375" s="112">
        <f>IF(PA[[#This Row],[Status]]="Open","",(PA[[#This Row],[Work Completion time on fault]]-PA[[#This Row],[Fault Time]])*24)</f>
        <v>6.3499999999999988</v>
      </c>
      <c r="AE375" s="111">
        <f>IFERROR((PA[[#This Row],[Work Completion time on fault]]-PA[[#This Row],[Fault Time]])*24,"")</f>
        <v>6.3499999999999988</v>
      </c>
      <c r="AF375" s="228" t="s">
        <v>1272</v>
      </c>
      <c r="AG375" s="6" t="s">
        <v>1275</v>
      </c>
      <c r="AH375" s="53">
        <f>IFERROR(PA[[#This Row],[Breakdown Time]]*PA[[#This Row],[Plant Equivalent Weightage]],"")</f>
        <v>2.6458333333333327E-2</v>
      </c>
      <c r="AI375" s="59">
        <v>1.26</v>
      </c>
      <c r="AJ375" s="89">
        <f>IFERROR(IF(PA[[#This Row],[Lost PoA(kWh/m2)]]&gt;0,_xlfn.XLOOKUP(G375,'Modelling New'!$D:$D,'Modelling New'!$O:$O)*PA[[#This Row],[Lost PoA(kWh/m2)]]*S375,0),"")</f>
        <v>266.38245705822067</v>
      </c>
      <c r="AK375" s="365"/>
      <c r="AL375" s="365"/>
    </row>
    <row r="376" spans="1:38" ht="60" hidden="1" x14ac:dyDescent="0.25">
      <c r="A376" s="229">
        <v>2068</v>
      </c>
      <c r="B376" s="233">
        <v>45828</v>
      </c>
      <c r="C376" s="333">
        <v>2025</v>
      </c>
      <c r="D376" s="348">
        <f>YEAR(PA[[#This Row],[Date]])</f>
        <v>2025</v>
      </c>
      <c r="E376" s="334" t="s">
        <v>73</v>
      </c>
      <c r="F376" s="335" t="s">
        <v>73</v>
      </c>
      <c r="G376" s="323">
        <v>45809</v>
      </c>
      <c r="H376" s="365">
        <f>DAY(EOMONTH(PA[[#This Row],[Date]], 0))</f>
        <v>30</v>
      </c>
      <c r="I376" s="361">
        <v>0.22708333333333333</v>
      </c>
      <c r="J376" s="361">
        <v>0.77916666666666667</v>
      </c>
      <c r="K376" s="53">
        <f>IFERROR((PA[[#This Row],[Sunset Time (POA&lt;20 W/m2)]]-PA[[#This Row],[Sunrise Time (POA&gt;20 W/m2)]])*24,"")</f>
        <v>13.25</v>
      </c>
      <c r="L376" s="59" t="s">
        <v>587</v>
      </c>
      <c r="M376" s="59"/>
      <c r="N376" s="59"/>
      <c r="O376" s="59" t="s">
        <v>601</v>
      </c>
      <c r="P376" s="56"/>
      <c r="Q376" s="6"/>
      <c r="R37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BLK1INV18</v>
      </c>
      <c r="S376" s="53">
        <f>_xlfn.XLOOKUP(PA[[#This Row],[Affected Equipment ]],'Basic Data '!$A:$A,'Basic Data '!$B:$B)</f>
        <v>267</v>
      </c>
      <c r="T376" s="90">
        <f>IFERROR(_xlfn.XLOOKUP(PA[[#This Row],[Affected Equipment ]],'Basic Data '!A:A,'Basic Data '!C:C),"")</f>
        <v>4.0000000000000001E-3</v>
      </c>
      <c r="U376" s="59" t="s">
        <v>1260</v>
      </c>
      <c r="V376" s="88"/>
      <c r="W376" s="265" t="s">
        <v>1290</v>
      </c>
      <c r="X376" s="359">
        <v>0.23958333333333334</v>
      </c>
      <c r="Y376" s="359">
        <v>0.31597222222222221</v>
      </c>
      <c r="Z376" s="359">
        <v>0.37152777777777773</v>
      </c>
      <c r="AA376" s="359">
        <v>0.38819444444444445</v>
      </c>
      <c r="AB376" s="158">
        <f>IF(PA[[#This Row],[Acknowledgement Time ]]="NA","",(PA[[#This Row],[Acknowledgement Time ]]-PA[[#This Row],[Fault Time]])*24)</f>
        <v>1.8333333333333328</v>
      </c>
      <c r="AC376" s="158">
        <f>IF(PA[[#This Row],[Work Start time on Fault]]="NA","",(PA[[#This Row],[Work Start time on Fault]]-PA[[#This Row],[Fault Time]])*24)</f>
        <v>3.1666666666666652</v>
      </c>
      <c r="AD376" s="112">
        <f>IF(PA[[#This Row],[Status]]="Open","",(PA[[#This Row],[Work Completion time on fault]]-PA[[#This Row],[Fault Time]])*24)</f>
        <v>3.5666666666666664</v>
      </c>
      <c r="AE376" s="111">
        <f>IFERROR((PA[[#This Row],[Work Completion time on fault]]-PA[[#This Row],[Fault Time]])*24,"")</f>
        <v>3.5666666666666664</v>
      </c>
      <c r="AF376" s="265" t="s">
        <v>1290</v>
      </c>
      <c r="AG376" s="6" t="s">
        <v>1275</v>
      </c>
      <c r="AH376" s="53">
        <f>IFERROR(PA[[#This Row],[Breakdown Time]]*PA[[#This Row],[Plant Equivalent Weightage]],"")</f>
        <v>1.4266666666666665E-2</v>
      </c>
      <c r="AI376" s="59">
        <v>0.23599999999999999</v>
      </c>
      <c r="AJ376" s="89">
        <f>IFERROR(IF(PA[[#This Row],[Lost PoA(kWh/m2)]]&gt;0,_xlfn.XLOOKUP(G376,'Modelling New'!$D:$D,'Modelling New'!$O:$O)*PA[[#This Row],[Lost PoA(kWh/m2)]]*S376,0),"")</f>
        <v>47.898102754849582</v>
      </c>
      <c r="AK376" s="365"/>
      <c r="AL376" s="365"/>
    </row>
    <row r="377" spans="1:38" ht="30" hidden="1" x14ac:dyDescent="0.25">
      <c r="A377" s="229">
        <v>2069</v>
      </c>
      <c r="B377" s="233">
        <v>45828</v>
      </c>
      <c r="C377" s="333">
        <v>2025</v>
      </c>
      <c r="D377" s="348">
        <f>YEAR(PA[[#This Row],[Date]])</f>
        <v>2025</v>
      </c>
      <c r="E377" s="334" t="s">
        <v>73</v>
      </c>
      <c r="F377" s="335" t="s">
        <v>73</v>
      </c>
      <c r="G377" s="323">
        <v>45809</v>
      </c>
      <c r="H377" s="365">
        <f>DAY(EOMONTH(PA[[#This Row],[Date]], 0))</f>
        <v>30</v>
      </c>
      <c r="I377" s="361">
        <v>0.22708333333333333</v>
      </c>
      <c r="J377" s="361">
        <v>0.77916666666666667</v>
      </c>
      <c r="K377" s="53">
        <f>IFERROR((PA[[#This Row],[Sunset Time (POA&lt;20 W/m2)]]-PA[[#This Row],[Sunrise Time (POA&gt;20 W/m2)]])*24,"")</f>
        <v>13.25</v>
      </c>
      <c r="L377" s="59" t="s">
        <v>587</v>
      </c>
      <c r="M377" s="59"/>
      <c r="N377" s="59"/>
      <c r="O377" s="59" t="s">
        <v>581</v>
      </c>
      <c r="P377" s="56"/>
      <c r="Q377" s="6"/>
      <c r="R37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BLK1INV32</v>
      </c>
      <c r="S377" s="53">
        <f>_xlfn.XLOOKUP(PA[[#This Row],[Affected Equipment ]],'Basic Data '!$A:$A,'Basic Data '!$B:$B)</f>
        <v>300.375</v>
      </c>
      <c r="T377" s="90">
        <f>IFERROR(_xlfn.XLOOKUP(PA[[#This Row],[Affected Equipment ]],'Basic Data '!A:A,'Basic Data '!C:C),"")</f>
        <v>4.4999999999999997E-3</v>
      </c>
      <c r="U377" s="59" t="s">
        <v>1260</v>
      </c>
      <c r="V377" s="88"/>
      <c r="W377" s="265" t="s">
        <v>1264</v>
      </c>
      <c r="X377" s="359">
        <v>0.23958333333333334</v>
      </c>
      <c r="Y377" s="359">
        <v>0.31597222222222221</v>
      </c>
      <c r="Z377" s="359">
        <v>0.46875</v>
      </c>
      <c r="AA377" s="359">
        <v>0.48749999999999999</v>
      </c>
      <c r="AB377" s="158">
        <f>IF(PA[[#This Row],[Acknowledgement Time ]]="NA","",(PA[[#This Row],[Acknowledgement Time ]]-PA[[#This Row],[Fault Time]])*24)</f>
        <v>1.8333333333333328</v>
      </c>
      <c r="AC377" s="158">
        <f>IF(PA[[#This Row],[Work Start time on Fault]]="NA","",(PA[[#This Row],[Work Start time on Fault]]-PA[[#This Row],[Fault Time]])*24)</f>
        <v>5.5</v>
      </c>
      <c r="AD377" s="112">
        <f>IF(PA[[#This Row],[Status]]="Open","",(PA[[#This Row],[Work Completion time on fault]]-PA[[#This Row],[Fault Time]])*24)</f>
        <v>5.9499999999999993</v>
      </c>
      <c r="AE377" s="111">
        <f>IFERROR((PA[[#This Row],[Work Completion time on fault]]-PA[[#This Row],[Fault Time]])*24,"")</f>
        <v>5.9499999999999993</v>
      </c>
      <c r="AF377" s="265" t="s">
        <v>1264</v>
      </c>
      <c r="AG377" s="6" t="s">
        <v>1275</v>
      </c>
      <c r="AH377" s="53">
        <f>IFERROR(PA[[#This Row],[Breakdown Time]]*PA[[#This Row],[Plant Equivalent Weightage]],"")</f>
        <v>2.6774999999999993E-2</v>
      </c>
      <c r="AI377" s="59">
        <v>1.03</v>
      </c>
      <c r="AJ377" s="89">
        <f>IFERROR(IF(PA[[#This Row],[Lost PoA(kWh/m2)]]&gt;0,_xlfn.XLOOKUP(G377,'Modelling New'!$D:$D,'Modelling New'!$O:$O)*PA[[#This Row],[Lost PoA(kWh/m2)]]*S377,0),"")</f>
        <v>235.17765494568624</v>
      </c>
      <c r="AK377" s="365"/>
      <c r="AL377" s="365"/>
    </row>
    <row r="378" spans="1:38" ht="30" hidden="1" x14ac:dyDescent="0.25">
      <c r="A378" s="229">
        <v>2070</v>
      </c>
      <c r="B378" s="233">
        <v>45828</v>
      </c>
      <c r="C378" s="333">
        <v>2025</v>
      </c>
      <c r="D378" s="348">
        <f>YEAR(PA[[#This Row],[Date]])</f>
        <v>2025</v>
      </c>
      <c r="E378" s="334" t="s">
        <v>73</v>
      </c>
      <c r="F378" s="335" t="s">
        <v>73</v>
      </c>
      <c r="G378" s="323">
        <v>45809</v>
      </c>
      <c r="H378" s="365">
        <f>DAY(EOMONTH(PA[[#This Row],[Date]], 0))</f>
        <v>30</v>
      </c>
      <c r="I378" s="361">
        <v>0.22708333333333333</v>
      </c>
      <c r="J378" s="361">
        <v>0.77916666666666667</v>
      </c>
      <c r="K378" s="53">
        <f>IFERROR((PA[[#This Row],[Sunset Time (POA&lt;20 W/m2)]]-PA[[#This Row],[Sunrise Time (POA&gt;20 W/m2)]])*24,"")</f>
        <v>13.25</v>
      </c>
      <c r="L378" s="59" t="s">
        <v>559</v>
      </c>
      <c r="M378" s="59"/>
      <c r="N378" s="59"/>
      <c r="O378" s="59" t="s">
        <v>571</v>
      </c>
      <c r="P378" s="56"/>
      <c r="Q378" s="6"/>
      <c r="R37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v>
      </c>
      <c r="S378" s="53">
        <f>_xlfn.XLOOKUP(PA[[#This Row],[Affected Equipment ]],'Basic Data '!$A:$A,'Basic Data '!$B:$B)</f>
        <v>222.5</v>
      </c>
      <c r="T378" s="90">
        <f>IFERROR(_xlfn.XLOOKUP(PA[[#This Row],[Affected Equipment ]],'Basic Data '!A:A,'Basic Data '!C:C),"")</f>
        <v>3.3333333333333335E-3</v>
      </c>
      <c r="U378" s="59" t="s">
        <v>1260</v>
      </c>
      <c r="V378" s="88"/>
      <c r="W378" s="265" t="s">
        <v>1267</v>
      </c>
      <c r="X378" s="359">
        <v>0.23958333333333334</v>
      </c>
      <c r="Y378" s="359">
        <v>0.31597222222222221</v>
      </c>
      <c r="Z378" s="359">
        <v>0.47916666666666669</v>
      </c>
      <c r="AA378" s="359">
        <v>0.49722222222222223</v>
      </c>
      <c r="AB378" s="158">
        <f>IF(PA[[#This Row],[Acknowledgement Time ]]="NA","",(PA[[#This Row],[Acknowledgement Time ]]-PA[[#This Row],[Fault Time]])*24)</f>
        <v>1.8333333333333328</v>
      </c>
      <c r="AC378" s="158">
        <f>IF(PA[[#This Row],[Work Start time on Fault]]="NA","",(PA[[#This Row],[Work Start time on Fault]]-PA[[#This Row],[Fault Time]])*24)</f>
        <v>5.75</v>
      </c>
      <c r="AD378" s="112">
        <f>IF(PA[[#This Row],[Status]]="Open","",(PA[[#This Row],[Work Completion time on fault]]-PA[[#This Row],[Fault Time]])*24)</f>
        <v>6.1833333333333327</v>
      </c>
      <c r="AE378" s="111">
        <f>IFERROR((PA[[#This Row],[Work Completion time on fault]]-PA[[#This Row],[Fault Time]])*24,"")</f>
        <v>6.1833333333333327</v>
      </c>
      <c r="AF378" s="265" t="s">
        <v>1267</v>
      </c>
      <c r="AG378" s="6" t="s">
        <v>1275</v>
      </c>
      <c r="AH378" s="53">
        <f>IFERROR(PA[[#This Row],[Breakdown Time]]*PA[[#This Row],[Plant Equivalent Weightage]],"")</f>
        <v>2.0611111111111111E-2</v>
      </c>
      <c r="AI378" s="59">
        <v>1.51</v>
      </c>
      <c r="AJ378" s="89">
        <f>IFERROR(IF(PA[[#This Row],[Lost PoA(kWh/m2)]]&gt;0,_xlfn.XLOOKUP(G378,'Modelling New'!$D:$D,'Modelling New'!$O:$O)*PA[[#This Row],[Lost PoA(kWh/m2)]]*S378,0),"")</f>
        <v>255.38889533835757</v>
      </c>
      <c r="AK378" s="365"/>
      <c r="AL378" s="365"/>
    </row>
    <row r="379" spans="1:38" ht="60" hidden="1" x14ac:dyDescent="0.25">
      <c r="A379" s="229">
        <v>2071</v>
      </c>
      <c r="B379" s="233">
        <v>45828</v>
      </c>
      <c r="C379" s="333">
        <v>2025</v>
      </c>
      <c r="D379" s="348">
        <f>YEAR(PA[[#This Row],[Date]])</f>
        <v>2025</v>
      </c>
      <c r="E379" s="334" t="s">
        <v>73</v>
      </c>
      <c r="F379" s="335" t="s">
        <v>73</v>
      </c>
      <c r="G379" s="323">
        <v>45809</v>
      </c>
      <c r="H379" s="365">
        <f>DAY(EOMONTH(PA[[#This Row],[Date]], 0))</f>
        <v>30</v>
      </c>
      <c r="I379" s="361">
        <v>0.22708333333333333</v>
      </c>
      <c r="J379" s="361">
        <v>0.77916666666666667</v>
      </c>
      <c r="K379" s="53">
        <f>IFERROR((PA[[#This Row],[Sunset Time (POA&lt;20 W/m2)]]-PA[[#This Row],[Sunrise Time (POA&gt;20 W/m2)]])*24,"")</f>
        <v>13.25</v>
      </c>
      <c r="L379" s="59" t="s">
        <v>559</v>
      </c>
      <c r="M379" s="59"/>
      <c r="N379" s="59"/>
      <c r="O379" s="59" t="s">
        <v>634</v>
      </c>
      <c r="P379" s="56"/>
      <c r="Q379" s="6"/>
      <c r="R37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BLK2INV9</v>
      </c>
      <c r="S379" s="53">
        <f>_xlfn.XLOOKUP(PA[[#This Row],[Affected Equipment ]],'Basic Data '!$A:$A,'Basic Data '!$B:$B)</f>
        <v>267</v>
      </c>
      <c r="T379" s="90">
        <f>IFERROR(_xlfn.XLOOKUP(PA[[#This Row],[Affected Equipment ]],'Basic Data '!A:A,'Basic Data '!C:C),"")</f>
        <v>4.0000000000000001E-3</v>
      </c>
      <c r="U379" s="59" t="s">
        <v>1260</v>
      </c>
      <c r="V379" s="88"/>
      <c r="W379" s="265" t="s">
        <v>1290</v>
      </c>
      <c r="X379" s="359">
        <v>0.23958333333333334</v>
      </c>
      <c r="Y379" s="359">
        <v>0.31597222222222221</v>
      </c>
      <c r="Z379" s="359">
        <v>0.375</v>
      </c>
      <c r="AA379" s="359">
        <v>0.39166666666666666</v>
      </c>
      <c r="AB379" s="158">
        <f>IF(PA[[#This Row],[Acknowledgement Time ]]="NA","",(PA[[#This Row],[Acknowledgement Time ]]-PA[[#This Row],[Fault Time]])*24)</f>
        <v>1.8333333333333328</v>
      </c>
      <c r="AC379" s="158">
        <f>IF(PA[[#This Row],[Work Start time on Fault]]="NA","",(PA[[#This Row],[Work Start time on Fault]]-PA[[#This Row],[Fault Time]])*24)</f>
        <v>3.25</v>
      </c>
      <c r="AD379" s="112">
        <f>IF(PA[[#This Row],[Status]]="Open","",(PA[[#This Row],[Work Completion time on fault]]-PA[[#This Row],[Fault Time]])*24)</f>
        <v>3.6499999999999995</v>
      </c>
      <c r="AE379" s="111">
        <f>IFERROR((PA[[#This Row],[Work Completion time on fault]]-PA[[#This Row],[Fault Time]])*24,"")</f>
        <v>3.6499999999999995</v>
      </c>
      <c r="AF379" s="228" t="s">
        <v>1290</v>
      </c>
      <c r="AG379" s="6" t="s">
        <v>1275</v>
      </c>
      <c r="AH379" s="53">
        <f>IFERROR(PA[[#This Row],[Breakdown Time]]*PA[[#This Row],[Plant Equivalent Weightage]],"")</f>
        <v>1.4599999999999998E-2</v>
      </c>
      <c r="AI379" s="59">
        <v>0.26700000000000002</v>
      </c>
      <c r="AJ379" s="89">
        <f>IFERROR(IF(PA[[#This Row],[Lost PoA(kWh/m2)]]&gt;0,_xlfn.XLOOKUP(G379,'Modelling New'!$D:$D,'Modelling New'!$O:$O)*PA[[#This Row],[Lost PoA(kWh/m2)]]*S379,0),"")</f>
        <v>54.189802692986603</v>
      </c>
      <c r="AK379" s="365"/>
      <c r="AL379" s="365"/>
    </row>
    <row r="380" spans="1:38" ht="60" hidden="1" x14ac:dyDescent="0.25">
      <c r="A380" s="229">
        <v>2072</v>
      </c>
      <c r="B380" s="233">
        <v>45828</v>
      </c>
      <c r="C380" s="333">
        <v>2025</v>
      </c>
      <c r="D380" s="348">
        <f>YEAR(PA[[#This Row],[Date]])</f>
        <v>2025</v>
      </c>
      <c r="E380" s="334" t="s">
        <v>73</v>
      </c>
      <c r="F380" s="335" t="s">
        <v>73</v>
      </c>
      <c r="G380" s="323">
        <v>45809</v>
      </c>
      <c r="H380" s="365">
        <f>DAY(EOMONTH(PA[[#This Row],[Date]], 0))</f>
        <v>30</v>
      </c>
      <c r="I380" s="361">
        <v>0.22708333333333333</v>
      </c>
      <c r="J380" s="361">
        <v>0.77916666666666667</v>
      </c>
      <c r="K380" s="53">
        <f>IFERROR((PA[[#This Row],[Sunset Time (POA&lt;20 W/m2)]]-PA[[#This Row],[Sunrise Time (POA&gt;20 W/m2)]])*24,"")</f>
        <v>13.25</v>
      </c>
      <c r="L380" s="59" t="s">
        <v>559</v>
      </c>
      <c r="M380" s="59"/>
      <c r="N380" s="59"/>
      <c r="O380" s="59" t="s">
        <v>618</v>
      </c>
      <c r="P380" s="56"/>
      <c r="Q380" s="6"/>
      <c r="R38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BLK2INV15</v>
      </c>
      <c r="S380" s="53">
        <f>_xlfn.XLOOKUP(PA[[#This Row],[Affected Equipment ]],'Basic Data '!$A:$A,'Basic Data '!$B:$B)</f>
        <v>267</v>
      </c>
      <c r="T380" s="90">
        <f>IFERROR(_xlfn.XLOOKUP(PA[[#This Row],[Affected Equipment ]],'Basic Data '!A:A,'Basic Data '!C:C),"")</f>
        <v>4.0000000000000001E-3</v>
      </c>
      <c r="U380" s="59" t="s">
        <v>1260</v>
      </c>
      <c r="V380" s="88"/>
      <c r="W380" s="265" t="s">
        <v>1290</v>
      </c>
      <c r="X380" s="359">
        <v>0.23958333333333334</v>
      </c>
      <c r="Y380" s="359">
        <v>0.31597222222222221</v>
      </c>
      <c r="Z380" s="359">
        <v>0.3611111111111111</v>
      </c>
      <c r="AA380" s="359">
        <v>0.38194444444444442</v>
      </c>
      <c r="AB380" s="158">
        <f>IF(PA[[#This Row],[Acknowledgement Time ]]="NA","",(PA[[#This Row],[Acknowledgement Time ]]-PA[[#This Row],[Fault Time]])*24)</f>
        <v>1.8333333333333328</v>
      </c>
      <c r="AC380" s="158">
        <f>IF(PA[[#This Row],[Work Start time on Fault]]="NA","",(PA[[#This Row],[Work Start time on Fault]]-PA[[#This Row],[Fault Time]])*24)</f>
        <v>2.9166666666666661</v>
      </c>
      <c r="AD380" s="112">
        <f>IF(PA[[#This Row],[Status]]="Open","",(PA[[#This Row],[Work Completion time on fault]]-PA[[#This Row],[Fault Time]])*24)</f>
        <v>3.4166666666666661</v>
      </c>
      <c r="AE380" s="111">
        <f>IFERROR((PA[[#This Row],[Work Completion time on fault]]-PA[[#This Row],[Fault Time]])*24,"")</f>
        <v>3.4166666666666661</v>
      </c>
      <c r="AF380" s="228" t="s">
        <v>1290</v>
      </c>
      <c r="AG380" s="6" t="s">
        <v>1275</v>
      </c>
      <c r="AH380" s="53">
        <f>IFERROR(PA[[#This Row],[Breakdown Time]]*PA[[#This Row],[Plant Equivalent Weightage]],"")</f>
        <v>1.3666666666666664E-2</v>
      </c>
      <c r="AI380" s="59">
        <v>0.20300000000000001</v>
      </c>
      <c r="AJ380" s="89">
        <f>IFERROR(IF(PA[[#This Row],[Lost PoA(kWh/m2)]]&gt;0,_xlfn.XLOOKUP(G380,'Modelling New'!$D:$D,'Modelling New'!$O:$O)*PA[[#This Row],[Lost PoA(kWh/m2)]]*S380,0),"")</f>
        <v>41.200486691671465</v>
      </c>
      <c r="AK380" s="365"/>
      <c r="AL380" s="365"/>
    </row>
    <row r="381" spans="1:38" ht="60" hidden="1" x14ac:dyDescent="0.25">
      <c r="A381" s="229">
        <v>2073</v>
      </c>
      <c r="B381" s="233">
        <v>45828</v>
      </c>
      <c r="C381" s="333">
        <v>2025</v>
      </c>
      <c r="D381" s="348">
        <f>YEAR(PA[[#This Row],[Date]])</f>
        <v>2025</v>
      </c>
      <c r="E381" s="334" t="s">
        <v>73</v>
      </c>
      <c r="F381" s="335" t="s">
        <v>73</v>
      </c>
      <c r="G381" s="323">
        <v>45809</v>
      </c>
      <c r="H381" s="365">
        <f>DAY(EOMONTH(PA[[#This Row],[Date]], 0))</f>
        <v>30</v>
      </c>
      <c r="I381" s="361">
        <v>0.22708333333333333</v>
      </c>
      <c r="J381" s="361">
        <v>0.77916666666666667</v>
      </c>
      <c r="K381" s="53">
        <f>IFERROR((PA[[#This Row],[Sunset Time (POA&lt;20 W/m2)]]-PA[[#This Row],[Sunrise Time (POA&gt;20 W/m2)]])*24,"")</f>
        <v>13.25</v>
      </c>
      <c r="L381" s="59" t="s">
        <v>559</v>
      </c>
      <c r="M381" s="59"/>
      <c r="N381" s="59"/>
      <c r="O381" s="59" t="s">
        <v>601</v>
      </c>
      <c r="P381" s="56"/>
      <c r="Q381" s="6"/>
      <c r="R38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BLK2INV18</v>
      </c>
      <c r="S381" s="53">
        <f>_xlfn.XLOOKUP(PA[[#This Row],[Affected Equipment ]],'Basic Data '!$A:$A,'Basic Data '!$B:$B)</f>
        <v>278.125</v>
      </c>
      <c r="T381" s="90">
        <f>IFERROR(_xlfn.XLOOKUP(PA[[#This Row],[Affected Equipment ]],'Basic Data '!A:A,'Basic Data '!C:C),"")</f>
        <v>4.1666666666666666E-3</v>
      </c>
      <c r="U381" s="59" t="s">
        <v>1260</v>
      </c>
      <c r="V381" s="88"/>
      <c r="W381" s="265" t="s">
        <v>1290</v>
      </c>
      <c r="X381" s="359">
        <v>0.23958333333333334</v>
      </c>
      <c r="Y381" s="359">
        <v>0.31597222222222221</v>
      </c>
      <c r="Z381" s="359">
        <v>0.44097222222222227</v>
      </c>
      <c r="AA381" s="359">
        <v>0.46111111111111114</v>
      </c>
      <c r="AB381" s="158">
        <f>IF(PA[[#This Row],[Acknowledgement Time ]]="NA","",(PA[[#This Row],[Acknowledgement Time ]]-PA[[#This Row],[Fault Time]])*24)</f>
        <v>1.8333333333333328</v>
      </c>
      <c r="AC381" s="158">
        <f>IF(PA[[#This Row],[Work Start time on Fault]]="NA","",(PA[[#This Row],[Work Start time on Fault]]-PA[[#This Row],[Fault Time]])*24)</f>
        <v>4.8333333333333339</v>
      </c>
      <c r="AD381" s="112">
        <f>IF(PA[[#This Row],[Status]]="Open","",(PA[[#This Row],[Work Completion time on fault]]-PA[[#This Row],[Fault Time]])*24)</f>
        <v>5.3166666666666673</v>
      </c>
      <c r="AE381" s="111">
        <f>IFERROR((PA[[#This Row],[Work Completion time on fault]]-PA[[#This Row],[Fault Time]])*24,"")</f>
        <v>5.3166666666666673</v>
      </c>
      <c r="AF381" s="228" t="s">
        <v>1290</v>
      </c>
      <c r="AG381" s="6" t="s">
        <v>1275</v>
      </c>
      <c r="AH381" s="53">
        <f>IFERROR(PA[[#This Row],[Breakdown Time]]*PA[[#This Row],[Plant Equivalent Weightage]],"")</f>
        <v>2.2152777777777782E-2</v>
      </c>
      <c r="AI381" s="59">
        <v>0.78100000000000003</v>
      </c>
      <c r="AJ381" s="89">
        <f>IFERROR(IF(PA[[#This Row],[Lost PoA(kWh/m2)]]&gt;0,_xlfn.XLOOKUP(G381,'Modelling New'!$D:$D,'Modelling New'!$O:$O)*PA[[#This Row],[Lost PoA(kWh/m2)]]*S381,0),"")</f>
        <v>165.11484044640503</v>
      </c>
      <c r="AK381" s="365"/>
      <c r="AL381" s="365"/>
    </row>
    <row r="382" spans="1:38" ht="60" hidden="1" x14ac:dyDescent="0.25">
      <c r="A382" s="229">
        <v>2074</v>
      </c>
      <c r="B382" s="233">
        <v>45828</v>
      </c>
      <c r="C382" s="333">
        <v>2025</v>
      </c>
      <c r="D382" s="348">
        <f>YEAR(PA[[#This Row],[Date]])</f>
        <v>2025</v>
      </c>
      <c r="E382" s="334" t="s">
        <v>73</v>
      </c>
      <c r="F382" s="335" t="s">
        <v>73</v>
      </c>
      <c r="G382" s="323">
        <v>45809</v>
      </c>
      <c r="H382" s="365">
        <f>DAY(EOMONTH(PA[[#This Row],[Date]], 0))</f>
        <v>30</v>
      </c>
      <c r="I382" s="361">
        <v>0.22708333333333333</v>
      </c>
      <c r="J382" s="361">
        <v>0.77916666666666667</v>
      </c>
      <c r="K382" s="53">
        <f>IFERROR((PA[[#This Row],[Sunset Time (POA&lt;20 W/m2)]]-PA[[#This Row],[Sunrise Time (POA&gt;20 W/m2)]])*24,"")</f>
        <v>13.25</v>
      </c>
      <c r="L382" s="59" t="s">
        <v>559</v>
      </c>
      <c r="M382" s="59"/>
      <c r="N382" s="59"/>
      <c r="O382" s="59" t="s">
        <v>581</v>
      </c>
      <c r="P382" s="56"/>
      <c r="Q382" s="6"/>
      <c r="R38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BLK2INV32</v>
      </c>
      <c r="S382" s="53">
        <f>_xlfn.XLOOKUP(PA[[#This Row],[Affected Equipment ]],'Basic Data '!$A:$A,'Basic Data '!$B:$B)</f>
        <v>239.25</v>
      </c>
      <c r="T382" s="90">
        <f>IFERROR(_xlfn.XLOOKUP(PA[[#This Row],[Affected Equipment ]],'Basic Data '!A:A,'Basic Data '!C:C),"")</f>
        <v>3.5842696629213482E-3</v>
      </c>
      <c r="U382" s="59" t="s">
        <v>1260</v>
      </c>
      <c r="V382" s="88"/>
      <c r="W382" s="265" t="s">
        <v>1290</v>
      </c>
      <c r="X382" s="359">
        <v>0.23958333333333334</v>
      </c>
      <c r="Y382" s="359">
        <v>0.31597222222222221</v>
      </c>
      <c r="Z382" s="359">
        <v>0.36805555555555558</v>
      </c>
      <c r="AA382" s="359">
        <v>0.38611111111111113</v>
      </c>
      <c r="AB382" s="158">
        <f>IF(PA[[#This Row],[Acknowledgement Time ]]="NA","",(PA[[#This Row],[Acknowledgement Time ]]-PA[[#This Row],[Fault Time]])*24)</f>
        <v>1.8333333333333328</v>
      </c>
      <c r="AC382" s="158">
        <f>IF(PA[[#This Row],[Work Start time on Fault]]="NA","",(PA[[#This Row],[Work Start time on Fault]]-PA[[#This Row],[Fault Time]])*24)</f>
        <v>3.0833333333333339</v>
      </c>
      <c r="AD382" s="112">
        <f>IF(PA[[#This Row],[Status]]="Open","",(PA[[#This Row],[Work Completion time on fault]]-PA[[#This Row],[Fault Time]])*24)</f>
        <v>3.5166666666666666</v>
      </c>
      <c r="AE382" s="111">
        <f>IFERROR((PA[[#This Row],[Work Completion time on fault]]-PA[[#This Row],[Fault Time]])*24,"")</f>
        <v>3.5166666666666666</v>
      </c>
      <c r="AF382" s="228" t="s">
        <v>1290</v>
      </c>
      <c r="AG382" s="6" t="s">
        <v>1275</v>
      </c>
      <c r="AH382" s="53">
        <f>IFERROR(PA[[#This Row],[Breakdown Time]]*PA[[#This Row],[Plant Equivalent Weightage]],"")</f>
        <v>1.2604681647940074E-2</v>
      </c>
      <c r="AI382" s="59">
        <v>0.222</v>
      </c>
      <c r="AJ382" s="89">
        <f>IFERROR(IF(PA[[#This Row],[Lost PoA(kWh/m2)]]&gt;0,_xlfn.XLOOKUP(G382,'Modelling New'!$D:$D,'Modelling New'!$O:$O)*PA[[#This Row],[Lost PoA(kWh/m2)]]*S382,0),"")</f>
        <v>40.373831661742258</v>
      </c>
      <c r="AK382" s="365"/>
      <c r="AL382" s="365"/>
    </row>
    <row r="383" spans="1:38" ht="60" hidden="1" x14ac:dyDescent="0.25">
      <c r="A383" s="229">
        <v>2075</v>
      </c>
      <c r="B383" s="233">
        <v>45828</v>
      </c>
      <c r="C383" s="333">
        <v>2025</v>
      </c>
      <c r="D383" s="348">
        <f>YEAR(PA[[#This Row],[Date]])</f>
        <v>2025</v>
      </c>
      <c r="E383" s="334" t="s">
        <v>73</v>
      </c>
      <c r="F383" s="335" t="s">
        <v>73</v>
      </c>
      <c r="G383" s="323">
        <v>45809</v>
      </c>
      <c r="H383" s="365">
        <f>DAY(EOMONTH(PA[[#This Row],[Date]], 0))</f>
        <v>30</v>
      </c>
      <c r="I383" s="361">
        <v>0.22708333333333333</v>
      </c>
      <c r="J383" s="361">
        <v>0.77916666666666667</v>
      </c>
      <c r="K383" s="53">
        <f>IFERROR((PA[[#This Row],[Sunset Time (POA&lt;20 W/m2)]]-PA[[#This Row],[Sunrise Time (POA&gt;20 W/m2)]])*24,"")</f>
        <v>13.25</v>
      </c>
      <c r="L383" s="59" t="s">
        <v>597</v>
      </c>
      <c r="M383" s="59"/>
      <c r="N383" s="59"/>
      <c r="O383" s="59" t="s">
        <v>601</v>
      </c>
      <c r="P383" s="56"/>
      <c r="Q383" s="6"/>
      <c r="R38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BLK3INV18</v>
      </c>
      <c r="S383" s="53">
        <f>_xlfn.XLOOKUP(PA[[#This Row],[Affected Equipment ]],'Basic Data '!$A:$A,'Basic Data '!$B:$B)</f>
        <v>267</v>
      </c>
      <c r="T383" s="90">
        <f>IFERROR(_xlfn.XLOOKUP(PA[[#This Row],[Affected Equipment ]],'Basic Data '!A:A,'Basic Data '!C:C),"")</f>
        <v>4.0000000000000001E-3</v>
      </c>
      <c r="U383" s="59" t="s">
        <v>1260</v>
      </c>
      <c r="V383" s="88"/>
      <c r="W383" s="265" t="s">
        <v>1290</v>
      </c>
      <c r="X383" s="359">
        <v>0.23958333333333334</v>
      </c>
      <c r="Y383" s="359">
        <v>0.31597222222222221</v>
      </c>
      <c r="Z383" s="359">
        <v>0.37847222222222227</v>
      </c>
      <c r="AA383" s="359">
        <v>0.3972222222222222</v>
      </c>
      <c r="AB383" s="158">
        <f>IF(PA[[#This Row],[Acknowledgement Time ]]="NA","",(PA[[#This Row],[Acknowledgement Time ]]-PA[[#This Row],[Fault Time]])*24)</f>
        <v>1.8333333333333328</v>
      </c>
      <c r="AC383" s="158">
        <f>IF(PA[[#This Row],[Work Start time on Fault]]="NA","",(PA[[#This Row],[Work Start time on Fault]]-PA[[#This Row],[Fault Time]])*24)</f>
        <v>3.3333333333333339</v>
      </c>
      <c r="AD383" s="112">
        <f>IF(PA[[#This Row],[Status]]="Open","",(PA[[#This Row],[Work Completion time on fault]]-PA[[#This Row],[Fault Time]])*24)</f>
        <v>3.7833333333333323</v>
      </c>
      <c r="AE383" s="111">
        <f>IFERROR((PA[[#This Row],[Work Completion time on fault]]-PA[[#This Row],[Fault Time]])*24,"")</f>
        <v>3.7833333333333323</v>
      </c>
      <c r="AF383" s="228" t="s">
        <v>1290</v>
      </c>
      <c r="AG383" s="6" t="s">
        <v>1275</v>
      </c>
      <c r="AH383" s="53">
        <f>IFERROR(PA[[#This Row],[Breakdown Time]]*PA[[#This Row],[Plant Equivalent Weightage]],"")</f>
        <v>1.513333333333333E-2</v>
      </c>
      <c r="AI383" s="59">
        <v>0.314</v>
      </c>
      <c r="AJ383" s="89">
        <f>IFERROR(IF(PA[[#This Row],[Lost PoA(kWh/m2)]]&gt;0,_xlfn.XLOOKUP(G383,'Modelling New'!$D:$D,'Modelling New'!$O:$O)*PA[[#This Row],[Lost PoA(kWh/m2)]]*S383,0),"")</f>
        <v>63.728831631452408</v>
      </c>
      <c r="AK383" s="365"/>
      <c r="AL383" s="365"/>
    </row>
    <row r="384" spans="1:38" ht="60" hidden="1" x14ac:dyDescent="0.25">
      <c r="A384" s="229">
        <v>2076</v>
      </c>
      <c r="B384" s="233">
        <v>45828</v>
      </c>
      <c r="C384" s="333">
        <v>2025</v>
      </c>
      <c r="D384" s="348">
        <f>YEAR(PA[[#This Row],[Date]])</f>
        <v>2025</v>
      </c>
      <c r="E384" s="334" t="s">
        <v>73</v>
      </c>
      <c r="F384" s="335" t="s">
        <v>73</v>
      </c>
      <c r="G384" s="323">
        <v>45809</v>
      </c>
      <c r="H384" s="365">
        <f>DAY(EOMONTH(PA[[#This Row],[Date]], 0))</f>
        <v>30</v>
      </c>
      <c r="I384" s="361">
        <v>0.22708333333333333</v>
      </c>
      <c r="J384" s="361">
        <v>0.77916666666666667</v>
      </c>
      <c r="K384" s="53">
        <f>IFERROR((PA[[#This Row],[Sunset Time (POA&lt;20 W/m2)]]-PA[[#This Row],[Sunrise Time (POA&gt;20 W/m2)]])*24,"")</f>
        <v>13.25</v>
      </c>
      <c r="L384" s="59" t="s">
        <v>564</v>
      </c>
      <c r="M384" s="59"/>
      <c r="N384" s="59"/>
      <c r="O384" s="59" t="s">
        <v>644</v>
      </c>
      <c r="P384" s="56"/>
      <c r="Q384" s="6"/>
      <c r="R38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BLK5INV4</v>
      </c>
      <c r="S384" s="53">
        <f>_xlfn.XLOOKUP(PA[[#This Row],[Affected Equipment ]],'Basic Data '!$A:$A,'Basic Data '!$B:$B)</f>
        <v>300.375</v>
      </c>
      <c r="T384" s="90">
        <f>IFERROR(_xlfn.XLOOKUP(PA[[#This Row],[Affected Equipment ]],'Basic Data '!A:A,'Basic Data '!C:C),"")</f>
        <v>4.4999999999999997E-3</v>
      </c>
      <c r="U384" s="59" t="s">
        <v>1260</v>
      </c>
      <c r="V384" s="88"/>
      <c r="W384" s="265" t="s">
        <v>1290</v>
      </c>
      <c r="X384" s="359">
        <v>0.23958333333333334</v>
      </c>
      <c r="Y384" s="359">
        <v>0.31597222222222221</v>
      </c>
      <c r="Z384" s="359">
        <v>0.46875</v>
      </c>
      <c r="AA384" s="359">
        <v>0.4861111111111111</v>
      </c>
      <c r="AB384" s="158">
        <f>IF(PA[[#This Row],[Acknowledgement Time ]]="NA","",(PA[[#This Row],[Acknowledgement Time ]]-PA[[#This Row],[Fault Time]])*24)</f>
        <v>1.8333333333333328</v>
      </c>
      <c r="AC384" s="158">
        <f>IF(PA[[#This Row],[Work Start time on Fault]]="NA","",(PA[[#This Row],[Work Start time on Fault]]-PA[[#This Row],[Fault Time]])*24)</f>
        <v>5.5</v>
      </c>
      <c r="AD384" s="112">
        <f>IF(PA[[#This Row],[Status]]="Open","",(PA[[#This Row],[Work Completion time on fault]]-PA[[#This Row],[Fault Time]])*24)</f>
        <v>5.9166666666666661</v>
      </c>
      <c r="AE384" s="111">
        <f>IFERROR((PA[[#This Row],[Work Completion time on fault]]-PA[[#This Row],[Fault Time]])*24,"")</f>
        <v>5.9166666666666661</v>
      </c>
      <c r="AF384" s="228" t="s">
        <v>1290</v>
      </c>
      <c r="AG384" s="6" t="s">
        <v>1275</v>
      </c>
      <c r="AH384" s="53">
        <f>IFERROR(PA[[#This Row],[Breakdown Time]]*PA[[#This Row],[Plant Equivalent Weightage]],"")</f>
        <v>2.6624999999999996E-2</v>
      </c>
      <c r="AI384" s="59">
        <v>1.0209999999999999</v>
      </c>
      <c r="AJ384" s="89">
        <f>IFERROR(IF(PA[[#This Row],[Lost PoA(kWh/m2)]]&gt;0,_xlfn.XLOOKUP(G384,'Modelling New'!$D:$D,'Modelling New'!$O:$O)*PA[[#This Row],[Lost PoA(kWh/m2)]]*S384,0),"")</f>
        <v>233.12270456266566</v>
      </c>
      <c r="AK384" s="365"/>
      <c r="AL384" s="365"/>
    </row>
    <row r="385" spans="1:38" ht="60" hidden="1" x14ac:dyDescent="0.25">
      <c r="A385" s="229">
        <v>2077</v>
      </c>
      <c r="B385" s="233">
        <v>45828</v>
      </c>
      <c r="C385" s="333">
        <v>2025</v>
      </c>
      <c r="D385" s="348">
        <f>YEAR(PA[[#This Row],[Date]])</f>
        <v>2025</v>
      </c>
      <c r="E385" s="334" t="s">
        <v>73</v>
      </c>
      <c r="F385" s="335" t="s">
        <v>73</v>
      </c>
      <c r="G385" s="323">
        <v>45809</v>
      </c>
      <c r="H385" s="365">
        <f>DAY(EOMONTH(PA[[#This Row],[Date]], 0))</f>
        <v>30</v>
      </c>
      <c r="I385" s="361">
        <v>0.22708333333333333</v>
      </c>
      <c r="J385" s="361">
        <v>0.77916666666666667</v>
      </c>
      <c r="K385" s="53">
        <f>IFERROR((PA[[#This Row],[Sunset Time (POA&lt;20 W/m2)]]-PA[[#This Row],[Sunrise Time (POA&gt;20 W/m2)]])*24,"")</f>
        <v>13.25</v>
      </c>
      <c r="L385" s="59" t="s">
        <v>564</v>
      </c>
      <c r="M385" s="59"/>
      <c r="N385" s="59"/>
      <c r="O385" s="59" t="s">
        <v>654</v>
      </c>
      <c r="P385" s="56"/>
      <c r="Q385" s="6"/>
      <c r="R38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BLK5INV26</v>
      </c>
      <c r="S385" s="53">
        <f>_xlfn.XLOOKUP(PA[[#This Row],[Affected Equipment ]],'Basic Data '!$A:$A,'Basic Data '!$B:$B)</f>
        <v>289.25</v>
      </c>
      <c r="T385" s="90">
        <f>IFERROR(_xlfn.XLOOKUP(PA[[#This Row],[Affected Equipment ]],'Basic Data '!A:A,'Basic Data '!C:C),"")</f>
        <v>4.3333333333333331E-3</v>
      </c>
      <c r="U385" s="59" t="s">
        <v>1260</v>
      </c>
      <c r="V385" s="88"/>
      <c r="W385" s="265" t="s">
        <v>1290</v>
      </c>
      <c r="X385" s="359">
        <v>0.23958333333333334</v>
      </c>
      <c r="Y385" s="359">
        <v>0.31597222222222221</v>
      </c>
      <c r="Z385" s="359">
        <v>0.3888888888888889</v>
      </c>
      <c r="AA385" s="359">
        <v>0.40486111111111112</v>
      </c>
      <c r="AB385" s="158">
        <f>IF(PA[[#This Row],[Acknowledgement Time ]]="NA","",(PA[[#This Row],[Acknowledgement Time ]]-PA[[#This Row],[Fault Time]])*24)</f>
        <v>1.8333333333333328</v>
      </c>
      <c r="AC385" s="158">
        <f>IF(PA[[#This Row],[Work Start time on Fault]]="NA","",(PA[[#This Row],[Work Start time on Fault]]-PA[[#This Row],[Fault Time]])*24)</f>
        <v>3.583333333333333</v>
      </c>
      <c r="AD385" s="112">
        <f>IF(PA[[#This Row],[Status]]="Open","",(PA[[#This Row],[Work Completion time on fault]]-PA[[#This Row],[Fault Time]])*24)</f>
        <v>3.9666666666666668</v>
      </c>
      <c r="AE385" s="111">
        <f>IFERROR((PA[[#This Row],[Work Completion time on fault]]-PA[[#This Row],[Fault Time]])*24,"")</f>
        <v>3.9666666666666668</v>
      </c>
      <c r="AF385" s="228" t="s">
        <v>1290</v>
      </c>
      <c r="AG385" s="6" t="s">
        <v>1275</v>
      </c>
      <c r="AH385" s="53">
        <f>IFERROR(PA[[#This Row],[Breakdown Time]]*PA[[#This Row],[Plant Equivalent Weightage]],"")</f>
        <v>1.7188888888888889E-2</v>
      </c>
      <c r="AI385" s="59">
        <v>0.36099999999999999</v>
      </c>
      <c r="AJ385" s="89">
        <f>IFERROR(IF(PA[[#This Row],[Lost PoA(kWh/m2)]]&gt;0,_xlfn.XLOOKUP(G385,'Modelling New'!$D:$D,'Modelling New'!$O:$O)*PA[[#This Row],[Lost PoA(kWh/m2)]]*S385,0),"")</f>
        <v>79.3735156174114</v>
      </c>
      <c r="AK385" s="365"/>
      <c r="AL385" s="365"/>
    </row>
    <row r="386" spans="1:38" ht="60" hidden="1" x14ac:dyDescent="0.25">
      <c r="A386" s="229">
        <v>2078</v>
      </c>
      <c r="B386" s="233">
        <v>45828</v>
      </c>
      <c r="C386" s="333">
        <v>2025</v>
      </c>
      <c r="D386" s="348">
        <f>YEAR(PA[[#This Row],[Date]])</f>
        <v>2025</v>
      </c>
      <c r="E386" s="334" t="s">
        <v>73</v>
      </c>
      <c r="F386" s="335" t="s">
        <v>73</v>
      </c>
      <c r="G386" s="323">
        <v>45809</v>
      </c>
      <c r="H386" s="365">
        <f>DAY(EOMONTH(PA[[#This Row],[Date]], 0))</f>
        <v>30</v>
      </c>
      <c r="I386" s="361">
        <v>0.22708333333333333</v>
      </c>
      <c r="J386" s="361">
        <v>0.77916666666666667</v>
      </c>
      <c r="K386" s="53">
        <f>IFERROR((PA[[#This Row],[Sunset Time (POA&lt;20 W/m2)]]-PA[[#This Row],[Sunrise Time (POA&gt;20 W/m2)]])*24,"")</f>
        <v>13.25</v>
      </c>
      <c r="L386" s="59" t="s">
        <v>615</v>
      </c>
      <c r="M386" s="59"/>
      <c r="N386" s="59"/>
      <c r="O386" s="59" t="s">
        <v>598</v>
      </c>
      <c r="P386" s="56"/>
      <c r="Q386" s="6"/>
      <c r="R38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BLK6INV6</v>
      </c>
      <c r="S386" s="53">
        <f>_xlfn.XLOOKUP(PA[[#This Row],[Affected Equipment ]],'Basic Data '!$A:$A,'Basic Data '!$B:$B)</f>
        <v>297</v>
      </c>
      <c r="T386" s="90">
        <f>IFERROR(_xlfn.XLOOKUP(PA[[#This Row],[Affected Equipment ]],'Basic Data '!A:A,'Basic Data '!C:C),"")</f>
        <v>4.4494382022471912E-3</v>
      </c>
      <c r="U386" s="59" t="s">
        <v>1260</v>
      </c>
      <c r="V386" s="88"/>
      <c r="W386" s="265" t="s">
        <v>1290</v>
      </c>
      <c r="X386" s="359">
        <v>0.23958333333333334</v>
      </c>
      <c r="Y386" s="359">
        <v>0.31597222222222221</v>
      </c>
      <c r="Z386" s="359">
        <v>0.3576388888888889</v>
      </c>
      <c r="AA386" s="359">
        <v>0.375</v>
      </c>
      <c r="AB386" s="158">
        <f>IF(PA[[#This Row],[Acknowledgement Time ]]="NA","",(PA[[#This Row],[Acknowledgement Time ]]-PA[[#This Row],[Fault Time]])*24)</f>
        <v>1.8333333333333328</v>
      </c>
      <c r="AC386" s="158">
        <f>IF(PA[[#This Row],[Work Start time on Fault]]="NA","",(PA[[#This Row],[Work Start time on Fault]]-PA[[#This Row],[Fault Time]])*24)</f>
        <v>2.833333333333333</v>
      </c>
      <c r="AD386" s="112">
        <f>IF(PA[[#This Row],[Status]]="Open","",(PA[[#This Row],[Work Completion time on fault]]-PA[[#This Row],[Fault Time]])*24)</f>
        <v>3.25</v>
      </c>
      <c r="AE386" s="111">
        <f>IFERROR((PA[[#This Row],[Work Completion time on fault]]-PA[[#This Row],[Fault Time]])*24,"")</f>
        <v>3.25</v>
      </c>
      <c r="AF386" s="228" t="s">
        <v>1290</v>
      </c>
      <c r="AG386" s="6" t="s">
        <v>1275</v>
      </c>
      <c r="AH386" s="53">
        <f>IFERROR(PA[[#This Row],[Breakdown Time]]*PA[[#This Row],[Plant Equivalent Weightage]],"")</f>
        <v>1.4460674157303371E-2</v>
      </c>
      <c r="AI386" s="59">
        <v>0.189</v>
      </c>
      <c r="AJ386" s="89">
        <f>IFERROR(IF(PA[[#This Row],[Lost PoA(kWh/m2)]]&gt;0,_xlfn.XLOOKUP(G386,'Modelling New'!$D:$D,'Modelling New'!$O:$O)*PA[[#This Row],[Lost PoA(kWh/m2)]]*S386,0),"")</f>
        <v>42.669082110359483</v>
      </c>
      <c r="AK386" s="365"/>
      <c r="AL386" s="365"/>
    </row>
    <row r="387" spans="1:38" ht="60" hidden="1" x14ac:dyDescent="0.25">
      <c r="A387" s="229">
        <v>2079</v>
      </c>
      <c r="B387" s="233">
        <v>45828</v>
      </c>
      <c r="C387" s="333">
        <v>2025</v>
      </c>
      <c r="D387" s="348">
        <f>YEAR(PA[[#This Row],[Date]])</f>
        <v>2025</v>
      </c>
      <c r="E387" s="334" t="s">
        <v>73</v>
      </c>
      <c r="F387" s="335" t="s">
        <v>73</v>
      </c>
      <c r="G387" s="323">
        <v>45809</v>
      </c>
      <c r="H387" s="365">
        <f>DAY(EOMONTH(PA[[#This Row],[Date]], 0))</f>
        <v>30</v>
      </c>
      <c r="I387" s="361">
        <v>0.22708333333333333</v>
      </c>
      <c r="J387" s="361">
        <v>0.77916666666666667</v>
      </c>
      <c r="K387" s="53">
        <f>IFERROR((PA[[#This Row],[Sunset Time (POA&lt;20 W/m2)]]-PA[[#This Row],[Sunrise Time (POA&gt;20 W/m2)]])*24,"")</f>
        <v>13.25</v>
      </c>
      <c r="L387" s="59" t="s">
        <v>615</v>
      </c>
      <c r="M387" s="59"/>
      <c r="N387" s="59"/>
      <c r="O387" s="59" t="s">
        <v>634</v>
      </c>
      <c r="P387" s="56"/>
      <c r="Q387" s="6"/>
      <c r="R38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BLK6INV9</v>
      </c>
      <c r="S387" s="53">
        <f>_xlfn.XLOOKUP(PA[[#This Row],[Affected Equipment ]],'Basic Data '!$A:$A,'Basic Data '!$B:$B)</f>
        <v>275</v>
      </c>
      <c r="T387" s="90">
        <f>IFERROR(_xlfn.XLOOKUP(PA[[#This Row],[Affected Equipment ]],'Basic Data '!A:A,'Basic Data '!C:C),"")</f>
        <v>4.1198501872659176E-3</v>
      </c>
      <c r="U387" s="59" t="s">
        <v>1260</v>
      </c>
      <c r="V387" s="88"/>
      <c r="W387" s="265" t="s">
        <v>1290</v>
      </c>
      <c r="X387" s="359">
        <v>0.23958333333333334</v>
      </c>
      <c r="Y387" s="359">
        <v>0.31597222222222221</v>
      </c>
      <c r="Z387" s="359">
        <v>0.37847222222222227</v>
      </c>
      <c r="AA387" s="359">
        <v>0.3923611111111111</v>
      </c>
      <c r="AB387" s="158">
        <f>IF(PA[[#This Row],[Acknowledgement Time ]]="NA","",(PA[[#This Row],[Acknowledgement Time ]]-PA[[#This Row],[Fault Time]])*24)</f>
        <v>1.8333333333333328</v>
      </c>
      <c r="AC387" s="158">
        <f>IF(PA[[#This Row],[Work Start time on Fault]]="NA","",(PA[[#This Row],[Work Start time on Fault]]-PA[[#This Row],[Fault Time]])*24)</f>
        <v>3.3333333333333339</v>
      </c>
      <c r="AD387" s="112">
        <f>IF(PA[[#This Row],[Status]]="Open","",(PA[[#This Row],[Work Completion time on fault]]-PA[[#This Row],[Fault Time]])*24)</f>
        <v>3.6666666666666661</v>
      </c>
      <c r="AE387" s="111">
        <f>IFERROR((PA[[#This Row],[Work Completion time on fault]]-PA[[#This Row],[Fault Time]])*24,"")</f>
        <v>3.6666666666666661</v>
      </c>
      <c r="AF387" s="228" t="s">
        <v>1290</v>
      </c>
      <c r="AG387" s="6" t="s">
        <v>1275</v>
      </c>
      <c r="AH387" s="53">
        <f>IFERROR(PA[[#This Row],[Breakdown Time]]*PA[[#This Row],[Plant Equivalent Weightage]],"")</f>
        <v>1.5106117353308362E-2</v>
      </c>
      <c r="AI387" s="59">
        <v>0.27</v>
      </c>
      <c r="AJ387" s="89">
        <f>IFERROR(IF(PA[[#This Row],[Lost PoA(kWh/m2)]]&gt;0,_xlfn.XLOOKUP(G387,'Modelling New'!$D:$D,'Modelling New'!$O:$O)*PA[[#This Row],[Lost PoA(kWh/m2)]]*S387,0),"")</f>
        <v>56.440584802062808</v>
      </c>
      <c r="AK387" s="365"/>
      <c r="AL387" s="365"/>
    </row>
    <row r="388" spans="1:38" ht="60" hidden="1" x14ac:dyDescent="0.25">
      <c r="A388" s="229">
        <v>2080</v>
      </c>
      <c r="B388" s="233">
        <v>45828</v>
      </c>
      <c r="C388" s="333">
        <v>2025</v>
      </c>
      <c r="D388" s="348">
        <f>YEAR(PA[[#This Row],[Date]])</f>
        <v>2025</v>
      </c>
      <c r="E388" s="334" t="s">
        <v>73</v>
      </c>
      <c r="F388" s="335" t="s">
        <v>73</v>
      </c>
      <c r="G388" s="323">
        <v>45809</v>
      </c>
      <c r="H388" s="365">
        <f>DAY(EOMONTH(PA[[#This Row],[Date]], 0))</f>
        <v>30</v>
      </c>
      <c r="I388" s="361">
        <v>0.22708333333333333</v>
      </c>
      <c r="J388" s="361">
        <v>0.77916666666666667</v>
      </c>
      <c r="K388" s="53">
        <f>IFERROR((PA[[#This Row],[Sunset Time (POA&lt;20 W/m2)]]-PA[[#This Row],[Sunrise Time (POA&gt;20 W/m2)]])*24,"")</f>
        <v>13.25</v>
      </c>
      <c r="L388" s="59" t="s">
        <v>615</v>
      </c>
      <c r="M388" s="59"/>
      <c r="N388" s="59"/>
      <c r="O388" s="59" t="s">
        <v>594</v>
      </c>
      <c r="P388" s="56"/>
      <c r="Q388" s="6"/>
      <c r="R38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388" s="53">
        <f>_xlfn.XLOOKUP(PA[[#This Row],[Affected Equipment ]],'Basic Data '!$A:$A,'Basic Data '!$B:$B)</f>
        <v>264</v>
      </c>
      <c r="T388" s="90">
        <f>IFERROR(_xlfn.XLOOKUP(PA[[#This Row],[Affected Equipment ]],'Basic Data '!A:A,'Basic Data '!C:C),"")</f>
        <v>3.9550561797752808E-3</v>
      </c>
      <c r="U388" s="59" t="s">
        <v>1260</v>
      </c>
      <c r="V388" s="88"/>
      <c r="W388" s="265" t="s">
        <v>1290</v>
      </c>
      <c r="X388" s="359">
        <v>0.23958333333333334</v>
      </c>
      <c r="Y388" s="359">
        <v>0.31597222222222221</v>
      </c>
      <c r="Z388" s="359">
        <v>0.39583333333333331</v>
      </c>
      <c r="AA388" s="359">
        <v>0.41319444444444442</v>
      </c>
      <c r="AB388" s="158">
        <f>IF(PA[[#This Row],[Acknowledgement Time ]]="NA","",(PA[[#This Row],[Acknowledgement Time ]]-PA[[#This Row],[Fault Time]])*24)</f>
        <v>1.8333333333333328</v>
      </c>
      <c r="AC388" s="158">
        <f>IF(PA[[#This Row],[Work Start time on Fault]]="NA","",(PA[[#This Row],[Work Start time on Fault]]-PA[[#This Row],[Fault Time]])*24)</f>
        <v>3.7499999999999991</v>
      </c>
      <c r="AD388" s="112">
        <f>IF(PA[[#This Row],[Status]]="Open","",(PA[[#This Row],[Work Completion time on fault]]-PA[[#This Row],[Fault Time]])*24)</f>
        <v>4.1666666666666661</v>
      </c>
      <c r="AE388" s="111">
        <f>IFERROR((PA[[#This Row],[Work Completion time on fault]]-PA[[#This Row],[Fault Time]])*24,"")</f>
        <v>4.1666666666666661</v>
      </c>
      <c r="AF388" s="228" t="s">
        <v>1290</v>
      </c>
      <c r="AG388" s="6" t="s">
        <v>1275</v>
      </c>
      <c r="AH388" s="53">
        <f>IFERROR(PA[[#This Row],[Breakdown Time]]*PA[[#This Row],[Plant Equivalent Weightage]],"")</f>
        <v>1.6479400749063667E-2</v>
      </c>
      <c r="AI388" s="59">
        <v>0.41399999999999998</v>
      </c>
      <c r="AJ388" s="89">
        <f>IFERROR(IF(PA[[#This Row],[Lost PoA(kWh/m2)]]&gt;0,_xlfn.XLOOKUP(G388,'Modelling New'!$D:$D,'Modelling New'!$O:$O)*PA[[#This Row],[Lost PoA(kWh/m2)]]*S388,0),"")</f>
        <v>83.080540828636444</v>
      </c>
      <c r="AK388" s="365"/>
      <c r="AL388" s="365"/>
    </row>
    <row r="389" spans="1:38" ht="60" hidden="1" x14ac:dyDescent="0.25">
      <c r="A389" s="229">
        <v>2081</v>
      </c>
      <c r="B389" s="233">
        <v>45828</v>
      </c>
      <c r="C389" s="333">
        <v>2025</v>
      </c>
      <c r="D389" s="348">
        <f>YEAR(PA[[#This Row],[Date]])</f>
        <v>2025</v>
      </c>
      <c r="E389" s="334" t="s">
        <v>73</v>
      </c>
      <c r="F389" s="335" t="s">
        <v>73</v>
      </c>
      <c r="G389" s="323">
        <v>45809</v>
      </c>
      <c r="H389" s="365">
        <f>DAY(EOMONTH(PA[[#This Row],[Date]], 0))</f>
        <v>30</v>
      </c>
      <c r="I389" s="361">
        <v>0.22708333333333333</v>
      </c>
      <c r="J389" s="361">
        <v>0.77916666666666667</v>
      </c>
      <c r="K389" s="53">
        <f>IFERROR((PA[[#This Row],[Sunset Time (POA&lt;20 W/m2)]]-PA[[#This Row],[Sunrise Time (POA&gt;20 W/m2)]])*24,"")</f>
        <v>13.25</v>
      </c>
      <c r="L389" s="59" t="s">
        <v>615</v>
      </c>
      <c r="M389" s="59"/>
      <c r="N389" s="59"/>
      <c r="O389" s="59" t="s">
        <v>595</v>
      </c>
      <c r="P389" s="56"/>
      <c r="Q389" s="6"/>
      <c r="R38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BLK6INV11</v>
      </c>
      <c r="S389" s="53">
        <f>_xlfn.XLOOKUP(PA[[#This Row],[Affected Equipment ]],'Basic Data '!$A:$A,'Basic Data '!$B:$B)</f>
        <v>297</v>
      </c>
      <c r="T389" s="90">
        <f>IFERROR(_xlfn.XLOOKUP(PA[[#This Row],[Affected Equipment ]],'Basic Data '!A:A,'Basic Data '!C:C),"")</f>
        <v>4.4494382022471912E-3</v>
      </c>
      <c r="U389" s="59" t="s">
        <v>1260</v>
      </c>
      <c r="V389" s="88"/>
      <c r="W389" s="265" t="s">
        <v>1290</v>
      </c>
      <c r="X389" s="359">
        <v>0.23958333333333334</v>
      </c>
      <c r="Y389" s="359">
        <v>0.31597222222222221</v>
      </c>
      <c r="Z389" s="359">
        <v>0.41666666666666669</v>
      </c>
      <c r="AA389" s="359">
        <v>0.4375</v>
      </c>
      <c r="AB389" s="158">
        <f>IF(PA[[#This Row],[Acknowledgement Time ]]="NA","",(PA[[#This Row],[Acknowledgement Time ]]-PA[[#This Row],[Fault Time]])*24)</f>
        <v>1.8333333333333328</v>
      </c>
      <c r="AC389" s="158">
        <f>IF(PA[[#This Row],[Work Start time on Fault]]="NA","",(PA[[#This Row],[Work Start time on Fault]]-PA[[#This Row],[Fault Time]])*24)</f>
        <v>4.25</v>
      </c>
      <c r="AD389" s="112">
        <f>IF(PA[[#This Row],[Status]]="Open","",(PA[[#This Row],[Work Completion time on fault]]-PA[[#This Row],[Fault Time]])*24)</f>
        <v>4.75</v>
      </c>
      <c r="AE389" s="111">
        <f>IFERROR((PA[[#This Row],[Work Completion time on fault]]-PA[[#This Row],[Fault Time]])*24,"")</f>
        <v>4.75</v>
      </c>
      <c r="AF389" s="228" t="s">
        <v>1290</v>
      </c>
      <c r="AG389" s="6" t="s">
        <v>1275</v>
      </c>
      <c r="AH389" s="53">
        <f>IFERROR(PA[[#This Row],[Breakdown Time]]*PA[[#This Row],[Plant Equivalent Weightage]],"")</f>
        <v>2.1134831460674158E-2</v>
      </c>
      <c r="AI389" s="59">
        <v>0.52700000000000002</v>
      </c>
      <c r="AJ389" s="89">
        <f>IFERROR(IF(PA[[#This Row],[Lost PoA(kWh/m2)]]&gt;0,_xlfn.XLOOKUP(G389,'Modelling New'!$D:$D,'Modelling New'!$O:$O)*PA[[#This Row],[Lost PoA(kWh/m2)]]*S389,0),"")</f>
        <v>118.97675276274839</v>
      </c>
      <c r="AK389" s="365"/>
      <c r="AL389" s="365"/>
    </row>
    <row r="390" spans="1:38" ht="60" hidden="1" x14ac:dyDescent="0.25">
      <c r="A390" s="229">
        <v>2082</v>
      </c>
      <c r="B390" s="233">
        <v>45828</v>
      </c>
      <c r="C390" s="333">
        <v>2025</v>
      </c>
      <c r="D390" s="348">
        <f>YEAR(PA[[#This Row],[Date]])</f>
        <v>2025</v>
      </c>
      <c r="E390" s="334" t="s">
        <v>73</v>
      </c>
      <c r="F390" s="335" t="s">
        <v>73</v>
      </c>
      <c r="G390" s="323">
        <v>45809</v>
      </c>
      <c r="H390" s="365">
        <f>DAY(EOMONTH(PA[[#This Row],[Date]], 0))</f>
        <v>30</v>
      </c>
      <c r="I390" s="361">
        <v>0.22708333333333333</v>
      </c>
      <c r="J390" s="361">
        <v>0.77916666666666667</v>
      </c>
      <c r="K390" s="53">
        <f>IFERROR((PA[[#This Row],[Sunset Time (POA&lt;20 W/m2)]]-PA[[#This Row],[Sunrise Time (POA&gt;20 W/m2)]])*24,"")</f>
        <v>13.25</v>
      </c>
      <c r="L390" s="59" t="s">
        <v>615</v>
      </c>
      <c r="M390" s="59"/>
      <c r="N390" s="59"/>
      <c r="O390" s="59" t="s">
        <v>618</v>
      </c>
      <c r="P390" s="56"/>
      <c r="Q390" s="6"/>
      <c r="R39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BLK6INV15</v>
      </c>
      <c r="S390" s="53">
        <f>_xlfn.XLOOKUP(PA[[#This Row],[Affected Equipment ]],'Basic Data '!$A:$A,'Basic Data '!$B:$B)</f>
        <v>275</v>
      </c>
      <c r="T390" s="90">
        <f>IFERROR(_xlfn.XLOOKUP(PA[[#This Row],[Affected Equipment ]],'Basic Data '!A:A,'Basic Data '!C:C),"")</f>
        <v>4.1198501872659176E-3</v>
      </c>
      <c r="U390" s="59" t="s">
        <v>1260</v>
      </c>
      <c r="V390" s="88"/>
      <c r="W390" s="265" t="s">
        <v>1290</v>
      </c>
      <c r="X390" s="359">
        <v>0.23958333333333334</v>
      </c>
      <c r="Y390" s="359">
        <v>0.31597222222222221</v>
      </c>
      <c r="Z390" s="359">
        <v>0.44444444444444442</v>
      </c>
      <c r="AA390" s="359">
        <v>0.4597222222222222</v>
      </c>
      <c r="AB390" s="158">
        <f>IF(PA[[#This Row],[Acknowledgement Time ]]="NA","",(PA[[#This Row],[Acknowledgement Time ]]-PA[[#This Row],[Fault Time]])*24)</f>
        <v>1.8333333333333328</v>
      </c>
      <c r="AC390" s="158">
        <f>IF(PA[[#This Row],[Work Start time on Fault]]="NA","",(PA[[#This Row],[Work Start time on Fault]]-PA[[#This Row],[Fault Time]])*24)</f>
        <v>4.9166666666666661</v>
      </c>
      <c r="AD390" s="112">
        <f>IF(PA[[#This Row],[Status]]="Open","",(PA[[#This Row],[Work Completion time on fault]]-PA[[#This Row],[Fault Time]])*24)</f>
        <v>5.2833333333333323</v>
      </c>
      <c r="AE390" s="111">
        <f>IFERROR((PA[[#This Row],[Work Completion time on fault]]-PA[[#This Row],[Fault Time]])*24,"")</f>
        <v>5.2833333333333323</v>
      </c>
      <c r="AF390" s="228" t="s">
        <v>1290</v>
      </c>
      <c r="AG390" s="6" t="s">
        <v>1275</v>
      </c>
      <c r="AH390" s="53">
        <f>IFERROR(PA[[#This Row],[Breakdown Time]]*PA[[#This Row],[Plant Equivalent Weightage]],"")</f>
        <v>2.1766541822721593E-2</v>
      </c>
      <c r="AI390" s="59">
        <v>0.76600000000000001</v>
      </c>
      <c r="AJ390" s="89">
        <f>IFERROR(IF(PA[[#This Row],[Lost PoA(kWh/m2)]]&gt;0,_xlfn.XLOOKUP(G390,'Modelling New'!$D:$D,'Modelling New'!$O:$O)*PA[[#This Row],[Lost PoA(kWh/m2)]]*S390,0),"")</f>
        <v>160.1240294754819</v>
      </c>
      <c r="AK390" s="365"/>
      <c r="AL390" s="365"/>
    </row>
    <row r="391" spans="1:38" ht="60" hidden="1" x14ac:dyDescent="0.25">
      <c r="A391" s="229">
        <v>2083</v>
      </c>
      <c r="B391" s="233">
        <v>45828</v>
      </c>
      <c r="C391" s="333">
        <v>2025</v>
      </c>
      <c r="D391" s="348">
        <f>YEAR(PA[[#This Row],[Date]])</f>
        <v>2025</v>
      </c>
      <c r="E391" s="334" t="s">
        <v>73</v>
      </c>
      <c r="F391" s="335" t="s">
        <v>73</v>
      </c>
      <c r="G391" s="323">
        <v>45809</v>
      </c>
      <c r="H391" s="365">
        <f>DAY(EOMONTH(PA[[#This Row],[Date]], 0))</f>
        <v>30</v>
      </c>
      <c r="I391" s="361">
        <v>0.22708333333333333</v>
      </c>
      <c r="J391" s="361">
        <v>0.77916666666666667</v>
      </c>
      <c r="K391" s="53">
        <f>IFERROR((PA[[#This Row],[Sunset Time (POA&lt;20 W/m2)]]-PA[[#This Row],[Sunrise Time (POA&gt;20 W/m2)]])*24,"")</f>
        <v>13.25</v>
      </c>
      <c r="L391" s="59" t="s">
        <v>615</v>
      </c>
      <c r="M391" s="59"/>
      <c r="N391" s="59"/>
      <c r="O391" s="59" t="s">
        <v>663</v>
      </c>
      <c r="P391" s="56"/>
      <c r="Q391" s="6"/>
      <c r="R39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BLK6INV16</v>
      </c>
      <c r="S391" s="53">
        <f>_xlfn.XLOOKUP(PA[[#This Row],[Affected Equipment ]],'Basic Data '!$A:$A,'Basic Data '!$B:$B)</f>
        <v>297</v>
      </c>
      <c r="T391" s="90">
        <f>IFERROR(_xlfn.XLOOKUP(PA[[#This Row],[Affected Equipment ]],'Basic Data '!A:A,'Basic Data '!C:C),"")</f>
        <v>4.4494382022471912E-3</v>
      </c>
      <c r="U391" s="59" t="s">
        <v>1260</v>
      </c>
      <c r="V391" s="88"/>
      <c r="W391" s="265" t="s">
        <v>1290</v>
      </c>
      <c r="X391" s="359">
        <v>0.23958333333333334</v>
      </c>
      <c r="Y391" s="359">
        <v>0.31597222222222221</v>
      </c>
      <c r="Z391" s="359">
        <v>0.4375</v>
      </c>
      <c r="AA391" s="359">
        <v>0.4513888888888889</v>
      </c>
      <c r="AB391" s="158">
        <f>IF(PA[[#This Row],[Acknowledgement Time ]]="NA","",(PA[[#This Row],[Acknowledgement Time ]]-PA[[#This Row],[Fault Time]])*24)</f>
        <v>1.8333333333333328</v>
      </c>
      <c r="AC391" s="158">
        <f>IF(PA[[#This Row],[Work Start time on Fault]]="NA","",(PA[[#This Row],[Work Start time on Fault]]-PA[[#This Row],[Fault Time]])*24)</f>
        <v>4.75</v>
      </c>
      <c r="AD391" s="112">
        <f>IF(PA[[#This Row],[Status]]="Open","",(PA[[#This Row],[Work Completion time on fault]]-PA[[#This Row],[Fault Time]])*24)</f>
        <v>5.083333333333333</v>
      </c>
      <c r="AE391" s="111">
        <f>IFERROR((PA[[#This Row],[Work Completion time on fault]]-PA[[#This Row],[Fault Time]])*24,"")</f>
        <v>5.083333333333333</v>
      </c>
      <c r="AF391" s="228" t="s">
        <v>1290</v>
      </c>
      <c r="AG391" s="6" t="s">
        <v>1275</v>
      </c>
      <c r="AH391" s="53">
        <f>IFERROR(PA[[#This Row],[Breakdown Time]]*PA[[#This Row],[Plant Equivalent Weightage]],"")</f>
        <v>2.2617977528089889E-2</v>
      </c>
      <c r="AI391" s="59">
        <v>0.66300000000000003</v>
      </c>
      <c r="AJ391" s="89">
        <f>IFERROR(IF(PA[[#This Row],[Lost PoA(kWh/m2)]]&gt;0,_xlfn.XLOOKUP(G391,'Modelling New'!$D:$D,'Modelling New'!$O:$O)*PA[[#This Row],[Lost PoA(kWh/m2)]]*S391,0),"")</f>
        <v>149.68043089507057</v>
      </c>
      <c r="AK391" s="365"/>
      <c r="AL391" s="365"/>
    </row>
    <row r="392" spans="1:38" ht="60" hidden="1" x14ac:dyDescent="0.25">
      <c r="A392" s="229">
        <v>2084</v>
      </c>
      <c r="B392" s="233">
        <v>45828</v>
      </c>
      <c r="C392" s="333">
        <v>2025</v>
      </c>
      <c r="D392" s="348">
        <f>YEAR(PA[[#This Row],[Date]])</f>
        <v>2025</v>
      </c>
      <c r="E392" s="334" t="s">
        <v>73</v>
      </c>
      <c r="F392" s="335" t="s">
        <v>73</v>
      </c>
      <c r="G392" s="323">
        <v>45809</v>
      </c>
      <c r="H392" s="365">
        <f>DAY(EOMONTH(PA[[#This Row],[Date]], 0))</f>
        <v>30</v>
      </c>
      <c r="I392" s="361">
        <v>0.22708333333333333</v>
      </c>
      <c r="J392" s="361">
        <v>0.77916666666666667</v>
      </c>
      <c r="K392" s="53">
        <f>IFERROR((PA[[#This Row],[Sunset Time (POA&lt;20 W/m2)]]-PA[[#This Row],[Sunrise Time (POA&gt;20 W/m2)]])*24,"")</f>
        <v>13.25</v>
      </c>
      <c r="L392" s="59" t="s">
        <v>615</v>
      </c>
      <c r="M392" s="59"/>
      <c r="N392" s="59"/>
      <c r="O392" s="59" t="s">
        <v>575</v>
      </c>
      <c r="P392" s="56"/>
      <c r="Q392" s="6"/>
      <c r="R39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BLK6INV23</v>
      </c>
      <c r="S392" s="53">
        <f>_xlfn.XLOOKUP(PA[[#This Row],[Affected Equipment ]],'Basic Data '!$A:$A,'Basic Data '!$B:$B)</f>
        <v>264</v>
      </c>
      <c r="T392" s="90">
        <f>IFERROR(_xlfn.XLOOKUP(PA[[#This Row],[Affected Equipment ]],'Basic Data '!A:A,'Basic Data '!C:C),"")</f>
        <v>3.9550561797752808E-3</v>
      </c>
      <c r="U392" s="59" t="s">
        <v>1260</v>
      </c>
      <c r="V392" s="88"/>
      <c r="W392" s="265" t="s">
        <v>1290</v>
      </c>
      <c r="X392" s="359">
        <v>0.23958333333333334</v>
      </c>
      <c r="Y392" s="359">
        <v>0.31597222222222221</v>
      </c>
      <c r="Z392" s="359">
        <v>0.39583333333333331</v>
      </c>
      <c r="AA392" s="359">
        <v>0.40902777777777777</v>
      </c>
      <c r="AB392" s="158">
        <f>IF(PA[[#This Row],[Acknowledgement Time ]]="NA","",(PA[[#This Row],[Acknowledgement Time ]]-PA[[#This Row],[Fault Time]])*24)</f>
        <v>1.8333333333333328</v>
      </c>
      <c r="AC392" s="158">
        <f>IF(PA[[#This Row],[Work Start time on Fault]]="NA","",(PA[[#This Row],[Work Start time on Fault]]-PA[[#This Row],[Fault Time]])*24)</f>
        <v>3.7499999999999991</v>
      </c>
      <c r="AD392" s="112">
        <f>IF(PA[[#This Row],[Status]]="Open","",(PA[[#This Row],[Work Completion time on fault]]-PA[[#This Row],[Fault Time]])*24)</f>
        <v>4.0666666666666664</v>
      </c>
      <c r="AE392" s="111">
        <f>IFERROR((PA[[#This Row],[Work Completion time on fault]]-PA[[#This Row],[Fault Time]])*24,"")</f>
        <v>4.0666666666666664</v>
      </c>
      <c r="AF392" s="228" t="s">
        <v>1290</v>
      </c>
      <c r="AG392" s="6" t="s">
        <v>1275</v>
      </c>
      <c r="AH392" s="53">
        <f>IFERROR(PA[[#This Row],[Breakdown Time]]*PA[[#This Row],[Plant Equivalent Weightage]],"")</f>
        <v>1.6083895131086139E-2</v>
      </c>
      <c r="AI392" s="59">
        <v>0.38800000000000001</v>
      </c>
      <c r="AJ392" s="89">
        <f>IFERROR(IF(PA[[#This Row],[Lost PoA(kWh/m2)]]&gt;0,_xlfn.XLOOKUP(G392,'Modelling New'!$D:$D,'Modelling New'!$O:$O)*PA[[#This Row],[Lost PoA(kWh/m2)]]*S392,0),"")</f>
        <v>77.862922322490206</v>
      </c>
      <c r="AK392" s="365"/>
      <c r="AL392" s="365"/>
    </row>
    <row r="393" spans="1:38" ht="60" hidden="1" x14ac:dyDescent="0.25">
      <c r="A393" s="229">
        <v>2085</v>
      </c>
      <c r="B393" s="233">
        <v>45828</v>
      </c>
      <c r="C393" s="333">
        <v>2025</v>
      </c>
      <c r="D393" s="348">
        <f>YEAR(PA[[#This Row],[Date]])</f>
        <v>2025</v>
      </c>
      <c r="E393" s="334" t="s">
        <v>73</v>
      </c>
      <c r="F393" s="335" t="s">
        <v>73</v>
      </c>
      <c r="G393" s="323">
        <v>45809</v>
      </c>
      <c r="H393" s="365">
        <f>DAY(EOMONTH(PA[[#This Row],[Date]], 0))</f>
        <v>30</v>
      </c>
      <c r="I393" s="361">
        <v>0.22708333333333333</v>
      </c>
      <c r="J393" s="361">
        <v>0.77916666666666667</v>
      </c>
      <c r="K393" s="53">
        <f>IFERROR((PA[[#This Row],[Sunset Time (POA&lt;20 W/m2)]]-PA[[#This Row],[Sunrise Time (POA&gt;20 W/m2)]])*24,"")</f>
        <v>13.25</v>
      </c>
      <c r="L393" s="59" t="s">
        <v>615</v>
      </c>
      <c r="M393" s="59"/>
      <c r="N393" s="59"/>
      <c r="O393" s="59" t="s">
        <v>610</v>
      </c>
      <c r="P393" s="56"/>
      <c r="Q393" s="6"/>
      <c r="R39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BLK6INV24</v>
      </c>
      <c r="S393" s="53">
        <f>_xlfn.XLOOKUP(PA[[#This Row],[Affected Equipment ]],'Basic Data '!$A:$A,'Basic Data '!$B:$B)</f>
        <v>286</v>
      </c>
      <c r="T393" s="90">
        <f>IFERROR(_xlfn.XLOOKUP(PA[[#This Row],[Affected Equipment ]],'Basic Data '!A:A,'Basic Data '!C:C),"")</f>
        <v>4.2846441947565544E-3</v>
      </c>
      <c r="U393" s="59" t="s">
        <v>1260</v>
      </c>
      <c r="V393" s="88"/>
      <c r="W393" s="265" t="s">
        <v>1290</v>
      </c>
      <c r="X393" s="359">
        <v>0.23958333333333334</v>
      </c>
      <c r="Y393" s="359">
        <v>0.31597222222222221</v>
      </c>
      <c r="Z393" s="359">
        <v>0.40625</v>
      </c>
      <c r="AA393" s="359">
        <v>0.42777777777777776</v>
      </c>
      <c r="AB393" s="158">
        <f>IF(PA[[#This Row],[Acknowledgement Time ]]="NA","",(PA[[#This Row],[Acknowledgement Time ]]-PA[[#This Row],[Fault Time]])*24)</f>
        <v>1.8333333333333328</v>
      </c>
      <c r="AC393" s="158">
        <f>IF(PA[[#This Row],[Work Start time on Fault]]="NA","",(PA[[#This Row],[Work Start time on Fault]]-PA[[#This Row],[Fault Time]])*24)</f>
        <v>4</v>
      </c>
      <c r="AD393" s="112">
        <f>IF(PA[[#This Row],[Status]]="Open","",(PA[[#This Row],[Work Completion time on fault]]-PA[[#This Row],[Fault Time]])*24)</f>
        <v>4.5166666666666657</v>
      </c>
      <c r="AE393" s="111">
        <f>IFERROR((PA[[#This Row],[Work Completion time on fault]]-PA[[#This Row],[Fault Time]])*24,"")</f>
        <v>4.5166666666666657</v>
      </c>
      <c r="AF393" s="228" t="s">
        <v>1290</v>
      </c>
      <c r="AG393" s="6" t="s">
        <v>1275</v>
      </c>
      <c r="AH393" s="53">
        <f>IFERROR(PA[[#This Row],[Breakdown Time]]*PA[[#This Row],[Plant Equivalent Weightage]],"")</f>
        <v>1.9352309612983766E-2</v>
      </c>
      <c r="AI393" s="59">
        <v>0.47499999999999998</v>
      </c>
      <c r="AJ393" s="89">
        <f>IFERROR(IF(PA[[#This Row],[Lost PoA(kWh/m2)]]&gt;0,_xlfn.XLOOKUP(G393,'Modelling New'!$D:$D,'Modelling New'!$O:$O)*PA[[#This Row],[Lost PoA(kWh/m2)]]*S393,0),"")</f>
        <v>103.26536626747786</v>
      </c>
      <c r="AK393" s="365"/>
      <c r="AL393" s="365"/>
    </row>
    <row r="394" spans="1:38" ht="60" hidden="1" x14ac:dyDescent="0.25">
      <c r="A394" s="229">
        <v>2086</v>
      </c>
      <c r="B394" s="233">
        <v>45828</v>
      </c>
      <c r="C394" s="333">
        <v>2025</v>
      </c>
      <c r="D394" s="348">
        <f>YEAR(PA[[#This Row],[Date]])</f>
        <v>2025</v>
      </c>
      <c r="E394" s="334" t="s">
        <v>73</v>
      </c>
      <c r="F394" s="335" t="s">
        <v>73</v>
      </c>
      <c r="G394" s="323">
        <v>45809</v>
      </c>
      <c r="H394" s="365">
        <f>DAY(EOMONTH(PA[[#This Row],[Date]], 0))</f>
        <v>30</v>
      </c>
      <c r="I394" s="361">
        <v>0.22708333333333333</v>
      </c>
      <c r="J394" s="361">
        <v>0.77916666666666667</v>
      </c>
      <c r="K394" s="53">
        <f>IFERROR((PA[[#This Row],[Sunset Time (POA&lt;20 W/m2)]]-PA[[#This Row],[Sunrise Time (POA&gt;20 W/m2)]])*24,"")</f>
        <v>13.25</v>
      </c>
      <c r="L394" s="59" t="s">
        <v>615</v>
      </c>
      <c r="M394" s="59"/>
      <c r="N394" s="59"/>
      <c r="O394" s="59" t="s">
        <v>580</v>
      </c>
      <c r="P394" s="56"/>
      <c r="Q394" s="6"/>
      <c r="R39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BLK6INV31</v>
      </c>
      <c r="S394" s="53">
        <f>_xlfn.XLOOKUP(PA[[#This Row],[Affected Equipment ]],'Basic Data '!$A:$A,'Basic Data '!$B:$B)</f>
        <v>275</v>
      </c>
      <c r="T394" s="90">
        <f>IFERROR(_xlfn.XLOOKUP(PA[[#This Row],[Affected Equipment ]],'Basic Data '!A:A,'Basic Data '!C:C),"")</f>
        <v>4.1198501872659176E-3</v>
      </c>
      <c r="U394" s="59" t="s">
        <v>1260</v>
      </c>
      <c r="V394" s="88"/>
      <c r="W394" s="265" t="s">
        <v>1290</v>
      </c>
      <c r="X394" s="359">
        <v>0.23958333333333334</v>
      </c>
      <c r="Y394" s="359">
        <v>0.31597222222222221</v>
      </c>
      <c r="Z394" s="359">
        <v>0.39583333333333331</v>
      </c>
      <c r="AA394" s="359">
        <v>0.41249999999999998</v>
      </c>
      <c r="AB394" s="158">
        <f>IF(PA[[#This Row],[Acknowledgement Time ]]="NA","",(PA[[#This Row],[Acknowledgement Time ]]-PA[[#This Row],[Fault Time]])*24)</f>
        <v>1.8333333333333328</v>
      </c>
      <c r="AC394" s="158">
        <f>IF(PA[[#This Row],[Work Start time on Fault]]="NA","",(PA[[#This Row],[Work Start time on Fault]]-PA[[#This Row],[Fault Time]])*24)</f>
        <v>3.7499999999999991</v>
      </c>
      <c r="AD394" s="112">
        <f>IF(PA[[#This Row],[Status]]="Open","",(PA[[#This Row],[Work Completion time on fault]]-PA[[#This Row],[Fault Time]])*24)</f>
        <v>4.1499999999999995</v>
      </c>
      <c r="AE394" s="111">
        <f>IFERROR((PA[[#This Row],[Work Completion time on fault]]-PA[[#This Row],[Fault Time]])*24,"")</f>
        <v>4.1499999999999995</v>
      </c>
      <c r="AF394" s="228" t="s">
        <v>1290</v>
      </c>
      <c r="AG394" s="6" t="s">
        <v>1275</v>
      </c>
      <c r="AH394" s="53">
        <f>IFERROR(PA[[#This Row],[Breakdown Time]]*PA[[#This Row],[Plant Equivalent Weightage]],"")</f>
        <v>1.7097378277153557E-2</v>
      </c>
      <c r="AI394" s="59">
        <v>0.41099999999999998</v>
      </c>
      <c r="AJ394" s="89">
        <f>IFERROR(IF(PA[[#This Row],[Lost PoA(kWh/m2)]]&gt;0,_xlfn.XLOOKUP(G394,'Modelling New'!$D:$D,'Modelling New'!$O:$O)*PA[[#This Row],[Lost PoA(kWh/m2)]]*S394,0),"")</f>
        <v>85.915112420917822</v>
      </c>
      <c r="AK394" s="365"/>
      <c r="AL394" s="365"/>
    </row>
    <row r="395" spans="1:38" ht="60" hidden="1" x14ac:dyDescent="0.25">
      <c r="A395" s="229">
        <v>2087</v>
      </c>
      <c r="B395" s="233">
        <v>45828</v>
      </c>
      <c r="C395" s="333">
        <v>2025</v>
      </c>
      <c r="D395" s="348">
        <f>YEAR(PA[[#This Row],[Date]])</f>
        <v>2025</v>
      </c>
      <c r="E395" s="334" t="s">
        <v>73</v>
      </c>
      <c r="F395" s="335" t="s">
        <v>73</v>
      </c>
      <c r="G395" s="323">
        <v>45809</v>
      </c>
      <c r="H395" s="365">
        <f>DAY(EOMONTH(PA[[#This Row],[Date]], 0))</f>
        <v>30</v>
      </c>
      <c r="I395" s="361">
        <v>0.22708333333333333</v>
      </c>
      <c r="J395" s="361">
        <v>0.77916666666666667</v>
      </c>
      <c r="K395" s="53">
        <f>IFERROR((PA[[#This Row],[Sunset Time (POA&lt;20 W/m2)]]-PA[[#This Row],[Sunrise Time (POA&gt;20 W/m2)]])*24,"")</f>
        <v>13.25</v>
      </c>
      <c r="L395" s="59" t="s">
        <v>615</v>
      </c>
      <c r="M395" s="59"/>
      <c r="N395" s="59"/>
      <c r="O395" s="59" t="s">
        <v>581</v>
      </c>
      <c r="P395" s="56"/>
      <c r="Q395" s="6"/>
      <c r="R39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BLK6INV32</v>
      </c>
      <c r="S395" s="53">
        <f>_xlfn.XLOOKUP(PA[[#This Row],[Affected Equipment ]],'Basic Data '!$A:$A,'Basic Data '!$B:$B)</f>
        <v>275</v>
      </c>
      <c r="T395" s="90">
        <f>IFERROR(_xlfn.XLOOKUP(PA[[#This Row],[Affected Equipment ]],'Basic Data '!A:A,'Basic Data '!C:C),"")</f>
        <v>4.1198501872659176E-3</v>
      </c>
      <c r="U395" s="59" t="s">
        <v>1260</v>
      </c>
      <c r="V395" s="88"/>
      <c r="W395" s="265" t="s">
        <v>1290</v>
      </c>
      <c r="X395" s="359">
        <v>0.23958333333333334</v>
      </c>
      <c r="Y395" s="359">
        <v>0.31597222222222221</v>
      </c>
      <c r="Z395" s="359">
        <v>0.39861111111111108</v>
      </c>
      <c r="AA395" s="359">
        <v>0.41875000000000001</v>
      </c>
      <c r="AB395" s="158">
        <f>IF(PA[[#This Row],[Acknowledgement Time ]]="NA","",(PA[[#This Row],[Acknowledgement Time ]]-PA[[#This Row],[Fault Time]])*24)</f>
        <v>1.8333333333333328</v>
      </c>
      <c r="AC395" s="158">
        <f>IF(PA[[#This Row],[Work Start time on Fault]]="NA","",(PA[[#This Row],[Work Start time on Fault]]-PA[[#This Row],[Fault Time]])*24)</f>
        <v>3.8166666666666655</v>
      </c>
      <c r="AD395" s="112">
        <f>IF(PA[[#This Row],[Status]]="Open","",(PA[[#This Row],[Work Completion time on fault]]-PA[[#This Row],[Fault Time]])*24)</f>
        <v>4.3</v>
      </c>
      <c r="AE395" s="111">
        <f>IFERROR((PA[[#This Row],[Work Completion time on fault]]-PA[[#This Row],[Fault Time]])*24,"")</f>
        <v>4.3</v>
      </c>
      <c r="AF395" s="228" t="s">
        <v>1290</v>
      </c>
      <c r="AG395" s="6" t="s">
        <v>1275</v>
      </c>
      <c r="AH395" s="53">
        <f>IFERROR(PA[[#This Row],[Breakdown Time]]*PA[[#This Row],[Plant Equivalent Weightage]],"")</f>
        <v>1.7715355805243443E-2</v>
      </c>
      <c r="AI395" s="59">
        <v>0.432</v>
      </c>
      <c r="AJ395" s="89">
        <f>IFERROR(IF(PA[[#This Row],[Lost PoA(kWh/m2)]]&gt;0,_xlfn.XLOOKUP(G395,'Modelling New'!$D:$D,'Modelling New'!$O:$O)*PA[[#This Row],[Lost PoA(kWh/m2)]]*S395,0),"")</f>
        <v>90.304935683300485</v>
      </c>
      <c r="AK395" s="365"/>
      <c r="AL395" s="365"/>
    </row>
    <row r="396" spans="1:38" ht="60" hidden="1" x14ac:dyDescent="0.25">
      <c r="A396" s="229">
        <v>2088</v>
      </c>
      <c r="B396" s="233">
        <v>45828</v>
      </c>
      <c r="C396" s="333">
        <v>2025</v>
      </c>
      <c r="D396" s="348">
        <f>YEAR(PA[[#This Row],[Date]])</f>
        <v>2025</v>
      </c>
      <c r="E396" s="334" t="s">
        <v>73</v>
      </c>
      <c r="F396" s="335" t="s">
        <v>73</v>
      </c>
      <c r="G396" s="323">
        <v>45809</v>
      </c>
      <c r="H396" s="365">
        <f>DAY(EOMONTH(PA[[#This Row],[Date]], 0))</f>
        <v>30</v>
      </c>
      <c r="I396" s="361">
        <v>0.22708333333333333</v>
      </c>
      <c r="J396" s="361">
        <v>0.77916666666666667</v>
      </c>
      <c r="K396" s="53">
        <f>IFERROR((PA[[#This Row],[Sunset Time (POA&lt;20 W/m2)]]-PA[[#This Row],[Sunrise Time (POA&gt;20 W/m2)]])*24,"")</f>
        <v>13.25</v>
      </c>
      <c r="L396" s="59" t="s">
        <v>606</v>
      </c>
      <c r="M396" s="59"/>
      <c r="N396" s="59"/>
      <c r="O396" s="59" t="s">
        <v>598</v>
      </c>
      <c r="P396" s="56"/>
      <c r="Q396" s="6"/>
      <c r="R39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BLK7INV6</v>
      </c>
      <c r="S396" s="53">
        <f>_xlfn.XLOOKUP(PA[[#This Row],[Affected Equipment ]],'Basic Data '!$A:$A,'Basic Data '!$B:$B)</f>
        <v>264</v>
      </c>
      <c r="T396" s="90">
        <f>IFERROR(_xlfn.XLOOKUP(PA[[#This Row],[Affected Equipment ]],'Basic Data '!A:A,'Basic Data '!C:C),"")</f>
        <v>3.9550561797752808E-3</v>
      </c>
      <c r="U396" s="59" t="s">
        <v>1260</v>
      </c>
      <c r="V396" s="88"/>
      <c r="W396" s="265" t="s">
        <v>1290</v>
      </c>
      <c r="X396" s="359">
        <v>0.23958333333333334</v>
      </c>
      <c r="Y396" s="359">
        <v>0.31597222222222221</v>
      </c>
      <c r="Z396" s="359">
        <v>0.41666666666666669</v>
      </c>
      <c r="AA396" s="359">
        <v>0.43263888888888891</v>
      </c>
      <c r="AB396" s="158">
        <f>IF(PA[[#This Row],[Acknowledgement Time ]]="NA","",(PA[[#This Row],[Acknowledgement Time ]]-PA[[#This Row],[Fault Time]])*24)</f>
        <v>1.8333333333333328</v>
      </c>
      <c r="AC396" s="158">
        <f>IF(PA[[#This Row],[Work Start time on Fault]]="NA","",(PA[[#This Row],[Work Start time on Fault]]-PA[[#This Row],[Fault Time]])*24)</f>
        <v>4.25</v>
      </c>
      <c r="AD396" s="112">
        <f>IF(PA[[#This Row],[Status]]="Open","",(PA[[#This Row],[Work Completion time on fault]]-PA[[#This Row],[Fault Time]])*24)</f>
        <v>4.6333333333333337</v>
      </c>
      <c r="AE396" s="111">
        <f>IFERROR((PA[[#This Row],[Work Completion time on fault]]-PA[[#This Row],[Fault Time]])*24,"")</f>
        <v>4.6333333333333337</v>
      </c>
      <c r="AF396" s="228" t="s">
        <v>1290</v>
      </c>
      <c r="AG396" s="6" t="s">
        <v>1275</v>
      </c>
      <c r="AH396" s="53">
        <f>IFERROR(PA[[#This Row],[Breakdown Time]]*PA[[#This Row],[Plant Equivalent Weightage]],"")</f>
        <v>1.8325093632958804E-2</v>
      </c>
      <c r="AI396" s="59">
        <v>0.499</v>
      </c>
      <c r="AJ396" s="89">
        <f>IFERROR(IF(PA[[#This Row],[Lost PoA(kWh/m2)]]&gt;0,_xlfn.XLOOKUP(G396,'Modelling New'!$D:$D,'Modelling New'!$O:$O)*PA[[#This Row],[Lost PoA(kWh/m2)]]*S396,0),"")</f>
        <v>100.13813979103766</v>
      </c>
      <c r="AK396" s="365"/>
      <c r="AL396" s="365"/>
    </row>
    <row r="397" spans="1:38" ht="30" hidden="1" x14ac:dyDescent="0.25">
      <c r="A397" s="229">
        <v>2089</v>
      </c>
      <c r="B397" s="233">
        <v>45828</v>
      </c>
      <c r="C397" s="333">
        <v>2025</v>
      </c>
      <c r="D397" s="348">
        <f>YEAR(PA[[#This Row],[Date]])</f>
        <v>2025</v>
      </c>
      <c r="E397" s="334" t="s">
        <v>73</v>
      </c>
      <c r="F397" s="335" t="s">
        <v>73</v>
      </c>
      <c r="G397" s="323">
        <v>45809</v>
      </c>
      <c r="H397" s="365">
        <f>DAY(EOMONTH(PA[[#This Row],[Date]], 0))</f>
        <v>30</v>
      </c>
      <c r="I397" s="361">
        <v>0.22708333333333333</v>
      </c>
      <c r="J397" s="361">
        <v>0.77916666666666667</v>
      </c>
      <c r="K397" s="53">
        <f>IFERROR((PA[[#This Row],[Sunset Time (POA&lt;20 W/m2)]]-PA[[#This Row],[Sunrise Time (POA&gt;20 W/m2)]])*24,"")</f>
        <v>13.25</v>
      </c>
      <c r="L397" s="59" t="s">
        <v>606</v>
      </c>
      <c r="M397" s="59"/>
      <c r="N397" s="59"/>
      <c r="O397" s="59" t="s">
        <v>654</v>
      </c>
      <c r="P397" s="56"/>
      <c r="Q397" s="6"/>
      <c r="R39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BLK7INV26</v>
      </c>
      <c r="S397" s="53">
        <f>_xlfn.XLOOKUP(PA[[#This Row],[Affected Equipment ]],'Basic Data '!$A:$A,'Basic Data '!$B:$B)</f>
        <v>300.375</v>
      </c>
      <c r="T397" s="90">
        <f>IFERROR(_xlfn.XLOOKUP(PA[[#This Row],[Affected Equipment ]],'Basic Data '!A:A,'Basic Data '!C:C),"")</f>
        <v>4.4999999999999997E-3</v>
      </c>
      <c r="U397" s="59" t="s">
        <v>1260</v>
      </c>
      <c r="V397" s="88"/>
      <c r="W397" s="356" t="s">
        <v>1268</v>
      </c>
      <c r="X397" s="359">
        <v>0.23958333333333334</v>
      </c>
      <c r="Y397" s="359">
        <v>0.31597222222222221</v>
      </c>
      <c r="Z397" s="359">
        <v>0.44791666666666669</v>
      </c>
      <c r="AA397" s="359">
        <v>0.46527777777777779</v>
      </c>
      <c r="AB397" s="158">
        <f>IF(PA[[#This Row],[Acknowledgement Time ]]="NA","",(PA[[#This Row],[Acknowledgement Time ]]-PA[[#This Row],[Fault Time]])*24)</f>
        <v>1.8333333333333328</v>
      </c>
      <c r="AC397" s="158">
        <f>IF(PA[[#This Row],[Work Start time on Fault]]="NA","",(PA[[#This Row],[Work Start time on Fault]]-PA[[#This Row],[Fault Time]])*24)</f>
        <v>5</v>
      </c>
      <c r="AD397" s="112">
        <f>IF(PA[[#This Row],[Status]]="Open","",(PA[[#This Row],[Work Completion time on fault]]-PA[[#This Row],[Fault Time]])*24)</f>
        <v>5.416666666666667</v>
      </c>
      <c r="AE397" s="111">
        <f>IFERROR((PA[[#This Row],[Work Completion time on fault]]-PA[[#This Row],[Fault Time]])*24,"")</f>
        <v>5.416666666666667</v>
      </c>
      <c r="AF397" s="228" t="s">
        <v>1268</v>
      </c>
      <c r="AG397" s="6" t="s">
        <v>1275</v>
      </c>
      <c r="AH397" s="53">
        <f>IFERROR(PA[[#This Row],[Breakdown Time]]*PA[[#This Row],[Plant Equivalent Weightage]],"")</f>
        <v>2.4375000000000001E-2</v>
      </c>
      <c r="AI397" s="59">
        <v>0.82599999999999996</v>
      </c>
      <c r="AJ397" s="89">
        <f>IFERROR(IF(PA[[#This Row],[Lost PoA(kWh/m2)]]&gt;0,_xlfn.XLOOKUP(G397,'Modelling New'!$D:$D,'Modelling New'!$O:$O)*PA[[#This Row],[Lost PoA(kWh/m2)]]*S397,0),"")</f>
        <v>188.59877959722022</v>
      </c>
      <c r="AK397" s="365"/>
      <c r="AL397" s="365"/>
    </row>
    <row r="398" spans="1:38" ht="30" hidden="1" x14ac:dyDescent="0.25">
      <c r="A398" s="229">
        <v>2090</v>
      </c>
      <c r="B398" s="233">
        <v>45828</v>
      </c>
      <c r="C398" s="333">
        <v>2025</v>
      </c>
      <c r="D398" s="348">
        <f>YEAR(PA[[#This Row],[Date]])</f>
        <v>2025</v>
      </c>
      <c r="E398" s="334" t="s">
        <v>73</v>
      </c>
      <c r="F398" s="335" t="s">
        <v>73</v>
      </c>
      <c r="G398" s="323">
        <v>45809</v>
      </c>
      <c r="H398" s="365">
        <f>DAY(EOMONTH(PA[[#This Row],[Date]], 0))</f>
        <v>30</v>
      </c>
      <c r="I398" s="361">
        <v>0.22708333333333333</v>
      </c>
      <c r="J398" s="361">
        <v>0.77916666666666667</v>
      </c>
      <c r="K398" s="53">
        <f>IFERROR((PA[[#This Row],[Sunset Time (POA&lt;20 W/m2)]]-PA[[#This Row],[Sunrise Time (POA&gt;20 W/m2)]])*24,"")</f>
        <v>13.25</v>
      </c>
      <c r="L398" s="59" t="s">
        <v>621</v>
      </c>
      <c r="M398" s="59"/>
      <c r="N398" s="59"/>
      <c r="O398" s="59" t="s">
        <v>637</v>
      </c>
      <c r="P398" s="56"/>
      <c r="Q398" s="6"/>
      <c r="R39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398" s="53">
        <v>12</v>
      </c>
      <c r="T398" s="90">
        <f>IFERROR(_xlfn.XLOOKUP(PA[[#This Row],[Affected Equipment ]],'Basic Data '!A:A,'Basic Data '!C:C),"")</f>
        <v>4.0000000000000001E-3</v>
      </c>
      <c r="U398" s="59" t="s">
        <v>1260</v>
      </c>
      <c r="V398" s="88"/>
      <c r="W398" s="265" t="s">
        <v>1271</v>
      </c>
      <c r="X398" s="359">
        <v>0.23958333333333334</v>
      </c>
      <c r="Y398" s="359">
        <v>0.31597222222222221</v>
      </c>
      <c r="Z398" s="359"/>
      <c r="AA398" s="359">
        <v>0.77916666666666667</v>
      </c>
      <c r="AB398" s="158">
        <f>IF(PA[[#This Row],[Acknowledgement Time ]]="NA","",(PA[[#This Row],[Acknowledgement Time ]]-PA[[#This Row],[Fault Time]])*24)</f>
        <v>1.8333333333333328</v>
      </c>
      <c r="AC398" s="158">
        <f>IF(PA[[#This Row],[Work Start time on Fault]]="NA","",(PA[[#This Row],[Work Start time on Fault]]-PA[[#This Row],[Fault Time]])*24)</f>
        <v>-5.75</v>
      </c>
      <c r="AD398" s="112">
        <f>IF(PA[[#This Row],[Status]]="Open","",(PA[[#This Row],[Work Completion time on fault]]-PA[[#This Row],[Fault Time]])*24)</f>
        <v>12.95</v>
      </c>
      <c r="AE398" s="111">
        <f>IFERROR((PA[[#This Row],[Work Completion time on fault]]-PA[[#This Row],[Fault Time]])*24,"")</f>
        <v>12.95</v>
      </c>
      <c r="AF398" s="228" t="s">
        <v>1271</v>
      </c>
      <c r="AG398" s="6" t="s">
        <v>1275</v>
      </c>
      <c r="AH398" s="53">
        <f>IFERROR(PA[[#This Row],[Breakdown Time]]*PA[[#This Row],[Plant Equivalent Weightage]],"")</f>
        <v>5.1799999999999999E-2</v>
      </c>
      <c r="AI398" s="59">
        <v>2.4</v>
      </c>
      <c r="AJ398" s="89">
        <f>IFERROR(IF(PA[[#This Row],[Lost PoA(kWh/m2)]]&gt;0,_xlfn.XLOOKUP(G398,'Modelling New'!$D:$D,'Modelling New'!$O:$O)*PA[[#This Row],[Lost PoA(kWh/m2)]]*S398,0),"")</f>
        <v>21.892105620194055</v>
      </c>
      <c r="AK398" s="365"/>
      <c r="AL398" s="365"/>
    </row>
    <row r="399" spans="1:38" ht="30" hidden="1" x14ac:dyDescent="0.25">
      <c r="A399" s="229">
        <v>2091</v>
      </c>
      <c r="B399" s="233">
        <v>45828</v>
      </c>
      <c r="C399" s="333">
        <v>2025</v>
      </c>
      <c r="D399" s="348">
        <f>YEAR(PA[[#This Row],[Date]])</f>
        <v>2025</v>
      </c>
      <c r="E399" s="334" t="s">
        <v>73</v>
      </c>
      <c r="F399" s="335" t="s">
        <v>73</v>
      </c>
      <c r="G399" s="323">
        <v>45809</v>
      </c>
      <c r="H399" s="365">
        <f>DAY(EOMONTH(PA[[#This Row],[Date]], 0))</f>
        <v>30</v>
      </c>
      <c r="I399" s="361">
        <v>0.22708333333333333</v>
      </c>
      <c r="J399" s="361">
        <v>0.77916666666666667</v>
      </c>
      <c r="K399" s="53">
        <f>IFERROR((PA[[#This Row],[Sunset Time (POA&lt;20 W/m2)]]-PA[[#This Row],[Sunrise Time (POA&gt;20 W/m2)]])*24,"")</f>
        <v>13.25</v>
      </c>
      <c r="L399" s="59" t="s">
        <v>621</v>
      </c>
      <c r="M399" s="59"/>
      <c r="N399" s="59"/>
      <c r="O399" s="59" t="s">
        <v>612</v>
      </c>
      <c r="P399" s="56"/>
      <c r="Q399" s="6"/>
      <c r="R39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399" s="53">
        <v>22.25</v>
      </c>
      <c r="T399" s="90">
        <f>IFERROR(_xlfn.XLOOKUP(PA[[#This Row],[Affected Equipment ]],'Basic Data '!A:A,'Basic Data '!C:C),"")</f>
        <v>4.4999999999999997E-3</v>
      </c>
      <c r="U399" s="59" t="s">
        <v>1260</v>
      </c>
      <c r="V399" s="88"/>
      <c r="W399" s="265" t="s">
        <v>1295</v>
      </c>
      <c r="X399" s="359">
        <v>0.23958333333333334</v>
      </c>
      <c r="Y399" s="359">
        <v>0.31597222222222221</v>
      </c>
      <c r="Z399" s="359"/>
      <c r="AA399" s="359">
        <v>0.77916666666666667</v>
      </c>
      <c r="AB399" s="158">
        <f>IF(PA[[#This Row],[Acknowledgement Time ]]="NA","",(PA[[#This Row],[Acknowledgement Time ]]-PA[[#This Row],[Fault Time]])*24)</f>
        <v>1.8333333333333328</v>
      </c>
      <c r="AC399" s="158">
        <f>IF(PA[[#This Row],[Work Start time on Fault]]="NA","",(PA[[#This Row],[Work Start time on Fault]]-PA[[#This Row],[Fault Time]])*24)</f>
        <v>-5.75</v>
      </c>
      <c r="AD399" s="112">
        <f>IF(PA[[#This Row],[Status]]="Open","",(PA[[#This Row],[Work Completion time on fault]]-PA[[#This Row],[Fault Time]])*24)</f>
        <v>12.95</v>
      </c>
      <c r="AE399" s="111">
        <f>IFERROR((PA[[#This Row],[Work Completion time on fault]]-PA[[#This Row],[Fault Time]])*24,"")</f>
        <v>12.95</v>
      </c>
      <c r="AF399" s="228" t="s">
        <v>1271</v>
      </c>
      <c r="AG399" s="6" t="s">
        <v>1275</v>
      </c>
      <c r="AH399" s="53">
        <f>IFERROR(PA[[#This Row],[Breakdown Time]]*PA[[#This Row],[Plant Equivalent Weightage]],"")</f>
        <v>5.8274999999999993E-2</v>
      </c>
      <c r="AI399" s="59">
        <v>2.4</v>
      </c>
      <c r="AJ399" s="89">
        <f>IFERROR(IF(PA[[#This Row],[Lost PoA(kWh/m2)]]&gt;0,_xlfn.XLOOKUP(G399,'Modelling New'!$D:$D,'Modelling New'!$O:$O)*PA[[#This Row],[Lost PoA(kWh/m2)]]*S399,0),"")</f>
        <v>40.591612504109811</v>
      </c>
      <c r="AK399" s="365"/>
      <c r="AL399" s="365"/>
    </row>
    <row r="400" spans="1:38" ht="30" hidden="1" x14ac:dyDescent="0.25">
      <c r="A400" s="229">
        <v>2092</v>
      </c>
      <c r="B400" s="233">
        <v>45828</v>
      </c>
      <c r="C400" s="333">
        <v>2025</v>
      </c>
      <c r="D400" s="348">
        <f>YEAR(PA[[#This Row],[Date]])</f>
        <v>2025</v>
      </c>
      <c r="E400" s="334" t="s">
        <v>73</v>
      </c>
      <c r="F400" s="335" t="s">
        <v>73</v>
      </c>
      <c r="G400" s="323">
        <v>45809</v>
      </c>
      <c r="H400" s="365">
        <f>DAY(EOMONTH(PA[[#This Row],[Date]], 0))</f>
        <v>30</v>
      </c>
      <c r="I400" s="361">
        <v>0.22708333333333333</v>
      </c>
      <c r="J400" s="361">
        <v>0.77916666666666667</v>
      </c>
      <c r="K400" s="53">
        <f>IFERROR((PA[[#This Row],[Sunset Time (POA&lt;20 W/m2)]]-PA[[#This Row],[Sunrise Time (POA&gt;20 W/m2)]])*24,"")</f>
        <v>13.25</v>
      </c>
      <c r="L400" s="59" t="s">
        <v>587</v>
      </c>
      <c r="M400" s="59"/>
      <c r="N400" s="59"/>
      <c r="O400" s="59" t="s">
        <v>581</v>
      </c>
      <c r="P400" s="56"/>
      <c r="Q400" s="6"/>
      <c r="R40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BLK1INV32</v>
      </c>
      <c r="S400" s="53">
        <v>12</v>
      </c>
      <c r="T400" s="90">
        <f>IFERROR(_xlfn.XLOOKUP(PA[[#This Row],[Affected Equipment ]],'Basic Data '!A:A,'Basic Data '!C:C),"")</f>
        <v>4.4999999999999997E-3</v>
      </c>
      <c r="U400" s="59" t="s">
        <v>1260</v>
      </c>
      <c r="V400" s="88"/>
      <c r="W400" s="265" t="s">
        <v>1271</v>
      </c>
      <c r="X400" s="359">
        <v>0.23958333333333334</v>
      </c>
      <c r="Y400" s="359">
        <v>0.31597222222222221</v>
      </c>
      <c r="Z400" s="359"/>
      <c r="AA400" s="359">
        <v>0.77916666666666667</v>
      </c>
      <c r="AB400" s="158">
        <f>IF(PA[[#This Row],[Acknowledgement Time ]]="NA","",(PA[[#This Row],[Acknowledgement Time ]]-PA[[#This Row],[Fault Time]])*24)</f>
        <v>1.8333333333333328</v>
      </c>
      <c r="AC400" s="158">
        <f>IF(PA[[#This Row],[Work Start time on Fault]]="NA","",(PA[[#This Row],[Work Start time on Fault]]-PA[[#This Row],[Fault Time]])*24)</f>
        <v>-5.75</v>
      </c>
      <c r="AD400" s="112">
        <f>IF(PA[[#This Row],[Status]]="Open","",(PA[[#This Row],[Work Completion time on fault]]-PA[[#This Row],[Fault Time]])*24)</f>
        <v>12.95</v>
      </c>
      <c r="AE400" s="111">
        <f>IFERROR((PA[[#This Row],[Work Completion time on fault]]-PA[[#This Row],[Fault Time]])*24,"")</f>
        <v>12.95</v>
      </c>
      <c r="AF400" s="228" t="s">
        <v>1271</v>
      </c>
      <c r="AG400" s="6" t="s">
        <v>1275</v>
      </c>
      <c r="AH400" s="53">
        <f>IFERROR(PA[[#This Row],[Breakdown Time]]*PA[[#This Row],[Plant Equivalent Weightage]],"")</f>
        <v>5.8274999999999993E-2</v>
      </c>
      <c r="AI400" s="59">
        <v>2.4</v>
      </c>
      <c r="AJ400" s="89">
        <f>IFERROR(IF(PA[[#This Row],[Lost PoA(kWh/m2)]]&gt;0,_xlfn.XLOOKUP(G400,'Modelling New'!$D:$D,'Modelling New'!$O:$O)*PA[[#This Row],[Lost PoA(kWh/m2)]]*S400,0),"")</f>
        <v>21.892105620194055</v>
      </c>
      <c r="AK400" s="365"/>
      <c r="AL400" s="365"/>
    </row>
    <row r="401" spans="1:38" ht="30" hidden="1" x14ac:dyDescent="0.25">
      <c r="A401" s="229">
        <v>2093</v>
      </c>
      <c r="B401" s="233">
        <v>45828</v>
      </c>
      <c r="C401" s="333">
        <v>2025</v>
      </c>
      <c r="D401" s="348">
        <f>YEAR(PA[[#This Row],[Date]])</f>
        <v>2025</v>
      </c>
      <c r="E401" s="334" t="s">
        <v>73</v>
      </c>
      <c r="F401" s="335" t="s">
        <v>73</v>
      </c>
      <c r="G401" s="323">
        <v>45809</v>
      </c>
      <c r="H401" s="365">
        <f>DAY(EOMONTH(PA[[#This Row],[Date]], 0))</f>
        <v>30</v>
      </c>
      <c r="I401" s="361">
        <v>0.22708333333333333</v>
      </c>
      <c r="J401" s="361">
        <v>0.77916666666666667</v>
      </c>
      <c r="K401" s="53">
        <f>IFERROR((PA[[#This Row],[Sunset Time (POA&lt;20 W/m2)]]-PA[[#This Row],[Sunrise Time (POA&gt;20 W/m2)]])*24,"")</f>
        <v>13.25</v>
      </c>
      <c r="L401" s="59" t="s">
        <v>587</v>
      </c>
      <c r="M401" s="59"/>
      <c r="N401" s="59"/>
      <c r="O401" s="59" t="s">
        <v>634</v>
      </c>
      <c r="P401" s="56"/>
      <c r="Q401" s="6"/>
      <c r="R40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BLK1INV9</v>
      </c>
      <c r="S401" s="53">
        <v>22.25</v>
      </c>
      <c r="T401" s="90">
        <f>IFERROR(_xlfn.XLOOKUP(PA[[#This Row],[Affected Equipment ]],'Basic Data '!A:A,'Basic Data '!C:C),"")</f>
        <v>4.1666666666666666E-3</v>
      </c>
      <c r="U401" s="59" t="s">
        <v>1260</v>
      </c>
      <c r="V401" s="88"/>
      <c r="W401" s="265" t="s">
        <v>1270</v>
      </c>
      <c r="X401" s="359">
        <v>0.23958333333333334</v>
      </c>
      <c r="Y401" s="359">
        <v>0.31597222222222221</v>
      </c>
      <c r="Z401" s="359">
        <v>0.49305555555555558</v>
      </c>
      <c r="AA401" s="359">
        <v>0.50694444444444442</v>
      </c>
      <c r="AB401" s="158">
        <f>IF(PA[[#This Row],[Acknowledgement Time ]]="NA","",(PA[[#This Row],[Acknowledgement Time ]]-PA[[#This Row],[Fault Time]])*24)</f>
        <v>1.8333333333333328</v>
      </c>
      <c r="AC401" s="158">
        <f>IF(PA[[#This Row],[Work Start time on Fault]]="NA","",(PA[[#This Row],[Work Start time on Fault]]-PA[[#This Row],[Fault Time]])*24)</f>
        <v>6.083333333333333</v>
      </c>
      <c r="AD401" s="112">
        <f>IF(PA[[#This Row],[Status]]="Open","",(PA[[#This Row],[Work Completion time on fault]]-PA[[#This Row],[Fault Time]])*24)</f>
        <v>6.4166666666666652</v>
      </c>
      <c r="AE401" s="111">
        <f>IFERROR((PA[[#This Row],[Work Completion time on fault]]-PA[[#This Row],[Fault Time]])*24,"")</f>
        <v>6.4166666666666652</v>
      </c>
      <c r="AF401" s="228" t="s">
        <v>1270</v>
      </c>
      <c r="AG401" s="6" t="s">
        <v>1275</v>
      </c>
      <c r="AH401" s="53">
        <f>IFERROR(PA[[#This Row],[Breakdown Time]]*PA[[#This Row],[Plant Equivalent Weightage]],"")</f>
        <v>2.6736111111111103E-2</v>
      </c>
      <c r="AI401" s="59">
        <v>1.3029999999999999</v>
      </c>
      <c r="AJ401" s="89">
        <f>IFERROR(IF(PA[[#This Row],[Lost PoA(kWh/m2)]]&gt;0,_xlfn.XLOOKUP(G401,'Modelling New'!$D:$D,'Modelling New'!$O:$O)*PA[[#This Row],[Lost PoA(kWh/m2)]]*S401,0),"")</f>
        <v>22.037862955356285</v>
      </c>
      <c r="AK401" s="365"/>
      <c r="AL401" s="365"/>
    </row>
    <row r="402" spans="1:38" ht="30" hidden="1" x14ac:dyDescent="0.25">
      <c r="A402" s="229">
        <v>2094</v>
      </c>
      <c r="B402" s="233">
        <v>45828</v>
      </c>
      <c r="C402" s="333">
        <v>2025</v>
      </c>
      <c r="D402" s="348">
        <f>YEAR(PA[[#This Row],[Date]])</f>
        <v>2025</v>
      </c>
      <c r="E402" s="334" t="s">
        <v>73</v>
      </c>
      <c r="F402" s="335" t="s">
        <v>73</v>
      </c>
      <c r="G402" s="323">
        <v>45809</v>
      </c>
      <c r="H402" s="365">
        <f>DAY(EOMONTH(PA[[#This Row],[Date]], 0))</f>
        <v>30</v>
      </c>
      <c r="I402" s="361">
        <v>0.22708333333333333</v>
      </c>
      <c r="J402" s="361">
        <v>0.77916666666666667</v>
      </c>
      <c r="K402" s="53">
        <f>IFERROR((PA[[#This Row],[Sunset Time (POA&lt;20 W/m2)]]-PA[[#This Row],[Sunrise Time (POA&gt;20 W/m2)]])*24,"")</f>
        <v>13.25</v>
      </c>
      <c r="L402" s="59" t="s">
        <v>559</v>
      </c>
      <c r="M402" s="59"/>
      <c r="N402" s="59"/>
      <c r="O402" s="59" t="s">
        <v>571</v>
      </c>
      <c r="P402" s="56"/>
      <c r="Q402" s="6"/>
      <c r="R40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v>
      </c>
      <c r="S402" s="53">
        <v>22.25</v>
      </c>
      <c r="T402" s="90">
        <f>IFERROR(_xlfn.XLOOKUP(PA[[#This Row],[Affected Equipment ]],'Basic Data '!A:A,'Basic Data '!C:C),"")</f>
        <v>3.3333333333333335E-3</v>
      </c>
      <c r="U402" s="59" t="s">
        <v>1260</v>
      </c>
      <c r="V402" s="88"/>
      <c r="W402" s="265" t="s">
        <v>1270</v>
      </c>
      <c r="X402" s="359">
        <v>0.23958333333333334</v>
      </c>
      <c r="Y402" s="359">
        <v>0.31597222222222221</v>
      </c>
      <c r="Z402" s="359">
        <v>0.49305555555555558</v>
      </c>
      <c r="AA402" s="359">
        <v>0.50694444444444442</v>
      </c>
      <c r="AB402" s="158">
        <f>IF(PA[[#This Row],[Acknowledgement Time ]]="NA","",(PA[[#This Row],[Acknowledgement Time ]]-PA[[#This Row],[Fault Time]])*24)</f>
        <v>1.8333333333333328</v>
      </c>
      <c r="AC402" s="158">
        <f>IF(PA[[#This Row],[Work Start time on Fault]]="NA","",(PA[[#This Row],[Work Start time on Fault]]-PA[[#This Row],[Fault Time]])*24)</f>
        <v>6.083333333333333</v>
      </c>
      <c r="AD402" s="112">
        <f>IF(PA[[#This Row],[Status]]="Open","",(PA[[#This Row],[Work Completion time on fault]]-PA[[#This Row],[Fault Time]])*24)</f>
        <v>6.4166666666666652</v>
      </c>
      <c r="AE402" s="111">
        <f>IFERROR((PA[[#This Row],[Work Completion time on fault]]-PA[[#This Row],[Fault Time]])*24,"")</f>
        <v>6.4166666666666652</v>
      </c>
      <c r="AF402" s="228" t="s">
        <v>1270</v>
      </c>
      <c r="AG402" s="6" t="s">
        <v>1275</v>
      </c>
      <c r="AH402" s="53">
        <f>IFERROR(PA[[#This Row],[Breakdown Time]]*PA[[#This Row],[Plant Equivalent Weightage]],"")</f>
        <v>2.1388888888888884E-2</v>
      </c>
      <c r="AI402" s="59">
        <v>1.3029999999999999</v>
      </c>
      <c r="AJ402" s="89">
        <f>IFERROR(IF(PA[[#This Row],[Lost PoA(kWh/m2)]]&gt;0,_xlfn.XLOOKUP(G402,'Modelling New'!$D:$D,'Modelling New'!$O:$O)*PA[[#This Row],[Lost PoA(kWh/m2)]]*S402,0),"")</f>
        <v>22.037862955356285</v>
      </c>
      <c r="AK402" s="365"/>
      <c r="AL402" s="365"/>
    </row>
    <row r="403" spans="1:38" ht="30" hidden="1" x14ac:dyDescent="0.25">
      <c r="A403" s="229">
        <v>2095</v>
      </c>
      <c r="B403" s="233">
        <v>45828</v>
      </c>
      <c r="C403" s="333">
        <v>2025</v>
      </c>
      <c r="D403" s="348">
        <f>YEAR(PA[[#This Row],[Date]])</f>
        <v>2025</v>
      </c>
      <c r="E403" s="334" t="s">
        <v>73</v>
      </c>
      <c r="F403" s="335" t="s">
        <v>73</v>
      </c>
      <c r="G403" s="323">
        <v>45809</v>
      </c>
      <c r="H403" s="365">
        <f>DAY(EOMONTH(PA[[#This Row],[Date]], 0))</f>
        <v>30</v>
      </c>
      <c r="I403" s="361">
        <v>0.22708333333333333</v>
      </c>
      <c r="J403" s="361">
        <v>0.77916666666666667</v>
      </c>
      <c r="K403" s="53">
        <f>IFERROR((PA[[#This Row],[Sunset Time (POA&lt;20 W/m2)]]-PA[[#This Row],[Sunrise Time (POA&gt;20 W/m2)]])*24,"")</f>
        <v>13.25</v>
      </c>
      <c r="L403" s="59" t="s">
        <v>606</v>
      </c>
      <c r="M403" s="59"/>
      <c r="N403" s="59"/>
      <c r="O403" s="59" t="s">
        <v>654</v>
      </c>
      <c r="P403" s="56"/>
      <c r="Q403" s="6"/>
      <c r="R40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BLK7INV26</v>
      </c>
      <c r="S403" s="53">
        <v>66.75</v>
      </c>
      <c r="T403" s="90">
        <f>IFERROR(_xlfn.XLOOKUP(PA[[#This Row],[Affected Equipment ]],'Basic Data '!A:A,'Basic Data '!C:C),"")</f>
        <v>4.4999999999999997E-3</v>
      </c>
      <c r="U403" s="59" t="s">
        <v>1260</v>
      </c>
      <c r="V403" s="88"/>
      <c r="W403" s="265" t="s">
        <v>1269</v>
      </c>
      <c r="X403" s="359">
        <v>0.23958333333333334</v>
      </c>
      <c r="Y403" s="359">
        <v>0.31597222222222221</v>
      </c>
      <c r="Z403" s="359">
        <v>0.46180555555555558</v>
      </c>
      <c r="AA403" s="359">
        <v>0.47916666666666669</v>
      </c>
      <c r="AB403" s="158">
        <f>IF(PA[[#This Row],[Acknowledgement Time ]]="NA","",(PA[[#This Row],[Acknowledgement Time ]]-PA[[#This Row],[Fault Time]])*24)</f>
        <v>1.8333333333333328</v>
      </c>
      <c r="AC403" s="158">
        <f>IF(PA[[#This Row],[Work Start time on Fault]]="NA","",(PA[[#This Row],[Work Start time on Fault]]-PA[[#This Row],[Fault Time]])*24)</f>
        <v>5.3333333333333339</v>
      </c>
      <c r="AD403" s="112">
        <f>IF(PA[[#This Row],[Status]]="Open","",(PA[[#This Row],[Work Completion time on fault]]-PA[[#This Row],[Fault Time]])*24)</f>
        <v>5.75</v>
      </c>
      <c r="AE403" s="111">
        <f>IFERROR((PA[[#This Row],[Work Completion time on fault]]-PA[[#This Row],[Fault Time]])*24,"")</f>
        <v>5.75</v>
      </c>
      <c r="AF403" s="265" t="s">
        <v>1269</v>
      </c>
      <c r="AG403" s="6" t="s">
        <v>1275</v>
      </c>
      <c r="AH403" s="53">
        <f>IFERROR(PA[[#This Row],[Breakdown Time]]*PA[[#This Row],[Plant Equivalent Weightage]],"")</f>
        <v>2.5874999999999999E-2</v>
      </c>
      <c r="AI403" s="59">
        <v>0.95099999999999996</v>
      </c>
      <c r="AJ403" s="89">
        <f>IFERROR(IF(PA[[#This Row],[Lost PoA(kWh/m2)]]&gt;0,_xlfn.XLOOKUP(G403,'Modelling New'!$D:$D,'Modelling New'!$O:$O)*PA[[#This Row],[Lost PoA(kWh/m2)]]*S403,0),"")</f>
        <v>48.253279364260536</v>
      </c>
      <c r="AK403" s="365"/>
      <c r="AL403" s="365"/>
    </row>
    <row r="404" spans="1:38" ht="60" hidden="1" x14ac:dyDescent="0.25">
      <c r="A404" s="229">
        <v>2096</v>
      </c>
      <c r="B404" s="233">
        <v>45829</v>
      </c>
      <c r="C404" s="333">
        <v>2025</v>
      </c>
      <c r="D404" s="348">
        <f>YEAR(PA[[#This Row],[Date]])</f>
        <v>2025</v>
      </c>
      <c r="E404" s="334" t="s">
        <v>73</v>
      </c>
      <c r="F404" s="335" t="s">
        <v>73</v>
      </c>
      <c r="G404" s="323">
        <v>45809</v>
      </c>
      <c r="H404" s="365">
        <f>DAY(EOMONTH(PA[[#This Row],[Date]], 0))</f>
        <v>30</v>
      </c>
      <c r="I404" s="361">
        <v>0.21527777777777779</v>
      </c>
      <c r="J404" s="361">
        <v>0.77013888888888893</v>
      </c>
      <c r="K404" s="53">
        <f>IFERROR((PA[[#This Row],[Sunset Time (POA&lt;20 W/m2)]]-PA[[#This Row],[Sunrise Time (POA&gt;20 W/m2)]])*24,"")</f>
        <v>13.316666666666666</v>
      </c>
      <c r="L404" s="59" t="s">
        <v>597</v>
      </c>
      <c r="M404" s="59"/>
      <c r="N404" s="59"/>
      <c r="O404" s="59" t="s">
        <v>663</v>
      </c>
      <c r="P404" s="56"/>
      <c r="Q404" s="6"/>
      <c r="R40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BLK3INV16</v>
      </c>
      <c r="S404" s="53">
        <f>_xlfn.XLOOKUP(PA[[#This Row],[Affected Equipment ]],'Basic Data '!$A:$A,'Basic Data '!$B:$B)</f>
        <v>267</v>
      </c>
      <c r="T404" s="90">
        <f>IFERROR(_xlfn.XLOOKUP(PA[[#This Row],[Affected Equipment ]],'Basic Data '!A:A,'Basic Data '!C:C),"")</f>
        <v>4.0000000000000001E-3</v>
      </c>
      <c r="U404" s="59" t="s">
        <v>566</v>
      </c>
      <c r="V404" s="88"/>
      <c r="W404" s="265" t="s">
        <v>1291</v>
      </c>
      <c r="X404" s="359">
        <v>0.2986111111111111</v>
      </c>
      <c r="Y404" s="359">
        <v>0.30208333333333331</v>
      </c>
      <c r="Z404" s="359">
        <v>0.37638888888888888</v>
      </c>
      <c r="AA404" s="359">
        <v>0.39374999999999999</v>
      </c>
      <c r="AB404" s="158">
        <f>IF(PA[[#This Row],[Acknowledgement Time ]]="NA","",(PA[[#This Row],[Acknowledgement Time ]]-PA[[#This Row],[Fault Time]])*24)</f>
        <v>8.3333333333333037E-2</v>
      </c>
      <c r="AC404" s="158">
        <f>IF(PA[[#This Row],[Work Start time on Fault]]="NA","",(PA[[#This Row],[Work Start time on Fault]]-PA[[#This Row],[Fault Time]])*24)</f>
        <v>1.8666666666666667</v>
      </c>
      <c r="AD404" s="112">
        <f>IF(PA[[#This Row],[Status]]="Open","",(PA[[#This Row],[Work Completion time on fault]]-PA[[#This Row],[Fault Time]])*24)</f>
        <v>2.2833333333333332</v>
      </c>
      <c r="AE404" s="111">
        <f>IFERROR((PA[[#This Row],[Work Completion time on fault]]-PA[[#This Row],[Fault Time]])*24,"")</f>
        <v>2.2833333333333332</v>
      </c>
      <c r="AF404" s="228" t="s">
        <v>1291</v>
      </c>
      <c r="AG404" s="6" t="s">
        <v>1275</v>
      </c>
      <c r="AH404" s="53">
        <f>IFERROR(PA[[#This Row],[Breakdown Time]]*PA[[#This Row],[Plant Equivalent Weightage]],"")</f>
        <v>9.1333333333333336E-3</v>
      </c>
      <c r="AI404" s="59">
        <v>0.58499999999999996</v>
      </c>
      <c r="AJ404" s="89">
        <f>IFERROR(IF(PA[[#This Row],[Lost PoA(kWh/m2)]]&gt;0,_xlfn.XLOOKUP(G404,'Modelling New'!$D:$D,'Modelling New'!$O:$O)*PA[[#This Row],[Lost PoA(kWh/m2)]]*S404,0),"")</f>
        <v>118.7304665745212</v>
      </c>
      <c r="AK404" s="365"/>
      <c r="AL404" s="365"/>
    </row>
    <row r="405" spans="1:38" ht="60" hidden="1" x14ac:dyDescent="0.25">
      <c r="A405" s="229">
        <v>2097</v>
      </c>
      <c r="B405" s="233">
        <v>45829</v>
      </c>
      <c r="C405" s="333">
        <v>2025</v>
      </c>
      <c r="D405" s="348">
        <f>YEAR(PA[[#This Row],[Date]])</f>
        <v>2025</v>
      </c>
      <c r="E405" s="334" t="s">
        <v>73</v>
      </c>
      <c r="F405" s="335" t="s">
        <v>73</v>
      </c>
      <c r="G405" s="323">
        <v>45809</v>
      </c>
      <c r="H405" s="365">
        <f>DAY(EOMONTH(PA[[#This Row],[Date]], 0))</f>
        <v>30</v>
      </c>
      <c r="I405" s="361">
        <v>0.21527777777777779</v>
      </c>
      <c r="J405" s="361">
        <v>0.77013888888888893</v>
      </c>
      <c r="K405" s="53">
        <f>IFERROR((PA[[#This Row],[Sunset Time (POA&lt;20 W/m2)]]-PA[[#This Row],[Sunrise Time (POA&gt;20 W/m2)]])*24,"")</f>
        <v>13.316666666666666</v>
      </c>
      <c r="L405" s="59" t="s">
        <v>621</v>
      </c>
      <c r="M405" s="59"/>
      <c r="N405" s="59"/>
      <c r="O405" s="59" t="s">
        <v>578</v>
      </c>
      <c r="P405" s="56"/>
      <c r="Q405" s="6"/>
      <c r="R40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BLK4INV12</v>
      </c>
      <c r="S405" s="53">
        <f>_xlfn.XLOOKUP(PA[[#This Row],[Affected Equipment ]],'Basic Data '!$A:$A,'Basic Data '!$B:$B)</f>
        <v>267</v>
      </c>
      <c r="T405" s="90">
        <f>IFERROR(_xlfn.XLOOKUP(PA[[#This Row],[Affected Equipment ]],'Basic Data '!A:A,'Basic Data '!C:C),"")</f>
        <v>4.0000000000000001E-3</v>
      </c>
      <c r="U405" s="59" t="s">
        <v>566</v>
      </c>
      <c r="V405" s="88"/>
      <c r="W405" s="265" t="s">
        <v>1292</v>
      </c>
      <c r="X405" s="359">
        <v>0.22430555555555556</v>
      </c>
      <c r="Y405" s="359">
        <v>0.22569444444444445</v>
      </c>
      <c r="Z405" s="359">
        <v>0.375</v>
      </c>
      <c r="AA405" s="359">
        <v>0.39097222222222222</v>
      </c>
      <c r="AB405" s="158">
        <f>IF(PA[[#This Row],[Acknowledgement Time ]]="NA","",(PA[[#This Row],[Acknowledgement Time ]]-PA[[#This Row],[Fault Time]])*24)</f>
        <v>3.3333333333333215E-2</v>
      </c>
      <c r="AC405" s="158">
        <f>IF(PA[[#This Row],[Work Start time on Fault]]="NA","",(PA[[#This Row],[Work Start time on Fault]]-PA[[#This Row],[Fault Time]])*24)</f>
        <v>3.6166666666666663</v>
      </c>
      <c r="AD405" s="112">
        <f>IF(PA[[#This Row],[Status]]="Open","",(PA[[#This Row],[Work Completion time on fault]]-PA[[#This Row],[Fault Time]])*24)</f>
        <v>4</v>
      </c>
      <c r="AE405" s="111">
        <f>IFERROR((PA[[#This Row],[Work Completion time on fault]]-PA[[#This Row],[Fault Time]])*24,"")</f>
        <v>4</v>
      </c>
      <c r="AF405" s="228" t="s">
        <v>1292</v>
      </c>
      <c r="AG405" s="6" t="s">
        <v>1275</v>
      </c>
      <c r="AH405" s="53">
        <f>IFERROR(PA[[#This Row],[Breakdown Time]]*PA[[#This Row],[Plant Equivalent Weightage]],"")</f>
        <v>1.6E-2</v>
      </c>
      <c r="AI405" s="59">
        <v>0.91100000000000003</v>
      </c>
      <c r="AJ405" s="89">
        <f>IFERROR(IF(PA[[#This Row],[Lost PoA(kWh/m2)]]&gt;0,_xlfn.XLOOKUP(G405,'Modelling New'!$D:$D,'Modelling New'!$O:$O)*PA[[#This Row],[Lost PoA(kWh/m2)]]*S405,0),"")</f>
        <v>184.89479495622021</v>
      </c>
      <c r="AK405" s="365"/>
      <c r="AL405" s="365"/>
    </row>
    <row r="406" spans="1:38" ht="60" hidden="1" x14ac:dyDescent="0.25">
      <c r="A406" s="229">
        <v>2098</v>
      </c>
      <c r="B406" s="233">
        <v>45829</v>
      </c>
      <c r="C406" s="333">
        <v>2025</v>
      </c>
      <c r="D406" s="348">
        <f>YEAR(PA[[#This Row],[Date]])</f>
        <v>2025</v>
      </c>
      <c r="E406" s="334" t="s">
        <v>73</v>
      </c>
      <c r="F406" s="335" t="s">
        <v>73</v>
      </c>
      <c r="G406" s="323">
        <v>45809</v>
      </c>
      <c r="H406" s="365">
        <f>DAY(EOMONTH(PA[[#This Row],[Date]], 0))</f>
        <v>30</v>
      </c>
      <c r="I406" s="361">
        <v>0.21527777777777779</v>
      </c>
      <c r="J406" s="361">
        <v>0.77013888888888893</v>
      </c>
      <c r="K406" s="53">
        <f>IFERROR((PA[[#This Row],[Sunset Time (POA&lt;20 W/m2)]]-PA[[#This Row],[Sunrise Time (POA&gt;20 W/m2)]])*24,"")</f>
        <v>13.316666666666666</v>
      </c>
      <c r="L406" s="59" t="s">
        <v>615</v>
      </c>
      <c r="M406" s="59"/>
      <c r="N406" s="59"/>
      <c r="O406" s="59" t="s">
        <v>618</v>
      </c>
      <c r="P406" s="56"/>
      <c r="Q406" s="6"/>
      <c r="R40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BLK6INV15</v>
      </c>
      <c r="S406" s="53">
        <f>_xlfn.XLOOKUP(PA[[#This Row],[Affected Equipment ]],'Basic Data '!$A:$A,'Basic Data '!$B:$B)</f>
        <v>275</v>
      </c>
      <c r="T406" s="90">
        <f>IFERROR(_xlfn.XLOOKUP(PA[[#This Row],[Affected Equipment ]],'Basic Data '!A:A,'Basic Data '!C:C),"")</f>
        <v>4.1198501872659176E-3</v>
      </c>
      <c r="U406" s="59" t="s">
        <v>566</v>
      </c>
      <c r="V406" s="88"/>
      <c r="W406" s="265" t="s">
        <v>1293</v>
      </c>
      <c r="X406" s="359">
        <v>0.29166666666666669</v>
      </c>
      <c r="Y406" s="359">
        <v>0.2986111111111111</v>
      </c>
      <c r="Z406" s="359">
        <v>0.31597222222222221</v>
      </c>
      <c r="AA406" s="359">
        <v>0.33750000000000002</v>
      </c>
      <c r="AB406" s="158">
        <f>IF(PA[[#This Row],[Acknowledgement Time ]]="NA","",(PA[[#This Row],[Acknowledgement Time ]]-PA[[#This Row],[Fault Time]])*24)</f>
        <v>0.16666666666666607</v>
      </c>
      <c r="AC406" s="158">
        <f>IF(PA[[#This Row],[Work Start time on Fault]]="NA","",(PA[[#This Row],[Work Start time on Fault]]-PA[[#This Row],[Fault Time]])*24)</f>
        <v>0.58333333333333259</v>
      </c>
      <c r="AD406" s="112">
        <f>IF(PA[[#This Row],[Status]]="Open","",(PA[[#This Row],[Work Completion time on fault]]-PA[[#This Row],[Fault Time]])*24)</f>
        <v>1.1000000000000001</v>
      </c>
      <c r="AE406" s="111">
        <f>IFERROR((PA[[#This Row],[Work Completion time on fault]]-PA[[#This Row],[Fault Time]])*24,"")</f>
        <v>1.1000000000000001</v>
      </c>
      <c r="AF406" s="228" t="s">
        <v>1293</v>
      </c>
      <c r="AG406" s="6" t="s">
        <v>1275</v>
      </c>
      <c r="AH406" s="53">
        <f>IFERROR(PA[[#This Row],[Breakdown Time]]*PA[[#This Row],[Plant Equivalent Weightage]],"")</f>
        <v>4.5318352059925101E-3</v>
      </c>
      <c r="AI406" s="59">
        <v>0.34100000000000003</v>
      </c>
      <c r="AJ406" s="89">
        <f>IFERROR(IF(PA[[#This Row],[Lost PoA(kWh/m2)]]&gt;0,_xlfn.XLOOKUP(G406,'Modelling New'!$D:$D,'Modelling New'!$O:$O)*PA[[#This Row],[Lost PoA(kWh/m2)]]*S406,0),"")</f>
        <v>71.282368212975612</v>
      </c>
      <c r="AK406" s="365"/>
      <c r="AL406" s="365"/>
    </row>
    <row r="407" spans="1:38" ht="30" hidden="1" x14ac:dyDescent="0.25">
      <c r="A407" s="229">
        <v>2099</v>
      </c>
      <c r="B407" s="233">
        <v>45829</v>
      </c>
      <c r="C407" s="333">
        <v>2025</v>
      </c>
      <c r="D407" s="348">
        <f>YEAR(PA[[#This Row],[Date]])</f>
        <v>2025</v>
      </c>
      <c r="E407" s="334" t="s">
        <v>73</v>
      </c>
      <c r="F407" s="335" t="s">
        <v>73</v>
      </c>
      <c r="G407" s="323">
        <v>45809</v>
      </c>
      <c r="H407" s="365">
        <f>DAY(EOMONTH(PA[[#This Row],[Date]], 0))</f>
        <v>30</v>
      </c>
      <c r="I407" s="361">
        <v>0.21527777777777779</v>
      </c>
      <c r="J407" s="361">
        <v>0.77013888888888893</v>
      </c>
      <c r="K407" s="53">
        <f>IFERROR((PA[[#This Row],[Sunset Time (POA&lt;20 W/m2)]]-PA[[#This Row],[Sunrise Time (POA&gt;20 W/m2)]])*24,"")</f>
        <v>13.316666666666666</v>
      </c>
      <c r="L407" s="59" t="s">
        <v>621</v>
      </c>
      <c r="M407" s="59"/>
      <c r="N407" s="59"/>
      <c r="O407" s="59" t="s">
        <v>595</v>
      </c>
      <c r="P407" s="56"/>
      <c r="Q407" s="6"/>
      <c r="R40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BLK4INV11</v>
      </c>
      <c r="S407" s="53">
        <f>_xlfn.XLOOKUP(PA[[#This Row],[Affected Equipment ]],'Basic Data '!$A:$A,'Basic Data '!$B:$B)</f>
        <v>300.375</v>
      </c>
      <c r="T407" s="90">
        <f>IFERROR(_xlfn.XLOOKUP(PA[[#This Row],[Affected Equipment ]],'Basic Data '!A:A,'Basic Data '!C:C),"")</f>
        <v>4.4999999999999997E-3</v>
      </c>
      <c r="U407" s="59" t="s">
        <v>566</v>
      </c>
      <c r="V407" s="88"/>
      <c r="W407" s="265" t="s">
        <v>1294</v>
      </c>
      <c r="X407" s="359">
        <v>0.22430555555555556</v>
      </c>
      <c r="Y407" s="359">
        <v>0.22569444444444445</v>
      </c>
      <c r="Z407" s="359">
        <v>0.36458333333333331</v>
      </c>
      <c r="AA407" s="359">
        <v>0.3840277777777778</v>
      </c>
      <c r="AB407" s="158">
        <f>IF(PA[[#This Row],[Acknowledgement Time ]]="NA","",(PA[[#This Row],[Acknowledgement Time ]]-PA[[#This Row],[Fault Time]])*24)</f>
        <v>3.3333333333333215E-2</v>
      </c>
      <c r="AC407" s="158">
        <f>IF(PA[[#This Row],[Work Start time on Fault]]="NA","",(PA[[#This Row],[Work Start time on Fault]]-PA[[#This Row],[Fault Time]])*24)</f>
        <v>3.3666666666666663</v>
      </c>
      <c r="AD407" s="112">
        <f>IF(PA[[#This Row],[Status]]="Open","",(PA[[#This Row],[Work Completion time on fault]]-PA[[#This Row],[Fault Time]])*24)</f>
        <v>3.8333333333333339</v>
      </c>
      <c r="AE407" s="111">
        <f>IFERROR((PA[[#This Row],[Work Completion time on fault]]-PA[[#This Row],[Fault Time]])*24,"")</f>
        <v>3.8333333333333339</v>
      </c>
      <c r="AF407" s="228" t="s">
        <v>1294</v>
      </c>
      <c r="AG407" s="6" t="s">
        <v>1275</v>
      </c>
      <c r="AH407" s="53">
        <f>IFERROR(PA[[#This Row],[Breakdown Time]]*PA[[#This Row],[Plant Equivalent Weightage]],"")</f>
        <v>1.7250000000000001E-2</v>
      </c>
      <c r="AI407" s="59">
        <v>0.83399999999999996</v>
      </c>
      <c r="AJ407" s="89">
        <f>IFERROR(IF(PA[[#This Row],[Lost PoA(kWh/m2)]]&gt;0,_xlfn.XLOOKUP(G407,'Modelling New'!$D:$D,'Modelling New'!$O:$O)*PA[[#This Row],[Lost PoA(kWh/m2)]]*S407,0),"")</f>
        <v>190.42540215990513</v>
      </c>
      <c r="AK407" s="365"/>
      <c r="AL407" s="365"/>
    </row>
    <row r="408" spans="1:38" ht="30" hidden="1" x14ac:dyDescent="0.25">
      <c r="A408" s="229">
        <v>2100</v>
      </c>
      <c r="B408" s="233">
        <v>45829</v>
      </c>
      <c r="C408" s="333">
        <v>2025</v>
      </c>
      <c r="D408" s="348">
        <f>YEAR(PA[[#This Row],[Date]])</f>
        <v>2025</v>
      </c>
      <c r="E408" s="334" t="s">
        <v>73</v>
      </c>
      <c r="F408" s="335" t="s">
        <v>73</v>
      </c>
      <c r="G408" s="323">
        <v>45809</v>
      </c>
      <c r="H408" s="365">
        <f>DAY(EOMONTH(PA[[#This Row],[Date]], 0))</f>
        <v>30</v>
      </c>
      <c r="I408" s="361">
        <v>0.21527777777777779</v>
      </c>
      <c r="J408" s="361">
        <v>0.77013888888888893</v>
      </c>
      <c r="K408" s="53">
        <f>IFERROR((PA[[#This Row],[Sunset Time (POA&lt;20 W/m2)]]-PA[[#This Row],[Sunrise Time (POA&gt;20 W/m2)]])*24,"")</f>
        <v>13.316666666666666</v>
      </c>
      <c r="L408" s="59" t="s">
        <v>587</v>
      </c>
      <c r="M408" s="59"/>
      <c r="N408" s="59"/>
      <c r="O408" s="59" t="s">
        <v>789</v>
      </c>
      <c r="P408" s="56"/>
      <c r="Q408" s="6"/>
      <c r="R40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408" s="53">
        <f>_xlfn.XLOOKUP(PA[[#This Row],[Affected Equipment ]],'Basic Data '!$A:$A,'Basic Data '!$B:$B)</f>
        <v>8944.5</v>
      </c>
      <c r="T408" s="90">
        <f>IFERROR(_xlfn.XLOOKUP(PA[[#This Row],[Affected Equipment ]],'Basic Data '!A:A,'Basic Data '!C:C),"")</f>
        <v>0.13400000000000001</v>
      </c>
      <c r="U408" s="59" t="s">
        <v>589</v>
      </c>
      <c r="V408" s="88"/>
      <c r="W408" s="265" t="s">
        <v>751</v>
      </c>
      <c r="X408" s="359">
        <v>0.50347222222222221</v>
      </c>
      <c r="Y408" s="359">
        <v>0.50416666666666665</v>
      </c>
      <c r="Z408" s="359">
        <v>0.50486111111111109</v>
      </c>
      <c r="AA408" s="359">
        <v>0.50694444444444442</v>
      </c>
      <c r="AB408" s="158">
        <f>IF(PA[[#This Row],[Acknowledgement Time ]]="NA","",(PA[[#This Row],[Acknowledgement Time ]]-PA[[#This Row],[Fault Time]])*24)</f>
        <v>1.6666666666666607E-2</v>
      </c>
      <c r="AC408" s="158">
        <f>IF(PA[[#This Row],[Work Start time on Fault]]="NA","",(PA[[#This Row],[Work Start time on Fault]]-PA[[#This Row],[Fault Time]])*24)</f>
        <v>3.3333333333333215E-2</v>
      </c>
      <c r="AD408" s="112">
        <f>IF(PA[[#This Row],[Status]]="Open","",(PA[[#This Row],[Work Completion time on fault]]-PA[[#This Row],[Fault Time]])*24)</f>
        <v>8.3333333333333037E-2</v>
      </c>
      <c r="AE408" s="111">
        <f>IFERROR((PA[[#This Row],[Work Completion time on fault]]-PA[[#This Row],[Fault Time]])*24,"")</f>
        <v>8.3333333333333037E-2</v>
      </c>
      <c r="AF408" s="228" t="s">
        <v>751</v>
      </c>
      <c r="AG408" s="6" t="s">
        <v>1275</v>
      </c>
      <c r="AH408" s="53">
        <f>IFERROR(PA[[#This Row],[Breakdown Time]]*PA[[#This Row],[Plant Equivalent Weightage]],"")</f>
        <v>1.1166666666666627E-2</v>
      </c>
      <c r="AI408" s="59">
        <v>0.10199999999999999</v>
      </c>
      <c r="AJ408" s="89">
        <f>IFERROR(IF(PA[[#This Row],[Lost PoA(kWh/m2)]]&gt;0,_xlfn.XLOOKUP(G408,'Modelling New'!$D:$D,'Modelling New'!$O:$O)*PA[[#This Row],[Lost PoA(kWh/m2)]]*S408,0),"")</f>
        <v>693.50769963271625</v>
      </c>
      <c r="AK408" s="365"/>
      <c r="AL408" s="365"/>
    </row>
    <row r="409" spans="1:38" ht="30" hidden="1" x14ac:dyDescent="0.25">
      <c r="A409" s="229">
        <v>2101</v>
      </c>
      <c r="B409" s="233">
        <v>45829</v>
      </c>
      <c r="C409" s="333">
        <v>2025</v>
      </c>
      <c r="D409" s="348">
        <f>YEAR(PA[[#This Row],[Date]])</f>
        <v>2025</v>
      </c>
      <c r="E409" s="334" t="s">
        <v>73</v>
      </c>
      <c r="F409" s="335" t="s">
        <v>73</v>
      </c>
      <c r="G409" s="323">
        <v>45809</v>
      </c>
      <c r="H409" s="365">
        <f>DAY(EOMONTH(PA[[#This Row],[Date]], 0))</f>
        <v>30</v>
      </c>
      <c r="I409" s="361">
        <v>0.21527777777777779</v>
      </c>
      <c r="J409" s="361">
        <v>0.77013888888888893</v>
      </c>
      <c r="K409" s="53">
        <f>IFERROR((PA[[#This Row],[Sunset Time (POA&lt;20 W/m2)]]-PA[[#This Row],[Sunrise Time (POA&gt;20 W/m2)]])*24,"")</f>
        <v>13.316666666666666</v>
      </c>
      <c r="L409" s="59" t="s">
        <v>559</v>
      </c>
      <c r="M409" s="59"/>
      <c r="N409" s="59"/>
      <c r="O409" s="59" t="s">
        <v>789</v>
      </c>
      <c r="P409" s="56"/>
      <c r="Q409" s="6"/>
      <c r="R40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409" s="53">
        <f>_xlfn.XLOOKUP(PA[[#This Row],[Affected Equipment ]],'Basic Data '!$A:$A,'Basic Data '!$B:$B)</f>
        <v>8343.75</v>
      </c>
      <c r="T409" s="90">
        <f>IFERROR(_xlfn.XLOOKUP(PA[[#This Row],[Affected Equipment ]],'Basic Data '!A:A,'Basic Data '!C:C),"")</f>
        <v>0.125</v>
      </c>
      <c r="U409" s="59" t="s">
        <v>589</v>
      </c>
      <c r="V409" s="88"/>
      <c r="W409" s="265" t="s">
        <v>754</v>
      </c>
      <c r="X409" s="359">
        <v>0.50138888888888888</v>
      </c>
      <c r="Y409" s="359">
        <v>0.50208333333333333</v>
      </c>
      <c r="Z409" s="359">
        <v>0.50416666666666665</v>
      </c>
      <c r="AA409" s="359">
        <v>0.50486111111111109</v>
      </c>
      <c r="AB409" s="158">
        <f>IF(PA[[#This Row],[Acknowledgement Time ]]="NA","",(PA[[#This Row],[Acknowledgement Time ]]-PA[[#This Row],[Fault Time]])*24)</f>
        <v>1.6666666666666607E-2</v>
      </c>
      <c r="AC409" s="158">
        <f>IF(PA[[#This Row],[Work Start time on Fault]]="NA","",(PA[[#This Row],[Work Start time on Fault]]-PA[[#This Row],[Fault Time]])*24)</f>
        <v>6.666666666666643E-2</v>
      </c>
      <c r="AD409" s="112">
        <f>IF(PA[[#This Row],[Status]]="Open","",(PA[[#This Row],[Work Completion time on fault]]-PA[[#This Row],[Fault Time]])*24)</f>
        <v>8.3333333333333037E-2</v>
      </c>
      <c r="AE409" s="111">
        <f>IFERROR((PA[[#This Row],[Work Completion time on fault]]-PA[[#This Row],[Fault Time]])*24,"")</f>
        <v>8.3333333333333037E-2</v>
      </c>
      <c r="AF409" s="228" t="s">
        <v>754</v>
      </c>
      <c r="AG409" s="6" t="s">
        <v>1275</v>
      </c>
      <c r="AH409" s="53">
        <f>IFERROR(PA[[#This Row],[Breakdown Time]]*PA[[#This Row],[Plant Equivalent Weightage]],"")</f>
        <v>1.041666666666663E-2</v>
      </c>
      <c r="AI409" s="59">
        <v>0.104</v>
      </c>
      <c r="AJ409" s="89">
        <f>IFERROR(IF(PA[[#This Row],[Lost PoA(kWh/m2)]]&gt;0,_xlfn.XLOOKUP(G409,'Modelling New'!$D:$D,'Modelling New'!$O:$O)*PA[[#This Row],[Lost PoA(kWh/m2)]]*S409,0),"")</f>
        <v>659.61370319178445</v>
      </c>
      <c r="AK409" s="365"/>
      <c r="AL409" s="365"/>
    </row>
    <row r="410" spans="1:38" ht="30" hidden="1" x14ac:dyDescent="0.25">
      <c r="A410" s="229">
        <v>2102</v>
      </c>
      <c r="B410" s="233">
        <v>45829</v>
      </c>
      <c r="C410" s="333">
        <v>2025</v>
      </c>
      <c r="D410" s="348">
        <f>YEAR(PA[[#This Row],[Date]])</f>
        <v>2025</v>
      </c>
      <c r="E410" s="373" t="s">
        <v>73</v>
      </c>
      <c r="F410" s="374" t="s">
        <v>73</v>
      </c>
      <c r="G410" s="323">
        <v>45809</v>
      </c>
      <c r="H410" s="365">
        <f>DAY(EOMONTH(PA[[#This Row],[Date]], 0))</f>
        <v>30</v>
      </c>
      <c r="I410" s="361">
        <v>0.21527777777777779</v>
      </c>
      <c r="J410" s="361">
        <v>0.77013888888888893</v>
      </c>
      <c r="K410" s="53">
        <f>IFERROR((PA[[#This Row],[Sunset Time (POA&lt;20 W/m2)]]-PA[[#This Row],[Sunrise Time (POA&gt;20 W/m2)]])*24,"")</f>
        <v>13.316666666666666</v>
      </c>
      <c r="L410" s="59" t="s">
        <v>564</v>
      </c>
      <c r="M410" s="59"/>
      <c r="N410" s="59"/>
      <c r="O410" s="59" t="s">
        <v>789</v>
      </c>
      <c r="P410" s="56"/>
      <c r="Q410" s="6"/>
      <c r="R41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410" s="53">
        <f>_xlfn.XLOOKUP(PA[[#This Row],[Affected Equipment ]],'Basic Data '!$A:$A,'Basic Data '!$B:$B)</f>
        <v>8864.75</v>
      </c>
      <c r="T410" s="90">
        <f>IFERROR(_xlfn.XLOOKUP(PA[[#This Row],[Affected Equipment ]],'Basic Data '!A:A,'Basic Data '!C:C),"")</f>
        <v>0.13280524344569289</v>
      </c>
      <c r="U410" s="59" t="s">
        <v>589</v>
      </c>
      <c r="V410" s="88"/>
      <c r="W410" s="265" t="s">
        <v>752</v>
      </c>
      <c r="X410" s="359">
        <v>0.51041666666666663</v>
      </c>
      <c r="Y410" s="359">
        <v>0.51111111111111118</v>
      </c>
      <c r="Z410" s="359">
        <v>0.5131944444444444</v>
      </c>
      <c r="AA410" s="359">
        <v>0.51388888888888884</v>
      </c>
      <c r="AB410" s="158">
        <f>IF(PA[[#This Row],[Acknowledgement Time ]]="NA","",(PA[[#This Row],[Acknowledgement Time ]]-PA[[#This Row],[Fault Time]])*24)</f>
        <v>1.6666666666669272E-2</v>
      </c>
      <c r="AC410" s="158">
        <f>IF(PA[[#This Row],[Work Start time on Fault]]="NA","",(PA[[#This Row],[Work Start time on Fault]]-PA[[#This Row],[Fault Time]])*24)</f>
        <v>6.666666666666643E-2</v>
      </c>
      <c r="AD410" s="112">
        <f>IF(PA[[#This Row],[Status]]="Open","",(PA[[#This Row],[Work Completion time on fault]]-PA[[#This Row],[Fault Time]])*24)</f>
        <v>8.3333333333333037E-2</v>
      </c>
      <c r="AE410" s="111">
        <f>IFERROR((PA[[#This Row],[Work Completion time on fault]]-PA[[#This Row],[Fault Time]])*24,"")</f>
        <v>8.3333333333333037E-2</v>
      </c>
      <c r="AF410" s="228" t="s">
        <v>752</v>
      </c>
      <c r="AG410" s="6" t="s">
        <v>1275</v>
      </c>
      <c r="AH410" s="53">
        <f>IFERROR(PA[[#This Row],[Breakdown Time]]*PA[[#This Row],[Plant Equivalent Weightage]],"")</f>
        <v>1.1067103620474368E-2</v>
      </c>
      <c r="AI410" s="59">
        <v>0.112</v>
      </c>
      <c r="AJ410" s="89">
        <f>IFERROR(IF(PA[[#This Row],[Lost PoA(kWh/m2)]]&gt;0,_xlfn.XLOOKUP(G410,'Modelling New'!$D:$D,'Modelling New'!$O:$O)*PA[[#This Row],[Lost PoA(kWh/m2)]]*S410,0),"")</f>
        <v>754.7090572646149</v>
      </c>
      <c r="AK410" s="365"/>
      <c r="AL410" s="365"/>
    </row>
    <row r="411" spans="1:38" ht="30" hidden="1" x14ac:dyDescent="0.25">
      <c r="A411" s="229">
        <v>2103</v>
      </c>
      <c r="B411" s="233">
        <v>45829</v>
      </c>
      <c r="C411" s="333">
        <v>2025</v>
      </c>
      <c r="D411" s="348">
        <f>YEAR(PA[[#This Row],[Date]])</f>
        <v>2025</v>
      </c>
      <c r="E411" s="373" t="s">
        <v>73</v>
      </c>
      <c r="F411" s="374" t="s">
        <v>73</v>
      </c>
      <c r="G411" s="323">
        <v>45809</v>
      </c>
      <c r="H411" s="365">
        <f>DAY(EOMONTH(PA[[#This Row],[Date]], 0))</f>
        <v>30</v>
      </c>
      <c r="I411" s="361">
        <v>0.21527777777777779</v>
      </c>
      <c r="J411" s="361">
        <v>0.77013888888888893</v>
      </c>
      <c r="K411" s="53">
        <f>IFERROR((PA[[#This Row],[Sunset Time (POA&lt;20 W/m2)]]-PA[[#This Row],[Sunrise Time (POA&gt;20 W/m2)]])*24,"")</f>
        <v>13.316666666666666</v>
      </c>
      <c r="L411" s="59" t="s">
        <v>621</v>
      </c>
      <c r="M411" s="59"/>
      <c r="N411" s="59"/>
      <c r="O411" s="59" t="s">
        <v>637</v>
      </c>
      <c r="P411" s="56"/>
      <c r="Q411" s="6"/>
      <c r="R41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411" s="53">
        <v>12</v>
      </c>
      <c r="T411" s="90">
        <f>IFERROR(_xlfn.XLOOKUP(PA[[#This Row],[Affected Equipment ]],'Basic Data '!A:A,'Basic Data '!C:C),"")</f>
        <v>4.0000000000000001E-3</v>
      </c>
      <c r="U411" s="59" t="s">
        <v>1260</v>
      </c>
      <c r="V411" s="88"/>
      <c r="W411" s="265" t="s">
        <v>1271</v>
      </c>
      <c r="X411" s="359">
        <v>0.23958333333333334</v>
      </c>
      <c r="Y411" s="359">
        <v>0.23958333333333334</v>
      </c>
      <c r="Z411" s="359"/>
      <c r="AA411" s="359">
        <v>0.77013888888888893</v>
      </c>
      <c r="AB411" s="158">
        <f>IF(PA[[#This Row],[Acknowledgement Time ]]="NA","",(PA[[#This Row],[Acknowledgement Time ]]-PA[[#This Row],[Fault Time]])*24)</f>
        <v>0</v>
      </c>
      <c r="AC411" s="158">
        <f>IF(PA[[#This Row],[Work Start time on Fault]]="NA","",(PA[[#This Row],[Work Start time on Fault]]-PA[[#This Row],[Fault Time]])*24)</f>
        <v>-5.75</v>
      </c>
      <c r="AD411" s="112">
        <f>IF(PA[[#This Row],[Status]]="Open","",(PA[[#This Row],[Work Completion time on fault]]-PA[[#This Row],[Fault Time]])*24)</f>
        <v>12.733333333333334</v>
      </c>
      <c r="AE411" s="111">
        <f>IFERROR((PA[[#This Row],[Work Completion time on fault]]-PA[[#This Row],[Fault Time]])*24,"")</f>
        <v>12.733333333333334</v>
      </c>
      <c r="AF411" s="228" t="s">
        <v>1271</v>
      </c>
      <c r="AG411" s="6" t="s">
        <v>1275</v>
      </c>
      <c r="AH411" s="53">
        <f>IFERROR(PA[[#This Row],[Breakdown Time]]*PA[[#This Row],[Plant Equivalent Weightage]],"")</f>
        <v>5.0933333333333337E-2</v>
      </c>
      <c r="AI411" s="59">
        <v>5.19</v>
      </c>
      <c r="AJ411" s="89">
        <f>IFERROR(IF(PA[[#This Row],[Lost PoA(kWh/m2)]]&gt;0,_xlfn.XLOOKUP(G411,'Modelling New'!$D:$D,'Modelling New'!$O:$O)*PA[[#This Row],[Lost PoA(kWh/m2)]]*S411,0),"")</f>
        <v>47.341678403669647</v>
      </c>
      <c r="AK411" s="365"/>
      <c r="AL411" s="365"/>
    </row>
    <row r="412" spans="1:38" ht="30" hidden="1" x14ac:dyDescent="0.25">
      <c r="A412" s="229">
        <v>2104</v>
      </c>
      <c r="B412" s="233">
        <v>45829</v>
      </c>
      <c r="C412" s="333">
        <v>2025</v>
      </c>
      <c r="D412" s="348">
        <f>YEAR(PA[[#This Row],[Date]])</f>
        <v>2025</v>
      </c>
      <c r="E412" s="373" t="s">
        <v>73</v>
      </c>
      <c r="F412" s="374" t="s">
        <v>73</v>
      </c>
      <c r="G412" s="323">
        <v>45809</v>
      </c>
      <c r="H412" s="365">
        <f>DAY(EOMONTH(PA[[#This Row],[Date]], 0))</f>
        <v>30</v>
      </c>
      <c r="I412" s="361">
        <v>0.21527777777777779</v>
      </c>
      <c r="J412" s="361">
        <v>0.77013888888888893</v>
      </c>
      <c r="K412" s="53">
        <f>IFERROR((PA[[#This Row],[Sunset Time (POA&lt;20 W/m2)]]-PA[[#This Row],[Sunrise Time (POA&gt;20 W/m2)]])*24,"")</f>
        <v>13.316666666666666</v>
      </c>
      <c r="L412" s="59" t="s">
        <v>621</v>
      </c>
      <c r="M412" s="59"/>
      <c r="N412" s="59"/>
      <c r="O412" s="59" t="s">
        <v>612</v>
      </c>
      <c r="P412" s="56"/>
      <c r="Q412" s="6"/>
      <c r="R41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412" s="53">
        <v>22.25</v>
      </c>
      <c r="T412" s="90">
        <f>IFERROR(_xlfn.XLOOKUP(PA[[#This Row],[Affected Equipment ]],'Basic Data '!A:A,'Basic Data '!C:C),"")</f>
        <v>4.4999999999999997E-3</v>
      </c>
      <c r="U412" s="59" t="s">
        <v>1260</v>
      </c>
      <c r="V412" s="88"/>
      <c r="W412" s="265" t="s">
        <v>1295</v>
      </c>
      <c r="X412" s="359">
        <v>0.23958333333333334</v>
      </c>
      <c r="Y412" s="359">
        <v>0.23958333333333334</v>
      </c>
      <c r="Z412" s="359"/>
      <c r="AA412" s="359">
        <v>0.77013888888888893</v>
      </c>
      <c r="AB412" s="158">
        <f>IF(PA[[#This Row],[Acknowledgement Time ]]="NA","",(PA[[#This Row],[Acknowledgement Time ]]-PA[[#This Row],[Fault Time]])*24)</f>
        <v>0</v>
      </c>
      <c r="AC412" s="158">
        <f>IF(PA[[#This Row],[Work Start time on Fault]]="NA","",(PA[[#This Row],[Work Start time on Fault]]-PA[[#This Row],[Fault Time]])*24)</f>
        <v>-5.75</v>
      </c>
      <c r="AD412" s="112">
        <f>IF(PA[[#This Row],[Status]]="Open","",(PA[[#This Row],[Work Completion time on fault]]-PA[[#This Row],[Fault Time]])*24)</f>
        <v>12.733333333333334</v>
      </c>
      <c r="AE412" s="111">
        <f>IFERROR((PA[[#This Row],[Work Completion time on fault]]-PA[[#This Row],[Fault Time]])*24,"")</f>
        <v>12.733333333333334</v>
      </c>
      <c r="AF412" s="228" t="s">
        <v>1295</v>
      </c>
      <c r="AG412" s="6" t="s">
        <v>1275</v>
      </c>
      <c r="AH412" s="53">
        <f>IFERROR(PA[[#This Row],[Breakdown Time]]*PA[[#This Row],[Plant Equivalent Weightage]],"")</f>
        <v>5.7299999999999997E-2</v>
      </c>
      <c r="AI412" s="59">
        <v>5.19</v>
      </c>
      <c r="AJ412" s="89">
        <f>IFERROR(IF(PA[[#This Row],[Lost PoA(kWh/m2)]]&gt;0,_xlfn.XLOOKUP(G412,'Modelling New'!$D:$D,'Modelling New'!$O:$O)*PA[[#This Row],[Lost PoA(kWh/m2)]]*S412,0),"")</f>
        <v>87.779362040137471</v>
      </c>
      <c r="AK412" s="365"/>
      <c r="AL412" s="365"/>
    </row>
    <row r="413" spans="1:38" ht="30" hidden="1" x14ac:dyDescent="0.25">
      <c r="A413" s="229">
        <v>2105</v>
      </c>
      <c r="B413" s="233">
        <v>45829</v>
      </c>
      <c r="C413" s="333">
        <v>2025</v>
      </c>
      <c r="D413" s="348">
        <f>YEAR(PA[[#This Row],[Date]])</f>
        <v>2025</v>
      </c>
      <c r="E413" s="373" t="s">
        <v>73</v>
      </c>
      <c r="F413" s="374" t="s">
        <v>73</v>
      </c>
      <c r="G413" s="323">
        <v>45809</v>
      </c>
      <c r="H413" s="365">
        <f>DAY(EOMONTH(PA[[#This Row],[Date]], 0))</f>
        <v>30</v>
      </c>
      <c r="I413" s="361">
        <v>0.21527777777777779</v>
      </c>
      <c r="J413" s="361">
        <v>0.77013888888888893</v>
      </c>
      <c r="K413" s="53">
        <f>IFERROR((PA[[#This Row],[Sunset Time (POA&lt;20 W/m2)]]-PA[[#This Row],[Sunrise Time (POA&gt;20 W/m2)]])*24,"")</f>
        <v>13.316666666666666</v>
      </c>
      <c r="L413" s="59" t="s">
        <v>587</v>
      </c>
      <c r="M413" s="59"/>
      <c r="N413" s="59"/>
      <c r="O413" s="59" t="s">
        <v>581</v>
      </c>
      <c r="P413" s="56"/>
      <c r="Q413" s="6"/>
      <c r="R41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BLK1INV32</v>
      </c>
      <c r="S413" s="53">
        <v>12</v>
      </c>
      <c r="T413" s="90">
        <f>IFERROR(_xlfn.XLOOKUP(PA[[#This Row],[Affected Equipment ]],'Basic Data '!A:A,'Basic Data '!C:C),"")</f>
        <v>4.4999999999999997E-3</v>
      </c>
      <c r="U413" s="59" t="s">
        <v>1260</v>
      </c>
      <c r="V413" s="88"/>
      <c r="W413" s="265" t="s">
        <v>1271</v>
      </c>
      <c r="X413" s="359">
        <v>0.23958333333333334</v>
      </c>
      <c r="Y413" s="359">
        <v>0.23958333333333334</v>
      </c>
      <c r="Z413" s="359"/>
      <c r="AA413" s="359">
        <v>0.77013888888888893</v>
      </c>
      <c r="AB413" s="158">
        <f>IF(PA[[#This Row],[Acknowledgement Time ]]="NA","",(PA[[#This Row],[Acknowledgement Time ]]-PA[[#This Row],[Fault Time]])*24)</f>
        <v>0</v>
      </c>
      <c r="AC413" s="158">
        <f>IF(PA[[#This Row],[Work Start time on Fault]]="NA","",(PA[[#This Row],[Work Start time on Fault]]-PA[[#This Row],[Fault Time]])*24)</f>
        <v>-5.75</v>
      </c>
      <c r="AD413" s="112">
        <f>IF(PA[[#This Row],[Status]]="Open","",(PA[[#This Row],[Work Completion time on fault]]-PA[[#This Row],[Fault Time]])*24)</f>
        <v>12.733333333333334</v>
      </c>
      <c r="AE413" s="111">
        <f>IFERROR((PA[[#This Row],[Work Completion time on fault]]-PA[[#This Row],[Fault Time]])*24,"")</f>
        <v>12.733333333333334</v>
      </c>
      <c r="AF413" s="228" t="s">
        <v>1271</v>
      </c>
      <c r="AG413" s="6" t="s">
        <v>1275</v>
      </c>
      <c r="AH413" s="53">
        <f>IFERROR(PA[[#This Row],[Breakdown Time]]*PA[[#This Row],[Plant Equivalent Weightage]],"")</f>
        <v>5.7299999999999997E-2</v>
      </c>
      <c r="AI413" s="59">
        <v>5.19</v>
      </c>
      <c r="AJ413" s="89">
        <f>IFERROR(IF(PA[[#This Row],[Lost PoA(kWh/m2)]]&gt;0,_xlfn.XLOOKUP(G413,'Modelling New'!$D:$D,'Modelling New'!$O:$O)*PA[[#This Row],[Lost PoA(kWh/m2)]]*S413,0),"")</f>
        <v>47.341678403669647</v>
      </c>
      <c r="AK413" s="365"/>
      <c r="AL413" s="365"/>
    </row>
    <row r="414" spans="1:38" ht="60" hidden="1" x14ac:dyDescent="0.25">
      <c r="A414" s="229">
        <v>2106</v>
      </c>
      <c r="B414" s="233">
        <v>45830</v>
      </c>
      <c r="C414" s="333">
        <v>2025</v>
      </c>
      <c r="D414" s="348">
        <f>YEAR(PA[[#This Row],[Date]])</f>
        <v>2025</v>
      </c>
      <c r="E414" s="373" t="s">
        <v>73</v>
      </c>
      <c r="F414" s="374" t="s">
        <v>73</v>
      </c>
      <c r="G414" s="323">
        <v>45809</v>
      </c>
      <c r="H414" s="365">
        <f>DAY(EOMONTH(PA[[#This Row],[Date]], 0))</f>
        <v>30</v>
      </c>
      <c r="I414" s="361">
        <v>0.2076388888888889</v>
      </c>
      <c r="J414" s="361">
        <v>0.7583333333333333</v>
      </c>
      <c r="K414" s="53">
        <f>IFERROR((PA[[#This Row],[Sunset Time (POA&lt;20 W/m2)]]-PA[[#This Row],[Sunrise Time (POA&gt;20 W/m2)]])*24,"")</f>
        <v>13.216666666666665</v>
      </c>
      <c r="L414" s="59" t="s">
        <v>559</v>
      </c>
      <c r="M414" s="59"/>
      <c r="N414" s="59"/>
      <c r="O414" s="59" t="s">
        <v>618</v>
      </c>
      <c r="P414" s="56"/>
      <c r="Q414" s="6"/>
      <c r="R41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BLK2INV15</v>
      </c>
      <c r="S414" s="53">
        <f>_xlfn.XLOOKUP(PA[[#This Row],[Affected Equipment ]],'Basic Data '!$A:$A,'Basic Data '!$B:$B)</f>
        <v>267</v>
      </c>
      <c r="T414" s="90">
        <f>IFERROR(_xlfn.XLOOKUP(PA[[#This Row],[Affected Equipment ]],'Basic Data '!A:A,'Basic Data '!C:C),"")</f>
        <v>4.0000000000000001E-3</v>
      </c>
      <c r="U414" s="59" t="s">
        <v>566</v>
      </c>
      <c r="V414" s="88"/>
      <c r="W414" s="265" t="s">
        <v>1290</v>
      </c>
      <c r="X414" s="359">
        <v>0.29097222222222224</v>
      </c>
      <c r="Y414" s="359">
        <v>0.2951388888888889</v>
      </c>
      <c r="Z414" s="359">
        <v>0.30555555555555552</v>
      </c>
      <c r="AA414" s="359">
        <v>0.34375</v>
      </c>
      <c r="AB414" s="158">
        <f>IF(PA[[#This Row],[Acknowledgement Time ]]="NA","",(PA[[#This Row],[Acknowledgement Time ]]-PA[[#This Row],[Fault Time]])*24)</f>
        <v>9.9999999999999645E-2</v>
      </c>
      <c r="AC414" s="158">
        <f>IF(PA[[#This Row],[Work Start time on Fault]]="NA","",(PA[[#This Row],[Work Start time on Fault]]-PA[[#This Row],[Fault Time]])*24)</f>
        <v>0.34999999999999876</v>
      </c>
      <c r="AD414" s="112">
        <f>IF(PA[[#This Row],[Status]]="Open","",(PA[[#This Row],[Work Completion time on fault]]-PA[[#This Row],[Fault Time]])*24)</f>
        <v>1.2666666666666662</v>
      </c>
      <c r="AE414" s="111">
        <f>IFERROR((PA[[#This Row],[Work Completion time on fault]]-PA[[#This Row],[Fault Time]])*24,"")</f>
        <v>1.2666666666666662</v>
      </c>
      <c r="AF414" s="228" t="s">
        <v>1290</v>
      </c>
      <c r="AG414" s="6" t="s">
        <v>1275</v>
      </c>
      <c r="AH414" s="53">
        <f>IFERROR(PA[[#This Row],[Breakdown Time]]*PA[[#This Row],[Plant Equivalent Weightage]],"")</f>
        <v>5.0666666666666646E-3</v>
      </c>
      <c r="AI414" s="59">
        <v>0.42</v>
      </c>
      <c r="AJ414" s="89">
        <f>IFERROR(IF(PA[[#This Row],[Lost PoA(kWh/m2)]]&gt;0,_xlfn.XLOOKUP(G414,'Modelling New'!$D:$D,'Modelling New'!$O:$O)*PA[[#This Row],[Lost PoA(kWh/m2)]]*S414,0),"")</f>
        <v>85.242386258630603</v>
      </c>
      <c r="AK414" s="365"/>
      <c r="AL414" s="365"/>
    </row>
    <row r="415" spans="1:38" ht="30" hidden="1" x14ac:dyDescent="0.25">
      <c r="A415" s="229">
        <v>2107</v>
      </c>
      <c r="B415" s="233">
        <v>45830</v>
      </c>
      <c r="C415" s="333">
        <v>2025</v>
      </c>
      <c r="D415" s="348">
        <f>YEAR(PA[[#This Row],[Date]])</f>
        <v>2025</v>
      </c>
      <c r="E415" s="373" t="s">
        <v>73</v>
      </c>
      <c r="F415" s="374" t="s">
        <v>73</v>
      </c>
      <c r="G415" s="323">
        <v>45809</v>
      </c>
      <c r="H415" s="365">
        <f>DAY(EOMONTH(PA[[#This Row],[Date]], 0))</f>
        <v>30</v>
      </c>
      <c r="I415" s="361">
        <v>0.2076388888888889</v>
      </c>
      <c r="J415" s="361">
        <v>0.7583333333333333</v>
      </c>
      <c r="K415" s="53">
        <f>IFERROR((PA[[#This Row],[Sunset Time (POA&lt;20 W/m2)]]-PA[[#This Row],[Sunrise Time (POA&gt;20 W/m2)]])*24,"")</f>
        <v>13.216666666666665</v>
      </c>
      <c r="L415" s="59" t="s">
        <v>564</v>
      </c>
      <c r="M415" s="59"/>
      <c r="N415" s="59"/>
      <c r="O415" s="59" t="s">
        <v>599</v>
      </c>
      <c r="P415" s="56"/>
      <c r="Q415" s="6"/>
      <c r="R41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BLK5INV20</v>
      </c>
      <c r="S415" s="53">
        <v>22.25</v>
      </c>
      <c r="T415" s="90">
        <f>IFERROR(_xlfn.XLOOKUP(PA[[#This Row],[Affected Equipment ]],'Basic Data '!A:A,'Basic Data '!C:C),"")</f>
        <v>4.0000000000000001E-3</v>
      </c>
      <c r="U415" s="59" t="s">
        <v>1260</v>
      </c>
      <c r="V415" s="88"/>
      <c r="W415" s="265" t="s">
        <v>1300</v>
      </c>
      <c r="X415" s="359">
        <v>0.2076388888888889</v>
      </c>
      <c r="Y415" s="359">
        <v>0.375</v>
      </c>
      <c r="Z415" s="359">
        <v>0.40972222222222227</v>
      </c>
      <c r="AA415" s="359">
        <v>0.4236111111111111</v>
      </c>
      <c r="AB415" s="158">
        <f>IF(PA[[#This Row],[Acknowledgement Time ]]="NA","",(PA[[#This Row],[Acknowledgement Time ]]-PA[[#This Row],[Fault Time]])*24)</f>
        <v>4.0166666666666666</v>
      </c>
      <c r="AC415" s="158">
        <f>IF(PA[[#This Row],[Work Start time on Fault]]="NA","",(PA[[#This Row],[Work Start time on Fault]]-PA[[#This Row],[Fault Time]])*24)</f>
        <v>4.8500000000000005</v>
      </c>
      <c r="AD415" s="112">
        <f>IF(PA[[#This Row],[Status]]="Open","",(PA[[#This Row],[Work Completion time on fault]]-PA[[#This Row],[Fault Time]])*24)</f>
        <v>5.1833333333333327</v>
      </c>
      <c r="AE415" s="111">
        <f>IFERROR((PA[[#This Row],[Work Completion time on fault]]-PA[[#This Row],[Fault Time]])*24,"")</f>
        <v>5.1833333333333327</v>
      </c>
      <c r="AF415" s="228" t="s">
        <v>1300</v>
      </c>
      <c r="AG415" s="6" t="s">
        <v>1275</v>
      </c>
      <c r="AH415" s="53">
        <f>IFERROR(PA[[#This Row],[Breakdown Time]]*PA[[#This Row],[Plant Equivalent Weightage]],"")</f>
        <v>2.0733333333333333E-2</v>
      </c>
      <c r="AI415" s="59">
        <v>1.135</v>
      </c>
      <c r="AJ415" s="89">
        <f>IFERROR(IF(PA[[#This Row],[Lost PoA(kWh/m2)]]&gt;0,_xlfn.XLOOKUP(G415,'Modelling New'!$D:$D,'Modelling New'!$O:$O)*PA[[#This Row],[Lost PoA(kWh/m2)]]*S415,0),"")</f>
        <v>19.196450080068601</v>
      </c>
      <c r="AK415" s="365"/>
      <c r="AL415" s="365"/>
    </row>
    <row r="416" spans="1:38" ht="30" hidden="1" x14ac:dyDescent="0.25">
      <c r="A416" s="229">
        <v>2108</v>
      </c>
      <c r="B416" s="233">
        <v>45830</v>
      </c>
      <c r="C416" s="333">
        <v>2025</v>
      </c>
      <c r="D416" s="348">
        <f>YEAR(PA[[#This Row],[Date]])</f>
        <v>2025</v>
      </c>
      <c r="E416" s="373" t="s">
        <v>73</v>
      </c>
      <c r="F416" s="374" t="s">
        <v>73</v>
      </c>
      <c r="G416" s="323">
        <v>45809</v>
      </c>
      <c r="H416" s="365">
        <f>DAY(EOMONTH(PA[[#This Row],[Date]], 0))</f>
        <v>30</v>
      </c>
      <c r="I416" s="361">
        <v>0.2076388888888889</v>
      </c>
      <c r="J416" s="361">
        <v>0.7583333333333333</v>
      </c>
      <c r="K416" s="53">
        <f>IFERROR((PA[[#This Row],[Sunset Time (POA&lt;20 W/m2)]]-PA[[#This Row],[Sunrise Time (POA&gt;20 W/m2)]])*24,"")</f>
        <v>13.216666666666665</v>
      </c>
      <c r="L416" s="59" t="s">
        <v>615</v>
      </c>
      <c r="M416" s="59"/>
      <c r="N416" s="59"/>
      <c r="O416" s="59" t="s">
        <v>581</v>
      </c>
      <c r="P416" s="56"/>
      <c r="Q416" s="6"/>
      <c r="R41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BLK6INV32</v>
      </c>
      <c r="S416" s="53">
        <v>22.25</v>
      </c>
      <c r="T416" s="90">
        <f>IFERROR(_xlfn.XLOOKUP(PA[[#This Row],[Affected Equipment ]],'Basic Data '!A:A,'Basic Data '!C:C),"")</f>
        <v>4.1198501872659176E-3</v>
      </c>
      <c r="U416" s="59" t="s">
        <v>1260</v>
      </c>
      <c r="V416" s="88"/>
      <c r="W416" s="265" t="s">
        <v>1300</v>
      </c>
      <c r="X416" s="359">
        <v>0.2076388888888889</v>
      </c>
      <c r="Y416" s="359">
        <v>0.375</v>
      </c>
      <c r="Z416" s="359">
        <v>0.41666666666666669</v>
      </c>
      <c r="AA416" s="359">
        <v>0.4375</v>
      </c>
      <c r="AB416" s="158">
        <f>IF(PA[[#This Row],[Acknowledgement Time ]]="NA","",(PA[[#This Row],[Acknowledgement Time ]]-PA[[#This Row],[Fault Time]])*24)</f>
        <v>4.0166666666666666</v>
      </c>
      <c r="AC416" s="158">
        <f>IF(PA[[#This Row],[Work Start time on Fault]]="NA","",(PA[[#This Row],[Work Start time on Fault]]-PA[[#This Row],[Fault Time]])*24)</f>
        <v>5.0166666666666666</v>
      </c>
      <c r="AD416" s="112">
        <f>IF(PA[[#This Row],[Status]]="Open","",(PA[[#This Row],[Work Completion time on fault]]-PA[[#This Row],[Fault Time]])*24)</f>
        <v>5.5166666666666666</v>
      </c>
      <c r="AE416" s="111">
        <f>IFERROR((PA[[#This Row],[Work Completion time on fault]]-PA[[#This Row],[Fault Time]])*24,"")</f>
        <v>5.5166666666666666</v>
      </c>
      <c r="AF416" s="228" t="s">
        <v>1300</v>
      </c>
      <c r="AG416" s="6" t="s">
        <v>1275</v>
      </c>
      <c r="AH416" s="53">
        <f>IFERROR(PA[[#This Row],[Breakdown Time]]*PA[[#This Row],[Plant Equivalent Weightage]],"")</f>
        <v>2.2727840199750313E-2</v>
      </c>
      <c r="AI416" s="59">
        <v>1.2190000000000001</v>
      </c>
      <c r="AJ416" s="89">
        <f>IFERROR(IF(PA[[#This Row],[Lost PoA(kWh/m2)]]&gt;0,_xlfn.XLOOKUP(G416,'Modelling New'!$D:$D,'Modelling New'!$O:$O)*PA[[#This Row],[Lost PoA(kWh/m2)]]*S416,0),"")</f>
        <v>20.617156517712445</v>
      </c>
      <c r="AK416" s="365"/>
      <c r="AL416" s="365"/>
    </row>
    <row r="417" spans="1:38" ht="30" hidden="1" x14ac:dyDescent="0.25">
      <c r="A417" s="229">
        <v>2109</v>
      </c>
      <c r="B417" s="233">
        <v>45830</v>
      </c>
      <c r="C417" s="333">
        <v>2025</v>
      </c>
      <c r="D417" s="348">
        <f>YEAR(PA[[#This Row],[Date]])</f>
        <v>2025</v>
      </c>
      <c r="E417" s="373" t="s">
        <v>73</v>
      </c>
      <c r="F417" s="374" t="s">
        <v>73</v>
      </c>
      <c r="G417" s="323">
        <v>45809</v>
      </c>
      <c r="H417" s="365">
        <f>DAY(EOMONTH(PA[[#This Row],[Date]], 0))</f>
        <v>30</v>
      </c>
      <c r="I417" s="361">
        <v>0.2076388888888889</v>
      </c>
      <c r="J417" s="361">
        <v>0.7583333333333333</v>
      </c>
      <c r="K417" s="53">
        <f>IFERROR((PA[[#This Row],[Sunset Time (POA&lt;20 W/m2)]]-PA[[#This Row],[Sunrise Time (POA&gt;20 W/m2)]])*24,"")</f>
        <v>13.216666666666665</v>
      </c>
      <c r="L417" s="59" t="s">
        <v>621</v>
      </c>
      <c r="M417" s="59"/>
      <c r="N417" s="59"/>
      <c r="O417" s="59" t="s">
        <v>600</v>
      </c>
      <c r="P417" s="56"/>
      <c r="Q417" s="6"/>
      <c r="R41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BLK4INV17</v>
      </c>
      <c r="S417" s="53">
        <v>22.25</v>
      </c>
      <c r="T417" s="90">
        <f>IFERROR(_xlfn.XLOOKUP(PA[[#This Row],[Affected Equipment ]],'Basic Data '!A:A,'Basic Data '!C:C),"")</f>
        <v>4.3333333333333331E-3</v>
      </c>
      <c r="U417" s="59" t="s">
        <v>1260</v>
      </c>
      <c r="V417" s="88"/>
      <c r="W417" s="265" t="s">
        <v>1296</v>
      </c>
      <c r="X417" s="359">
        <v>0.2076388888888889</v>
      </c>
      <c r="Y417" s="359">
        <v>0.375</v>
      </c>
      <c r="Z417" s="359">
        <v>0.43402777777777773</v>
      </c>
      <c r="AA417" s="359">
        <v>0.44791666666666669</v>
      </c>
      <c r="AB417" s="158">
        <f>IF(PA[[#This Row],[Acknowledgement Time ]]="NA","",(PA[[#This Row],[Acknowledgement Time ]]-PA[[#This Row],[Fault Time]])*24)</f>
        <v>4.0166666666666666</v>
      </c>
      <c r="AC417" s="158">
        <f>IF(PA[[#This Row],[Work Start time on Fault]]="NA","",(PA[[#This Row],[Work Start time on Fault]]-PA[[#This Row],[Fault Time]])*24)</f>
        <v>5.4333333333333318</v>
      </c>
      <c r="AD417" s="112">
        <f>IF(PA[[#This Row],[Status]]="Open","",(PA[[#This Row],[Work Completion time on fault]]-PA[[#This Row],[Fault Time]])*24)</f>
        <v>5.7666666666666666</v>
      </c>
      <c r="AE417" s="111">
        <f>IFERROR((PA[[#This Row],[Work Completion time on fault]]-PA[[#This Row],[Fault Time]])*24,"")</f>
        <v>5.7666666666666666</v>
      </c>
      <c r="AF417" s="228" t="s">
        <v>1298</v>
      </c>
      <c r="AG417" s="6" t="s">
        <v>1275</v>
      </c>
      <c r="AH417" s="53">
        <f>IFERROR(PA[[#This Row],[Breakdown Time]]*PA[[#This Row],[Plant Equivalent Weightage]],"")</f>
        <v>2.4988888888888887E-2</v>
      </c>
      <c r="AI417" s="59">
        <v>1.663</v>
      </c>
      <c r="AJ417" s="89">
        <f>IFERROR(IF(PA[[#This Row],[Lost PoA(kWh/m2)]]&gt;0,_xlfn.XLOOKUP(G417,'Modelling New'!$D:$D,'Modelling New'!$O:$O)*PA[[#This Row],[Lost PoA(kWh/m2)]]*S417,0),"")</f>
        <v>28.126604830972759</v>
      </c>
      <c r="AK417" s="365"/>
      <c r="AL417" s="365"/>
    </row>
    <row r="418" spans="1:38" ht="30" hidden="1" x14ac:dyDescent="0.25">
      <c r="A418" s="229">
        <v>2110</v>
      </c>
      <c r="B418" s="233">
        <v>45830</v>
      </c>
      <c r="C418" s="333">
        <v>2025</v>
      </c>
      <c r="D418" s="364">
        <f>YEAR(PA[[#This Row],[Date]])</f>
        <v>2025</v>
      </c>
      <c r="E418" s="373" t="s">
        <v>73</v>
      </c>
      <c r="F418" s="374" t="s">
        <v>73</v>
      </c>
      <c r="G418" s="323">
        <v>45809</v>
      </c>
      <c r="H418" s="365">
        <f>DAY(EOMONTH(PA[[#This Row],[Date]], 0))</f>
        <v>30</v>
      </c>
      <c r="I418" s="361">
        <v>0.2076388888888889</v>
      </c>
      <c r="J418" s="361">
        <v>0.7583333333333333</v>
      </c>
      <c r="K418" s="131">
        <f>IFERROR((PA[[#This Row],[Sunset Time (POA&lt;20 W/m2)]]-PA[[#This Row],[Sunrise Time (POA&gt;20 W/m2)]])*24,"")</f>
        <v>13.216666666666665</v>
      </c>
      <c r="L418" s="128" t="s">
        <v>621</v>
      </c>
      <c r="M418" s="128"/>
      <c r="N418" s="128"/>
      <c r="O418" s="128" t="s">
        <v>578</v>
      </c>
      <c r="P418" s="130"/>
      <c r="Q418" s="129"/>
      <c r="R418"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BLK4INV12</v>
      </c>
      <c r="S418" s="131">
        <v>12</v>
      </c>
      <c r="T418" s="132">
        <f>IFERROR(_xlfn.XLOOKUP(PA[[#This Row],[Affected Equipment ]],'Basic Data '!A:A,'Basic Data '!C:C),"")</f>
        <v>4.0000000000000001E-3</v>
      </c>
      <c r="U418" s="59" t="s">
        <v>1260</v>
      </c>
      <c r="V418" s="117"/>
      <c r="W418" s="265" t="s">
        <v>1297</v>
      </c>
      <c r="X418" s="359">
        <v>0.2076388888888889</v>
      </c>
      <c r="Y418" s="359">
        <v>0.375</v>
      </c>
      <c r="Z418" s="366">
        <v>0.43958333333333338</v>
      </c>
      <c r="AA418" s="366">
        <v>0.4513888888888889</v>
      </c>
      <c r="AB418" s="159">
        <f>IF(PA[[#This Row],[Acknowledgement Time ]]="NA","",(PA[[#This Row],[Acknowledgement Time ]]-PA[[#This Row],[Fault Time]])*24)</f>
        <v>4.0166666666666666</v>
      </c>
      <c r="AC418" s="159">
        <f>IF(PA[[#This Row],[Work Start time on Fault]]="NA","",(PA[[#This Row],[Work Start time on Fault]]-PA[[#This Row],[Fault Time]])*24)</f>
        <v>5.5666666666666673</v>
      </c>
      <c r="AD418" s="135">
        <f>IF(PA[[#This Row],[Status]]="Open","",(PA[[#This Row],[Work Completion time on fault]]-PA[[#This Row],[Fault Time]])*24)</f>
        <v>5.85</v>
      </c>
      <c r="AE418" s="134">
        <f>IFERROR((PA[[#This Row],[Work Completion time on fault]]-PA[[#This Row],[Fault Time]])*24,"")</f>
        <v>5.85</v>
      </c>
      <c r="AF418" s="226" t="s">
        <v>1299</v>
      </c>
      <c r="AG418" s="6" t="s">
        <v>1275</v>
      </c>
      <c r="AH418" s="131">
        <f>IFERROR(PA[[#This Row],[Breakdown Time]]*PA[[#This Row],[Plant Equivalent Weightage]],"")</f>
        <v>2.3400000000000001E-2</v>
      </c>
      <c r="AI418" s="128">
        <v>1.7170000000000001</v>
      </c>
      <c r="AJ418" s="89">
        <f>IFERROR(IF(PA[[#This Row],[Lost PoA(kWh/m2)]]&gt;0,_xlfn.XLOOKUP(G418,'Modelling New'!$D:$D,'Modelling New'!$O:$O)*PA[[#This Row],[Lost PoA(kWh/m2)]]*S418,0),"")</f>
        <v>15.661977229113834</v>
      </c>
      <c r="AK418" s="365"/>
      <c r="AL418" s="365"/>
    </row>
    <row r="419" spans="1:38" ht="30" hidden="1" x14ac:dyDescent="0.25">
      <c r="A419" s="229">
        <v>2111</v>
      </c>
      <c r="B419" s="233">
        <v>45830</v>
      </c>
      <c r="C419" s="333">
        <v>2025</v>
      </c>
      <c r="D419" s="348">
        <f>YEAR(PA[[#This Row],[Date]])</f>
        <v>2025</v>
      </c>
      <c r="E419" s="373" t="s">
        <v>73</v>
      </c>
      <c r="F419" s="374" t="s">
        <v>73</v>
      </c>
      <c r="G419" s="323">
        <v>45809</v>
      </c>
      <c r="H419">
        <f>DAY(EOMONTH(PA[[#This Row],[Date]], 0))</f>
        <v>30</v>
      </c>
      <c r="I419" s="361">
        <v>0.2076388888888889</v>
      </c>
      <c r="J419" s="361">
        <v>0.7583333333333333</v>
      </c>
      <c r="K419" s="53">
        <f>IFERROR((PA[[#This Row],[Sunset Time (POA&lt;20 W/m2)]]-PA[[#This Row],[Sunrise Time (POA&gt;20 W/m2)]])*24,"")</f>
        <v>13.216666666666665</v>
      </c>
      <c r="L419" s="59" t="s">
        <v>621</v>
      </c>
      <c r="M419" s="59"/>
      <c r="N419" s="59"/>
      <c r="O419" s="59" t="s">
        <v>637</v>
      </c>
      <c r="P419" s="56"/>
      <c r="Q419" s="6"/>
      <c r="R41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419" s="53">
        <v>12</v>
      </c>
      <c r="T419" s="90">
        <f>IFERROR(_xlfn.XLOOKUP(PA[[#This Row],[Affected Equipment ]],'Basic Data '!A:A,'Basic Data '!C:C),"")</f>
        <v>4.0000000000000001E-3</v>
      </c>
      <c r="U419" s="59" t="s">
        <v>1260</v>
      </c>
      <c r="V419" s="88"/>
      <c r="W419" s="265" t="s">
        <v>1271</v>
      </c>
      <c r="X419" s="359">
        <v>0.2076388888888889</v>
      </c>
      <c r="Y419" s="359"/>
      <c r="Z419" s="359"/>
      <c r="AA419" s="359">
        <v>0.7583333333333333</v>
      </c>
      <c r="AB419" s="158">
        <f>IF(PA[[#This Row],[Acknowledgement Time ]]="NA","",(PA[[#This Row],[Acknowledgement Time ]]-PA[[#This Row],[Fault Time]])*24)</f>
        <v>-4.9833333333333334</v>
      </c>
      <c r="AC419" s="158">
        <f>IF(PA[[#This Row],[Work Start time on Fault]]="NA","",(PA[[#This Row],[Work Start time on Fault]]-PA[[#This Row],[Fault Time]])*24)</f>
        <v>-4.9833333333333334</v>
      </c>
      <c r="AD419" s="112">
        <f>IF(PA[[#This Row],[Status]]="Open","",(PA[[#This Row],[Work Completion time on fault]]-PA[[#This Row],[Fault Time]])*24)</f>
        <v>13.216666666666665</v>
      </c>
      <c r="AE419" s="111">
        <f>IFERROR((PA[[#This Row],[Work Completion time on fault]]-PA[[#This Row],[Fault Time]])*24,"")</f>
        <v>13.216666666666665</v>
      </c>
      <c r="AF419" s="228" t="s">
        <v>1271</v>
      </c>
      <c r="AG419" s="6" t="s">
        <v>1275</v>
      </c>
      <c r="AH419" s="53">
        <f>IFERROR(PA[[#This Row],[Breakdown Time]]*PA[[#This Row],[Plant Equivalent Weightage]],"")</f>
        <v>5.2866666666666659E-2</v>
      </c>
      <c r="AI419" s="59">
        <v>5.3</v>
      </c>
      <c r="AJ419" s="89">
        <f>IFERROR(IF(PA[[#This Row],[Lost PoA(kWh/m2)]]&gt;0,_xlfn.XLOOKUP(G419,'Modelling New'!$D:$D,'Modelling New'!$O:$O)*PA[[#This Row],[Lost PoA(kWh/m2)]]*S419,0),"")</f>
        <v>48.345066577928542</v>
      </c>
    </row>
    <row r="420" spans="1:38" ht="30" hidden="1" x14ac:dyDescent="0.25">
      <c r="A420" s="229">
        <v>2112</v>
      </c>
      <c r="B420" s="233">
        <v>45830</v>
      </c>
      <c r="C420" s="333">
        <v>2025</v>
      </c>
      <c r="D420" s="348">
        <f>YEAR(PA[[#This Row],[Date]])</f>
        <v>2025</v>
      </c>
      <c r="E420" s="373" t="s">
        <v>73</v>
      </c>
      <c r="F420" s="374" t="s">
        <v>73</v>
      </c>
      <c r="G420" s="323">
        <v>45809</v>
      </c>
      <c r="H420">
        <f>DAY(EOMONTH(PA[[#This Row],[Date]], 0))</f>
        <v>30</v>
      </c>
      <c r="I420" s="361">
        <v>0.2076388888888889</v>
      </c>
      <c r="J420" s="361">
        <v>0.7583333333333333</v>
      </c>
      <c r="K420" s="53">
        <f>IFERROR((PA[[#This Row],[Sunset Time (POA&lt;20 W/m2)]]-PA[[#This Row],[Sunrise Time (POA&gt;20 W/m2)]])*24,"")</f>
        <v>13.216666666666665</v>
      </c>
      <c r="L420" s="59" t="s">
        <v>621</v>
      </c>
      <c r="M420" s="59"/>
      <c r="N420" s="59"/>
      <c r="O420" s="59" t="s">
        <v>612</v>
      </c>
      <c r="P420" s="56"/>
      <c r="Q420" s="6"/>
      <c r="R42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420" s="53">
        <v>22.25</v>
      </c>
      <c r="T420" s="90">
        <f>IFERROR(_xlfn.XLOOKUP(PA[[#This Row],[Affected Equipment ]],'Basic Data '!A:A,'Basic Data '!C:C),"")</f>
        <v>4.4999999999999997E-3</v>
      </c>
      <c r="U420" s="59" t="s">
        <v>1260</v>
      </c>
      <c r="V420" s="88"/>
      <c r="W420" s="265" t="s">
        <v>1295</v>
      </c>
      <c r="X420" s="359">
        <v>0.2076388888888889</v>
      </c>
      <c r="Y420" s="359"/>
      <c r="Z420" s="359"/>
      <c r="AA420" s="359">
        <v>0.7583333333333333</v>
      </c>
      <c r="AB420" s="158">
        <f>IF(PA[[#This Row],[Acknowledgement Time ]]="NA","",(PA[[#This Row],[Acknowledgement Time ]]-PA[[#This Row],[Fault Time]])*24)</f>
        <v>-4.9833333333333334</v>
      </c>
      <c r="AC420" s="158">
        <f>IF(PA[[#This Row],[Work Start time on Fault]]="NA","",(PA[[#This Row],[Work Start time on Fault]]-PA[[#This Row],[Fault Time]])*24)</f>
        <v>-4.9833333333333334</v>
      </c>
      <c r="AD420" s="112">
        <f>IF(PA[[#This Row],[Status]]="Open","",(PA[[#This Row],[Work Completion time on fault]]-PA[[#This Row],[Fault Time]])*24)</f>
        <v>13.216666666666665</v>
      </c>
      <c r="AE420" s="111">
        <f>IFERROR((PA[[#This Row],[Work Completion time on fault]]-PA[[#This Row],[Fault Time]])*24,"")</f>
        <v>13.216666666666665</v>
      </c>
      <c r="AF420" s="228" t="s">
        <v>1295</v>
      </c>
      <c r="AG420" s="6" t="s">
        <v>1275</v>
      </c>
      <c r="AH420" s="53">
        <f>IFERROR(PA[[#This Row],[Breakdown Time]]*PA[[#This Row],[Plant Equivalent Weightage]],"")</f>
        <v>5.9474999999999986E-2</v>
      </c>
      <c r="AI420" s="59">
        <v>5.3</v>
      </c>
      <c r="AJ420" s="89">
        <f>IFERROR(IF(PA[[#This Row],[Lost PoA(kWh/m2)]]&gt;0,_xlfn.XLOOKUP(G420,'Modelling New'!$D:$D,'Modelling New'!$O:$O)*PA[[#This Row],[Lost PoA(kWh/m2)]]*S420,0),"")</f>
        <v>89.639810946575835</v>
      </c>
    </row>
    <row r="421" spans="1:38" ht="30" hidden="1" x14ac:dyDescent="0.25">
      <c r="A421" s="229">
        <v>2113</v>
      </c>
      <c r="B421" s="233">
        <v>45830</v>
      </c>
      <c r="C421" s="333">
        <v>2025</v>
      </c>
      <c r="D421" s="364">
        <f>YEAR(PA[[#This Row],[Date]])</f>
        <v>2025</v>
      </c>
      <c r="E421" s="373" t="s">
        <v>73</v>
      </c>
      <c r="F421" s="374" t="s">
        <v>73</v>
      </c>
      <c r="G421" s="323">
        <v>45809</v>
      </c>
      <c r="H421" s="365">
        <f>DAY(EOMONTH(PA[[#This Row],[Date]], 0))</f>
        <v>30</v>
      </c>
      <c r="I421" s="361">
        <v>0.2076388888888889</v>
      </c>
      <c r="J421" s="361">
        <v>0.7583333333333333</v>
      </c>
      <c r="K421" s="131">
        <f>IFERROR((PA[[#This Row],[Sunset Time (POA&lt;20 W/m2)]]-PA[[#This Row],[Sunrise Time (POA&gt;20 W/m2)]])*24,"")</f>
        <v>13.216666666666665</v>
      </c>
      <c r="L421" s="128" t="s">
        <v>587</v>
      </c>
      <c r="M421" s="128"/>
      <c r="N421" s="128"/>
      <c r="O421" s="128" t="s">
        <v>581</v>
      </c>
      <c r="P421" s="130"/>
      <c r="Q421" s="129"/>
      <c r="R421"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BLK1INV32</v>
      </c>
      <c r="S421" s="131">
        <v>12</v>
      </c>
      <c r="T421" s="132">
        <f>IFERROR(_xlfn.XLOOKUP(PA[[#This Row],[Affected Equipment ]],'Basic Data '!A:A,'Basic Data '!C:C),"")</f>
        <v>4.4999999999999997E-3</v>
      </c>
      <c r="U421" s="59" t="s">
        <v>1260</v>
      </c>
      <c r="V421" s="117"/>
      <c r="W421" s="375" t="s">
        <v>1271</v>
      </c>
      <c r="X421" s="359">
        <v>0.2076388888888889</v>
      </c>
      <c r="Y421" s="366"/>
      <c r="Z421" s="366"/>
      <c r="AA421" s="359">
        <v>0.7583333333333333</v>
      </c>
      <c r="AB421" s="159">
        <f>IF(PA[[#This Row],[Acknowledgement Time ]]="NA","",(PA[[#This Row],[Acknowledgement Time ]]-PA[[#This Row],[Fault Time]])*24)</f>
        <v>-4.9833333333333334</v>
      </c>
      <c r="AC421" s="159">
        <f>IF(PA[[#This Row],[Work Start time on Fault]]="NA","",(PA[[#This Row],[Work Start time on Fault]]-PA[[#This Row],[Fault Time]])*24)</f>
        <v>-4.9833333333333334</v>
      </c>
      <c r="AD421" s="135">
        <f>IF(PA[[#This Row],[Status]]="Open","",(PA[[#This Row],[Work Completion time on fault]]-PA[[#This Row],[Fault Time]])*24)</f>
        <v>13.216666666666665</v>
      </c>
      <c r="AE421" s="134">
        <f>IFERROR((PA[[#This Row],[Work Completion time on fault]]-PA[[#This Row],[Fault Time]])*24,"")</f>
        <v>13.216666666666665</v>
      </c>
      <c r="AF421" s="226" t="s">
        <v>1271</v>
      </c>
      <c r="AG421" s="6" t="s">
        <v>1275</v>
      </c>
      <c r="AH421" s="131">
        <f>IFERROR(PA[[#This Row],[Breakdown Time]]*PA[[#This Row],[Plant Equivalent Weightage]],"")</f>
        <v>5.9474999999999986E-2</v>
      </c>
      <c r="AI421" s="59">
        <v>5.3</v>
      </c>
      <c r="AJ421" s="89">
        <f>IFERROR(IF(PA[[#This Row],[Lost PoA(kWh/m2)]]&gt;0,_xlfn.XLOOKUP(G421,'Modelling New'!$D:$D,'Modelling New'!$O:$O)*PA[[#This Row],[Lost PoA(kWh/m2)]]*S421,0),"")</f>
        <v>48.345066577928542</v>
      </c>
      <c r="AK421" s="365"/>
      <c r="AL421" s="365"/>
    </row>
    <row r="422" spans="1:38" ht="60" hidden="1" x14ac:dyDescent="0.25">
      <c r="A422" s="229">
        <v>2114</v>
      </c>
      <c r="B422" s="233">
        <v>45831</v>
      </c>
      <c r="C422" s="333">
        <v>2025</v>
      </c>
      <c r="D422" s="348">
        <f>YEAR(PA[[#This Row],[Date]])</f>
        <v>2025</v>
      </c>
      <c r="E422" s="373" t="s">
        <v>73</v>
      </c>
      <c r="F422" s="374" t="s">
        <v>73</v>
      </c>
      <c r="G422" s="323">
        <v>45809</v>
      </c>
      <c r="H422">
        <f>DAY(EOMONTH(PA[[#This Row],[Date]], 0))</f>
        <v>30</v>
      </c>
      <c r="I422" s="361">
        <v>0.21666666666666667</v>
      </c>
      <c r="J422" s="361">
        <v>0.77083333333333337</v>
      </c>
      <c r="K422" s="53">
        <f>IFERROR((PA[[#This Row],[Sunset Time (POA&lt;20 W/m2)]]-PA[[#This Row],[Sunrise Time (POA&gt;20 W/m2)]])*24,"")</f>
        <v>13.3</v>
      </c>
      <c r="L422" s="128" t="s">
        <v>587</v>
      </c>
      <c r="M422" s="59"/>
      <c r="N422" s="59"/>
      <c r="O422" s="59" t="s">
        <v>634</v>
      </c>
      <c r="P422" s="56"/>
      <c r="Q422" s="6"/>
      <c r="R42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BLK1INV9</v>
      </c>
      <c r="S422" s="53">
        <f>_xlfn.XLOOKUP(PA[[#This Row],[Affected Equipment ]],'Basic Data '!$A:$A,'Basic Data '!$B:$B)</f>
        <v>278.125</v>
      </c>
      <c r="T422" s="90">
        <f>IFERROR(_xlfn.XLOOKUP(PA[[#This Row],[Affected Equipment ]],'Basic Data '!A:A,'Basic Data '!C:C),"")</f>
        <v>4.1666666666666666E-3</v>
      </c>
      <c r="U422" s="59" t="s">
        <v>566</v>
      </c>
      <c r="V422" s="88"/>
      <c r="W422" s="265" t="s">
        <v>1293</v>
      </c>
      <c r="X422" s="359">
        <v>0.22916666666666666</v>
      </c>
      <c r="Y422" s="359">
        <v>0.28819444444444448</v>
      </c>
      <c r="Z422" s="359">
        <v>0.3125</v>
      </c>
      <c r="AA422" s="359">
        <v>0.34375</v>
      </c>
      <c r="AB422" s="158">
        <f>IF(PA[[#This Row],[Acknowledgement Time ]]="NA","",(PA[[#This Row],[Acknowledgement Time ]]-PA[[#This Row],[Fault Time]])*24)</f>
        <v>1.4166666666666676</v>
      </c>
      <c r="AC422" s="158">
        <f>IF(PA[[#This Row],[Work Start time on Fault]]="NA","",(PA[[#This Row],[Work Start time on Fault]]-PA[[#This Row],[Fault Time]])*24)</f>
        <v>2</v>
      </c>
      <c r="AD422" s="112">
        <f>IF(PA[[#This Row],[Status]]="Open","",(PA[[#This Row],[Work Completion time on fault]]-PA[[#This Row],[Fault Time]])*24)</f>
        <v>2.75</v>
      </c>
      <c r="AE422" s="111">
        <f>IFERROR((PA[[#This Row],[Work Completion time on fault]]-PA[[#This Row],[Fault Time]])*24,"")</f>
        <v>2.75</v>
      </c>
      <c r="AF422" s="228" t="s">
        <v>1293</v>
      </c>
      <c r="AG422" s="6" t="s">
        <v>1275</v>
      </c>
      <c r="AH422" s="53">
        <f>IFERROR(PA[[#This Row],[Breakdown Time]]*PA[[#This Row],[Plant Equivalent Weightage]],"")</f>
        <v>1.1458333333333333E-2</v>
      </c>
      <c r="AI422" s="59">
        <v>0.222</v>
      </c>
      <c r="AJ422" s="89">
        <f>IFERROR(IF(PA[[#This Row],[Lost PoA(kWh/m2)]]&gt;0,_xlfn.XLOOKUP(G422,'Modelling New'!$D:$D,'Modelling New'!$O:$O)*PA[[#This Row],[Lost PoA(kWh/m2)]]*S422,0),"")</f>
        <v>46.934051957876967</v>
      </c>
    </row>
    <row r="423" spans="1:38" ht="60" hidden="1" x14ac:dyDescent="0.25">
      <c r="A423" s="229">
        <v>2115</v>
      </c>
      <c r="B423" s="233">
        <v>45831</v>
      </c>
      <c r="C423" s="333">
        <v>2025</v>
      </c>
      <c r="D423" s="348">
        <f>YEAR(PA[[#This Row],[Date]])</f>
        <v>2025</v>
      </c>
      <c r="E423" s="373" t="s">
        <v>73</v>
      </c>
      <c r="F423" s="374" t="s">
        <v>73</v>
      </c>
      <c r="G423" s="323">
        <v>45809</v>
      </c>
      <c r="H423">
        <f>DAY(EOMONTH(PA[[#This Row],[Date]], 0))</f>
        <v>30</v>
      </c>
      <c r="I423" s="361">
        <v>0.21666666666666667</v>
      </c>
      <c r="J423" s="361">
        <v>0.77083333333333337</v>
      </c>
      <c r="K423" s="53">
        <f>IFERROR((PA[[#This Row],[Sunset Time (POA&lt;20 W/m2)]]-PA[[#This Row],[Sunrise Time (POA&gt;20 W/m2)]])*24,"")</f>
        <v>13.3</v>
      </c>
      <c r="L423" s="128" t="s">
        <v>559</v>
      </c>
      <c r="M423" s="59"/>
      <c r="N423" s="59"/>
      <c r="O423" s="59" t="s">
        <v>618</v>
      </c>
      <c r="P423" s="56"/>
      <c r="Q423" s="6"/>
      <c r="R42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BLK2INV15</v>
      </c>
      <c r="S423" s="53">
        <f>_xlfn.XLOOKUP(PA[[#This Row],[Affected Equipment ]],'Basic Data '!$A:$A,'Basic Data '!$B:$B)</f>
        <v>267</v>
      </c>
      <c r="T423" s="90">
        <f>IFERROR(_xlfn.XLOOKUP(PA[[#This Row],[Affected Equipment ]],'Basic Data '!A:A,'Basic Data '!C:C),"")</f>
        <v>4.0000000000000001E-3</v>
      </c>
      <c r="U423" s="59" t="s">
        <v>566</v>
      </c>
      <c r="V423" s="88"/>
      <c r="W423" s="265" t="s">
        <v>1293</v>
      </c>
      <c r="X423" s="359">
        <v>0.22916666666666666</v>
      </c>
      <c r="Y423" s="359">
        <v>0.28819444444444448</v>
      </c>
      <c r="Z423" s="359">
        <v>0.33333333333333331</v>
      </c>
      <c r="AA423" s="359">
        <v>0.35416666666666669</v>
      </c>
      <c r="AB423" s="158">
        <f>IF(PA[[#This Row],[Acknowledgement Time ]]="NA","",(PA[[#This Row],[Acknowledgement Time ]]-PA[[#This Row],[Fault Time]])*24)</f>
        <v>1.4166666666666676</v>
      </c>
      <c r="AC423" s="158">
        <f>IF(PA[[#This Row],[Work Start time on Fault]]="NA","",(PA[[#This Row],[Work Start time on Fault]]-PA[[#This Row],[Fault Time]])*24)</f>
        <v>2.5</v>
      </c>
      <c r="AD423" s="112">
        <f>IF(PA[[#This Row],[Status]]="Open","",(PA[[#This Row],[Work Completion time on fault]]-PA[[#This Row],[Fault Time]])*24)</f>
        <v>3.0000000000000009</v>
      </c>
      <c r="AE423" s="111">
        <f>IFERROR((PA[[#This Row],[Work Completion time on fault]]-PA[[#This Row],[Fault Time]])*24,"")</f>
        <v>3.0000000000000009</v>
      </c>
      <c r="AF423" s="228" t="s">
        <v>1293</v>
      </c>
      <c r="AG423" s="6" t="s">
        <v>1275</v>
      </c>
      <c r="AH423" s="53">
        <f>IFERROR(PA[[#This Row],[Breakdown Time]]*PA[[#This Row],[Plant Equivalent Weightage]],"")</f>
        <v>1.2000000000000004E-2</v>
      </c>
      <c r="AI423" s="59">
        <v>0.29299999999999998</v>
      </c>
      <c r="AJ423" s="89">
        <f>IFERROR(IF(PA[[#This Row],[Lost PoA(kWh/m2)]]&gt;0,_xlfn.XLOOKUP(G423,'Modelling New'!$D:$D,'Modelling New'!$O:$O)*PA[[#This Row],[Lost PoA(kWh/m2)]]*S423,0),"")</f>
        <v>59.466712318520869</v>
      </c>
    </row>
    <row r="424" spans="1:38" ht="60" hidden="1" x14ac:dyDescent="0.25">
      <c r="A424" s="229">
        <v>2116</v>
      </c>
      <c r="B424" s="233">
        <v>45831</v>
      </c>
      <c r="C424" s="333">
        <v>2025</v>
      </c>
      <c r="D424" s="348">
        <f>YEAR(PA[[#This Row],[Date]])</f>
        <v>2025</v>
      </c>
      <c r="E424" s="373" t="s">
        <v>73</v>
      </c>
      <c r="F424" s="374" t="s">
        <v>73</v>
      </c>
      <c r="G424" s="323">
        <v>45809</v>
      </c>
      <c r="H424">
        <f>DAY(EOMONTH(PA[[#This Row],[Date]], 0))</f>
        <v>30</v>
      </c>
      <c r="I424" s="361">
        <v>0.21666666666666667</v>
      </c>
      <c r="J424" s="361">
        <v>0.77083333333333337</v>
      </c>
      <c r="K424" s="53">
        <f>IFERROR((PA[[#This Row],[Sunset Time (POA&lt;20 W/m2)]]-PA[[#This Row],[Sunrise Time (POA&gt;20 W/m2)]])*24,"")</f>
        <v>13.3</v>
      </c>
      <c r="L424" s="128" t="s">
        <v>559</v>
      </c>
      <c r="M424" s="59"/>
      <c r="N424" s="59"/>
      <c r="O424" s="59" t="s">
        <v>601</v>
      </c>
      <c r="P424" s="56"/>
      <c r="Q424" s="6"/>
      <c r="R42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BLK2INV18</v>
      </c>
      <c r="S424" s="53">
        <f>_xlfn.XLOOKUP(PA[[#This Row],[Affected Equipment ]],'Basic Data '!$A:$A,'Basic Data '!$B:$B)</f>
        <v>278.125</v>
      </c>
      <c r="T424" s="90">
        <f>IFERROR(_xlfn.XLOOKUP(PA[[#This Row],[Affected Equipment ]],'Basic Data '!A:A,'Basic Data '!C:C),"")</f>
        <v>4.1666666666666666E-3</v>
      </c>
      <c r="U424" s="59" t="s">
        <v>566</v>
      </c>
      <c r="V424" s="88"/>
      <c r="W424" s="265" t="s">
        <v>1293</v>
      </c>
      <c r="X424" s="359">
        <v>0.22916666666666666</v>
      </c>
      <c r="Y424" s="359">
        <v>0.28819444444444448</v>
      </c>
      <c r="Z424" s="359">
        <v>0.34375</v>
      </c>
      <c r="AA424" s="359">
        <v>0.36458333333333331</v>
      </c>
      <c r="AB424" s="158">
        <f>IF(PA[[#This Row],[Acknowledgement Time ]]="NA","",(PA[[#This Row],[Acknowledgement Time ]]-PA[[#This Row],[Fault Time]])*24)</f>
        <v>1.4166666666666676</v>
      </c>
      <c r="AC424" s="158">
        <f>IF(PA[[#This Row],[Work Start time on Fault]]="NA","",(PA[[#This Row],[Work Start time on Fault]]-PA[[#This Row],[Fault Time]])*24)</f>
        <v>2.75</v>
      </c>
      <c r="AD424" s="112">
        <f>IF(PA[[#This Row],[Status]]="Open","",(PA[[#This Row],[Work Completion time on fault]]-PA[[#This Row],[Fault Time]])*24)</f>
        <v>3.25</v>
      </c>
      <c r="AE424" s="111">
        <f>IFERROR((PA[[#This Row],[Work Completion time on fault]]-PA[[#This Row],[Fault Time]])*24,"")</f>
        <v>3.25</v>
      </c>
      <c r="AF424" s="228" t="s">
        <v>1293</v>
      </c>
      <c r="AG424" s="6" t="s">
        <v>1275</v>
      </c>
      <c r="AH424" s="53">
        <f>IFERROR(PA[[#This Row],[Breakdown Time]]*PA[[#This Row],[Plant Equivalent Weightage]],"")</f>
        <v>1.3541666666666667E-2</v>
      </c>
      <c r="AI424" s="59">
        <v>0.37</v>
      </c>
      <c r="AJ424" s="89">
        <f>IFERROR(IF(PA[[#This Row],[Lost PoA(kWh/m2)]]&gt;0,_xlfn.XLOOKUP(G424,'Modelling New'!$D:$D,'Modelling New'!$O:$O)*PA[[#This Row],[Lost PoA(kWh/m2)]]*S424,0),"")</f>
        <v>78.223419929794957</v>
      </c>
    </row>
    <row r="425" spans="1:38" ht="75" hidden="1" x14ac:dyDescent="0.25">
      <c r="A425" s="229">
        <v>2117</v>
      </c>
      <c r="B425" s="233">
        <v>45831</v>
      </c>
      <c r="C425" s="333">
        <v>2025</v>
      </c>
      <c r="D425" s="348">
        <f>YEAR(PA[[#This Row],[Date]])</f>
        <v>2025</v>
      </c>
      <c r="E425" s="373" t="s">
        <v>73</v>
      </c>
      <c r="F425" s="374" t="s">
        <v>73</v>
      </c>
      <c r="G425" s="323">
        <v>45809</v>
      </c>
      <c r="H425">
        <f>DAY(EOMONTH(PA[[#This Row],[Date]], 0))</f>
        <v>30</v>
      </c>
      <c r="I425" s="361">
        <v>0.21666666666666667</v>
      </c>
      <c r="J425" s="361">
        <v>0.77083333333333337</v>
      </c>
      <c r="K425" s="53">
        <f>IFERROR((PA[[#This Row],[Sunset Time (POA&lt;20 W/m2)]]-PA[[#This Row],[Sunrise Time (POA&gt;20 W/m2)]])*24,"")</f>
        <v>13.3</v>
      </c>
      <c r="L425" s="59" t="s">
        <v>621</v>
      </c>
      <c r="M425" s="59"/>
      <c r="N425" s="59"/>
      <c r="O425" s="59" t="s">
        <v>571</v>
      </c>
      <c r="P425" s="56"/>
      <c r="Q425" s="6"/>
      <c r="R42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v>
      </c>
      <c r="S425" s="53">
        <f>_xlfn.XLOOKUP(PA[[#This Row],[Affected Equipment ]],'Basic Data '!$A:$A,'Basic Data '!$B:$B)</f>
        <v>267</v>
      </c>
      <c r="T425" s="90">
        <f>IFERROR(_xlfn.XLOOKUP(PA[[#This Row],[Affected Equipment ]],'Basic Data '!A:A,'Basic Data '!C:C),"")</f>
        <v>4.0000000000000001E-3</v>
      </c>
      <c r="U425" s="59" t="s">
        <v>566</v>
      </c>
      <c r="V425" s="88"/>
      <c r="W425" s="265" t="s">
        <v>1301</v>
      </c>
      <c r="X425" s="359">
        <v>0.22916666666666666</v>
      </c>
      <c r="Y425" s="359">
        <v>0.28819444444444448</v>
      </c>
      <c r="Z425" s="359">
        <v>0.4375</v>
      </c>
      <c r="AA425" s="359">
        <v>0.45833333333333331</v>
      </c>
      <c r="AB425" s="158">
        <f>IF(PA[[#This Row],[Acknowledgement Time ]]="NA","",(PA[[#This Row],[Acknowledgement Time ]]-PA[[#This Row],[Fault Time]])*24)</f>
        <v>1.4166666666666676</v>
      </c>
      <c r="AC425" s="158">
        <f>IF(PA[[#This Row],[Work Start time on Fault]]="NA","",(PA[[#This Row],[Work Start time on Fault]]-PA[[#This Row],[Fault Time]])*24)</f>
        <v>5</v>
      </c>
      <c r="AD425" s="112">
        <f>IF(PA[[#This Row],[Status]]="Open","",(PA[[#This Row],[Work Completion time on fault]]-PA[[#This Row],[Fault Time]])*24)</f>
        <v>5.5</v>
      </c>
      <c r="AE425" s="111">
        <f>IFERROR((PA[[#This Row],[Work Completion time on fault]]-PA[[#This Row],[Fault Time]])*24,"")</f>
        <v>5.5</v>
      </c>
      <c r="AF425" s="228" t="s">
        <v>1301</v>
      </c>
      <c r="AG425" s="6" t="s">
        <v>1275</v>
      </c>
      <c r="AH425" s="53">
        <f>IFERROR(PA[[#This Row],[Breakdown Time]]*PA[[#This Row],[Plant Equivalent Weightage]],"")</f>
        <v>2.1999999999999999E-2</v>
      </c>
      <c r="AI425" s="59">
        <v>1.6559999999999999</v>
      </c>
      <c r="AJ425" s="89">
        <f>IFERROR(IF(PA[[#This Row],[Lost PoA(kWh/m2)]]&gt;0,_xlfn.XLOOKUP(G425,'Modelling New'!$D:$D,'Modelling New'!$O:$O)*PA[[#This Row],[Lost PoA(kWh/m2)]]*S425,0),"")</f>
        <v>336.09855153402924</v>
      </c>
    </row>
    <row r="426" spans="1:38" ht="60" hidden="1" x14ac:dyDescent="0.25">
      <c r="A426" s="229">
        <v>2118</v>
      </c>
      <c r="B426" s="233">
        <v>45831</v>
      </c>
      <c r="C426" s="333">
        <v>2025</v>
      </c>
      <c r="D426" s="348">
        <f>YEAR(PA[[#This Row],[Date]])</f>
        <v>2025</v>
      </c>
      <c r="E426" s="373" t="s">
        <v>73</v>
      </c>
      <c r="F426" s="374" t="s">
        <v>73</v>
      </c>
      <c r="G426" s="323">
        <v>45809</v>
      </c>
      <c r="H426">
        <f>DAY(EOMONTH(PA[[#This Row],[Date]], 0))</f>
        <v>30</v>
      </c>
      <c r="I426" s="361">
        <v>0.21666666666666667</v>
      </c>
      <c r="J426" s="361">
        <v>0.77083333333333337</v>
      </c>
      <c r="K426" s="53">
        <f>IFERROR((PA[[#This Row],[Sunset Time (POA&lt;20 W/m2)]]-PA[[#This Row],[Sunrise Time (POA&gt;20 W/m2)]])*24,"")</f>
        <v>13.3</v>
      </c>
      <c r="L426" s="59" t="s">
        <v>621</v>
      </c>
      <c r="M426" s="59"/>
      <c r="N426" s="59"/>
      <c r="O426" s="59" t="s">
        <v>714</v>
      </c>
      <c r="P426" s="56"/>
      <c r="Q426" s="6"/>
      <c r="R42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BLK4INV22</v>
      </c>
      <c r="S426" s="53">
        <f>_xlfn.XLOOKUP(PA[[#This Row],[Affected Equipment ]],'Basic Data '!$A:$A,'Basic Data '!$B:$B)</f>
        <v>267</v>
      </c>
      <c r="T426" s="90">
        <f>IFERROR(_xlfn.XLOOKUP(PA[[#This Row],[Affected Equipment ]],'Basic Data '!A:A,'Basic Data '!C:C),"")</f>
        <v>4.0000000000000001E-3</v>
      </c>
      <c r="U426" s="59" t="s">
        <v>566</v>
      </c>
      <c r="V426" s="88"/>
      <c r="W426" s="265" t="s">
        <v>1293</v>
      </c>
      <c r="X426" s="359">
        <v>0.22916666666666666</v>
      </c>
      <c r="Y426" s="359">
        <v>0.28819444444444448</v>
      </c>
      <c r="Z426" s="359">
        <v>0.33680555555555558</v>
      </c>
      <c r="AA426" s="359">
        <v>0.35069444444444442</v>
      </c>
      <c r="AB426" s="158">
        <f>IF(PA[[#This Row],[Acknowledgement Time ]]="NA","",(PA[[#This Row],[Acknowledgement Time ]]-PA[[#This Row],[Fault Time]])*24)</f>
        <v>1.4166666666666676</v>
      </c>
      <c r="AC426" s="158">
        <f>IF(PA[[#This Row],[Work Start time on Fault]]="NA","",(PA[[#This Row],[Work Start time on Fault]]-PA[[#This Row],[Fault Time]])*24)</f>
        <v>2.5833333333333339</v>
      </c>
      <c r="AD426" s="112">
        <f>IF(PA[[#This Row],[Status]]="Open","",(PA[[#This Row],[Work Completion time on fault]]-PA[[#This Row],[Fault Time]])*24)</f>
        <v>2.9166666666666661</v>
      </c>
      <c r="AE426" s="111">
        <f>IFERROR((PA[[#This Row],[Work Completion time on fault]]-PA[[#This Row],[Fault Time]])*24,"")</f>
        <v>2.9166666666666661</v>
      </c>
      <c r="AF426" s="228" t="s">
        <v>1293</v>
      </c>
      <c r="AG426" s="6" t="s">
        <v>1275</v>
      </c>
      <c r="AH426" s="53">
        <f>IFERROR(PA[[#This Row],[Breakdown Time]]*PA[[#This Row],[Plant Equivalent Weightage]],"")</f>
        <v>1.1666666666666664E-2</v>
      </c>
      <c r="AI426" s="59">
        <v>0.26900000000000002</v>
      </c>
      <c r="AJ426" s="89">
        <f>IFERROR(IF(PA[[#This Row],[Lost PoA(kWh/m2)]]&gt;0,_xlfn.XLOOKUP(G426,'Modelling New'!$D:$D,'Modelling New'!$O:$O)*PA[[#This Row],[Lost PoA(kWh/m2)]]*S426,0),"")</f>
        <v>54.595718818027699</v>
      </c>
    </row>
    <row r="427" spans="1:38" ht="60" hidden="1" x14ac:dyDescent="0.25">
      <c r="A427" s="229">
        <v>2119</v>
      </c>
      <c r="B427" s="233">
        <v>45831</v>
      </c>
      <c r="C427" s="333">
        <v>2025</v>
      </c>
      <c r="D427" s="348">
        <f>YEAR(PA[[#This Row],[Date]])</f>
        <v>2025</v>
      </c>
      <c r="E427" s="373" t="s">
        <v>73</v>
      </c>
      <c r="F427" s="374" t="s">
        <v>73</v>
      </c>
      <c r="G427" s="323">
        <v>45809</v>
      </c>
      <c r="H427">
        <f>DAY(EOMONTH(PA[[#This Row],[Date]], 0))</f>
        <v>30</v>
      </c>
      <c r="I427" s="361">
        <v>0.21666666666666667</v>
      </c>
      <c r="J427" s="361">
        <v>0.77083333333333337</v>
      </c>
      <c r="K427" s="53">
        <f>IFERROR((PA[[#This Row],[Sunset Time (POA&lt;20 W/m2)]]-PA[[#This Row],[Sunrise Time (POA&gt;20 W/m2)]])*24,"")</f>
        <v>13.3</v>
      </c>
      <c r="L427" s="59" t="s">
        <v>615</v>
      </c>
      <c r="M427" s="59"/>
      <c r="N427" s="59"/>
      <c r="O427" s="59" t="s">
        <v>591</v>
      </c>
      <c r="P427" s="56"/>
      <c r="Q427" s="6"/>
      <c r="R42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BLK6INV5</v>
      </c>
      <c r="S427" s="53">
        <f>_xlfn.XLOOKUP(PA[[#This Row],[Affected Equipment ]],'Basic Data '!$A:$A,'Basic Data '!$B:$B)</f>
        <v>264</v>
      </c>
      <c r="T427" s="90">
        <f>IFERROR(_xlfn.XLOOKUP(PA[[#This Row],[Affected Equipment ]],'Basic Data '!A:A,'Basic Data '!C:C),"")</f>
        <v>3.9550561797752808E-3</v>
      </c>
      <c r="U427" s="59" t="s">
        <v>566</v>
      </c>
      <c r="V427" s="88"/>
      <c r="W427" s="265" t="s">
        <v>1293</v>
      </c>
      <c r="X427" s="359">
        <v>0.22916666666666666</v>
      </c>
      <c r="Y427" s="359">
        <v>0.28819444444444448</v>
      </c>
      <c r="Z427" s="359">
        <v>0.30208333333333331</v>
      </c>
      <c r="AA427" s="359">
        <v>0.32291666666666669</v>
      </c>
      <c r="AB427" s="158">
        <f>IF(PA[[#This Row],[Acknowledgement Time ]]="NA","",(PA[[#This Row],[Acknowledgement Time ]]-PA[[#This Row],[Fault Time]])*24)</f>
        <v>1.4166666666666676</v>
      </c>
      <c r="AC427" s="158">
        <f>IF(PA[[#This Row],[Work Start time on Fault]]="NA","",(PA[[#This Row],[Work Start time on Fault]]-PA[[#This Row],[Fault Time]])*24)</f>
        <v>1.7499999999999998</v>
      </c>
      <c r="AD427" s="112">
        <f>IF(PA[[#This Row],[Status]]="Open","",(PA[[#This Row],[Work Completion time on fault]]-PA[[#This Row],[Fault Time]])*24)</f>
        <v>2.2500000000000009</v>
      </c>
      <c r="AE427" s="111">
        <f>IFERROR((PA[[#This Row],[Work Completion time on fault]]-PA[[#This Row],[Fault Time]])*24,"")</f>
        <v>2.2500000000000009</v>
      </c>
      <c r="AF427" s="228" t="s">
        <v>1293</v>
      </c>
      <c r="AG427" s="6" t="s">
        <v>1275</v>
      </c>
      <c r="AH427" s="53">
        <f>IFERROR(PA[[#This Row],[Breakdown Time]]*PA[[#This Row],[Plant Equivalent Weightage]],"")</f>
        <v>8.8988764044943859E-3</v>
      </c>
      <c r="AI427" s="59">
        <v>0.13200000000000001</v>
      </c>
      <c r="AJ427" s="89">
        <f>IFERROR(IF(PA[[#This Row],[Lost PoA(kWh/m2)]]&gt;0,_xlfn.XLOOKUP(G427,'Modelling New'!$D:$D,'Modelling New'!$O:$O)*PA[[#This Row],[Lost PoA(kWh/m2)]]*S427,0),"")</f>
        <v>26.48944780043481</v>
      </c>
    </row>
    <row r="428" spans="1:38" ht="60" hidden="1" x14ac:dyDescent="0.25">
      <c r="A428" s="229">
        <v>2120</v>
      </c>
      <c r="B428" s="233">
        <v>45831</v>
      </c>
      <c r="C428" s="333">
        <v>2025</v>
      </c>
      <c r="D428" s="348">
        <f>YEAR(PA[[#This Row],[Date]])</f>
        <v>2025</v>
      </c>
      <c r="E428" s="373" t="s">
        <v>73</v>
      </c>
      <c r="F428" s="374" t="s">
        <v>73</v>
      </c>
      <c r="G428" s="323">
        <v>45809</v>
      </c>
      <c r="H428">
        <f>DAY(EOMONTH(PA[[#This Row],[Date]], 0))</f>
        <v>30</v>
      </c>
      <c r="I428" s="361">
        <v>0.21666666666666667</v>
      </c>
      <c r="J428" s="361">
        <v>0.77083333333333337</v>
      </c>
      <c r="K428" s="53">
        <f>IFERROR((PA[[#This Row],[Sunset Time (POA&lt;20 W/m2)]]-PA[[#This Row],[Sunrise Time (POA&gt;20 W/m2)]])*24,"")</f>
        <v>13.3</v>
      </c>
      <c r="L428" s="59" t="s">
        <v>615</v>
      </c>
      <c r="M428" s="59"/>
      <c r="N428" s="59"/>
      <c r="O428" s="59" t="s">
        <v>598</v>
      </c>
      <c r="P428" s="56"/>
      <c r="Q428" s="6"/>
      <c r="R42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BLK6INV6</v>
      </c>
      <c r="S428" s="53">
        <f>_xlfn.XLOOKUP(PA[[#This Row],[Affected Equipment ]],'Basic Data '!$A:$A,'Basic Data '!$B:$B)</f>
        <v>297</v>
      </c>
      <c r="T428" s="90">
        <f>IFERROR(_xlfn.XLOOKUP(PA[[#This Row],[Affected Equipment ]],'Basic Data '!A:A,'Basic Data '!C:C),"")</f>
        <v>4.4494382022471912E-3</v>
      </c>
      <c r="U428" s="59" t="s">
        <v>566</v>
      </c>
      <c r="V428" s="88"/>
      <c r="W428" s="265" t="s">
        <v>1293</v>
      </c>
      <c r="X428" s="359">
        <v>0.22916666666666666</v>
      </c>
      <c r="Y428" s="359">
        <v>0.28819444444444448</v>
      </c>
      <c r="Z428" s="359">
        <v>0.36458333333333331</v>
      </c>
      <c r="AA428" s="359">
        <v>0.38541666666666669</v>
      </c>
      <c r="AB428" s="158">
        <f>IF(PA[[#This Row],[Acknowledgement Time ]]="NA","",(PA[[#This Row],[Acknowledgement Time ]]-PA[[#This Row],[Fault Time]])*24)</f>
        <v>1.4166666666666676</v>
      </c>
      <c r="AC428" s="158">
        <f>IF(PA[[#This Row],[Work Start time on Fault]]="NA","",(PA[[#This Row],[Work Start time on Fault]]-PA[[#This Row],[Fault Time]])*24)</f>
        <v>3.25</v>
      </c>
      <c r="AD428" s="112">
        <f>IF(PA[[#This Row],[Status]]="Open","",(PA[[#This Row],[Work Completion time on fault]]-PA[[#This Row],[Fault Time]])*24)</f>
        <v>3.7500000000000009</v>
      </c>
      <c r="AE428" s="111">
        <f>IFERROR((PA[[#This Row],[Work Completion time on fault]]-PA[[#This Row],[Fault Time]])*24,"")</f>
        <v>3.7500000000000009</v>
      </c>
      <c r="AF428" s="228" t="s">
        <v>1293</v>
      </c>
      <c r="AG428" s="6" t="s">
        <v>1275</v>
      </c>
      <c r="AH428" s="53">
        <f>IFERROR(PA[[#This Row],[Breakdown Time]]*PA[[#This Row],[Plant Equivalent Weightage]],"")</f>
        <v>1.6685393258426971E-2</v>
      </c>
      <c r="AI428" s="59">
        <v>0.56399999999999995</v>
      </c>
      <c r="AJ428" s="89">
        <f>IFERROR(IF(PA[[#This Row],[Lost PoA(kWh/m2)]]&gt;0,_xlfn.XLOOKUP(G428,'Modelling New'!$D:$D,'Modelling New'!$O:$O)*PA[[#This Row],[Lost PoA(kWh/m2)]]*S428,0),"")</f>
        <v>127.32995931345368</v>
      </c>
    </row>
    <row r="429" spans="1:38" ht="60" hidden="1" x14ac:dyDescent="0.25">
      <c r="A429" s="229">
        <v>2121</v>
      </c>
      <c r="B429" s="233">
        <v>45831</v>
      </c>
      <c r="C429" s="333">
        <v>2025</v>
      </c>
      <c r="D429" s="348">
        <f>YEAR(PA[[#This Row],[Date]])</f>
        <v>2025</v>
      </c>
      <c r="E429" s="373" t="s">
        <v>73</v>
      </c>
      <c r="F429" s="374" t="s">
        <v>73</v>
      </c>
      <c r="G429" s="323">
        <v>45809</v>
      </c>
      <c r="H429">
        <f>DAY(EOMONTH(PA[[#This Row],[Date]], 0))</f>
        <v>30</v>
      </c>
      <c r="I429" s="361">
        <v>0.21666666666666667</v>
      </c>
      <c r="J429" s="361">
        <v>0.77083333333333337</v>
      </c>
      <c r="K429" s="53">
        <f>IFERROR((PA[[#This Row],[Sunset Time (POA&lt;20 W/m2)]]-PA[[#This Row],[Sunrise Time (POA&gt;20 W/m2)]])*24,"")</f>
        <v>13.3</v>
      </c>
      <c r="L429" s="59" t="s">
        <v>615</v>
      </c>
      <c r="M429" s="59"/>
      <c r="N429" s="59"/>
      <c r="O429" s="59" t="s">
        <v>594</v>
      </c>
      <c r="P429" s="56"/>
      <c r="Q429" s="6"/>
      <c r="R42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429" s="53">
        <f>_xlfn.XLOOKUP(PA[[#This Row],[Affected Equipment ]],'Basic Data '!$A:$A,'Basic Data '!$B:$B)</f>
        <v>264</v>
      </c>
      <c r="T429" s="90">
        <f>IFERROR(_xlfn.XLOOKUP(PA[[#This Row],[Affected Equipment ]],'Basic Data '!A:A,'Basic Data '!C:C),"")</f>
        <v>3.9550561797752808E-3</v>
      </c>
      <c r="U429" s="59" t="s">
        <v>566</v>
      </c>
      <c r="V429" s="88"/>
      <c r="W429" s="265" t="s">
        <v>1293</v>
      </c>
      <c r="X429" s="359">
        <v>0.22916666666666666</v>
      </c>
      <c r="Y429" s="359">
        <v>0.28819444444444448</v>
      </c>
      <c r="Z429" s="359">
        <v>0.375</v>
      </c>
      <c r="AA429" s="359">
        <v>0.3923611111111111</v>
      </c>
      <c r="AB429" s="158">
        <f>IF(PA[[#This Row],[Acknowledgement Time ]]="NA","",(PA[[#This Row],[Acknowledgement Time ]]-PA[[#This Row],[Fault Time]])*24)</f>
        <v>1.4166666666666676</v>
      </c>
      <c r="AC429" s="158">
        <f>IF(PA[[#This Row],[Work Start time on Fault]]="NA","",(PA[[#This Row],[Work Start time on Fault]]-PA[[#This Row],[Fault Time]])*24)</f>
        <v>3.5</v>
      </c>
      <c r="AD429" s="112">
        <f>IF(PA[[#This Row],[Status]]="Open","",(PA[[#This Row],[Work Completion time on fault]]-PA[[#This Row],[Fault Time]])*24)</f>
        <v>3.916666666666667</v>
      </c>
      <c r="AE429" s="111">
        <f>IFERROR((PA[[#This Row],[Work Completion time on fault]]-PA[[#This Row],[Fault Time]])*24,"")</f>
        <v>3.916666666666667</v>
      </c>
      <c r="AF429" s="228" t="s">
        <v>1293</v>
      </c>
      <c r="AG429" s="6" t="s">
        <v>1275</v>
      </c>
      <c r="AH429" s="53">
        <f>IFERROR(PA[[#This Row],[Breakdown Time]]*PA[[#This Row],[Plant Equivalent Weightage]],"")</f>
        <v>1.5490636704119851E-2</v>
      </c>
      <c r="AI429" s="59">
        <v>0.63900000000000001</v>
      </c>
      <c r="AJ429" s="89">
        <f>IFERROR(IF(PA[[#This Row],[Lost PoA(kWh/m2)]]&gt;0,_xlfn.XLOOKUP(G429,'Modelling New'!$D:$D,'Modelling New'!$O:$O)*PA[[#This Row],[Lost PoA(kWh/m2)]]*S429,0),"")</f>
        <v>128.23300867028669</v>
      </c>
    </row>
    <row r="430" spans="1:38" ht="60" hidden="1" x14ac:dyDescent="0.25">
      <c r="A430" s="229">
        <v>2122</v>
      </c>
      <c r="B430" s="233">
        <v>45831</v>
      </c>
      <c r="C430" s="333">
        <v>2025</v>
      </c>
      <c r="D430" s="348">
        <f>YEAR(PA[[#This Row],[Date]])</f>
        <v>2025</v>
      </c>
      <c r="E430" s="373" t="s">
        <v>73</v>
      </c>
      <c r="F430" s="374" t="s">
        <v>73</v>
      </c>
      <c r="G430" s="323">
        <v>45809</v>
      </c>
      <c r="H430">
        <f>DAY(EOMONTH(PA[[#This Row],[Date]], 0))</f>
        <v>30</v>
      </c>
      <c r="I430" s="361">
        <v>0.21666666666666667</v>
      </c>
      <c r="J430" s="361">
        <v>0.77083333333333337</v>
      </c>
      <c r="K430" s="53">
        <f>IFERROR((PA[[#This Row],[Sunset Time (POA&lt;20 W/m2)]]-PA[[#This Row],[Sunrise Time (POA&gt;20 W/m2)]])*24,"")</f>
        <v>13.3</v>
      </c>
      <c r="L430" s="59" t="s">
        <v>615</v>
      </c>
      <c r="M430" s="59"/>
      <c r="N430" s="59"/>
      <c r="O430" s="59" t="s">
        <v>580</v>
      </c>
      <c r="P430" s="56"/>
      <c r="Q430" s="6"/>
      <c r="R43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BLK6INV31</v>
      </c>
      <c r="S430" s="53">
        <f>_xlfn.XLOOKUP(PA[[#This Row],[Affected Equipment ]],'Basic Data '!$A:$A,'Basic Data '!$B:$B)</f>
        <v>275</v>
      </c>
      <c r="T430" s="90">
        <f>IFERROR(_xlfn.XLOOKUP(PA[[#This Row],[Affected Equipment ]],'Basic Data '!A:A,'Basic Data '!C:C),"")</f>
        <v>4.1198501872659176E-3</v>
      </c>
      <c r="U430" s="59" t="s">
        <v>566</v>
      </c>
      <c r="V430" s="88"/>
      <c r="W430" s="265" t="s">
        <v>1293</v>
      </c>
      <c r="X430" s="359">
        <v>0.22916666666666666</v>
      </c>
      <c r="Y430" s="359">
        <v>0.28819444444444448</v>
      </c>
      <c r="Z430" s="359">
        <v>0.31944444444444448</v>
      </c>
      <c r="AA430" s="359">
        <v>0.34027777777777779</v>
      </c>
      <c r="AB430" s="158">
        <f>IF(PA[[#This Row],[Acknowledgement Time ]]="NA","",(PA[[#This Row],[Acknowledgement Time ]]-PA[[#This Row],[Fault Time]])*24)</f>
        <v>1.4166666666666676</v>
      </c>
      <c r="AC430" s="158">
        <f>IF(PA[[#This Row],[Work Start time on Fault]]="NA","",(PA[[#This Row],[Work Start time on Fault]]-PA[[#This Row],[Fault Time]])*24)</f>
        <v>2.1666666666666679</v>
      </c>
      <c r="AD430" s="112">
        <f>IF(PA[[#This Row],[Status]]="Open","",(PA[[#This Row],[Work Completion time on fault]]-PA[[#This Row],[Fault Time]])*24)</f>
        <v>2.666666666666667</v>
      </c>
      <c r="AE430" s="111">
        <f>IFERROR((PA[[#This Row],[Work Completion time on fault]]-PA[[#This Row],[Fault Time]])*24,"")</f>
        <v>2.666666666666667</v>
      </c>
      <c r="AF430" s="228" t="s">
        <v>1293</v>
      </c>
      <c r="AG430" s="6" t="s">
        <v>1275</v>
      </c>
      <c r="AH430" s="53">
        <f>IFERROR(PA[[#This Row],[Breakdown Time]]*PA[[#This Row],[Plant Equivalent Weightage]],"")</f>
        <v>1.0986267166042448E-2</v>
      </c>
      <c r="AI430" s="59">
        <v>0.20300000000000001</v>
      </c>
      <c r="AJ430" s="89">
        <f>IFERROR(IF(PA[[#This Row],[Lost PoA(kWh/m2)]]&gt;0,_xlfn.XLOOKUP(G430,'Modelling New'!$D:$D,'Modelling New'!$O:$O)*PA[[#This Row],[Lost PoA(kWh/m2)]]*S430,0),"")</f>
        <v>42.434958203032409</v>
      </c>
    </row>
    <row r="431" spans="1:38" ht="60" hidden="1" x14ac:dyDescent="0.25">
      <c r="A431" s="229">
        <v>2123</v>
      </c>
      <c r="B431" s="233">
        <v>45831</v>
      </c>
      <c r="C431" s="333">
        <v>2025</v>
      </c>
      <c r="D431" s="348">
        <f>YEAR(PA[[#This Row],[Date]])</f>
        <v>2025</v>
      </c>
      <c r="E431" s="373" t="s">
        <v>73</v>
      </c>
      <c r="F431" s="374" t="s">
        <v>73</v>
      </c>
      <c r="G431" s="323">
        <v>45809</v>
      </c>
      <c r="H431">
        <f>DAY(EOMONTH(PA[[#This Row],[Date]], 0))</f>
        <v>30</v>
      </c>
      <c r="I431" s="361">
        <v>0.21666666666666667</v>
      </c>
      <c r="J431" s="361">
        <v>0.77083333333333337</v>
      </c>
      <c r="K431" s="53">
        <f>IFERROR((PA[[#This Row],[Sunset Time (POA&lt;20 W/m2)]]-PA[[#This Row],[Sunrise Time (POA&gt;20 W/m2)]])*24,"")</f>
        <v>13.3</v>
      </c>
      <c r="L431" s="59" t="s">
        <v>606</v>
      </c>
      <c r="M431" s="59"/>
      <c r="N431" s="59"/>
      <c r="O431" s="59" t="s">
        <v>578</v>
      </c>
      <c r="P431" s="56"/>
      <c r="Q431" s="6"/>
      <c r="R43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BLK7INV12</v>
      </c>
      <c r="S431" s="53">
        <f>_xlfn.XLOOKUP(PA[[#This Row],[Affected Equipment ]],'Basic Data '!$A:$A,'Basic Data '!$B:$B)</f>
        <v>270.60000000000002</v>
      </c>
      <c r="T431" s="90">
        <f>IFERROR(_xlfn.XLOOKUP(PA[[#This Row],[Affected Equipment ]],'Basic Data '!A:A,'Basic Data '!C:C),"")</f>
        <v>4.0539325842696636E-3</v>
      </c>
      <c r="U431" s="59" t="s">
        <v>566</v>
      </c>
      <c r="V431" s="88"/>
      <c r="W431" s="265" t="s">
        <v>1293</v>
      </c>
      <c r="X431" s="359">
        <v>0.22916666666666666</v>
      </c>
      <c r="Y431" s="359">
        <v>0.28819444444444448</v>
      </c>
      <c r="Z431" s="359">
        <v>0.34027777777777773</v>
      </c>
      <c r="AA431" s="359">
        <v>0.3576388888888889</v>
      </c>
      <c r="AB431" s="158">
        <f>IF(PA[[#This Row],[Acknowledgement Time ]]="NA","",(PA[[#This Row],[Acknowledgement Time ]]-PA[[#This Row],[Fault Time]])*24)</f>
        <v>1.4166666666666676</v>
      </c>
      <c r="AC431" s="158">
        <f>IF(PA[[#This Row],[Work Start time on Fault]]="NA","",(PA[[#This Row],[Work Start time on Fault]]-PA[[#This Row],[Fault Time]])*24)</f>
        <v>2.6666666666666661</v>
      </c>
      <c r="AD431" s="112">
        <f>IF(PA[[#This Row],[Status]]="Open","",(PA[[#This Row],[Work Completion time on fault]]-PA[[#This Row],[Fault Time]])*24)</f>
        <v>3.0833333333333339</v>
      </c>
      <c r="AE431" s="111">
        <f>IFERROR((PA[[#This Row],[Work Completion time on fault]]-PA[[#This Row],[Fault Time]])*24,"")</f>
        <v>3.0833333333333339</v>
      </c>
      <c r="AF431" s="228" t="s">
        <v>1293</v>
      </c>
      <c r="AG431" s="6" t="s">
        <v>1275</v>
      </c>
      <c r="AH431" s="53">
        <f>IFERROR(PA[[#This Row],[Breakdown Time]]*PA[[#This Row],[Plant Equivalent Weightage]],"")</f>
        <v>1.2499625468164799E-2</v>
      </c>
      <c r="AI431" s="59">
        <v>0.31900000000000001</v>
      </c>
      <c r="AJ431" s="89">
        <f>IFERROR(IF(PA[[#This Row],[Lost PoA(kWh/m2)]]&gt;0,_xlfn.XLOOKUP(G431,'Modelling New'!$D:$D,'Modelling New'!$O:$O)*PA[[#This Row],[Lost PoA(kWh/m2)]]*S431,0),"")</f>
        <v>65.616569655660399</v>
      </c>
    </row>
    <row r="432" spans="1:38" ht="60" hidden="1" x14ac:dyDescent="0.25">
      <c r="A432" s="229">
        <v>2124</v>
      </c>
      <c r="B432" s="233">
        <v>45831</v>
      </c>
      <c r="C432" s="333">
        <v>2025</v>
      </c>
      <c r="D432" s="348">
        <f>YEAR(PA[[#This Row],[Date]])</f>
        <v>2025</v>
      </c>
      <c r="E432" s="373" t="s">
        <v>73</v>
      </c>
      <c r="F432" s="374" t="s">
        <v>73</v>
      </c>
      <c r="G432" s="323">
        <v>45809</v>
      </c>
      <c r="H432">
        <f>DAY(EOMONTH(PA[[#This Row],[Date]], 0))</f>
        <v>30</v>
      </c>
      <c r="I432" s="361">
        <v>0.21666666666666667</v>
      </c>
      <c r="J432" s="361">
        <v>0.77083333333333337</v>
      </c>
      <c r="K432" s="53">
        <f>IFERROR((PA[[#This Row],[Sunset Time (POA&lt;20 W/m2)]]-PA[[#This Row],[Sunrise Time (POA&gt;20 W/m2)]])*24,"")</f>
        <v>13.3</v>
      </c>
      <c r="L432" s="59" t="s">
        <v>606</v>
      </c>
      <c r="M432" s="59"/>
      <c r="N432" s="59"/>
      <c r="O432" s="59" t="s">
        <v>600</v>
      </c>
      <c r="P432" s="56"/>
      <c r="Q432" s="6"/>
      <c r="R43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BLK7INV17</v>
      </c>
      <c r="S432" s="53">
        <f>_xlfn.XLOOKUP(PA[[#This Row],[Affected Equipment ]],'Basic Data '!$A:$A,'Basic Data '!$B:$B)</f>
        <v>267</v>
      </c>
      <c r="T432" s="90">
        <f>IFERROR(_xlfn.XLOOKUP(PA[[#This Row],[Affected Equipment ]],'Basic Data '!A:A,'Basic Data '!C:C),"")</f>
        <v>4.0000000000000001E-3</v>
      </c>
      <c r="U432" s="59" t="s">
        <v>566</v>
      </c>
      <c r="V432" s="88"/>
      <c r="W432" s="265" t="s">
        <v>1293</v>
      </c>
      <c r="X432" s="359">
        <v>0.22916666666666666</v>
      </c>
      <c r="Y432" s="359">
        <v>0.28819444444444448</v>
      </c>
      <c r="Z432" s="359">
        <v>0.36805555555555558</v>
      </c>
      <c r="AA432" s="359">
        <v>0.38541666666666669</v>
      </c>
      <c r="AB432" s="158">
        <f>IF(PA[[#This Row],[Acknowledgement Time ]]="NA","",(PA[[#This Row],[Acknowledgement Time ]]-PA[[#This Row],[Fault Time]])*24)</f>
        <v>1.4166666666666676</v>
      </c>
      <c r="AC432" s="158">
        <f>IF(PA[[#This Row],[Work Start time on Fault]]="NA","",(PA[[#This Row],[Work Start time on Fault]]-PA[[#This Row],[Fault Time]])*24)</f>
        <v>3.3333333333333339</v>
      </c>
      <c r="AD432" s="112">
        <f>IF(PA[[#This Row],[Status]]="Open","",(PA[[#This Row],[Work Completion time on fault]]-PA[[#This Row],[Fault Time]])*24)</f>
        <v>3.7500000000000009</v>
      </c>
      <c r="AE432" s="111">
        <f>IFERROR((PA[[#This Row],[Work Completion time on fault]]-PA[[#This Row],[Fault Time]])*24,"")</f>
        <v>3.7500000000000009</v>
      </c>
      <c r="AF432" s="228" t="s">
        <v>1293</v>
      </c>
      <c r="AG432" s="6" t="s">
        <v>1275</v>
      </c>
      <c r="AH432" s="53">
        <f>IFERROR(PA[[#This Row],[Breakdown Time]]*PA[[#This Row],[Plant Equivalent Weightage]],"")</f>
        <v>1.5000000000000005E-2</v>
      </c>
      <c r="AI432" s="59">
        <v>0.56299999999999994</v>
      </c>
      <c r="AJ432" s="89">
        <f>IFERROR(IF(PA[[#This Row],[Lost PoA(kWh/m2)]]&gt;0,_xlfn.XLOOKUP(G432,'Modelling New'!$D:$D,'Modelling New'!$O:$O)*PA[[#This Row],[Lost PoA(kWh/m2)]]*S432,0),"")</f>
        <v>114.26538919906911</v>
      </c>
    </row>
    <row r="433" spans="1:38" ht="60" hidden="1" x14ac:dyDescent="0.25">
      <c r="A433" s="229">
        <v>2125</v>
      </c>
      <c r="B433" s="233">
        <v>45831</v>
      </c>
      <c r="C433" s="333">
        <v>2025</v>
      </c>
      <c r="D433" s="364">
        <f>YEAR(PA[[#This Row],[Date]])</f>
        <v>2025</v>
      </c>
      <c r="E433" s="373" t="s">
        <v>73</v>
      </c>
      <c r="F433" s="374" t="s">
        <v>73</v>
      </c>
      <c r="G433" s="323">
        <v>45809</v>
      </c>
      <c r="H433" s="365">
        <f>DAY(EOMONTH(PA[[#This Row],[Date]], 0))</f>
        <v>30</v>
      </c>
      <c r="I433" s="361">
        <v>0.21666666666666667</v>
      </c>
      <c r="J433" s="361">
        <v>0.77083333333333337</v>
      </c>
      <c r="K433" s="131">
        <f>IFERROR((PA[[#This Row],[Sunset Time (POA&lt;20 W/m2)]]-PA[[#This Row],[Sunrise Time (POA&gt;20 W/m2)]])*24,"")</f>
        <v>13.3</v>
      </c>
      <c r="L433" s="128" t="s">
        <v>564</v>
      </c>
      <c r="M433" s="128"/>
      <c r="N433" s="128"/>
      <c r="O433" s="128" t="s">
        <v>595</v>
      </c>
      <c r="P433" s="130"/>
      <c r="Q433" s="129"/>
      <c r="R433"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BLK5INV11</v>
      </c>
      <c r="S433" s="131">
        <f>_xlfn.XLOOKUP(PA[[#This Row],[Affected Equipment ]],'Basic Data '!$A:$A,'Basic Data '!$B:$B)</f>
        <v>286</v>
      </c>
      <c r="T433" s="132">
        <f>IFERROR(_xlfn.XLOOKUP(PA[[#This Row],[Affected Equipment ]],'Basic Data '!A:A,'Basic Data '!C:C),"")</f>
        <v>4.2846441947565544E-3</v>
      </c>
      <c r="U433" s="59" t="s">
        <v>566</v>
      </c>
      <c r="V433" s="117"/>
      <c r="W433" s="375" t="s">
        <v>1293</v>
      </c>
      <c r="X433" s="366">
        <v>0.22916666666666666</v>
      </c>
      <c r="Y433" s="359">
        <v>0.28819444444444448</v>
      </c>
      <c r="Z433" s="366">
        <v>0.45833333333333331</v>
      </c>
      <c r="AA433" s="366">
        <v>0.47916666666666669</v>
      </c>
      <c r="AB433" s="159">
        <f>IF(PA[[#This Row],[Acknowledgement Time ]]="NA","",(PA[[#This Row],[Acknowledgement Time ]]-PA[[#This Row],[Fault Time]])*24)</f>
        <v>1.4166666666666676</v>
      </c>
      <c r="AC433" s="159">
        <f>IF(PA[[#This Row],[Work Start time on Fault]]="NA","",(PA[[#This Row],[Work Start time on Fault]]-PA[[#This Row],[Fault Time]])*24)</f>
        <v>5.5</v>
      </c>
      <c r="AD433" s="135">
        <f>IF(PA[[#This Row],[Status]]="Open","",(PA[[#This Row],[Work Completion time on fault]]-PA[[#This Row],[Fault Time]])*24)</f>
        <v>6</v>
      </c>
      <c r="AE433" s="134">
        <f>IFERROR((PA[[#This Row],[Work Completion time on fault]]-PA[[#This Row],[Fault Time]])*24,"")</f>
        <v>6</v>
      </c>
      <c r="AF433" s="226" t="s">
        <v>1293</v>
      </c>
      <c r="AG433" s="6" t="s">
        <v>1275</v>
      </c>
      <c r="AH433" s="131">
        <f>IFERROR(PA[[#This Row],[Breakdown Time]]*PA[[#This Row],[Plant Equivalent Weightage]],"")</f>
        <v>2.5707865168539325E-2</v>
      </c>
      <c r="AI433" s="128">
        <v>1.881</v>
      </c>
      <c r="AJ433" s="89">
        <f>IFERROR(IF(PA[[#This Row],[Lost PoA(kWh/m2)]]&gt;0,_xlfn.XLOOKUP(G433,'Modelling New'!$D:$D,'Modelling New'!$O:$O)*PA[[#This Row],[Lost PoA(kWh/m2)]]*S433,0),"")</f>
        <v>408.93085041921239</v>
      </c>
      <c r="AK433" s="365"/>
      <c r="AL433" s="365"/>
    </row>
    <row r="434" spans="1:38" ht="30" hidden="1" x14ac:dyDescent="0.25">
      <c r="A434" s="229">
        <v>2126</v>
      </c>
      <c r="B434" s="233">
        <v>45831</v>
      </c>
      <c r="C434" s="333">
        <v>2025</v>
      </c>
      <c r="D434" s="348">
        <f>YEAR(PA[[#This Row],[Date]])</f>
        <v>2025</v>
      </c>
      <c r="E434" s="373" t="s">
        <v>73</v>
      </c>
      <c r="F434" s="374" t="s">
        <v>73</v>
      </c>
      <c r="G434" s="323">
        <v>45809</v>
      </c>
      <c r="H434">
        <f>DAY(EOMONTH(PA[[#This Row],[Date]], 0))</f>
        <v>30</v>
      </c>
      <c r="I434" s="361">
        <v>0.21666666666666667</v>
      </c>
      <c r="J434" s="361">
        <v>0.77083333333333337</v>
      </c>
      <c r="K434" s="53">
        <f>IFERROR((PA[[#This Row],[Sunset Time (POA&lt;20 W/m2)]]-PA[[#This Row],[Sunrise Time (POA&gt;20 W/m2)]])*24,"")</f>
        <v>13.3</v>
      </c>
      <c r="L434" s="59" t="s">
        <v>621</v>
      </c>
      <c r="M434" s="59"/>
      <c r="N434" s="59"/>
      <c r="O434" s="59" t="s">
        <v>637</v>
      </c>
      <c r="P434" s="56"/>
      <c r="Q434" s="6"/>
      <c r="R43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434" s="53">
        <v>12</v>
      </c>
      <c r="T434" s="90">
        <f>IFERROR(_xlfn.XLOOKUP(PA[[#This Row],[Affected Equipment ]],'Basic Data '!A:A,'Basic Data '!C:C),"")</f>
        <v>4.0000000000000001E-3</v>
      </c>
      <c r="U434" s="59" t="s">
        <v>1260</v>
      </c>
      <c r="V434" s="88"/>
      <c r="W434" s="265" t="s">
        <v>1271</v>
      </c>
      <c r="X434" s="366">
        <v>0.22916666666666666</v>
      </c>
      <c r="Y434" s="359"/>
      <c r="Z434" s="359"/>
      <c r="AA434" s="359">
        <v>0.77083333333333337</v>
      </c>
      <c r="AB434" s="158">
        <f>IF(PA[[#This Row],[Acknowledgement Time ]]="NA","",(PA[[#This Row],[Acknowledgement Time ]]-PA[[#This Row],[Fault Time]])*24)</f>
        <v>-5.5</v>
      </c>
      <c r="AC434" s="158">
        <f>IF(PA[[#This Row],[Work Start time on Fault]]="NA","",(PA[[#This Row],[Work Start time on Fault]]-PA[[#This Row],[Fault Time]])*24)</f>
        <v>-5.5</v>
      </c>
      <c r="AD434" s="112">
        <f>IF(PA[[#This Row],[Status]]="Open","",(PA[[#This Row],[Work Completion time on fault]]-PA[[#This Row],[Fault Time]])*24)</f>
        <v>13.000000000000002</v>
      </c>
      <c r="AE434" s="111">
        <f>IFERROR((PA[[#This Row],[Work Completion time on fault]]-PA[[#This Row],[Fault Time]])*24,"")</f>
        <v>13.000000000000002</v>
      </c>
      <c r="AF434" s="228" t="s">
        <v>1271</v>
      </c>
      <c r="AG434" s="6" t="s">
        <v>1275</v>
      </c>
      <c r="AH434" s="53">
        <f>IFERROR(PA[[#This Row],[Breakdown Time]]*PA[[#This Row],[Plant Equivalent Weightage]],"")</f>
        <v>5.2000000000000011E-2</v>
      </c>
      <c r="AI434" s="59">
        <v>4.58</v>
      </c>
      <c r="AJ434" s="89">
        <f>IFERROR(IF(PA[[#This Row],[Lost PoA(kWh/m2)]]&gt;0,_xlfn.XLOOKUP(G434,'Modelling New'!$D:$D,'Modelling New'!$O:$O)*PA[[#This Row],[Lost PoA(kWh/m2)]]*S434,0),"")</f>
        <v>41.777434891870328</v>
      </c>
    </row>
    <row r="435" spans="1:38" ht="30" hidden="1" x14ac:dyDescent="0.25">
      <c r="A435" s="229">
        <v>2127</v>
      </c>
      <c r="B435" s="233">
        <v>45831</v>
      </c>
      <c r="C435" s="333">
        <v>2025</v>
      </c>
      <c r="D435" s="348">
        <f>YEAR(PA[[#This Row],[Date]])</f>
        <v>2025</v>
      </c>
      <c r="E435" s="373" t="s">
        <v>73</v>
      </c>
      <c r="F435" s="374" t="s">
        <v>73</v>
      </c>
      <c r="G435" s="323">
        <v>45809</v>
      </c>
      <c r="H435">
        <f>DAY(EOMONTH(PA[[#This Row],[Date]], 0))</f>
        <v>30</v>
      </c>
      <c r="I435" s="361">
        <v>0.21666666666666667</v>
      </c>
      <c r="J435" s="361">
        <v>0.77083333333333337</v>
      </c>
      <c r="K435" s="53">
        <f>IFERROR((PA[[#This Row],[Sunset Time (POA&lt;20 W/m2)]]-PA[[#This Row],[Sunrise Time (POA&gt;20 W/m2)]])*24,"")</f>
        <v>13.3</v>
      </c>
      <c r="L435" s="59" t="s">
        <v>621</v>
      </c>
      <c r="M435" s="59"/>
      <c r="N435" s="59"/>
      <c r="O435" s="59" t="s">
        <v>612</v>
      </c>
      <c r="P435" s="56"/>
      <c r="Q435" s="6"/>
      <c r="R43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435" s="53">
        <v>22.3</v>
      </c>
      <c r="T435" s="90">
        <f>IFERROR(_xlfn.XLOOKUP(PA[[#This Row],[Affected Equipment ]],'Basic Data '!A:A,'Basic Data '!C:C),"")</f>
        <v>4.4999999999999997E-3</v>
      </c>
      <c r="U435" s="59" t="s">
        <v>1260</v>
      </c>
      <c r="V435" s="88"/>
      <c r="W435" s="265" t="s">
        <v>1295</v>
      </c>
      <c r="X435" s="366">
        <v>0.22916666666666666</v>
      </c>
      <c r="Y435" s="359"/>
      <c r="Z435" s="359"/>
      <c r="AA435" s="359">
        <v>0.77083333333333337</v>
      </c>
      <c r="AB435" s="158">
        <f>IF(PA[[#This Row],[Acknowledgement Time ]]="NA","",(PA[[#This Row],[Acknowledgement Time ]]-PA[[#This Row],[Fault Time]])*24)</f>
        <v>-5.5</v>
      </c>
      <c r="AC435" s="158">
        <f>IF(PA[[#This Row],[Work Start time on Fault]]="NA","",(PA[[#This Row],[Work Start time on Fault]]-PA[[#This Row],[Fault Time]])*24)</f>
        <v>-5.5</v>
      </c>
      <c r="AD435" s="112">
        <f>IF(PA[[#This Row],[Status]]="Open","",(PA[[#This Row],[Work Completion time on fault]]-PA[[#This Row],[Fault Time]])*24)</f>
        <v>13.000000000000002</v>
      </c>
      <c r="AE435" s="111">
        <f>IFERROR((PA[[#This Row],[Work Completion time on fault]]-PA[[#This Row],[Fault Time]])*24,"")</f>
        <v>13.000000000000002</v>
      </c>
      <c r="AF435" s="228" t="s">
        <v>1295</v>
      </c>
      <c r="AG435" s="6" t="s">
        <v>1275</v>
      </c>
      <c r="AH435" s="53">
        <f>IFERROR(PA[[#This Row],[Breakdown Time]]*PA[[#This Row],[Plant Equivalent Weightage]],"")</f>
        <v>5.8500000000000003E-2</v>
      </c>
      <c r="AI435" s="59">
        <v>4.58</v>
      </c>
      <c r="AJ435" s="89">
        <f>IFERROR(IF(PA[[#This Row],[Lost PoA(kWh/m2)]]&gt;0,_xlfn.XLOOKUP(G435,'Modelling New'!$D:$D,'Modelling New'!$O:$O)*PA[[#This Row],[Lost PoA(kWh/m2)]]*S435,0),"")</f>
        <v>77.636399840725701</v>
      </c>
    </row>
    <row r="436" spans="1:38" ht="30" hidden="1" x14ac:dyDescent="0.25">
      <c r="A436" s="229">
        <v>2128</v>
      </c>
      <c r="B436" s="233">
        <v>45831</v>
      </c>
      <c r="C436" s="333">
        <v>2025</v>
      </c>
      <c r="D436" s="364">
        <f>YEAR(PA[[#This Row],[Date]])</f>
        <v>2025</v>
      </c>
      <c r="E436" s="373" t="s">
        <v>73</v>
      </c>
      <c r="F436" s="374" t="s">
        <v>73</v>
      </c>
      <c r="G436" s="323">
        <v>45809</v>
      </c>
      <c r="H436" s="365">
        <f>DAY(EOMONTH(PA[[#This Row],[Date]], 0))</f>
        <v>30</v>
      </c>
      <c r="I436" s="361">
        <v>0.21666666666666667</v>
      </c>
      <c r="J436" s="361">
        <v>0.77083333333333337</v>
      </c>
      <c r="K436" s="131">
        <f>IFERROR((PA[[#This Row],[Sunset Time (POA&lt;20 W/m2)]]-PA[[#This Row],[Sunrise Time (POA&gt;20 W/m2)]])*24,"")</f>
        <v>13.3</v>
      </c>
      <c r="L436" s="128" t="s">
        <v>587</v>
      </c>
      <c r="M436" s="128"/>
      <c r="N436" s="128"/>
      <c r="O436" s="128" t="s">
        <v>581</v>
      </c>
      <c r="P436" s="130"/>
      <c r="Q436" s="129"/>
      <c r="R436"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BLK1INV32</v>
      </c>
      <c r="S436" s="131">
        <v>12</v>
      </c>
      <c r="T436" s="132">
        <f>IFERROR(_xlfn.XLOOKUP(PA[[#This Row],[Affected Equipment ]],'Basic Data '!A:A,'Basic Data '!C:C),"")</f>
        <v>4.4999999999999997E-3</v>
      </c>
      <c r="U436" s="59" t="s">
        <v>1260</v>
      </c>
      <c r="V436" s="117"/>
      <c r="W436" s="375" t="s">
        <v>1271</v>
      </c>
      <c r="X436" s="366">
        <v>0.22916666666666666</v>
      </c>
      <c r="Y436" s="366"/>
      <c r="Z436" s="366"/>
      <c r="AA436" s="359">
        <v>0.77083333333333337</v>
      </c>
      <c r="AB436" s="159">
        <f>IF(PA[[#This Row],[Acknowledgement Time ]]="NA","",(PA[[#This Row],[Acknowledgement Time ]]-PA[[#This Row],[Fault Time]])*24)</f>
        <v>-5.5</v>
      </c>
      <c r="AC436" s="159">
        <f>IF(PA[[#This Row],[Work Start time on Fault]]="NA","",(PA[[#This Row],[Work Start time on Fault]]-PA[[#This Row],[Fault Time]])*24)</f>
        <v>-5.5</v>
      </c>
      <c r="AD436" s="135">
        <f>IF(PA[[#This Row],[Status]]="Open","",(PA[[#This Row],[Work Completion time on fault]]-PA[[#This Row],[Fault Time]])*24)</f>
        <v>13.000000000000002</v>
      </c>
      <c r="AE436" s="134">
        <f>IFERROR((PA[[#This Row],[Work Completion time on fault]]-PA[[#This Row],[Fault Time]])*24,"")</f>
        <v>13.000000000000002</v>
      </c>
      <c r="AF436" s="226" t="s">
        <v>1271</v>
      </c>
      <c r="AG436" s="129" t="s">
        <v>1275</v>
      </c>
      <c r="AH436" s="131">
        <f>IFERROR(PA[[#This Row],[Breakdown Time]]*PA[[#This Row],[Plant Equivalent Weightage]],"")</f>
        <v>5.8500000000000003E-2</v>
      </c>
      <c r="AI436" s="59">
        <v>4.58</v>
      </c>
      <c r="AJ436" s="89">
        <f>IFERROR(IF(PA[[#This Row],[Lost PoA(kWh/m2)]]&gt;0,_xlfn.XLOOKUP(G436,'Modelling New'!$D:$D,'Modelling New'!$O:$O)*PA[[#This Row],[Lost PoA(kWh/m2)]]*S436,0),"")</f>
        <v>41.777434891870328</v>
      </c>
      <c r="AK436" s="365"/>
      <c r="AL436" s="365"/>
    </row>
    <row r="437" spans="1:38" ht="30" hidden="1" x14ac:dyDescent="0.25">
      <c r="A437" s="229">
        <v>2129</v>
      </c>
      <c r="B437" s="233">
        <v>45832</v>
      </c>
      <c r="C437" s="333">
        <v>2025</v>
      </c>
      <c r="D437" s="348">
        <f>YEAR(PA[[#This Row],[Date]])</f>
        <v>2025</v>
      </c>
      <c r="E437" s="373" t="s">
        <v>73</v>
      </c>
      <c r="F437" s="374" t="s">
        <v>73</v>
      </c>
      <c r="G437" s="323">
        <v>45809</v>
      </c>
      <c r="H437" s="365">
        <f>DAY(EOMONTH(PA[[#This Row],[Date]], 0))</f>
        <v>30</v>
      </c>
      <c r="I437" s="361">
        <v>0.21597222222222223</v>
      </c>
      <c r="J437" s="361">
        <v>0.7715277777777777</v>
      </c>
      <c r="K437" s="53">
        <f>IFERROR((PA[[#This Row],[Sunset Time (POA&lt;20 W/m2)]]-PA[[#This Row],[Sunrise Time (POA&gt;20 W/m2)]])*24,"")</f>
        <v>13.333333333333332</v>
      </c>
      <c r="L437" s="59" t="s">
        <v>65</v>
      </c>
      <c r="M437" s="59"/>
      <c r="N437" s="59"/>
      <c r="O437" s="59" t="s">
        <v>596</v>
      </c>
      <c r="P437" s="56"/>
      <c r="Q437" s="6"/>
      <c r="R43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Blk4INV13</v>
      </c>
      <c r="S437" s="53">
        <f>_xlfn.XLOOKUP(PA[[#This Row],[Affected Equipment ]],'Basic Data '!$A:$A,'Basic Data '!$B:$B)</f>
        <v>300.375</v>
      </c>
      <c r="T437" s="90">
        <f>IFERROR(_xlfn.XLOOKUP(PA[[#This Row],[Affected Equipment ]],'Basic Data '!A:A,'Basic Data '!C:C),"")</f>
        <v>4.4999999999999997E-3</v>
      </c>
      <c r="U437" s="59" t="s">
        <v>566</v>
      </c>
      <c r="V437" s="88"/>
      <c r="W437" s="265" t="s">
        <v>1302</v>
      </c>
      <c r="X437" s="359">
        <v>0.21597222222222223</v>
      </c>
      <c r="Y437" s="359">
        <v>0.25</v>
      </c>
      <c r="Z437" s="359">
        <v>0.5</v>
      </c>
      <c r="AA437" s="359">
        <v>0.53402777777777777</v>
      </c>
      <c r="AB437" s="158">
        <f>IF(PA[[#This Row],[Acknowledgement Time ]]="NA","",(PA[[#This Row],[Acknowledgement Time ]]-PA[[#This Row],[Fault Time]])*24)</f>
        <v>0.81666666666666643</v>
      </c>
      <c r="AC437" s="158">
        <f>IF(PA[[#This Row],[Work Start time on Fault]]="NA","",(PA[[#This Row],[Work Start time on Fault]]-PA[[#This Row],[Fault Time]])*24)</f>
        <v>6.8166666666666664</v>
      </c>
      <c r="AD437" s="112">
        <f>IF(PA[[#This Row],[Status]]="Open","",(PA[[#This Row],[Work Completion time on fault]]-PA[[#This Row],[Fault Time]])*24)</f>
        <v>7.6333333333333329</v>
      </c>
      <c r="AE437" s="111">
        <f>IFERROR((PA[[#This Row],[Work Completion time on fault]]-PA[[#This Row],[Fault Time]])*24,"")</f>
        <v>7.6333333333333329</v>
      </c>
      <c r="AF437" s="228" t="s">
        <v>1302</v>
      </c>
      <c r="AG437" s="6" t="s">
        <v>1275</v>
      </c>
      <c r="AH437" s="53">
        <f>IFERROR(PA[[#This Row],[Breakdown Time]]*PA[[#This Row],[Plant Equivalent Weightage]],"")</f>
        <v>3.4349999999999999E-2</v>
      </c>
      <c r="AI437" s="59">
        <v>3.4</v>
      </c>
      <c r="AJ437" s="89">
        <f>IFERROR(IF(PA[[#This Row],[Lost PoA(kWh/m2)]]&gt;0,_xlfn.XLOOKUP(G437,'Modelling New'!$D:$D,'Modelling New'!$O:$O)*PA[[#This Row],[Lost PoA(kWh/m2)]]*S437,0),"")</f>
        <v>776.3145891411001</v>
      </c>
      <c r="AK437" s="365"/>
      <c r="AL437" s="365"/>
    </row>
    <row r="438" spans="1:38" ht="30" hidden="1" x14ac:dyDescent="0.25">
      <c r="A438" s="229">
        <v>2130</v>
      </c>
      <c r="B438" s="233">
        <v>45832</v>
      </c>
      <c r="C438" s="333">
        <v>2025</v>
      </c>
      <c r="D438" s="348">
        <f>YEAR(PA[[#This Row],[Date]])</f>
        <v>2025</v>
      </c>
      <c r="E438" s="373" t="s">
        <v>73</v>
      </c>
      <c r="F438" s="374" t="s">
        <v>73</v>
      </c>
      <c r="G438" s="323">
        <v>45809</v>
      </c>
      <c r="H438" s="365">
        <f>DAY(EOMONTH(PA[[#This Row],[Date]], 0))</f>
        <v>30</v>
      </c>
      <c r="I438" s="361">
        <v>0.21597222222222223</v>
      </c>
      <c r="J438" s="361">
        <v>0.7715277777777777</v>
      </c>
      <c r="K438" s="53">
        <f>IFERROR((PA[[#This Row],[Sunset Time (POA&lt;20 W/m2)]]-PA[[#This Row],[Sunrise Time (POA&gt;20 W/m2)]])*24,"")</f>
        <v>13.333333333333332</v>
      </c>
      <c r="L438" s="59" t="s">
        <v>621</v>
      </c>
      <c r="M438" s="59"/>
      <c r="N438" s="59"/>
      <c r="O438" s="59" t="s">
        <v>637</v>
      </c>
      <c r="P438" s="56"/>
      <c r="Q438" s="6"/>
      <c r="R43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438" s="53">
        <v>12</v>
      </c>
      <c r="T438" s="90">
        <f>IFERROR(_xlfn.XLOOKUP(PA[[#This Row],[Affected Equipment ]],'Basic Data '!A:A,'Basic Data '!C:C),"")</f>
        <v>4.0000000000000001E-3</v>
      </c>
      <c r="U438" s="59" t="s">
        <v>1260</v>
      </c>
      <c r="V438" s="88"/>
      <c r="W438" s="265" t="s">
        <v>1271</v>
      </c>
      <c r="X438" s="359">
        <v>0.21597222222222223</v>
      </c>
      <c r="Y438" s="359"/>
      <c r="Z438" s="359"/>
      <c r="AA438" s="359">
        <v>0.7715277777777777</v>
      </c>
      <c r="AB438" s="158">
        <f>IF(PA[[#This Row],[Acknowledgement Time ]]="NA","",(PA[[#This Row],[Acknowledgement Time ]]-PA[[#This Row],[Fault Time]])*24)</f>
        <v>-5.1833333333333336</v>
      </c>
      <c r="AC438" s="158">
        <f>IF(PA[[#This Row],[Work Start time on Fault]]="NA","",(PA[[#This Row],[Work Start time on Fault]]-PA[[#This Row],[Fault Time]])*24)</f>
        <v>-5.1833333333333336</v>
      </c>
      <c r="AD438" s="112">
        <f>IF(PA[[#This Row],[Status]]="Open","",(PA[[#This Row],[Work Completion time on fault]]-PA[[#This Row],[Fault Time]])*24)</f>
        <v>13.333333333333332</v>
      </c>
      <c r="AE438" s="111">
        <f>IFERROR((PA[[#This Row],[Work Completion time on fault]]-PA[[#This Row],[Fault Time]])*24,"")</f>
        <v>13.333333333333332</v>
      </c>
      <c r="AF438" s="228" t="s">
        <v>1271</v>
      </c>
      <c r="AG438" s="6" t="s">
        <v>1275</v>
      </c>
      <c r="AH438" s="53">
        <f>IFERROR(PA[[#This Row],[Breakdown Time]]*PA[[#This Row],[Plant Equivalent Weightage]],"")</f>
        <v>5.333333333333333E-2</v>
      </c>
      <c r="AI438" s="59">
        <v>6.46</v>
      </c>
      <c r="AJ438" s="89">
        <f>IFERROR(IF(PA[[#This Row],[Lost PoA(kWh/m2)]]&gt;0,_xlfn.XLOOKUP(G438,'Modelling New'!$D:$D,'Modelling New'!$O:$O)*PA[[#This Row],[Lost PoA(kWh/m2)]]*S438,0),"")</f>
        <v>58.92625096102234</v>
      </c>
      <c r="AK438" s="365"/>
      <c r="AL438" s="365"/>
    </row>
    <row r="439" spans="1:38" ht="30" hidden="1" x14ac:dyDescent="0.25">
      <c r="A439" s="229">
        <v>2131</v>
      </c>
      <c r="B439" s="233">
        <v>45832</v>
      </c>
      <c r="C439" s="333">
        <v>2025</v>
      </c>
      <c r="D439" s="348">
        <f>YEAR(PA[[#This Row],[Date]])</f>
        <v>2025</v>
      </c>
      <c r="E439" s="373" t="s">
        <v>73</v>
      </c>
      <c r="F439" s="374" t="s">
        <v>73</v>
      </c>
      <c r="G439" s="323">
        <v>45809</v>
      </c>
      <c r="H439" s="365">
        <f>DAY(EOMONTH(PA[[#This Row],[Date]], 0))</f>
        <v>30</v>
      </c>
      <c r="I439" s="361">
        <v>0.21597222222222223</v>
      </c>
      <c r="J439" s="361">
        <v>0.7715277777777777</v>
      </c>
      <c r="K439" s="53">
        <f>IFERROR((PA[[#This Row],[Sunset Time (POA&lt;20 W/m2)]]-PA[[#This Row],[Sunrise Time (POA&gt;20 W/m2)]])*24,"")</f>
        <v>13.333333333333332</v>
      </c>
      <c r="L439" s="59" t="s">
        <v>621</v>
      </c>
      <c r="M439" s="59"/>
      <c r="N439" s="59"/>
      <c r="O439" s="59" t="s">
        <v>612</v>
      </c>
      <c r="P439" s="56"/>
      <c r="Q439" s="6"/>
      <c r="R43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439" s="53">
        <v>22.25</v>
      </c>
      <c r="T439" s="90">
        <f>IFERROR(_xlfn.XLOOKUP(PA[[#This Row],[Affected Equipment ]],'Basic Data '!A:A,'Basic Data '!C:C),"")</f>
        <v>4.4999999999999997E-3</v>
      </c>
      <c r="U439" s="59" t="s">
        <v>1260</v>
      </c>
      <c r="V439" s="88"/>
      <c r="W439" s="265" t="s">
        <v>1295</v>
      </c>
      <c r="X439" s="359">
        <v>0.21597222222222223</v>
      </c>
      <c r="Y439" s="359"/>
      <c r="Z439" s="359"/>
      <c r="AA439" s="359">
        <v>0.7715277777777777</v>
      </c>
      <c r="AB439" s="158">
        <f>IF(PA[[#This Row],[Acknowledgement Time ]]="NA","",(PA[[#This Row],[Acknowledgement Time ]]-PA[[#This Row],[Fault Time]])*24)</f>
        <v>-5.1833333333333336</v>
      </c>
      <c r="AC439" s="158">
        <f>IF(PA[[#This Row],[Work Start time on Fault]]="NA","",(PA[[#This Row],[Work Start time on Fault]]-PA[[#This Row],[Fault Time]])*24)</f>
        <v>-5.1833333333333336</v>
      </c>
      <c r="AD439" s="112">
        <f>IF(PA[[#This Row],[Status]]="Open","",(PA[[#This Row],[Work Completion time on fault]]-PA[[#This Row],[Fault Time]])*24)</f>
        <v>13.333333333333332</v>
      </c>
      <c r="AE439" s="111">
        <f>IFERROR((PA[[#This Row],[Work Completion time on fault]]-PA[[#This Row],[Fault Time]])*24,"")</f>
        <v>13.333333333333332</v>
      </c>
      <c r="AF439" s="228" t="s">
        <v>1295</v>
      </c>
      <c r="AG439" s="6" t="s">
        <v>1275</v>
      </c>
      <c r="AH439" s="53">
        <f>IFERROR(PA[[#This Row],[Breakdown Time]]*PA[[#This Row],[Plant Equivalent Weightage]],"")</f>
        <v>5.9999999999999991E-2</v>
      </c>
      <c r="AI439" s="59">
        <v>6.46</v>
      </c>
      <c r="AJ439" s="89">
        <f>IFERROR(IF(PA[[#This Row],[Lost PoA(kWh/m2)]]&gt;0,_xlfn.XLOOKUP(G439,'Modelling New'!$D:$D,'Modelling New'!$O:$O)*PA[[#This Row],[Lost PoA(kWh/m2)]]*S439,0),"")</f>
        <v>109.25909032356226</v>
      </c>
      <c r="AK439" s="365"/>
      <c r="AL439" s="365"/>
    </row>
    <row r="440" spans="1:38" hidden="1" x14ac:dyDescent="0.25">
      <c r="A440" s="229">
        <v>2132</v>
      </c>
      <c r="B440" s="233">
        <v>45833</v>
      </c>
      <c r="C440" s="333">
        <v>2025</v>
      </c>
      <c r="D440" s="348">
        <f>YEAR(PA[[#This Row],[Date]])</f>
        <v>2025</v>
      </c>
      <c r="E440" s="373" t="s">
        <v>73</v>
      </c>
      <c r="F440" s="374" t="s">
        <v>73</v>
      </c>
      <c r="G440" s="323">
        <v>45809</v>
      </c>
      <c r="H440">
        <f>DAY(EOMONTH(PA[[#This Row],[Date]], 0))</f>
        <v>30</v>
      </c>
      <c r="I440" s="361">
        <v>0.21597222222222223</v>
      </c>
      <c r="J440" s="361">
        <v>0.78472222222222221</v>
      </c>
      <c r="K440" s="53">
        <f>IFERROR((PA[[#This Row],[Sunset Time (POA&lt;20 W/m2)]]-PA[[#This Row],[Sunrise Time (POA&gt;20 W/m2)]])*24,"")</f>
        <v>13.649999999999999</v>
      </c>
      <c r="L440" s="59" t="s">
        <v>621</v>
      </c>
      <c r="M440" s="59"/>
      <c r="N440" s="59"/>
      <c r="O440" s="59" t="s">
        <v>637</v>
      </c>
      <c r="P440" s="56"/>
      <c r="Q440" s="6"/>
      <c r="R44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440" s="53">
        <v>12</v>
      </c>
      <c r="T440" s="90">
        <f>IFERROR(_xlfn.XLOOKUP(PA[[#This Row],[Affected Equipment ]],'Basic Data '!A:A,'Basic Data '!C:C),"")</f>
        <v>4.0000000000000001E-3</v>
      </c>
      <c r="U440" s="59" t="s">
        <v>1260</v>
      </c>
      <c r="V440" s="88"/>
      <c r="W440" s="114" t="s">
        <v>1271</v>
      </c>
      <c r="X440" s="359">
        <v>0.21597222222222223</v>
      </c>
      <c r="Y440" s="359"/>
      <c r="Z440" s="359"/>
      <c r="AA440" s="359">
        <v>0.78472222222222221</v>
      </c>
      <c r="AB440" s="158">
        <f>IF(PA[[#This Row],[Acknowledgement Time ]]="NA","",(PA[[#This Row],[Acknowledgement Time ]]-PA[[#This Row],[Fault Time]])*24)</f>
        <v>-5.1833333333333336</v>
      </c>
      <c r="AC440" s="158">
        <f>IF(PA[[#This Row],[Work Start time on Fault]]="NA","",(PA[[#This Row],[Work Start time on Fault]]-PA[[#This Row],[Fault Time]])*24)</f>
        <v>-5.1833333333333336</v>
      </c>
      <c r="AD440" s="112">
        <f>IF(PA[[#This Row],[Status]]="Open","",(PA[[#This Row],[Work Completion time on fault]]-PA[[#This Row],[Fault Time]])*24)</f>
        <v>13.649999999999999</v>
      </c>
      <c r="AE440" s="111">
        <f>IFERROR((PA[[#This Row],[Work Completion time on fault]]-PA[[#This Row],[Fault Time]])*24,"")</f>
        <v>13.649999999999999</v>
      </c>
      <c r="AF440" s="228" t="s">
        <v>1271</v>
      </c>
      <c r="AG440" s="6" t="s">
        <v>1275</v>
      </c>
      <c r="AH440" s="53">
        <f>IFERROR(PA[[#This Row],[Breakdown Time]]*PA[[#This Row],[Plant Equivalent Weightage]],"")</f>
        <v>5.4599999999999996E-2</v>
      </c>
      <c r="AI440" s="59">
        <v>6.18</v>
      </c>
      <c r="AJ440" s="89">
        <f>IFERROR(IF(PA[[#This Row],[Lost PoA(kWh/m2)]]&gt;0,_xlfn.XLOOKUP(G440,'Modelling New'!$D:$D,'Modelling New'!$O:$O)*PA[[#This Row],[Lost PoA(kWh/m2)]]*S440,0),"")</f>
        <v>56.372171971999691</v>
      </c>
    </row>
    <row r="441" spans="1:38" hidden="1" x14ac:dyDescent="0.25">
      <c r="A441" s="229">
        <v>2133</v>
      </c>
      <c r="B441" s="233">
        <v>45833</v>
      </c>
      <c r="C441" s="333">
        <v>2025</v>
      </c>
      <c r="D441" s="364">
        <f>YEAR(PA[[#This Row],[Date]])</f>
        <v>2025</v>
      </c>
      <c r="E441" s="373" t="s">
        <v>73</v>
      </c>
      <c r="F441" s="374" t="s">
        <v>73</v>
      </c>
      <c r="G441" s="323">
        <v>45809</v>
      </c>
      <c r="H441" s="365">
        <f>DAY(EOMONTH(PA[[#This Row],[Date]], 0))</f>
        <v>30</v>
      </c>
      <c r="I441" s="361">
        <v>0.21597222222222223</v>
      </c>
      <c r="J441" s="361">
        <v>0.78472222222222221</v>
      </c>
      <c r="K441" s="131">
        <f>IFERROR((PA[[#This Row],[Sunset Time (POA&lt;20 W/m2)]]-PA[[#This Row],[Sunrise Time (POA&gt;20 W/m2)]])*24,"")</f>
        <v>13.649999999999999</v>
      </c>
      <c r="L441" s="128" t="s">
        <v>621</v>
      </c>
      <c r="M441" s="128"/>
      <c r="N441" s="128"/>
      <c r="O441" s="128" t="s">
        <v>612</v>
      </c>
      <c r="P441" s="130"/>
      <c r="Q441" s="129"/>
      <c r="R441"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441" s="131">
        <v>22.25</v>
      </c>
      <c r="T441" s="132">
        <f>IFERROR(_xlfn.XLOOKUP(PA[[#This Row],[Affected Equipment ]],'Basic Data '!A:A,'Basic Data '!C:C),"")</f>
        <v>4.4999999999999997E-3</v>
      </c>
      <c r="U441" s="59" t="s">
        <v>1260</v>
      </c>
      <c r="V441" s="117"/>
      <c r="W441" s="118" t="s">
        <v>1295</v>
      </c>
      <c r="X441" s="359">
        <v>0.21597222222222223</v>
      </c>
      <c r="Y441" s="366"/>
      <c r="Z441" s="366"/>
      <c r="AA441" s="366">
        <v>0.78472222222222221</v>
      </c>
      <c r="AB441" s="159">
        <f>IF(PA[[#This Row],[Acknowledgement Time ]]="NA","",(PA[[#This Row],[Acknowledgement Time ]]-PA[[#This Row],[Fault Time]])*24)</f>
        <v>-5.1833333333333336</v>
      </c>
      <c r="AC441" s="159">
        <f>IF(PA[[#This Row],[Work Start time on Fault]]="NA","",(PA[[#This Row],[Work Start time on Fault]]-PA[[#This Row],[Fault Time]])*24)</f>
        <v>-5.1833333333333336</v>
      </c>
      <c r="AD441" s="135">
        <f>IF(PA[[#This Row],[Status]]="Open","",(PA[[#This Row],[Work Completion time on fault]]-PA[[#This Row],[Fault Time]])*24)</f>
        <v>13.649999999999999</v>
      </c>
      <c r="AE441" s="134">
        <f>IFERROR((PA[[#This Row],[Work Completion time on fault]]-PA[[#This Row],[Fault Time]])*24,"")</f>
        <v>13.649999999999999</v>
      </c>
      <c r="AF441" s="226" t="s">
        <v>1295</v>
      </c>
      <c r="AG441" s="6" t="s">
        <v>1275</v>
      </c>
      <c r="AH441" s="131">
        <f>IFERROR(PA[[#This Row],[Breakdown Time]]*PA[[#This Row],[Plant Equivalent Weightage]],"")</f>
        <v>6.1424999999999987E-2</v>
      </c>
      <c r="AI441" s="59">
        <v>6.18</v>
      </c>
      <c r="AJ441" s="89">
        <f>IFERROR(IF(PA[[#This Row],[Lost PoA(kWh/m2)]]&gt;0,_xlfn.XLOOKUP(G441,'Modelling New'!$D:$D,'Modelling New'!$O:$O)*PA[[#This Row],[Lost PoA(kWh/m2)]]*S441,0),"")</f>
        <v>104.52340219808276</v>
      </c>
      <c r="AK441" s="365"/>
      <c r="AL441" s="365"/>
    </row>
    <row r="442" spans="1:38" hidden="1" x14ac:dyDescent="0.25">
      <c r="A442" s="229">
        <v>2134</v>
      </c>
      <c r="B442" s="233">
        <v>45833</v>
      </c>
      <c r="C442" s="163">
        <v>2025</v>
      </c>
      <c r="D442" s="348">
        <f>YEAR(PA[[#This Row],[Date]])</f>
        <v>2025</v>
      </c>
      <c r="E442" s="373" t="s">
        <v>73</v>
      </c>
      <c r="F442" s="374" t="s">
        <v>73</v>
      </c>
      <c r="G442" s="323">
        <v>45809</v>
      </c>
      <c r="H442" s="365">
        <f>DAY(EOMONTH(PA[[#This Row],[Date]], 0))</f>
        <v>30</v>
      </c>
      <c r="I442" s="361">
        <v>0.21805555555555556</v>
      </c>
      <c r="J442" s="361">
        <v>0.77777777777777779</v>
      </c>
      <c r="K442" s="53">
        <f>IFERROR((PA[[#This Row],[Sunset Time (POA&lt;20 W/m2)]]-PA[[#This Row],[Sunrise Time (POA&gt;20 W/m2)]])*24,"")</f>
        <v>13.433333333333334</v>
      </c>
      <c r="L442" s="59" t="s">
        <v>621</v>
      </c>
      <c r="M442" s="59"/>
      <c r="N442" s="59"/>
      <c r="O442" s="59" t="s">
        <v>637</v>
      </c>
      <c r="P442" s="56"/>
      <c r="Q442" s="6"/>
      <c r="R44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442" s="53">
        <v>12</v>
      </c>
      <c r="T442" s="90">
        <f>IFERROR(_xlfn.XLOOKUP(PA[[#This Row],[Affected Equipment ]],'Basic Data '!A:A,'Basic Data '!C:C),"")</f>
        <v>4.0000000000000001E-3</v>
      </c>
      <c r="U442" s="59" t="s">
        <v>1260</v>
      </c>
      <c r="V442" s="88"/>
      <c r="W442" s="114" t="s">
        <v>1271</v>
      </c>
      <c r="X442" s="359">
        <v>0.21805555555555556</v>
      </c>
      <c r="Y442" s="359"/>
      <c r="Z442" s="359"/>
      <c r="AA442" s="359">
        <v>0.77777777777777779</v>
      </c>
      <c r="AB442" s="158">
        <f>IF(PA[[#This Row],[Acknowledgement Time ]]="NA","",(PA[[#This Row],[Acknowledgement Time ]]-PA[[#This Row],[Fault Time]])*24)</f>
        <v>-5.2333333333333334</v>
      </c>
      <c r="AC442" s="158">
        <f>IF(PA[[#This Row],[Work Start time on Fault]]="NA","",(PA[[#This Row],[Work Start time on Fault]]-PA[[#This Row],[Fault Time]])*24)</f>
        <v>-5.2333333333333334</v>
      </c>
      <c r="AD442" s="112">
        <f>IF(PA[[#This Row],[Status]]="Open","",(PA[[#This Row],[Work Completion time on fault]]-PA[[#This Row],[Fault Time]])*24)</f>
        <v>13.433333333333334</v>
      </c>
      <c r="AE442" s="111">
        <f>IFERROR((PA[[#This Row],[Work Completion time on fault]]-PA[[#This Row],[Fault Time]])*24,"")</f>
        <v>13.433333333333334</v>
      </c>
      <c r="AF442" s="228" t="s">
        <v>1271</v>
      </c>
      <c r="AG442" s="6" t="s">
        <v>1275</v>
      </c>
      <c r="AH442" s="53">
        <f>IFERROR(PA[[#This Row],[Breakdown Time]]*PA[[#This Row],[Plant Equivalent Weightage]],"")</f>
        <v>5.3733333333333334E-2</v>
      </c>
      <c r="AI442" s="59">
        <v>6.3</v>
      </c>
      <c r="AJ442" s="89">
        <f>IFERROR(IF(PA[[#This Row],[Lost PoA(kWh/m2)]]&gt;0,_xlfn.XLOOKUP(G442,'Modelling New'!$D:$D,'Modelling New'!$O:$O)*PA[[#This Row],[Lost PoA(kWh/m2)]]*S442,0),"")</f>
        <v>57.466777253009397</v>
      </c>
      <c r="AK442" s="365"/>
      <c r="AL442" s="365"/>
    </row>
    <row r="443" spans="1:38" hidden="1" x14ac:dyDescent="0.25">
      <c r="A443" s="229">
        <v>2135</v>
      </c>
      <c r="B443" s="233">
        <v>45833</v>
      </c>
      <c r="C443" s="163">
        <v>2025</v>
      </c>
      <c r="D443" s="348">
        <f>YEAR(PA[[#This Row],[Date]])</f>
        <v>2025</v>
      </c>
      <c r="E443" s="373" t="s">
        <v>73</v>
      </c>
      <c r="F443" s="374" t="s">
        <v>73</v>
      </c>
      <c r="G443" s="323">
        <v>45809</v>
      </c>
      <c r="H443" s="365">
        <f>DAY(EOMONTH(PA[[#This Row],[Date]], 0))</f>
        <v>30</v>
      </c>
      <c r="I443" s="361">
        <v>0.21805555555555556</v>
      </c>
      <c r="J443" s="361">
        <v>0.77777777777777779</v>
      </c>
      <c r="K443" s="53">
        <f>IFERROR((PA[[#This Row],[Sunset Time (POA&lt;20 W/m2)]]-PA[[#This Row],[Sunrise Time (POA&gt;20 W/m2)]])*24,"")</f>
        <v>13.433333333333334</v>
      </c>
      <c r="L443" s="59" t="s">
        <v>621</v>
      </c>
      <c r="M443" s="59"/>
      <c r="N443" s="59"/>
      <c r="O443" s="59" t="s">
        <v>612</v>
      </c>
      <c r="P443" s="56"/>
      <c r="Q443" s="6"/>
      <c r="R44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443" s="53">
        <v>22.25</v>
      </c>
      <c r="T443" s="90">
        <f>IFERROR(_xlfn.XLOOKUP(PA[[#This Row],[Affected Equipment ]],'Basic Data '!A:A,'Basic Data '!C:C),"")</f>
        <v>4.4999999999999997E-3</v>
      </c>
      <c r="U443" s="59" t="s">
        <v>1260</v>
      </c>
      <c r="V443" s="88"/>
      <c r="W443" s="118" t="s">
        <v>1295</v>
      </c>
      <c r="X443" s="359">
        <v>0.21805555555555556</v>
      </c>
      <c r="Y443" s="359"/>
      <c r="Z443" s="359"/>
      <c r="AA443" s="359">
        <v>0.77777777777777779</v>
      </c>
      <c r="AB443" s="158">
        <f>IF(PA[[#This Row],[Acknowledgement Time ]]="NA","",(PA[[#This Row],[Acknowledgement Time ]]-PA[[#This Row],[Fault Time]])*24)</f>
        <v>-5.2333333333333334</v>
      </c>
      <c r="AC443" s="158">
        <f>IF(PA[[#This Row],[Work Start time on Fault]]="NA","",(PA[[#This Row],[Work Start time on Fault]]-PA[[#This Row],[Fault Time]])*24)</f>
        <v>-5.2333333333333334</v>
      </c>
      <c r="AD443" s="112">
        <f>IF(PA[[#This Row],[Status]]="Open","",(PA[[#This Row],[Work Completion time on fault]]-PA[[#This Row],[Fault Time]])*24)</f>
        <v>13.433333333333334</v>
      </c>
      <c r="AE443" s="111">
        <f>IFERROR((PA[[#This Row],[Work Completion time on fault]]-PA[[#This Row],[Fault Time]])*24,"")</f>
        <v>13.433333333333334</v>
      </c>
      <c r="AF443" s="226" t="s">
        <v>1295</v>
      </c>
      <c r="AG443" s="6" t="s">
        <v>1275</v>
      </c>
      <c r="AH443" s="53">
        <f>IFERROR(PA[[#This Row],[Breakdown Time]]*PA[[#This Row],[Plant Equivalent Weightage]],"")</f>
        <v>6.0449999999999997E-2</v>
      </c>
      <c r="AI443" s="59">
        <v>6.3</v>
      </c>
      <c r="AJ443" s="89">
        <f>IFERROR(IF(PA[[#This Row],[Lost PoA(kWh/m2)]]&gt;0,_xlfn.XLOOKUP(G443,'Modelling New'!$D:$D,'Modelling New'!$O:$O)*PA[[#This Row],[Lost PoA(kWh/m2)]]*S443,0),"")</f>
        <v>106.55298282328825</v>
      </c>
      <c r="AK443" s="365"/>
      <c r="AL443" s="365"/>
    </row>
    <row r="444" spans="1:38" ht="60" hidden="1" x14ac:dyDescent="0.25">
      <c r="A444" s="229">
        <v>2136</v>
      </c>
      <c r="B444" s="233">
        <v>45833</v>
      </c>
      <c r="C444" s="163">
        <v>2025</v>
      </c>
      <c r="D444" s="348">
        <f>YEAR(PA[[#This Row],[Date]])</f>
        <v>2025</v>
      </c>
      <c r="E444" s="373" t="s">
        <v>73</v>
      </c>
      <c r="F444" s="374" t="s">
        <v>73</v>
      </c>
      <c r="G444" s="323">
        <v>45809</v>
      </c>
      <c r="H444" s="365">
        <f>DAY(EOMONTH(PA[[#This Row],[Date]], 0))</f>
        <v>30</v>
      </c>
      <c r="I444" s="361">
        <v>0.21805555555555556</v>
      </c>
      <c r="J444" s="361">
        <v>0.77777777777777779</v>
      </c>
      <c r="K444" s="53">
        <f>IFERROR((PA[[#This Row],[Sunset Time (POA&lt;20 W/m2)]]-PA[[#This Row],[Sunrise Time (POA&gt;20 W/m2)]])*24,"")</f>
        <v>13.433333333333334</v>
      </c>
      <c r="L444" s="59" t="s">
        <v>621</v>
      </c>
      <c r="M444" s="59"/>
      <c r="N444" s="59"/>
      <c r="O444" s="59" t="s">
        <v>595</v>
      </c>
      <c r="P444" s="56"/>
      <c r="Q444" s="6"/>
      <c r="R44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BLK4INV11</v>
      </c>
      <c r="S444" s="53">
        <f>_xlfn.XLOOKUP(PA[[#This Row],[Affected Equipment ]],'Basic Data '!$A:$A,'Basic Data '!$B:$B)</f>
        <v>300.375</v>
      </c>
      <c r="T444" s="90">
        <f>IFERROR(_xlfn.XLOOKUP(PA[[#This Row],[Affected Equipment ]],'Basic Data '!A:A,'Basic Data '!C:C),"")</f>
        <v>4.4999999999999997E-3</v>
      </c>
      <c r="U444" s="59" t="s">
        <v>566</v>
      </c>
      <c r="V444" s="88"/>
      <c r="W444" s="265" t="s">
        <v>1303</v>
      </c>
      <c r="X444" s="359">
        <v>0.67708333333333337</v>
      </c>
      <c r="Y444" s="359">
        <v>0.67708333333333337</v>
      </c>
      <c r="Z444" s="359">
        <v>0.6875</v>
      </c>
      <c r="AA444" s="359">
        <v>0.75347222222222221</v>
      </c>
      <c r="AB444" s="158">
        <f>IF(PA[[#This Row],[Acknowledgement Time ]]="NA","",(PA[[#This Row],[Acknowledgement Time ]]-PA[[#This Row],[Fault Time]])*24)</f>
        <v>0</v>
      </c>
      <c r="AC444" s="158">
        <f>IF(PA[[#This Row],[Work Start time on Fault]]="NA","",(PA[[#This Row],[Work Start time on Fault]]-PA[[#This Row],[Fault Time]])*24)</f>
        <v>0.24999999999999911</v>
      </c>
      <c r="AD444" s="112">
        <f>IF(PA[[#This Row],[Status]]="Open","",(PA[[#This Row],[Work Completion time on fault]]-PA[[#This Row],[Fault Time]])*24)</f>
        <v>1.8333333333333321</v>
      </c>
      <c r="AE444" s="111">
        <f>IFERROR((PA[[#This Row],[Work Completion time on fault]]-PA[[#This Row],[Fault Time]])*24,"")</f>
        <v>1.8333333333333321</v>
      </c>
      <c r="AF444" s="228" t="s">
        <v>1303</v>
      </c>
      <c r="AG444" s="6" t="s">
        <v>1275</v>
      </c>
      <c r="AH444" s="53">
        <f>IFERROR(PA[[#This Row],[Breakdown Time]]*PA[[#This Row],[Plant Equivalent Weightage]],"")</f>
        <v>8.2499999999999934E-3</v>
      </c>
      <c r="AI444" s="59">
        <v>0.51300000000000001</v>
      </c>
      <c r="AJ444" s="89">
        <f>IFERROR(IF(PA[[#This Row],[Lost PoA(kWh/m2)]]&gt;0,_xlfn.XLOOKUP(G444,'Modelling New'!$D:$D,'Modelling New'!$O:$O)*PA[[#This Row],[Lost PoA(kWh/m2)]]*S444,0),"")</f>
        <v>117.13217183217189</v>
      </c>
      <c r="AK444" s="365"/>
      <c r="AL444" s="365"/>
    </row>
    <row r="445" spans="1:38" s="354" customFormat="1" ht="30" hidden="1" x14ac:dyDescent="0.25">
      <c r="A445" s="229">
        <v>2137</v>
      </c>
      <c r="B445" s="233">
        <v>45834</v>
      </c>
      <c r="C445" s="163">
        <v>2025</v>
      </c>
      <c r="D445" s="348">
        <f>YEAR(PA[[#This Row],[Date]])</f>
        <v>2025</v>
      </c>
      <c r="E445" s="373" t="s">
        <v>73</v>
      </c>
      <c r="F445" s="374" t="s">
        <v>73</v>
      </c>
      <c r="G445" s="323">
        <v>45809</v>
      </c>
      <c r="H445" s="365">
        <f>DAY(EOMONTH(PA[[#This Row],[Date]], 0))</f>
        <v>30</v>
      </c>
      <c r="I445" s="361"/>
      <c r="J445" s="361"/>
      <c r="K445" s="53">
        <f>IFERROR((PA[[#This Row],[Sunset Time (POA&lt;20 W/m2)]]-PA[[#This Row],[Sunrise Time (POA&gt;20 W/m2)]])*24,"")</f>
        <v>0</v>
      </c>
      <c r="L445" s="59" t="s">
        <v>621</v>
      </c>
      <c r="M445" s="59"/>
      <c r="N445" s="59"/>
      <c r="O445" s="59" t="s">
        <v>637</v>
      </c>
      <c r="P445" s="56"/>
      <c r="Q445" s="6"/>
      <c r="R44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445" s="53">
        <v>12</v>
      </c>
      <c r="T445" s="90">
        <f>IFERROR(_xlfn.XLOOKUP(PA[[#This Row],[Affected Equipment ]],'Basic Data '!A:A,'Basic Data '!C:C),"")</f>
        <v>4.0000000000000001E-3</v>
      </c>
      <c r="U445" s="59" t="s">
        <v>1260</v>
      </c>
      <c r="V445" s="88"/>
      <c r="W445" s="265" t="s">
        <v>1271</v>
      </c>
      <c r="X445" s="359">
        <v>0.21805555555555556</v>
      </c>
      <c r="Y445" s="359"/>
      <c r="Z445" s="359"/>
      <c r="AA445" s="359">
        <v>0.77777777777777779</v>
      </c>
      <c r="AB445" s="158">
        <f>IF(PA[[#This Row],[Acknowledgement Time ]]="NA","",(PA[[#This Row],[Acknowledgement Time ]]-PA[[#This Row],[Fault Time]])*24)</f>
        <v>-5.2333333333333334</v>
      </c>
      <c r="AC445" s="158">
        <f>IF(PA[[#This Row],[Work Start time on Fault]]="NA","",(PA[[#This Row],[Work Start time on Fault]]-PA[[#This Row],[Fault Time]])*24)</f>
        <v>-5.2333333333333334</v>
      </c>
      <c r="AD445" s="112">
        <f>IF(PA[[#This Row],[Status]]="Open","",(PA[[#This Row],[Work Completion time on fault]]-PA[[#This Row],[Fault Time]])*24)</f>
        <v>13.433333333333334</v>
      </c>
      <c r="AE445" s="111">
        <f>IFERROR((PA[[#This Row],[Work Completion time on fault]]-PA[[#This Row],[Fault Time]])*24,"")</f>
        <v>13.433333333333334</v>
      </c>
      <c r="AF445" s="228" t="s">
        <v>1271</v>
      </c>
      <c r="AG445" s="6" t="s">
        <v>1275</v>
      </c>
      <c r="AH445" s="53">
        <f>IFERROR(PA[[#This Row],[Breakdown Time]]*PA[[#This Row],[Plant Equivalent Weightage]],"")</f>
        <v>5.3733333333333334E-2</v>
      </c>
      <c r="AI445" s="59">
        <v>6.3</v>
      </c>
      <c r="AJ445" s="89">
        <f>IFERROR(IF(PA[[#This Row],[Lost PoA(kWh/m2)]]&gt;0,_xlfn.XLOOKUP(G445,'Modelling New'!$D:$D,'Modelling New'!$O:$O)*PA[[#This Row],[Lost PoA(kWh/m2)]]*S445,0),"")</f>
        <v>57.466777253009397</v>
      </c>
      <c r="AK445" s="365"/>
      <c r="AL445" s="365"/>
    </row>
    <row r="446" spans="1:38" s="354" customFormat="1" ht="30" hidden="1" x14ac:dyDescent="0.25">
      <c r="A446" s="229">
        <v>2138</v>
      </c>
      <c r="B446" s="233">
        <v>45834</v>
      </c>
      <c r="C446" s="163">
        <v>2025</v>
      </c>
      <c r="D446" s="348">
        <f>YEAR(PA[[#This Row],[Date]])</f>
        <v>2025</v>
      </c>
      <c r="E446" s="373" t="s">
        <v>73</v>
      </c>
      <c r="F446" s="374" t="s">
        <v>73</v>
      </c>
      <c r="G446" s="323">
        <v>45809</v>
      </c>
      <c r="H446" s="365">
        <f>DAY(EOMONTH(PA[[#This Row],[Date]], 0))</f>
        <v>30</v>
      </c>
      <c r="I446" s="361"/>
      <c r="J446" s="361"/>
      <c r="K446" s="53">
        <f>IFERROR((PA[[#This Row],[Sunset Time (POA&lt;20 W/m2)]]-PA[[#This Row],[Sunrise Time (POA&gt;20 W/m2)]])*24,"")</f>
        <v>0</v>
      </c>
      <c r="L446" s="59" t="s">
        <v>621</v>
      </c>
      <c r="M446" s="59"/>
      <c r="N446" s="59"/>
      <c r="O446" s="59" t="s">
        <v>612</v>
      </c>
      <c r="P446" s="56"/>
      <c r="Q446" s="6"/>
      <c r="R44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446" s="53">
        <v>12.25</v>
      </c>
      <c r="T446" s="90">
        <f>IFERROR(_xlfn.XLOOKUP(PA[[#This Row],[Affected Equipment ]],'Basic Data '!A:A,'Basic Data '!C:C),"")</f>
        <v>4.4999999999999997E-3</v>
      </c>
      <c r="U446" s="59" t="s">
        <v>1260</v>
      </c>
      <c r="V446" s="88"/>
      <c r="W446" s="265" t="s">
        <v>1295</v>
      </c>
      <c r="X446" s="359">
        <v>0.21805555555555556</v>
      </c>
      <c r="Y446" s="359"/>
      <c r="Z446" s="359"/>
      <c r="AA446" s="359">
        <v>0.77777777777777779</v>
      </c>
      <c r="AB446" s="158">
        <f>IF(PA[[#This Row],[Acknowledgement Time ]]="NA","",(PA[[#This Row],[Acknowledgement Time ]]-PA[[#This Row],[Fault Time]])*24)</f>
        <v>-5.2333333333333334</v>
      </c>
      <c r="AC446" s="158">
        <f>IF(PA[[#This Row],[Work Start time on Fault]]="NA","",(PA[[#This Row],[Work Start time on Fault]]-PA[[#This Row],[Fault Time]])*24)</f>
        <v>-5.2333333333333334</v>
      </c>
      <c r="AD446" s="112">
        <f>IF(PA[[#This Row],[Status]]="Open","",(PA[[#This Row],[Work Completion time on fault]]-PA[[#This Row],[Fault Time]])*24)</f>
        <v>13.433333333333334</v>
      </c>
      <c r="AE446" s="111">
        <f>IFERROR((PA[[#This Row],[Work Completion time on fault]]-PA[[#This Row],[Fault Time]])*24,"")</f>
        <v>13.433333333333334</v>
      </c>
      <c r="AF446" s="228" t="s">
        <v>1295</v>
      </c>
      <c r="AG446" s="6" t="s">
        <v>1275</v>
      </c>
      <c r="AH446" s="53">
        <f>IFERROR(PA[[#This Row],[Breakdown Time]]*PA[[#This Row],[Plant Equivalent Weightage]],"")</f>
        <v>6.0449999999999997E-2</v>
      </c>
      <c r="AI446" s="59">
        <v>6.3</v>
      </c>
      <c r="AJ446" s="89">
        <f>IFERROR(IF(PA[[#This Row],[Lost PoA(kWh/m2)]]&gt;0,_xlfn.XLOOKUP(G446,'Modelling New'!$D:$D,'Modelling New'!$O:$O)*PA[[#This Row],[Lost PoA(kWh/m2)]]*S446,0),"")</f>
        <v>58.664001779113754</v>
      </c>
      <c r="AK446" s="365"/>
      <c r="AL446" s="365"/>
    </row>
    <row r="447" spans="1:38" ht="45" hidden="1" x14ac:dyDescent="0.25">
      <c r="A447" s="229">
        <v>2139</v>
      </c>
      <c r="B447" s="233">
        <v>45835</v>
      </c>
      <c r="C447" s="163">
        <v>2025</v>
      </c>
      <c r="D447" s="348">
        <f>YEAR(PA[[#This Row],[Date]])</f>
        <v>2025</v>
      </c>
      <c r="E447" s="373" t="s">
        <v>73</v>
      </c>
      <c r="F447" s="374" t="s">
        <v>73</v>
      </c>
      <c r="G447" s="323">
        <v>45809</v>
      </c>
      <c r="H447" s="365">
        <f>DAY(EOMONTH(PA[[#This Row],[Date]], 0))</f>
        <v>30</v>
      </c>
      <c r="I447" s="361">
        <v>0.24166666666666667</v>
      </c>
      <c r="J447" s="361">
        <v>0.77847222222222223</v>
      </c>
      <c r="K447" s="53">
        <f>IFERROR((PA[[#This Row],[Sunset Time (POA&lt;20 W/m2)]]-PA[[#This Row],[Sunrise Time (POA&gt;20 W/m2)]])*24,"")</f>
        <v>12.883333333333333</v>
      </c>
      <c r="L447" s="59" t="s">
        <v>606</v>
      </c>
      <c r="M447" s="59"/>
      <c r="N447" s="59"/>
      <c r="O447" s="59" t="s">
        <v>595</v>
      </c>
      <c r="P447" s="56"/>
      <c r="Q447" s="6"/>
      <c r="R44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BLK7INV11</v>
      </c>
      <c r="S447" s="53">
        <f>_xlfn.XLOOKUP(PA[[#This Row],[Affected Equipment ]],'Basic Data '!$A:$A,'Basic Data '!$B:$B)</f>
        <v>190.35</v>
      </c>
      <c r="T447" s="90">
        <f>IFERROR(_xlfn.XLOOKUP(PA[[#This Row],[Affected Equipment ]],'Basic Data '!A:A,'Basic Data '!C:C),"")</f>
        <v>2.8516853932584268E-3</v>
      </c>
      <c r="U447" s="59" t="s">
        <v>566</v>
      </c>
      <c r="V447" s="88"/>
      <c r="W447" s="265" t="s">
        <v>1304</v>
      </c>
      <c r="X447" s="359">
        <v>0.24166666666666667</v>
      </c>
      <c r="Y447" s="359">
        <v>0.29166666666666669</v>
      </c>
      <c r="Z447" s="359">
        <v>0.39583333333333331</v>
      </c>
      <c r="AA447" s="359">
        <v>0.77847222222222223</v>
      </c>
      <c r="AB447" s="158">
        <f>IF(PA[[#This Row],[Acknowledgement Time ]]="NA","",(PA[[#This Row],[Acknowledgement Time ]]-PA[[#This Row],[Fault Time]])*24)</f>
        <v>1.2000000000000004</v>
      </c>
      <c r="AC447" s="158">
        <f>IF(PA[[#This Row],[Work Start time on Fault]]="NA","",(PA[[#This Row],[Work Start time on Fault]]-PA[[#This Row],[Fault Time]])*24)</f>
        <v>3.6999999999999993</v>
      </c>
      <c r="AD447" s="112">
        <f>IF(PA[[#This Row],[Status]]="Open","",(PA[[#This Row],[Work Completion time on fault]]-PA[[#This Row],[Fault Time]])*24)</f>
        <v>12.883333333333333</v>
      </c>
      <c r="AE447" s="111">
        <f>IFERROR((PA[[#This Row],[Work Completion time on fault]]-PA[[#This Row],[Fault Time]])*24,"")</f>
        <v>12.883333333333333</v>
      </c>
      <c r="AF447" s="228" t="s">
        <v>1304</v>
      </c>
      <c r="AG447" s="6" t="s">
        <v>1275</v>
      </c>
      <c r="AH447" s="53">
        <f>IFERROR(PA[[#This Row],[Breakdown Time]]*PA[[#This Row],[Plant Equivalent Weightage]],"")</f>
        <v>3.6739213483146065E-2</v>
      </c>
      <c r="AI447" s="59">
        <v>5.64</v>
      </c>
      <c r="AJ447" s="89">
        <f>IFERROR(IF(PA[[#This Row],[Lost PoA(kWh/m2)]]&gt;0,_xlfn.XLOOKUP(G447,'Modelling New'!$D:$D,'Modelling New'!$O:$O)*PA[[#This Row],[Lost PoA(kWh/m2)]]*S447,0),"")</f>
        <v>816.06928469077138</v>
      </c>
      <c r="AK447" s="365"/>
      <c r="AL447" s="365"/>
    </row>
    <row r="448" spans="1:38" ht="30" hidden="1" x14ac:dyDescent="0.25">
      <c r="A448" s="229">
        <v>2140</v>
      </c>
      <c r="B448" s="233">
        <v>45835</v>
      </c>
      <c r="C448" s="163">
        <v>2025</v>
      </c>
      <c r="D448" s="348">
        <f>YEAR(PA[[#This Row],[Date]])</f>
        <v>2025</v>
      </c>
      <c r="E448" s="373" t="s">
        <v>73</v>
      </c>
      <c r="F448" s="374" t="s">
        <v>73</v>
      </c>
      <c r="G448" s="323">
        <v>45809</v>
      </c>
      <c r="H448" s="365">
        <f>DAY(EOMONTH(PA[[#This Row],[Date]], 0))</f>
        <v>30</v>
      </c>
      <c r="I448" s="361">
        <v>0.24166666666666667</v>
      </c>
      <c r="J448" s="361">
        <v>0.77847222222222223</v>
      </c>
      <c r="K448" s="53">
        <f>IFERROR((PA[[#This Row],[Sunset Time (POA&lt;20 W/m2)]]-PA[[#This Row],[Sunrise Time (POA&gt;20 W/m2)]])*24,"")</f>
        <v>12.883333333333333</v>
      </c>
      <c r="L448" s="59" t="s">
        <v>621</v>
      </c>
      <c r="M448" s="59"/>
      <c r="N448" s="59"/>
      <c r="O448" s="59" t="s">
        <v>571</v>
      </c>
      <c r="P448" s="56"/>
      <c r="Q448" s="6"/>
      <c r="R44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v>
      </c>
      <c r="S448" s="53">
        <f>_xlfn.XLOOKUP(PA[[#This Row],[Affected Equipment ]],'Basic Data '!$A:$A,'Basic Data '!$B:$B)</f>
        <v>267</v>
      </c>
      <c r="T448" s="90">
        <f>IFERROR(_xlfn.XLOOKUP(PA[[#This Row],[Affected Equipment ]],'Basic Data '!A:A,'Basic Data '!C:C),"")</f>
        <v>4.0000000000000001E-3</v>
      </c>
      <c r="U448" s="59" t="s">
        <v>566</v>
      </c>
      <c r="V448" s="88"/>
      <c r="W448" s="265" t="s">
        <v>1305</v>
      </c>
      <c r="X448" s="359">
        <v>0.24166666666666667</v>
      </c>
      <c r="Y448" s="359">
        <v>0.29166666666666669</v>
      </c>
      <c r="Z448" s="359">
        <v>0.38194444444444442</v>
      </c>
      <c r="AA448" s="359">
        <v>0.39930555555555558</v>
      </c>
      <c r="AB448" s="158">
        <f>IF(PA[[#This Row],[Acknowledgement Time ]]="NA","",(PA[[#This Row],[Acknowledgement Time ]]-PA[[#This Row],[Fault Time]])*24)</f>
        <v>1.2000000000000004</v>
      </c>
      <c r="AC448" s="158">
        <f>IF(PA[[#This Row],[Work Start time on Fault]]="NA","",(PA[[#This Row],[Work Start time on Fault]]-PA[[#This Row],[Fault Time]])*24)</f>
        <v>3.3666666666666663</v>
      </c>
      <c r="AD448" s="112">
        <f>IF(PA[[#This Row],[Status]]="Open","",(PA[[#This Row],[Work Completion time on fault]]-PA[[#This Row],[Fault Time]])*24)</f>
        <v>3.7833333333333341</v>
      </c>
      <c r="AE448" s="111">
        <f>IFERROR((PA[[#This Row],[Work Completion time on fault]]-PA[[#This Row],[Fault Time]])*24,"")</f>
        <v>3.7833333333333341</v>
      </c>
      <c r="AF448" s="228" t="s">
        <v>1305</v>
      </c>
      <c r="AG448" s="6" t="s">
        <v>1275</v>
      </c>
      <c r="AH448" s="53">
        <f>IFERROR(PA[[#This Row],[Breakdown Time]]*PA[[#This Row],[Plant Equivalent Weightage]],"")</f>
        <v>1.5133333333333337E-2</v>
      </c>
      <c r="AI448" s="59">
        <v>1.0249999999999999</v>
      </c>
      <c r="AJ448" s="89">
        <f>IFERROR(IF(PA[[#This Row],[Lost PoA(kWh/m2)]]&gt;0,_xlfn.XLOOKUP(G448,'Modelling New'!$D:$D,'Modelling New'!$O:$O)*PA[[#This Row],[Lost PoA(kWh/m2)]]*S448,0),"")</f>
        <v>208.03201408356276</v>
      </c>
      <c r="AK448" s="365"/>
      <c r="AL448" s="365"/>
    </row>
    <row r="449" spans="1:38" ht="45" hidden="1" x14ac:dyDescent="0.25">
      <c r="A449" s="229">
        <v>2141</v>
      </c>
      <c r="B449" s="233">
        <v>45835</v>
      </c>
      <c r="C449" s="163">
        <v>2025</v>
      </c>
      <c r="D449" s="348">
        <f>YEAR(PA[[#This Row],[Date]])</f>
        <v>2025</v>
      </c>
      <c r="E449" s="373" t="s">
        <v>73</v>
      </c>
      <c r="F449" s="374" t="s">
        <v>73</v>
      </c>
      <c r="G449" s="323">
        <v>45809</v>
      </c>
      <c r="H449" s="365">
        <f>DAY(EOMONTH(PA[[#This Row],[Date]], 0))</f>
        <v>30</v>
      </c>
      <c r="I449" s="361">
        <v>0.24166666666666667</v>
      </c>
      <c r="J449" s="361">
        <v>0.77847222222222223</v>
      </c>
      <c r="K449" s="53">
        <f>IFERROR((PA[[#This Row],[Sunset Time (POA&lt;20 W/m2)]]-PA[[#This Row],[Sunrise Time (POA&gt;20 W/m2)]])*24,"")</f>
        <v>12.883333333333333</v>
      </c>
      <c r="L449" s="59" t="s">
        <v>621</v>
      </c>
      <c r="M449" s="59"/>
      <c r="N449" s="59"/>
      <c r="O449" s="59" t="s">
        <v>571</v>
      </c>
      <c r="P449" s="56"/>
      <c r="Q449" s="6"/>
      <c r="R44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v>
      </c>
      <c r="S449" s="53">
        <f>_xlfn.XLOOKUP(PA[[#This Row],[Affected Equipment ]],'Basic Data '!$A:$A,'Basic Data '!$B:$B)</f>
        <v>267</v>
      </c>
      <c r="T449" s="90">
        <f>IFERROR(_xlfn.XLOOKUP(PA[[#This Row],[Affected Equipment ]],'Basic Data '!A:A,'Basic Data '!C:C),"")</f>
        <v>4.0000000000000001E-3</v>
      </c>
      <c r="U449" s="59" t="s">
        <v>566</v>
      </c>
      <c r="V449" s="88"/>
      <c r="W449" s="265" t="s">
        <v>1306</v>
      </c>
      <c r="X449" s="359">
        <v>0.73958333333333337</v>
      </c>
      <c r="Y449" s="359">
        <v>0.73958333333333337</v>
      </c>
      <c r="Z449" s="359">
        <v>0.74305555555555547</v>
      </c>
      <c r="AA449" s="359">
        <v>0.77847222222222223</v>
      </c>
      <c r="AB449" s="158">
        <f>IF(PA[[#This Row],[Acknowledgement Time ]]="NA","",(PA[[#This Row],[Acknowledgement Time ]]-PA[[#This Row],[Fault Time]])*24)</f>
        <v>0</v>
      </c>
      <c r="AC449" s="158">
        <f>IF(PA[[#This Row],[Work Start time on Fault]]="NA","",(PA[[#This Row],[Work Start time on Fault]]-PA[[#This Row],[Fault Time]])*24)</f>
        <v>8.3333333333330373E-2</v>
      </c>
      <c r="AD449" s="112">
        <f>IF(PA[[#This Row],[Status]]="Open","",(PA[[#This Row],[Work Completion time on fault]]-PA[[#This Row],[Fault Time]])*24)</f>
        <v>0.93333333333333268</v>
      </c>
      <c r="AE449" s="111">
        <f>IFERROR((PA[[#This Row],[Work Completion time on fault]]-PA[[#This Row],[Fault Time]])*24,"")</f>
        <v>0.93333333333333268</v>
      </c>
      <c r="AF449" s="228" t="s">
        <v>1306</v>
      </c>
      <c r="AG449" s="6" t="s">
        <v>1275</v>
      </c>
      <c r="AH449" s="53">
        <f>IFERROR(PA[[#This Row],[Breakdown Time]]*PA[[#This Row],[Plant Equivalent Weightage]],"")</f>
        <v>3.7333333333333307E-3</v>
      </c>
      <c r="AI449" s="59">
        <v>9.6100000000000005E-2</v>
      </c>
      <c r="AJ449" s="89">
        <f>IFERROR(IF(PA[[#This Row],[Lost PoA(kWh/m2)]]&gt;0,_xlfn.XLOOKUP(G449,'Modelling New'!$D:$D,'Modelling New'!$O:$O)*PA[[#This Row],[Lost PoA(kWh/m2)]]*S449,0),"")</f>
        <v>19.504269808224766</v>
      </c>
      <c r="AK449" s="365"/>
      <c r="AL449" s="365"/>
    </row>
    <row r="450" spans="1:38" ht="30" hidden="1" x14ac:dyDescent="0.25">
      <c r="A450" s="229">
        <v>2142</v>
      </c>
      <c r="B450" s="233">
        <v>45835</v>
      </c>
      <c r="C450" s="163">
        <v>2025</v>
      </c>
      <c r="D450" s="348">
        <f>YEAR(PA[[#This Row],[Date]])</f>
        <v>2025</v>
      </c>
      <c r="E450" s="373" t="s">
        <v>73</v>
      </c>
      <c r="F450" s="374" t="s">
        <v>73</v>
      </c>
      <c r="G450" s="323">
        <v>45809</v>
      </c>
      <c r="H450" s="365">
        <f>DAY(EOMONTH(PA[[#This Row],[Date]], 0))</f>
        <v>30</v>
      </c>
      <c r="I450" s="361">
        <v>0.24166666666666667</v>
      </c>
      <c r="J450" s="361">
        <v>0.77847222222222223</v>
      </c>
      <c r="K450" s="53">
        <f>IFERROR((PA[[#This Row],[Sunset Time (POA&lt;20 W/m2)]]-PA[[#This Row],[Sunrise Time (POA&gt;20 W/m2)]])*24,"")</f>
        <v>12.883333333333333</v>
      </c>
      <c r="L450" s="59" t="s">
        <v>621</v>
      </c>
      <c r="M450" s="59"/>
      <c r="N450" s="59"/>
      <c r="O450" s="59" t="s">
        <v>637</v>
      </c>
      <c r="P450" s="56"/>
      <c r="Q450" s="6"/>
      <c r="R45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450" s="53">
        <v>12</v>
      </c>
      <c r="T450" s="90">
        <f>IFERROR(_xlfn.XLOOKUP(PA[[#This Row],[Affected Equipment ]],'Basic Data '!A:A,'Basic Data '!C:C),"")</f>
        <v>4.0000000000000001E-3</v>
      </c>
      <c r="U450" s="59" t="s">
        <v>1260</v>
      </c>
      <c r="V450" s="88"/>
      <c r="W450" s="265" t="s">
        <v>1271</v>
      </c>
      <c r="X450" s="359">
        <v>0.24166666666666667</v>
      </c>
      <c r="Y450" s="359"/>
      <c r="Z450" s="359"/>
      <c r="AA450" s="359">
        <v>0.77847222222222223</v>
      </c>
      <c r="AB450" s="158">
        <f>IF(PA[[#This Row],[Acknowledgement Time ]]="NA","",(PA[[#This Row],[Acknowledgement Time ]]-PA[[#This Row],[Fault Time]])*24)</f>
        <v>-5.8</v>
      </c>
      <c r="AC450" s="158">
        <f>IF(PA[[#This Row],[Work Start time on Fault]]="NA","",(PA[[#This Row],[Work Start time on Fault]]-PA[[#This Row],[Fault Time]])*24)</f>
        <v>-5.8</v>
      </c>
      <c r="AD450" s="112">
        <f>IF(PA[[#This Row],[Status]]="Open","",(PA[[#This Row],[Work Completion time on fault]]-PA[[#This Row],[Fault Time]])*24)</f>
        <v>12.883333333333333</v>
      </c>
      <c r="AE450" s="111">
        <f>IFERROR((PA[[#This Row],[Work Completion time on fault]]-PA[[#This Row],[Fault Time]])*24,"")</f>
        <v>12.883333333333333</v>
      </c>
      <c r="AF450" s="228" t="s">
        <v>1271</v>
      </c>
      <c r="AG450" s="6" t="s">
        <v>1275</v>
      </c>
      <c r="AH450" s="53">
        <f>IFERROR(PA[[#This Row],[Breakdown Time]]*PA[[#This Row],[Plant Equivalent Weightage]],"")</f>
        <v>5.1533333333333334E-2</v>
      </c>
      <c r="AI450" s="59">
        <v>5.64</v>
      </c>
      <c r="AJ450" s="89">
        <f>IFERROR(IF(PA[[#This Row],[Lost PoA(kWh/m2)]]&gt;0,_xlfn.XLOOKUP(G450,'Modelling New'!$D:$D,'Modelling New'!$O:$O)*PA[[#This Row],[Lost PoA(kWh/m2)]]*S450,0),"")</f>
        <v>51.446448207456037</v>
      </c>
      <c r="AK450" s="365"/>
      <c r="AL450" s="365"/>
    </row>
    <row r="451" spans="1:38" ht="30" hidden="1" x14ac:dyDescent="0.25">
      <c r="A451" s="229">
        <v>2143</v>
      </c>
      <c r="B451" s="233">
        <v>45835</v>
      </c>
      <c r="C451" s="163">
        <v>2025</v>
      </c>
      <c r="D451" s="348">
        <f>YEAR(PA[[#This Row],[Date]])</f>
        <v>2025</v>
      </c>
      <c r="E451" s="373" t="s">
        <v>73</v>
      </c>
      <c r="F451" s="374" t="s">
        <v>73</v>
      </c>
      <c r="G451" s="323">
        <v>45809</v>
      </c>
      <c r="H451" s="365">
        <f>DAY(EOMONTH(PA[[#This Row],[Date]], 0))</f>
        <v>30</v>
      </c>
      <c r="I451" s="361">
        <v>0.24166666666666667</v>
      </c>
      <c r="J451" s="361">
        <v>0.77847222222222223</v>
      </c>
      <c r="K451" s="53">
        <f>IFERROR((PA[[#This Row],[Sunset Time (POA&lt;20 W/m2)]]-PA[[#This Row],[Sunrise Time (POA&gt;20 W/m2)]])*24,"")</f>
        <v>12.883333333333333</v>
      </c>
      <c r="L451" s="59" t="s">
        <v>621</v>
      </c>
      <c r="M451" s="59"/>
      <c r="N451" s="59"/>
      <c r="O451" s="59" t="s">
        <v>612</v>
      </c>
      <c r="P451" s="56"/>
      <c r="Q451" s="6"/>
      <c r="R45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451" s="53">
        <v>22.25</v>
      </c>
      <c r="T451" s="90">
        <f>IFERROR(_xlfn.XLOOKUP(PA[[#This Row],[Affected Equipment ]],'Basic Data '!A:A,'Basic Data '!C:C),"")</f>
        <v>4.4999999999999997E-3</v>
      </c>
      <c r="U451" s="59" t="s">
        <v>1260</v>
      </c>
      <c r="V451" s="88"/>
      <c r="W451" s="265" t="s">
        <v>1295</v>
      </c>
      <c r="X451" s="359">
        <v>0.24166666666666667</v>
      </c>
      <c r="Y451" s="359"/>
      <c r="Z451" s="359"/>
      <c r="AA451" s="359">
        <v>0.77847222222222223</v>
      </c>
      <c r="AB451" s="158">
        <f>IF(PA[[#This Row],[Acknowledgement Time ]]="NA","",(PA[[#This Row],[Acknowledgement Time ]]-PA[[#This Row],[Fault Time]])*24)</f>
        <v>-5.8</v>
      </c>
      <c r="AC451" s="158">
        <f>IF(PA[[#This Row],[Work Start time on Fault]]="NA","",(PA[[#This Row],[Work Start time on Fault]]-PA[[#This Row],[Fault Time]])*24)</f>
        <v>-5.8</v>
      </c>
      <c r="AD451" s="112">
        <f>IF(PA[[#This Row],[Status]]="Open","",(PA[[#This Row],[Work Completion time on fault]]-PA[[#This Row],[Fault Time]])*24)</f>
        <v>12.883333333333333</v>
      </c>
      <c r="AE451" s="111">
        <f>IFERROR((PA[[#This Row],[Work Completion time on fault]]-PA[[#This Row],[Fault Time]])*24,"")</f>
        <v>12.883333333333333</v>
      </c>
      <c r="AF451" s="228" t="s">
        <v>1295</v>
      </c>
      <c r="AG451" s="6" t="s">
        <v>1275</v>
      </c>
      <c r="AH451" s="53">
        <f>IFERROR(PA[[#This Row],[Breakdown Time]]*PA[[#This Row],[Plant Equivalent Weightage]],"")</f>
        <v>5.7974999999999992E-2</v>
      </c>
      <c r="AI451" s="59">
        <v>5.64</v>
      </c>
      <c r="AJ451" s="89">
        <f>IFERROR(IF(PA[[#This Row],[Lost PoA(kWh/m2)]]&gt;0,_xlfn.XLOOKUP(G451,'Modelling New'!$D:$D,'Modelling New'!$O:$O)*PA[[#This Row],[Lost PoA(kWh/m2)]]*S451,0),"")</f>
        <v>95.390289384658061</v>
      </c>
      <c r="AK451" s="365"/>
      <c r="AL451" s="365"/>
    </row>
    <row r="452" spans="1:38" ht="30" hidden="1" x14ac:dyDescent="0.25">
      <c r="A452" s="229">
        <v>2144</v>
      </c>
      <c r="B452" s="233">
        <v>45835</v>
      </c>
      <c r="C452" s="163">
        <v>2025</v>
      </c>
      <c r="D452" s="348">
        <f>YEAR(PA[[#This Row],[Date]])</f>
        <v>2025</v>
      </c>
      <c r="E452" s="373" t="s">
        <v>73</v>
      </c>
      <c r="F452" s="374" t="s">
        <v>73</v>
      </c>
      <c r="G452" s="323">
        <v>45809</v>
      </c>
      <c r="H452" s="365">
        <f>DAY(EOMONTH(PA[[#This Row],[Date]], 0))</f>
        <v>30</v>
      </c>
      <c r="I452" s="361">
        <v>0.24166666666666667</v>
      </c>
      <c r="J452" s="361">
        <v>0.77847222222222223</v>
      </c>
      <c r="K452" s="53">
        <f>IFERROR((PA[[#This Row],[Sunset Time (POA&lt;20 W/m2)]]-PA[[#This Row],[Sunrise Time (POA&gt;20 W/m2)]])*24,"")</f>
        <v>12.883333333333333</v>
      </c>
      <c r="L452" s="59" t="s">
        <v>559</v>
      </c>
      <c r="M452" s="59"/>
      <c r="N452" s="59"/>
      <c r="O452" s="59" t="s">
        <v>789</v>
      </c>
      <c r="P452" s="56"/>
      <c r="Q452" s="6"/>
      <c r="R45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452" s="53">
        <f>_xlfn.XLOOKUP(PA[[#This Row],[Affected Equipment ]],'Basic Data '!$A:$A,'Basic Data '!$B:$B)</f>
        <v>8343.75</v>
      </c>
      <c r="T452" s="90">
        <f>IFERROR(_xlfn.XLOOKUP(PA[[#This Row],[Affected Equipment ]],'Basic Data '!A:A,'Basic Data '!C:C),"")</f>
        <v>0.125</v>
      </c>
      <c r="U452" s="59" t="s">
        <v>589</v>
      </c>
      <c r="V452" s="88"/>
      <c r="W452" s="265" t="s">
        <v>754</v>
      </c>
      <c r="X452" s="359">
        <v>0.52569444444444446</v>
      </c>
      <c r="Y452" s="359">
        <v>0.52569444444444446</v>
      </c>
      <c r="Z452" s="359">
        <v>0.52847222222222223</v>
      </c>
      <c r="AA452" s="359">
        <v>0.52916666666666667</v>
      </c>
      <c r="AB452" s="158">
        <f>IF(PA[[#This Row],[Acknowledgement Time ]]="NA","",(PA[[#This Row],[Acknowledgement Time ]]-PA[[#This Row],[Fault Time]])*24)</f>
        <v>0</v>
      </c>
      <c r="AC452" s="158">
        <f>IF(PA[[#This Row],[Work Start time on Fault]]="NA","",(PA[[#This Row],[Work Start time on Fault]]-PA[[#This Row],[Fault Time]])*24)</f>
        <v>6.666666666666643E-2</v>
      </c>
      <c r="AD452" s="112">
        <f>IF(PA[[#This Row],[Status]]="Open","",(PA[[#This Row],[Work Completion time on fault]]-PA[[#This Row],[Fault Time]])*24)</f>
        <v>8.3333333333333037E-2</v>
      </c>
      <c r="AE452" s="111">
        <f>IFERROR((PA[[#This Row],[Work Completion time on fault]]-PA[[#This Row],[Fault Time]])*24,"")</f>
        <v>8.3333333333333037E-2</v>
      </c>
      <c r="AF452" s="228" t="s">
        <v>754</v>
      </c>
      <c r="AG452" s="6" t="s">
        <v>1275</v>
      </c>
      <c r="AH452" s="53">
        <f>IFERROR(PA[[#This Row],[Breakdown Time]]*PA[[#This Row],[Plant Equivalent Weightage]],"")</f>
        <v>1.041666666666663E-2</v>
      </c>
      <c r="AI452" s="59">
        <v>9.7000000000000003E-2</v>
      </c>
      <c r="AJ452" s="89">
        <f>IFERROR(IF(PA[[#This Row],[Lost PoA(kWh/m2)]]&gt;0,_xlfn.XLOOKUP(G452,'Modelling New'!$D:$D,'Modelling New'!$O:$O)*PA[[#This Row],[Lost PoA(kWh/m2)]]*S452,0),"")</f>
        <v>615.21662701541436</v>
      </c>
      <c r="AK452" s="365"/>
      <c r="AL452" s="365"/>
    </row>
    <row r="453" spans="1:38" ht="30" hidden="1" x14ac:dyDescent="0.25">
      <c r="A453" s="229">
        <v>2145</v>
      </c>
      <c r="B453" s="233">
        <v>45836</v>
      </c>
      <c r="C453" s="163">
        <v>2025</v>
      </c>
      <c r="D453" s="348">
        <f>YEAR(PA[[#This Row],[Date]])</f>
        <v>2025</v>
      </c>
      <c r="E453" s="373" t="s">
        <v>73</v>
      </c>
      <c r="F453" s="374" t="s">
        <v>73</v>
      </c>
      <c r="G453" s="323">
        <v>45809</v>
      </c>
      <c r="H453" s="365">
        <f>DAY(EOMONTH(PA[[#This Row],[Date]], 0))</f>
        <v>30</v>
      </c>
      <c r="I453" s="361">
        <v>0.22638888888888889</v>
      </c>
      <c r="J453" s="361">
        <v>0.77013888888888893</v>
      </c>
      <c r="K453" s="53">
        <f>IFERROR((PA[[#This Row],[Sunset Time (POA&lt;20 W/m2)]]-PA[[#This Row],[Sunrise Time (POA&gt;20 W/m2)]])*24,"")</f>
        <v>13.05</v>
      </c>
      <c r="L453" s="59" t="s">
        <v>621</v>
      </c>
      <c r="M453" s="59"/>
      <c r="N453" s="59"/>
      <c r="O453" s="59" t="s">
        <v>637</v>
      </c>
      <c r="P453" s="56"/>
      <c r="Q453" s="6"/>
      <c r="R45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453" s="53">
        <v>12</v>
      </c>
      <c r="T453" s="90">
        <f>IFERROR(_xlfn.XLOOKUP(PA[[#This Row],[Affected Equipment ]],'Basic Data '!A:A,'Basic Data '!C:C),"")</f>
        <v>4.0000000000000001E-3</v>
      </c>
      <c r="U453" s="59" t="s">
        <v>1260</v>
      </c>
      <c r="V453" s="88"/>
      <c r="W453" s="265" t="s">
        <v>1271</v>
      </c>
      <c r="X453" s="359">
        <v>0.22638888888888889</v>
      </c>
      <c r="Y453" s="359"/>
      <c r="Z453" s="359"/>
      <c r="AA453" s="359">
        <v>0.77013888888888893</v>
      </c>
      <c r="AB453" s="158">
        <f>IF(PA[[#This Row],[Acknowledgement Time ]]="NA","",(PA[[#This Row],[Acknowledgement Time ]]-PA[[#This Row],[Fault Time]])*24)</f>
        <v>-5.4333333333333336</v>
      </c>
      <c r="AC453" s="158">
        <f>IF(PA[[#This Row],[Work Start time on Fault]]="NA","",(PA[[#This Row],[Work Start time on Fault]]-PA[[#This Row],[Fault Time]])*24)</f>
        <v>-5.4333333333333336</v>
      </c>
      <c r="AD453" s="112">
        <f>IF(PA[[#This Row],[Status]]="Open","",(PA[[#This Row],[Work Completion time on fault]]-PA[[#This Row],[Fault Time]])*24)</f>
        <v>13.05</v>
      </c>
      <c r="AE453" s="111">
        <f>IFERROR((PA[[#This Row],[Work Completion time on fault]]-PA[[#This Row],[Fault Time]])*24,"")</f>
        <v>13.05</v>
      </c>
      <c r="AF453" s="228" t="s">
        <v>1271</v>
      </c>
      <c r="AG453" s="6" t="s">
        <v>1275</v>
      </c>
      <c r="AH453" s="53">
        <f>IFERROR(PA[[#This Row],[Breakdown Time]]*PA[[#This Row],[Plant Equivalent Weightage]],"")</f>
        <v>5.2200000000000003E-2</v>
      </c>
      <c r="AI453" s="59">
        <v>4.6500000000000004</v>
      </c>
      <c r="AJ453" s="89">
        <f>IFERROR(IF(PA[[#This Row],[Lost PoA(kWh/m2)]]&gt;0,_xlfn.XLOOKUP(G453,'Modelling New'!$D:$D,'Modelling New'!$O:$O)*PA[[#This Row],[Lost PoA(kWh/m2)]]*S453,0),"")</f>
        <v>42.415954639125992</v>
      </c>
      <c r="AK453" s="365"/>
      <c r="AL453" s="365"/>
    </row>
    <row r="454" spans="1:38" ht="30" hidden="1" x14ac:dyDescent="0.25">
      <c r="A454" s="229">
        <v>2146</v>
      </c>
      <c r="B454" s="233">
        <v>45836</v>
      </c>
      <c r="C454" s="163">
        <v>2025</v>
      </c>
      <c r="D454" s="348">
        <f>YEAR(PA[[#This Row],[Date]])</f>
        <v>2025</v>
      </c>
      <c r="E454" s="373" t="s">
        <v>73</v>
      </c>
      <c r="F454" s="374" t="s">
        <v>73</v>
      </c>
      <c r="G454" s="323">
        <v>45809</v>
      </c>
      <c r="H454" s="365">
        <f>DAY(EOMONTH(PA[[#This Row],[Date]], 0))</f>
        <v>30</v>
      </c>
      <c r="I454" s="361">
        <v>0.22638888888888889</v>
      </c>
      <c r="J454" s="361">
        <v>0.77013888888888893</v>
      </c>
      <c r="K454" s="53">
        <f>IFERROR((PA[[#This Row],[Sunset Time (POA&lt;20 W/m2)]]-PA[[#This Row],[Sunrise Time (POA&gt;20 W/m2)]])*24,"")</f>
        <v>13.05</v>
      </c>
      <c r="L454" s="59" t="s">
        <v>621</v>
      </c>
      <c r="M454" s="59"/>
      <c r="N454" s="59"/>
      <c r="O454" s="59" t="s">
        <v>612</v>
      </c>
      <c r="P454" s="56"/>
      <c r="Q454" s="6"/>
      <c r="R45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454" s="53">
        <v>22.25</v>
      </c>
      <c r="T454" s="90">
        <f>IFERROR(_xlfn.XLOOKUP(PA[[#This Row],[Affected Equipment ]],'Basic Data '!A:A,'Basic Data '!C:C),"")</f>
        <v>4.4999999999999997E-3</v>
      </c>
      <c r="U454" s="59" t="s">
        <v>1260</v>
      </c>
      <c r="V454" s="88"/>
      <c r="W454" s="265" t="s">
        <v>1295</v>
      </c>
      <c r="X454" s="359">
        <v>0.22638888888888889</v>
      </c>
      <c r="Y454" s="359"/>
      <c r="Z454" s="359"/>
      <c r="AA454" s="359">
        <v>0.77013888888888893</v>
      </c>
      <c r="AB454" s="158">
        <f>IF(PA[[#This Row],[Acknowledgement Time ]]="NA","",(PA[[#This Row],[Acknowledgement Time ]]-PA[[#This Row],[Fault Time]])*24)</f>
        <v>-5.4333333333333336</v>
      </c>
      <c r="AC454" s="158">
        <f>IF(PA[[#This Row],[Work Start time on Fault]]="NA","",(PA[[#This Row],[Work Start time on Fault]]-PA[[#This Row],[Fault Time]])*24)</f>
        <v>-5.4333333333333336</v>
      </c>
      <c r="AD454" s="112">
        <f>IF(PA[[#This Row],[Status]]="Open","",(PA[[#This Row],[Work Completion time on fault]]-PA[[#This Row],[Fault Time]])*24)</f>
        <v>13.05</v>
      </c>
      <c r="AE454" s="111">
        <f>IFERROR((PA[[#This Row],[Work Completion time on fault]]-PA[[#This Row],[Fault Time]])*24,"")</f>
        <v>13.05</v>
      </c>
      <c r="AF454" s="228" t="s">
        <v>1295</v>
      </c>
      <c r="AG454" s="6" t="s">
        <v>1275</v>
      </c>
      <c r="AH454" s="53">
        <f>IFERROR(PA[[#This Row],[Breakdown Time]]*PA[[#This Row],[Plant Equivalent Weightage]],"")</f>
        <v>5.8724999999999999E-2</v>
      </c>
      <c r="AI454" s="59">
        <v>4.6500000000000004</v>
      </c>
      <c r="AJ454" s="89">
        <f>IFERROR(IF(PA[[#This Row],[Lost PoA(kWh/m2)]]&gt;0,_xlfn.XLOOKUP(G454,'Modelling New'!$D:$D,'Modelling New'!$O:$O)*PA[[#This Row],[Lost PoA(kWh/m2)]]*S454,0),"")</f>
        <v>78.646249226712769</v>
      </c>
      <c r="AK454" s="365"/>
      <c r="AL454" s="365"/>
    </row>
    <row r="455" spans="1:38" ht="60" hidden="1" x14ac:dyDescent="0.25">
      <c r="A455" s="229">
        <v>2147</v>
      </c>
      <c r="B455" s="233">
        <v>45836</v>
      </c>
      <c r="C455" s="163">
        <v>2025</v>
      </c>
      <c r="D455" s="348">
        <f>YEAR(PA[[#This Row],[Date]])</f>
        <v>2025</v>
      </c>
      <c r="E455" s="373" t="s">
        <v>73</v>
      </c>
      <c r="F455" s="374" t="s">
        <v>73</v>
      </c>
      <c r="G455" s="323">
        <v>45809</v>
      </c>
      <c r="H455" s="365">
        <f>DAY(EOMONTH(PA[[#This Row],[Date]], 0))</f>
        <v>30</v>
      </c>
      <c r="I455" s="361">
        <v>0.22638888888888889</v>
      </c>
      <c r="J455" s="361">
        <v>0.77013888888888893</v>
      </c>
      <c r="K455" s="53">
        <f>IFERROR((PA[[#This Row],[Sunset Time (POA&lt;20 W/m2)]]-PA[[#This Row],[Sunrise Time (POA&gt;20 W/m2)]])*24,"")</f>
        <v>13.05</v>
      </c>
      <c r="L455" s="59" t="s">
        <v>564</v>
      </c>
      <c r="M455" s="59"/>
      <c r="N455" s="59"/>
      <c r="O455" s="59" t="s">
        <v>591</v>
      </c>
      <c r="P455" s="56"/>
      <c r="Q455" s="6"/>
      <c r="R45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BLK5INV5</v>
      </c>
      <c r="S455" s="53">
        <f>_xlfn.XLOOKUP(PA[[#This Row],[Affected Equipment ]],'Basic Data '!$A:$A,'Basic Data '!$B:$B)</f>
        <v>300.375</v>
      </c>
      <c r="T455" s="90">
        <f>IFERROR(_xlfn.XLOOKUP(PA[[#This Row],[Affected Equipment ]],'Basic Data '!A:A,'Basic Data '!C:C),"")</f>
        <v>4.4999999999999997E-3</v>
      </c>
      <c r="U455" s="59" t="s">
        <v>566</v>
      </c>
      <c r="V455" s="88"/>
      <c r="W455" s="375" t="s">
        <v>1293</v>
      </c>
      <c r="X455" s="359">
        <v>0.22638888888888889</v>
      </c>
      <c r="Y455" s="359">
        <v>0.25694444444444448</v>
      </c>
      <c r="Z455" s="359">
        <v>0.30208333333333331</v>
      </c>
      <c r="AA455" s="359">
        <v>0.31597222222222221</v>
      </c>
      <c r="AB455" s="158">
        <f>IF(PA[[#This Row],[Acknowledgement Time ]]="NA","",(PA[[#This Row],[Acknowledgement Time ]]-PA[[#This Row],[Fault Time]])*24)</f>
        <v>0.73333333333333406</v>
      </c>
      <c r="AC455" s="158">
        <f>IF(PA[[#This Row],[Work Start time on Fault]]="NA","",(PA[[#This Row],[Work Start time on Fault]]-PA[[#This Row],[Fault Time]])*24)</f>
        <v>1.8166666666666662</v>
      </c>
      <c r="AD455" s="112">
        <f>IF(PA[[#This Row],[Status]]="Open","",(PA[[#This Row],[Work Completion time on fault]]-PA[[#This Row],[Fault Time]])*24)</f>
        <v>2.1499999999999995</v>
      </c>
      <c r="AE455" s="111">
        <f>IFERROR((PA[[#This Row],[Work Completion time on fault]]-PA[[#This Row],[Fault Time]])*24,"")</f>
        <v>2.1499999999999995</v>
      </c>
      <c r="AF455" s="375" t="s">
        <v>1293</v>
      </c>
      <c r="AG455" s="6" t="s">
        <v>1275</v>
      </c>
      <c r="AH455" s="53">
        <f>IFERROR(PA[[#This Row],[Breakdown Time]]*PA[[#This Row],[Plant Equivalent Weightage]],"")</f>
        <v>9.6749999999999961E-3</v>
      </c>
      <c r="AI455" s="59">
        <v>0.189</v>
      </c>
      <c r="AJ455" s="89">
        <f>IFERROR(IF(PA[[#This Row],[Lost PoA(kWh/m2)]]&gt;0,_xlfn.XLOOKUP(G455,'Modelling New'!$D:$D,'Modelling New'!$O:$O)*PA[[#This Row],[Lost PoA(kWh/m2)]]*S455,0),"")</f>
        <v>43.15395804343175</v>
      </c>
      <c r="AK455" s="365"/>
      <c r="AL455" s="365"/>
    </row>
    <row r="456" spans="1:38" ht="60" hidden="1" x14ac:dyDescent="0.25">
      <c r="A456" s="229">
        <v>2148</v>
      </c>
      <c r="B456" s="233">
        <v>45836</v>
      </c>
      <c r="C456" s="163">
        <v>2025</v>
      </c>
      <c r="D456" s="348">
        <f>YEAR(PA[[#This Row],[Date]])</f>
        <v>2025</v>
      </c>
      <c r="E456" s="373" t="s">
        <v>73</v>
      </c>
      <c r="F456" s="374" t="s">
        <v>73</v>
      </c>
      <c r="G456" s="323">
        <v>45809</v>
      </c>
      <c r="H456" s="365">
        <f>DAY(EOMONTH(PA[[#This Row],[Date]], 0))</f>
        <v>30</v>
      </c>
      <c r="I456" s="361">
        <v>0.22638888888888889</v>
      </c>
      <c r="J456" s="361">
        <v>0.77013888888888893</v>
      </c>
      <c r="K456" s="53">
        <f>IFERROR((PA[[#This Row],[Sunset Time (POA&lt;20 W/m2)]]-PA[[#This Row],[Sunrise Time (POA&gt;20 W/m2)]])*24,"")</f>
        <v>13.05</v>
      </c>
      <c r="L456" s="59" t="s">
        <v>564</v>
      </c>
      <c r="M456" s="59"/>
      <c r="N456" s="59"/>
      <c r="O456" s="59" t="s">
        <v>648</v>
      </c>
      <c r="P456" s="56"/>
      <c r="Q456" s="6"/>
      <c r="R45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BLK5INV14</v>
      </c>
      <c r="S456" s="53">
        <f>_xlfn.XLOOKUP(PA[[#This Row],[Affected Equipment ]],'Basic Data '!$A:$A,'Basic Data '!$B:$B)</f>
        <v>278.125</v>
      </c>
      <c r="T456" s="90">
        <f>IFERROR(_xlfn.XLOOKUP(PA[[#This Row],[Affected Equipment ]],'Basic Data '!A:A,'Basic Data '!C:C),"")</f>
        <v>4.1666666666666666E-3</v>
      </c>
      <c r="U456" s="59" t="s">
        <v>566</v>
      </c>
      <c r="V456" s="88"/>
      <c r="W456" s="375" t="s">
        <v>1293</v>
      </c>
      <c r="X456" s="359">
        <v>0.22638888888888889</v>
      </c>
      <c r="Y456" s="359">
        <v>0.25694444444444448</v>
      </c>
      <c r="Z456" s="359">
        <v>0.30902777777777779</v>
      </c>
      <c r="AA456" s="359">
        <v>0.32291666666666669</v>
      </c>
      <c r="AB456" s="158">
        <f>IF(PA[[#This Row],[Acknowledgement Time ]]="NA","",(PA[[#This Row],[Acknowledgement Time ]]-PA[[#This Row],[Fault Time]])*24)</f>
        <v>0.73333333333333406</v>
      </c>
      <c r="AC456" s="158">
        <f>IF(PA[[#This Row],[Work Start time on Fault]]="NA","",(PA[[#This Row],[Work Start time on Fault]]-PA[[#This Row],[Fault Time]])*24)</f>
        <v>1.9833333333333336</v>
      </c>
      <c r="AD456" s="112">
        <f>IF(PA[[#This Row],[Status]]="Open","",(PA[[#This Row],[Work Completion time on fault]]-PA[[#This Row],[Fault Time]])*24)</f>
        <v>2.3166666666666673</v>
      </c>
      <c r="AE456" s="111">
        <f>IFERROR((PA[[#This Row],[Work Completion time on fault]]-PA[[#This Row],[Fault Time]])*24,"")</f>
        <v>2.3166666666666673</v>
      </c>
      <c r="AF456" s="375" t="s">
        <v>1293</v>
      </c>
      <c r="AG456" s="6" t="s">
        <v>1275</v>
      </c>
      <c r="AH456" s="53">
        <f>IFERROR(PA[[#This Row],[Breakdown Time]]*PA[[#This Row],[Plant Equivalent Weightage]],"")</f>
        <v>9.652777777777781E-3</v>
      </c>
      <c r="AI456" s="59">
        <v>0.23200000000000001</v>
      </c>
      <c r="AJ456" s="89">
        <f>IFERROR(IF(PA[[#This Row],[Lost PoA(kWh/m2)]]&gt;0,_xlfn.XLOOKUP(G456,'Modelling New'!$D:$D,'Modelling New'!$O:$O)*PA[[#This Row],[Lost PoA(kWh/m2)]]*S456,0),"")</f>
        <v>49.048198442466031</v>
      </c>
      <c r="AK456" s="365"/>
      <c r="AL456" s="365"/>
    </row>
    <row r="457" spans="1:38" ht="60" hidden="1" x14ac:dyDescent="0.25">
      <c r="A457" s="229">
        <v>2149</v>
      </c>
      <c r="B457" s="233">
        <v>45836</v>
      </c>
      <c r="C457" s="163">
        <v>2025</v>
      </c>
      <c r="D457" s="348">
        <f>YEAR(PA[[#This Row],[Date]])</f>
        <v>2025</v>
      </c>
      <c r="E457" s="373" t="s">
        <v>73</v>
      </c>
      <c r="F457" s="374" t="s">
        <v>73</v>
      </c>
      <c r="G457" s="323">
        <v>45809</v>
      </c>
      <c r="H457" s="365">
        <f>DAY(EOMONTH(PA[[#This Row],[Date]], 0))</f>
        <v>30</v>
      </c>
      <c r="I457" s="361">
        <v>0.22638888888888889</v>
      </c>
      <c r="J457" s="361">
        <v>0.77013888888888893</v>
      </c>
      <c r="K457" s="53">
        <f>IFERROR((PA[[#This Row],[Sunset Time (POA&lt;20 W/m2)]]-PA[[#This Row],[Sunrise Time (POA&gt;20 W/m2)]])*24,"")</f>
        <v>13.05</v>
      </c>
      <c r="L457" s="59" t="s">
        <v>615</v>
      </c>
      <c r="M457" s="59"/>
      <c r="N457" s="59"/>
      <c r="O457" s="59" t="s">
        <v>581</v>
      </c>
      <c r="P457" s="56"/>
      <c r="Q457" s="6"/>
      <c r="R45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BLK6INV32</v>
      </c>
      <c r="S457" s="53">
        <f>_xlfn.XLOOKUP(PA[[#This Row],[Affected Equipment ]],'Basic Data '!$A:$A,'Basic Data '!$B:$B)</f>
        <v>275</v>
      </c>
      <c r="T457" s="90">
        <f>IFERROR(_xlfn.XLOOKUP(PA[[#This Row],[Affected Equipment ]],'Basic Data '!A:A,'Basic Data '!C:C),"")</f>
        <v>4.1198501872659176E-3</v>
      </c>
      <c r="U457" s="59" t="s">
        <v>566</v>
      </c>
      <c r="V457" s="88"/>
      <c r="W457" s="375" t="s">
        <v>1293</v>
      </c>
      <c r="X457" s="359">
        <v>0.22638888888888889</v>
      </c>
      <c r="Y457" s="359">
        <v>0.25694444444444448</v>
      </c>
      <c r="Z457" s="359">
        <v>0.31944444444444448</v>
      </c>
      <c r="AA457" s="359">
        <v>0.34027777777777773</v>
      </c>
      <c r="AB457" s="158">
        <f>IF(PA[[#This Row],[Acknowledgement Time ]]="NA","",(PA[[#This Row],[Acknowledgement Time ]]-PA[[#This Row],[Fault Time]])*24)</f>
        <v>0.73333333333333406</v>
      </c>
      <c r="AC457" s="158">
        <f>IF(PA[[#This Row],[Work Start time on Fault]]="NA","",(PA[[#This Row],[Work Start time on Fault]]-PA[[#This Row],[Fault Time]])*24)</f>
        <v>2.2333333333333343</v>
      </c>
      <c r="AD457" s="112">
        <f>IF(PA[[#This Row],[Status]]="Open","",(PA[[#This Row],[Work Completion time on fault]]-PA[[#This Row],[Fault Time]])*24)</f>
        <v>2.7333333333333325</v>
      </c>
      <c r="AE457" s="111">
        <f>IFERROR((PA[[#This Row],[Work Completion time on fault]]-PA[[#This Row],[Fault Time]])*24,"")</f>
        <v>2.7333333333333325</v>
      </c>
      <c r="AF457" s="375" t="s">
        <v>1293</v>
      </c>
      <c r="AG457" s="6" t="s">
        <v>1275</v>
      </c>
      <c r="AH457" s="53">
        <f>IFERROR(PA[[#This Row],[Breakdown Time]]*PA[[#This Row],[Plant Equivalent Weightage]],"")</f>
        <v>1.1260923845193505E-2</v>
      </c>
      <c r="AI457" s="59">
        <v>0.35099999999999998</v>
      </c>
      <c r="AJ457" s="89">
        <f>IFERROR(IF(PA[[#This Row],[Lost PoA(kWh/m2)]]&gt;0,_xlfn.XLOOKUP(G457,'Modelling New'!$D:$D,'Modelling New'!$O:$O)*PA[[#This Row],[Lost PoA(kWh/m2)]]*S457,0),"")</f>
        <v>73.37276024268165</v>
      </c>
      <c r="AK457" s="365"/>
      <c r="AL457" s="365"/>
    </row>
    <row r="458" spans="1:38" ht="60" hidden="1" x14ac:dyDescent="0.25">
      <c r="A458" s="229">
        <v>2150</v>
      </c>
      <c r="B458" s="233">
        <v>45836</v>
      </c>
      <c r="C458" s="163">
        <v>2025</v>
      </c>
      <c r="D458" s="348">
        <f>YEAR(PA[[#This Row],[Date]])</f>
        <v>2025</v>
      </c>
      <c r="E458" s="373" t="s">
        <v>73</v>
      </c>
      <c r="F458" s="374" t="s">
        <v>73</v>
      </c>
      <c r="G458" s="323">
        <v>45809</v>
      </c>
      <c r="H458" s="365">
        <f>DAY(EOMONTH(PA[[#This Row],[Date]], 0))</f>
        <v>30</v>
      </c>
      <c r="I458" s="361">
        <v>0.22638888888888889</v>
      </c>
      <c r="J458" s="361">
        <v>0.77013888888888893</v>
      </c>
      <c r="K458" s="53">
        <f>IFERROR((PA[[#This Row],[Sunset Time (POA&lt;20 W/m2)]]-PA[[#This Row],[Sunrise Time (POA&gt;20 W/m2)]])*24,"")</f>
        <v>13.05</v>
      </c>
      <c r="L458" s="59" t="s">
        <v>615</v>
      </c>
      <c r="M458" s="59"/>
      <c r="N458" s="59"/>
      <c r="O458" s="59" t="s">
        <v>663</v>
      </c>
      <c r="P458" s="56"/>
      <c r="Q458" s="6"/>
      <c r="R45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BLK6INV16</v>
      </c>
      <c r="S458" s="53">
        <f>_xlfn.XLOOKUP(PA[[#This Row],[Affected Equipment ]],'Basic Data '!$A:$A,'Basic Data '!$B:$B)</f>
        <v>297</v>
      </c>
      <c r="T458" s="90">
        <f>IFERROR(_xlfn.XLOOKUP(PA[[#This Row],[Affected Equipment ]],'Basic Data '!A:A,'Basic Data '!C:C),"")</f>
        <v>4.4494382022471912E-3</v>
      </c>
      <c r="U458" s="59" t="s">
        <v>566</v>
      </c>
      <c r="V458" s="88"/>
      <c r="W458" s="375" t="s">
        <v>1293</v>
      </c>
      <c r="X458" s="359">
        <v>0.22638888888888889</v>
      </c>
      <c r="Y458" s="359">
        <v>0.25694444444444448</v>
      </c>
      <c r="Z458" s="359">
        <v>0.34027777777777773</v>
      </c>
      <c r="AA458" s="359">
        <v>0.35416666666666669</v>
      </c>
      <c r="AB458" s="158">
        <f>IF(PA[[#This Row],[Acknowledgement Time ]]="NA","",(PA[[#This Row],[Acknowledgement Time ]]-PA[[#This Row],[Fault Time]])*24)</f>
        <v>0.73333333333333406</v>
      </c>
      <c r="AC458" s="158">
        <f>IF(PA[[#This Row],[Work Start time on Fault]]="NA","",(PA[[#This Row],[Work Start time on Fault]]-PA[[#This Row],[Fault Time]])*24)</f>
        <v>2.7333333333333325</v>
      </c>
      <c r="AD458" s="112">
        <f>IF(PA[[#This Row],[Status]]="Open","",(PA[[#This Row],[Work Completion time on fault]]-PA[[#This Row],[Fault Time]])*24)</f>
        <v>3.0666666666666673</v>
      </c>
      <c r="AE458" s="111">
        <f>IFERROR((PA[[#This Row],[Work Completion time on fault]]-PA[[#This Row],[Fault Time]])*24,"")</f>
        <v>3.0666666666666673</v>
      </c>
      <c r="AF458" s="375" t="s">
        <v>1293</v>
      </c>
      <c r="AG458" s="6" t="s">
        <v>1275</v>
      </c>
      <c r="AH458" s="53">
        <f>IFERROR(PA[[#This Row],[Breakdown Time]]*PA[[#This Row],[Plant Equivalent Weightage]],"")</f>
        <v>1.3644943820224723E-2</v>
      </c>
      <c r="AI458" s="59">
        <v>0.48899999999999999</v>
      </c>
      <c r="AJ458" s="89">
        <f>IFERROR(IF(PA[[#This Row],[Lost PoA(kWh/m2)]]&gt;0,_xlfn.XLOOKUP(G458,'Modelling New'!$D:$D,'Modelling New'!$O:$O)*PA[[#This Row],[Lost PoA(kWh/m2)]]*S458,0),"")</f>
        <v>110.39778387283485</v>
      </c>
      <c r="AK458" s="365"/>
      <c r="AL458" s="365"/>
    </row>
    <row r="459" spans="1:38" ht="60" hidden="1" x14ac:dyDescent="0.25">
      <c r="A459" s="229">
        <v>2151</v>
      </c>
      <c r="B459" s="233">
        <v>45836</v>
      </c>
      <c r="C459" s="163">
        <v>2025</v>
      </c>
      <c r="D459" s="348">
        <f>YEAR(PA[[#This Row],[Date]])</f>
        <v>2025</v>
      </c>
      <c r="E459" s="373" t="s">
        <v>73</v>
      </c>
      <c r="F459" s="374" t="s">
        <v>73</v>
      </c>
      <c r="G459" s="323">
        <v>45809</v>
      </c>
      <c r="H459" s="365">
        <f>DAY(EOMONTH(PA[[#This Row],[Date]], 0))</f>
        <v>30</v>
      </c>
      <c r="I459" s="361">
        <v>0.22638888888888889</v>
      </c>
      <c r="J459" s="361">
        <v>0.77013888888888893</v>
      </c>
      <c r="K459" s="53">
        <f>IFERROR((PA[[#This Row],[Sunset Time (POA&lt;20 W/m2)]]-PA[[#This Row],[Sunrise Time (POA&gt;20 W/m2)]])*24,"")</f>
        <v>13.05</v>
      </c>
      <c r="L459" s="59" t="s">
        <v>559</v>
      </c>
      <c r="M459" s="59"/>
      <c r="N459" s="59"/>
      <c r="O459" s="59" t="s">
        <v>616</v>
      </c>
      <c r="P459" s="56"/>
      <c r="Q459" s="6"/>
      <c r="R45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BLK2INV7</v>
      </c>
      <c r="S459" s="53">
        <f>_xlfn.XLOOKUP(PA[[#This Row],[Affected Equipment ]],'Basic Data '!$A:$A,'Basic Data '!$B:$B)</f>
        <v>267</v>
      </c>
      <c r="T459" s="90">
        <f>IFERROR(_xlfn.XLOOKUP(PA[[#This Row],[Affected Equipment ]],'Basic Data '!A:A,'Basic Data '!C:C),"")</f>
        <v>4.0000000000000001E-3</v>
      </c>
      <c r="U459" s="59" t="s">
        <v>566</v>
      </c>
      <c r="V459" s="88"/>
      <c r="W459" s="375" t="s">
        <v>1293</v>
      </c>
      <c r="X459" s="359">
        <v>0.22638888888888889</v>
      </c>
      <c r="Y459" s="359">
        <v>0.25694444444444448</v>
      </c>
      <c r="Z459" s="359">
        <v>0.35069444444444442</v>
      </c>
      <c r="AA459" s="359">
        <v>0.36458333333333331</v>
      </c>
      <c r="AB459" s="158">
        <f>IF(PA[[#This Row],[Acknowledgement Time ]]="NA","",(PA[[#This Row],[Acknowledgement Time ]]-PA[[#This Row],[Fault Time]])*24)</f>
        <v>0.73333333333333406</v>
      </c>
      <c r="AC459" s="158">
        <f>IF(PA[[#This Row],[Work Start time on Fault]]="NA","",(PA[[#This Row],[Work Start time on Fault]]-PA[[#This Row],[Fault Time]])*24)</f>
        <v>2.9833333333333325</v>
      </c>
      <c r="AD459" s="112">
        <f>IF(PA[[#This Row],[Status]]="Open","",(PA[[#This Row],[Work Completion time on fault]]-PA[[#This Row],[Fault Time]])*24)</f>
        <v>3.3166666666666664</v>
      </c>
      <c r="AE459" s="111">
        <f>IFERROR((PA[[#This Row],[Work Completion time on fault]]-PA[[#This Row],[Fault Time]])*24,"")</f>
        <v>3.3166666666666664</v>
      </c>
      <c r="AF459" s="375" t="s">
        <v>1293</v>
      </c>
      <c r="AG459" s="6" t="s">
        <v>1275</v>
      </c>
      <c r="AH459" s="53">
        <f>IFERROR(PA[[#This Row],[Breakdown Time]]*PA[[#This Row],[Plant Equivalent Weightage]],"")</f>
        <v>1.3266666666666666E-2</v>
      </c>
      <c r="AI459" s="59">
        <v>0.45500000000000002</v>
      </c>
      <c r="AJ459" s="89">
        <f>IFERROR(IF(PA[[#This Row],[Lost PoA(kWh/m2)]]&gt;0,_xlfn.XLOOKUP(G459,'Modelling New'!$D:$D,'Modelling New'!$O:$O)*PA[[#This Row],[Lost PoA(kWh/m2)]]*S459,0),"")</f>
        <v>92.345918446849836</v>
      </c>
      <c r="AK459" s="365"/>
      <c r="AL459" s="365"/>
    </row>
    <row r="460" spans="1:38" ht="60" hidden="1" x14ac:dyDescent="0.25">
      <c r="A460" s="229">
        <v>2152</v>
      </c>
      <c r="B460" s="233">
        <v>45836</v>
      </c>
      <c r="C460" s="163">
        <v>2025</v>
      </c>
      <c r="D460" s="348">
        <f>YEAR(PA[[#This Row],[Date]])</f>
        <v>2025</v>
      </c>
      <c r="E460" s="373" t="s">
        <v>73</v>
      </c>
      <c r="F460" s="374" t="s">
        <v>73</v>
      </c>
      <c r="G460" s="323">
        <v>45809</v>
      </c>
      <c r="H460" s="365">
        <f>DAY(EOMONTH(PA[[#This Row],[Date]], 0))</f>
        <v>30</v>
      </c>
      <c r="I460" s="361">
        <v>0.22638888888888889</v>
      </c>
      <c r="J460" s="361">
        <v>0.77013888888888893</v>
      </c>
      <c r="K460" s="53">
        <f>IFERROR((PA[[#This Row],[Sunset Time (POA&lt;20 W/m2)]]-PA[[#This Row],[Sunrise Time (POA&gt;20 W/m2)]])*24,"")</f>
        <v>13.05</v>
      </c>
      <c r="L460" s="59" t="s">
        <v>597</v>
      </c>
      <c r="M460" s="59"/>
      <c r="N460" s="59"/>
      <c r="O460" s="59" t="s">
        <v>583</v>
      </c>
      <c r="P460" s="56"/>
      <c r="Q460" s="6"/>
      <c r="R46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BLK3INV30</v>
      </c>
      <c r="S460" s="53">
        <f>_xlfn.XLOOKUP(PA[[#This Row],[Affected Equipment ]],'Basic Data '!$A:$A,'Basic Data '!$B:$B)</f>
        <v>267</v>
      </c>
      <c r="T460" s="90">
        <f>IFERROR(_xlfn.XLOOKUP(PA[[#This Row],[Affected Equipment ]],'Basic Data '!A:A,'Basic Data '!C:C),"")</f>
        <v>4.0000000000000001E-3</v>
      </c>
      <c r="U460" s="59" t="s">
        <v>566</v>
      </c>
      <c r="V460" s="88"/>
      <c r="W460" s="375" t="s">
        <v>1293</v>
      </c>
      <c r="X460" s="359">
        <v>0.22638888888888889</v>
      </c>
      <c r="Y460" s="359">
        <v>0.25694444444444448</v>
      </c>
      <c r="Z460" s="359">
        <v>0.28819444444444448</v>
      </c>
      <c r="AA460" s="359">
        <v>0.30555555555555552</v>
      </c>
      <c r="AB460" s="158">
        <f>IF(PA[[#This Row],[Acknowledgement Time ]]="NA","",(PA[[#This Row],[Acknowledgement Time ]]-PA[[#This Row],[Fault Time]])*24)</f>
        <v>0.73333333333333406</v>
      </c>
      <c r="AC460" s="158">
        <f>IF(PA[[#This Row],[Work Start time on Fault]]="NA","",(PA[[#This Row],[Work Start time on Fault]]-PA[[#This Row],[Fault Time]])*24)</f>
        <v>1.4833333333333341</v>
      </c>
      <c r="AD460" s="112">
        <f>IF(PA[[#This Row],[Status]]="Open","",(PA[[#This Row],[Work Completion time on fault]]-PA[[#This Row],[Fault Time]])*24)</f>
        <v>1.8999999999999992</v>
      </c>
      <c r="AE460" s="111">
        <f>IFERROR((PA[[#This Row],[Work Completion time on fault]]-PA[[#This Row],[Fault Time]])*24,"")</f>
        <v>1.8999999999999992</v>
      </c>
      <c r="AF460" s="375" t="s">
        <v>1293</v>
      </c>
      <c r="AG460" s="6" t="s">
        <v>1275</v>
      </c>
      <c r="AH460" s="53">
        <f>IFERROR(PA[[#This Row],[Breakdown Time]]*PA[[#This Row],[Plant Equivalent Weightage]],"")</f>
        <v>7.5999999999999974E-3</v>
      </c>
      <c r="AI460" s="59">
        <v>0.13200000000000001</v>
      </c>
      <c r="AJ460" s="89">
        <f>IFERROR(IF(PA[[#This Row],[Lost PoA(kWh/m2)]]&gt;0,_xlfn.XLOOKUP(G460,'Modelling New'!$D:$D,'Modelling New'!$O:$O)*PA[[#This Row],[Lost PoA(kWh/m2)]]*S460,0),"")</f>
        <v>26.790464252712479</v>
      </c>
      <c r="AK460" s="365"/>
      <c r="AL460" s="365"/>
    </row>
    <row r="461" spans="1:38" ht="60" hidden="1" x14ac:dyDescent="0.25">
      <c r="A461" s="229">
        <v>2153</v>
      </c>
      <c r="B461" s="233">
        <v>45836</v>
      </c>
      <c r="C461" s="163">
        <v>2025</v>
      </c>
      <c r="D461" s="348">
        <f>YEAR(PA[[#This Row],[Date]])</f>
        <v>2025</v>
      </c>
      <c r="E461" s="373" t="s">
        <v>73</v>
      </c>
      <c r="F461" s="374" t="s">
        <v>73</v>
      </c>
      <c r="G461" s="323">
        <v>45809</v>
      </c>
      <c r="H461" s="365">
        <f>DAY(EOMONTH(PA[[#This Row],[Date]], 0))</f>
        <v>30</v>
      </c>
      <c r="I461" s="361">
        <v>0.22638888888888889</v>
      </c>
      <c r="J461" s="361">
        <v>0.77013888888888893</v>
      </c>
      <c r="K461" s="53">
        <f>IFERROR((PA[[#This Row],[Sunset Time (POA&lt;20 W/m2)]]-PA[[#This Row],[Sunrise Time (POA&gt;20 W/m2)]])*24,"")</f>
        <v>13.05</v>
      </c>
      <c r="L461" s="59" t="s">
        <v>606</v>
      </c>
      <c r="M461" s="59"/>
      <c r="N461" s="59"/>
      <c r="O461" s="59" t="s">
        <v>641</v>
      </c>
      <c r="P461" s="56"/>
      <c r="Q461" s="6"/>
      <c r="R46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BLK7INV19</v>
      </c>
      <c r="S461" s="53">
        <f>_xlfn.XLOOKUP(PA[[#This Row],[Affected Equipment ]],'Basic Data '!$A:$A,'Basic Data '!$B:$B)</f>
        <v>267</v>
      </c>
      <c r="T461" s="90">
        <f>IFERROR(_xlfn.XLOOKUP(PA[[#This Row],[Affected Equipment ]],'Basic Data '!A:A,'Basic Data '!C:C),"")</f>
        <v>4.0000000000000001E-3</v>
      </c>
      <c r="U461" s="59" t="s">
        <v>566</v>
      </c>
      <c r="V461" s="88"/>
      <c r="W461" s="375" t="s">
        <v>1293</v>
      </c>
      <c r="X461" s="359">
        <v>0.22638888888888889</v>
      </c>
      <c r="Y461" s="359">
        <v>0.25694444444444448</v>
      </c>
      <c r="Z461" s="359">
        <v>0.36458333333333331</v>
      </c>
      <c r="AA461" s="359">
        <v>0.38194444444444442</v>
      </c>
      <c r="AB461" s="158">
        <f>IF(PA[[#This Row],[Acknowledgement Time ]]="NA","",(PA[[#This Row],[Acknowledgement Time ]]-PA[[#This Row],[Fault Time]])*24)</f>
        <v>0.73333333333333406</v>
      </c>
      <c r="AC461" s="158">
        <f>IF(PA[[#This Row],[Work Start time on Fault]]="NA","",(PA[[#This Row],[Work Start time on Fault]]-PA[[#This Row],[Fault Time]])*24)</f>
        <v>3.3166666666666664</v>
      </c>
      <c r="AD461" s="112">
        <f>IF(PA[[#This Row],[Status]]="Open","",(PA[[#This Row],[Work Completion time on fault]]-PA[[#This Row],[Fault Time]])*24)</f>
        <v>3.7333333333333325</v>
      </c>
      <c r="AE461" s="111">
        <f>IFERROR((PA[[#This Row],[Work Completion time on fault]]-PA[[#This Row],[Fault Time]])*24,"")</f>
        <v>3.7333333333333325</v>
      </c>
      <c r="AF461" s="375" t="s">
        <v>1293</v>
      </c>
      <c r="AG461" s="6" t="s">
        <v>1275</v>
      </c>
      <c r="AH461" s="53">
        <f>IFERROR(PA[[#This Row],[Breakdown Time]]*PA[[#This Row],[Plant Equivalent Weightage]],"")</f>
        <v>1.493333333333333E-2</v>
      </c>
      <c r="AI461" s="59">
        <v>0.58899999999999997</v>
      </c>
      <c r="AJ461" s="89">
        <f>IFERROR(IF(PA[[#This Row],[Lost PoA(kWh/m2)]]&gt;0,_xlfn.XLOOKUP(G461,'Modelling New'!$D:$D,'Modelling New'!$O:$O)*PA[[#This Row],[Lost PoA(kWh/m2)]]*S461,0),"")</f>
        <v>119.54229882460339</v>
      </c>
      <c r="AK461" s="365"/>
      <c r="AL461" s="365"/>
    </row>
    <row r="462" spans="1:38" ht="45" hidden="1" x14ac:dyDescent="0.25">
      <c r="A462" s="229">
        <v>2154</v>
      </c>
      <c r="B462" s="233">
        <v>45836</v>
      </c>
      <c r="C462" s="163">
        <v>2025</v>
      </c>
      <c r="D462" s="364">
        <f>YEAR(PA[[#This Row],[Date]])</f>
        <v>2025</v>
      </c>
      <c r="E462" s="373" t="s">
        <v>73</v>
      </c>
      <c r="F462" s="374" t="s">
        <v>73</v>
      </c>
      <c r="G462" s="323">
        <v>45809</v>
      </c>
      <c r="H462" s="365">
        <f>DAY(EOMONTH(PA[[#This Row],[Date]], 0))</f>
        <v>30</v>
      </c>
      <c r="I462" s="361">
        <v>0.22638888888888889</v>
      </c>
      <c r="J462" s="361">
        <v>0.77013888888888893</v>
      </c>
      <c r="K462" s="131">
        <f>IFERROR((PA[[#This Row],[Sunset Time (POA&lt;20 W/m2)]]-PA[[#This Row],[Sunrise Time (POA&gt;20 W/m2)]])*24,"")</f>
        <v>13.05</v>
      </c>
      <c r="L462" s="128" t="s">
        <v>621</v>
      </c>
      <c r="M462" s="128"/>
      <c r="N462" s="128"/>
      <c r="O462" s="128" t="s">
        <v>571</v>
      </c>
      <c r="P462" s="130"/>
      <c r="Q462" s="129"/>
      <c r="R462" s="364" t="s">
        <v>911</v>
      </c>
      <c r="S462" s="131">
        <f>_xlfn.XLOOKUP(PA[[#This Row],[Affected Equipment ]],'Basic Data '!$A:$A,'Basic Data '!$B:$B)</f>
        <v>267</v>
      </c>
      <c r="T462" s="132">
        <f>IFERROR(_xlfn.XLOOKUP(PA[[#This Row],[Affected Equipment ]],'Basic Data '!A:A,'Basic Data '!C:C),"")</f>
        <v>4.0000000000000001E-3</v>
      </c>
      <c r="U462" s="59" t="s">
        <v>566</v>
      </c>
      <c r="V462" s="117"/>
      <c r="W462" s="375" t="s">
        <v>1306</v>
      </c>
      <c r="X462" s="359">
        <v>0.22638888888888889</v>
      </c>
      <c r="Y462" s="366"/>
      <c r="Z462" s="366"/>
      <c r="AA462" s="366">
        <v>0.77013888888888893</v>
      </c>
      <c r="AB462" s="159">
        <f>IF(PA[[#This Row],[Acknowledgement Time ]]="NA","",(PA[[#This Row],[Acknowledgement Time ]]-PA[[#This Row],[Fault Time]])*24)</f>
        <v>-5.4333333333333336</v>
      </c>
      <c r="AC462" s="159">
        <f>IF(PA[[#This Row],[Work Start time on Fault]]="NA","",(PA[[#This Row],[Work Start time on Fault]]-PA[[#This Row],[Fault Time]])*24)</f>
        <v>-5.4333333333333336</v>
      </c>
      <c r="AD462" s="135">
        <f>IF(PA[[#This Row],[Status]]="Open","",(PA[[#This Row],[Work Completion time on fault]]-PA[[#This Row],[Fault Time]])*24)</f>
        <v>13.05</v>
      </c>
      <c r="AE462" s="134">
        <f>IFERROR((PA[[#This Row],[Work Completion time on fault]]-PA[[#This Row],[Fault Time]])*24,"")</f>
        <v>13.05</v>
      </c>
      <c r="AF462" s="226" t="s">
        <v>1306</v>
      </c>
      <c r="AG462" s="129" t="s">
        <v>1275</v>
      </c>
      <c r="AH462" s="131">
        <f>IFERROR(PA[[#This Row],[Breakdown Time]]*PA[[#This Row],[Plant Equivalent Weightage]],"")</f>
        <v>5.2200000000000003E-2</v>
      </c>
      <c r="AI462" s="128">
        <v>4.6500000000000004</v>
      </c>
      <c r="AJ462" s="89">
        <f>IFERROR(IF(PA[[#This Row],[Lost PoA(kWh/m2)]]&gt;0,_xlfn.XLOOKUP(G462,'Modelling New'!$D:$D,'Modelling New'!$O:$O)*PA[[#This Row],[Lost PoA(kWh/m2)]]*S462,0),"")</f>
        <v>943.75499072055334</v>
      </c>
      <c r="AK462" s="365"/>
      <c r="AL462" s="365"/>
    </row>
    <row r="463" spans="1:38" ht="45" hidden="1" x14ac:dyDescent="0.25">
      <c r="A463" s="229">
        <v>2155</v>
      </c>
      <c r="B463" s="233">
        <v>45836</v>
      </c>
      <c r="C463" s="163">
        <v>2025</v>
      </c>
      <c r="D463" s="348">
        <f>YEAR(PA[[#This Row],[Date]])</f>
        <v>2025</v>
      </c>
      <c r="E463" s="373" t="s">
        <v>73</v>
      </c>
      <c r="F463" s="374" t="s">
        <v>73</v>
      </c>
      <c r="G463" s="323">
        <v>45809</v>
      </c>
      <c r="H463" s="365">
        <f>DAY(EOMONTH(PA[[#This Row],[Date]], 0))</f>
        <v>30</v>
      </c>
      <c r="I463" s="361">
        <v>0.22638888888888889</v>
      </c>
      <c r="J463" s="361">
        <v>0.77013888888888893</v>
      </c>
      <c r="K463" s="53">
        <f>IFERROR((PA[[#This Row],[Sunset Time (POA&lt;20 W/m2)]]-PA[[#This Row],[Sunrise Time (POA&gt;20 W/m2)]])*24,"")</f>
        <v>13.05</v>
      </c>
      <c r="L463" s="59" t="s">
        <v>606</v>
      </c>
      <c r="M463" s="59"/>
      <c r="N463" s="59"/>
      <c r="O463" s="59" t="s">
        <v>595</v>
      </c>
      <c r="P463" s="56"/>
      <c r="Q463" s="6"/>
      <c r="R46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BLK7INV11</v>
      </c>
      <c r="S463" s="53">
        <f>_xlfn.XLOOKUP(PA[[#This Row],[Affected Equipment ]],'Basic Data '!$A:$A,'Basic Data '!$B:$B)</f>
        <v>190.35</v>
      </c>
      <c r="T463" s="90">
        <f>IFERROR(_xlfn.XLOOKUP(PA[[#This Row],[Affected Equipment ]],'Basic Data '!A:A,'Basic Data '!C:C),"")</f>
        <v>2.8516853932584268E-3</v>
      </c>
      <c r="U463" s="59" t="s">
        <v>566</v>
      </c>
      <c r="V463" s="88"/>
      <c r="W463" s="265" t="s">
        <v>1304</v>
      </c>
      <c r="X463" s="359">
        <v>0.22638888888888889</v>
      </c>
      <c r="Y463" s="359"/>
      <c r="Z463" s="359"/>
      <c r="AA463" s="366">
        <v>0.77013888888888893</v>
      </c>
      <c r="AB463" s="158">
        <f>IF(PA[[#This Row],[Acknowledgement Time ]]="NA","",(PA[[#This Row],[Acknowledgement Time ]]-PA[[#This Row],[Fault Time]])*24)</f>
        <v>-5.4333333333333336</v>
      </c>
      <c r="AC463" s="158">
        <f>IF(PA[[#This Row],[Work Start time on Fault]]="NA","",(PA[[#This Row],[Work Start time on Fault]]-PA[[#This Row],[Fault Time]])*24)</f>
        <v>-5.4333333333333336</v>
      </c>
      <c r="AD463" s="112">
        <f>IF(PA[[#This Row],[Status]]="Open","",(PA[[#This Row],[Work Completion time on fault]]-PA[[#This Row],[Fault Time]])*24)</f>
        <v>13.05</v>
      </c>
      <c r="AE463" s="111">
        <f>IFERROR((PA[[#This Row],[Work Completion time on fault]]-PA[[#This Row],[Fault Time]])*24,"")</f>
        <v>13.05</v>
      </c>
      <c r="AF463" s="228" t="s">
        <v>1304</v>
      </c>
      <c r="AG463" s="6" t="s">
        <v>1275</v>
      </c>
      <c r="AH463" s="53">
        <f>IFERROR(PA[[#This Row],[Breakdown Time]]*PA[[#This Row],[Plant Equivalent Weightage]],"")</f>
        <v>3.721449438202247E-2</v>
      </c>
      <c r="AI463" s="128">
        <v>4.6500000000000004</v>
      </c>
      <c r="AJ463" s="89">
        <f>IFERROR(IF(PA[[#This Row],[Lost PoA(kWh/m2)]]&gt;0,_xlfn.XLOOKUP(G463,'Modelling New'!$D:$D,'Modelling New'!$O:$O)*PA[[#This Row],[Lost PoA(kWh/m2)]]*S463,0),"")</f>
        <v>672.82308046313597</v>
      </c>
      <c r="AK463" s="365"/>
      <c r="AL463" s="365"/>
    </row>
    <row r="464" spans="1:38" ht="45" hidden="1" x14ac:dyDescent="0.25">
      <c r="A464" s="229">
        <v>2156</v>
      </c>
      <c r="B464" s="233">
        <v>45837</v>
      </c>
      <c r="C464" s="163">
        <v>2025</v>
      </c>
      <c r="D464" s="348">
        <f>YEAR(PA[[#This Row],[Date]])</f>
        <v>2025</v>
      </c>
      <c r="E464" s="373" t="s">
        <v>73</v>
      </c>
      <c r="F464" s="374" t="s">
        <v>73</v>
      </c>
      <c r="G464" s="323">
        <v>45809</v>
      </c>
      <c r="H464" s="365">
        <f>DAY(EOMONTH(PA[[#This Row],[Date]], 0))</f>
        <v>30</v>
      </c>
      <c r="I464" s="361">
        <v>0.22083333333333333</v>
      </c>
      <c r="J464" s="361">
        <v>0.77013888888888893</v>
      </c>
      <c r="K464" s="53">
        <f>IFERROR((PA[[#This Row],[Sunset Time (POA&lt;20 W/m2)]]-PA[[#This Row],[Sunrise Time (POA&gt;20 W/m2)]])*24,"")</f>
        <v>13.183333333333334</v>
      </c>
      <c r="L464" s="128" t="s">
        <v>621</v>
      </c>
      <c r="M464" s="128"/>
      <c r="N464" s="128"/>
      <c r="O464" s="128" t="s">
        <v>571</v>
      </c>
      <c r="P464" s="56"/>
      <c r="Q464" s="6"/>
      <c r="R46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v>
      </c>
      <c r="S464" s="53">
        <f>_xlfn.XLOOKUP(PA[[#This Row],[Affected Equipment ]],'Basic Data '!$A:$A,'Basic Data '!$B:$B)</f>
        <v>267</v>
      </c>
      <c r="T464" s="90">
        <f>IFERROR(_xlfn.XLOOKUP(PA[[#This Row],[Affected Equipment ]],'Basic Data '!A:A,'Basic Data '!C:C),"")</f>
        <v>4.0000000000000001E-3</v>
      </c>
      <c r="U464" s="59" t="s">
        <v>566</v>
      </c>
      <c r="V464" s="88"/>
      <c r="W464" s="375" t="s">
        <v>1306</v>
      </c>
      <c r="X464" s="359">
        <v>0.22083333333333333</v>
      </c>
      <c r="Y464" s="359"/>
      <c r="Z464" s="359"/>
      <c r="AA464" s="359">
        <v>0.77013888888888893</v>
      </c>
      <c r="AB464" s="158">
        <f>IF(PA[[#This Row],[Acknowledgement Time ]]="NA","",(PA[[#This Row],[Acknowledgement Time ]]-PA[[#This Row],[Fault Time]])*24)</f>
        <v>-5.3</v>
      </c>
      <c r="AC464" s="158">
        <f>IF(PA[[#This Row],[Work Start time on Fault]]="NA","",(PA[[#This Row],[Work Start time on Fault]]-PA[[#This Row],[Fault Time]])*24)</f>
        <v>-5.3</v>
      </c>
      <c r="AD464" s="112">
        <f>IF(PA[[#This Row],[Status]]="Open","",(PA[[#This Row],[Work Completion time on fault]]-PA[[#This Row],[Fault Time]])*24)</f>
        <v>13.183333333333334</v>
      </c>
      <c r="AE464" s="111">
        <f>IFERROR((PA[[#This Row],[Work Completion time on fault]]-PA[[#This Row],[Fault Time]])*24,"")</f>
        <v>13.183333333333334</v>
      </c>
      <c r="AF464" s="228" t="s">
        <v>1306</v>
      </c>
      <c r="AG464" s="6" t="s">
        <v>1275</v>
      </c>
      <c r="AH464" s="53">
        <f>IFERROR(PA[[#This Row],[Breakdown Time]]*PA[[#This Row],[Plant Equivalent Weightage]],"")</f>
        <v>5.2733333333333333E-2</v>
      </c>
      <c r="AI464" s="59">
        <v>3.89</v>
      </c>
      <c r="AJ464" s="89">
        <f>IFERROR(IF(PA[[#This Row],[Lost PoA(kWh/m2)]]&gt;0,_xlfn.XLOOKUP(G464,'Modelling New'!$D:$D,'Modelling New'!$O:$O)*PA[[#This Row],[Lost PoA(kWh/m2)]]*S464,0),"")</f>
        <v>789.50686320493594</v>
      </c>
      <c r="AK464" s="365"/>
      <c r="AL464" s="365"/>
    </row>
    <row r="465" spans="1:38" ht="45" hidden="1" x14ac:dyDescent="0.25">
      <c r="A465" s="229">
        <v>2157</v>
      </c>
      <c r="B465" s="376">
        <v>45837</v>
      </c>
      <c r="C465" s="163">
        <v>2025</v>
      </c>
      <c r="D465" s="348">
        <f>YEAR(PA[[#This Row],[Date]])</f>
        <v>2025</v>
      </c>
      <c r="E465" s="373" t="s">
        <v>73</v>
      </c>
      <c r="F465" s="374" t="s">
        <v>73</v>
      </c>
      <c r="G465" s="323">
        <v>45809</v>
      </c>
      <c r="H465" s="365">
        <f>DAY(EOMONTH(PA[[#This Row],[Date]], 0))</f>
        <v>30</v>
      </c>
      <c r="I465" s="361">
        <v>0.22083333333333333</v>
      </c>
      <c r="J465" s="361">
        <v>0.77013888888888893</v>
      </c>
      <c r="K465" s="53">
        <f>IFERROR((PA[[#This Row],[Sunset Time (POA&lt;20 W/m2)]]-PA[[#This Row],[Sunrise Time (POA&gt;20 W/m2)]])*24,"")</f>
        <v>13.183333333333334</v>
      </c>
      <c r="L465" s="59" t="s">
        <v>606</v>
      </c>
      <c r="M465" s="59"/>
      <c r="N465" s="59"/>
      <c r="O465" s="59" t="s">
        <v>595</v>
      </c>
      <c r="P465" s="56"/>
      <c r="Q465" s="6"/>
      <c r="R46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BLK7INV11</v>
      </c>
      <c r="S465" s="53">
        <f>_xlfn.XLOOKUP(PA[[#This Row],[Affected Equipment ]],'Basic Data '!$A:$A,'Basic Data '!$B:$B)</f>
        <v>190.35</v>
      </c>
      <c r="T465" s="90">
        <f>IFERROR(_xlfn.XLOOKUP(PA[[#This Row],[Affected Equipment ]],'Basic Data '!A:A,'Basic Data '!C:C),"")</f>
        <v>2.8516853932584268E-3</v>
      </c>
      <c r="U465" s="59" t="s">
        <v>566</v>
      </c>
      <c r="V465" s="88"/>
      <c r="W465" s="265" t="s">
        <v>1304</v>
      </c>
      <c r="X465" s="359">
        <v>0.22083333333333333</v>
      </c>
      <c r="Y465" s="359"/>
      <c r="Z465" s="359"/>
      <c r="AA465" s="359">
        <v>0.77013888888888893</v>
      </c>
      <c r="AB465" s="158">
        <f>IF(PA[[#This Row],[Acknowledgement Time ]]="NA","",(PA[[#This Row],[Acknowledgement Time ]]-PA[[#This Row],[Fault Time]])*24)</f>
        <v>-5.3</v>
      </c>
      <c r="AC465" s="158">
        <f>IF(PA[[#This Row],[Work Start time on Fault]]="NA","",(PA[[#This Row],[Work Start time on Fault]]-PA[[#This Row],[Fault Time]])*24)</f>
        <v>-5.3</v>
      </c>
      <c r="AD465" s="112">
        <f>IF(PA[[#This Row],[Status]]="Open","",(PA[[#This Row],[Work Completion time on fault]]-PA[[#This Row],[Fault Time]])*24)</f>
        <v>13.183333333333334</v>
      </c>
      <c r="AE465" s="111">
        <f>IFERROR((PA[[#This Row],[Work Completion time on fault]]-PA[[#This Row],[Fault Time]])*24,"")</f>
        <v>13.183333333333334</v>
      </c>
      <c r="AF465" s="228" t="s">
        <v>1304</v>
      </c>
      <c r="AG465" s="6" t="s">
        <v>1275</v>
      </c>
      <c r="AH465" s="53">
        <f>IFERROR(PA[[#This Row],[Breakdown Time]]*PA[[#This Row],[Plant Equivalent Weightage]],"")</f>
        <v>3.7594719101123594E-2</v>
      </c>
      <c r="AI465" s="59">
        <v>3.89</v>
      </c>
      <c r="AJ465" s="89">
        <f>IFERROR(IF(PA[[#This Row],[Lost PoA(kWh/m2)]]&gt;0,_xlfn.XLOOKUP(G465,'Modelling New'!$D:$D,'Modelling New'!$O:$O)*PA[[#This Row],[Lost PoA(kWh/m2)]]*S465,0),"")</f>
        <v>562.85629741969876</v>
      </c>
      <c r="AK465" s="365"/>
      <c r="AL465" s="365"/>
    </row>
    <row r="466" spans="1:38" ht="30" hidden="1" x14ac:dyDescent="0.25">
      <c r="A466" s="229">
        <v>2158</v>
      </c>
      <c r="B466" s="376">
        <v>45837</v>
      </c>
      <c r="C466" s="163">
        <v>2025</v>
      </c>
      <c r="D466" s="348">
        <f>YEAR(PA[[#This Row],[Date]])</f>
        <v>2025</v>
      </c>
      <c r="E466" s="373" t="s">
        <v>73</v>
      </c>
      <c r="F466" s="374" t="s">
        <v>73</v>
      </c>
      <c r="G466" s="323">
        <v>45809</v>
      </c>
      <c r="H466" s="365">
        <f>DAY(EOMONTH(PA[[#This Row],[Date]], 0))</f>
        <v>30</v>
      </c>
      <c r="I466" s="361">
        <v>0.22083333333333333</v>
      </c>
      <c r="J466" s="361">
        <v>0.77013888888888893</v>
      </c>
      <c r="K466" s="53">
        <f>IFERROR((PA[[#This Row],[Sunset Time (POA&lt;20 W/m2)]]-PA[[#This Row],[Sunrise Time (POA&gt;20 W/m2)]])*24,"")</f>
        <v>13.183333333333334</v>
      </c>
      <c r="L466" s="59" t="s">
        <v>621</v>
      </c>
      <c r="M466" s="59"/>
      <c r="N466" s="59"/>
      <c r="O466" s="59" t="s">
        <v>637</v>
      </c>
      <c r="P466" s="56"/>
      <c r="Q466" s="6"/>
      <c r="R46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466" s="53">
        <v>12</v>
      </c>
      <c r="T466" s="90">
        <f>IFERROR(_xlfn.XLOOKUP(PA[[#This Row],[Affected Equipment ]],'Basic Data '!A:A,'Basic Data '!C:C),"")</f>
        <v>4.0000000000000001E-3</v>
      </c>
      <c r="U466" s="59" t="s">
        <v>773</v>
      </c>
      <c r="V466" s="88"/>
      <c r="W466" s="265" t="s">
        <v>1271</v>
      </c>
      <c r="X466" s="359">
        <v>0.22083333333333333</v>
      </c>
      <c r="Y466" s="359"/>
      <c r="Z466" s="359"/>
      <c r="AA466" s="359">
        <v>0.77013888888888893</v>
      </c>
      <c r="AB466" s="158">
        <f>IF(PA[[#This Row],[Acknowledgement Time ]]="NA","",(PA[[#This Row],[Acknowledgement Time ]]-PA[[#This Row],[Fault Time]])*24)</f>
        <v>-5.3</v>
      </c>
      <c r="AC466" s="158">
        <f>IF(PA[[#This Row],[Work Start time on Fault]]="NA","",(PA[[#This Row],[Work Start time on Fault]]-PA[[#This Row],[Fault Time]])*24)</f>
        <v>-5.3</v>
      </c>
      <c r="AD466" s="112">
        <f>IF(PA[[#This Row],[Status]]="Open","",(PA[[#This Row],[Work Completion time on fault]]-PA[[#This Row],[Fault Time]])*24)</f>
        <v>13.183333333333334</v>
      </c>
      <c r="AE466" s="111">
        <f>IFERROR((PA[[#This Row],[Work Completion time on fault]]-PA[[#This Row],[Fault Time]])*24,"")</f>
        <v>13.183333333333334</v>
      </c>
      <c r="AF466" s="228" t="s">
        <v>1271</v>
      </c>
      <c r="AG466" s="6" t="s">
        <v>1275</v>
      </c>
      <c r="AH466" s="53">
        <f>IFERROR(PA[[#This Row],[Breakdown Time]]*PA[[#This Row],[Plant Equivalent Weightage]],"")</f>
        <v>5.2733333333333333E-2</v>
      </c>
      <c r="AI466" s="59">
        <v>3.89</v>
      </c>
      <c r="AJ466" s="89">
        <f>IFERROR(IF(PA[[#This Row],[Lost PoA(kWh/m2)]]&gt;0,_xlfn.XLOOKUP(G466,'Modelling New'!$D:$D,'Modelling New'!$O:$O)*PA[[#This Row],[Lost PoA(kWh/m2)]]*S466,0),"")</f>
        <v>35.483454526064534</v>
      </c>
      <c r="AK466" s="365"/>
      <c r="AL466" s="365"/>
    </row>
    <row r="467" spans="1:38" ht="30" hidden="1" x14ac:dyDescent="0.25">
      <c r="A467" s="229">
        <v>2159</v>
      </c>
      <c r="B467" s="376">
        <v>45837</v>
      </c>
      <c r="C467" s="163">
        <v>2025</v>
      </c>
      <c r="D467" s="348">
        <f>YEAR(PA[[#This Row],[Date]])</f>
        <v>2025</v>
      </c>
      <c r="E467" s="373" t="s">
        <v>73</v>
      </c>
      <c r="F467" s="374" t="s">
        <v>73</v>
      </c>
      <c r="G467" s="323">
        <v>45809</v>
      </c>
      <c r="H467" s="365">
        <f>DAY(EOMONTH(PA[[#This Row],[Date]], 0))</f>
        <v>30</v>
      </c>
      <c r="I467" s="361">
        <v>0.22083333333333333</v>
      </c>
      <c r="J467" s="361">
        <v>0.77013888888888893</v>
      </c>
      <c r="K467" s="53">
        <f>IFERROR((PA[[#This Row],[Sunset Time (POA&lt;20 W/m2)]]-PA[[#This Row],[Sunrise Time (POA&gt;20 W/m2)]])*24,"")</f>
        <v>13.183333333333334</v>
      </c>
      <c r="L467" s="59" t="s">
        <v>621</v>
      </c>
      <c r="M467" s="59"/>
      <c r="N467" s="59"/>
      <c r="O467" s="59" t="s">
        <v>612</v>
      </c>
      <c r="P467" s="56"/>
      <c r="Q467" s="6"/>
      <c r="R46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467" s="53">
        <v>22.25</v>
      </c>
      <c r="T467" s="90">
        <f>IFERROR(_xlfn.XLOOKUP(PA[[#This Row],[Affected Equipment ]],'Basic Data '!A:A,'Basic Data '!C:C),"")</f>
        <v>4.4999999999999997E-3</v>
      </c>
      <c r="U467" s="59" t="s">
        <v>773</v>
      </c>
      <c r="V467" s="88"/>
      <c r="W467" s="265" t="s">
        <v>1295</v>
      </c>
      <c r="X467" s="359">
        <v>0.22083333333333333</v>
      </c>
      <c r="Y467" s="359"/>
      <c r="Z467" s="359"/>
      <c r="AA467" s="359">
        <v>0.77013888888888893</v>
      </c>
      <c r="AB467" s="158">
        <f>IF(PA[[#This Row],[Acknowledgement Time ]]="NA","",(PA[[#This Row],[Acknowledgement Time ]]-PA[[#This Row],[Fault Time]])*24)</f>
        <v>-5.3</v>
      </c>
      <c r="AC467" s="158">
        <f>IF(PA[[#This Row],[Work Start time on Fault]]="NA","",(PA[[#This Row],[Work Start time on Fault]]-PA[[#This Row],[Fault Time]])*24)</f>
        <v>-5.3</v>
      </c>
      <c r="AD467" s="112">
        <f>IF(PA[[#This Row],[Status]]="Open","",(PA[[#This Row],[Work Completion time on fault]]-PA[[#This Row],[Fault Time]])*24)</f>
        <v>13.183333333333334</v>
      </c>
      <c r="AE467" s="111">
        <f>IFERROR((PA[[#This Row],[Work Completion time on fault]]-PA[[#This Row],[Fault Time]])*24,"")</f>
        <v>13.183333333333334</v>
      </c>
      <c r="AF467" s="228" t="s">
        <v>1295</v>
      </c>
      <c r="AG467" s="6" t="s">
        <v>1275</v>
      </c>
      <c r="AH467" s="53">
        <f>IFERROR(PA[[#This Row],[Breakdown Time]]*PA[[#This Row],[Plant Equivalent Weightage]],"")</f>
        <v>5.9324999999999996E-2</v>
      </c>
      <c r="AI467" s="59">
        <v>3.89</v>
      </c>
      <c r="AJ467" s="89">
        <f>IFERROR(IF(PA[[#This Row],[Lost PoA(kWh/m2)]]&gt;0,_xlfn.XLOOKUP(G467,'Modelling New'!$D:$D,'Modelling New'!$O:$O)*PA[[#This Row],[Lost PoA(kWh/m2)]]*S467,0),"")</f>
        <v>65.792238600411324</v>
      </c>
      <c r="AK467" s="365"/>
      <c r="AL467" s="365"/>
    </row>
    <row r="468" spans="1:38" ht="30" hidden="1" x14ac:dyDescent="0.25">
      <c r="A468" s="229">
        <v>2160</v>
      </c>
      <c r="B468" s="376">
        <v>45837</v>
      </c>
      <c r="C468" s="163">
        <v>2025</v>
      </c>
      <c r="D468" s="348">
        <f>YEAR(PA[[#This Row],[Date]])</f>
        <v>2025</v>
      </c>
      <c r="E468" s="373" t="s">
        <v>73</v>
      </c>
      <c r="F468" s="374" t="s">
        <v>73</v>
      </c>
      <c r="G468" s="323">
        <v>45809</v>
      </c>
      <c r="H468" s="365">
        <f>DAY(EOMONTH(PA[[#This Row],[Date]], 0))</f>
        <v>30</v>
      </c>
      <c r="I468" s="361">
        <v>0.22083333333333333</v>
      </c>
      <c r="J468" s="361">
        <v>0.77013888888888893</v>
      </c>
      <c r="K468" s="53">
        <f>IFERROR((PA[[#This Row],[Sunset Time (POA&lt;20 W/m2)]]-PA[[#This Row],[Sunrise Time (POA&gt;20 W/m2)]])*24,"")</f>
        <v>13.183333333333334</v>
      </c>
      <c r="L468" s="59" t="s">
        <v>587</v>
      </c>
      <c r="M468" s="59"/>
      <c r="N468" s="59"/>
      <c r="O468" s="59" t="s">
        <v>581</v>
      </c>
      <c r="P468" s="56"/>
      <c r="Q468" s="6"/>
      <c r="R46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BLK1INV32</v>
      </c>
      <c r="S468" s="53">
        <v>22.25</v>
      </c>
      <c r="T468" s="90">
        <f>IFERROR(_xlfn.XLOOKUP(PA[[#This Row],[Affected Equipment ]],'Basic Data '!A:A,'Basic Data '!C:C),"")</f>
        <v>4.4999999999999997E-3</v>
      </c>
      <c r="U468" s="59" t="s">
        <v>773</v>
      </c>
      <c r="V468" s="88"/>
      <c r="W468" s="360" t="s">
        <v>1307</v>
      </c>
      <c r="X468" s="359">
        <v>0.27777777777777779</v>
      </c>
      <c r="Y468" s="359">
        <v>0.29166666666666669</v>
      </c>
      <c r="Z468" s="359">
        <v>0.32291666666666669</v>
      </c>
      <c r="AA468" s="359">
        <v>0.34375</v>
      </c>
      <c r="AB468" s="158">
        <f>IF(PA[[#This Row],[Acknowledgement Time ]]="NA","",(PA[[#This Row],[Acknowledgement Time ]]-PA[[#This Row],[Fault Time]])*24)</f>
        <v>0.33333333333333348</v>
      </c>
      <c r="AC468" s="158">
        <f>IF(PA[[#This Row],[Work Start time on Fault]]="NA","",(PA[[#This Row],[Work Start time on Fault]]-PA[[#This Row],[Fault Time]])*24)</f>
        <v>1.0833333333333335</v>
      </c>
      <c r="AD468" s="112">
        <f>IF(PA[[#This Row],[Status]]="Open","",(PA[[#This Row],[Work Completion time on fault]]-PA[[#This Row],[Fault Time]])*24)</f>
        <v>1.583333333333333</v>
      </c>
      <c r="AE468" s="111">
        <f>IFERROR((PA[[#This Row],[Work Completion time on fault]]-PA[[#This Row],[Fault Time]])*24,"")</f>
        <v>1.583333333333333</v>
      </c>
      <c r="AF468" s="228" t="s">
        <v>1307</v>
      </c>
      <c r="AG468" s="6" t="s">
        <v>1275</v>
      </c>
      <c r="AH468" s="53">
        <f>IFERROR(PA[[#This Row],[Breakdown Time]]*PA[[#This Row],[Plant Equivalent Weightage]],"")</f>
        <v>7.1249999999999985E-3</v>
      </c>
      <c r="AI468" s="59">
        <v>0.20699999999999999</v>
      </c>
      <c r="AJ468" s="89">
        <f>IFERROR(IF(PA[[#This Row],[Lost PoA(kWh/m2)]]&gt;0,_xlfn.XLOOKUP(G468,'Modelling New'!$D:$D,'Modelling New'!$O:$O)*PA[[#This Row],[Lost PoA(kWh/m2)]]*S468,0),"")</f>
        <v>3.5010265784794714</v>
      </c>
      <c r="AK468" s="365"/>
      <c r="AL468" s="365"/>
    </row>
    <row r="469" spans="1:38" ht="30" hidden="1" x14ac:dyDescent="0.25">
      <c r="A469" s="229">
        <v>2161</v>
      </c>
      <c r="B469" s="376">
        <v>45837</v>
      </c>
      <c r="C469" s="163">
        <v>2025</v>
      </c>
      <c r="D469" s="348">
        <f>YEAR(PA[[#This Row],[Date]])</f>
        <v>2025</v>
      </c>
      <c r="E469" s="373" t="s">
        <v>73</v>
      </c>
      <c r="F469" s="374" t="s">
        <v>73</v>
      </c>
      <c r="G469" s="323">
        <v>45809</v>
      </c>
      <c r="H469" s="365">
        <f>DAY(EOMONTH(PA[[#This Row],[Date]], 0))</f>
        <v>30</v>
      </c>
      <c r="I469" s="361">
        <v>0.22083333333333333</v>
      </c>
      <c r="J469" s="361">
        <v>0.77013888888888893</v>
      </c>
      <c r="K469" s="53">
        <f>IFERROR((PA[[#This Row],[Sunset Time (POA&lt;20 W/m2)]]-PA[[#This Row],[Sunrise Time (POA&gt;20 W/m2)]])*24,"")</f>
        <v>13.183333333333334</v>
      </c>
      <c r="L469" s="59" t="s">
        <v>615</v>
      </c>
      <c r="M469" s="59"/>
      <c r="N469" s="59"/>
      <c r="O469" s="59" t="s">
        <v>594</v>
      </c>
      <c r="P469" s="56"/>
      <c r="Q469" s="6"/>
      <c r="R46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469" s="53">
        <v>22</v>
      </c>
      <c r="T469" s="90">
        <f>IFERROR(_xlfn.XLOOKUP(PA[[#This Row],[Affected Equipment ]],'Basic Data '!A:A,'Basic Data '!C:C),"")</f>
        <v>3.9550561797752808E-3</v>
      </c>
      <c r="U469" s="59" t="s">
        <v>773</v>
      </c>
      <c r="V469" s="88"/>
      <c r="W469" s="360" t="s">
        <v>1308</v>
      </c>
      <c r="X469" s="359">
        <v>0.27777777777777779</v>
      </c>
      <c r="Y469" s="359">
        <v>0.29166666666666669</v>
      </c>
      <c r="Z469" s="359">
        <v>0.34375</v>
      </c>
      <c r="AA469" s="359">
        <v>0.3611111111111111</v>
      </c>
      <c r="AB469" s="158">
        <f>IF(PA[[#This Row],[Acknowledgement Time ]]="NA","",(PA[[#This Row],[Acknowledgement Time ]]-PA[[#This Row],[Fault Time]])*24)</f>
        <v>0.33333333333333348</v>
      </c>
      <c r="AC469" s="158">
        <f>IF(PA[[#This Row],[Work Start time on Fault]]="NA","",(PA[[#This Row],[Work Start time on Fault]]-PA[[#This Row],[Fault Time]])*24)</f>
        <v>1.583333333333333</v>
      </c>
      <c r="AD469" s="112">
        <f>IF(PA[[#This Row],[Status]]="Open","",(PA[[#This Row],[Work Completion time on fault]]-PA[[#This Row],[Fault Time]])*24)</f>
        <v>1.9999999999999996</v>
      </c>
      <c r="AE469" s="111">
        <f>IFERROR((PA[[#This Row],[Work Completion time on fault]]-PA[[#This Row],[Fault Time]])*24,"")</f>
        <v>1.9999999999999996</v>
      </c>
      <c r="AF469" s="228" t="s">
        <v>1308</v>
      </c>
      <c r="AG469" s="6" t="s">
        <v>1275</v>
      </c>
      <c r="AH469" s="53">
        <f>IFERROR(PA[[#This Row],[Breakdown Time]]*PA[[#This Row],[Plant Equivalent Weightage]],"")</f>
        <v>7.9101123595505599E-3</v>
      </c>
      <c r="AI469" s="59">
        <v>0.379</v>
      </c>
      <c r="AJ469" s="89">
        <f>IFERROR(IF(PA[[#This Row],[Lost PoA(kWh/m2)]]&gt;0,_xlfn.XLOOKUP(G469,'Modelling New'!$D:$D,'Modelling New'!$O:$O)*PA[[#This Row],[Lost PoA(kWh/m2)]]*S469,0),"")</f>
        <v>6.3380686340686827</v>
      </c>
      <c r="AK469" s="365"/>
      <c r="AL469" s="365"/>
    </row>
    <row r="470" spans="1:38" ht="30" hidden="1" x14ac:dyDescent="0.25">
      <c r="A470" s="229">
        <v>2162</v>
      </c>
      <c r="B470" s="376">
        <v>45837</v>
      </c>
      <c r="C470" s="163">
        <v>2025</v>
      </c>
      <c r="D470" s="348">
        <f>YEAR(PA[[#This Row],[Date]])</f>
        <v>2025</v>
      </c>
      <c r="E470" s="373" t="s">
        <v>73</v>
      </c>
      <c r="F470" s="374" t="s">
        <v>73</v>
      </c>
      <c r="G470" s="323">
        <v>45809</v>
      </c>
      <c r="H470" s="365">
        <f>DAY(EOMONTH(PA[[#This Row],[Date]], 0))</f>
        <v>30</v>
      </c>
      <c r="I470" s="361">
        <v>0.22083333333333333</v>
      </c>
      <c r="J470" s="361">
        <v>0.77013888888888893</v>
      </c>
      <c r="K470" s="53">
        <f>IFERROR((PA[[#This Row],[Sunset Time (POA&lt;20 W/m2)]]-PA[[#This Row],[Sunrise Time (POA&gt;20 W/m2)]])*24,"")</f>
        <v>13.183333333333334</v>
      </c>
      <c r="L470" s="59" t="s">
        <v>615</v>
      </c>
      <c r="M470" s="59"/>
      <c r="N470" s="59"/>
      <c r="O470" s="59" t="s">
        <v>663</v>
      </c>
      <c r="P470" s="56"/>
      <c r="Q470" s="6"/>
      <c r="R47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BLK6INV16</v>
      </c>
      <c r="S470" s="53">
        <v>22</v>
      </c>
      <c r="T470" s="90">
        <f>IFERROR(_xlfn.XLOOKUP(PA[[#This Row],[Affected Equipment ]],'Basic Data '!A:A,'Basic Data '!C:C),"")</f>
        <v>4.4494382022471912E-3</v>
      </c>
      <c r="U470" s="59" t="s">
        <v>773</v>
      </c>
      <c r="V470" s="88"/>
      <c r="W470" s="360" t="s">
        <v>1309</v>
      </c>
      <c r="X470" s="359">
        <v>0.27777777777777779</v>
      </c>
      <c r="Y470" s="359">
        <v>0.29166666666666669</v>
      </c>
      <c r="Z470" s="359">
        <v>0.3611111111111111</v>
      </c>
      <c r="AA470" s="359">
        <v>0.375</v>
      </c>
      <c r="AB470" s="158">
        <f>IF(PA[[#This Row],[Acknowledgement Time ]]="NA","",(PA[[#This Row],[Acknowledgement Time ]]-PA[[#This Row],[Fault Time]])*24)</f>
        <v>0.33333333333333348</v>
      </c>
      <c r="AC470" s="158">
        <f>IF(PA[[#This Row],[Work Start time on Fault]]="NA","",(PA[[#This Row],[Work Start time on Fault]]-PA[[#This Row],[Fault Time]])*24)</f>
        <v>1.9999999999999996</v>
      </c>
      <c r="AD470" s="112">
        <f>IF(PA[[#This Row],[Status]]="Open","",(PA[[#This Row],[Work Completion time on fault]]-PA[[#This Row],[Fault Time]])*24)</f>
        <v>2.333333333333333</v>
      </c>
      <c r="AE470" s="111">
        <f>IFERROR((PA[[#This Row],[Work Completion time on fault]]-PA[[#This Row],[Fault Time]])*24,"")</f>
        <v>2.333333333333333</v>
      </c>
      <c r="AF470" s="228" t="s">
        <v>1309</v>
      </c>
      <c r="AG470" s="6" t="s">
        <v>1275</v>
      </c>
      <c r="AH470" s="53">
        <f>IFERROR(PA[[#This Row],[Breakdown Time]]*PA[[#This Row],[Plant Equivalent Weightage]],"")</f>
        <v>1.0382022471910111E-2</v>
      </c>
      <c r="AI470" s="59">
        <v>0.54700000000000004</v>
      </c>
      <c r="AJ470" s="89">
        <f>IFERROR(IF(PA[[#This Row],[Lost PoA(kWh/m2)]]&gt;0,_xlfn.XLOOKUP(G470,'Modelling New'!$D:$D,'Modelling New'!$O:$O)*PA[[#This Row],[Lost PoA(kWh/m2)]]*S470,0),"")</f>
        <v>9.1475555219935867</v>
      </c>
      <c r="AK470" s="365"/>
      <c r="AL470" s="365"/>
    </row>
    <row r="471" spans="1:38" ht="30" hidden="1" x14ac:dyDescent="0.25">
      <c r="A471" s="229">
        <v>2163</v>
      </c>
      <c r="B471" s="376">
        <v>45837</v>
      </c>
      <c r="C471" s="163">
        <v>2025</v>
      </c>
      <c r="D471" s="348">
        <f>YEAR(PA[[#This Row],[Date]])</f>
        <v>2025</v>
      </c>
      <c r="E471" s="373" t="s">
        <v>73</v>
      </c>
      <c r="F471" s="374" t="s">
        <v>73</v>
      </c>
      <c r="G471" s="323">
        <v>45809</v>
      </c>
      <c r="H471" s="365">
        <f>DAY(EOMONTH(PA[[#This Row],[Date]], 0))</f>
        <v>30</v>
      </c>
      <c r="I471" s="361">
        <v>0.22083333333333333</v>
      </c>
      <c r="J471" s="361">
        <v>0.77013888888888893</v>
      </c>
      <c r="K471" s="53">
        <f>IFERROR((PA[[#This Row],[Sunset Time (POA&lt;20 W/m2)]]-PA[[#This Row],[Sunrise Time (POA&gt;20 W/m2)]])*24,"")</f>
        <v>13.183333333333334</v>
      </c>
      <c r="L471" s="59" t="s">
        <v>559</v>
      </c>
      <c r="M471" s="59"/>
      <c r="N471" s="59"/>
      <c r="O471" s="59" t="s">
        <v>578</v>
      </c>
      <c r="P471" s="56"/>
      <c r="Q471" s="6"/>
      <c r="R47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BLK2INV12</v>
      </c>
      <c r="S471" s="53">
        <v>22.25</v>
      </c>
      <c r="T471" s="90">
        <f>IFERROR(_xlfn.XLOOKUP(PA[[#This Row],[Affected Equipment ]],'Basic Data '!A:A,'Basic Data '!C:C),"")</f>
        <v>4.0000000000000001E-3</v>
      </c>
      <c r="U471" s="59" t="s">
        <v>773</v>
      </c>
      <c r="V471" s="88"/>
      <c r="W471" s="360" t="s">
        <v>1310</v>
      </c>
      <c r="X471" s="359">
        <v>0.27777777777777779</v>
      </c>
      <c r="Y471" s="359">
        <v>0.29166666666666669</v>
      </c>
      <c r="Z471" s="359">
        <v>0.38194444444444442</v>
      </c>
      <c r="AA471" s="359">
        <v>0.39583333333333331</v>
      </c>
      <c r="AB471" s="158">
        <f>IF(PA[[#This Row],[Acknowledgement Time ]]="NA","",(PA[[#This Row],[Acknowledgement Time ]]-PA[[#This Row],[Fault Time]])*24)</f>
        <v>0.33333333333333348</v>
      </c>
      <c r="AC471" s="158">
        <f>IF(PA[[#This Row],[Work Start time on Fault]]="NA","",(PA[[#This Row],[Work Start time on Fault]]-PA[[#This Row],[Fault Time]])*24)</f>
        <v>2.4999999999999991</v>
      </c>
      <c r="AD471" s="112">
        <f>IF(PA[[#This Row],[Status]]="Open","",(PA[[#This Row],[Work Completion time on fault]]-PA[[#This Row],[Fault Time]])*24)</f>
        <v>2.8333333333333326</v>
      </c>
      <c r="AE471" s="111">
        <f>IFERROR((PA[[#This Row],[Work Completion time on fault]]-PA[[#This Row],[Fault Time]])*24,"")</f>
        <v>2.8333333333333326</v>
      </c>
      <c r="AF471" s="228" t="s">
        <v>1310</v>
      </c>
      <c r="AG471" s="6" t="s">
        <v>1275</v>
      </c>
      <c r="AH471" s="53">
        <f>IFERROR(PA[[#This Row],[Breakdown Time]]*PA[[#This Row],[Plant Equivalent Weightage]],"")</f>
        <v>1.1333333333333331E-2</v>
      </c>
      <c r="AI471" s="59">
        <v>0.78800000000000003</v>
      </c>
      <c r="AJ471" s="89">
        <f>IFERROR(IF(PA[[#This Row],[Lost PoA(kWh/m2)]]&gt;0,_xlfn.XLOOKUP(G471,'Modelling New'!$D:$D,'Modelling New'!$O:$O)*PA[[#This Row],[Lost PoA(kWh/m2)]]*S471,0),"")</f>
        <v>13.327579438849389</v>
      </c>
      <c r="AK471" s="365"/>
      <c r="AL471" s="365"/>
    </row>
    <row r="472" spans="1:38" ht="30" hidden="1" x14ac:dyDescent="0.25">
      <c r="A472" s="229">
        <v>2164</v>
      </c>
      <c r="B472" s="376">
        <v>45838</v>
      </c>
      <c r="C472" s="163">
        <v>2025</v>
      </c>
      <c r="D472" s="348">
        <f>YEAR(PA[[#This Row],[Date]])</f>
        <v>2025</v>
      </c>
      <c r="E472" s="373" t="s">
        <v>73</v>
      </c>
      <c r="F472" s="374" t="s">
        <v>73</v>
      </c>
      <c r="G472" s="323">
        <v>45809</v>
      </c>
      <c r="H472" s="365">
        <f>DAY(EOMONTH(PA[[#This Row],[Date]], 0))</f>
        <v>30</v>
      </c>
      <c r="I472" s="361">
        <v>0.22222222222222221</v>
      </c>
      <c r="J472" s="361">
        <v>0.76597222222222217</v>
      </c>
      <c r="K472" s="53">
        <f>IFERROR((PA[[#This Row],[Sunset Time (POA&lt;20 W/m2)]]-PA[[#This Row],[Sunrise Time (POA&gt;20 W/m2)]])*24,"")</f>
        <v>13.049999999999999</v>
      </c>
      <c r="L472" s="59" t="s">
        <v>621</v>
      </c>
      <c r="M472" s="59"/>
      <c r="N472" s="59"/>
      <c r="O472" s="59" t="s">
        <v>637</v>
      </c>
      <c r="P472" s="56"/>
      <c r="Q472" s="6"/>
      <c r="R47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472" s="53">
        <v>12</v>
      </c>
      <c r="T472" s="90">
        <f>IFERROR(_xlfn.XLOOKUP(PA[[#This Row],[Affected Equipment ]],'Basic Data '!A:A,'Basic Data '!C:C),"")</f>
        <v>4.0000000000000001E-3</v>
      </c>
      <c r="U472" s="59" t="s">
        <v>773</v>
      </c>
      <c r="V472" s="88"/>
      <c r="W472" s="265" t="s">
        <v>1271</v>
      </c>
      <c r="X472" s="359">
        <v>0.22222222222222221</v>
      </c>
      <c r="Y472" s="359"/>
      <c r="Z472" s="359"/>
      <c r="AA472" s="359">
        <v>0.76597222222222217</v>
      </c>
      <c r="AB472" s="158">
        <f>IF(PA[[#This Row],[Acknowledgement Time ]]="NA","",(PA[[#This Row],[Acknowledgement Time ]]-PA[[#This Row],[Fault Time]])*24)</f>
        <v>-5.333333333333333</v>
      </c>
      <c r="AC472" s="158">
        <f>IF(PA[[#This Row],[Work Start time on Fault]]="NA","",(PA[[#This Row],[Work Start time on Fault]]-PA[[#This Row],[Fault Time]])*24)</f>
        <v>-5.333333333333333</v>
      </c>
      <c r="AD472" s="112">
        <f>IF(PA[[#This Row],[Status]]="Open","",(PA[[#This Row],[Work Completion time on fault]]-PA[[#This Row],[Fault Time]])*24)</f>
        <v>13.049999999999999</v>
      </c>
      <c r="AE472" s="111">
        <f>IFERROR((PA[[#This Row],[Work Completion time on fault]]-PA[[#This Row],[Fault Time]])*24,"")</f>
        <v>13.049999999999999</v>
      </c>
      <c r="AF472" s="228" t="s">
        <v>1271</v>
      </c>
      <c r="AG472" s="6" t="s">
        <v>1275</v>
      </c>
      <c r="AH472" s="53">
        <f>IFERROR(PA[[#This Row],[Breakdown Time]]*PA[[#This Row],[Plant Equivalent Weightage]],"")</f>
        <v>5.2199999999999996E-2</v>
      </c>
      <c r="AI472" s="59">
        <v>3.09</v>
      </c>
      <c r="AJ472" s="89">
        <f>IFERROR(IF(PA[[#This Row],[Lost PoA(kWh/m2)]]&gt;0,_xlfn.XLOOKUP(G472,'Modelling New'!$D:$D,'Modelling New'!$O:$O)*PA[[#This Row],[Lost PoA(kWh/m2)]]*S472,0),"")</f>
        <v>28.186085985999846</v>
      </c>
      <c r="AK472" s="365"/>
      <c r="AL472" s="365"/>
    </row>
    <row r="473" spans="1:38" ht="30" hidden="1" x14ac:dyDescent="0.25">
      <c r="A473" s="229">
        <v>2165</v>
      </c>
      <c r="B473" s="376">
        <v>45838</v>
      </c>
      <c r="C473" s="163">
        <v>2025</v>
      </c>
      <c r="D473" s="348">
        <f>YEAR(PA[[#This Row],[Date]])</f>
        <v>2025</v>
      </c>
      <c r="E473" s="373" t="s">
        <v>73</v>
      </c>
      <c r="F473" s="374" t="s">
        <v>73</v>
      </c>
      <c r="G473" s="323">
        <v>45809</v>
      </c>
      <c r="H473" s="365">
        <f>DAY(EOMONTH(PA[[#This Row],[Date]], 0))</f>
        <v>30</v>
      </c>
      <c r="I473" s="361">
        <v>0.22222222222222221</v>
      </c>
      <c r="J473" s="361">
        <v>0.76597222222222217</v>
      </c>
      <c r="K473" s="53">
        <f>IFERROR((PA[[#This Row],[Sunset Time (POA&lt;20 W/m2)]]-PA[[#This Row],[Sunrise Time (POA&gt;20 W/m2)]])*24,"")</f>
        <v>13.049999999999999</v>
      </c>
      <c r="L473" s="59" t="s">
        <v>621</v>
      </c>
      <c r="M473" s="59"/>
      <c r="N473" s="59"/>
      <c r="O473" s="59" t="s">
        <v>612</v>
      </c>
      <c r="P473" s="56"/>
      <c r="Q473" s="6"/>
      <c r="R47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473" s="53">
        <v>12</v>
      </c>
      <c r="T473" s="90">
        <f>IFERROR(_xlfn.XLOOKUP(PA[[#This Row],[Affected Equipment ]],'Basic Data '!A:A,'Basic Data '!C:C),"")</f>
        <v>4.4999999999999997E-3</v>
      </c>
      <c r="U473" s="59" t="s">
        <v>773</v>
      </c>
      <c r="V473" s="88"/>
      <c r="W473" s="265" t="s">
        <v>1311</v>
      </c>
      <c r="X473" s="359">
        <v>0.22222222222222221</v>
      </c>
      <c r="Y473" s="359"/>
      <c r="Z473" s="359"/>
      <c r="AA473" s="359">
        <v>0.76597222222222217</v>
      </c>
      <c r="AB473" s="158">
        <f>IF(PA[[#This Row],[Acknowledgement Time ]]="NA","",(PA[[#This Row],[Acknowledgement Time ]]-PA[[#This Row],[Fault Time]])*24)</f>
        <v>-5.333333333333333</v>
      </c>
      <c r="AC473" s="158">
        <f>IF(PA[[#This Row],[Work Start time on Fault]]="NA","",(PA[[#This Row],[Work Start time on Fault]]-PA[[#This Row],[Fault Time]])*24)</f>
        <v>-5.333333333333333</v>
      </c>
      <c r="AD473" s="112">
        <f>IF(PA[[#This Row],[Status]]="Open","",(PA[[#This Row],[Work Completion time on fault]]-PA[[#This Row],[Fault Time]])*24)</f>
        <v>13.049999999999999</v>
      </c>
      <c r="AE473" s="111">
        <f>IFERROR((PA[[#This Row],[Work Completion time on fault]]-PA[[#This Row],[Fault Time]])*24,"")</f>
        <v>13.049999999999999</v>
      </c>
      <c r="AF473" s="228" t="s">
        <v>1311</v>
      </c>
      <c r="AG473" s="6" t="s">
        <v>1275</v>
      </c>
      <c r="AH473" s="53">
        <f>IFERROR(PA[[#This Row],[Breakdown Time]]*PA[[#This Row],[Plant Equivalent Weightage]],"")</f>
        <v>5.8724999999999992E-2</v>
      </c>
      <c r="AI473" s="59">
        <v>3.09</v>
      </c>
      <c r="AJ473" s="89">
        <f>IFERROR(IF(PA[[#This Row],[Lost PoA(kWh/m2)]]&gt;0,_xlfn.XLOOKUP(G473,'Modelling New'!$D:$D,'Modelling New'!$O:$O)*PA[[#This Row],[Lost PoA(kWh/m2)]]*S473,0),"")</f>
        <v>28.186085985999846</v>
      </c>
      <c r="AK473" s="365"/>
      <c r="AL473" s="365"/>
    </row>
    <row r="474" spans="1:38" hidden="1" x14ac:dyDescent="0.25">
      <c r="A474" s="229">
        <v>2166</v>
      </c>
      <c r="B474" s="376">
        <v>45838</v>
      </c>
      <c r="C474" s="163">
        <v>2025</v>
      </c>
      <c r="D474" s="348">
        <f>YEAR(PA[[#This Row],[Date]])</f>
        <v>2025</v>
      </c>
      <c r="E474" s="373" t="s">
        <v>73</v>
      </c>
      <c r="F474" s="374" t="s">
        <v>73</v>
      </c>
      <c r="G474" s="323">
        <v>45809</v>
      </c>
      <c r="H474" s="365">
        <f>DAY(EOMONTH(PA[[#This Row],[Date]], 0))</f>
        <v>30</v>
      </c>
      <c r="I474" s="361">
        <v>0.22222222222222221</v>
      </c>
      <c r="J474" s="361">
        <v>0.76597222222222217</v>
      </c>
      <c r="K474" s="53">
        <f>IFERROR((PA[[#This Row],[Sunset Time (POA&lt;20 W/m2)]]-PA[[#This Row],[Sunrise Time (POA&gt;20 W/m2)]])*24,"")</f>
        <v>13.049999999999999</v>
      </c>
      <c r="L474" s="128" t="s">
        <v>621</v>
      </c>
      <c r="M474" s="128"/>
      <c r="N474" s="128"/>
      <c r="O474" s="128" t="s">
        <v>571</v>
      </c>
      <c r="P474" s="56"/>
      <c r="Q474" s="6"/>
      <c r="R47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v>
      </c>
      <c r="S474" s="53">
        <f>_xlfn.XLOOKUP(PA[[#This Row],[Affected Equipment ]],'Basic Data '!$A:$A,'Basic Data '!$B:$B)</f>
        <v>267</v>
      </c>
      <c r="T474" s="90">
        <f>IFERROR(_xlfn.XLOOKUP(PA[[#This Row],[Affected Equipment ]],'Basic Data '!A:A,'Basic Data '!C:C),"")</f>
        <v>4.0000000000000001E-3</v>
      </c>
      <c r="U474" s="59" t="s">
        <v>1312</v>
      </c>
      <c r="V474" s="88"/>
      <c r="W474" s="114" t="s">
        <v>1313</v>
      </c>
      <c r="X474" s="359">
        <v>0.22222222222222221</v>
      </c>
      <c r="Y474" s="359">
        <v>0.16319444444444445</v>
      </c>
      <c r="Z474" s="359">
        <v>0.17013888888888887</v>
      </c>
      <c r="AA474" s="359">
        <v>0.1986111111111111</v>
      </c>
      <c r="AB474" s="158">
        <f>IF(PA[[#This Row],[Acknowledgement Time ]]="NA","",(PA[[#This Row],[Acknowledgement Time ]]-PA[[#This Row],[Fault Time]])*24)</f>
        <v>-1.4166666666666663</v>
      </c>
      <c r="AC474" s="158">
        <f>IF(PA[[#This Row],[Work Start time on Fault]]="NA","",(PA[[#This Row],[Work Start time on Fault]]-PA[[#This Row],[Fault Time]])*24)</f>
        <v>-1.2500000000000002</v>
      </c>
      <c r="AD474" s="112">
        <f>IF(PA[[#This Row],[Status]]="Open","",(PA[[#This Row],[Work Completion time on fault]]-PA[[#This Row],[Fault Time]])*24)</f>
        <v>-0.56666666666666665</v>
      </c>
      <c r="AE474" s="111">
        <f>IFERROR((PA[[#This Row],[Work Completion time on fault]]-PA[[#This Row],[Fault Time]])*24,"")</f>
        <v>-0.56666666666666665</v>
      </c>
      <c r="AF474" s="228" t="s">
        <v>1313</v>
      </c>
      <c r="AG474" s="6" t="s">
        <v>1275</v>
      </c>
      <c r="AH474" s="53">
        <f>IFERROR(PA[[#This Row],[Breakdown Time]]*PA[[#This Row],[Plant Equivalent Weightage]],"")</f>
        <v>-2.2666666666666668E-3</v>
      </c>
      <c r="AI474" s="59">
        <v>2.79</v>
      </c>
      <c r="AJ474" s="89">
        <f>IFERROR(IF(PA[[#This Row],[Lost PoA(kWh/m2)]]&gt;0,_xlfn.XLOOKUP(G474,'Modelling New'!$D:$D,'Modelling New'!$O:$O)*PA[[#This Row],[Lost PoA(kWh/m2)]]*S474,0),"")</f>
        <v>566.25299443233189</v>
      </c>
      <c r="AK474" s="365"/>
      <c r="AL474" s="365"/>
    </row>
    <row r="475" spans="1:38" ht="45" hidden="1" x14ac:dyDescent="0.25">
      <c r="A475" s="229">
        <v>2167</v>
      </c>
      <c r="B475" s="376">
        <v>45838</v>
      </c>
      <c r="C475" s="163">
        <v>2025</v>
      </c>
      <c r="D475" s="348">
        <f>YEAR(PA[[#This Row],[Date]])</f>
        <v>2025</v>
      </c>
      <c r="E475" s="373" t="s">
        <v>73</v>
      </c>
      <c r="F475" s="374" t="s">
        <v>73</v>
      </c>
      <c r="G475" s="323">
        <v>45809</v>
      </c>
      <c r="H475" s="365">
        <f>DAY(EOMONTH(PA[[#This Row],[Date]], 0))</f>
        <v>30</v>
      </c>
      <c r="I475" s="361">
        <v>0.22222222222222221</v>
      </c>
      <c r="J475" s="361">
        <v>0.76597222222222217</v>
      </c>
      <c r="K475" s="53">
        <f>IFERROR((PA[[#This Row],[Sunset Time (POA&lt;20 W/m2)]]-PA[[#This Row],[Sunrise Time (POA&gt;20 W/m2)]])*24,"")</f>
        <v>13.049999999999999</v>
      </c>
      <c r="L475" s="59" t="s">
        <v>606</v>
      </c>
      <c r="M475" s="59"/>
      <c r="N475" s="59"/>
      <c r="O475" s="59" t="s">
        <v>595</v>
      </c>
      <c r="P475" s="56"/>
      <c r="Q475" s="6"/>
      <c r="R47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BLK7INV11</v>
      </c>
      <c r="S475" s="53">
        <f>_xlfn.XLOOKUP(PA[[#This Row],[Affected Equipment ]],'Basic Data '!$A:$A,'Basic Data '!$B:$B)</f>
        <v>190.35</v>
      </c>
      <c r="T475" s="90">
        <f>IFERROR(_xlfn.XLOOKUP(PA[[#This Row],[Affected Equipment ]],'Basic Data '!A:A,'Basic Data '!C:C),"")</f>
        <v>2.8516853932584268E-3</v>
      </c>
      <c r="U475" s="59" t="s">
        <v>1312</v>
      </c>
      <c r="V475" s="88"/>
      <c r="W475" s="265" t="s">
        <v>1304</v>
      </c>
      <c r="X475" s="359">
        <v>0.22222222222222221</v>
      </c>
      <c r="Y475" s="359"/>
      <c r="Z475" s="359"/>
      <c r="AA475" s="359">
        <v>0.76597222222222217</v>
      </c>
      <c r="AB475" s="158">
        <f>IF(PA[[#This Row],[Acknowledgement Time ]]="NA","",(PA[[#This Row],[Acknowledgement Time ]]-PA[[#This Row],[Fault Time]])*24)</f>
        <v>-5.333333333333333</v>
      </c>
      <c r="AC475" s="158">
        <f>IF(PA[[#This Row],[Work Start time on Fault]]="NA","",(PA[[#This Row],[Work Start time on Fault]]-PA[[#This Row],[Fault Time]])*24)</f>
        <v>-5.333333333333333</v>
      </c>
      <c r="AD475" s="112">
        <f>IF(PA[[#This Row],[Status]]="Open","",(PA[[#This Row],[Work Completion time on fault]]-PA[[#This Row],[Fault Time]])*24)</f>
        <v>13.049999999999999</v>
      </c>
      <c r="AE475" s="111">
        <f>IFERROR((PA[[#This Row],[Work Completion time on fault]]-PA[[#This Row],[Fault Time]])*24,"")</f>
        <v>13.049999999999999</v>
      </c>
      <c r="AF475" s="228" t="s">
        <v>1304</v>
      </c>
      <c r="AG475" s="6" t="s">
        <v>1275</v>
      </c>
      <c r="AH475" s="53">
        <f>IFERROR(PA[[#This Row],[Breakdown Time]]*PA[[#This Row],[Plant Equivalent Weightage]],"")</f>
        <v>3.7214494382022463E-2</v>
      </c>
      <c r="AI475" s="59">
        <v>3.09</v>
      </c>
      <c r="AJ475" s="89">
        <f>IFERROR(IF(PA[[#This Row],[Lost PoA(kWh/m2)]]&gt;0,_xlfn.XLOOKUP(G475,'Modelling New'!$D:$D,'Modelling New'!$O:$O)*PA[[#This Row],[Lost PoA(kWh/m2)]]*S475,0),"")</f>
        <v>447.10178895292256</v>
      </c>
      <c r="AK475" s="365"/>
      <c r="AL475" s="365"/>
    </row>
    <row r="476" spans="1:38" ht="30" hidden="1" x14ac:dyDescent="0.25">
      <c r="A476" s="229">
        <v>2168</v>
      </c>
      <c r="B476" s="376">
        <v>45838</v>
      </c>
      <c r="C476" s="163">
        <v>2025</v>
      </c>
      <c r="D476" s="348">
        <f>YEAR(PA[[#This Row],[Date]])</f>
        <v>2025</v>
      </c>
      <c r="E476" s="373" t="s">
        <v>73</v>
      </c>
      <c r="F476" s="374" t="s">
        <v>73</v>
      </c>
      <c r="G476" s="323">
        <v>45809</v>
      </c>
      <c r="H476" s="365">
        <f>DAY(EOMONTH(PA[[#This Row],[Date]], 0))</f>
        <v>30</v>
      </c>
      <c r="I476" s="361">
        <v>0.22222222222222221</v>
      </c>
      <c r="J476" s="361">
        <v>0.76597222222222217</v>
      </c>
      <c r="K476" s="53">
        <f>IFERROR((PA[[#This Row],[Sunset Time (POA&lt;20 W/m2)]]-PA[[#This Row],[Sunrise Time (POA&gt;20 W/m2)]])*24,"")</f>
        <v>13.049999999999999</v>
      </c>
      <c r="L476" s="59" t="s">
        <v>621</v>
      </c>
      <c r="M476" s="59"/>
      <c r="N476" s="59"/>
      <c r="O476" s="59" t="s">
        <v>612</v>
      </c>
      <c r="P476" s="56"/>
      <c r="Q476" s="6"/>
      <c r="R47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476" s="53">
        <v>12</v>
      </c>
      <c r="T476" s="90">
        <f>IFERROR(_xlfn.XLOOKUP(PA[[#This Row],[Affected Equipment ]],'Basic Data '!A:A,'Basic Data '!C:C),"")</f>
        <v>4.4999999999999997E-3</v>
      </c>
      <c r="U476" s="59" t="s">
        <v>773</v>
      </c>
      <c r="V476" s="88"/>
      <c r="W476" s="265" t="s">
        <v>1314</v>
      </c>
      <c r="X476" s="359">
        <v>0.22222222222222221</v>
      </c>
      <c r="Y476" s="359">
        <v>0.29166666666666669</v>
      </c>
      <c r="Z476" s="359">
        <v>0.2986111111111111</v>
      </c>
      <c r="AA476" s="359">
        <v>0.30902777777777779</v>
      </c>
      <c r="AB476" s="158">
        <f>IF(PA[[#This Row],[Acknowledgement Time ]]="NA","",(PA[[#This Row],[Acknowledgement Time ]]-PA[[#This Row],[Fault Time]])*24)</f>
        <v>1.6666666666666674</v>
      </c>
      <c r="AC476" s="158">
        <f>IF(PA[[#This Row],[Work Start time on Fault]]="NA","",(PA[[#This Row],[Work Start time on Fault]]-PA[[#This Row],[Fault Time]])*24)</f>
        <v>1.8333333333333335</v>
      </c>
      <c r="AD476" s="112">
        <f>IF(PA[[#This Row],[Status]]="Open","",(PA[[#This Row],[Work Completion time on fault]]-PA[[#This Row],[Fault Time]])*24)</f>
        <v>2.0833333333333339</v>
      </c>
      <c r="AE476" s="111">
        <f>IFERROR((PA[[#This Row],[Work Completion time on fault]]-PA[[#This Row],[Fault Time]])*24,"")</f>
        <v>2.0833333333333339</v>
      </c>
      <c r="AF476" s="228" t="s">
        <v>1314</v>
      </c>
      <c r="AG476" s="6" t="s">
        <v>1275</v>
      </c>
      <c r="AH476" s="53">
        <f>IFERROR(PA[[#This Row],[Breakdown Time]]*PA[[#This Row],[Plant Equivalent Weightage]],"")</f>
        <v>9.3750000000000014E-3</v>
      </c>
      <c r="AI476" s="59">
        <v>7.4999999999999997E-2</v>
      </c>
      <c r="AJ476" s="89">
        <f>IFERROR(IF(PA[[#This Row],[Lost PoA(kWh/m2)]]&gt;0,_xlfn.XLOOKUP(G476,'Modelling New'!$D:$D,'Modelling New'!$O:$O)*PA[[#This Row],[Lost PoA(kWh/m2)]]*S476,0),"")</f>
        <v>0.68412830063106422</v>
      </c>
      <c r="AK476" s="365"/>
      <c r="AL476" s="365"/>
    </row>
    <row r="477" spans="1:38" ht="30" hidden="1" x14ac:dyDescent="0.25">
      <c r="A477" s="229">
        <v>2169</v>
      </c>
      <c r="B477" s="376">
        <v>45838</v>
      </c>
      <c r="C477" s="163">
        <v>2025</v>
      </c>
      <c r="D477" s="348">
        <f>YEAR(PA[[#This Row],[Date]])</f>
        <v>2025</v>
      </c>
      <c r="E477" s="373" t="s">
        <v>73</v>
      </c>
      <c r="F477" s="374" t="s">
        <v>73</v>
      </c>
      <c r="G477" s="323">
        <v>45809</v>
      </c>
      <c r="H477" s="365">
        <f>DAY(EOMONTH(PA[[#This Row],[Date]], 0))</f>
        <v>30</v>
      </c>
      <c r="I477" s="361">
        <v>0.22222222222222221</v>
      </c>
      <c r="J477" s="361">
        <v>0.76597222222222217</v>
      </c>
      <c r="K477" s="53">
        <f>IFERROR((PA[[#This Row],[Sunset Time (POA&lt;20 W/m2)]]-PA[[#This Row],[Sunrise Time (POA&gt;20 W/m2)]])*24,"")</f>
        <v>13.049999999999999</v>
      </c>
      <c r="L477" s="59" t="s">
        <v>615</v>
      </c>
      <c r="M477" s="59"/>
      <c r="N477" s="59"/>
      <c r="O477" s="59" t="s">
        <v>580</v>
      </c>
      <c r="P477" s="56"/>
      <c r="Q477" s="6"/>
      <c r="R47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BLK6INV31</v>
      </c>
      <c r="S477" s="53">
        <f>_xlfn.XLOOKUP(PA[[#This Row],[Affected Equipment ]],'Basic Data '!$A:$A,'Basic Data '!$B:$B)</f>
        <v>275</v>
      </c>
      <c r="T477" s="90">
        <f>IFERROR(_xlfn.XLOOKUP(PA[[#This Row],[Affected Equipment ]],'Basic Data '!A:A,'Basic Data '!C:C),"")</f>
        <v>4.1198501872659176E-3</v>
      </c>
      <c r="U477" s="59" t="s">
        <v>773</v>
      </c>
      <c r="V477" s="88"/>
      <c r="W477" s="265" t="s">
        <v>1317</v>
      </c>
      <c r="X477" s="359">
        <v>0.22222222222222221</v>
      </c>
      <c r="Y477" s="359">
        <v>0.29166666666666669</v>
      </c>
      <c r="Z477" s="359">
        <v>0.31597222222222221</v>
      </c>
      <c r="AA477" s="359">
        <v>0.3298611111111111</v>
      </c>
      <c r="AB477" s="158">
        <f>IF(PA[[#This Row],[Acknowledgement Time ]]="NA","",(PA[[#This Row],[Acknowledgement Time ]]-PA[[#This Row],[Fault Time]])*24)</f>
        <v>1.6666666666666674</v>
      </c>
      <c r="AC477" s="158">
        <f>IF(PA[[#This Row],[Work Start time on Fault]]="NA","",(PA[[#This Row],[Work Start time on Fault]]-PA[[#This Row],[Fault Time]])*24)</f>
        <v>2.25</v>
      </c>
      <c r="AD477" s="112">
        <f>IF(PA[[#This Row],[Status]]="Open","",(PA[[#This Row],[Work Completion time on fault]]-PA[[#This Row],[Fault Time]])*24)</f>
        <v>2.5833333333333335</v>
      </c>
      <c r="AE477" s="111">
        <f>IFERROR((PA[[#This Row],[Work Completion time on fault]]-PA[[#This Row],[Fault Time]])*24,"")</f>
        <v>2.5833333333333335</v>
      </c>
      <c r="AF477" s="228" t="s">
        <v>1317</v>
      </c>
      <c r="AG477" s="6" t="s">
        <v>1275</v>
      </c>
      <c r="AH477" s="53">
        <f>IFERROR(PA[[#This Row],[Breakdown Time]]*PA[[#This Row],[Plant Equivalent Weightage]],"")</f>
        <v>1.0642946317103621E-2</v>
      </c>
      <c r="AI477" s="59">
        <v>0.121</v>
      </c>
      <c r="AJ477" s="89">
        <f>IFERROR(IF(PA[[#This Row],[Lost PoA(kWh/m2)]]&gt;0,_xlfn.XLOOKUP(G477,'Modelling New'!$D:$D,'Modelling New'!$O:$O)*PA[[#This Row],[Lost PoA(kWh/m2)]]*S477,0),"")</f>
        <v>25.293743559442959</v>
      </c>
      <c r="AK477" s="365"/>
      <c r="AL477" s="365"/>
    </row>
    <row r="478" spans="1:38" ht="30" hidden="1" x14ac:dyDescent="0.25">
      <c r="A478" s="229">
        <v>2170</v>
      </c>
      <c r="B478" s="376">
        <v>45838</v>
      </c>
      <c r="C478" s="163">
        <v>2025</v>
      </c>
      <c r="D478" s="348">
        <f>YEAR(PA[[#This Row],[Date]])</f>
        <v>2025</v>
      </c>
      <c r="E478" s="373" t="s">
        <v>73</v>
      </c>
      <c r="F478" s="374" t="s">
        <v>73</v>
      </c>
      <c r="G478" s="323">
        <v>45809</v>
      </c>
      <c r="H478" s="365">
        <f>DAY(EOMONTH(PA[[#This Row],[Date]], 0))</f>
        <v>30</v>
      </c>
      <c r="I478" s="361">
        <v>0.22222222222222221</v>
      </c>
      <c r="J478" s="361">
        <v>0.76597222222222217</v>
      </c>
      <c r="K478" s="53">
        <f>IFERROR((PA[[#This Row],[Sunset Time (POA&lt;20 W/m2)]]-PA[[#This Row],[Sunrise Time (POA&gt;20 W/m2)]])*24,"")</f>
        <v>13.049999999999999</v>
      </c>
      <c r="L478" s="59" t="s">
        <v>615</v>
      </c>
      <c r="M478" s="59"/>
      <c r="N478" s="59"/>
      <c r="O478" s="59" t="s">
        <v>594</v>
      </c>
      <c r="P478" s="56"/>
      <c r="Q478" s="6"/>
      <c r="R47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478" s="53">
        <v>44</v>
      </c>
      <c r="T478" s="90">
        <f>IFERROR(_xlfn.XLOOKUP(PA[[#This Row],[Affected Equipment ]],'Basic Data '!A:A,'Basic Data '!C:C),"")</f>
        <v>3.9550561797752808E-3</v>
      </c>
      <c r="U478" s="59" t="s">
        <v>773</v>
      </c>
      <c r="V478" s="88"/>
      <c r="W478" s="265" t="s">
        <v>1318</v>
      </c>
      <c r="X478" s="359">
        <v>0.22222222222222221</v>
      </c>
      <c r="Y478" s="359">
        <v>0.29166666666666669</v>
      </c>
      <c r="Z478" s="359">
        <v>0.34027777777777773</v>
      </c>
      <c r="AA478" s="359">
        <v>0.35416666666666669</v>
      </c>
      <c r="AB478" s="158">
        <f>IF(PA[[#This Row],[Acknowledgement Time ]]="NA","",(PA[[#This Row],[Acknowledgement Time ]]-PA[[#This Row],[Fault Time]])*24)</f>
        <v>1.6666666666666674</v>
      </c>
      <c r="AC478" s="158">
        <f>IF(PA[[#This Row],[Work Start time on Fault]]="NA","",(PA[[#This Row],[Work Start time on Fault]]-PA[[#This Row],[Fault Time]])*24)</f>
        <v>2.8333333333333326</v>
      </c>
      <c r="AD478" s="112">
        <f>IF(PA[[#This Row],[Status]]="Open","",(PA[[#This Row],[Work Completion time on fault]]-PA[[#This Row],[Fault Time]])*24)</f>
        <v>3.1666666666666674</v>
      </c>
      <c r="AE478" s="111">
        <f>IFERROR((PA[[#This Row],[Work Completion time on fault]]-PA[[#This Row],[Fault Time]])*24,"")</f>
        <v>3.1666666666666674</v>
      </c>
      <c r="AF478" s="228" t="s">
        <v>1318</v>
      </c>
      <c r="AG478" s="6" t="s">
        <v>1275</v>
      </c>
      <c r="AH478" s="53">
        <f>IFERROR(PA[[#This Row],[Breakdown Time]]*PA[[#This Row],[Plant Equivalent Weightage]],"")</f>
        <v>1.2524344569288392E-2</v>
      </c>
      <c r="AI478" s="59">
        <v>0.17799999999999999</v>
      </c>
      <c r="AJ478" s="89">
        <f>IFERROR(IF(PA[[#This Row],[Lost PoA(kWh/m2)]]&gt;0,_xlfn.XLOOKUP(G478,'Modelling New'!$D:$D,'Modelling New'!$O:$O)*PA[[#This Row],[Lost PoA(kWh/m2)]]*S478,0),"")</f>
        <v>5.9534365006027725</v>
      </c>
      <c r="AK478" s="365"/>
      <c r="AL478" s="365"/>
    </row>
    <row r="479" spans="1:38" ht="30" hidden="1" x14ac:dyDescent="0.25">
      <c r="A479" s="229">
        <v>2171</v>
      </c>
      <c r="B479" s="376">
        <v>45838</v>
      </c>
      <c r="C479" s="163">
        <v>2025</v>
      </c>
      <c r="D479" s="348">
        <f>YEAR(PA[[#This Row],[Date]])</f>
        <v>2025</v>
      </c>
      <c r="E479" s="373" t="s">
        <v>73</v>
      </c>
      <c r="F479" s="374" t="s">
        <v>73</v>
      </c>
      <c r="G479" s="323">
        <v>45809</v>
      </c>
      <c r="H479" s="365">
        <f>DAY(EOMONTH(PA[[#This Row],[Date]], 0))</f>
        <v>30</v>
      </c>
      <c r="I479" s="361">
        <v>0.22222222222222221</v>
      </c>
      <c r="J479" s="361">
        <v>0.76597222222222217</v>
      </c>
      <c r="K479" s="53">
        <f>IFERROR((PA[[#This Row],[Sunset Time (POA&lt;20 W/m2)]]-PA[[#This Row],[Sunrise Time (POA&gt;20 W/m2)]])*24,"")</f>
        <v>13.049999999999999</v>
      </c>
      <c r="L479" s="59" t="s">
        <v>559</v>
      </c>
      <c r="M479" s="59"/>
      <c r="N479" s="59"/>
      <c r="O479" s="59" t="s">
        <v>618</v>
      </c>
      <c r="P479" s="56"/>
      <c r="Q479" s="6"/>
      <c r="R47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BLK2INV15</v>
      </c>
      <c r="S479" s="53">
        <v>22</v>
      </c>
      <c r="T479" s="90">
        <f>IFERROR(_xlfn.XLOOKUP(PA[[#This Row],[Affected Equipment ]],'Basic Data '!A:A,'Basic Data '!C:C),"")</f>
        <v>4.0000000000000001E-3</v>
      </c>
      <c r="U479" s="59" t="s">
        <v>773</v>
      </c>
      <c r="V479" s="88"/>
      <c r="W479" s="265" t="s">
        <v>1319</v>
      </c>
      <c r="X479" s="359">
        <v>0.22222222222222221</v>
      </c>
      <c r="Y479" s="359">
        <v>0.29166666666666669</v>
      </c>
      <c r="Z479" s="359">
        <v>0.3611111111111111</v>
      </c>
      <c r="AA479" s="359">
        <v>0.37152777777777773</v>
      </c>
      <c r="AB479" s="158">
        <f>IF(PA[[#This Row],[Acknowledgement Time ]]="NA","",(PA[[#This Row],[Acknowledgement Time ]]-PA[[#This Row],[Fault Time]])*24)</f>
        <v>1.6666666666666674</v>
      </c>
      <c r="AC479" s="158">
        <f>IF(PA[[#This Row],[Work Start time on Fault]]="NA","",(PA[[#This Row],[Work Start time on Fault]]-PA[[#This Row],[Fault Time]])*24)</f>
        <v>3.3333333333333335</v>
      </c>
      <c r="AD479" s="112">
        <f>IF(PA[[#This Row],[Status]]="Open","",(PA[[#This Row],[Work Completion time on fault]]-PA[[#This Row],[Fault Time]])*24)</f>
        <v>3.5833333333333326</v>
      </c>
      <c r="AE479" s="111">
        <f>IFERROR((PA[[#This Row],[Work Completion time on fault]]-PA[[#This Row],[Fault Time]])*24,"")</f>
        <v>3.5833333333333326</v>
      </c>
      <c r="AF479" s="228" t="s">
        <v>1319</v>
      </c>
      <c r="AG479" s="6" t="s">
        <v>1275</v>
      </c>
      <c r="AH479" s="53">
        <f>IFERROR(PA[[#This Row],[Breakdown Time]]*PA[[#This Row],[Plant Equivalent Weightage]],"")</f>
        <v>1.433333333333333E-2</v>
      </c>
      <c r="AI479" s="59">
        <v>0.221</v>
      </c>
      <c r="AJ479" s="89">
        <f>IFERROR(IF(PA[[#This Row],[Lost PoA(kWh/m2)]]&gt;0,_xlfn.XLOOKUP(G479,'Modelling New'!$D:$D,'Modelling New'!$O:$O)*PA[[#This Row],[Lost PoA(kWh/m2)]]*S479,0),"")</f>
        <v>3.6958131085202606</v>
      </c>
      <c r="AK479" s="365"/>
      <c r="AL479" s="365"/>
    </row>
    <row r="480" spans="1:38" ht="30" hidden="1" x14ac:dyDescent="0.25">
      <c r="A480" s="229">
        <v>2172</v>
      </c>
      <c r="B480" s="376">
        <v>45838</v>
      </c>
      <c r="C480" s="163">
        <v>2025</v>
      </c>
      <c r="D480" s="348">
        <f>YEAR(PA[[#This Row],[Date]])</f>
        <v>2025</v>
      </c>
      <c r="E480" s="373" t="s">
        <v>73</v>
      </c>
      <c r="F480" s="374" t="s">
        <v>73</v>
      </c>
      <c r="G480" s="323">
        <v>45809</v>
      </c>
      <c r="H480" s="365">
        <f>DAY(EOMONTH(PA[[#This Row],[Date]], 0))</f>
        <v>30</v>
      </c>
      <c r="I480" s="361">
        <v>0.22222222222222221</v>
      </c>
      <c r="J480" s="361">
        <v>0.76597222222222217</v>
      </c>
      <c r="K480" s="53">
        <f>IFERROR((PA[[#This Row],[Sunset Time (POA&lt;20 W/m2)]]-PA[[#This Row],[Sunrise Time (POA&gt;20 W/m2)]])*24,"")</f>
        <v>13.049999999999999</v>
      </c>
      <c r="L480" s="59" t="s">
        <v>559</v>
      </c>
      <c r="M480" s="59"/>
      <c r="N480" s="59"/>
      <c r="O480" s="59" t="s">
        <v>600</v>
      </c>
      <c r="P480" s="56"/>
      <c r="Q480" s="6"/>
      <c r="R48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BLK2INV17</v>
      </c>
      <c r="S480" s="53">
        <v>22</v>
      </c>
      <c r="T480" s="90">
        <f>IFERROR(_xlfn.XLOOKUP(PA[[#This Row],[Affected Equipment ]],'Basic Data '!A:A,'Basic Data '!C:C),"")</f>
        <v>4.0000000000000001E-3</v>
      </c>
      <c r="U480" s="59" t="s">
        <v>773</v>
      </c>
      <c r="V480" s="88"/>
      <c r="W480" s="265" t="s">
        <v>1315</v>
      </c>
      <c r="X480" s="359">
        <v>0.22222222222222221</v>
      </c>
      <c r="Y480" s="359">
        <v>0.29166666666666669</v>
      </c>
      <c r="Z480" s="359">
        <v>0.38194444444444442</v>
      </c>
      <c r="AA480" s="359">
        <v>0.3888888888888889</v>
      </c>
      <c r="AB480" s="158">
        <f>IF(PA[[#This Row],[Acknowledgement Time ]]="NA","",(PA[[#This Row],[Acknowledgement Time ]]-PA[[#This Row],[Fault Time]])*24)</f>
        <v>1.6666666666666674</v>
      </c>
      <c r="AC480" s="158">
        <f>IF(PA[[#This Row],[Work Start time on Fault]]="NA","",(PA[[#This Row],[Work Start time on Fault]]-PA[[#This Row],[Fault Time]])*24)</f>
        <v>3.833333333333333</v>
      </c>
      <c r="AD480" s="112">
        <f>IF(PA[[#This Row],[Status]]="Open","",(PA[[#This Row],[Work Completion time on fault]]-PA[[#This Row],[Fault Time]])*24)</f>
        <v>4</v>
      </c>
      <c r="AE480" s="111">
        <f>IFERROR((PA[[#This Row],[Work Completion time on fault]]-PA[[#This Row],[Fault Time]])*24,"")</f>
        <v>4</v>
      </c>
      <c r="AF480" s="228" t="s">
        <v>1315</v>
      </c>
      <c r="AG480" s="6" t="s">
        <v>1275</v>
      </c>
      <c r="AH480" s="53">
        <f>IFERROR(PA[[#This Row],[Breakdown Time]]*PA[[#This Row],[Plant Equivalent Weightage]],"")</f>
        <v>1.6E-2</v>
      </c>
      <c r="AI480" s="59">
        <v>0.3</v>
      </c>
      <c r="AJ480" s="89">
        <f>IFERROR(IF(PA[[#This Row],[Lost PoA(kWh/m2)]]&gt;0,_xlfn.XLOOKUP(G480,'Modelling New'!$D:$D,'Modelling New'!$O:$O)*PA[[#This Row],[Lost PoA(kWh/m2)]]*S480,0),"")</f>
        <v>5.0169408712944712</v>
      </c>
      <c r="AK480" s="365"/>
      <c r="AL480" s="365"/>
    </row>
    <row r="481" spans="1:38" ht="30" hidden="1" x14ac:dyDescent="0.25">
      <c r="A481" s="229">
        <v>2173</v>
      </c>
      <c r="B481" s="376">
        <v>45838</v>
      </c>
      <c r="C481" s="163">
        <v>2025</v>
      </c>
      <c r="D481" s="348">
        <f>YEAR(PA[[#This Row],[Date]])</f>
        <v>2025</v>
      </c>
      <c r="E481" s="373" t="s">
        <v>73</v>
      </c>
      <c r="F481" s="374" t="s">
        <v>73</v>
      </c>
      <c r="G481" s="323">
        <v>45809</v>
      </c>
      <c r="H481" s="365">
        <f>DAY(EOMONTH(PA[[#This Row],[Date]], 0))</f>
        <v>30</v>
      </c>
      <c r="I481" s="361">
        <v>0.22222222222222221</v>
      </c>
      <c r="J481" s="361">
        <v>0.76597222222222217</v>
      </c>
      <c r="K481" s="53">
        <f>IFERROR((PA[[#This Row],[Sunset Time (POA&lt;20 W/m2)]]-PA[[#This Row],[Sunrise Time (POA&gt;20 W/m2)]])*24,"")</f>
        <v>13.049999999999999</v>
      </c>
      <c r="L481" s="59" t="s">
        <v>559</v>
      </c>
      <c r="M481" s="59"/>
      <c r="N481" s="59"/>
      <c r="O481" s="59" t="s">
        <v>601</v>
      </c>
      <c r="P481" s="56"/>
      <c r="Q481" s="6"/>
      <c r="R48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BLK2INV18</v>
      </c>
      <c r="S481" s="53">
        <v>22</v>
      </c>
      <c r="T481" s="90">
        <f>IFERROR(_xlfn.XLOOKUP(PA[[#This Row],[Affected Equipment ]],'Basic Data '!A:A,'Basic Data '!C:C),"")</f>
        <v>4.1666666666666666E-3</v>
      </c>
      <c r="U481" s="59" t="s">
        <v>773</v>
      </c>
      <c r="V481" s="88"/>
      <c r="W481" s="265" t="s">
        <v>1316</v>
      </c>
      <c r="X481" s="359">
        <v>0.22222222222222221</v>
      </c>
      <c r="Y481" s="359">
        <v>0.29166666666666669</v>
      </c>
      <c r="Z481" s="359">
        <v>0.3923611111111111</v>
      </c>
      <c r="AA481" s="359">
        <v>0.39930555555555558</v>
      </c>
      <c r="AB481" s="158">
        <f>IF(PA[[#This Row],[Acknowledgement Time ]]="NA","",(PA[[#This Row],[Acknowledgement Time ]]-PA[[#This Row],[Fault Time]])*24)</f>
        <v>1.6666666666666674</v>
      </c>
      <c r="AC481" s="158">
        <f>IF(PA[[#This Row],[Work Start time on Fault]]="NA","",(PA[[#This Row],[Work Start time on Fault]]-PA[[#This Row],[Fault Time]])*24)</f>
        <v>4.0833333333333339</v>
      </c>
      <c r="AD481" s="112">
        <f>IF(PA[[#This Row],[Status]]="Open","",(PA[[#This Row],[Work Completion time on fault]]-PA[[#This Row],[Fault Time]])*24)</f>
        <v>4.2500000000000009</v>
      </c>
      <c r="AE481" s="111">
        <f>IFERROR((PA[[#This Row],[Work Completion time on fault]]-PA[[#This Row],[Fault Time]])*24,"")</f>
        <v>4.2500000000000009</v>
      </c>
      <c r="AF481" s="228" t="s">
        <v>1316</v>
      </c>
      <c r="AG481" s="6" t="s">
        <v>1275</v>
      </c>
      <c r="AH481" s="53">
        <f>IFERROR(PA[[#This Row],[Breakdown Time]]*PA[[#This Row],[Plant Equivalent Weightage]],"")</f>
        <v>1.7708333333333336E-2</v>
      </c>
      <c r="AI481" s="59">
        <v>0.34200000000000003</v>
      </c>
      <c r="AJ481" s="89">
        <f>IFERROR(IF(PA[[#This Row],[Lost PoA(kWh/m2)]]&gt;0,_xlfn.XLOOKUP(G481,'Modelling New'!$D:$D,'Modelling New'!$O:$O)*PA[[#This Row],[Lost PoA(kWh/m2)]]*S481,0),"")</f>
        <v>5.7193125932756974</v>
      </c>
      <c r="AK481" s="365"/>
      <c r="AL481" s="365"/>
    </row>
    <row r="482" spans="1:38" ht="30" hidden="1" x14ac:dyDescent="0.25">
      <c r="A482" s="229">
        <v>2174</v>
      </c>
      <c r="B482" s="376">
        <v>45838</v>
      </c>
      <c r="C482" s="163">
        <v>2025</v>
      </c>
      <c r="D482" s="348">
        <f>YEAR(PA[[#This Row],[Date]])</f>
        <v>2025</v>
      </c>
      <c r="E482" s="373" t="s">
        <v>73</v>
      </c>
      <c r="F482" s="374" t="s">
        <v>73</v>
      </c>
      <c r="G482" s="323">
        <v>45809</v>
      </c>
      <c r="H482" s="365">
        <f>DAY(EOMONTH(PA[[#This Row],[Date]], 0))</f>
        <v>30</v>
      </c>
      <c r="I482" s="361">
        <v>0.22222222222222221</v>
      </c>
      <c r="J482" s="361">
        <v>0.76597222222222217</v>
      </c>
      <c r="K482" s="53">
        <f>IFERROR((PA[[#This Row],[Sunset Time (POA&lt;20 W/m2)]]-PA[[#This Row],[Sunrise Time (POA&gt;20 W/m2)]])*24,"")</f>
        <v>13.049999999999999</v>
      </c>
      <c r="L482" s="59" t="s">
        <v>597</v>
      </c>
      <c r="M482" s="59"/>
      <c r="N482" s="59"/>
      <c r="O482" s="59" t="s">
        <v>583</v>
      </c>
      <c r="P482" s="56"/>
      <c r="Q482" s="6"/>
      <c r="R48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BLK3INV30</v>
      </c>
      <c r="S482" s="53">
        <v>22.25</v>
      </c>
      <c r="T482" s="90">
        <f>IFERROR(_xlfn.XLOOKUP(PA[[#This Row],[Affected Equipment ]],'Basic Data '!A:A,'Basic Data '!C:C),"")</f>
        <v>4.0000000000000001E-3</v>
      </c>
      <c r="U482" s="59" t="s">
        <v>773</v>
      </c>
      <c r="V482" s="88"/>
      <c r="W482" s="265" t="s">
        <v>1320</v>
      </c>
      <c r="X482" s="359">
        <v>0.22222222222222221</v>
      </c>
      <c r="Y482" s="359">
        <v>0.29166666666666669</v>
      </c>
      <c r="Z482" s="359">
        <v>0.41666666666666669</v>
      </c>
      <c r="AA482" s="359">
        <v>0.43402777777777773</v>
      </c>
      <c r="AB482" s="158">
        <f>IF(PA[[#This Row],[Acknowledgement Time ]]="NA","",(PA[[#This Row],[Acknowledgement Time ]]-PA[[#This Row],[Fault Time]])*24)</f>
        <v>1.6666666666666674</v>
      </c>
      <c r="AC482" s="158">
        <f>IF(PA[[#This Row],[Work Start time on Fault]]="NA","",(PA[[#This Row],[Work Start time on Fault]]-PA[[#This Row],[Fault Time]])*24)</f>
        <v>4.6666666666666679</v>
      </c>
      <c r="AD482" s="112">
        <f>IF(PA[[#This Row],[Status]]="Open","",(PA[[#This Row],[Work Completion time on fault]]-PA[[#This Row],[Fault Time]])*24)</f>
        <v>5.0833333333333321</v>
      </c>
      <c r="AE482" s="111">
        <f>IFERROR((PA[[#This Row],[Work Completion time on fault]]-PA[[#This Row],[Fault Time]])*24,"")</f>
        <v>5.0833333333333321</v>
      </c>
      <c r="AF482" s="228" t="s">
        <v>1320</v>
      </c>
      <c r="AG482" s="6" t="s">
        <v>1275</v>
      </c>
      <c r="AH482" s="53">
        <f>IFERROR(PA[[#This Row],[Breakdown Time]]*PA[[#This Row],[Plant Equivalent Weightage]],"")</f>
        <v>2.0333333333333328E-2</v>
      </c>
      <c r="AI482" s="59">
        <v>0.39</v>
      </c>
      <c r="AJ482" s="89">
        <f>IFERROR(IF(PA[[#This Row],[Lost PoA(kWh/m2)]]&gt;0,_xlfn.XLOOKUP(G482,'Modelling New'!$D:$D,'Modelling New'!$O:$O)*PA[[#This Row],[Lost PoA(kWh/m2)]]*S482,0),"")</f>
        <v>6.596137031917845</v>
      </c>
      <c r="AK482" s="365"/>
      <c r="AL482" s="365"/>
    </row>
    <row r="483" spans="1:38" ht="30" hidden="1" x14ac:dyDescent="0.25">
      <c r="A483" s="229">
        <v>2175</v>
      </c>
      <c r="B483" s="376">
        <v>45838</v>
      </c>
      <c r="C483" s="163">
        <v>2025</v>
      </c>
      <c r="D483" s="348">
        <f>YEAR(PA[[#This Row],[Date]])</f>
        <v>2025</v>
      </c>
      <c r="E483" s="373" t="s">
        <v>73</v>
      </c>
      <c r="F483" s="374" t="s">
        <v>73</v>
      </c>
      <c r="G483" s="323">
        <v>45809</v>
      </c>
      <c r="H483" s="365">
        <f>DAY(EOMONTH(PA[[#This Row],[Date]], 0))</f>
        <v>30</v>
      </c>
      <c r="I483" s="361">
        <v>0.22222222222222221</v>
      </c>
      <c r="J483" s="361">
        <v>0.76597222222222217</v>
      </c>
      <c r="K483" s="53">
        <f>IFERROR((PA[[#This Row],[Sunset Time (POA&lt;20 W/m2)]]-PA[[#This Row],[Sunrise Time (POA&gt;20 W/m2)]])*24,"")</f>
        <v>13.049999999999999</v>
      </c>
      <c r="L483" s="59" t="s">
        <v>564</v>
      </c>
      <c r="M483" s="59"/>
      <c r="N483" s="59"/>
      <c r="O483" s="59" t="s">
        <v>607</v>
      </c>
      <c r="P483" s="56"/>
      <c r="Q483" s="6"/>
      <c r="R48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BLK5INV3</v>
      </c>
      <c r="S483" s="53">
        <v>44.5</v>
      </c>
      <c r="T483" s="90">
        <f>IFERROR(_xlfn.XLOOKUP(PA[[#This Row],[Affected Equipment ]],'Basic Data '!A:A,'Basic Data '!C:C),"")</f>
        <v>4.0000000000000001E-3</v>
      </c>
      <c r="U483" s="59" t="s">
        <v>773</v>
      </c>
      <c r="V483" s="88"/>
      <c r="W483" s="265" t="s">
        <v>1321</v>
      </c>
      <c r="X483" s="359">
        <v>0.22222222222222221</v>
      </c>
      <c r="Y483" s="359">
        <v>0.29166666666666669</v>
      </c>
      <c r="Z483" s="359">
        <v>0.44444444444444442</v>
      </c>
      <c r="AA483" s="359">
        <v>0.45833333333333331</v>
      </c>
      <c r="AB483" s="158">
        <f>IF(PA[[#This Row],[Acknowledgement Time ]]="NA","",(PA[[#This Row],[Acknowledgement Time ]]-PA[[#This Row],[Fault Time]])*24)</f>
        <v>1.6666666666666674</v>
      </c>
      <c r="AC483" s="158">
        <f>IF(PA[[#This Row],[Work Start time on Fault]]="NA","",(PA[[#This Row],[Work Start time on Fault]]-PA[[#This Row],[Fault Time]])*24)</f>
        <v>5.333333333333333</v>
      </c>
      <c r="AD483" s="112">
        <f>IF(PA[[#This Row],[Status]]="Open","",(PA[[#This Row],[Work Completion time on fault]]-PA[[#This Row],[Fault Time]])*24)</f>
        <v>5.6666666666666661</v>
      </c>
      <c r="AE483" s="111">
        <f>IFERROR((PA[[#This Row],[Work Completion time on fault]]-PA[[#This Row],[Fault Time]])*24,"")</f>
        <v>5.6666666666666661</v>
      </c>
      <c r="AF483" s="228" t="s">
        <v>1321</v>
      </c>
      <c r="AG483" s="6" t="s">
        <v>1275</v>
      </c>
      <c r="AH483" s="53">
        <f>IFERROR(PA[[#This Row],[Breakdown Time]]*PA[[#This Row],[Plant Equivalent Weightage]],"")</f>
        <v>2.2666666666666665E-2</v>
      </c>
      <c r="AI483" s="59">
        <v>0.51400000000000001</v>
      </c>
      <c r="AJ483" s="89">
        <f>IFERROR(IF(PA[[#This Row],[Lost PoA(kWh/m2)]]&gt;0,_xlfn.XLOOKUP(G483,'Modelling New'!$D:$D,'Modelling New'!$O:$O)*PA[[#This Row],[Lost PoA(kWh/m2)]]*S483,0),"")</f>
        <v>17.386740689260371</v>
      </c>
      <c r="AK483" s="365"/>
      <c r="AL483" s="365"/>
    </row>
    <row r="484" spans="1:38" ht="60" x14ac:dyDescent="0.25">
      <c r="A484" s="229">
        <v>2176</v>
      </c>
      <c r="B484" s="376">
        <v>45839</v>
      </c>
      <c r="C484" s="163">
        <v>2025</v>
      </c>
      <c r="D484" s="348">
        <f>YEAR(PA[[#This Row],[Date]])</f>
        <v>2025</v>
      </c>
      <c r="E484" s="373" t="s">
        <v>73</v>
      </c>
      <c r="F484" s="374" t="s">
        <v>73</v>
      </c>
      <c r="G484" s="323">
        <v>45809</v>
      </c>
      <c r="H484" s="365">
        <f>DAY(EOMONTH(PA[[#This Row],[Date]], 0))</f>
        <v>31</v>
      </c>
      <c r="I484" s="361">
        <v>0.23194444444444443</v>
      </c>
      <c r="J484" s="361">
        <v>0.77986111111111101</v>
      </c>
      <c r="K484" s="53">
        <f>IFERROR((PA[[#This Row],[Sunset Time (POA&lt;20 W/m2)]]-PA[[#This Row],[Sunrise Time (POA&gt;20 W/m2)]])*24,"")</f>
        <v>13.149999999999999</v>
      </c>
      <c r="L484" s="59" t="s">
        <v>615</v>
      </c>
      <c r="M484" s="59"/>
      <c r="N484" s="59"/>
      <c r="O484" s="59" t="s">
        <v>594</v>
      </c>
      <c r="P484" s="56"/>
      <c r="Q484" s="6"/>
      <c r="R48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484" s="53">
        <f>_xlfn.XLOOKUP(PA[[#This Row],[Affected Equipment ]],'Basic Data '!$A:$A,'Basic Data '!$B:$B)</f>
        <v>264</v>
      </c>
      <c r="T484" s="90">
        <f>IFERROR(_xlfn.XLOOKUP(PA[[#This Row],[Affected Equipment ]],'Basic Data '!A:A,'Basic Data '!C:C),"")</f>
        <v>3.9550561797752808E-3</v>
      </c>
      <c r="U484" s="59" t="s">
        <v>566</v>
      </c>
      <c r="V484" s="88"/>
      <c r="W484" s="265" t="s">
        <v>1293</v>
      </c>
      <c r="X484" s="359">
        <v>0.34027777777777773</v>
      </c>
      <c r="Y484" s="359">
        <v>0.34027777777777773</v>
      </c>
      <c r="Z484" s="359">
        <v>0.45833333333333331</v>
      </c>
      <c r="AA484" s="359">
        <v>0.47916666666666669</v>
      </c>
      <c r="AB484" s="158">
        <f>IF(PA[[#This Row],[Acknowledgement Time ]]="NA","",(PA[[#This Row],[Acknowledgement Time ]]-PA[[#This Row],[Fault Time]])*24)</f>
        <v>0</v>
      </c>
      <c r="AC484" s="158">
        <f>IF(PA[[#This Row],[Work Start time on Fault]]="NA","",(PA[[#This Row],[Work Start time on Fault]]-PA[[#This Row],[Fault Time]])*24)</f>
        <v>2.8333333333333339</v>
      </c>
      <c r="AD484" s="112">
        <f>IF(PA[[#This Row],[Status]]="Open","",(PA[[#This Row],[Work Completion time on fault]]-PA[[#This Row],[Fault Time]])*24)</f>
        <v>3.3333333333333348</v>
      </c>
      <c r="AE484" s="111">
        <f>IFERROR((PA[[#This Row],[Work Completion time on fault]]-PA[[#This Row],[Fault Time]])*24,"")</f>
        <v>3.3333333333333348</v>
      </c>
      <c r="AF484" s="228" t="s">
        <v>1293</v>
      </c>
      <c r="AG484" s="6" t="s">
        <v>1275</v>
      </c>
      <c r="AH484" s="53">
        <f>IFERROR(PA[[#This Row],[Breakdown Time]]*PA[[#This Row],[Plant Equivalent Weightage]],"")</f>
        <v>1.3183520599250941E-2</v>
      </c>
      <c r="AI484" s="59">
        <v>0.97499999999999998</v>
      </c>
      <c r="AJ484" s="89">
        <f>IFERROR(IF(PA[[#This Row],[Lost PoA(kWh/m2)]]&gt;0,_xlfn.XLOOKUP(G484,'Modelling New'!$D:$D,'Modelling New'!$O:$O)*PA[[#This Row],[Lost PoA(kWh/m2)]]*S484,0),"")</f>
        <v>195.66069398048438</v>
      </c>
      <c r="AK484" s="365"/>
      <c r="AL484" s="365"/>
    </row>
    <row r="485" spans="1:38" ht="60" x14ac:dyDescent="0.25">
      <c r="A485" s="229">
        <v>2177</v>
      </c>
      <c r="B485" s="376">
        <v>45839</v>
      </c>
      <c r="C485" s="163">
        <v>2025</v>
      </c>
      <c r="D485" s="348">
        <f>YEAR(PA[[#This Row],[Date]])</f>
        <v>2025</v>
      </c>
      <c r="E485" s="373" t="s">
        <v>73</v>
      </c>
      <c r="F485" s="374" t="s">
        <v>73</v>
      </c>
      <c r="G485" s="323">
        <v>45809</v>
      </c>
      <c r="H485" s="365">
        <f>DAY(EOMONTH(PA[[#This Row],[Date]], 0))</f>
        <v>31</v>
      </c>
      <c r="I485" s="361">
        <v>0.23194444444444443</v>
      </c>
      <c r="J485" s="361">
        <v>0.77986111111111101</v>
      </c>
      <c r="K485" s="53">
        <f>IFERROR((PA[[#This Row],[Sunset Time (POA&lt;20 W/m2)]]-PA[[#This Row],[Sunrise Time (POA&gt;20 W/m2)]])*24,"")</f>
        <v>13.149999999999999</v>
      </c>
      <c r="L485" s="59" t="s">
        <v>615</v>
      </c>
      <c r="M485" s="59"/>
      <c r="N485" s="59"/>
      <c r="O485" s="59" t="s">
        <v>581</v>
      </c>
      <c r="P485" s="56"/>
      <c r="Q485" s="6"/>
      <c r="R48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BLK6INV32</v>
      </c>
      <c r="S485" s="53">
        <f>_xlfn.XLOOKUP(PA[[#This Row],[Affected Equipment ]],'Basic Data '!$A:$A,'Basic Data '!$B:$B)</f>
        <v>275</v>
      </c>
      <c r="T485" s="90">
        <f>IFERROR(_xlfn.XLOOKUP(PA[[#This Row],[Affected Equipment ]],'Basic Data '!A:A,'Basic Data '!C:C),"")</f>
        <v>4.1198501872659176E-3</v>
      </c>
      <c r="U485" s="59" t="s">
        <v>566</v>
      </c>
      <c r="V485" s="88"/>
      <c r="W485" s="265" t="s">
        <v>1293</v>
      </c>
      <c r="X485" s="359">
        <v>0.23194444444444443</v>
      </c>
      <c r="Y485" s="359">
        <v>0.23194444444444443</v>
      </c>
      <c r="Z485" s="359">
        <v>0.375</v>
      </c>
      <c r="AA485" s="359">
        <v>0.39583333333333331</v>
      </c>
      <c r="AB485" s="158">
        <f>IF(PA[[#This Row],[Acknowledgement Time ]]="NA","",(PA[[#This Row],[Acknowledgement Time ]]-PA[[#This Row],[Fault Time]])*24)</f>
        <v>0</v>
      </c>
      <c r="AC485" s="158">
        <f>IF(PA[[#This Row],[Work Start time on Fault]]="NA","",(PA[[#This Row],[Work Start time on Fault]]-PA[[#This Row],[Fault Time]])*24)</f>
        <v>3.4333333333333336</v>
      </c>
      <c r="AD485" s="112">
        <f>IF(PA[[#This Row],[Status]]="Open","",(PA[[#This Row],[Work Completion time on fault]]-PA[[#This Row],[Fault Time]])*24)</f>
        <v>3.9333333333333336</v>
      </c>
      <c r="AE485" s="111">
        <f>IFERROR((PA[[#This Row],[Work Completion time on fault]]-PA[[#This Row],[Fault Time]])*24,"")</f>
        <v>3.9333333333333336</v>
      </c>
      <c r="AF485" s="228" t="s">
        <v>1293</v>
      </c>
      <c r="AG485" s="6" t="s">
        <v>1275</v>
      </c>
      <c r="AH485" s="53">
        <f>IFERROR(PA[[#This Row],[Breakdown Time]]*PA[[#This Row],[Plant Equivalent Weightage]],"")</f>
        <v>1.6204744069912611E-2</v>
      </c>
      <c r="AI485" s="59">
        <v>0.751</v>
      </c>
      <c r="AJ485" s="89">
        <f>IFERROR(IF(PA[[#This Row],[Lost PoA(kWh/m2)]]&gt;0,_xlfn.XLOOKUP(G485,'Modelling New'!$D:$D,'Modelling New'!$O:$O)*PA[[#This Row],[Lost PoA(kWh/m2)]]*S485,0),"")</f>
        <v>156.98844143092285</v>
      </c>
      <c r="AK485" s="365"/>
      <c r="AL485" s="365"/>
    </row>
    <row r="486" spans="1:38" ht="60" x14ac:dyDescent="0.25">
      <c r="A486" s="229">
        <v>2178</v>
      </c>
      <c r="B486" s="376">
        <v>45839</v>
      </c>
      <c r="C486" s="163">
        <v>2025</v>
      </c>
      <c r="D486" s="348">
        <f>YEAR(PA[[#This Row],[Date]])</f>
        <v>2025</v>
      </c>
      <c r="E486" s="373" t="s">
        <v>73</v>
      </c>
      <c r="F486" s="374" t="s">
        <v>73</v>
      </c>
      <c r="G486" s="323">
        <v>45809</v>
      </c>
      <c r="H486" s="365">
        <f>DAY(EOMONTH(PA[[#This Row],[Date]], 0))</f>
        <v>31</v>
      </c>
      <c r="I486" s="361">
        <v>0.23194444444444443</v>
      </c>
      <c r="J486" s="361">
        <v>0.77986111111111101</v>
      </c>
      <c r="K486" s="53">
        <f>IFERROR((PA[[#This Row],[Sunset Time (POA&lt;20 W/m2)]]-PA[[#This Row],[Sunrise Time (POA&gt;20 W/m2)]])*24,"")</f>
        <v>13.149999999999999</v>
      </c>
      <c r="L486" s="59" t="s">
        <v>615</v>
      </c>
      <c r="M486" s="59"/>
      <c r="N486" s="59"/>
      <c r="O486" s="59" t="s">
        <v>598</v>
      </c>
      <c r="P486" s="56"/>
      <c r="Q486" s="6"/>
      <c r="R48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BLK6INV6</v>
      </c>
      <c r="S486" s="53">
        <f>_xlfn.XLOOKUP(PA[[#This Row],[Affected Equipment ]],'Basic Data '!$A:$A,'Basic Data '!$B:$B)</f>
        <v>297</v>
      </c>
      <c r="T486" s="90">
        <f>IFERROR(_xlfn.XLOOKUP(PA[[#This Row],[Affected Equipment ]],'Basic Data '!A:A,'Basic Data '!C:C),"")</f>
        <v>4.4494382022471912E-3</v>
      </c>
      <c r="U486" s="59" t="s">
        <v>566</v>
      </c>
      <c r="V486" s="88"/>
      <c r="W486" s="265" t="s">
        <v>1293</v>
      </c>
      <c r="X486" s="359">
        <v>0.23194444444444443</v>
      </c>
      <c r="Y486" s="359">
        <v>0.23194444444444443</v>
      </c>
      <c r="Z486" s="359">
        <v>0.37152777777777773</v>
      </c>
      <c r="AA486" s="359">
        <v>0.38541666666666669</v>
      </c>
      <c r="AB486" s="158">
        <f>IF(PA[[#This Row],[Acknowledgement Time ]]="NA","",(PA[[#This Row],[Acknowledgement Time ]]-PA[[#This Row],[Fault Time]])*24)</f>
        <v>0</v>
      </c>
      <c r="AC486" s="158">
        <f>IF(PA[[#This Row],[Work Start time on Fault]]="NA","",(PA[[#This Row],[Work Start time on Fault]]-PA[[#This Row],[Fault Time]])*24)</f>
        <v>3.3499999999999996</v>
      </c>
      <c r="AD486" s="112">
        <f>IF(PA[[#This Row],[Status]]="Open","",(PA[[#This Row],[Work Completion time on fault]]-PA[[#This Row],[Fault Time]])*24)</f>
        <v>3.6833333333333345</v>
      </c>
      <c r="AE486" s="111">
        <f>IFERROR((PA[[#This Row],[Work Completion time on fault]]-PA[[#This Row],[Fault Time]])*24,"")</f>
        <v>3.6833333333333345</v>
      </c>
      <c r="AF486" s="228" t="s">
        <v>1293</v>
      </c>
      <c r="AG486" s="6" t="s">
        <v>1275</v>
      </c>
      <c r="AH486" s="53">
        <f>IFERROR(PA[[#This Row],[Breakdown Time]]*PA[[#This Row],[Plant Equivalent Weightage]],"")</f>
        <v>1.6388764044943827E-2</v>
      </c>
      <c r="AI486" s="59">
        <v>0.69899999999999995</v>
      </c>
      <c r="AJ486" s="89">
        <f>IFERROR(IF(PA[[#This Row],[Lost PoA(kWh/m2)]]&gt;0,_xlfn.XLOOKUP(G486,'Modelling New'!$D:$D,'Modelling New'!$O:$O)*PA[[#This Row],[Lost PoA(kWh/m2)]]*S486,0),"")</f>
        <v>157.80787510656759</v>
      </c>
      <c r="AK486" s="365"/>
      <c r="AL486" s="365"/>
    </row>
    <row r="487" spans="1:38" ht="60" x14ac:dyDescent="0.25">
      <c r="A487" s="229">
        <v>2179</v>
      </c>
      <c r="B487" s="376">
        <v>45839</v>
      </c>
      <c r="C487" s="163">
        <v>2025</v>
      </c>
      <c r="D487" s="348">
        <f>YEAR(PA[[#This Row],[Date]])</f>
        <v>2025</v>
      </c>
      <c r="E487" s="373" t="s">
        <v>73</v>
      </c>
      <c r="F487" s="374" t="s">
        <v>73</v>
      </c>
      <c r="G487" s="323">
        <v>45809</v>
      </c>
      <c r="H487" s="365">
        <f>DAY(EOMONTH(PA[[#This Row],[Date]], 0))</f>
        <v>31</v>
      </c>
      <c r="I487" s="361">
        <v>0.23194444444444443</v>
      </c>
      <c r="J487" s="361">
        <v>0.77986111111111101</v>
      </c>
      <c r="K487" s="53">
        <f>IFERROR((PA[[#This Row],[Sunset Time (POA&lt;20 W/m2)]]-PA[[#This Row],[Sunrise Time (POA&gt;20 W/m2)]])*24,"")</f>
        <v>13.149999999999999</v>
      </c>
      <c r="L487" s="59" t="s">
        <v>615</v>
      </c>
      <c r="M487" s="59"/>
      <c r="N487" s="59"/>
      <c r="O487" s="59" t="s">
        <v>601</v>
      </c>
      <c r="P487" s="56"/>
      <c r="Q487" s="6"/>
      <c r="R48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BLK6INV18</v>
      </c>
      <c r="S487" s="53">
        <f>_xlfn.XLOOKUP(PA[[#This Row],[Affected Equipment ]],'Basic Data '!$A:$A,'Basic Data '!$B:$B)</f>
        <v>297</v>
      </c>
      <c r="T487" s="90">
        <f>IFERROR(_xlfn.XLOOKUP(PA[[#This Row],[Affected Equipment ]],'Basic Data '!A:A,'Basic Data '!C:C),"")</f>
        <v>4.4494382022471912E-3</v>
      </c>
      <c r="U487" s="59" t="s">
        <v>566</v>
      </c>
      <c r="V487" s="88"/>
      <c r="W487" s="265" t="s">
        <v>1293</v>
      </c>
      <c r="X487" s="359">
        <v>0.23194444444444443</v>
      </c>
      <c r="Y487" s="359">
        <v>0.23194444444444443</v>
      </c>
      <c r="Z487" s="359">
        <v>0.40277777777777773</v>
      </c>
      <c r="AA487" s="359">
        <v>0.41805555555555557</v>
      </c>
      <c r="AB487" s="158">
        <f>IF(PA[[#This Row],[Acknowledgement Time ]]="NA","",(PA[[#This Row],[Acknowledgement Time ]]-PA[[#This Row],[Fault Time]])*24)</f>
        <v>0</v>
      </c>
      <c r="AC487" s="158">
        <f>IF(PA[[#This Row],[Work Start time on Fault]]="NA","",(PA[[#This Row],[Work Start time on Fault]]-PA[[#This Row],[Fault Time]])*24)</f>
        <v>4.0999999999999996</v>
      </c>
      <c r="AD487" s="112">
        <f>IF(PA[[#This Row],[Status]]="Open","",(PA[[#This Row],[Work Completion time on fault]]-PA[[#This Row],[Fault Time]])*24)</f>
        <v>4.4666666666666677</v>
      </c>
      <c r="AE487" s="111">
        <f>IFERROR((PA[[#This Row],[Work Completion time on fault]]-PA[[#This Row],[Fault Time]])*24,"")</f>
        <v>4.4666666666666677</v>
      </c>
      <c r="AF487" s="228" t="s">
        <v>1293</v>
      </c>
      <c r="AG487" s="6" t="s">
        <v>1275</v>
      </c>
      <c r="AH487" s="53">
        <f>IFERROR(PA[[#This Row],[Breakdown Time]]*PA[[#This Row],[Plant Equivalent Weightage]],"")</f>
        <v>1.987415730337079E-2</v>
      </c>
      <c r="AI487" s="59">
        <v>0.83399999999999996</v>
      </c>
      <c r="AJ487" s="89">
        <f>IFERROR(IF(PA[[#This Row],[Lost PoA(kWh/m2)]]&gt;0,_xlfn.XLOOKUP(G487,'Modelling New'!$D:$D,'Modelling New'!$O:$O)*PA[[#This Row],[Lost PoA(kWh/m2)]]*S487,0),"")</f>
        <v>188.2857908996815</v>
      </c>
      <c r="AK487" s="365"/>
      <c r="AL487" s="365"/>
    </row>
    <row r="488" spans="1:38" ht="60" x14ac:dyDescent="0.25">
      <c r="A488" s="229">
        <v>2180</v>
      </c>
      <c r="B488" s="376">
        <v>45839</v>
      </c>
      <c r="C488" s="163">
        <v>2025</v>
      </c>
      <c r="D488" s="348">
        <f>YEAR(PA[[#This Row],[Date]])</f>
        <v>2025</v>
      </c>
      <c r="E488" s="373" t="s">
        <v>73</v>
      </c>
      <c r="F488" s="374" t="s">
        <v>73</v>
      </c>
      <c r="G488" s="323">
        <v>45809</v>
      </c>
      <c r="H488" s="365">
        <f>DAY(EOMONTH(PA[[#This Row],[Date]], 0))</f>
        <v>31</v>
      </c>
      <c r="I488" s="361">
        <v>0.23194444444444443</v>
      </c>
      <c r="J488" s="361">
        <v>0.77986111111111101</v>
      </c>
      <c r="K488" s="53">
        <f>IFERROR((PA[[#This Row],[Sunset Time (POA&lt;20 W/m2)]]-PA[[#This Row],[Sunrise Time (POA&gt;20 W/m2)]])*24,"")</f>
        <v>13.149999999999999</v>
      </c>
      <c r="L488" s="59" t="s">
        <v>621</v>
      </c>
      <c r="M488" s="59"/>
      <c r="N488" s="59"/>
      <c r="O488" s="59" t="s">
        <v>571</v>
      </c>
      <c r="P488" s="56"/>
      <c r="Q488" s="6"/>
      <c r="R48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v>
      </c>
      <c r="S488" s="53">
        <f>_xlfn.XLOOKUP(PA[[#This Row],[Affected Equipment ]],'Basic Data '!$A:$A,'Basic Data '!$B:$B)</f>
        <v>267</v>
      </c>
      <c r="T488" s="90">
        <f>IFERROR(_xlfn.XLOOKUP(PA[[#This Row],[Affected Equipment ]],'Basic Data '!A:A,'Basic Data '!C:C),"")</f>
        <v>4.0000000000000001E-3</v>
      </c>
      <c r="U488" s="59" t="s">
        <v>566</v>
      </c>
      <c r="V488" s="88"/>
      <c r="W488" s="265" t="s">
        <v>1293</v>
      </c>
      <c r="X488" s="359">
        <v>0.23194444444444443</v>
      </c>
      <c r="Y488" s="359">
        <v>0.23194444444444443</v>
      </c>
      <c r="Z488" s="359">
        <v>0.41666666666666669</v>
      </c>
      <c r="AA488" s="359">
        <v>0.43541666666666667</v>
      </c>
      <c r="AB488" s="158">
        <f>IF(PA[[#This Row],[Acknowledgement Time ]]="NA","",(PA[[#This Row],[Acknowledgement Time ]]-PA[[#This Row],[Fault Time]])*24)</f>
        <v>0</v>
      </c>
      <c r="AC488" s="158">
        <f>IF(PA[[#This Row],[Work Start time on Fault]]="NA","",(PA[[#This Row],[Work Start time on Fault]]-PA[[#This Row],[Fault Time]])*24)</f>
        <v>4.4333333333333345</v>
      </c>
      <c r="AD488" s="112">
        <f>IF(PA[[#This Row],[Status]]="Open","",(PA[[#This Row],[Work Completion time on fault]]-PA[[#This Row],[Fault Time]])*24)</f>
        <v>4.8833333333333337</v>
      </c>
      <c r="AE488" s="111">
        <f>IFERROR((PA[[#This Row],[Work Completion time on fault]]-PA[[#This Row],[Fault Time]])*24,"")</f>
        <v>4.8833333333333337</v>
      </c>
      <c r="AF488" s="228" t="s">
        <v>1293</v>
      </c>
      <c r="AG488" s="6" t="s">
        <v>1275</v>
      </c>
      <c r="AH488" s="53">
        <f>IFERROR(PA[[#This Row],[Breakdown Time]]*PA[[#This Row],[Plant Equivalent Weightage]],"")</f>
        <v>1.9533333333333337E-2</v>
      </c>
      <c r="AI488" s="59">
        <v>0.92700000000000005</v>
      </c>
      <c r="AJ488" s="89">
        <f>IFERROR(IF(PA[[#This Row],[Lost PoA(kWh/m2)]]&gt;0,_xlfn.XLOOKUP(G488,'Modelling New'!$D:$D,'Modelling New'!$O:$O)*PA[[#This Row],[Lost PoA(kWh/m2)]]*S488,0),"")</f>
        <v>188.142123956549</v>
      </c>
      <c r="AK488" s="365"/>
      <c r="AL488" s="365"/>
    </row>
    <row r="489" spans="1:38" ht="60" x14ac:dyDescent="0.25">
      <c r="A489" s="229">
        <v>2181</v>
      </c>
      <c r="B489" s="376">
        <v>45839</v>
      </c>
      <c r="C489" s="163">
        <v>2025</v>
      </c>
      <c r="D489" s="348">
        <f>YEAR(PA[[#This Row],[Date]])</f>
        <v>2025</v>
      </c>
      <c r="E489" s="373" t="s">
        <v>73</v>
      </c>
      <c r="F489" s="374" t="s">
        <v>73</v>
      </c>
      <c r="G489" s="323">
        <v>45809</v>
      </c>
      <c r="H489" s="365">
        <f>DAY(EOMONTH(PA[[#This Row],[Date]], 0))</f>
        <v>31</v>
      </c>
      <c r="I489" s="361">
        <v>0.23194444444444443</v>
      </c>
      <c r="J489" s="361">
        <v>0.77986111111111101</v>
      </c>
      <c r="K489" s="53">
        <f>IFERROR((PA[[#This Row],[Sunset Time (POA&lt;20 W/m2)]]-PA[[#This Row],[Sunrise Time (POA&gt;20 W/m2)]])*24,"")</f>
        <v>13.149999999999999</v>
      </c>
      <c r="L489" s="59" t="s">
        <v>559</v>
      </c>
      <c r="M489" s="59"/>
      <c r="N489" s="59"/>
      <c r="O489" s="59" t="s">
        <v>661</v>
      </c>
      <c r="P489" s="56"/>
      <c r="Q489" s="6"/>
      <c r="R48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BLK2INV25</v>
      </c>
      <c r="S489" s="53">
        <f>_xlfn.XLOOKUP(PA[[#This Row],[Affected Equipment ]],'Basic Data '!$A:$A,'Basic Data '!$B:$B)</f>
        <v>300.375</v>
      </c>
      <c r="T489" s="90">
        <f>IFERROR(_xlfn.XLOOKUP(PA[[#This Row],[Affected Equipment ]],'Basic Data '!A:A,'Basic Data '!C:C),"")</f>
        <v>4.4999999999999997E-3</v>
      </c>
      <c r="U489" s="59" t="s">
        <v>566</v>
      </c>
      <c r="V489" s="88"/>
      <c r="W489" s="265" t="s">
        <v>1293</v>
      </c>
      <c r="X489" s="359">
        <v>0.23194444444444443</v>
      </c>
      <c r="Y489" s="359">
        <v>0.23194444444444443</v>
      </c>
      <c r="Z489" s="359">
        <v>0.3611111111111111</v>
      </c>
      <c r="AA489" s="359">
        <v>0.37152777777777779</v>
      </c>
      <c r="AB489" s="158">
        <f>IF(PA[[#This Row],[Acknowledgement Time ]]="NA","",(PA[[#This Row],[Acknowledgement Time ]]-PA[[#This Row],[Fault Time]])*24)</f>
        <v>0</v>
      </c>
      <c r="AC489" s="158">
        <f>IF(PA[[#This Row],[Work Start time on Fault]]="NA","",(PA[[#This Row],[Work Start time on Fault]]-PA[[#This Row],[Fault Time]])*24)</f>
        <v>3.1000000000000005</v>
      </c>
      <c r="AD489" s="112">
        <f>IF(PA[[#This Row],[Status]]="Open","",(PA[[#This Row],[Work Completion time on fault]]-PA[[#This Row],[Fault Time]])*24)</f>
        <v>3.3500000000000005</v>
      </c>
      <c r="AE489" s="111">
        <f>IFERROR((PA[[#This Row],[Work Completion time on fault]]-PA[[#This Row],[Fault Time]])*24,"")</f>
        <v>3.3500000000000005</v>
      </c>
      <c r="AF489" s="228" t="s">
        <v>1293</v>
      </c>
      <c r="AG489" s="6" t="s">
        <v>1275</v>
      </c>
      <c r="AH489" s="53">
        <f>IFERROR(PA[[#This Row],[Breakdown Time]]*PA[[#This Row],[Plant Equivalent Weightage]],"")</f>
        <v>1.5075000000000002E-2</v>
      </c>
      <c r="AI489" s="59">
        <v>0.56899999999999995</v>
      </c>
      <c r="AJ489" s="89">
        <f>IFERROR(IF(PA[[#This Row],[Lost PoA(kWh/m2)]]&gt;0,_xlfn.XLOOKUP(G489,'Modelling New'!$D:$D,'Modelling New'!$O:$O)*PA[[#This Row],[Lost PoA(kWh/m2)]]*S489,0),"")</f>
        <v>129.91852977096647</v>
      </c>
      <c r="AK489" s="365"/>
      <c r="AL489" s="365"/>
    </row>
    <row r="490" spans="1:38" ht="60" x14ac:dyDescent="0.25">
      <c r="A490" s="229">
        <v>2182</v>
      </c>
      <c r="B490" s="376">
        <v>45839</v>
      </c>
      <c r="C490" s="163">
        <v>2025</v>
      </c>
      <c r="D490" s="348">
        <f>YEAR(PA[[#This Row],[Date]])</f>
        <v>2025</v>
      </c>
      <c r="E490" s="373" t="s">
        <v>73</v>
      </c>
      <c r="F490" s="374" t="s">
        <v>73</v>
      </c>
      <c r="G490" s="323">
        <v>45809</v>
      </c>
      <c r="H490" s="365">
        <f>DAY(EOMONTH(PA[[#This Row],[Date]], 0))</f>
        <v>31</v>
      </c>
      <c r="I490" s="361">
        <v>0.23194444444444443</v>
      </c>
      <c r="J490" s="361">
        <v>0.77986111111111101</v>
      </c>
      <c r="K490" s="53">
        <f>IFERROR((PA[[#This Row],[Sunset Time (POA&lt;20 W/m2)]]-PA[[#This Row],[Sunrise Time (POA&gt;20 W/m2)]])*24,"")</f>
        <v>13.149999999999999</v>
      </c>
      <c r="L490" s="59" t="s">
        <v>587</v>
      </c>
      <c r="M490" s="59"/>
      <c r="N490" s="59"/>
      <c r="O490" s="59" t="s">
        <v>634</v>
      </c>
      <c r="P490" s="56"/>
      <c r="Q490" s="6"/>
      <c r="R49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BLK1INV9</v>
      </c>
      <c r="S490" s="53">
        <f>_xlfn.XLOOKUP(PA[[#This Row],[Affected Equipment ]],'Basic Data '!$A:$A,'Basic Data '!$B:$B)</f>
        <v>278.125</v>
      </c>
      <c r="T490" s="90">
        <f>IFERROR(_xlfn.XLOOKUP(PA[[#This Row],[Affected Equipment ]],'Basic Data '!A:A,'Basic Data '!C:C),"")</f>
        <v>4.1666666666666666E-3</v>
      </c>
      <c r="U490" s="59" t="s">
        <v>566</v>
      </c>
      <c r="V490" s="88"/>
      <c r="W490" s="265" t="s">
        <v>1293</v>
      </c>
      <c r="X490" s="359">
        <v>0.23194444444444443</v>
      </c>
      <c r="Y490" s="359">
        <v>0.23194444444444443</v>
      </c>
      <c r="Z490" s="359">
        <v>0.33333333333333331</v>
      </c>
      <c r="AA490" s="359">
        <v>0.35208333333333336</v>
      </c>
      <c r="AB490" s="158">
        <f>IF(PA[[#This Row],[Acknowledgement Time ]]="NA","",(PA[[#This Row],[Acknowledgement Time ]]-PA[[#This Row],[Fault Time]])*24)</f>
        <v>0</v>
      </c>
      <c r="AC490" s="158">
        <f>IF(PA[[#This Row],[Work Start time on Fault]]="NA","",(PA[[#This Row],[Work Start time on Fault]]-PA[[#This Row],[Fault Time]])*24)</f>
        <v>2.4333333333333336</v>
      </c>
      <c r="AD490" s="112">
        <f>IF(PA[[#This Row],[Status]]="Open","",(PA[[#This Row],[Work Completion time on fault]]-PA[[#This Row],[Fault Time]])*24)</f>
        <v>2.8833333333333346</v>
      </c>
      <c r="AE490" s="111">
        <f>IFERROR((PA[[#This Row],[Work Completion time on fault]]-PA[[#This Row],[Fault Time]])*24,"")</f>
        <v>2.8833333333333346</v>
      </c>
      <c r="AF490" s="228" t="s">
        <v>1293</v>
      </c>
      <c r="AG490" s="6" t="s">
        <v>1275</v>
      </c>
      <c r="AH490" s="53">
        <f>IFERROR(PA[[#This Row],[Breakdown Time]]*PA[[#This Row],[Plant Equivalent Weightage]],"")</f>
        <v>1.2013888888888893E-2</v>
      </c>
      <c r="AI490" s="59">
        <v>0.39800000000000002</v>
      </c>
      <c r="AJ490" s="89">
        <f>IFERROR(IF(PA[[#This Row],[Lost PoA(kWh/m2)]]&gt;0,_xlfn.XLOOKUP(G490,'Modelling New'!$D:$D,'Modelling New'!$O:$O)*PA[[#This Row],[Lost PoA(kWh/m2)]]*S490,0),"")</f>
        <v>84.143030086644302</v>
      </c>
      <c r="AK490" s="365"/>
      <c r="AL490" s="365"/>
    </row>
    <row r="491" spans="1:38" ht="60" x14ac:dyDescent="0.25">
      <c r="A491" s="229">
        <v>2183</v>
      </c>
      <c r="B491" s="376">
        <v>45839</v>
      </c>
      <c r="C491" s="163">
        <v>2025</v>
      </c>
      <c r="D491" s="348">
        <f>YEAR(PA[[#This Row],[Date]])</f>
        <v>2025</v>
      </c>
      <c r="E491" s="373" t="s">
        <v>73</v>
      </c>
      <c r="F491" s="374" t="s">
        <v>73</v>
      </c>
      <c r="G491" s="323">
        <v>45809</v>
      </c>
      <c r="H491" s="365">
        <f>DAY(EOMONTH(PA[[#This Row],[Date]], 0))</f>
        <v>31</v>
      </c>
      <c r="I491" s="361">
        <v>0.23194444444444443</v>
      </c>
      <c r="J491" s="361">
        <v>0.77986111111111101</v>
      </c>
      <c r="K491" s="53">
        <f>IFERROR((PA[[#This Row],[Sunset Time (POA&lt;20 W/m2)]]-PA[[#This Row],[Sunrise Time (POA&gt;20 W/m2)]])*24,"")</f>
        <v>13.149999999999999</v>
      </c>
      <c r="L491" s="59" t="s">
        <v>564</v>
      </c>
      <c r="M491" s="59"/>
      <c r="N491" s="59"/>
      <c r="O491" s="59" t="s">
        <v>714</v>
      </c>
      <c r="P491" s="56"/>
      <c r="Q491" s="6"/>
      <c r="R49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BLK5INV22</v>
      </c>
      <c r="S491" s="53">
        <f>_xlfn.XLOOKUP(PA[[#This Row],[Affected Equipment ]],'Basic Data '!$A:$A,'Basic Data '!$B:$B)</f>
        <v>267</v>
      </c>
      <c r="T491" s="90">
        <f>IFERROR(_xlfn.XLOOKUP(PA[[#This Row],[Affected Equipment ]],'Basic Data '!A:A,'Basic Data '!C:C),"")</f>
        <v>4.0000000000000001E-3</v>
      </c>
      <c r="U491" s="59" t="s">
        <v>566</v>
      </c>
      <c r="V491" s="88"/>
      <c r="W491" s="265" t="s">
        <v>1293</v>
      </c>
      <c r="X491" s="359">
        <v>0.23194444444444443</v>
      </c>
      <c r="Y491" s="359">
        <v>0.23194444444444443</v>
      </c>
      <c r="Z491" s="359">
        <v>0.3611111111111111</v>
      </c>
      <c r="AA491" s="359">
        <v>0.38124999999999998</v>
      </c>
      <c r="AB491" s="158">
        <f>IF(PA[[#This Row],[Acknowledgement Time ]]="NA","",(PA[[#This Row],[Acknowledgement Time ]]-PA[[#This Row],[Fault Time]])*24)</f>
        <v>0</v>
      </c>
      <c r="AC491" s="158">
        <f>IF(PA[[#This Row],[Work Start time on Fault]]="NA","",(PA[[#This Row],[Work Start time on Fault]]-PA[[#This Row],[Fault Time]])*24)</f>
        <v>3.1000000000000005</v>
      </c>
      <c r="AD491" s="112">
        <f>IF(PA[[#This Row],[Status]]="Open","",(PA[[#This Row],[Work Completion time on fault]]-PA[[#This Row],[Fault Time]])*24)</f>
        <v>3.583333333333333</v>
      </c>
      <c r="AE491" s="111">
        <f>IFERROR((PA[[#This Row],[Work Completion time on fault]]-PA[[#This Row],[Fault Time]])*24,"")</f>
        <v>3.583333333333333</v>
      </c>
      <c r="AF491" s="228" t="s">
        <v>1293</v>
      </c>
      <c r="AG491" s="6" t="s">
        <v>1275</v>
      </c>
      <c r="AH491" s="53">
        <f>IFERROR(PA[[#This Row],[Breakdown Time]]*PA[[#This Row],[Plant Equivalent Weightage]],"")</f>
        <v>1.4333333333333332E-2</v>
      </c>
      <c r="AI491" s="59">
        <v>0.66</v>
      </c>
      <c r="AJ491" s="89">
        <f>IFERROR(IF(PA[[#This Row],[Lost PoA(kWh/m2)]]&gt;0,_xlfn.XLOOKUP(G491,'Modelling New'!$D:$D,'Modelling New'!$O:$O)*PA[[#This Row],[Lost PoA(kWh/m2)]]*S491,0),"")</f>
        <v>133.9523212635624</v>
      </c>
      <c r="AK491" s="365"/>
      <c r="AL491" s="365"/>
    </row>
    <row r="492" spans="1:38" ht="60" x14ac:dyDescent="0.25">
      <c r="A492" s="229">
        <v>2184</v>
      </c>
      <c r="B492" s="376">
        <v>45839</v>
      </c>
      <c r="C492" s="163">
        <v>2025</v>
      </c>
      <c r="D492" s="348">
        <f>YEAR(PA[[#This Row],[Date]])</f>
        <v>2025</v>
      </c>
      <c r="E492" s="373" t="s">
        <v>73</v>
      </c>
      <c r="F492" s="374" t="s">
        <v>73</v>
      </c>
      <c r="G492" s="323">
        <v>45809</v>
      </c>
      <c r="H492" s="365">
        <f>DAY(EOMONTH(PA[[#This Row],[Date]], 0))</f>
        <v>31</v>
      </c>
      <c r="I492" s="361">
        <v>0.23194444444444443</v>
      </c>
      <c r="J492" s="361">
        <v>0.77986111111111101</v>
      </c>
      <c r="K492" s="53">
        <f>IFERROR((PA[[#This Row],[Sunset Time (POA&lt;20 W/m2)]]-PA[[#This Row],[Sunrise Time (POA&gt;20 W/m2)]])*24,"")</f>
        <v>13.149999999999999</v>
      </c>
      <c r="L492" s="59" t="s">
        <v>606</v>
      </c>
      <c r="M492" s="59"/>
      <c r="N492" s="59"/>
      <c r="O492" s="59" t="s">
        <v>627</v>
      </c>
      <c r="P492" s="56"/>
      <c r="Q492" s="6"/>
      <c r="R49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BLK7INV21</v>
      </c>
      <c r="S492" s="53">
        <f>_xlfn.XLOOKUP(PA[[#This Row],[Affected Equipment ]],'Basic Data '!$A:$A,'Basic Data '!$B:$B)</f>
        <v>267</v>
      </c>
      <c r="T492" s="90">
        <f>IFERROR(_xlfn.XLOOKUP(PA[[#This Row],[Affected Equipment ]],'Basic Data '!A:A,'Basic Data '!C:C),"")</f>
        <v>4.0000000000000001E-3</v>
      </c>
      <c r="U492" s="59" t="s">
        <v>566</v>
      </c>
      <c r="V492" s="88"/>
      <c r="W492" s="265" t="s">
        <v>1293</v>
      </c>
      <c r="X492" s="359">
        <v>0.4375</v>
      </c>
      <c r="Y492" s="359">
        <v>0.44097222222222227</v>
      </c>
      <c r="Z492" s="359">
        <v>0.44444444444444442</v>
      </c>
      <c r="AA492" s="359">
        <v>0.46111111111111114</v>
      </c>
      <c r="AB492" s="158">
        <f>IF(PA[[#This Row],[Acknowledgement Time ]]="NA","",(PA[[#This Row],[Acknowledgement Time ]]-PA[[#This Row],[Fault Time]])*24)</f>
        <v>8.333333333333437E-2</v>
      </c>
      <c r="AC492" s="158">
        <f>IF(PA[[#This Row],[Work Start time on Fault]]="NA","",(PA[[#This Row],[Work Start time on Fault]]-PA[[#This Row],[Fault Time]])*24)</f>
        <v>0.16666666666666607</v>
      </c>
      <c r="AD492" s="112">
        <f>IF(PA[[#This Row],[Status]]="Open","",(PA[[#This Row],[Work Completion time on fault]]-PA[[#This Row],[Fault Time]])*24)</f>
        <v>0.56666666666666732</v>
      </c>
      <c r="AE492" s="111">
        <f>IFERROR((PA[[#This Row],[Work Completion time on fault]]-PA[[#This Row],[Fault Time]])*24,"")</f>
        <v>0.56666666666666732</v>
      </c>
      <c r="AF492" s="228" t="s">
        <v>1293</v>
      </c>
      <c r="AG492" s="6" t="s">
        <v>1275</v>
      </c>
      <c r="AH492" s="53">
        <f>IFERROR(PA[[#This Row],[Breakdown Time]]*PA[[#This Row],[Plant Equivalent Weightage]],"")</f>
        <v>2.2666666666666694E-3</v>
      </c>
      <c r="AI492" s="59">
        <v>0.24099999999999999</v>
      </c>
      <c r="AJ492" s="89">
        <f>IFERROR(IF(PA[[#This Row],[Lost PoA(kWh/m2)]]&gt;0,_xlfn.XLOOKUP(G492,'Modelling New'!$D:$D,'Modelling New'!$O:$O)*PA[[#This Row],[Lost PoA(kWh/m2)]]*S492,0),"")</f>
        <v>48.912893067452323</v>
      </c>
      <c r="AK492" s="365"/>
      <c r="AL492" s="365"/>
    </row>
    <row r="493" spans="1:38" ht="45" x14ac:dyDescent="0.25">
      <c r="A493" s="229">
        <v>2185</v>
      </c>
      <c r="B493" s="376">
        <v>45839</v>
      </c>
      <c r="C493" s="163">
        <v>2025</v>
      </c>
      <c r="D493" s="348">
        <f>YEAR(PA[[#This Row],[Date]])</f>
        <v>2025</v>
      </c>
      <c r="E493" s="373" t="s">
        <v>73</v>
      </c>
      <c r="F493" s="374" t="s">
        <v>73</v>
      </c>
      <c r="G493" s="323">
        <v>45809</v>
      </c>
      <c r="H493" s="365">
        <f>DAY(EOMONTH(PA[[#This Row],[Date]], 0))</f>
        <v>31</v>
      </c>
      <c r="I493" s="361">
        <v>0.23194444444444443</v>
      </c>
      <c r="J493" s="361">
        <v>0.77986111111111101</v>
      </c>
      <c r="K493" s="53">
        <f>IFERROR((PA[[#This Row],[Sunset Time (POA&lt;20 W/m2)]]-PA[[#This Row],[Sunrise Time (POA&gt;20 W/m2)]])*24,"")</f>
        <v>13.149999999999999</v>
      </c>
      <c r="L493" s="59" t="s">
        <v>606</v>
      </c>
      <c r="M493" s="59"/>
      <c r="N493" s="59"/>
      <c r="O493" s="59" t="s">
        <v>595</v>
      </c>
      <c r="P493" s="56"/>
      <c r="Q493" s="6"/>
      <c r="R49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BLK7INV11</v>
      </c>
      <c r="S493" s="53">
        <f>_xlfn.XLOOKUP(PA[[#This Row],[Affected Equipment ]],'Basic Data '!$A:$A,'Basic Data '!$B:$B)</f>
        <v>190.35</v>
      </c>
      <c r="T493" s="90">
        <f>IFERROR(_xlfn.XLOOKUP(PA[[#This Row],[Affected Equipment ]],'Basic Data '!A:A,'Basic Data '!C:C),"")</f>
        <v>2.8516853932584268E-3</v>
      </c>
      <c r="U493" s="59" t="s">
        <v>566</v>
      </c>
      <c r="V493" s="88"/>
      <c r="W493" s="265" t="s">
        <v>1304</v>
      </c>
      <c r="X493" s="359">
        <v>0.4548611111111111</v>
      </c>
      <c r="Y493" s="359">
        <v>0.4548611111111111</v>
      </c>
      <c r="Z493" s="359">
        <v>0.45833333333333331</v>
      </c>
      <c r="AA493" s="359">
        <v>0.47986111111111113</v>
      </c>
      <c r="AB493" s="158">
        <f>IF(PA[[#This Row],[Acknowledgement Time ]]="NA","",(PA[[#This Row],[Acknowledgement Time ]]-PA[[#This Row],[Fault Time]])*24)</f>
        <v>0</v>
      </c>
      <c r="AC493" s="158">
        <f>IF(PA[[#This Row],[Work Start time on Fault]]="NA","",(PA[[#This Row],[Work Start time on Fault]]-PA[[#This Row],[Fault Time]])*24)</f>
        <v>8.3333333333333037E-2</v>
      </c>
      <c r="AD493" s="112">
        <f>IF(PA[[#This Row],[Status]]="Open","",(PA[[#This Row],[Work Completion time on fault]]-PA[[#This Row],[Fault Time]])*24)</f>
        <v>0.60000000000000053</v>
      </c>
      <c r="AE493" s="111">
        <f>IFERROR((PA[[#This Row],[Work Completion time on fault]]-PA[[#This Row],[Fault Time]])*24,"")</f>
        <v>0.60000000000000053</v>
      </c>
      <c r="AF493" s="228" t="s">
        <v>1304</v>
      </c>
      <c r="AG493" s="6" t="s">
        <v>1275</v>
      </c>
      <c r="AH493" s="53">
        <f>IFERROR(PA[[#This Row],[Breakdown Time]]*PA[[#This Row],[Plant Equivalent Weightage]],"")</f>
        <v>1.7110112359550575E-3</v>
      </c>
      <c r="AI493" s="59">
        <v>2.41</v>
      </c>
      <c r="AJ493" s="89">
        <f>IFERROR(IF(PA[[#This Row],[Lost PoA(kWh/m2)]]&gt;0,_xlfn.XLOOKUP(G493,'Modelling New'!$D:$D,'Modelling New'!$O:$O)*PA[[#This Row],[Lost PoA(kWh/m2)]]*S493,0),"")</f>
        <v>348.71045675616296</v>
      </c>
      <c r="AK493" s="365"/>
      <c r="AL493" s="365"/>
    </row>
    <row r="494" spans="1:38" ht="30" x14ac:dyDescent="0.25">
      <c r="A494" s="229">
        <v>2186</v>
      </c>
      <c r="B494" s="376">
        <v>45839</v>
      </c>
      <c r="C494" s="163">
        <v>2025</v>
      </c>
      <c r="D494" s="348">
        <f>YEAR(PA[[#This Row],[Date]])</f>
        <v>2025</v>
      </c>
      <c r="E494" s="373" t="s">
        <v>73</v>
      </c>
      <c r="F494" s="374" t="s">
        <v>73</v>
      </c>
      <c r="G494" s="323">
        <v>45809</v>
      </c>
      <c r="H494">
        <f>DAY(EOMONTH(PA[[#This Row],[Date]], 0))</f>
        <v>31</v>
      </c>
      <c r="I494" s="361">
        <v>0.23194444444444443</v>
      </c>
      <c r="J494" s="361">
        <v>0.77986111111111101</v>
      </c>
      <c r="K494" s="53">
        <f>IFERROR((PA[[#This Row],[Sunset Time (POA&lt;20 W/m2)]]-PA[[#This Row],[Sunrise Time (POA&gt;20 W/m2)]])*24,"")</f>
        <v>13.149999999999999</v>
      </c>
      <c r="L494" s="59" t="s">
        <v>621</v>
      </c>
      <c r="M494" s="59"/>
      <c r="N494" s="59"/>
      <c r="O494" s="59" t="s">
        <v>637</v>
      </c>
      <c r="P494" s="56"/>
      <c r="Q494" s="6"/>
      <c r="R49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494" s="53">
        <v>12</v>
      </c>
      <c r="T494" s="90">
        <f>IFERROR(_xlfn.XLOOKUP(PA[[#This Row],[Affected Equipment ]],'Basic Data '!A:A,'Basic Data '!C:C),"")</f>
        <v>4.0000000000000001E-3</v>
      </c>
      <c r="U494" s="59" t="s">
        <v>1260</v>
      </c>
      <c r="V494" s="88"/>
      <c r="W494" s="265" t="s">
        <v>1271</v>
      </c>
      <c r="X494" s="359">
        <v>0.23194444444444443</v>
      </c>
      <c r="Y494" s="359">
        <v>0.23194444444444443</v>
      </c>
      <c r="Z494" s="359"/>
      <c r="AA494" s="359">
        <v>0.77986111111111101</v>
      </c>
      <c r="AB494" s="158">
        <f>IF(PA[[#This Row],[Acknowledgement Time ]]="NA","",(PA[[#This Row],[Acknowledgement Time ]]-PA[[#This Row],[Fault Time]])*24)</f>
        <v>0</v>
      </c>
      <c r="AC494" s="158">
        <f>IF(PA[[#This Row],[Work Start time on Fault]]="NA","",(PA[[#This Row],[Work Start time on Fault]]-PA[[#This Row],[Fault Time]])*24)</f>
        <v>-5.5666666666666664</v>
      </c>
      <c r="AD494" s="112">
        <f>IF(PA[[#This Row],[Status]]="Open","",(PA[[#This Row],[Work Completion time on fault]]-PA[[#This Row],[Fault Time]])*24)</f>
        <v>13.149999999999999</v>
      </c>
      <c r="AE494" s="111">
        <f>IFERROR((PA[[#This Row],[Work Completion time on fault]]-PA[[#This Row],[Fault Time]])*24,"")</f>
        <v>13.149999999999999</v>
      </c>
      <c r="AF494" s="228" t="s">
        <v>1271</v>
      </c>
      <c r="AG494" s="6" t="s">
        <v>1275</v>
      </c>
      <c r="AH494" s="53">
        <f>IFERROR(PA[[#This Row],[Breakdown Time]]*PA[[#This Row],[Plant Equivalent Weightage]],"")</f>
        <v>5.2599999999999994E-2</v>
      </c>
      <c r="AI494" s="59">
        <v>2.41</v>
      </c>
      <c r="AJ494" s="89">
        <f>IFERROR(IF(PA[[#This Row],[Lost PoA(kWh/m2)]]&gt;0,_xlfn.XLOOKUP(G494,'Modelling New'!$D:$D,'Modelling New'!$O:$O)*PA[[#This Row],[Lost PoA(kWh/m2)]]*S494,0),"")</f>
        <v>21.983322726944866</v>
      </c>
    </row>
    <row r="495" spans="1:38" ht="30" x14ac:dyDescent="0.25">
      <c r="A495" s="377">
        <v>2187</v>
      </c>
      <c r="B495" s="376">
        <v>45839</v>
      </c>
      <c r="C495" s="163">
        <v>2025</v>
      </c>
      <c r="D495" s="364">
        <f>YEAR(PA[[#This Row],[Date]])</f>
        <v>2025</v>
      </c>
      <c r="E495" s="373" t="s">
        <v>73</v>
      </c>
      <c r="F495" s="374" t="s">
        <v>73</v>
      </c>
      <c r="G495" s="323">
        <v>45809</v>
      </c>
      <c r="H495" s="365">
        <f>DAY(EOMONTH(PA[[#This Row],[Date]], 0))</f>
        <v>31</v>
      </c>
      <c r="I495" s="361">
        <v>0.23194444444444443</v>
      </c>
      <c r="J495" s="361">
        <v>0.77986111111111101</v>
      </c>
      <c r="K495" s="131">
        <f>IFERROR((PA[[#This Row],[Sunset Time (POA&lt;20 W/m2)]]-PA[[#This Row],[Sunrise Time (POA&gt;20 W/m2)]])*24,"")</f>
        <v>13.149999999999999</v>
      </c>
      <c r="L495" s="128" t="s">
        <v>621</v>
      </c>
      <c r="M495" s="128"/>
      <c r="N495" s="128"/>
      <c r="O495" s="128" t="s">
        <v>612</v>
      </c>
      <c r="P495" s="130"/>
      <c r="Q495" s="129"/>
      <c r="R495"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495" s="131">
        <v>12</v>
      </c>
      <c r="T495" s="132">
        <f>IFERROR(_xlfn.XLOOKUP(PA[[#This Row],[Affected Equipment ]],'Basic Data '!A:A,'Basic Data '!C:C),"")</f>
        <v>4.4999999999999997E-3</v>
      </c>
      <c r="U495" s="128" t="s">
        <v>1260</v>
      </c>
      <c r="V495" s="117"/>
      <c r="W495" s="375" t="s">
        <v>1311</v>
      </c>
      <c r="X495" s="359">
        <v>0.23194444444444443</v>
      </c>
      <c r="Y495" s="359">
        <v>0.23194444444444443</v>
      </c>
      <c r="Z495" s="366"/>
      <c r="AA495" s="359">
        <v>0.77986111111111101</v>
      </c>
      <c r="AB495" s="159">
        <f>IF(PA[[#This Row],[Acknowledgement Time ]]="NA","",(PA[[#This Row],[Acknowledgement Time ]]-PA[[#This Row],[Fault Time]])*24)</f>
        <v>0</v>
      </c>
      <c r="AC495" s="159">
        <f>IF(PA[[#This Row],[Work Start time on Fault]]="NA","",(PA[[#This Row],[Work Start time on Fault]]-PA[[#This Row],[Fault Time]])*24)</f>
        <v>-5.5666666666666664</v>
      </c>
      <c r="AD495" s="135">
        <f>IF(PA[[#This Row],[Status]]="Open","",(PA[[#This Row],[Work Completion time on fault]]-PA[[#This Row],[Fault Time]])*24)</f>
        <v>13.149999999999999</v>
      </c>
      <c r="AE495" s="134">
        <f>IFERROR((PA[[#This Row],[Work Completion time on fault]]-PA[[#This Row],[Fault Time]])*24,"")</f>
        <v>13.149999999999999</v>
      </c>
      <c r="AF495" s="226" t="s">
        <v>1311</v>
      </c>
      <c r="AG495" s="6" t="s">
        <v>1275</v>
      </c>
      <c r="AH495" s="131">
        <f>IFERROR(PA[[#This Row],[Breakdown Time]]*PA[[#This Row],[Plant Equivalent Weightage]],"")</f>
        <v>5.9174999999999991E-2</v>
      </c>
      <c r="AI495" s="59">
        <v>2.41</v>
      </c>
      <c r="AJ495" s="89">
        <f>IFERROR(IF(PA[[#This Row],[Lost PoA(kWh/m2)]]&gt;0,_xlfn.XLOOKUP(G495,'Modelling New'!$D:$D,'Modelling New'!$O:$O)*PA[[#This Row],[Lost PoA(kWh/m2)]]*S495,0),"")</f>
        <v>21.983322726944866</v>
      </c>
      <c r="AK495" s="365"/>
      <c r="AL495" s="365"/>
    </row>
    <row r="496" spans="1:38" ht="60" x14ac:dyDescent="0.25">
      <c r="A496" s="229">
        <v>2188</v>
      </c>
      <c r="B496" s="376">
        <v>45840</v>
      </c>
      <c r="C496" s="163">
        <v>2025</v>
      </c>
      <c r="D496" s="348">
        <f>YEAR(PA[[#This Row],[Date]])</f>
        <v>2025</v>
      </c>
      <c r="E496" s="373" t="s">
        <v>73</v>
      </c>
      <c r="F496" s="374" t="s">
        <v>73</v>
      </c>
      <c r="G496" s="323">
        <v>45809</v>
      </c>
      <c r="H496" s="354">
        <f>DAY(EOMONTH(PA[[#This Row],[Date]], 0))</f>
        <v>31</v>
      </c>
      <c r="I496" s="10">
        <v>0.21805555555555556</v>
      </c>
      <c r="J496" s="10">
        <v>0.77638888888888891</v>
      </c>
      <c r="K496" s="53">
        <f>IFERROR((PA[[#This Row],[Sunset Time (POA&lt;20 W/m2)]]-PA[[#This Row],[Sunrise Time (POA&gt;20 W/m2)]])*24,"")</f>
        <v>13.4</v>
      </c>
      <c r="L496" s="59" t="s">
        <v>559</v>
      </c>
      <c r="M496" s="59"/>
      <c r="N496" s="59"/>
      <c r="O496" s="59" t="s">
        <v>654</v>
      </c>
      <c r="P496" s="56"/>
      <c r="Q496" s="6"/>
      <c r="R49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BLK2INV26</v>
      </c>
      <c r="S496" s="53">
        <f>_xlfn.XLOOKUP(PA[[#This Row],[Affected Equipment ]],'Basic Data '!$A:$A,'Basic Data '!$B:$B)</f>
        <v>300.375</v>
      </c>
      <c r="T496" s="90">
        <f>IFERROR(_xlfn.XLOOKUP(PA[[#This Row],[Affected Equipment ]],'Basic Data '!A:A,'Basic Data '!C:C),"")</f>
        <v>4.4999999999999997E-3</v>
      </c>
      <c r="U496" s="59" t="s">
        <v>1312</v>
      </c>
      <c r="V496" s="88"/>
      <c r="W496" s="265" t="s">
        <v>1293</v>
      </c>
      <c r="X496" s="359">
        <v>0.21805555555555556</v>
      </c>
      <c r="Y496" s="359">
        <v>0.25</v>
      </c>
      <c r="Z496" s="359">
        <v>0.32291666666666669</v>
      </c>
      <c r="AA496" s="359">
        <v>0.34722222222222221</v>
      </c>
      <c r="AB496" s="158">
        <f>IF(PA[[#This Row],[Acknowledgement Time ]]="NA","",(PA[[#This Row],[Acknowledgement Time ]]-PA[[#This Row],[Fault Time]])*24)</f>
        <v>0.76666666666666661</v>
      </c>
      <c r="AC496" s="158">
        <f>IF(PA[[#This Row],[Work Start time on Fault]]="NA","",(PA[[#This Row],[Work Start time on Fault]]-PA[[#This Row],[Fault Time]])*24)</f>
        <v>2.5166666666666671</v>
      </c>
      <c r="AD496" s="112">
        <f>IF(PA[[#This Row],[Status]]="Open","",(PA[[#This Row],[Work Completion time on fault]]-PA[[#This Row],[Fault Time]])*24)</f>
        <v>3.0999999999999996</v>
      </c>
      <c r="AE496" s="111">
        <f>IFERROR((PA[[#This Row],[Work Completion time on fault]]-PA[[#This Row],[Fault Time]])*24,"")</f>
        <v>3.0999999999999996</v>
      </c>
      <c r="AF496" s="228" t="s">
        <v>1293</v>
      </c>
      <c r="AG496" s="6" t="s">
        <v>1275</v>
      </c>
      <c r="AH496" s="53">
        <f>IFERROR(PA[[#This Row],[Breakdown Time]]*PA[[#This Row],[Plant Equivalent Weightage]],"")</f>
        <v>1.3949999999999997E-2</v>
      </c>
      <c r="AI496" s="59">
        <v>0.34499999999999997</v>
      </c>
      <c r="AJ496" s="89">
        <f>IFERROR(IF(PA[[#This Row],[Lost PoA(kWh/m2)]]&gt;0,_xlfn.XLOOKUP(G496,'Modelling New'!$D:$D,'Modelling New'!$O:$O)*PA[[#This Row],[Lost PoA(kWh/m2)]]*S496,0),"")</f>
        <v>78.773098015788094</v>
      </c>
      <c r="AK496" s="354"/>
      <c r="AL496" s="354"/>
    </row>
    <row r="497" spans="1:38" ht="60" x14ac:dyDescent="0.25">
      <c r="A497" s="377">
        <v>2189</v>
      </c>
      <c r="B497" s="376">
        <v>45840</v>
      </c>
      <c r="C497" s="163">
        <v>2025</v>
      </c>
      <c r="D497" s="348">
        <f>YEAR(PA[[#This Row],[Date]])</f>
        <v>2025</v>
      </c>
      <c r="E497" s="373" t="s">
        <v>73</v>
      </c>
      <c r="F497" s="374" t="s">
        <v>73</v>
      </c>
      <c r="G497" s="323">
        <v>45809</v>
      </c>
      <c r="H497" s="354">
        <f>DAY(EOMONTH(PA[[#This Row],[Date]], 0))</f>
        <v>31</v>
      </c>
      <c r="I497" s="10">
        <v>0.21805555555555556</v>
      </c>
      <c r="J497" s="10">
        <v>0.77638888888888891</v>
      </c>
      <c r="K497" s="53">
        <f>IFERROR((PA[[#This Row],[Sunset Time (POA&lt;20 W/m2)]]-PA[[#This Row],[Sunrise Time (POA&gt;20 W/m2)]])*24,"")</f>
        <v>13.4</v>
      </c>
      <c r="L497" s="59" t="s">
        <v>615</v>
      </c>
      <c r="M497" s="59"/>
      <c r="N497" s="59"/>
      <c r="O497" s="59" t="s">
        <v>600</v>
      </c>
      <c r="P497" s="56"/>
      <c r="Q497" s="6"/>
      <c r="R49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BLK6INV17</v>
      </c>
      <c r="S497" s="53">
        <f>_xlfn.XLOOKUP(PA[[#This Row],[Affected Equipment ]],'Basic Data '!$A:$A,'Basic Data '!$B:$B)</f>
        <v>275</v>
      </c>
      <c r="T497" s="90">
        <f>IFERROR(_xlfn.XLOOKUP(PA[[#This Row],[Affected Equipment ]],'Basic Data '!A:A,'Basic Data '!C:C),"")</f>
        <v>4.1198501872659176E-3</v>
      </c>
      <c r="U497" s="59" t="s">
        <v>1312</v>
      </c>
      <c r="V497" s="88"/>
      <c r="W497" s="265" t="s">
        <v>1293</v>
      </c>
      <c r="X497" s="359">
        <v>0.21805555555555556</v>
      </c>
      <c r="Y497" s="359">
        <v>0.25</v>
      </c>
      <c r="Z497" s="359">
        <v>0.3576388888888889</v>
      </c>
      <c r="AA497" s="359">
        <v>0.37152777777777773</v>
      </c>
      <c r="AB497" s="158">
        <f>IF(PA[[#This Row],[Acknowledgement Time ]]="NA","",(PA[[#This Row],[Acknowledgement Time ]]-PA[[#This Row],[Fault Time]])*24)</f>
        <v>0.76666666666666661</v>
      </c>
      <c r="AC497" s="158">
        <f>IF(PA[[#This Row],[Work Start time on Fault]]="NA","",(PA[[#This Row],[Work Start time on Fault]]-PA[[#This Row],[Fault Time]])*24)</f>
        <v>3.35</v>
      </c>
      <c r="AD497" s="112">
        <f>IF(PA[[#This Row],[Status]]="Open","",(PA[[#This Row],[Work Completion time on fault]]-PA[[#This Row],[Fault Time]])*24)</f>
        <v>3.6833333333333322</v>
      </c>
      <c r="AE497" s="111">
        <f>IFERROR((PA[[#This Row],[Work Completion time on fault]]-PA[[#This Row],[Fault Time]])*24,"")</f>
        <v>3.6833333333333322</v>
      </c>
      <c r="AF497" s="228" t="s">
        <v>1293</v>
      </c>
      <c r="AG497" s="6" t="s">
        <v>1275</v>
      </c>
      <c r="AH497" s="53">
        <f>IFERROR(PA[[#This Row],[Breakdown Time]]*PA[[#This Row],[Plant Equivalent Weightage]],"")</f>
        <v>1.5174781523096125E-2</v>
      </c>
      <c r="AI497" s="59">
        <v>0.45600000000000002</v>
      </c>
      <c r="AJ497" s="89">
        <f>IFERROR(IF(PA[[#This Row],[Lost PoA(kWh/m2)]]&gt;0,_xlfn.XLOOKUP(G497,'Modelling New'!$D:$D,'Modelling New'!$O:$O)*PA[[#This Row],[Lost PoA(kWh/m2)]]*S497,0),"")</f>
        <v>95.321876554594965</v>
      </c>
      <c r="AK497" s="354"/>
      <c r="AL497" s="354"/>
    </row>
    <row r="498" spans="1:38" ht="60" x14ac:dyDescent="0.25">
      <c r="A498" s="229">
        <v>2190</v>
      </c>
      <c r="B498" s="376">
        <v>45840</v>
      </c>
      <c r="C498" s="163">
        <v>2025</v>
      </c>
      <c r="D498" s="348">
        <f>YEAR(PA[[#This Row],[Date]])</f>
        <v>2025</v>
      </c>
      <c r="E498" s="373" t="s">
        <v>73</v>
      </c>
      <c r="F498" s="374" t="s">
        <v>73</v>
      </c>
      <c r="G498" s="323">
        <v>45809</v>
      </c>
      <c r="H498" s="354">
        <f>DAY(EOMONTH(PA[[#This Row],[Date]], 0))</f>
        <v>31</v>
      </c>
      <c r="I498" s="10">
        <v>0.21805555555555556</v>
      </c>
      <c r="J498" s="10">
        <v>0.77638888888888891</v>
      </c>
      <c r="K498" s="53">
        <f>IFERROR((PA[[#This Row],[Sunset Time (POA&lt;20 W/m2)]]-PA[[#This Row],[Sunrise Time (POA&gt;20 W/m2)]])*24,"")</f>
        <v>13.4</v>
      </c>
      <c r="L498" s="59" t="s">
        <v>606</v>
      </c>
      <c r="M498" s="59"/>
      <c r="N498" s="59"/>
      <c r="O498" s="59" t="s">
        <v>607</v>
      </c>
      <c r="P498" s="56"/>
      <c r="Q498" s="6"/>
      <c r="R49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BLK7INV3</v>
      </c>
      <c r="S498" s="53">
        <f>_xlfn.XLOOKUP(PA[[#This Row],[Affected Equipment ]],'Basic Data '!$A:$A,'Basic Data '!$B:$B)</f>
        <v>264</v>
      </c>
      <c r="T498" s="90">
        <f>IFERROR(_xlfn.XLOOKUP(PA[[#This Row],[Affected Equipment ]],'Basic Data '!A:A,'Basic Data '!C:C),"")</f>
        <v>3.9550561797752808E-3</v>
      </c>
      <c r="U498" s="59" t="s">
        <v>1312</v>
      </c>
      <c r="V498" s="88"/>
      <c r="W498" s="265" t="s">
        <v>1293</v>
      </c>
      <c r="X498" s="359">
        <v>0.21805555555555556</v>
      </c>
      <c r="Y498" s="359">
        <v>0.25</v>
      </c>
      <c r="Z498" s="359">
        <v>0.29166666666666669</v>
      </c>
      <c r="AA498" s="359">
        <v>0.3125</v>
      </c>
      <c r="AB498" s="158">
        <f>IF(PA[[#This Row],[Acknowledgement Time ]]="NA","",(PA[[#This Row],[Acknowledgement Time ]]-PA[[#This Row],[Fault Time]])*24)</f>
        <v>0.76666666666666661</v>
      </c>
      <c r="AC498" s="158">
        <f>IF(PA[[#This Row],[Work Start time on Fault]]="NA","",(PA[[#This Row],[Work Start time on Fault]]-PA[[#This Row],[Fault Time]])*24)</f>
        <v>1.7666666666666671</v>
      </c>
      <c r="AD498" s="112">
        <f>IF(PA[[#This Row],[Status]]="Open","",(PA[[#This Row],[Work Completion time on fault]]-PA[[#This Row],[Fault Time]])*24)</f>
        <v>2.2666666666666666</v>
      </c>
      <c r="AE498" s="111">
        <f>IFERROR((PA[[#This Row],[Work Completion time on fault]]-PA[[#This Row],[Fault Time]])*24,"")</f>
        <v>2.2666666666666666</v>
      </c>
      <c r="AF498" s="228" t="s">
        <v>1293</v>
      </c>
      <c r="AG498" s="6" t="s">
        <v>1275</v>
      </c>
      <c r="AH498" s="53">
        <f>IFERROR(PA[[#This Row],[Breakdown Time]]*PA[[#This Row],[Plant Equivalent Weightage]],"")</f>
        <v>8.9647940074906365E-3</v>
      </c>
      <c r="AI498" s="59">
        <v>0.14699999999999999</v>
      </c>
      <c r="AJ498" s="89">
        <f>IFERROR(IF(PA[[#This Row],[Lost PoA(kWh/m2)]]&gt;0,_xlfn.XLOOKUP(G498,'Modelling New'!$D:$D,'Modelling New'!$O:$O)*PA[[#This Row],[Lost PoA(kWh/m2)]]*S498,0),"")</f>
        <v>29.49961232321149</v>
      </c>
      <c r="AK498" s="354"/>
      <c r="AL498" s="354"/>
    </row>
    <row r="499" spans="1:38" ht="60" x14ac:dyDescent="0.25">
      <c r="A499" s="377">
        <v>2191</v>
      </c>
      <c r="B499" s="376">
        <v>45840</v>
      </c>
      <c r="C499" s="163">
        <v>2025</v>
      </c>
      <c r="D499" s="348">
        <f>YEAR(PA[[#This Row],[Date]])</f>
        <v>2025</v>
      </c>
      <c r="E499" s="373" t="s">
        <v>73</v>
      </c>
      <c r="F499" s="374" t="s">
        <v>73</v>
      </c>
      <c r="G499" s="323">
        <v>45809</v>
      </c>
      <c r="H499" s="354">
        <f>DAY(EOMONTH(PA[[#This Row],[Date]], 0))</f>
        <v>31</v>
      </c>
      <c r="I499" s="10">
        <v>0.21805555555555556</v>
      </c>
      <c r="J499" s="10">
        <v>0.77638888888888891</v>
      </c>
      <c r="K499" s="53">
        <f>IFERROR((PA[[#This Row],[Sunset Time (POA&lt;20 W/m2)]]-PA[[#This Row],[Sunrise Time (POA&gt;20 W/m2)]])*24,"")</f>
        <v>13.4</v>
      </c>
      <c r="L499" s="59" t="s">
        <v>606</v>
      </c>
      <c r="M499" s="59"/>
      <c r="N499" s="59"/>
      <c r="O499" s="59" t="s">
        <v>598</v>
      </c>
      <c r="P499" s="56"/>
      <c r="Q499" s="6"/>
      <c r="R49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BLK7INV6</v>
      </c>
      <c r="S499" s="53">
        <f>_xlfn.XLOOKUP(PA[[#This Row],[Affected Equipment ]],'Basic Data '!$A:$A,'Basic Data '!$B:$B)</f>
        <v>264</v>
      </c>
      <c r="T499" s="90">
        <f>IFERROR(_xlfn.XLOOKUP(PA[[#This Row],[Affected Equipment ]],'Basic Data '!A:A,'Basic Data '!C:C),"")</f>
        <v>3.9550561797752808E-3</v>
      </c>
      <c r="U499" s="59" t="s">
        <v>1312</v>
      </c>
      <c r="V499" s="88"/>
      <c r="W499" s="265" t="s">
        <v>1293</v>
      </c>
      <c r="X499" s="359">
        <v>0.21805555555555556</v>
      </c>
      <c r="Y499" s="359">
        <v>0.25</v>
      </c>
      <c r="Z499" s="359">
        <v>0.31944444444444448</v>
      </c>
      <c r="AA499" s="359">
        <v>0.33541666666666664</v>
      </c>
      <c r="AB499" s="158">
        <f>IF(PA[[#This Row],[Acknowledgement Time ]]="NA","",(PA[[#This Row],[Acknowledgement Time ]]-PA[[#This Row],[Fault Time]])*24)</f>
        <v>0.76666666666666661</v>
      </c>
      <c r="AC499" s="158">
        <f>IF(PA[[#This Row],[Work Start time on Fault]]="NA","",(PA[[#This Row],[Work Start time on Fault]]-PA[[#This Row],[Fault Time]])*24)</f>
        <v>2.433333333333334</v>
      </c>
      <c r="AD499" s="112">
        <f>IF(PA[[#This Row],[Status]]="Open","",(PA[[#This Row],[Work Completion time on fault]]-PA[[#This Row],[Fault Time]])*24)</f>
        <v>2.816666666666666</v>
      </c>
      <c r="AE499" s="111">
        <f>IFERROR((PA[[#This Row],[Work Completion time on fault]]-PA[[#This Row],[Fault Time]])*24,"")</f>
        <v>2.816666666666666</v>
      </c>
      <c r="AF499" s="228" t="s">
        <v>1293</v>
      </c>
      <c r="AG499" s="6" t="s">
        <v>1275</v>
      </c>
      <c r="AH499" s="53">
        <f>IFERROR(PA[[#This Row],[Breakdown Time]]*PA[[#This Row],[Plant Equivalent Weightage]],"")</f>
        <v>1.1140074906367039E-2</v>
      </c>
      <c r="AI499" s="59">
        <v>0.20399999999999999</v>
      </c>
      <c r="AJ499" s="89">
        <f>IFERROR(IF(PA[[#This Row],[Lost PoA(kWh/m2)]]&gt;0,_xlfn.XLOOKUP(G499,'Modelling New'!$D:$D,'Modelling New'!$O:$O)*PA[[#This Row],[Lost PoA(kWh/m2)]]*S499,0),"")</f>
        <v>40.938237509762885</v>
      </c>
      <c r="AK499" s="354"/>
      <c r="AL499" s="354"/>
    </row>
    <row r="500" spans="1:38" ht="45" x14ac:dyDescent="0.25">
      <c r="A500" s="229">
        <v>2192</v>
      </c>
      <c r="B500" s="376">
        <v>45840</v>
      </c>
      <c r="C500" s="163">
        <v>2025</v>
      </c>
      <c r="D500" s="348">
        <f>YEAR(PA[[#This Row],[Date]])</f>
        <v>2025</v>
      </c>
      <c r="E500" s="373" t="s">
        <v>73</v>
      </c>
      <c r="F500" s="374" t="s">
        <v>73</v>
      </c>
      <c r="G500" s="323">
        <v>45809</v>
      </c>
      <c r="H500" s="354">
        <f>DAY(EOMONTH(PA[[#This Row],[Date]], 0))</f>
        <v>31</v>
      </c>
      <c r="I500" s="10">
        <v>0.21805555555555556</v>
      </c>
      <c r="J500" s="10">
        <v>0.77638888888888891</v>
      </c>
      <c r="K500" s="53">
        <f>IFERROR((PA[[#This Row],[Sunset Time (POA&lt;20 W/m2)]]-PA[[#This Row],[Sunrise Time (POA&gt;20 W/m2)]])*24,"")</f>
        <v>13.4</v>
      </c>
      <c r="L500" s="59" t="s">
        <v>559</v>
      </c>
      <c r="M500" s="59"/>
      <c r="N500" s="59"/>
      <c r="O500" s="59" t="s">
        <v>580</v>
      </c>
      <c r="P500" s="56"/>
      <c r="Q500" s="6"/>
      <c r="R50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BLK2INV31</v>
      </c>
      <c r="S500" s="53">
        <f>_xlfn.XLOOKUP(PA[[#This Row],[Affected Equipment ]],'Basic Data '!$A:$A,'Basic Data '!$B:$B)</f>
        <v>267</v>
      </c>
      <c r="T500" s="90">
        <f>IFERROR(_xlfn.XLOOKUP(PA[[#This Row],[Affected Equipment ]],'Basic Data '!A:A,'Basic Data '!C:C),"")</f>
        <v>4.0000000000000001E-3</v>
      </c>
      <c r="U500" s="59" t="s">
        <v>1312</v>
      </c>
      <c r="V500" s="88"/>
      <c r="W500" s="265" t="s">
        <v>1322</v>
      </c>
      <c r="X500" s="359">
        <v>0.21805555555555556</v>
      </c>
      <c r="Y500" s="359">
        <v>0.25</v>
      </c>
      <c r="Z500" s="359">
        <v>0.40625</v>
      </c>
      <c r="AA500" s="359">
        <v>0.4236111111111111</v>
      </c>
      <c r="AB500" s="158">
        <f>IF(PA[[#This Row],[Acknowledgement Time ]]="NA","",(PA[[#This Row],[Acknowledgement Time ]]-PA[[#This Row],[Fault Time]])*24)</f>
        <v>0.76666666666666661</v>
      </c>
      <c r="AC500" s="158">
        <f>IF(PA[[#This Row],[Work Start time on Fault]]="NA","",(PA[[#This Row],[Work Start time on Fault]]-PA[[#This Row],[Fault Time]])*24)</f>
        <v>4.5166666666666666</v>
      </c>
      <c r="AD500" s="112">
        <f>IF(PA[[#This Row],[Status]]="Open","",(PA[[#This Row],[Work Completion time on fault]]-PA[[#This Row],[Fault Time]])*24)</f>
        <v>4.9333333333333336</v>
      </c>
      <c r="AE500" s="111">
        <f>IFERROR((PA[[#This Row],[Work Completion time on fault]]-PA[[#This Row],[Fault Time]])*24,"")</f>
        <v>4.9333333333333336</v>
      </c>
      <c r="AF500" s="228" t="s">
        <v>1322</v>
      </c>
      <c r="AG500" s="6" t="s">
        <v>1275</v>
      </c>
      <c r="AH500" s="53">
        <f>IFERROR(PA[[#This Row],[Breakdown Time]]*PA[[#This Row],[Plant Equivalent Weightage]],"")</f>
        <v>1.9733333333333335E-2</v>
      </c>
      <c r="AI500" s="59">
        <v>0.69799999999999995</v>
      </c>
      <c r="AJ500" s="89">
        <f>IFERROR(IF(PA[[#This Row],[Lost PoA(kWh/m2)]]&gt;0,_xlfn.XLOOKUP(G500,'Modelling New'!$D:$D,'Modelling New'!$O:$O)*PA[[#This Row],[Lost PoA(kWh/m2)]]*S500,0),"")</f>
        <v>141.66472763934323</v>
      </c>
      <c r="AK500" s="354"/>
      <c r="AL500" s="354"/>
    </row>
    <row r="501" spans="1:38" ht="45" x14ac:dyDescent="0.25">
      <c r="A501" s="377">
        <v>2193</v>
      </c>
      <c r="B501" s="376">
        <v>45840</v>
      </c>
      <c r="C501" s="163">
        <v>2025</v>
      </c>
      <c r="D501" s="348">
        <f>YEAR(PA[[#This Row],[Date]])</f>
        <v>2025</v>
      </c>
      <c r="E501" s="373" t="s">
        <v>73</v>
      </c>
      <c r="F501" s="374" t="s">
        <v>73</v>
      </c>
      <c r="G501" s="323">
        <v>45809</v>
      </c>
      <c r="H501" s="354">
        <f>DAY(EOMONTH(PA[[#This Row],[Date]], 0))</f>
        <v>31</v>
      </c>
      <c r="I501" s="10">
        <v>0.21805555555555556</v>
      </c>
      <c r="J501" s="10">
        <v>0.77638888888888891</v>
      </c>
      <c r="K501" s="53">
        <f>IFERROR((PA[[#This Row],[Sunset Time (POA&lt;20 W/m2)]]-PA[[#This Row],[Sunrise Time (POA&gt;20 W/m2)]])*24,"")</f>
        <v>13.4</v>
      </c>
      <c r="L501" s="59" t="s">
        <v>621</v>
      </c>
      <c r="M501" s="59"/>
      <c r="N501" s="59"/>
      <c r="O501" s="59" t="s">
        <v>571</v>
      </c>
      <c r="P501" s="56"/>
      <c r="Q501" s="6"/>
      <c r="R50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v>
      </c>
      <c r="S501" s="53">
        <f>_xlfn.XLOOKUP(PA[[#This Row],[Affected Equipment ]],'Basic Data '!$A:$A,'Basic Data '!$B:$B)</f>
        <v>267</v>
      </c>
      <c r="T501" s="90">
        <f>IFERROR(_xlfn.XLOOKUP(PA[[#This Row],[Affected Equipment ]],'Basic Data '!A:A,'Basic Data '!C:C),"")</f>
        <v>4.0000000000000001E-3</v>
      </c>
      <c r="U501" s="59" t="s">
        <v>1312</v>
      </c>
      <c r="V501" s="88"/>
      <c r="W501" s="265" t="s">
        <v>1323</v>
      </c>
      <c r="X501" s="359">
        <v>0.21805555555555556</v>
      </c>
      <c r="Y501" s="359">
        <v>0.25</v>
      </c>
      <c r="Z501" s="359">
        <v>0.42708333333333331</v>
      </c>
      <c r="AA501" s="359">
        <v>0.44444444444444442</v>
      </c>
      <c r="AB501" s="158">
        <f>IF(PA[[#This Row],[Acknowledgement Time ]]="NA","",(PA[[#This Row],[Acknowledgement Time ]]-PA[[#This Row],[Fault Time]])*24)</f>
        <v>0.76666666666666661</v>
      </c>
      <c r="AC501" s="158">
        <f>IF(PA[[#This Row],[Work Start time on Fault]]="NA","",(PA[[#This Row],[Work Start time on Fault]]-PA[[#This Row],[Fault Time]])*24)</f>
        <v>5.0166666666666657</v>
      </c>
      <c r="AD501" s="112">
        <f>IF(PA[[#This Row],[Status]]="Open","",(PA[[#This Row],[Work Completion time on fault]]-PA[[#This Row],[Fault Time]])*24)</f>
        <v>5.4333333333333327</v>
      </c>
      <c r="AE501" s="111">
        <f>IFERROR((PA[[#This Row],[Work Completion time on fault]]-PA[[#This Row],[Fault Time]])*24,"")</f>
        <v>5.4333333333333327</v>
      </c>
      <c r="AF501" s="228" t="s">
        <v>1323</v>
      </c>
      <c r="AG501" s="6" t="s">
        <v>1275</v>
      </c>
      <c r="AH501" s="53">
        <f>IFERROR(PA[[#This Row],[Breakdown Time]]*PA[[#This Row],[Plant Equivalent Weightage]],"")</f>
        <v>2.173333333333333E-2</v>
      </c>
      <c r="AI501" s="59">
        <v>0.89100000000000001</v>
      </c>
      <c r="AJ501" s="89">
        <f>IFERROR(IF(PA[[#This Row],[Lost PoA(kWh/m2)]]&gt;0,_xlfn.XLOOKUP(G501,'Modelling New'!$D:$D,'Modelling New'!$O:$O)*PA[[#This Row],[Lost PoA(kWh/m2)]]*S501,0),"")</f>
        <v>180.83563370580922</v>
      </c>
      <c r="AK501" s="354"/>
      <c r="AL501" s="354"/>
    </row>
    <row r="502" spans="1:38" ht="30" x14ac:dyDescent="0.25">
      <c r="A502" s="229">
        <v>2194</v>
      </c>
      <c r="B502" s="376">
        <v>45840</v>
      </c>
      <c r="C502" s="163">
        <v>2025</v>
      </c>
      <c r="D502" s="348">
        <f>YEAR(PA[[#This Row],[Date]])</f>
        <v>2025</v>
      </c>
      <c r="E502" s="373" t="s">
        <v>73</v>
      </c>
      <c r="F502" s="374" t="s">
        <v>73</v>
      </c>
      <c r="G502" s="323">
        <v>45809</v>
      </c>
      <c r="H502">
        <f>DAY(EOMONTH(PA[[#This Row],[Date]], 0))</f>
        <v>31</v>
      </c>
      <c r="I502" s="10">
        <v>0.21805555555555556</v>
      </c>
      <c r="J502" s="10">
        <v>0.77638888888888891</v>
      </c>
      <c r="K502" s="53">
        <f>IFERROR((PA[[#This Row],[Sunset Time (POA&lt;20 W/m2)]]-PA[[#This Row],[Sunrise Time (POA&gt;20 W/m2)]])*24,"")</f>
        <v>13.4</v>
      </c>
      <c r="L502" s="59" t="s">
        <v>621</v>
      </c>
      <c r="M502" s="59"/>
      <c r="N502" s="59"/>
      <c r="O502" s="59" t="s">
        <v>595</v>
      </c>
      <c r="P502" s="56"/>
      <c r="Q502" s="6"/>
      <c r="R50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BLK4INV11</v>
      </c>
      <c r="S502" s="53">
        <f>_xlfn.XLOOKUP(PA[[#This Row],[Affected Equipment ]],'Basic Data '!$A:$A,'Basic Data '!$B:$B)</f>
        <v>300.375</v>
      </c>
      <c r="T502" s="90">
        <f>IFERROR(_xlfn.XLOOKUP(PA[[#This Row],[Affected Equipment ]],'Basic Data '!A:A,'Basic Data '!C:C),"")</f>
        <v>4.4999999999999997E-3</v>
      </c>
      <c r="U502" s="59" t="s">
        <v>1312</v>
      </c>
      <c r="V502" s="88"/>
      <c r="W502" s="265" t="s">
        <v>1324</v>
      </c>
      <c r="X502" s="359">
        <v>0.21805555555555556</v>
      </c>
      <c r="Y502" s="359">
        <v>0.25</v>
      </c>
      <c r="Z502" s="359">
        <v>0.4513888888888889</v>
      </c>
      <c r="AA502" s="359">
        <v>0.46527777777777773</v>
      </c>
      <c r="AB502" s="158">
        <f>IF(PA[[#This Row],[Acknowledgement Time ]]="NA","",(PA[[#This Row],[Acknowledgement Time ]]-PA[[#This Row],[Fault Time]])*24)</f>
        <v>0.76666666666666661</v>
      </c>
      <c r="AC502" s="158">
        <f>IF(PA[[#This Row],[Work Start time on Fault]]="NA","",(PA[[#This Row],[Work Start time on Fault]]-PA[[#This Row],[Fault Time]])*24)</f>
        <v>5.6</v>
      </c>
      <c r="AD502" s="112">
        <f>IF(PA[[#This Row],[Status]]="Open","",(PA[[#This Row],[Work Completion time on fault]]-PA[[#This Row],[Fault Time]])*24)</f>
        <v>5.9333333333333318</v>
      </c>
      <c r="AE502" s="111">
        <f>IFERROR((PA[[#This Row],[Work Completion time on fault]]-PA[[#This Row],[Fault Time]])*24,"")</f>
        <v>5.9333333333333318</v>
      </c>
      <c r="AF502" s="228" t="s">
        <v>1324</v>
      </c>
      <c r="AG502" s="6" t="s">
        <v>1275</v>
      </c>
      <c r="AH502" s="53">
        <f>IFERROR(PA[[#This Row],[Breakdown Time]]*PA[[#This Row],[Plant Equivalent Weightage]],"")</f>
        <v>2.6699999999999991E-2</v>
      </c>
      <c r="AI502" s="59">
        <v>0.56299999999999994</v>
      </c>
      <c r="AJ502" s="89">
        <f>IFERROR(IF(PA[[#This Row],[Lost PoA(kWh/m2)]]&gt;0,_xlfn.XLOOKUP(G502,'Modelling New'!$D:$D,'Modelling New'!$O:$O)*PA[[#This Row],[Lost PoA(kWh/m2)]]*S502,0),"")</f>
        <v>128.54856284895274</v>
      </c>
    </row>
    <row r="503" spans="1:38" ht="45" x14ac:dyDescent="0.25">
      <c r="A503" s="377">
        <v>2195</v>
      </c>
      <c r="B503" s="376">
        <v>45840</v>
      </c>
      <c r="C503" s="163">
        <v>2025</v>
      </c>
      <c r="D503" s="348">
        <f>YEAR(PA[[#This Row],[Date]])</f>
        <v>2025</v>
      </c>
      <c r="E503" s="373" t="s">
        <v>73</v>
      </c>
      <c r="F503" s="374" t="s">
        <v>73</v>
      </c>
      <c r="G503" s="323">
        <v>45809</v>
      </c>
      <c r="H503">
        <f>DAY(EOMONTH(PA[[#This Row],[Date]], 0))</f>
        <v>31</v>
      </c>
      <c r="I503" s="10">
        <v>0.21805555555555556</v>
      </c>
      <c r="J503" s="10">
        <v>0.77638888888888891</v>
      </c>
      <c r="K503" s="53">
        <f>IFERROR((PA[[#This Row],[Sunset Time (POA&lt;20 W/m2)]]-PA[[#This Row],[Sunrise Time (POA&gt;20 W/m2)]])*24,"")</f>
        <v>13.4</v>
      </c>
      <c r="L503" s="59" t="s">
        <v>597</v>
      </c>
      <c r="M503" s="59"/>
      <c r="N503" s="59"/>
      <c r="O503" s="59" t="s">
        <v>721</v>
      </c>
      <c r="P503" s="56"/>
      <c r="Q503" s="6"/>
      <c r="R50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BLK3INV29</v>
      </c>
      <c r="S503" s="53">
        <f>_xlfn.XLOOKUP(PA[[#This Row],[Affected Equipment ]],'Basic Data '!$A:$A,'Basic Data '!$B:$B)</f>
        <v>289.25</v>
      </c>
      <c r="T503" s="90">
        <f>IFERROR(_xlfn.XLOOKUP(PA[[#This Row],[Affected Equipment ]],'Basic Data '!A:A,'Basic Data '!C:C),"")</f>
        <v>4.3333333333333331E-3</v>
      </c>
      <c r="U503" s="59" t="s">
        <v>1312</v>
      </c>
      <c r="V503" s="88"/>
      <c r="W503" s="265" t="s">
        <v>1325</v>
      </c>
      <c r="X503" s="359">
        <v>0.21805555555555556</v>
      </c>
      <c r="Y503" s="359">
        <v>0.25</v>
      </c>
      <c r="Z503" s="359">
        <v>0.37152777777777773</v>
      </c>
      <c r="AA503" s="359">
        <v>0.3888888888888889</v>
      </c>
      <c r="AB503" s="158">
        <f>IF(PA[[#This Row],[Acknowledgement Time ]]="NA","",(PA[[#This Row],[Acknowledgement Time ]]-PA[[#This Row],[Fault Time]])*24)</f>
        <v>0.76666666666666661</v>
      </c>
      <c r="AC503" s="158">
        <f>IF(PA[[#This Row],[Work Start time on Fault]]="NA","",(PA[[#This Row],[Work Start time on Fault]]-PA[[#This Row],[Fault Time]])*24)</f>
        <v>3.6833333333333322</v>
      </c>
      <c r="AD503" s="112">
        <f>IF(PA[[#This Row],[Status]]="Open","",(PA[[#This Row],[Work Completion time on fault]]-PA[[#This Row],[Fault Time]])*24)</f>
        <v>4.0999999999999996</v>
      </c>
      <c r="AE503" s="111">
        <f>IFERROR((PA[[#This Row],[Work Completion time on fault]]-PA[[#This Row],[Fault Time]])*24,"")</f>
        <v>4.0999999999999996</v>
      </c>
      <c r="AF503" s="228" t="s">
        <v>1325</v>
      </c>
      <c r="AG503" s="6" t="s">
        <v>1275</v>
      </c>
      <c r="AH503" s="53">
        <f>IFERROR(PA[[#This Row],[Breakdown Time]]*PA[[#This Row],[Plant Equivalent Weightage]],"")</f>
        <v>1.7766666666666663E-2</v>
      </c>
      <c r="AI503" s="59">
        <v>0.36299999999999999</v>
      </c>
      <c r="AJ503" s="89">
        <f>IFERROR(IF(PA[[#This Row],[Lost PoA(kWh/m2)]]&gt;0,_xlfn.XLOOKUP(G503,'Modelling New'!$D:$D,'Modelling New'!$O:$O)*PA[[#This Row],[Lost PoA(kWh/m2)]]*S503,0),"")</f>
        <v>79.81325808620592</v>
      </c>
    </row>
    <row r="504" spans="1:38" x14ac:dyDescent="0.25">
      <c r="A504" s="229">
        <v>2196</v>
      </c>
      <c r="B504" s="376">
        <v>45840</v>
      </c>
      <c r="C504" s="163">
        <v>2025</v>
      </c>
      <c r="D504" s="364">
        <f>YEAR(PA[[#This Row],[Date]])</f>
        <v>2025</v>
      </c>
      <c r="E504" s="373" t="s">
        <v>73</v>
      </c>
      <c r="F504" s="374" t="s">
        <v>73</v>
      </c>
      <c r="G504" s="323">
        <v>45809</v>
      </c>
      <c r="H504" s="365">
        <f>DAY(EOMONTH(PA[[#This Row],[Date]], 0))</f>
        <v>31</v>
      </c>
      <c r="I504" s="10">
        <v>0.21805555555555556</v>
      </c>
      <c r="J504" s="10">
        <v>0.77638888888888891</v>
      </c>
      <c r="K504" s="131">
        <f>IFERROR((PA[[#This Row],[Sunset Time (POA&lt;20 W/m2)]]-PA[[#This Row],[Sunrise Time (POA&gt;20 W/m2)]])*24,"")</f>
        <v>13.4</v>
      </c>
      <c r="L504" s="128" t="s">
        <v>606</v>
      </c>
      <c r="M504" s="128"/>
      <c r="N504" s="128"/>
      <c r="O504" s="128" t="s">
        <v>595</v>
      </c>
      <c r="P504" s="130"/>
      <c r="Q504" s="129"/>
      <c r="R504"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BLK7INV11</v>
      </c>
      <c r="S504" s="131">
        <f>_xlfn.XLOOKUP(PA[[#This Row],[Affected Equipment ]],'Basic Data '!$A:$A,'Basic Data '!$B:$B)</f>
        <v>190.35</v>
      </c>
      <c r="T504" s="132">
        <f>IFERROR(_xlfn.XLOOKUP(PA[[#This Row],[Affected Equipment ]],'Basic Data '!A:A,'Basic Data '!C:C),"")</f>
        <v>2.8516853932584268E-3</v>
      </c>
      <c r="U504" s="59" t="s">
        <v>1312</v>
      </c>
      <c r="V504" s="117"/>
      <c r="W504" s="375" t="s">
        <v>1326</v>
      </c>
      <c r="X504" s="366">
        <v>0.21805555555555556</v>
      </c>
      <c r="Y504" s="366">
        <v>0.21805555555555556</v>
      </c>
      <c r="Z504" s="366">
        <v>0.4375</v>
      </c>
      <c r="AA504" s="366">
        <v>0.45555555555555555</v>
      </c>
      <c r="AB504" s="159">
        <f>IF(PA[[#This Row],[Acknowledgement Time ]]="NA","",(PA[[#This Row],[Acknowledgement Time ]]-PA[[#This Row],[Fault Time]])*24)</f>
        <v>0</v>
      </c>
      <c r="AC504" s="159">
        <f>IF(PA[[#This Row],[Work Start time on Fault]]="NA","",(PA[[#This Row],[Work Start time on Fault]]-PA[[#This Row],[Fault Time]])*24)</f>
        <v>5.2666666666666666</v>
      </c>
      <c r="AD504" s="135">
        <f>IF(PA[[#This Row],[Status]]="Open","",(PA[[#This Row],[Work Completion time on fault]]-PA[[#This Row],[Fault Time]])*24)</f>
        <v>5.6999999999999993</v>
      </c>
      <c r="AE504" s="134">
        <f>IFERROR((PA[[#This Row],[Work Completion time on fault]]-PA[[#This Row],[Fault Time]])*24,"")</f>
        <v>5.6999999999999993</v>
      </c>
      <c r="AF504" s="226" t="s">
        <v>1326</v>
      </c>
      <c r="AG504" s="6" t="s">
        <v>1275</v>
      </c>
      <c r="AH504" s="131">
        <f>IFERROR(PA[[#This Row],[Breakdown Time]]*PA[[#This Row],[Plant Equivalent Weightage]],"")</f>
        <v>1.625460674157303E-2</v>
      </c>
      <c r="AI504" s="128">
        <v>1.56</v>
      </c>
      <c r="AJ504" s="89">
        <f>IFERROR(IF(PA[[#This Row],[Lost PoA(kWh/m2)]]&gt;0,_xlfn.XLOOKUP(G504,'Modelling New'!$D:$D,'Modelling New'!$O:$O)*PA[[#This Row],[Lost PoA(kWh/m2)]]*S504,0),"")</f>
        <v>225.72129151021335</v>
      </c>
      <c r="AK504" s="365"/>
      <c r="AL504" s="365"/>
    </row>
    <row r="505" spans="1:38" ht="30" x14ac:dyDescent="0.25">
      <c r="A505" s="377">
        <v>2197</v>
      </c>
      <c r="B505" s="376">
        <v>45840</v>
      </c>
      <c r="C505" s="163">
        <v>2025</v>
      </c>
      <c r="D505" s="348">
        <f>YEAR(PA[[#This Row],[Date]])</f>
        <v>2025</v>
      </c>
      <c r="E505" s="373" t="s">
        <v>73</v>
      </c>
      <c r="F505" s="374" t="s">
        <v>73</v>
      </c>
      <c r="G505" s="323">
        <v>45809</v>
      </c>
      <c r="H505" s="365">
        <f>DAY(EOMONTH(PA[[#This Row],[Date]], 0))</f>
        <v>31</v>
      </c>
      <c r="I505" s="10">
        <v>0.21805555555555556</v>
      </c>
      <c r="J505" s="10">
        <v>0.77638888888888891</v>
      </c>
      <c r="K505" s="53">
        <f>IFERROR((PA[[#This Row],[Sunset Time (POA&lt;20 W/m2)]]-PA[[#This Row],[Sunrise Time (POA&gt;20 W/m2)]])*24,"")</f>
        <v>13.4</v>
      </c>
      <c r="L505" s="59" t="s">
        <v>621</v>
      </c>
      <c r="M505" s="59"/>
      <c r="N505" s="59"/>
      <c r="O505" s="59" t="s">
        <v>637</v>
      </c>
      <c r="P505" s="56"/>
      <c r="Q505" s="6"/>
      <c r="R505"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505" s="53">
        <v>12</v>
      </c>
      <c r="T505" s="90">
        <f>IFERROR(_xlfn.XLOOKUP(PA[[#This Row],[Affected Equipment ]],'Basic Data '!A:A,'Basic Data '!C:C),"")</f>
        <v>4.0000000000000001E-3</v>
      </c>
      <c r="U505" s="59" t="s">
        <v>1260</v>
      </c>
      <c r="V505" s="88"/>
      <c r="W505" s="265" t="s">
        <v>1271</v>
      </c>
      <c r="X505" s="359">
        <v>0.21805555555555556</v>
      </c>
      <c r="Y505" s="359">
        <v>0.21805555555555556</v>
      </c>
      <c r="Z505" s="359"/>
      <c r="AA505" s="359">
        <v>0.77638888888888891</v>
      </c>
      <c r="AB505" s="158">
        <f>IF(PA[[#This Row],[Acknowledgement Time ]]="NA","",(PA[[#This Row],[Acknowledgement Time ]]-PA[[#This Row],[Fault Time]])*24)</f>
        <v>0</v>
      </c>
      <c r="AC505" s="158">
        <f>IF(PA[[#This Row],[Work Start time on Fault]]="NA","",(PA[[#This Row],[Work Start time on Fault]]-PA[[#This Row],[Fault Time]])*24)</f>
        <v>-5.2333333333333334</v>
      </c>
      <c r="AD505" s="112">
        <f>IF(PA[[#This Row],[Status]]="Open","",(PA[[#This Row],[Work Completion time on fault]]-PA[[#This Row],[Fault Time]])*24)</f>
        <v>13.4</v>
      </c>
      <c r="AE505" s="111">
        <f>IFERROR((PA[[#This Row],[Work Completion time on fault]]-PA[[#This Row],[Fault Time]])*24,"")</f>
        <v>13.4</v>
      </c>
      <c r="AF505" s="228" t="s">
        <v>1271</v>
      </c>
      <c r="AG505" s="6" t="s">
        <v>1275</v>
      </c>
      <c r="AH505" s="53">
        <f>IFERROR(PA[[#This Row],[Breakdown Time]]*PA[[#This Row],[Plant Equivalent Weightage]],"")</f>
        <v>5.3600000000000002E-2</v>
      </c>
      <c r="AI505" s="59">
        <v>4.07</v>
      </c>
      <c r="AJ505" s="89">
        <f>IFERROR(IF(PA[[#This Row],[Lost PoA(kWh/m2)]]&gt;0,_xlfn.XLOOKUP(G505,'Modelling New'!$D:$D,'Modelling New'!$O:$O)*PA[[#This Row],[Lost PoA(kWh/m2)]]*S505,0),"")</f>
        <v>37.125362447579093</v>
      </c>
      <c r="AK505" s="365"/>
      <c r="AL505" s="365"/>
    </row>
    <row r="506" spans="1:38" ht="30" x14ac:dyDescent="0.25">
      <c r="A506" s="229">
        <v>2198</v>
      </c>
      <c r="B506" s="376">
        <v>45840</v>
      </c>
      <c r="C506" s="163">
        <v>2025</v>
      </c>
      <c r="D506" s="348">
        <f>YEAR(PA[[#This Row],[Date]])</f>
        <v>2025</v>
      </c>
      <c r="E506" s="373" t="s">
        <v>73</v>
      </c>
      <c r="F506" s="374" t="s">
        <v>73</v>
      </c>
      <c r="G506" s="323">
        <v>45809</v>
      </c>
      <c r="H506" s="365">
        <f>DAY(EOMONTH(PA[[#This Row],[Date]], 0))</f>
        <v>31</v>
      </c>
      <c r="I506" s="10">
        <v>0.21805555555555556</v>
      </c>
      <c r="J506" s="10">
        <v>0.77638888888888891</v>
      </c>
      <c r="K506" s="53">
        <f>IFERROR((PA[[#This Row],[Sunset Time (POA&lt;20 W/m2)]]-PA[[#This Row],[Sunrise Time (POA&gt;20 W/m2)]])*24,"")</f>
        <v>13.4</v>
      </c>
      <c r="L506" s="59" t="s">
        <v>621</v>
      </c>
      <c r="M506" s="59"/>
      <c r="N506" s="59"/>
      <c r="O506" s="59" t="s">
        <v>612</v>
      </c>
      <c r="P506" s="56"/>
      <c r="Q506" s="6"/>
      <c r="R506"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506" s="53">
        <v>12</v>
      </c>
      <c r="T506" s="90">
        <f>IFERROR(_xlfn.XLOOKUP(PA[[#This Row],[Affected Equipment ]],'Basic Data '!A:A,'Basic Data '!C:C),"")</f>
        <v>4.4999999999999997E-3</v>
      </c>
      <c r="U506" s="59" t="s">
        <v>1260</v>
      </c>
      <c r="V506" s="88"/>
      <c r="W506" s="265" t="s">
        <v>1311</v>
      </c>
      <c r="X506" s="359">
        <v>0.21805555555555556</v>
      </c>
      <c r="Y506" s="359">
        <v>0.21805555555555556</v>
      </c>
      <c r="Z506" s="359"/>
      <c r="AA506" s="359">
        <v>0.77638888888888891</v>
      </c>
      <c r="AB506" s="158">
        <f>IF(PA[[#This Row],[Acknowledgement Time ]]="NA","",(PA[[#This Row],[Acknowledgement Time ]]-PA[[#This Row],[Fault Time]])*24)</f>
        <v>0</v>
      </c>
      <c r="AC506" s="158">
        <f>IF(PA[[#This Row],[Work Start time on Fault]]="NA","",(PA[[#This Row],[Work Start time on Fault]]-PA[[#This Row],[Fault Time]])*24)</f>
        <v>-5.2333333333333334</v>
      </c>
      <c r="AD506" s="112">
        <f>IF(PA[[#This Row],[Status]]="Open","",(PA[[#This Row],[Work Completion time on fault]]-PA[[#This Row],[Fault Time]])*24)</f>
        <v>13.4</v>
      </c>
      <c r="AE506" s="111">
        <f>IFERROR((PA[[#This Row],[Work Completion time on fault]]-PA[[#This Row],[Fault Time]])*24,"")</f>
        <v>13.4</v>
      </c>
      <c r="AF506" s="228" t="s">
        <v>1311</v>
      </c>
      <c r="AG506" s="6" t="s">
        <v>1275</v>
      </c>
      <c r="AH506" s="53">
        <f>IFERROR(PA[[#This Row],[Breakdown Time]]*PA[[#This Row],[Plant Equivalent Weightage]],"")</f>
        <v>6.0299999999999999E-2</v>
      </c>
      <c r="AI506" s="59">
        <v>4.07</v>
      </c>
      <c r="AJ506" s="89">
        <f>IFERROR(IF(PA[[#This Row],[Lost PoA(kWh/m2)]]&gt;0,_xlfn.XLOOKUP(G506,'Modelling New'!$D:$D,'Modelling New'!$O:$O)*PA[[#This Row],[Lost PoA(kWh/m2)]]*S506,0),"")</f>
        <v>37.125362447579093</v>
      </c>
      <c r="AK506" s="365"/>
      <c r="AL506" s="365"/>
    </row>
    <row r="507" spans="1:38" ht="30" x14ac:dyDescent="0.25">
      <c r="A507" s="377">
        <v>2199</v>
      </c>
      <c r="B507" s="376">
        <v>45841</v>
      </c>
      <c r="C507" s="163">
        <v>2025</v>
      </c>
      <c r="D507" s="348">
        <f>YEAR(PA[[#This Row],[Date]])</f>
        <v>2025</v>
      </c>
      <c r="E507" s="373" t="s">
        <v>73</v>
      </c>
      <c r="F507" s="374" t="s">
        <v>73</v>
      </c>
      <c r="G507" s="323">
        <v>45809</v>
      </c>
      <c r="H507" s="365">
        <f>DAY(EOMONTH(PA[[#This Row],[Date]], 0))</f>
        <v>31</v>
      </c>
      <c r="I507" s="361">
        <v>0.21944444444444444</v>
      </c>
      <c r="J507" s="10">
        <v>0.77638888888888891</v>
      </c>
      <c r="K507" s="53">
        <f>IFERROR((PA[[#This Row],[Sunset Time (POA&lt;20 W/m2)]]-PA[[#This Row],[Sunrise Time (POA&gt;20 W/m2)]])*24,"")</f>
        <v>13.366666666666667</v>
      </c>
      <c r="L507" s="59" t="s">
        <v>621</v>
      </c>
      <c r="M507" s="59"/>
      <c r="N507" s="59"/>
      <c r="O507" s="59" t="s">
        <v>637</v>
      </c>
      <c r="P507" s="56"/>
      <c r="Q507" s="6"/>
      <c r="R50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507" s="53">
        <v>12</v>
      </c>
      <c r="T507" s="90">
        <f>IFERROR(_xlfn.XLOOKUP(PA[[#This Row],[Affected Equipment ]],'Basic Data '!A:A,'Basic Data '!C:C),"")</f>
        <v>4.0000000000000001E-3</v>
      </c>
      <c r="U507" s="59" t="s">
        <v>1260</v>
      </c>
      <c r="V507" s="88"/>
      <c r="W507" s="265" t="s">
        <v>1271</v>
      </c>
      <c r="X507" s="359">
        <v>0.21944444444444444</v>
      </c>
      <c r="Y507" s="359"/>
      <c r="Z507" s="359"/>
      <c r="AA507" s="359">
        <v>0.77638888888888891</v>
      </c>
      <c r="AB507" s="158">
        <f>IF(PA[[#This Row],[Acknowledgement Time ]]="NA","",(PA[[#This Row],[Acknowledgement Time ]]-PA[[#This Row],[Fault Time]])*24)</f>
        <v>-5.2666666666666666</v>
      </c>
      <c r="AC507" s="158">
        <f>IF(PA[[#This Row],[Work Start time on Fault]]="NA","",(PA[[#This Row],[Work Start time on Fault]]-PA[[#This Row],[Fault Time]])*24)</f>
        <v>-5.2666666666666666</v>
      </c>
      <c r="AD507" s="112">
        <f>IF(PA[[#This Row],[Status]]="Open","",(PA[[#This Row],[Work Completion time on fault]]-PA[[#This Row],[Fault Time]])*24)</f>
        <v>13.366666666666667</v>
      </c>
      <c r="AE507" s="111">
        <f>IFERROR((PA[[#This Row],[Work Completion time on fault]]-PA[[#This Row],[Fault Time]])*24,"")</f>
        <v>13.366666666666667</v>
      </c>
      <c r="AF507" s="228" t="s">
        <v>1271</v>
      </c>
      <c r="AG507" s="6" t="s">
        <v>1275</v>
      </c>
      <c r="AH507" s="53">
        <f>IFERROR(PA[[#This Row],[Breakdown Time]]*PA[[#This Row],[Plant Equivalent Weightage]],"")</f>
        <v>5.3466666666666669E-2</v>
      </c>
      <c r="AI507" s="59">
        <v>4.5599999999999996</v>
      </c>
      <c r="AJ507" s="89">
        <f>IFERROR(IF(PA[[#This Row],[Lost PoA(kWh/m2)]]&gt;0,_xlfn.XLOOKUP(G507,'Modelling New'!$D:$D,'Modelling New'!$O:$O)*PA[[#This Row],[Lost PoA(kWh/m2)]]*S507,0),"")</f>
        <v>41.595000678368706</v>
      </c>
      <c r="AK507" s="365"/>
      <c r="AL507" s="365"/>
    </row>
    <row r="508" spans="1:38" ht="30" x14ac:dyDescent="0.25">
      <c r="A508" s="229">
        <v>2200</v>
      </c>
      <c r="B508" s="376">
        <v>45841</v>
      </c>
      <c r="C508" s="163">
        <v>2025</v>
      </c>
      <c r="D508" s="348">
        <f>YEAR(PA[[#This Row],[Date]])</f>
        <v>2025</v>
      </c>
      <c r="E508" s="373" t="s">
        <v>73</v>
      </c>
      <c r="F508" s="374" t="s">
        <v>73</v>
      </c>
      <c r="G508" s="323">
        <v>45809</v>
      </c>
      <c r="H508" s="365">
        <f>DAY(EOMONTH(PA[[#This Row],[Date]], 0))</f>
        <v>31</v>
      </c>
      <c r="I508" s="361">
        <v>0.21944444444444444</v>
      </c>
      <c r="J508" s="10">
        <v>0.77638888888888891</v>
      </c>
      <c r="K508" s="53">
        <f>IFERROR((PA[[#This Row],[Sunset Time (POA&lt;20 W/m2)]]-PA[[#This Row],[Sunrise Time (POA&gt;20 W/m2)]])*24,"")</f>
        <v>13.366666666666667</v>
      </c>
      <c r="L508" s="59" t="s">
        <v>621</v>
      </c>
      <c r="M508" s="59"/>
      <c r="N508" s="59"/>
      <c r="O508" s="59" t="s">
        <v>612</v>
      </c>
      <c r="P508" s="56"/>
      <c r="Q508" s="6"/>
      <c r="R50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508" s="53">
        <v>12</v>
      </c>
      <c r="T508" s="90">
        <f>IFERROR(_xlfn.XLOOKUP(PA[[#This Row],[Affected Equipment ]],'Basic Data '!A:A,'Basic Data '!C:C),"")</f>
        <v>4.4999999999999997E-3</v>
      </c>
      <c r="U508" s="59" t="s">
        <v>1260</v>
      </c>
      <c r="V508" s="88"/>
      <c r="W508" s="265" t="s">
        <v>1271</v>
      </c>
      <c r="X508" s="359">
        <v>0.21944444444444444</v>
      </c>
      <c r="Y508" s="359"/>
      <c r="Z508" s="359"/>
      <c r="AA508" s="359">
        <v>0.77638888888888891</v>
      </c>
      <c r="AB508" s="158">
        <f>IF(PA[[#This Row],[Acknowledgement Time ]]="NA","",(PA[[#This Row],[Acknowledgement Time ]]-PA[[#This Row],[Fault Time]])*24)</f>
        <v>-5.2666666666666666</v>
      </c>
      <c r="AC508" s="158">
        <f>IF(PA[[#This Row],[Work Start time on Fault]]="NA","",(PA[[#This Row],[Work Start time on Fault]]-PA[[#This Row],[Fault Time]])*24)</f>
        <v>-5.2666666666666666</v>
      </c>
      <c r="AD508" s="112">
        <f>IF(PA[[#This Row],[Status]]="Open","",(PA[[#This Row],[Work Completion time on fault]]-PA[[#This Row],[Fault Time]])*24)</f>
        <v>13.366666666666667</v>
      </c>
      <c r="AE508" s="111">
        <f>IFERROR((PA[[#This Row],[Work Completion time on fault]]-PA[[#This Row],[Fault Time]])*24,"")</f>
        <v>13.366666666666667</v>
      </c>
      <c r="AF508" s="228" t="s">
        <v>1311</v>
      </c>
      <c r="AG508" s="6" t="s">
        <v>1275</v>
      </c>
      <c r="AH508" s="53">
        <f>IFERROR(PA[[#This Row],[Breakdown Time]]*PA[[#This Row],[Plant Equivalent Weightage]],"")</f>
        <v>6.0149999999999995E-2</v>
      </c>
      <c r="AI508" s="59">
        <v>4.5599999999999996</v>
      </c>
      <c r="AJ508" s="89">
        <f>IFERROR(IF(PA[[#This Row],[Lost PoA(kWh/m2)]]&gt;0,_xlfn.XLOOKUP(G508,'Modelling New'!$D:$D,'Modelling New'!$O:$O)*PA[[#This Row],[Lost PoA(kWh/m2)]]*S508,0),"")</f>
        <v>41.595000678368706</v>
      </c>
      <c r="AK508" s="365"/>
      <c r="AL508" s="365"/>
    </row>
    <row r="509" spans="1:38" ht="45" x14ac:dyDescent="0.25">
      <c r="A509" s="377">
        <v>2201</v>
      </c>
      <c r="B509" s="376">
        <v>45841</v>
      </c>
      <c r="C509" s="163">
        <v>2025</v>
      </c>
      <c r="D509" s="348">
        <f>YEAR(PA[[#This Row],[Date]])</f>
        <v>2025</v>
      </c>
      <c r="E509" s="373" t="s">
        <v>73</v>
      </c>
      <c r="F509" s="374" t="s">
        <v>73</v>
      </c>
      <c r="G509" s="323">
        <v>45809</v>
      </c>
      <c r="H509" s="365">
        <f>DAY(EOMONTH(PA[[#This Row],[Date]], 0))</f>
        <v>31</v>
      </c>
      <c r="I509" s="361">
        <v>0.21944444444444444</v>
      </c>
      <c r="J509" s="10">
        <v>0.77638888888888891</v>
      </c>
      <c r="K509" s="53">
        <f>IFERROR((PA[[#This Row],[Sunset Time (POA&lt;20 W/m2)]]-PA[[#This Row],[Sunrise Time (POA&gt;20 W/m2)]])*24,"")</f>
        <v>13.366666666666667</v>
      </c>
      <c r="L509" s="59" t="s">
        <v>564</v>
      </c>
      <c r="M509" s="59"/>
      <c r="N509" s="59"/>
      <c r="O509" s="59" t="s">
        <v>714</v>
      </c>
      <c r="P509" s="56"/>
      <c r="Q509" s="6"/>
      <c r="R50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BLK5INV22</v>
      </c>
      <c r="S509" s="53">
        <f>_xlfn.XLOOKUP(PA[[#This Row],[Affected Equipment ]],'Basic Data '!$A:$A,'Basic Data '!$B:$B)</f>
        <v>267</v>
      </c>
      <c r="T509" s="90">
        <f>IFERROR(_xlfn.XLOOKUP(PA[[#This Row],[Affected Equipment ]],'Basic Data '!A:A,'Basic Data '!C:C),"")</f>
        <v>4.0000000000000001E-3</v>
      </c>
      <c r="U509" s="59" t="s">
        <v>1312</v>
      </c>
      <c r="V509" s="88"/>
      <c r="W509" s="265" t="s">
        <v>1328</v>
      </c>
      <c r="X509" s="359">
        <v>0.21944444444444444</v>
      </c>
      <c r="Y509" s="359">
        <v>0.25</v>
      </c>
      <c r="Z509" s="359">
        <v>0.27083333333333331</v>
      </c>
      <c r="AA509" s="359">
        <v>0.29236111111111113</v>
      </c>
      <c r="AB509" s="158">
        <f>IF(PA[[#This Row],[Acknowledgement Time ]]="NA","",(PA[[#This Row],[Acknowledgement Time ]]-PA[[#This Row],[Fault Time]])*24)</f>
        <v>0.73333333333333339</v>
      </c>
      <c r="AC509" s="158">
        <f>IF(PA[[#This Row],[Work Start time on Fault]]="NA","",(PA[[#This Row],[Work Start time on Fault]]-PA[[#This Row],[Fault Time]])*24)</f>
        <v>1.2333333333333329</v>
      </c>
      <c r="AD509" s="112">
        <f>IF(PA[[#This Row],[Status]]="Open","",(PA[[#This Row],[Work Completion time on fault]]-PA[[#This Row],[Fault Time]])*24)</f>
        <v>1.7500000000000004</v>
      </c>
      <c r="AE509" s="111">
        <f>IFERROR((PA[[#This Row],[Work Completion time on fault]]-PA[[#This Row],[Fault Time]])*24,"")</f>
        <v>1.7500000000000004</v>
      </c>
      <c r="AF509" s="228" t="s">
        <v>1328</v>
      </c>
      <c r="AG509" s="6" t="s">
        <v>1275</v>
      </c>
      <c r="AH509" s="53">
        <f>IFERROR(PA[[#This Row],[Breakdown Time]]*PA[[#This Row],[Plant Equivalent Weightage]],"")</f>
        <v>7.0000000000000019E-3</v>
      </c>
      <c r="AI509" s="59">
        <v>6.4000000000000001E-2</v>
      </c>
      <c r="AJ509" s="89">
        <f>IFERROR(IF(PA[[#This Row],[Lost PoA(kWh/m2)]]&gt;0,_xlfn.XLOOKUP(G509,'Modelling New'!$D:$D,'Modelling New'!$O:$O)*PA[[#This Row],[Lost PoA(kWh/m2)]]*S509,0),"")</f>
        <v>12.989316001315142</v>
      </c>
      <c r="AK509" s="365"/>
      <c r="AL509" s="365"/>
    </row>
    <row r="510" spans="1:38" x14ac:dyDescent="0.25">
      <c r="A510" s="229">
        <v>2202</v>
      </c>
      <c r="B510" s="376">
        <v>45841</v>
      </c>
      <c r="C510" s="163">
        <v>2025</v>
      </c>
      <c r="D510" s="348">
        <f>YEAR(PA[[#This Row],[Date]])</f>
        <v>2025</v>
      </c>
      <c r="E510" s="373" t="s">
        <v>73</v>
      </c>
      <c r="F510" s="374" t="s">
        <v>73</v>
      </c>
      <c r="G510" s="323">
        <v>45809</v>
      </c>
      <c r="H510" s="365">
        <f>DAY(EOMONTH(PA[[#This Row],[Date]], 0))</f>
        <v>31</v>
      </c>
      <c r="I510" s="361">
        <v>0.21944444444444444</v>
      </c>
      <c r="J510" s="10">
        <v>0.77638888888888891</v>
      </c>
      <c r="K510" s="53">
        <f>IFERROR((PA[[#This Row],[Sunset Time (POA&lt;20 W/m2)]]-PA[[#This Row],[Sunrise Time (POA&gt;20 W/m2)]])*24,"")</f>
        <v>13.366666666666667</v>
      </c>
      <c r="L510" s="59" t="s">
        <v>564</v>
      </c>
      <c r="M510" s="59"/>
      <c r="N510" s="59"/>
      <c r="O510" s="59" t="s">
        <v>714</v>
      </c>
      <c r="P510" s="56"/>
      <c r="Q510" s="6"/>
      <c r="R51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BLK5INV22</v>
      </c>
      <c r="S510" s="53">
        <v>22.25</v>
      </c>
      <c r="T510" s="90">
        <f>IFERROR(_xlfn.XLOOKUP(PA[[#This Row],[Affected Equipment ]],'Basic Data '!A:A,'Basic Data '!C:C),"")</f>
        <v>4.0000000000000001E-3</v>
      </c>
      <c r="U510" s="59" t="s">
        <v>1260</v>
      </c>
      <c r="V510" s="88"/>
      <c r="W510" s="265" t="s">
        <v>1329</v>
      </c>
      <c r="X510" s="359">
        <v>0.21944444444444444</v>
      </c>
      <c r="Y510" s="359">
        <v>0.25</v>
      </c>
      <c r="Z510" s="359">
        <v>0.39583333333333331</v>
      </c>
      <c r="AA510" s="359">
        <v>0.41666666666666669</v>
      </c>
      <c r="AB510" s="158">
        <f>IF(PA[[#This Row],[Acknowledgement Time ]]="NA","",(PA[[#This Row],[Acknowledgement Time ]]-PA[[#This Row],[Fault Time]])*24)</f>
        <v>0.73333333333333339</v>
      </c>
      <c r="AC510" s="158">
        <f>IF(PA[[#This Row],[Work Start time on Fault]]="NA","",(PA[[#This Row],[Work Start time on Fault]]-PA[[#This Row],[Fault Time]])*24)</f>
        <v>4.2333333333333325</v>
      </c>
      <c r="AD510" s="112">
        <f>IF(PA[[#This Row],[Status]]="Open","",(PA[[#This Row],[Work Completion time on fault]]-PA[[#This Row],[Fault Time]])*24)</f>
        <v>4.7333333333333343</v>
      </c>
      <c r="AE510" s="111">
        <f>IFERROR((PA[[#This Row],[Work Completion time on fault]]-PA[[#This Row],[Fault Time]])*24,"")</f>
        <v>4.7333333333333343</v>
      </c>
      <c r="AF510" s="228" t="s">
        <v>1329</v>
      </c>
      <c r="AG510" s="6" t="s">
        <v>1275</v>
      </c>
      <c r="AH510" s="53">
        <f>IFERROR(PA[[#This Row],[Breakdown Time]]*PA[[#This Row],[Plant Equivalent Weightage]],"")</f>
        <v>1.8933333333333337E-2</v>
      </c>
      <c r="AI510" s="59">
        <v>0.90900000000000003</v>
      </c>
      <c r="AJ510" s="89">
        <f>IFERROR(IF(PA[[#This Row],[Lost PoA(kWh/m2)]]&gt;0,_xlfn.XLOOKUP(G510,'Modelling New'!$D:$D,'Modelling New'!$O:$O)*PA[[#This Row],[Lost PoA(kWh/m2)]]*S510,0),"")</f>
        <v>15.374073235931592</v>
      </c>
      <c r="AK510" s="365"/>
      <c r="AL510" s="365"/>
    </row>
    <row r="511" spans="1:38" ht="45" x14ac:dyDescent="0.25">
      <c r="A511" s="377">
        <v>2203</v>
      </c>
      <c r="B511" s="376">
        <v>45841</v>
      </c>
      <c r="C511" s="163">
        <v>2025</v>
      </c>
      <c r="D511" s="348">
        <f>YEAR(PA[[#This Row],[Date]])</f>
        <v>2025</v>
      </c>
      <c r="E511" s="373" t="s">
        <v>73</v>
      </c>
      <c r="F511" s="374" t="s">
        <v>73</v>
      </c>
      <c r="G511" s="323">
        <v>45809</v>
      </c>
      <c r="H511" s="365">
        <f>DAY(EOMONTH(PA[[#This Row],[Date]], 0))</f>
        <v>31</v>
      </c>
      <c r="I511" s="361">
        <v>0.21944444444444444</v>
      </c>
      <c r="J511" s="10">
        <v>0.77638888888888891</v>
      </c>
      <c r="K511" s="53">
        <f>IFERROR((PA[[#This Row],[Sunset Time (POA&lt;20 W/m2)]]-PA[[#This Row],[Sunrise Time (POA&gt;20 W/m2)]])*24,"")</f>
        <v>13.366666666666667</v>
      </c>
      <c r="L511" s="59" t="s">
        <v>615</v>
      </c>
      <c r="M511" s="59"/>
      <c r="N511" s="59"/>
      <c r="O511" s="59" t="s">
        <v>598</v>
      </c>
      <c r="P511" s="56"/>
      <c r="Q511" s="6"/>
      <c r="R51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BLK6INV6</v>
      </c>
      <c r="S511" s="53">
        <f>_xlfn.XLOOKUP(PA[[#This Row],[Affected Equipment ]],'Basic Data '!$A:$A,'Basic Data '!$B:$B)</f>
        <v>297</v>
      </c>
      <c r="T511" s="90">
        <f>IFERROR(_xlfn.XLOOKUP(PA[[#This Row],[Affected Equipment ]],'Basic Data '!A:A,'Basic Data '!C:C),"")</f>
        <v>4.4494382022471912E-3</v>
      </c>
      <c r="U511" s="59" t="s">
        <v>1312</v>
      </c>
      <c r="V511" s="88"/>
      <c r="W511" s="265" t="s">
        <v>1330</v>
      </c>
      <c r="X511" s="359">
        <v>0.21944444444444444</v>
      </c>
      <c r="Y511" s="359">
        <v>0.25</v>
      </c>
      <c r="Z511" s="359">
        <v>0.30208333333333331</v>
      </c>
      <c r="AA511" s="359">
        <v>0.31597222222222221</v>
      </c>
      <c r="AB511" s="158">
        <f>IF(PA[[#This Row],[Acknowledgement Time ]]="NA","",(PA[[#This Row],[Acknowledgement Time ]]-PA[[#This Row],[Fault Time]])*24)</f>
        <v>0.73333333333333339</v>
      </c>
      <c r="AC511" s="158">
        <f>IF(PA[[#This Row],[Work Start time on Fault]]="NA","",(PA[[#This Row],[Work Start time on Fault]]-PA[[#This Row],[Fault Time]])*24)</f>
        <v>1.9833333333333329</v>
      </c>
      <c r="AD511" s="112">
        <f>IF(PA[[#This Row],[Status]]="Open","",(PA[[#This Row],[Work Completion time on fault]]-PA[[#This Row],[Fault Time]])*24)</f>
        <v>2.3166666666666664</v>
      </c>
      <c r="AE511" s="111">
        <f>IFERROR((PA[[#This Row],[Work Completion time on fault]]-PA[[#This Row],[Fault Time]])*24,"")</f>
        <v>2.3166666666666664</v>
      </c>
      <c r="AF511" s="228" t="s">
        <v>1330</v>
      </c>
      <c r="AG511" s="6" t="s">
        <v>1275</v>
      </c>
      <c r="AH511" s="53">
        <f>IFERROR(PA[[#This Row],[Breakdown Time]]*PA[[#This Row],[Plant Equivalent Weightage]],"")</f>
        <v>1.0307865168539326E-2</v>
      </c>
      <c r="AI511" s="59">
        <v>0.13</v>
      </c>
      <c r="AJ511" s="89">
        <f>IFERROR(IF(PA[[#This Row],[Lost PoA(kWh/m2)]]&gt;0,_xlfn.XLOOKUP(G511,'Modelling New'!$D:$D,'Modelling New'!$O:$O)*PA[[#This Row],[Lost PoA(kWh/m2)]]*S511,0),"")</f>
        <v>29.349104097072658</v>
      </c>
      <c r="AK511" s="365"/>
      <c r="AL511" s="365"/>
    </row>
    <row r="512" spans="1:38" ht="30" x14ac:dyDescent="0.25">
      <c r="A512" s="229">
        <v>2204</v>
      </c>
      <c r="B512" s="376">
        <v>45841</v>
      </c>
      <c r="C512" s="163">
        <v>2025</v>
      </c>
      <c r="D512" s="348">
        <f>YEAR(PA[[#This Row],[Date]])</f>
        <v>2025</v>
      </c>
      <c r="E512" s="373" t="s">
        <v>73</v>
      </c>
      <c r="F512" s="374" t="s">
        <v>73</v>
      </c>
      <c r="G512" s="323">
        <v>45809</v>
      </c>
      <c r="H512" s="365">
        <f>DAY(EOMONTH(PA[[#This Row],[Date]], 0))</f>
        <v>31</v>
      </c>
      <c r="I512" s="361">
        <v>0.21944444444444444</v>
      </c>
      <c r="J512" s="10">
        <v>0.77638888888888891</v>
      </c>
      <c r="K512" s="53">
        <f>IFERROR((PA[[#This Row],[Sunset Time (POA&lt;20 W/m2)]]-PA[[#This Row],[Sunrise Time (POA&gt;20 W/m2)]])*24,"")</f>
        <v>13.366666666666667</v>
      </c>
      <c r="L512" s="59" t="s">
        <v>615</v>
      </c>
      <c r="M512" s="59"/>
      <c r="N512" s="59"/>
      <c r="O512" s="59" t="s">
        <v>598</v>
      </c>
      <c r="P512" s="56"/>
      <c r="Q512" s="6"/>
      <c r="R51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BLK6INV6</v>
      </c>
      <c r="S512" s="53">
        <v>110</v>
      </c>
      <c r="T512" s="90">
        <f>IFERROR(_xlfn.XLOOKUP(PA[[#This Row],[Affected Equipment ]],'Basic Data '!A:A,'Basic Data '!C:C),"")</f>
        <v>4.4494382022471912E-3</v>
      </c>
      <c r="U512" s="59" t="s">
        <v>1260</v>
      </c>
      <c r="V512" s="88"/>
      <c r="W512" s="265" t="s">
        <v>1331</v>
      </c>
      <c r="X512" s="359">
        <v>0.21944444444444444</v>
      </c>
      <c r="Y512" s="359">
        <v>0.25</v>
      </c>
      <c r="Z512" s="359">
        <v>0.375</v>
      </c>
      <c r="AA512" s="359">
        <v>0.39583333333333331</v>
      </c>
      <c r="AB512" s="158">
        <f>IF(PA[[#This Row],[Acknowledgement Time ]]="NA","",(PA[[#This Row],[Acknowledgement Time ]]-PA[[#This Row],[Fault Time]])*24)</f>
        <v>0.73333333333333339</v>
      </c>
      <c r="AC512" s="158">
        <f>IF(PA[[#This Row],[Work Start time on Fault]]="NA","",(PA[[#This Row],[Work Start time on Fault]]-PA[[#This Row],[Fault Time]])*24)</f>
        <v>3.7333333333333334</v>
      </c>
      <c r="AD512" s="112">
        <f>IF(PA[[#This Row],[Status]]="Open","",(PA[[#This Row],[Work Completion time on fault]]-PA[[#This Row],[Fault Time]])*24)</f>
        <v>4.2333333333333325</v>
      </c>
      <c r="AE512" s="111">
        <f>IFERROR((PA[[#This Row],[Work Completion time on fault]]-PA[[#This Row],[Fault Time]])*24,"")</f>
        <v>4.2333333333333325</v>
      </c>
      <c r="AF512" s="228" t="s">
        <v>1331</v>
      </c>
      <c r="AG512" s="6" t="s">
        <v>1275</v>
      </c>
      <c r="AH512" s="53">
        <f>IFERROR(PA[[#This Row],[Breakdown Time]]*PA[[#This Row],[Plant Equivalent Weightage]],"")</f>
        <v>1.8835955056179774E-2</v>
      </c>
      <c r="AI512" s="59">
        <v>0.71299999999999997</v>
      </c>
      <c r="AJ512" s="89">
        <f>IFERROR(IF(PA[[#This Row],[Lost PoA(kWh/m2)]]&gt;0,_xlfn.XLOOKUP(G512,'Modelling New'!$D:$D,'Modelling New'!$O:$O)*PA[[#This Row],[Lost PoA(kWh/m2)]]*S512,0),"")</f>
        <v>59.617980687215962</v>
      </c>
      <c r="AK512" s="365"/>
      <c r="AL512" s="365"/>
    </row>
    <row r="513" spans="1:38" ht="45" x14ac:dyDescent="0.25">
      <c r="A513" s="377">
        <v>2205</v>
      </c>
      <c r="B513" s="376">
        <v>45841</v>
      </c>
      <c r="C513" s="163">
        <v>2025</v>
      </c>
      <c r="D513" s="348">
        <f>YEAR(PA[[#This Row],[Date]])</f>
        <v>2025</v>
      </c>
      <c r="E513" s="373" t="s">
        <v>73</v>
      </c>
      <c r="F513" s="374" t="s">
        <v>73</v>
      </c>
      <c r="G513" s="323">
        <v>45809</v>
      </c>
      <c r="H513" s="365">
        <f>DAY(EOMONTH(PA[[#This Row],[Date]], 0))</f>
        <v>31</v>
      </c>
      <c r="I513" s="361">
        <v>0.21944444444444444</v>
      </c>
      <c r="J513" s="10">
        <v>0.77638888888888891</v>
      </c>
      <c r="K513" s="53">
        <f>IFERROR((PA[[#This Row],[Sunset Time (POA&lt;20 W/m2)]]-PA[[#This Row],[Sunrise Time (POA&gt;20 W/m2)]])*24,"")</f>
        <v>13.366666666666667</v>
      </c>
      <c r="L513" s="59" t="s">
        <v>615</v>
      </c>
      <c r="M513" s="59"/>
      <c r="N513" s="59"/>
      <c r="O513" s="59" t="s">
        <v>634</v>
      </c>
      <c r="P513" s="56"/>
      <c r="Q513" s="6"/>
      <c r="R51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BLK6INV9</v>
      </c>
      <c r="S513" s="53">
        <f>_xlfn.XLOOKUP(PA[[#This Row],[Affected Equipment ]],'Basic Data '!$A:$A,'Basic Data '!$B:$B)</f>
        <v>275</v>
      </c>
      <c r="T513" s="90">
        <f>IFERROR(_xlfn.XLOOKUP(PA[[#This Row],[Affected Equipment ]],'Basic Data '!A:A,'Basic Data '!C:C),"")</f>
        <v>4.1198501872659176E-3</v>
      </c>
      <c r="U513" s="59" t="s">
        <v>1312</v>
      </c>
      <c r="V513" s="88"/>
      <c r="W513" s="265" t="s">
        <v>1332</v>
      </c>
      <c r="X513" s="359">
        <v>0.21944444444444444</v>
      </c>
      <c r="Y513" s="359">
        <v>0.25</v>
      </c>
      <c r="Z513" s="359">
        <v>0.32291666666666669</v>
      </c>
      <c r="AA513" s="359">
        <v>0.34375</v>
      </c>
      <c r="AB513" s="158">
        <f>IF(PA[[#This Row],[Acknowledgement Time ]]="NA","",(PA[[#This Row],[Acknowledgement Time ]]-PA[[#This Row],[Fault Time]])*24)</f>
        <v>0.73333333333333339</v>
      </c>
      <c r="AC513" s="158">
        <f>IF(PA[[#This Row],[Work Start time on Fault]]="NA","",(PA[[#This Row],[Work Start time on Fault]]-PA[[#This Row],[Fault Time]])*24)</f>
        <v>2.4833333333333338</v>
      </c>
      <c r="AD513" s="112">
        <f>IF(PA[[#This Row],[Status]]="Open","",(PA[[#This Row],[Work Completion time on fault]]-PA[[#This Row],[Fault Time]])*24)</f>
        <v>2.9833333333333334</v>
      </c>
      <c r="AE513" s="111">
        <f>IFERROR((PA[[#This Row],[Work Completion time on fault]]-PA[[#This Row],[Fault Time]])*24,"")</f>
        <v>2.9833333333333334</v>
      </c>
      <c r="AF513" s="228" t="s">
        <v>1332</v>
      </c>
      <c r="AG513" s="6" t="s">
        <v>1275</v>
      </c>
      <c r="AH513" s="53">
        <f>IFERROR(PA[[#This Row],[Breakdown Time]]*PA[[#This Row],[Plant Equivalent Weightage]],"")</f>
        <v>1.2290886392009988E-2</v>
      </c>
      <c r="AI513" s="59">
        <v>0.27800000000000002</v>
      </c>
      <c r="AJ513" s="89">
        <f>IFERROR(IF(PA[[#This Row],[Lost PoA(kWh/m2)]]&gt;0,_xlfn.XLOOKUP(G513,'Modelling New'!$D:$D,'Modelling New'!$O:$O)*PA[[#This Row],[Lost PoA(kWh/m2)]]*S513,0),"")</f>
        <v>58.11289842582763</v>
      </c>
      <c r="AK513" s="365"/>
      <c r="AL513" s="365"/>
    </row>
    <row r="514" spans="1:38" ht="30" x14ac:dyDescent="0.25">
      <c r="A514" s="229">
        <v>2206</v>
      </c>
      <c r="B514" s="376">
        <v>45841</v>
      </c>
      <c r="C514" s="163">
        <v>2025</v>
      </c>
      <c r="D514" s="348">
        <f>YEAR(PA[[#This Row],[Date]])</f>
        <v>2025</v>
      </c>
      <c r="E514" s="373" t="s">
        <v>73</v>
      </c>
      <c r="F514" s="374" t="s">
        <v>73</v>
      </c>
      <c r="G514" s="323">
        <v>45809</v>
      </c>
      <c r="H514" s="365">
        <f>DAY(EOMONTH(PA[[#This Row],[Date]], 0))</f>
        <v>31</v>
      </c>
      <c r="I514" s="361">
        <v>0.21944444444444444</v>
      </c>
      <c r="J514" s="10">
        <v>0.77638888888888891</v>
      </c>
      <c r="K514" s="53">
        <f>IFERROR((PA[[#This Row],[Sunset Time (POA&lt;20 W/m2)]]-PA[[#This Row],[Sunrise Time (POA&gt;20 W/m2)]])*24,"")</f>
        <v>13.366666666666667</v>
      </c>
      <c r="L514" s="59" t="s">
        <v>615</v>
      </c>
      <c r="M514" s="59"/>
      <c r="N514" s="59"/>
      <c r="O514" s="59" t="s">
        <v>634</v>
      </c>
      <c r="P514" s="56"/>
      <c r="Q514" s="6"/>
      <c r="R51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BLK6INV9</v>
      </c>
      <c r="S514" s="53">
        <v>88</v>
      </c>
      <c r="T514" s="90">
        <f>IFERROR(_xlfn.XLOOKUP(PA[[#This Row],[Affected Equipment ]],'Basic Data '!A:A,'Basic Data '!C:C),"")</f>
        <v>4.1198501872659176E-3</v>
      </c>
      <c r="U514" s="59" t="s">
        <v>1260</v>
      </c>
      <c r="V514" s="88"/>
      <c r="W514" s="265" t="s">
        <v>1333</v>
      </c>
      <c r="X514" s="359">
        <v>0.21944444444444444</v>
      </c>
      <c r="Y514" s="359">
        <v>0.25</v>
      </c>
      <c r="Z514" s="359">
        <v>0.40625</v>
      </c>
      <c r="AA514" s="359">
        <v>0.42708333333333331</v>
      </c>
      <c r="AB514" s="158">
        <f>IF(PA[[#This Row],[Acknowledgement Time ]]="NA","",(PA[[#This Row],[Acknowledgement Time ]]-PA[[#This Row],[Fault Time]])*24)</f>
        <v>0.73333333333333339</v>
      </c>
      <c r="AC514" s="158">
        <f>IF(PA[[#This Row],[Work Start time on Fault]]="NA","",(PA[[#This Row],[Work Start time on Fault]]-PA[[#This Row],[Fault Time]])*24)</f>
        <v>4.4833333333333334</v>
      </c>
      <c r="AD514" s="112">
        <f>IF(PA[[#This Row],[Status]]="Open","",(PA[[#This Row],[Work Completion time on fault]]-PA[[#This Row],[Fault Time]])*24)</f>
        <v>4.9833333333333325</v>
      </c>
      <c r="AE514" s="111">
        <f>IFERROR((PA[[#This Row],[Work Completion time on fault]]-PA[[#This Row],[Fault Time]])*24,"")</f>
        <v>4.9833333333333325</v>
      </c>
      <c r="AF514" s="228" t="s">
        <v>1333</v>
      </c>
      <c r="AG514" s="6" t="s">
        <v>1275</v>
      </c>
      <c r="AH514" s="53">
        <f>IFERROR(PA[[#This Row],[Breakdown Time]]*PA[[#This Row],[Plant Equivalent Weightage]],"")</f>
        <v>2.053058676654182E-2</v>
      </c>
      <c r="AI514" s="59">
        <v>1.069</v>
      </c>
      <c r="AJ514" s="89">
        <f>IFERROR(IF(PA[[#This Row],[Lost PoA(kWh/m2)]]&gt;0,_xlfn.XLOOKUP(G514,'Modelling New'!$D:$D,'Modelling New'!$O:$O)*PA[[#This Row],[Lost PoA(kWh/m2)]]*S514,0),"")</f>
        <v>71.508130552183857</v>
      </c>
      <c r="AK514" s="365"/>
      <c r="AL514" s="365"/>
    </row>
    <row r="515" spans="1:38" ht="45" x14ac:dyDescent="0.25">
      <c r="A515" s="377">
        <v>2207</v>
      </c>
      <c r="B515" s="376">
        <v>45841</v>
      </c>
      <c r="C515" s="163">
        <v>2025</v>
      </c>
      <c r="D515" s="348">
        <f>YEAR(PA[[#This Row],[Date]])</f>
        <v>2025</v>
      </c>
      <c r="E515" s="373" t="s">
        <v>73</v>
      </c>
      <c r="F515" s="374" t="s">
        <v>73</v>
      </c>
      <c r="G515" s="323">
        <v>45809</v>
      </c>
      <c r="H515" s="365">
        <f>DAY(EOMONTH(PA[[#This Row],[Date]], 0))</f>
        <v>31</v>
      </c>
      <c r="I515" s="361">
        <v>0.21944444444444444</v>
      </c>
      <c r="J515" s="10">
        <v>0.77638888888888891</v>
      </c>
      <c r="K515" s="53">
        <f>IFERROR((PA[[#This Row],[Sunset Time (POA&lt;20 W/m2)]]-PA[[#This Row],[Sunrise Time (POA&gt;20 W/m2)]])*24,"")</f>
        <v>13.366666666666667</v>
      </c>
      <c r="L515" s="59" t="s">
        <v>615</v>
      </c>
      <c r="M515" s="59"/>
      <c r="N515" s="59"/>
      <c r="O515" s="59" t="s">
        <v>594</v>
      </c>
      <c r="P515" s="56"/>
      <c r="Q515" s="6"/>
      <c r="R51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515" s="53">
        <f>_xlfn.XLOOKUP(PA[[#This Row],[Affected Equipment ]],'Basic Data '!$A:$A,'Basic Data '!$B:$B)</f>
        <v>264</v>
      </c>
      <c r="T515" s="90">
        <f>IFERROR(_xlfn.XLOOKUP(PA[[#This Row],[Affected Equipment ]],'Basic Data '!A:A,'Basic Data '!C:C),"")</f>
        <v>3.9550561797752808E-3</v>
      </c>
      <c r="U515" s="59" t="s">
        <v>1312</v>
      </c>
      <c r="V515" s="88"/>
      <c r="W515" s="265" t="s">
        <v>1334</v>
      </c>
      <c r="X515" s="359">
        <v>0.21944444444444444</v>
      </c>
      <c r="Y515" s="359">
        <v>0.25</v>
      </c>
      <c r="Z515" s="359">
        <v>0.35069444444444442</v>
      </c>
      <c r="AA515" s="359">
        <v>0.36458333333333331</v>
      </c>
      <c r="AB515" s="158">
        <f>IF(PA[[#This Row],[Acknowledgement Time ]]="NA","",(PA[[#This Row],[Acknowledgement Time ]]-PA[[#This Row],[Fault Time]])*24)</f>
        <v>0.73333333333333339</v>
      </c>
      <c r="AC515" s="158">
        <f>IF(PA[[#This Row],[Work Start time on Fault]]="NA","",(PA[[#This Row],[Work Start time on Fault]]-PA[[#This Row],[Fault Time]])*24)</f>
        <v>3.1499999999999995</v>
      </c>
      <c r="AD515" s="112">
        <f>IF(PA[[#This Row],[Status]]="Open","",(PA[[#This Row],[Work Completion time on fault]]-PA[[#This Row],[Fault Time]])*24)</f>
        <v>3.4833333333333329</v>
      </c>
      <c r="AE515" s="111">
        <f>IFERROR((PA[[#This Row],[Work Completion time on fault]]-PA[[#This Row],[Fault Time]])*24,"")</f>
        <v>3.4833333333333329</v>
      </c>
      <c r="AF515" s="228" t="s">
        <v>1334</v>
      </c>
      <c r="AG515" s="6" t="s">
        <v>1275</v>
      </c>
      <c r="AH515" s="53">
        <f>IFERROR(PA[[#This Row],[Breakdown Time]]*PA[[#This Row],[Plant Equivalent Weightage]],"")</f>
        <v>1.3776779026217226E-2</v>
      </c>
      <c r="AI515" s="59">
        <v>0.47599999999999998</v>
      </c>
      <c r="AJ515" s="89">
        <f>IFERROR(IF(PA[[#This Row],[Lost PoA(kWh/m2)]]&gt;0,_xlfn.XLOOKUP(G515,'Modelling New'!$D:$D,'Modelling New'!$O:$O)*PA[[#This Row],[Lost PoA(kWh/m2)]]*S515,0),"")</f>
        <v>95.522554189446737</v>
      </c>
      <c r="AK515" s="365"/>
      <c r="AL515" s="365"/>
    </row>
    <row r="516" spans="1:38" ht="30" x14ac:dyDescent="0.25">
      <c r="A516" s="229">
        <v>2208</v>
      </c>
      <c r="B516" s="376">
        <v>45841</v>
      </c>
      <c r="C516" s="163">
        <v>2025</v>
      </c>
      <c r="D516" s="348">
        <f>YEAR(PA[[#This Row],[Date]])</f>
        <v>2025</v>
      </c>
      <c r="E516" s="373" t="s">
        <v>73</v>
      </c>
      <c r="F516" s="374" t="s">
        <v>73</v>
      </c>
      <c r="G516" s="323">
        <v>45809</v>
      </c>
      <c r="H516" s="365">
        <f>DAY(EOMONTH(PA[[#This Row],[Date]], 0))</f>
        <v>31</v>
      </c>
      <c r="I516" s="361">
        <v>0.21944444444444444</v>
      </c>
      <c r="J516" s="10">
        <v>0.77638888888888891</v>
      </c>
      <c r="K516" s="53">
        <f>IFERROR((PA[[#This Row],[Sunset Time (POA&lt;20 W/m2)]]-PA[[#This Row],[Sunrise Time (POA&gt;20 W/m2)]])*24,"")</f>
        <v>13.366666666666667</v>
      </c>
      <c r="L516" s="59" t="s">
        <v>615</v>
      </c>
      <c r="M516" s="59"/>
      <c r="N516" s="59"/>
      <c r="O516" s="59" t="s">
        <v>594</v>
      </c>
      <c r="P516" s="56"/>
      <c r="Q516" s="6"/>
      <c r="R51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BLK6INV10</v>
      </c>
      <c r="S516" s="53">
        <v>88</v>
      </c>
      <c r="T516" s="90">
        <f>IFERROR(_xlfn.XLOOKUP(PA[[#This Row],[Affected Equipment ]],'Basic Data '!A:A,'Basic Data '!C:C),"")</f>
        <v>3.9550561797752808E-3</v>
      </c>
      <c r="U516" s="59" t="s">
        <v>1260</v>
      </c>
      <c r="V516" s="88"/>
      <c r="W516" s="265" t="s">
        <v>1335</v>
      </c>
      <c r="X516" s="359">
        <v>0.21944444444444444</v>
      </c>
      <c r="Y516" s="359">
        <v>0.25</v>
      </c>
      <c r="Z516" s="359">
        <v>0.43402777777777773</v>
      </c>
      <c r="AA516" s="359">
        <v>0.44791666666666669</v>
      </c>
      <c r="AB516" s="158">
        <f>IF(PA[[#This Row],[Acknowledgement Time ]]="NA","",(PA[[#This Row],[Acknowledgement Time ]]-PA[[#This Row],[Fault Time]])*24)</f>
        <v>0.73333333333333339</v>
      </c>
      <c r="AC516" s="158">
        <f>IF(PA[[#This Row],[Work Start time on Fault]]="NA","",(PA[[#This Row],[Work Start time on Fault]]-PA[[#This Row],[Fault Time]])*24)</f>
        <v>5.1499999999999986</v>
      </c>
      <c r="AD516" s="112">
        <f>IF(PA[[#This Row],[Status]]="Open","",(PA[[#This Row],[Work Completion time on fault]]-PA[[#This Row],[Fault Time]])*24)</f>
        <v>5.4833333333333343</v>
      </c>
      <c r="AE516" s="111">
        <f>IFERROR((PA[[#This Row],[Work Completion time on fault]]-PA[[#This Row],[Fault Time]])*24,"")</f>
        <v>5.4833333333333343</v>
      </c>
      <c r="AF516" s="228" t="s">
        <v>1335</v>
      </c>
      <c r="AG516" s="6" t="s">
        <v>1275</v>
      </c>
      <c r="AH516" s="53">
        <f>IFERROR(PA[[#This Row],[Breakdown Time]]*PA[[#This Row],[Plant Equivalent Weightage]],"")</f>
        <v>2.1686891385767793E-2</v>
      </c>
      <c r="AI516" s="59">
        <v>1.444</v>
      </c>
      <c r="AJ516" s="89">
        <f>IFERROR(IF(PA[[#This Row],[Lost PoA(kWh/m2)]]&gt;0,_xlfn.XLOOKUP(G516,'Modelling New'!$D:$D,'Modelling New'!$O:$O)*PA[[#This Row],[Lost PoA(kWh/m2)]]*S516,0),"")</f>
        <v>96.592834908656215</v>
      </c>
      <c r="AK516" s="365"/>
      <c r="AL516" s="365"/>
    </row>
    <row r="517" spans="1:38" ht="30" x14ac:dyDescent="0.25">
      <c r="A517" s="377">
        <v>2209</v>
      </c>
      <c r="B517" s="376">
        <v>45842</v>
      </c>
      <c r="C517" s="163">
        <v>2025</v>
      </c>
      <c r="D517" s="348">
        <f>YEAR(PA[[#This Row],[Date]])</f>
        <v>2025</v>
      </c>
      <c r="E517" s="373" t="s">
        <v>73</v>
      </c>
      <c r="F517" s="374" t="s">
        <v>73</v>
      </c>
      <c r="G517" s="323">
        <v>45809</v>
      </c>
      <c r="H517" s="365">
        <f>DAY(EOMONTH(PA[[#This Row],[Date]], 0))</f>
        <v>31</v>
      </c>
      <c r="I517" s="361">
        <v>0.21875</v>
      </c>
      <c r="J517" s="361">
        <v>0.77500000000000002</v>
      </c>
      <c r="K517" s="53">
        <f>IFERROR((PA[[#This Row],[Sunset Time (POA&lt;20 W/m2)]]-PA[[#This Row],[Sunrise Time (POA&gt;20 W/m2)]])*24,"")</f>
        <v>13.350000000000001</v>
      </c>
      <c r="L517" s="59" t="s">
        <v>621</v>
      </c>
      <c r="M517" s="59"/>
      <c r="N517" s="59"/>
      <c r="O517" s="59" t="s">
        <v>637</v>
      </c>
      <c r="P517" s="56"/>
      <c r="Q517" s="6"/>
      <c r="R51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517" s="53">
        <v>12</v>
      </c>
      <c r="T517" s="90">
        <f>IFERROR(_xlfn.XLOOKUP(PA[[#This Row],[Affected Equipment ]],'Basic Data '!A:A,'Basic Data '!C:C),"")</f>
        <v>4.0000000000000001E-3</v>
      </c>
      <c r="U517" s="59" t="s">
        <v>1260</v>
      </c>
      <c r="V517" s="88"/>
      <c r="W517" s="265" t="s">
        <v>1271</v>
      </c>
      <c r="X517" s="359">
        <v>0.21944444444444444</v>
      </c>
      <c r="Y517" s="359"/>
      <c r="Z517" s="359"/>
      <c r="AA517" s="359"/>
      <c r="AB517" s="158">
        <f>IF(PA[[#This Row],[Acknowledgement Time ]]="NA","",(PA[[#This Row],[Acknowledgement Time ]]-PA[[#This Row],[Fault Time]])*24)</f>
        <v>-5.2666666666666666</v>
      </c>
      <c r="AC517" s="158">
        <f>IF(PA[[#This Row],[Work Start time on Fault]]="NA","",(PA[[#This Row],[Work Start time on Fault]]-PA[[#This Row],[Fault Time]])*24)</f>
        <v>-5.2666666666666666</v>
      </c>
      <c r="AD517" s="112">
        <f>IF(PA[[#This Row],[Status]]="Open","",(PA[[#This Row],[Work Completion time on fault]]-PA[[#This Row],[Fault Time]])*24)</f>
        <v>-5.2666666666666666</v>
      </c>
      <c r="AE517" s="111">
        <f>IFERROR((PA[[#This Row],[Work Completion time on fault]]-PA[[#This Row],[Fault Time]])*24,"")</f>
        <v>-5.2666666666666666</v>
      </c>
      <c r="AF517" s="228" t="s">
        <v>1271</v>
      </c>
      <c r="AG517" s="6" t="s">
        <v>1275</v>
      </c>
      <c r="AH517" s="53">
        <f>IFERROR(PA[[#This Row],[Breakdown Time]]*PA[[#This Row],[Plant Equivalent Weightage]],"")</f>
        <v>-2.1066666666666668E-2</v>
      </c>
      <c r="AI517" s="59">
        <v>4.21</v>
      </c>
      <c r="AJ517" s="89">
        <f>IFERROR(IF(PA[[#This Row],[Lost PoA(kWh/m2)]]&gt;0,_xlfn.XLOOKUP(G517,'Modelling New'!$D:$D,'Modelling New'!$O:$O)*PA[[#This Row],[Lost PoA(kWh/m2)]]*S517,0),"")</f>
        <v>38.402401942090407</v>
      </c>
      <c r="AK517" s="365"/>
      <c r="AL517" s="365"/>
    </row>
    <row r="518" spans="1:38" ht="30" x14ac:dyDescent="0.25">
      <c r="A518" s="229">
        <v>2210</v>
      </c>
      <c r="B518" s="376">
        <v>45842</v>
      </c>
      <c r="C518" s="163">
        <v>2025</v>
      </c>
      <c r="D518" s="348">
        <f>YEAR(PA[[#This Row],[Date]])</f>
        <v>2025</v>
      </c>
      <c r="E518" s="373" t="s">
        <v>73</v>
      </c>
      <c r="F518" s="374" t="s">
        <v>73</v>
      </c>
      <c r="G518" s="323">
        <v>45809</v>
      </c>
      <c r="H518" s="365">
        <f>DAY(EOMONTH(PA[[#This Row],[Date]], 0))</f>
        <v>31</v>
      </c>
      <c r="I518" s="361">
        <v>0.21875</v>
      </c>
      <c r="J518" s="361">
        <v>0.77500000000000002</v>
      </c>
      <c r="K518" s="53">
        <f>IFERROR((PA[[#This Row],[Sunset Time (POA&lt;20 W/m2)]]-PA[[#This Row],[Sunrise Time (POA&gt;20 W/m2)]])*24,"")</f>
        <v>13.350000000000001</v>
      </c>
      <c r="L518" s="59" t="s">
        <v>621</v>
      </c>
      <c r="M518" s="59"/>
      <c r="N518" s="59"/>
      <c r="O518" s="59" t="s">
        <v>612</v>
      </c>
      <c r="P518" s="56"/>
      <c r="Q518" s="6"/>
      <c r="R51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518" s="53">
        <v>12</v>
      </c>
      <c r="T518" s="90">
        <f>IFERROR(_xlfn.XLOOKUP(PA[[#This Row],[Affected Equipment ]],'Basic Data '!A:A,'Basic Data '!C:C),"")</f>
        <v>4.4999999999999997E-3</v>
      </c>
      <c r="U518" s="59" t="s">
        <v>1260</v>
      </c>
      <c r="V518" s="88"/>
      <c r="W518" s="265" t="s">
        <v>1271</v>
      </c>
      <c r="X518" s="359">
        <v>0.21944444444444444</v>
      </c>
      <c r="Y518" s="359"/>
      <c r="Z518" s="359"/>
      <c r="AA518" s="359"/>
      <c r="AB518" s="158">
        <f>IF(PA[[#This Row],[Acknowledgement Time ]]="NA","",(PA[[#This Row],[Acknowledgement Time ]]-PA[[#This Row],[Fault Time]])*24)</f>
        <v>-5.2666666666666666</v>
      </c>
      <c r="AC518" s="158">
        <f>IF(PA[[#This Row],[Work Start time on Fault]]="NA","",(PA[[#This Row],[Work Start time on Fault]]-PA[[#This Row],[Fault Time]])*24)</f>
        <v>-5.2666666666666666</v>
      </c>
      <c r="AD518" s="112">
        <f>IF(PA[[#This Row],[Status]]="Open","",(PA[[#This Row],[Work Completion time on fault]]-PA[[#This Row],[Fault Time]])*24)</f>
        <v>-5.2666666666666666</v>
      </c>
      <c r="AE518" s="111">
        <f>IFERROR((PA[[#This Row],[Work Completion time on fault]]-PA[[#This Row],[Fault Time]])*24,"")</f>
        <v>-5.2666666666666666</v>
      </c>
      <c r="AF518" s="228" t="s">
        <v>1271</v>
      </c>
      <c r="AG518" s="6" t="s">
        <v>1275</v>
      </c>
      <c r="AH518" s="53">
        <f>IFERROR(PA[[#This Row],[Breakdown Time]]*PA[[#This Row],[Plant Equivalent Weightage]],"")</f>
        <v>-2.3699999999999999E-2</v>
      </c>
      <c r="AI518" s="59">
        <v>4.21</v>
      </c>
      <c r="AJ518" s="89">
        <f>IFERROR(IF(PA[[#This Row],[Lost PoA(kWh/m2)]]&gt;0,_xlfn.XLOOKUP(G518,'Modelling New'!$D:$D,'Modelling New'!$O:$O)*PA[[#This Row],[Lost PoA(kWh/m2)]]*S518,0),"")</f>
        <v>38.402401942090407</v>
      </c>
      <c r="AK518" s="365"/>
      <c r="AL518" s="365"/>
    </row>
    <row r="519" spans="1:38" x14ac:dyDescent="0.25">
      <c r="A519" s="377">
        <v>2211</v>
      </c>
      <c r="B519" s="376">
        <v>45842</v>
      </c>
      <c r="C519" s="163">
        <v>2025</v>
      </c>
      <c r="D519" s="348">
        <f>YEAR(PA[[#This Row],[Date]])</f>
        <v>2025</v>
      </c>
      <c r="E519" s="373" t="s">
        <v>73</v>
      </c>
      <c r="F519" s="374" t="s">
        <v>73</v>
      </c>
      <c r="G519" s="323">
        <v>45809</v>
      </c>
      <c r="H519" s="365">
        <f>DAY(EOMONTH(PA[[#This Row],[Date]], 0))</f>
        <v>31</v>
      </c>
      <c r="I519" s="361">
        <v>0.21875</v>
      </c>
      <c r="J519" s="361">
        <v>0.77500000000000002</v>
      </c>
      <c r="K519" s="53">
        <f>IFERROR((PA[[#This Row],[Sunset Time (POA&lt;20 W/m2)]]-PA[[#This Row],[Sunrise Time (POA&gt;20 W/m2)]])*24,"")</f>
        <v>13.350000000000001</v>
      </c>
      <c r="L519" s="59" t="s">
        <v>564</v>
      </c>
      <c r="M519" s="59"/>
      <c r="N519" s="59"/>
      <c r="O519" s="59" t="s">
        <v>644</v>
      </c>
      <c r="P519" s="56"/>
      <c r="Q519" s="6"/>
      <c r="R51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BLK5INV4</v>
      </c>
      <c r="S519" s="53">
        <v>22.25</v>
      </c>
      <c r="T519" s="90">
        <f>IFERROR(_xlfn.XLOOKUP(PA[[#This Row],[Affected Equipment ]],'Basic Data '!A:A,'Basic Data '!C:C),"")</f>
        <v>4.4999999999999997E-3</v>
      </c>
      <c r="U519" s="59" t="s">
        <v>1260</v>
      </c>
      <c r="V519" s="88"/>
      <c r="W519" s="114" t="s">
        <v>1336</v>
      </c>
      <c r="X519" s="359">
        <v>0.21944444444444444</v>
      </c>
      <c r="Y519" s="359">
        <v>0.29166666666666669</v>
      </c>
      <c r="Z519" s="359">
        <v>0.41319444444444442</v>
      </c>
      <c r="AA519" s="359">
        <v>0.43055555555555558</v>
      </c>
      <c r="AB519" s="158">
        <f>IF(PA[[#This Row],[Acknowledgement Time ]]="NA","",(PA[[#This Row],[Acknowledgement Time ]]-PA[[#This Row],[Fault Time]])*24)</f>
        <v>1.7333333333333338</v>
      </c>
      <c r="AC519" s="158">
        <f>IF(PA[[#This Row],[Work Start time on Fault]]="NA","",(PA[[#This Row],[Work Start time on Fault]]-PA[[#This Row],[Fault Time]])*24)</f>
        <v>4.6499999999999995</v>
      </c>
      <c r="AD519" s="112">
        <f>IF(PA[[#This Row],[Status]]="Open","",(PA[[#This Row],[Work Completion time on fault]]-PA[[#This Row],[Fault Time]])*24)</f>
        <v>5.0666666666666673</v>
      </c>
      <c r="AE519" s="111">
        <f>IFERROR((PA[[#This Row],[Work Completion time on fault]]-PA[[#This Row],[Fault Time]])*24,"")</f>
        <v>5.0666666666666673</v>
      </c>
      <c r="AF519" s="228" t="s">
        <v>1336</v>
      </c>
      <c r="AG519" s="6" t="s">
        <v>1275</v>
      </c>
      <c r="AH519" s="53">
        <f>IFERROR(PA[[#This Row],[Breakdown Time]]*PA[[#This Row],[Plant Equivalent Weightage]],"")</f>
        <v>2.2800000000000001E-2</v>
      </c>
      <c r="AI519" s="59">
        <v>1.29</v>
      </c>
      <c r="AJ519" s="89">
        <f>IFERROR(IF(PA[[#This Row],[Lost PoA(kWh/m2)]]&gt;0,_xlfn.XLOOKUP(G519,'Modelling New'!$D:$D,'Modelling New'!$O:$O)*PA[[#This Row],[Lost PoA(kWh/m2)]]*S519,0),"")</f>
        <v>21.817991720959025</v>
      </c>
      <c r="AK519" s="365"/>
      <c r="AL519" s="365"/>
    </row>
    <row r="520" spans="1:38" x14ac:dyDescent="0.25">
      <c r="A520" s="229">
        <v>2212</v>
      </c>
      <c r="B520" s="376">
        <v>45842</v>
      </c>
      <c r="C520" s="163">
        <v>2025</v>
      </c>
      <c r="D520" s="348">
        <f>YEAR(PA[[#This Row],[Date]])</f>
        <v>2025</v>
      </c>
      <c r="E520" s="373" t="s">
        <v>73</v>
      </c>
      <c r="F520" s="374" t="s">
        <v>73</v>
      </c>
      <c r="G520" s="323">
        <v>45809</v>
      </c>
      <c r="H520" s="365">
        <f>DAY(EOMONTH(PA[[#This Row],[Date]], 0))</f>
        <v>31</v>
      </c>
      <c r="I520" s="361">
        <v>0.21875</v>
      </c>
      <c r="J520" s="361">
        <v>0.77500000000000002</v>
      </c>
      <c r="K520" s="53">
        <f>IFERROR((PA[[#This Row],[Sunset Time (POA&lt;20 W/m2)]]-PA[[#This Row],[Sunrise Time (POA&gt;20 W/m2)]])*24,"")</f>
        <v>13.350000000000001</v>
      </c>
      <c r="L520" s="59" t="s">
        <v>564</v>
      </c>
      <c r="M520" s="59"/>
      <c r="N520" s="59"/>
      <c r="O520" s="59" t="s">
        <v>565</v>
      </c>
      <c r="P520" s="56"/>
      <c r="Q520" s="6"/>
      <c r="R52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BLK5INV1</v>
      </c>
      <c r="S520" s="53">
        <v>22.25</v>
      </c>
      <c r="T520" s="90">
        <f>IFERROR(_xlfn.XLOOKUP(PA[[#This Row],[Affected Equipment ]],'Basic Data '!A:A,'Basic Data '!C:C),"")</f>
        <v>4.4999999999999997E-3</v>
      </c>
      <c r="U520" s="59" t="s">
        <v>1260</v>
      </c>
      <c r="V520" s="88"/>
      <c r="W520" s="114" t="s">
        <v>1337</v>
      </c>
      <c r="X520" s="359">
        <v>0.21944444444444444</v>
      </c>
      <c r="Y520" s="359">
        <v>0.29166666666666669</v>
      </c>
      <c r="Z520" s="359">
        <v>0.36458333333333331</v>
      </c>
      <c r="AA520" s="359">
        <v>0.38541666666666669</v>
      </c>
      <c r="AB520" s="158">
        <f>IF(PA[[#This Row],[Acknowledgement Time ]]="NA","",(PA[[#This Row],[Acknowledgement Time ]]-PA[[#This Row],[Fault Time]])*24)</f>
        <v>1.7333333333333338</v>
      </c>
      <c r="AC520" s="158">
        <f>IF(PA[[#This Row],[Work Start time on Fault]]="NA","",(PA[[#This Row],[Work Start time on Fault]]-PA[[#This Row],[Fault Time]])*24)</f>
        <v>3.4833333333333329</v>
      </c>
      <c r="AD520" s="112">
        <f>IF(PA[[#This Row],[Status]]="Open","",(PA[[#This Row],[Work Completion time on fault]]-PA[[#This Row],[Fault Time]])*24)</f>
        <v>3.9833333333333338</v>
      </c>
      <c r="AE520" s="111">
        <f>IFERROR((PA[[#This Row],[Work Completion time on fault]]-PA[[#This Row],[Fault Time]])*24,"")</f>
        <v>3.9833333333333338</v>
      </c>
      <c r="AF520" s="228" t="s">
        <v>1337</v>
      </c>
      <c r="AG520" s="6" t="s">
        <v>1275</v>
      </c>
      <c r="AH520" s="53">
        <f>IFERROR(PA[[#This Row],[Breakdown Time]]*PA[[#This Row],[Plant Equivalent Weightage]],"")</f>
        <v>1.7925E-2</v>
      </c>
      <c r="AI520" s="59">
        <v>0.78</v>
      </c>
      <c r="AJ520" s="89">
        <f>IFERROR(IF(PA[[#This Row],[Lost PoA(kWh/m2)]]&gt;0,_xlfn.XLOOKUP(G520,'Modelling New'!$D:$D,'Modelling New'!$O:$O)*PA[[#This Row],[Lost PoA(kWh/m2)]]*S520,0),"")</f>
        <v>13.19227406383569</v>
      </c>
      <c r="AK520" s="365"/>
      <c r="AL520" s="365"/>
    </row>
    <row r="521" spans="1:38" x14ac:dyDescent="0.25">
      <c r="A521" s="377">
        <v>2213</v>
      </c>
      <c r="B521" s="376">
        <v>45842</v>
      </c>
      <c r="C521" s="163">
        <v>2025</v>
      </c>
      <c r="D521" s="348">
        <f>YEAR(PA[[#This Row],[Date]])</f>
        <v>2025</v>
      </c>
      <c r="E521" s="373" t="s">
        <v>73</v>
      </c>
      <c r="F521" s="374" t="s">
        <v>73</v>
      </c>
      <c r="G521" s="323">
        <v>45809</v>
      </c>
      <c r="H521" s="365">
        <f>DAY(EOMONTH(PA[[#This Row],[Date]], 0))</f>
        <v>31</v>
      </c>
      <c r="I521" s="361">
        <v>0.21875</v>
      </c>
      <c r="J521" s="361">
        <v>0.77500000000000002</v>
      </c>
      <c r="K521" s="53">
        <f>IFERROR((PA[[#This Row],[Sunset Time (POA&lt;20 W/m2)]]-PA[[#This Row],[Sunrise Time (POA&gt;20 W/m2)]])*24,"")</f>
        <v>13.350000000000001</v>
      </c>
      <c r="L521" s="59" t="s">
        <v>564</v>
      </c>
      <c r="M521" s="59"/>
      <c r="N521" s="59"/>
      <c r="O521" s="59" t="s">
        <v>591</v>
      </c>
      <c r="P521" s="56"/>
      <c r="Q521" s="6"/>
      <c r="R52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BLK5INV5</v>
      </c>
      <c r="S521" s="53">
        <v>22.25</v>
      </c>
      <c r="T521" s="90">
        <f>IFERROR(_xlfn.XLOOKUP(PA[[#This Row],[Affected Equipment ]],'Basic Data '!A:A,'Basic Data '!C:C),"")</f>
        <v>4.4999999999999997E-3</v>
      </c>
      <c r="U521" s="59" t="s">
        <v>1260</v>
      </c>
      <c r="V521" s="88"/>
      <c r="W521" s="114" t="s">
        <v>1338</v>
      </c>
      <c r="X521" s="359">
        <v>0.21944444444444444</v>
      </c>
      <c r="Y521" s="359">
        <v>0.29166666666666669</v>
      </c>
      <c r="Z521" s="359">
        <v>0.3888888888888889</v>
      </c>
      <c r="AA521" s="359">
        <v>0.40625</v>
      </c>
      <c r="AB521" s="158">
        <f>IF(PA[[#This Row],[Acknowledgement Time ]]="NA","",(PA[[#This Row],[Acknowledgement Time ]]-PA[[#This Row],[Fault Time]])*24)</f>
        <v>1.7333333333333338</v>
      </c>
      <c r="AC521" s="158">
        <f>IF(PA[[#This Row],[Work Start time on Fault]]="NA","",(PA[[#This Row],[Work Start time on Fault]]-PA[[#This Row],[Fault Time]])*24)</f>
        <v>4.0666666666666664</v>
      </c>
      <c r="AD521" s="112">
        <f>IF(PA[[#This Row],[Status]]="Open","",(PA[[#This Row],[Work Completion time on fault]]-PA[[#This Row],[Fault Time]])*24)</f>
        <v>4.4833333333333334</v>
      </c>
      <c r="AE521" s="111">
        <f>IFERROR((PA[[#This Row],[Work Completion time on fault]]-PA[[#This Row],[Fault Time]])*24,"")</f>
        <v>4.4833333333333334</v>
      </c>
      <c r="AF521" s="228" t="s">
        <v>1338</v>
      </c>
      <c r="AG521" s="6" t="s">
        <v>1275</v>
      </c>
      <c r="AH521" s="53">
        <f>IFERROR(PA[[#This Row],[Breakdown Time]]*PA[[#This Row],[Plant Equivalent Weightage]],"")</f>
        <v>2.0174999999999998E-2</v>
      </c>
      <c r="AI521" s="59">
        <v>1.014</v>
      </c>
      <c r="AJ521" s="89">
        <f>IFERROR(IF(PA[[#This Row],[Lost PoA(kWh/m2)]]&gt;0,_xlfn.XLOOKUP(G521,'Modelling New'!$D:$D,'Modelling New'!$O:$O)*PA[[#This Row],[Lost PoA(kWh/m2)]]*S521,0),"")</f>
        <v>17.149956282986398</v>
      </c>
      <c r="AK521" s="365"/>
      <c r="AL521" s="365"/>
    </row>
    <row r="522" spans="1:38" x14ac:dyDescent="0.25">
      <c r="A522" s="377">
        <v>2214</v>
      </c>
      <c r="B522" s="376">
        <v>45842</v>
      </c>
      <c r="C522" s="163">
        <v>2025</v>
      </c>
      <c r="D522" s="364">
        <f>YEAR(PA[[#This Row],[Date]])</f>
        <v>2025</v>
      </c>
      <c r="E522" s="373" t="s">
        <v>73</v>
      </c>
      <c r="F522" s="374" t="s">
        <v>73</v>
      </c>
      <c r="G522" s="323">
        <v>45809</v>
      </c>
      <c r="H522" s="365">
        <f>DAY(EOMONTH(PA[[#This Row],[Date]], 0))</f>
        <v>31</v>
      </c>
      <c r="I522" s="361">
        <v>0.21875</v>
      </c>
      <c r="J522" s="361">
        <v>0.77500000000000002</v>
      </c>
      <c r="K522" s="131">
        <f>IFERROR((PA[[#This Row],[Sunset Time (POA&lt;20 W/m2)]]-PA[[#This Row],[Sunrise Time (POA&gt;20 W/m2)]])*24,"")</f>
        <v>13.350000000000001</v>
      </c>
      <c r="L522" s="128" t="s">
        <v>559</v>
      </c>
      <c r="M522" s="128"/>
      <c r="N522" s="128"/>
      <c r="O522" s="128" t="s">
        <v>591</v>
      </c>
      <c r="P522" s="130"/>
      <c r="Q522" s="129"/>
      <c r="R522"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BLK2INV5</v>
      </c>
      <c r="S522" s="53">
        <v>22.25</v>
      </c>
      <c r="T522" s="132">
        <f>IFERROR(_xlfn.XLOOKUP(PA[[#This Row],[Affected Equipment ]],'Basic Data '!A:A,'Basic Data '!C:C),"")</f>
        <v>4.0000000000000001E-3</v>
      </c>
      <c r="U522" s="59" t="s">
        <v>1260</v>
      </c>
      <c r="V522" s="117"/>
      <c r="W522" s="118" t="s">
        <v>1339</v>
      </c>
      <c r="X522" s="359">
        <v>0.21944444444444444</v>
      </c>
      <c r="Y522" s="359">
        <v>0.29166666666666669</v>
      </c>
      <c r="Z522" s="366">
        <v>0.42708333333333331</v>
      </c>
      <c r="AA522" s="366">
        <v>0.44444444444444442</v>
      </c>
      <c r="AB522" s="159">
        <f>IF(PA[[#This Row],[Acknowledgement Time ]]="NA","",(PA[[#This Row],[Acknowledgement Time ]]-PA[[#This Row],[Fault Time]])*24)</f>
        <v>1.7333333333333338</v>
      </c>
      <c r="AC522" s="159">
        <f>IF(PA[[#This Row],[Work Start time on Fault]]="NA","",(PA[[#This Row],[Work Start time on Fault]]-PA[[#This Row],[Fault Time]])*24)</f>
        <v>4.9833333333333325</v>
      </c>
      <c r="AD522" s="135">
        <f>IF(PA[[#This Row],[Status]]="Open","",(PA[[#This Row],[Work Completion time on fault]]-PA[[#This Row],[Fault Time]])*24)</f>
        <v>5.3999999999999995</v>
      </c>
      <c r="AE522" s="134">
        <f>IFERROR((PA[[#This Row],[Work Completion time on fault]]-PA[[#This Row],[Fault Time]])*24,"")</f>
        <v>5.3999999999999995</v>
      </c>
      <c r="AF522" s="226" t="s">
        <v>1339</v>
      </c>
      <c r="AG522" s="6" t="s">
        <v>1275</v>
      </c>
      <c r="AH522" s="131">
        <f>IFERROR(PA[[#This Row],[Breakdown Time]]*PA[[#This Row],[Plant Equivalent Weightage]],"")</f>
        <v>2.1599999999999998E-2</v>
      </c>
      <c r="AI522" s="128">
        <v>1.5880000000000001</v>
      </c>
      <c r="AJ522" s="89">
        <f>IFERROR(IF(PA[[#This Row],[Lost PoA(kWh/m2)]]&gt;0,_xlfn.XLOOKUP(G522,'Modelling New'!$D:$D,'Modelling New'!$O:$O)*PA[[#This Row],[Lost PoA(kWh/m2)]]*S522,0),"")</f>
        <v>26.858116940219329</v>
      </c>
      <c r="AK522" s="365"/>
      <c r="AL522" s="365"/>
    </row>
    <row r="523" spans="1:38" ht="30" x14ac:dyDescent="0.25">
      <c r="A523" s="377">
        <v>2215</v>
      </c>
      <c r="B523" s="376">
        <v>45843</v>
      </c>
      <c r="C523" s="163">
        <v>2025</v>
      </c>
      <c r="D523" s="348">
        <f>YEAR(PA[[#This Row],[Date]])</f>
        <v>2025</v>
      </c>
      <c r="E523" s="373" t="s">
        <v>73</v>
      </c>
      <c r="F523" s="374" t="s">
        <v>73</v>
      </c>
      <c r="G523" s="323">
        <v>45809</v>
      </c>
      <c r="H523" s="365">
        <f>DAY(EOMONTH(PA[[#This Row],[Date]], 0))</f>
        <v>31</v>
      </c>
      <c r="I523" s="10">
        <v>0.22847222222222222</v>
      </c>
      <c r="J523" s="10">
        <v>0.77916666666666667</v>
      </c>
      <c r="K523" s="53">
        <f>IFERROR((PA[[#This Row],[Sunset Time (POA&lt;20 W/m2)]]-PA[[#This Row],[Sunrise Time (POA&gt;20 W/m2)]])*24,"")</f>
        <v>13.216666666666669</v>
      </c>
      <c r="L523" s="59" t="s">
        <v>621</v>
      </c>
      <c r="M523" s="59"/>
      <c r="N523" s="59"/>
      <c r="O523" s="59" t="s">
        <v>637</v>
      </c>
      <c r="P523" s="56"/>
      <c r="Q523" s="6"/>
      <c r="R52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523" s="53">
        <v>12</v>
      </c>
      <c r="T523" s="90">
        <f>IFERROR(_xlfn.XLOOKUP(PA[[#This Row],[Affected Equipment ]],'Basic Data '!A:A,'Basic Data '!C:C),"")</f>
        <v>4.0000000000000001E-3</v>
      </c>
      <c r="U523" s="59" t="s">
        <v>1260</v>
      </c>
      <c r="V523" s="88"/>
      <c r="W523" s="265" t="s">
        <v>1271</v>
      </c>
      <c r="X523" s="359">
        <v>0.22847222222222222</v>
      </c>
      <c r="Y523" s="359"/>
      <c r="Z523" s="359"/>
      <c r="AA523" s="359">
        <v>0.77916666666666667</v>
      </c>
      <c r="AB523" s="158">
        <f>IF(PA[[#This Row],[Acknowledgement Time ]]="NA","",(PA[[#This Row],[Acknowledgement Time ]]-PA[[#This Row],[Fault Time]])*24)</f>
        <v>-5.4833333333333334</v>
      </c>
      <c r="AC523" s="158">
        <f>IF(PA[[#This Row],[Work Start time on Fault]]="NA","",(PA[[#This Row],[Work Start time on Fault]]-PA[[#This Row],[Fault Time]])*24)</f>
        <v>-5.4833333333333334</v>
      </c>
      <c r="AD523" s="112">
        <f>IF(PA[[#This Row],[Status]]="Open","",(PA[[#This Row],[Work Completion time on fault]]-PA[[#This Row],[Fault Time]])*24)</f>
        <v>13.216666666666669</v>
      </c>
      <c r="AE523" s="111">
        <f>IFERROR((PA[[#This Row],[Work Completion time on fault]]-PA[[#This Row],[Fault Time]])*24,"")</f>
        <v>13.216666666666669</v>
      </c>
      <c r="AF523" s="228" t="s">
        <v>1271</v>
      </c>
      <c r="AG523" s="6" t="s">
        <v>1275</v>
      </c>
      <c r="AH523" s="53">
        <f>IFERROR(PA[[#This Row],[Breakdown Time]]*PA[[#This Row],[Plant Equivalent Weightage]],"")</f>
        <v>5.2866666666666673E-2</v>
      </c>
      <c r="AI523" s="59">
        <v>5.13</v>
      </c>
      <c r="AJ523" s="89">
        <f>IFERROR(IF(PA[[#This Row],[Lost PoA(kWh/m2)]]&gt;0,_xlfn.XLOOKUP(G523,'Modelling New'!$D:$D,'Modelling New'!$O:$O)*PA[[#This Row],[Lost PoA(kWh/m2)]]*S523,0),"")</f>
        <v>46.794375763164794</v>
      </c>
      <c r="AK523" s="365"/>
      <c r="AL523" s="365"/>
    </row>
    <row r="524" spans="1:38" ht="30" x14ac:dyDescent="0.25">
      <c r="A524" s="377">
        <v>2216</v>
      </c>
      <c r="B524" s="376">
        <v>45843</v>
      </c>
      <c r="C524" s="163">
        <v>2025</v>
      </c>
      <c r="D524" s="348">
        <f>YEAR(PA[[#This Row],[Date]])</f>
        <v>2025</v>
      </c>
      <c r="E524" s="373" t="s">
        <v>73</v>
      </c>
      <c r="F524" s="374" t="s">
        <v>73</v>
      </c>
      <c r="G524" s="323">
        <v>45809</v>
      </c>
      <c r="H524" s="365">
        <f>DAY(EOMONTH(PA[[#This Row],[Date]], 0))</f>
        <v>31</v>
      </c>
      <c r="I524" s="10">
        <v>0.22847222222222222</v>
      </c>
      <c r="J524" s="10">
        <v>0.77916666666666667</v>
      </c>
      <c r="K524" s="53">
        <f>IFERROR((PA[[#This Row],[Sunset Time (POA&lt;20 W/m2)]]-PA[[#This Row],[Sunrise Time (POA&gt;20 W/m2)]])*24,"")</f>
        <v>13.216666666666669</v>
      </c>
      <c r="L524" s="59" t="s">
        <v>621</v>
      </c>
      <c r="M524" s="59"/>
      <c r="N524" s="59"/>
      <c r="O524" s="59" t="s">
        <v>612</v>
      </c>
      <c r="P524" s="56"/>
      <c r="Q524" s="6"/>
      <c r="R52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524" s="53">
        <v>12</v>
      </c>
      <c r="T524" s="90">
        <f>IFERROR(_xlfn.XLOOKUP(PA[[#This Row],[Affected Equipment ]],'Basic Data '!A:A,'Basic Data '!C:C),"")</f>
        <v>4.4999999999999997E-3</v>
      </c>
      <c r="U524" s="59" t="s">
        <v>1260</v>
      </c>
      <c r="V524" s="88"/>
      <c r="W524" s="265" t="s">
        <v>1271</v>
      </c>
      <c r="X524" s="359">
        <v>0.22847222222222222</v>
      </c>
      <c r="Y524" s="359"/>
      <c r="Z524" s="359"/>
      <c r="AA524" s="359">
        <v>0.77916666666666667</v>
      </c>
      <c r="AB524" s="158">
        <f>IF(PA[[#This Row],[Acknowledgement Time ]]="NA","",(PA[[#This Row],[Acknowledgement Time ]]-PA[[#This Row],[Fault Time]])*24)</f>
        <v>-5.4833333333333334</v>
      </c>
      <c r="AC524" s="158">
        <f>IF(PA[[#This Row],[Work Start time on Fault]]="NA","",(PA[[#This Row],[Work Start time on Fault]]-PA[[#This Row],[Fault Time]])*24)</f>
        <v>-5.4833333333333334</v>
      </c>
      <c r="AD524" s="112">
        <f>IF(PA[[#This Row],[Status]]="Open","",(PA[[#This Row],[Work Completion time on fault]]-PA[[#This Row],[Fault Time]])*24)</f>
        <v>13.216666666666669</v>
      </c>
      <c r="AE524" s="111">
        <f>IFERROR((PA[[#This Row],[Work Completion time on fault]]-PA[[#This Row],[Fault Time]])*24,"")</f>
        <v>13.216666666666669</v>
      </c>
      <c r="AF524" s="228" t="s">
        <v>1271</v>
      </c>
      <c r="AG524" s="6" t="s">
        <v>1275</v>
      </c>
      <c r="AH524" s="53">
        <f>IFERROR(PA[[#This Row],[Breakdown Time]]*PA[[#This Row],[Plant Equivalent Weightage]],"")</f>
        <v>5.9475000000000007E-2</v>
      </c>
      <c r="AI524" s="59">
        <v>5.13</v>
      </c>
      <c r="AJ524" s="89">
        <f>IFERROR(IF(PA[[#This Row],[Lost PoA(kWh/m2)]]&gt;0,_xlfn.XLOOKUP(G524,'Modelling New'!$D:$D,'Modelling New'!$O:$O)*PA[[#This Row],[Lost PoA(kWh/m2)]]*S524,0),"")</f>
        <v>46.794375763164794</v>
      </c>
      <c r="AK524" s="365"/>
      <c r="AL524" s="365"/>
    </row>
    <row r="525" spans="1:38" x14ac:dyDescent="0.25">
      <c r="A525" s="377">
        <v>2217</v>
      </c>
      <c r="B525" s="376">
        <v>45843</v>
      </c>
      <c r="C525" s="163">
        <v>2025</v>
      </c>
      <c r="D525" s="348">
        <f>YEAR(PA[[#This Row],[Date]])</f>
        <v>2025</v>
      </c>
      <c r="E525" s="373" t="s">
        <v>73</v>
      </c>
      <c r="F525" s="374" t="s">
        <v>73</v>
      </c>
      <c r="G525" s="323">
        <v>45809</v>
      </c>
      <c r="H525" s="365">
        <f>DAY(EOMONTH(PA[[#This Row],[Date]], 0))</f>
        <v>31</v>
      </c>
      <c r="I525" s="10">
        <v>0.22847222222222222</v>
      </c>
      <c r="J525" s="10">
        <v>0.77916666666666667</v>
      </c>
      <c r="K525" s="53">
        <f>IFERROR((PA[[#This Row],[Sunset Time (POA&lt;20 W/m2)]]-PA[[#This Row],[Sunrise Time (POA&gt;20 W/m2)]])*24,"")</f>
        <v>13.216666666666669</v>
      </c>
      <c r="L525" s="59" t="s">
        <v>559</v>
      </c>
      <c r="M525" s="59"/>
      <c r="N525" s="59"/>
      <c r="O525" s="59" t="s">
        <v>661</v>
      </c>
      <c r="P525" s="56"/>
      <c r="Q525" s="6"/>
      <c r="R52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BLK2INV25</v>
      </c>
      <c r="S525" s="53">
        <v>66.75</v>
      </c>
      <c r="T525" s="90">
        <f>IFERROR(_xlfn.XLOOKUP(PA[[#This Row],[Affected Equipment ]],'Basic Data '!A:A,'Basic Data '!C:C),"")</f>
        <v>4.4999999999999997E-3</v>
      </c>
      <c r="U525" s="59" t="s">
        <v>1260</v>
      </c>
      <c r="V525" s="88"/>
      <c r="W525" s="114" t="s">
        <v>1340</v>
      </c>
      <c r="X525" s="359">
        <v>0.22847222222222222</v>
      </c>
      <c r="Y525" s="359">
        <v>0.25</v>
      </c>
      <c r="Z525" s="359">
        <v>0.33333333333333331</v>
      </c>
      <c r="AA525" s="359">
        <v>0.34722222222222227</v>
      </c>
      <c r="AB525" s="158">
        <f>IF(PA[[#This Row],[Acknowledgement Time ]]="NA","",(PA[[#This Row],[Acknowledgement Time ]]-PA[[#This Row],[Fault Time]])*24)</f>
        <v>0.51666666666666683</v>
      </c>
      <c r="AC525" s="158">
        <f>IF(PA[[#This Row],[Work Start time on Fault]]="NA","",(PA[[#This Row],[Work Start time on Fault]]-PA[[#This Row],[Fault Time]])*24)</f>
        <v>2.5166666666666666</v>
      </c>
      <c r="AD525" s="112">
        <f>IF(PA[[#This Row],[Status]]="Open","",(PA[[#This Row],[Work Completion time on fault]]-PA[[#This Row],[Fault Time]])*24)</f>
        <v>2.8500000000000014</v>
      </c>
      <c r="AE525" s="111">
        <f>IFERROR((PA[[#This Row],[Work Completion time on fault]]-PA[[#This Row],[Fault Time]])*24,"")</f>
        <v>2.8500000000000014</v>
      </c>
      <c r="AF525" s="228" t="s">
        <v>1340</v>
      </c>
      <c r="AG525" s="6" t="s">
        <v>1275</v>
      </c>
      <c r="AH525" s="53">
        <f>IFERROR(PA[[#This Row],[Breakdown Time]]*PA[[#This Row],[Plant Equivalent Weightage]],"")</f>
        <v>1.2825000000000005E-2</v>
      </c>
      <c r="AI525" s="59">
        <v>0.34599999999999997</v>
      </c>
      <c r="AJ525" s="89">
        <f>IFERROR(IF(PA[[#This Row],[Lost PoA(kWh/m2)]]&gt;0,_xlfn.XLOOKUP(G525,'Modelling New'!$D:$D,'Modelling New'!$O:$O)*PA[[#This Row],[Lost PoA(kWh/m2)]]*S525,0),"")</f>
        <v>17.555872408027493</v>
      </c>
      <c r="AK525" s="365"/>
      <c r="AL525" s="365"/>
    </row>
    <row r="526" spans="1:38" x14ac:dyDescent="0.25">
      <c r="A526" s="377">
        <v>2218</v>
      </c>
      <c r="B526" s="376">
        <v>45843</v>
      </c>
      <c r="C526" s="163">
        <v>2025</v>
      </c>
      <c r="D526" s="348">
        <f>YEAR(PA[[#This Row],[Date]])</f>
        <v>2025</v>
      </c>
      <c r="E526" s="373" t="s">
        <v>73</v>
      </c>
      <c r="F526" s="374" t="s">
        <v>73</v>
      </c>
      <c r="G526" s="323">
        <v>45809</v>
      </c>
      <c r="H526" s="365">
        <f>DAY(EOMONTH(PA[[#This Row],[Date]], 0))</f>
        <v>31</v>
      </c>
      <c r="I526" s="10">
        <v>0.22847222222222222</v>
      </c>
      <c r="J526" s="10">
        <v>0.77916666666666667</v>
      </c>
      <c r="K526" s="53">
        <f>IFERROR((PA[[#This Row],[Sunset Time (POA&lt;20 W/m2)]]-PA[[#This Row],[Sunrise Time (POA&gt;20 W/m2)]])*24,"")</f>
        <v>13.216666666666669</v>
      </c>
      <c r="L526" s="59" t="s">
        <v>597</v>
      </c>
      <c r="M526" s="59"/>
      <c r="N526" s="59"/>
      <c r="O526" s="59" t="s">
        <v>612</v>
      </c>
      <c r="P526" s="56"/>
      <c r="Q526" s="6"/>
      <c r="R52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BLK3INV28</v>
      </c>
      <c r="S526" s="53">
        <v>22.25</v>
      </c>
      <c r="T526" s="90">
        <f>IFERROR(_xlfn.XLOOKUP(PA[[#This Row],[Affected Equipment ]],'Basic Data '!A:A,'Basic Data '!C:C),"")</f>
        <v>4.1666666666666666E-3</v>
      </c>
      <c r="U526" s="59" t="s">
        <v>1260</v>
      </c>
      <c r="V526" s="88"/>
      <c r="W526" s="114" t="s">
        <v>1341</v>
      </c>
      <c r="X526" s="359">
        <v>0.22847222222222222</v>
      </c>
      <c r="Y526" s="359">
        <v>0.25</v>
      </c>
      <c r="Z526" s="359">
        <v>0.35069444444444442</v>
      </c>
      <c r="AA526" s="359">
        <v>0.3576388888888889</v>
      </c>
      <c r="AB526" s="158">
        <f>IF(PA[[#This Row],[Acknowledgement Time ]]="NA","",(PA[[#This Row],[Acknowledgement Time ]]-PA[[#This Row],[Fault Time]])*24)</f>
        <v>0.51666666666666683</v>
      </c>
      <c r="AC526" s="158">
        <f>IF(PA[[#This Row],[Work Start time on Fault]]="NA","",(PA[[#This Row],[Work Start time on Fault]]-PA[[#This Row],[Fault Time]])*24)</f>
        <v>2.9333333333333327</v>
      </c>
      <c r="AD526" s="112">
        <f>IF(PA[[#This Row],[Status]]="Open","",(PA[[#This Row],[Work Completion time on fault]]-PA[[#This Row],[Fault Time]])*24)</f>
        <v>3.1000000000000005</v>
      </c>
      <c r="AE526" s="111">
        <f>IFERROR((PA[[#This Row],[Work Completion time on fault]]-PA[[#This Row],[Fault Time]])*24,"")</f>
        <v>3.1000000000000005</v>
      </c>
      <c r="AF526" s="228" t="s">
        <v>1341</v>
      </c>
      <c r="AG526" s="6" t="s">
        <v>1275</v>
      </c>
      <c r="AH526" s="53">
        <f>IFERROR(PA[[#This Row],[Breakdown Time]]*PA[[#This Row],[Plant Equivalent Weightage]],"")</f>
        <v>1.2916666666666668E-2</v>
      </c>
      <c r="AI526" s="59">
        <v>0.65600000000000003</v>
      </c>
      <c r="AJ526" s="89">
        <f>IFERROR(IF(PA[[#This Row],[Lost PoA(kWh/m2)]]&gt;0,_xlfn.XLOOKUP(G526,'Modelling New'!$D:$D,'Modelling New'!$O:$O)*PA[[#This Row],[Lost PoA(kWh/m2)]]*S526,0),"")</f>
        <v>11.095040751123349</v>
      </c>
      <c r="AK526" s="365"/>
      <c r="AL526" s="365"/>
    </row>
    <row r="527" spans="1:38" ht="30" x14ac:dyDescent="0.25">
      <c r="A527" s="377">
        <v>2219</v>
      </c>
      <c r="B527" s="376">
        <v>45843</v>
      </c>
      <c r="C527" s="163">
        <v>2025</v>
      </c>
      <c r="D527" s="348">
        <f>YEAR(PA[[#This Row],[Date]])</f>
        <v>2025</v>
      </c>
      <c r="E527" s="373" t="s">
        <v>73</v>
      </c>
      <c r="F527" s="374" t="s">
        <v>73</v>
      </c>
      <c r="G527" s="323">
        <v>45809</v>
      </c>
      <c r="H527" s="365">
        <f>DAY(EOMONTH(PA[[#This Row],[Date]], 0))</f>
        <v>31</v>
      </c>
      <c r="I527" s="10">
        <v>0.22847222222222222</v>
      </c>
      <c r="J527" s="10">
        <v>0.77916666666666667</v>
      </c>
      <c r="K527" s="53">
        <f>IFERROR((PA[[#This Row],[Sunset Time (POA&lt;20 W/m2)]]-PA[[#This Row],[Sunrise Time (POA&gt;20 W/m2)]])*24,"")</f>
        <v>13.216666666666669</v>
      </c>
      <c r="L527" s="59" t="s">
        <v>587</v>
      </c>
      <c r="M527" s="59"/>
      <c r="N527" s="59"/>
      <c r="O527" s="59" t="s">
        <v>583</v>
      </c>
      <c r="P527" s="56"/>
      <c r="Q527" s="6"/>
      <c r="R52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BLK1INV30</v>
      </c>
      <c r="S527" s="53">
        <v>22.25</v>
      </c>
      <c r="T527" s="90">
        <f>IFERROR(_xlfn.XLOOKUP(PA[[#This Row],[Affected Equipment ]],'Basic Data '!A:A,'Basic Data '!C:C),"")</f>
        <v>4.4999999999999997E-3</v>
      </c>
      <c r="U527" s="59" t="s">
        <v>1260</v>
      </c>
      <c r="V527" s="88"/>
      <c r="W527" s="265" t="s">
        <v>1342</v>
      </c>
      <c r="X527" s="359">
        <v>0.22847222222222222</v>
      </c>
      <c r="Y527" s="359">
        <v>0.25</v>
      </c>
      <c r="Z527" s="359">
        <v>0.36805555555555558</v>
      </c>
      <c r="AA527" s="359">
        <v>0.38194444444444442</v>
      </c>
      <c r="AB527" s="158">
        <f>IF(PA[[#This Row],[Acknowledgement Time ]]="NA","",(PA[[#This Row],[Acknowledgement Time ]]-PA[[#This Row],[Fault Time]])*24)</f>
        <v>0.51666666666666683</v>
      </c>
      <c r="AC527" s="158">
        <f>IF(PA[[#This Row],[Work Start time on Fault]]="NA","",(PA[[#This Row],[Work Start time on Fault]]-PA[[#This Row],[Fault Time]])*24)</f>
        <v>3.3500000000000005</v>
      </c>
      <c r="AD527" s="112">
        <f>IF(PA[[#This Row],[Status]]="Open","",(PA[[#This Row],[Work Completion time on fault]]-PA[[#This Row],[Fault Time]])*24)</f>
        <v>3.6833333333333327</v>
      </c>
      <c r="AE527" s="111">
        <f>IFERROR((PA[[#This Row],[Work Completion time on fault]]-PA[[#This Row],[Fault Time]])*24,"")</f>
        <v>3.6833333333333327</v>
      </c>
      <c r="AF527" s="228" t="s">
        <v>1342</v>
      </c>
      <c r="AG527" s="6" t="s">
        <v>1275</v>
      </c>
      <c r="AH527" s="53">
        <f>IFERROR(PA[[#This Row],[Breakdown Time]]*PA[[#This Row],[Plant Equivalent Weightage]],"")</f>
        <v>1.6574999999999996E-2</v>
      </c>
      <c r="AI527" s="59">
        <v>0.753</v>
      </c>
      <c r="AJ527" s="89">
        <f>IFERROR(IF(PA[[#This Row],[Lost PoA(kWh/m2)]]&gt;0,_xlfn.XLOOKUP(G527,'Modelling New'!$D:$D,'Modelling New'!$O:$O)*PA[[#This Row],[Lost PoA(kWh/m2)]]*S527,0),"")</f>
        <v>12.735618423164455</v>
      </c>
      <c r="AK527" s="365"/>
      <c r="AL527" s="365"/>
    </row>
    <row r="528" spans="1:38" ht="30" x14ac:dyDescent="0.25">
      <c r="A528" s="377">
        <v>2220</v>
      </c>
      <c r="B528" s="376">
        <v>45843</v>
      </c>
      <c r="C528" s="163">
        <v>2025</v>
      </c>
      <c r="D528" s="348">
        <f>YEAR(PA[[#This Row],[Date]])</f>
        <v>2025</v>
      </c>
      <c r="E528" s="373" t="s">
        <v>73</v>
      </c>
      <c r="F528" s="374" t="s">
        <v>73</v>
      </c>
      <c r="G528" s="323">
        <v>45809</v>
      </c>
      <c r="H528" s="365">
        <f>DAY(EOMONTH(PA[[#This Row],[Date]], 0))</f>
        <v>31</v>
      </c>
      <c r="I528" s="10">
        <v>0.22847222222222222</v>
      </c>
      <c r="J528" s="10">
        <v>0.77916666666666667</v>
      </c>
      <c r="K528" s="53">
        <f>IFERROR((PA[[#This Row],[Sunset Time (POA&lt;20 W/m2)]]-PA[[#This Row],[Sunrise Time (POA&gt;20 W/m2)]])*24,"")</f>
        <v>13.216666666666669</v>
      </c>
      <c r="L528" s="59" t="s">
        <v>615</v>
      </c>
      <c r="M528" s="59"/>
      <c r="N528" s="59"/>
      <c r="O528" s="59" t="s">
        <v>580</v>
      </c>
      <c r="P528" s="56"/>
      <c r="Q528" s="6"/>
      <c r="R52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BLK6INV31</v>
      </c>
      <c r="S528" s="53">
        <v>44</v>
      </c>
      <c r="T528" s="90">
        <f>IFERROR(_xlfn.XLOOKUP(PA[[#This Row],[Affected Equipment ]],'Basic Data '!A:A,'Basic Data '!C:C),"")</f>
        <v>4.1198501872659176E-3</v>
      </c>
      <c r="U528" s="59" t="s">
        <v>1260</v>
      </c>
      <c r="V528" s="88"/>
      <c r="W528" s="265" t="s">
        <v>1343</v>
      </c>
      <c r="X528" s="359">
        <v>0.22847222222222222</v>
      </c>
      <c r="Y528" s="359">
        <v>0.25</v>
      </c>
      <c r="Z528" s="359">
        <v>0.3888888888888889</v>
      </c>
      <c r="AA528" s="359">
        <v>0.40277777777777773</v>
      </c>
      <c r="AB528" s="158">
        <f>IF(PA[[#This Row],[Acknowledgement Time ]]="NA","",(PA[[#This Row],[Acknowledgement Time ]]-PA[[#This Row],[Fault Time]])*24)</f>
        <v>0.51666666666666683</v>
      </c>
      <c r="AC528" s="158">
        <f>IF(PA[[#This Row],[Work Start time on Fault]]="NA","",(PA[[#This Row],[Work Start time on Fault]]-PA[[#This Row],[Fault Time]])*24)</f>
        <v>3.8500000000000005</v>
      </c>
      <c r="AD528" s="112">
        <f>IF(PA[[#This Row],[Status]]="Open","",(PA[[#This Row],[Work Completion time on fault]]-PA[[#This Row],[Fault Time]])*24)</f>
        <v>4.1833333333333327</v>
      </c>
      <c r="AE528" s="111">
        <f>IFERROR((PA[[#This Row],[Work Completion time on fault]]-PA[[#This Row],[Fault Time]])*24,"")</f>
        <v>4.1833333333333327</v>
      </c>
      <c r="AF528" s="228" t="s">
        <v>1343</v>
      </c>
      <c r="AG528" s="6" t="s">
        <v>1275</v>
      </c>
      <c r="AH528" s="53">
        <f>IFERROR(PA[[#This Row],[Breakdown Time]]*PA[[#This Row],[Plant Equivalent Weightage]],"")</f>
        <v>1.7234706616729087E-2</v>
      </c>
      <c r="AI528" s="59">
        <v>1.2210000000000001</v>
      </c>
      <c r="AJ528" s="89">
        <f>IFERROR(IF(PA[[#This Row],[Lost PoA(kWh/m2)]]&gt;0,_xlfn.XLOOKUP(G528,'Modelling New'!$D:$D,'Modelling New'!$O:$O)*PA[[#This Row],[Lost PoA(kWh/m2)]]*S528,0),"")</f>
        <v>40.837898692336999</v>
      </c>
      <c r="AK528" s="365"/>
      <c r="AL528" s="365"/>
    </row>
    <row r="529" spans="1:38" ht="30" x14ac:dyDescent="0.25">
      <c r="A529" s="377">
        <v>2221</v>
      </c>
      <c r="B529" s="376">
        <v>45843</v>
      </c>
      <c r="C529" s="163">
        <v>2025</v>
      </c>
      <c r="D529" s="348">
        <f>YEAR(PA[[#This Row],[Date]])</f>
        <v>2025</v>
      </c>
      <c r="E529" s="373" t="s">
        <v>73</v>
      </c>
      <c r="F529" s="374" t="s">
        <v>73</v>
      </c>
      <c r="G529" s="323">
        <v>45809</v>
      </c>
      <c r="H529" s="365">
        <f>DAY(EOMONTH(PA[[#This Row],[Date]], 0))</f>
        <v>31</v>
      </c>
      <c r="I529" s="10">
        <v>0.22847222222222222</v>
      </c>
      <c r="J529" s="10">
        <v>0.77916666666666667</v>
      </c>
      <c r="K529" s="53">
        <f>IFERROR((PA[[#This Row],[Sunset Time (POA&lt;20 W/m2)]]-PA[[#This Row],[Sunrise Time (POA&gt;20 W/m2)]])*24,"")</f>
        <v>13.216666666666669</v>
      </c>
      <c r="L529" s="59" t="s">
        <v>615</v>
      </c>
      <c r="M529" s="59"/>
      <c r="N529" s="59"/>
      <c r="O529" s="59" t="s">
        <v>581</v>
      </c>
      <c r="P529" s="56"/>
      <c r="Q529" s="6"/>
      <c r="R52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BLK6INV32</v>
      </c>
      <c r="S529" s="53">
        <v>110</v>
      </c>
      <c r="T529" s="90">
        <f>IFERROR(_xlfn.XLOOKUP(PA[[#This Row],[Affected Equipment ]],'Basic Data '!A:A,'Basic Data '!C:C),"")</f>
        <v>4.1198501872659176E-3</v>
      </c>
      <c r="U529" s="59" t="s">
        <v>1260</v>
      </c>
      <c r="V529" s="88"/>
      <c r="W529" s="265" t="s">
        <v>1344</v>
      </c>
      <c r="X529" s="359">
        <v>0.22847222222222222</v>
      </c>
      <c r="Y529" s="359">
        <v>0.25</v>
      </c>
      <c r="Z529" s="359">
        <v>0.40972222222222227</v>
      </c>
      <c r="AA529" s="359">
        <v>0.4236111111111111</v>
      </c>
      <c r="AB529" s="158">
        <f>IF(PA[[#This Row],[Acknowledgement Time ]]="NA","",(PA[[#This Row],[Acknowledgement Time ]]-PA[[#This Row],[Fault Time]])*24)</f>
        <v>0.51666666666666683</v>
      </c>
      <c r="AC529" s="158">
        <f>IF(PA[[#This Row],[Work Start time on Fault]]="NA","",(PA[[#This Row],[Work Start time on Fault]]-PA[[#This Row],[Fault Time]])*24)</f>
        <v>4.3500000000000014</v>
      </c>
      <c r="AD529" s="112">
        <f>IF(PA[[#This Row],[Status]]="Open","",(PA[[#This Row],[Work Completion time on fault]]-PA[[#This Row],[Fault Time]])*24)</f>
        <v>4.6833333333333336</v>
      </c>
      <c r="AE529" s="111">
        <f>IFERROR((PA[[#This Row],[Work Completion time on fault]]-PA[[#This Row],[Fault Time]])*24,"")</f>
        <v>4.6833333333333336</v>
      </c>
      <c r="AF529" s="228" t="s">
        <v>1344</v>
      </c>
      <c r="AG529" s="6" t="s">
        <v>1275</v>
      </c>
      <c r="AH529" s="53">
        <f>IFERROR(PA[[#This Row],[Breakdown Time]]*PA[[#This Row],[Plant Equivalent Weightage]],"")</f>
        <v>1.929463171036205E-2</v>
      </c>
      <c r="AI529" s="59">
        <v>1.345</v>
      </c>
      <c r="AJ529" s="89">
        <f>IFERROR(IF(PA[[#This Row],[Lost PoA(kWh/m2)]]&gt;0,_xlfn.XLOOKUP(G529,'Modelling New'!$D:$D,'Modelling New'!$O:$O)*PA[[#This Row],[Lost PoA(kWh/m2)]]*S529,0),"")</f>
        <v>112.4630911981844</v>
      </c>
      <c r="AK529" s="365"/>
      <c r="AL529" s="365"/>
    </row>
    <row r="530" spans="1:38" ht="30" x14ac:dyDescent="0.25">
      <c r="A530" s="377">
        <v>2222</v>
      </c>
      <c r="B530" s="376">
        <v>45843</v>
      </c>
      <c r="C530" s="163">
        <v>2025</v>
      </c>
      <c r="D530" s="348">
        <f>YEAR(PA[[#This Row],[Date]])</f>
        <v>2025</v>
      </c>
      <c r="E530" s="373" t="s">
        <v>73</v>
      </c>
      <c r="F530" s="374" t="s">
        <v>73</v>
      </c>
      <c r="G530" s="323">
        <v>45809</v>
      </c>
      <c r="H530" s="365">
        <f>DAY(EOMONTH(PA[[#This Row],[Date]], 0))</f>
        <v>31</v>
      </c>
      <c r="I530" s="10">
        <v>0.22847222222222222</v>
      </c>
      <c r="J530" s="10">
        <v>0.77916666666666667</v>
      </c>
      <c r="K530" s="53">
        <f>IFERROR((PA[[#This Row],[Sunset Time (POA&lt;20 W/m2)]]-PA[[#This Row],[Sunrise Time (POA&gt;20 W/m2)]])*24,"")</f>
        <v>13.216666666666669</v>
      </c>
      <c r="L530" s="59" t="s">
        <v>615</v>
      </c>
      <c r="M530" s="59"/>
      <c r="N530" s="59"/>
      <c r="O530" s="59" t="s">
        <v>601</v>
      </c>
      <c r="P530" s="56"/>
      <c r="Q530" s="6"/>
      <c r="R53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BLK6INV18</v>
      </c>
      <c r="S530" s="53">
        <v>22</v>
      </c>
      <c r="T530" s="90">
        <f>IFERROR(_xlfn.XLOOKUP(PA[[#This Row],[Affected Equipment ]],'Basic Data '!A:A,'Basic Data '!C:C),"")</f>
        <v>4.4494382022471912E-3</v>
      </c>
      <c r="U530" s="59" t="s">
        <v>1260</v>
      </c>
      <c r="V530" s="88"/>
      <c r="W530" s="265" t="s">
        <v>1345</v>
      </c>
      <c r="X530" s="359">
        <v>0.22847222222222222</v>
      </c>
      <c r="Y530" s="359">
        <v>0.25</v>
      </c>
      <c r="Z530" s="359">
        <v>0.43055555555555558</v>
      </c>
      <c r="AA530" s="359">
        <v>0.44791666666666669</v>
      </c>
      <c r="AB530" s="158">
        <f>IF(PA[[#This Row],[Acknowledgement Time ]]="NA","",(PA[[#This Row],[Acknowledgement Time ]]-PA[[#This Row],[Fault Time]])*24)</f>
        <v>0.51666666666666683</v>
      </c>
      <c r="AC530" s="158">
        <f>IF(PA[[#This Row],[Work Start time on Fault]]="NA","",(PA[[#This Row],[Work Start time on Fault]]-PA[[#This Row],[Fault Time]])*24)</f>
        <v>4.8500000000000005</v>
      </c>
      <c r="AD530" s="112">
        <f>IF(PA[[#This Row],[Status]]="Open","",(PA[[#This Row],[Work Completion time on fault]]-PA[[#This Row],[Fault Time]])*24)</f>
        <v>5.2666666666666675</v>
      </c>
      <c r="AE530" s="111">
        <f>IFERROR((PA[[#This Row],[Work Completion time on fault]]-PA[[#This Row],[Fault Time]])*24,"")</f>
        <v>5.2666666666666675</v>
      </c>
      <c r="AF530" s="228" t="s">
        <v>1345</v>
      </c>
      <c r="AG530" s="6" t="s">
        <v>1275</v>
      </c>
      <c r="AH530" s="53">
        <f>IFERROR(PA[[#This Row],[Breakdown Time]]*PA[[#This Row],[Plant Equivalent Weightage]],"")</f>
        <v>2.3433707865168543E-2</v>
      </c>
      <c r="AI530" s="59">
        <v>1.456</v>
      </c>
      <c r="AJ530" s="89">
        <f>IFERROR(IF(PA[[#This Row],[Lost PoA(kWh/m2)]]&gt;0,_xlfn.XLOOKUP(G530,'Modelling New'!$D:$D,'Modelling New'!$O:$O)*PA[[#This Row],[Lost PoA(kWh/m2)]]*S530,0),"")</f>
        <v>24.348886362015836</v>
      </c>
      <c r="AK530" s="365"/>
      <c r="AL530" s="365"/>
    </row>
    <row r="531" spans="1:38" ht="30" x14ac:dyDescent="0.25">
      <c r="A531" s="377">
        <v>2223</v>
      </c>
      <c r="B531" s="376">
        <v>45843</v>
      </c>
      <c r="C531" s="163">
        <v>2025</v>
      </c>
      <c r="D531" s="348">
        <f>YEAR(PA[[#This Row],[Date]])</f>
        <v>2025</v>
      </c>
      <c r="E531" s="373" t="s">
        <v>73</v>
      </c>
      <c r="F531" s="374" t="s">
        <v>73</v>
      </c>
      <c r="G531" s="323">
        <v>45809</v>
      </c>
      <c r="H531" s="365">
        <f>DAY(EOMONTH(PA[[#This Row],[Date]], 0))</f>
        <v>31</v>
      </c>
      <c r="I531" s="10">
        <v>0.22847222222222222</v>
      </c>
      <c r="J531" s="10">
        <v>0.77916666666666667</v>
      </c>
      <c r="K531" s="53">
        <f>IFERROR((PA[[#This Row],[Sunset Time (POA&lt;20 W/m2)]]-PA[[#This Row],[Sunrise Time (POA&gt;20 W/m2)]])*24,"")</f>
        <v>13.216666666666669</v>
      </c>
      <c r="L531" s="59" t="s">
        <v>615</v>
      </c>
      <c r="M531" s="59"/>
      <c r="N531" s="59"/>
      <c r="O531" s="59" t="s">
        <v>600</v>
      </c>
      <c r="P531" s="56"/>
      <c r="Q531" s="6"/>
      <c r="R531"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BLK6INV17</v>
      </c>
      <c r="S531" s="53">
        <v>22</v>
      </c>
      <c r="T531" s="90">
        <f>IFERROR(_xlfn.XLOOKUP(PA[[#This Row],[Affected Equipment ]],'Basic Data '!A:A,'Basic Data '!C:C),"")</f>
        <v>4.1198501872659176E-3</v>
      </c>
      <c r="U531" s="59" t="s">
        <v>1260</v>
      </c>
      <c r="V531" s="88"/>
      <c r="W531" s="265" t="s">
        <v>1346</v>
      </c>
      <c r="X531" s="359">
        <v>0.22847222222222222</v>
      </c>
      <c r="Y531" s="359">
        <v>0.25</v>
      </c>
      <c r="Z531" s="359">
        <v>0.4548611111111111</v>
      </c>
      <c r="AA531" s="359">
        <v>0.47222222222222227</v>
      </c>
      <c r="AB531" s="158">
        <f>IF(PA[[#This Row],[Acknowledgement Time ]]="NA","",(PA[[#This Row],[Acknowledgement Time ]]-PA[[#This Row],[Fault Time]])*24)</f>
        <v>0.51666666666666683</v>
      </c>
      <c r="AC531" s="158">
        <f>IF(PA[[#This Row],[Work Start time on Fault]]="NA","",(PA[[#This Row],[Work Start time on Fault]]-PA[[#This Row],[Fault Time]])*24)</f>
        <v>5.4333333333333336</v>
      </c>
      <c r="AD531" s="112">
        <f>IF(PA[[#This Row],[Status]]="Open","",(PA[[#This Row],[Work Completion time on fault]]-PA[[#This Row],[Fault Time]])*24)</f>
        <v>5.8500000000000014</v>
      </c>
      <c r="AE531" s="111">
        <f>IFERROR((PA[[#This Row],[Work Completion time on fault]]-PA[[#This Row],[Fault Time]])*24,"")</f>
        <v>5.8500000000000014</v>
      </c>
      <c r="AF531" s="228" t="s">
        <v>1346</v>
      </c>
      <c r="AG531" s="6" t="s">
        <v>1275</v>
      </c>
      <c r="AH531" s="53">
        <f>IFERROR(PA[[#This Row],[Breakdown Time]]*PA[[#This Row],[Plant Equivalent Weightage]],"")</f>
        <v>2.4101123595505623E-2</v>
      </c>
      <c r="AI531" s="59">
        <v>1.657</v>
      </c>
      <c r="AJ531" s="89">
        <f>IFERROR(IF(PA[[#This Row],[Lost PoA(kWh/m2)]]&gt;0,_xlfn.XLOOKUP(G531,'Modelling New'!$D:$D,'Modelling New'!$O:$O)*PA[[#This Row],[Lost PoA(kWh/m2)]]*S531,0),"")</f>
        <v>27.710236745783135</v>
      </c>
      <c r="AK531" s="365"/>
      <c r="AL531" s="365"/>
    </row>
    <row r="532" spans="1:38" ht="30" x14ac:dyDescent="0.25">
      <c r="A532" s="377">
        <v>2224</v>
      </c>
      <c r="B532" s="376">
        <v>45843</v>
      </c>
      <c r="C532" s="163">
        <v>2025</v>
      </c>
      <c r="D532" s="348">
        <f>YEAR(PA[[#This Row],[Date]])</f>
        <v>2025</v>
      </c>
      <c r="E532" s="373" t="s">
        <v>73</v>
      </c>
      <c r="F532" s="374" t="s">
        <v>73</v>
      </c>
      <c r="G532" s="323">
        <v>45809</v>
      </c>
      <c r="H532" s="365">
        <f>DAY(EOMONTH(PA[[#This Row],[Date]], 0))</f>
        <v>31</v>
      </c>
      <c r="I532" s="10">
        <v>0.22847222222222222</v>
      </c>
      <c r="J532" s="10">
        <v>0.77916666666666667</v>
      </c>
      <c r="K532" s="53">
        <f>IFERROR((PA[[#This Row],[Sunset Time (POA&lt;20 W/m2)]]-PA[[#This Row],[Sunrise Time (POA&gt;20 W/m2)]])*24,"")</f>
        <v>13.216666666666669</v>
      </c>
      <c r="L532" s="59" t="s">
        <v>587</v>
      </c>
      <c r="M532" s="59"/>
      <c r="N532" s="59"/>
      <c r="O532" s="59" t="s">
        <v>789</v>
      </c>
      <c r="P532" s="56"/>
      <c r="Q532" s="6"/>
      <c r="R53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532" s="53">
        <f>_xlfn.XLOOKUP(PA[[#This Row],[Affected Equipment ]],'Basic Data '!$A:$A,'Basic Data '!$B:$B)</f>
        <v>8944.5</v>
      </c>
      <c r="T532" s="90">
        <f>IFERROR(_xlfn.XLOOKUP(PA[[#This Row],[Affected Equipment ]],'Basic Data '!A:A,'Basic Data '!C:C),"")</f>
        <v>0.13400000000000001</v>
      </c>
      <c r="U532" s="59" t="s">
        <v>589</v>
      </c>
      <c r="V532" s="88"/>
      <c r="W532" s="356" t="s">
        <v>751</v>
      </c>
      <c r="X532" s="359">
        <v>0.50694444444444442</v>
      </c>
      <c r="Y532" s="359">
        <v>0.50694444444444442</v>
      </c>
      <c r="Z532" s="359">
        <v>0.50972222222222219</v>
      </c>
      <c r="AA532" s="359">
        <v>0.51041666666666663</v>
      </c>
      <c r="AB532" s="158">
        <f>IF(PA[[#This Row],[Acknowledgement Time ]]="NA","",(PA[[#This Row],[Acknowledgement Time ]]-PA[[#This Row],[Fault Time]])*24)</f>
        <v>0</v>
      </c>
      <c r="AC532" s="158">
        <f>IF(PA[[#This Row],[Work Start time on Fault]]="NA","",(PA[[#This Row],[Work Start time on Fault]]-PA[[#This Row],[Fault Time]])*24)</f>
        <v>6.666666666666643E-2</v>
      </c>
      <c r="AD532" s="112">
        <f>IF(PA[[#This Row],[Status]]="Open","",(PA[[#This Row],[Work Completion time on fault]]-PA[[#This Row],[Fault Time]])*24)</f>
        <v>8.3333333333333037E-2</v>
      </c>
      <c r="AE532" s="111">
        <f>IFERROR((PA[[#This Row],[Work Completion time on fault]]-PA[[#This Row],[Fault Time]])*24,"")</f>
        <v>8.3333333333333037E-2</v>
      </c>
      <c r="AF532" s="228" t="s">
        <v>751</v>
      </c>
      <c r="AG532" s="6" t="s">
        <v>1275</v>
      </c>
      <c r="AH532" s="53">
        <f>IFERROR(PA[[#This Row],[Breakdown Time]]*PA[[#This Row],[Plant Equivalent Weightage]],"")</f>
        <v>1.1166666666666627E-2</v>
      </c>
      <c r="AI532" s="59">
        <v>0.106</v>
      </c>
      <c r="AJ532" s="89">
        <f>IFERROR(IF(PA[[#This Row],[Lost PoA(kWh/m2)]]&gt;0,_xlfn.XLOOKUP(G532,'Modelling New'!$D:$D,'Modelling New'!$O:$O)*PA[[#This Row],[Lost PoA(kWh/m2)]]*S532,0),"")</f>
        <v>720.70408001046974</v>
      </c>
      <c r="AK532" s="365"/>
      <c r="AL532" s="365"/>
    </row>
    <row r="533" spans="1:38" ht="30" x14ac:dyDescent="0.25">
      <c r="A533" s="377">
        <v>2225</v>
      </c>
      <c r="B533" s="376">
        <v>45843</v>
      </c>
      <c r="C533" s="163">
        <v>2025</v>
      </c>
      <c r="D533" s="348">
        <f>YEAR(PA[[#This Row],[Date]])</f>
        <v>2025</v>
      </c>
      <c r="E533" s="373" t="s">
        <v>73</v>
      </c>
      <c r="F533" s="374" t="s">
        <v>73</v>
      </c>
      <c r="G533" s="323">
        <v>45809</v>
      </c>
      <c r="H533" s="365">
        <f>DAY(EOMONTH(PA[[#This Row],[Date]], 0))</f>
        <v>31</v>
      </c>
      <c r="I533" s="10">
        <v>0.22847222222222222</v>
      </c>
      <c r="J533" s="10">
        <v>0.77916666666666667</v>
      </c>
      <c r="K533" s="53">
        <f>IFERROR((PA[[#This Row],[Sunset Time (POA&lt;20 W/m2)]]-PA[[#This Row],[Sunrise Time (POA&gt;20 W/m2)]])*24,"")</f>
        <v>13.216666666666669</v>
      </c>
      <c r="L533" s="59" t="s">
        <v>559</v>
      </c>
      <c r="M533" s="59"/>
      <c r="N533" s="59"/>
      <c r="O533" s="59" t="s">
        <v>789</v>
      </c>
      <c r="P533" s="56"/>
      <c r="Q533" s="6"/>
      <c r="R53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533" s="53">
        <f>_xlfn.XLOOKUP(PA[[#This Row],[Affected Equipment ]],'Basic Data '!$A:$A,'Basic Data '!$B:$B)</f>
        <v>8343.75</v>
      </c>
      <c r="T533" s="90">
        <f>IFERROR(_xlfn.XLOOKUP(PA[[#This Row],[Affected Equipment ]],'Basic Data '!A:A,'Basic Data '!C:C),"")</f>
        <v>0.125</v>
      </c>
      <c r="U533" s="59" t="s">
        <v>589</v>
      </c>
      <c r="V533" s="88"/>
      <c r="W533" s="356" t="s">
        <v>754</v>
      </c>
      <c r="X533" s="359">
        <v>0.50694444444444442</v>
      </c>
      <c r="Y533" s="359">
        <v>0.50694444444444442</v>
      </c>
      <c r="Z533" s="359">
        <v>0.51111111111111118</v>
      </c>
      <c r="AA533" s="359">
        <v>0.51180555555555551</v>
      </c>
      <c r="AB533" s="158">
        <f>IF(PA[[#This Row],[Acknowledgement Time ]]="NA","",(PA[[#This Row],[Acknowledgement Time ]]-PA[[#This Row],[Fault Time]])*24)</f>
        <v>0</v>
      </c>
      <c r="AC533" s="158">
        <f>IF(PA[[#This Row],[Work Start time on Fault]]="NA","",(PA[[#This Row],[Work Start time on Fault]]-PA[[#This Row],[Fault Time]])*24)</f>
        <v>0.10000000000000231</v>
      </c>
      <c r="AD533" s="112">
        <f>IF(PA[[#This Row],[Status]]="Open","",(PA[[#This Row],[Work Completion time on fault]]-PA[[#This Row],[Fault Time]])*24)</f>
        <v>0.11666666666666625</v>
      </c>
      <c r="AE533" s="111">
        <f>IFERROR((PA[[#This Row],[Work Completion time on fault]]-PA[[#This Row],[Fault Time]])*24,"")</f>
        <v>0.11666666666666625</v>
      </c>
      <c r="AF533" s="228" t="s">
        <v>754</v>
      </c>
      <c r="AG533" s="6" t="s">
        <v>1275</v>
      </c>
      <c r="AH533" s="53">
        <f>IFERROR(PA[[#This Row],[Breakdown Time]]*PA[[#This Row],[Plant Equivalent Weightage]],"")</f>
        <v>1.4583333333333282E-2</v>
      </c>
      <c r="AI533" s="59">
        <v>0.14000000000000001</v>
      </c>
      <c r="AJ533" s="89">
        <f>IFERROR(IF(PA[[#This Row],[Lost PoA(kWh/m2)]]&gt;0,_xlfn.XLOOKUP(G533,'Modelling New'!$D:$D,'Modelling New'!$O:$O)*PA[[#This Row],[Lost PoA(kWh/m2)]]*S533,0),"")</f>
        <v>887.9415235274023</v>
      </c>
      <c r="AK533" s="365"/>
      <c r="AL533" s="365"/>
    </row>
    <row r="534" spans="1:38" ht="30" x14ac:dyDescent="0.25">
      <c r="A534" s="377">
        <v>2226</v>
      </c>
      <c r="B534" s="376">
        <v>45843</v>
      </c>
      <c r="C534" s="163">
        <v>2025</v>
      </c>
      <c r="D534" s="348">
        <f>YEAR(PA[[#This Row],[Date]])</f>
        <v>2025</v>
      </c>
      <c r="E534" s="373" t="s">
        <v>73</v>
      </c>
      <c r="F534" s="374" t="s">
        <v>73</v>
      </c>
      <c r="G534" s="323">
        <v>45809</v>
      </c>
      <c r="H534" s="365">
        <f>DAY(EOMONTH(PA[[#This Row],[Date]], 0))</f>
        <v>31</v>
      </c>
      <c r="I534" s="10">
        <v>0.22847222222222222</v>
      </c>
      <c r="J534" s="10">
        <v>0.77916666666666667</v>
      </c>
      <c r="K534" s="53">
        <f>IFERROR((PA[[#This Row],[Sunset Time (POA&lt;20 W/m2)]]-PA[[#This Row],[Sunrise Time (POA&gt;20 W/m2)]])*24,"")</f>
        <v>13.216666666666669</v>
      </c>
      <c r="L534" s="59" t="s">
        <v>564</v>
      </c>
      <c r="M534" s="59"/>
      <c r="N534" s="59"/>
      <c r="O534" s="59" t="s">
        <v>789</v>
      </c>
      <c r="P534" s="56"/>
      <c r="Q534" s="6"/>
      <c r="R53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534" s="53">
        <f>_xlfn.XLOOKUP(PA[[#This Row],[Affected Equipment ]],'Basic Data '!$A:$A,'Basic Data '!$B:$B)</f>
        <v>8864.75</v>
      </c>
      <c r="T534" s="90">
        <f>IFERROR(_xlfn.XLOOKUP(PA[[#This Row],[Affected Equipment ]],'Basic Data '!A:A,'Basic Data '!C:C),"")</f>
        <v>0.13280524344569289</v>
      </c>
      <c r="U534" s="59" t="s">
        <v>589</v>
      </c>
      <c r="V534" s="88"/>
      <c r="W534" s="356" t="s">
        <v>752</v>
      </c>
      <c r="X534" s="359">
        <v>0.50694444444444442</v>
      </c>
      <c r="Y534" s="359">
        <v>0.50694444444444442</v>
      </c>
      <c r="Z534" s="359">
        <v>0.51180555555555551</v>
      </c>
      <c r="AA534" s="359">
        <v>0.51250000000000007</v>
      </c>
      <c r="AB534" s="158">
        <f>IF(PA[[#This Row],[Acknowledgement Time ]]="NA","",(PA[[#This Row],[Acknowledgement Time ]]-PA[[#This Row],[Fault Time]])*24)</f>
        <v>0</v>
      </c>
      <c r="AC534" s="158">
        <f>IF(PA[[#This Row],[Work Start time on Fault]]="NA","",(PA[[#This Row],[Work Start time on Fault]]-PA[[#This Row],[Fault Time]])*24)</f>
        <v>0.11666666666666625</v>
      </c>
      <c r="AD534" s="112">
        <f>IF(PA[[#This Row],[Status]]="Open","",(PA[[#This Row],[Work Completion time on fault]]-PA[[#This Row],[Fault Time]])*24)</f>
        <v>0.13333333333333552</v>
      </c>
      <c r="AE534" s="111">
        <f>IFERROR((PA[[#This Row],[Work Completion time on fault]]-PA[[#This Row],[Fault Time]])*24,"")</f>
        <v>0.13333333333333552</v>
      </c>
      <c r="AF534" s="228" t="s">
        <v>752</v>
      </c>
      <c r="AG534" s="6" t="s">
        <v>1275</v>
      </c>
      <c r="AH534" s="53">
        <f>IFERROR(PA[[#This Row],[Breakdown Time]]*PA[[#This Row],[Plant Equivalent Weightage]],"")</f>
        <v>1.7707365792759343E-2</v>
      </c>
      <c r="AI534" s="59">
        <v>0.159</v>
      </c>
      <c r="AJ534" s="89">
        <f>IFERROR(IF(PA[[#This Row],[Lost PoA(kWh/m2)]]&gt;0,_xlfn.XLOOKUP(G534,'Modelling New'!$D:$D,'Modelling New'!$O:$O)*PA[[#This Row],[Lost PoA(kWh/m2)]]*S534,0),"")</f>
        <v>1071.4173223667301</v>
      </c>
      <c r="AK534" s="365"/>
      <c r="AL534" s="365"/>
    </row>
    <row r="535" spans="1:38" ht="30" x14ac:dyDescent="0.25">
      <c r="A535" s="377">
        <v>2227</v>
      </c>
      <c r="B535" s="376">
        <v>45844</v>
      </c>
      <c r="C535" s="163">
        <v>2025</v>
      </c>
      <c r="D535" s="348">
        <f>YEAR(PA[[#This Row],[Date]])</f>
        <v>2025</v>
      </c>
      <c r="E535" s="373" t="s">
        <v>73</v>
      </c>
      <c r="F535" s="374" t="s">
        <v>73</v>
      </c>
      <c r="G535" s="323">
        <v>45809</v>
      </c>
      <c r="H535" s="365">
        <f>DAY(EOMONTH(PA[[#This Row],[Date]], 0))</f>
        <v>31</v>
      </c>
      <c r="I535" s="361">
        <v>0.21875</v>
      </c>
      <c r="J535" s="361">
        <v>0.76874999999999993</v>
      </c>
      <c r="K535" s="53">
        <f>IFERROR((PA[[#This Row],[Sunset Time (POA&lt;20 W/m2)]]-PA[[#This Row],[Sunrise Time (POA&gt;20 W/m2)]])*24,"")</f>
        <v>13.2</v>
      </c>
      <c r="L535" s="59" t="s">
        <v>606</v>
      </c>
      <c r="M535" s="59"/>
      <c r="N535" s="59"/>
      <c r="O535" s="59" t="s">
        <v>607</v>
      </c>
      <c r="P535" s="56"/>
      <c r="Q535" s="6"/>
      <c r="R53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BLK7INV3</v>
      </c>
      <c r="S535" s="53">
        <f>_xlfn.XLOOKUP(PA[[#This Row],[Affected Equipment ]],'Basic Data '!$A:$A,'Basic Data '!$B:$B)</f>
        <v>264</v>
      </c>
      <c r="T535" s="90">
        <f>IFERROR(_xlfn.XLOOKUP(PA[[#This Row],[Affected Equipment ]],'Basic Data '!A:A,'Basic Data '!C:C),"")</f>
        <v>3.9550561797752808E-3</v>
      </c>
      <c r="U535" s="59" t="s">
        <v>1312</v>
      </c>
      <c r="V535" s="88"/>
      <c r="W535" s="265" t="s">
        <v>1348</v>
      </c>
      <c r="X535" s="359">
        <v>0.21875</v>
      </c>
      <c r="Y535" s="359">
        <v>0.25694444444444448</v>
      </c>
      <c r="Z535" s="359">
        <v>0.2986111111111111</v>
      </c>
      <c r="AA535" s="359">
        <v>0.3125</v>
      </c>
      <c r="AB535" s="158">
        <f>IF(PA[[#This Row],[Acknowledgement Time ]]="NA","",(PA[[#This Row],[Acknowledgement Time ]]-PA[[#This Row],[Fault Time]])*24)</f>
        <v>0.91666666666666741</v>
      </c>
      <c r="AC535" s="158">
        <f>IF(PA[[#This Row],[Work Start time on Fault]]="NA","",(PA[[#This Row],[Work Start time on Fault]]-PA[[#This Row],[Fault Time]])*24)</f>
        <v>1.9166666666666665</v>
      </c>
      <c r="AD535" s="112">
        <f>IF(PA[[#This Row],[Status]]="Open","",(PA[[#This Row],[Work Completion time on fault]]-PA[[#This Row],[Fault Time]])*24)</f>
        <v>2.25</v>
      </c>
      <c r="AE535" s="111">
        <f>IFERROR((PA[[#This Row],[Work Completion time on fault]]-PA[[#This Row],[Fault Time]])*24,"")</f>
        <v>2.25</v>
      </c>
      <c r="AF535" s="228" t="s">
        <v>1348</v>
      </c>
      <c r="AG535" s="6" t="s">
        <v>1275</v>
      </c>
      <c r="AH535" s="53">
        <f>IFERROR(PA[[#This Row],[Breakdown Time]]*PA[[#This Row],[Plant Equivalent Weightage]],"")</f>
        <v>8.8988764044943824E-3</v>
      </c>
      <c r="AI535" s="59">
        <v>0.156</v>
      </c>
      <c r="AJ535" s="89">
        <f>IFERROR(IF(PA[[#This Row],[Lost PoA(kWh/m2)]]&gt;0,_xlfn.XLOOKUP(G535,'Modelling New'!$D:$D,'Modelling New'!$O:$O)*PA[[#This Row],[Lost PoA(kWh/m2)]]*S535,0),"")</f>
        <v>31.305711036877504</v>
      </c>
      <c r="AK535" s="365"/>
      <c r="AL535" s="365"/>
    </row>
    <row r="536" spans="1:38" ht="30" x14ac:dyDescent="0.25">
      <c r="A536" s="377">
        <v>2228</v>
      </c>
      <c r="B536" s="376">
        <v>45844</v>
      </c>
      <c r="C536" s="163">
        <v>2025</v>
      </c>
      <c r="D536" s="348">
        <f>YEAR(PA[[#This Row],[Date]])</f>
        <v>2025</v>
      </c>
      <c r="E536" s="373" t="s">
        <v>73</v>
      </c>
      <c r="F536" s="374" t="s">
        <v>73</v>
      </c>
      <c r="G536" s="323">
        <v>45809</v>
      </c>
      <c r="H536" s="365">
        <f>DAY(EOMONTH(PA[[#This Row],[Date]], 0))</f>
        <v>31</v>
      </c>
      <c r="I536" s="361">
        <v>0.21875</v>
      </c>
      <c r="J536" s="361">
        <v>0.76874999999999993</v>
      </c>
      <c r="K536" s="53">
        <f>IFERROR((PA[[#This Row],[Sunset Time (POA&lt;20 W/m2)]]-PA[[#This Row],[Sunrise Time (POA&gt;20 W/m2)]])*24,"")</f>
        <v>13.2</v>
      </c>
      <c r="L536" s="59" t="s">
        <v>606</v>
      </c>
      <c r="M536" s="59"/>
      <c r="N536" s="59"/>
      <c r="O536" s="59" t="s">
        <v>607</v>
      </c>
      <c r="P536" s="56"/>
      <c r="Q536" s="6"/>
      <c r="R536"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BLK7INV3</v>
      </c>
      <c r="S536" s="53">
        <v>22.25</v>
      </c>
      <c r="T536" s="90">
        <f>IFERROR(_xlfn.XLOOKUP(PA[[#This Row],[Affected Equipment ]],'Basic Data '!A:A,'Basic Data '!C:C),"")</f>
        <v>3.9550561797752808E-3</v>
      </c>
      <c r="U536" s="59" t="s">
        <v>1260</v>
      </c>
      <c r="V536" s="88"/>
      <c r="W536" s="265" t="s">
        <v>1349</v>
      </c>
      <c r="X536" s="359">
        <v>0.21875</v>
      </c>
      <c r="Y536" s="359">
        <v>0.25694444444444448</v>
      </c>
      <c r="Z536" s="359">
        <v>0.32291666666666669</v>
      </c>
      <c r="AA536" s="359">
        <v>0.34375</v>
      </c>
      <c r="AB536" s="158">
        <f>IF(PA[[#This Row],[Acknowledgement Time ]]="NA","",(PA[[#This Row],[Acknowledgement Time ]]-PA[[#This Row],[Fault Time]])*24)</f>
        <v>0.91666666666666741</v>
      </c>
      <c r="AC536" s="158">
        <f>IF(PA[[#This Row],[Work Start time on Fault]]="NA","",(PA[[#This Row],[Work Start time on Fault]]-PA[[#This Row],[Fault Time]])*24)</f>
        <v>2.5000000000000004</v>
      </c>
      <c r="AD536" s="112">
        <f>IF(PA[[#This Row],[Status]]="Open","",(PA[[#This Row],[Work Completion time on fault]]-PA[[#This Row],[Fault Time]])*24)</f>
        <v>3</v>
      </c>
      <c r="AE536" s="111">
        <f>IFERROR((PA[[#This Row],[Work Completion time on fault]]-PA[[#This Row],[Fault Time]])*24,"")</f>
        <v>3</v>
      </c>
      <c r="AF536" s="228" t="s">
        <v>1349</v>
      </c>
      <c r="AG536" s="6" t="s">
        <v>1275</v>
      </c>
      <c r="AH536" s="53">
        <f>IFERROR(PA[[#This Row],[Breakdown Time]]*PA[[#This Row],[Plant Equivalent Weightage]],"")</f>
        <v>1.1865168539325843E-2</v>
      </c>
      <c r="AI536" s="59">
        <v>0.37</v>
      </c>
      <c r="AJ536" s="89">
        <f>IFERROR(IF(PA[[#This Row],[Lost PoA(kWh/m2)]]&gt;0,_xlfn.XLOOKUP(G536,'Modelling New'!$D:$D,'Modelling New'!$O:$O)*PA[[#This Row],[Lost PoA(kWh/m2)]]*S536,0),"")</f>
        <v>6.2578735943835966</v>
      </c>
      <c r="AK536" s="365"/>
      <c r="AL536" s="365"/>
    </row>
    <row r="537" spans="1:38" ht="45" x14ac:dyDescent="0.25">
      <c r="A537" s="377">
        <v>2229</v>
      </c>
      <c r="B537" s="376">
        <v>45844</v>
      </c>
      <c r="C537" s="163">
        <v>2025</v>
      </c>
      <c r="D537" s="348">
        <f>YEAR(PA[[#This Row],[Date]])</f>
        <v>2025</v>
      </c>
      <c r="E537" s="373" t="s">
        <v>73</v>
      </c>
      <c r="F537" s="374" t="s">
        <v>73</v>
      </c>
      <c r="G537" s="323">
        <v>45809</v>
      </c>
      <c r="H537" s="365">
        <f>DAY(EOMONTH(PA[[#This Row],[Date]], 0))</f>
        <v>31</v>
      </c>
      <c r="I537" s="361">
        <v>0.21875</v>
      </c>
      <c r="J537" s="361">
        <v>0.76874999999999993</v>
      </c>
      <c r="K537" s="53">
        <f>IFERROR((PA[[#This Row],[Sunset Time (POA&lt;20 W/m2)]]-PA[[#This Row],[Sunrise Time (POA&gt;20 W/m2)]])*24,"")</f>
        <v>13.2</v>
      </c>
      <c r="L537" s="59" t="s">
        <v>621</v>
      </c>
      <c r="M537" s="59"/>
      <c r="N537" s="59"/>
      <c r="O537" s="59" t="s">
        <v>637</v>
      </c>
      <c r="P537" s="56"/>
      <c r="Q537" s="6"/>
      <c r="R53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BLK4INV27</v>
      </c>
      <c r="S537" s="53">
        <v>12</v>
      </c>
      <c r="T537" s="90">
        <f>IFERROR(_xlfn.XLOOKUP(PA[[#This Row],[Affected Equipment ]],'Basic Data '!A:A,'Basic Data '!C:C),"")</f>
        <v>4.0000000000000001E-3</v>
      </c>
      <c r="U537" s="59" t="s">
        <v>1260</v>
      </c>
      <c r="V537" s="88"/>
      <c r="W537" s="265" t="s">
        <v>1350</v>
      </c>
      <c r="X537" s="359">
        <v>0.21875</v>
      </c>
      <c r="Y537" s="359">
        <v>0.21875</v>
      </c>
      <c r="Z537" s="359">
        <v>0.4236111111111111</v>
      </c>
      <c r="AA537" s="359">
        <v>0.45347222222222222</v>
      </c>
      <c r="AB537" s="158">
        <f>IF(PA[[#This Row],[Acknowledgement Time ]]="NA","",(PA[[#This Row],[Acknowledgement Time ]]-PA[[#This Row],[Fault Time]])*24)</f>
        <v>0</v>
      </c>
      <c r="AC537" s="158">
        <f>IF(PA[[#This Row],[Work Start time on Fault]]="NA","",(PA[[#This Row],[Work Start time on Fault]]-PA[[#This Row],[Fault Time]])*24)</f>
        <v>4.9166666666666661</v>
      </c>
      <c r="AD537" s="112">
        <f>IF(PA[[#This Row],[Status]]="Open","",(PA[[#This Row],[Work Completion time on fault]]-PA[[#This Row],[Fault Time]])*24)</f>
        <v>5.6333333333333329</v>
      </c>
      <c r="AE537" s="111">
        <f>IFERROR((PA[[#This Row],[Work Completion time on fault]]-PA[[#This Row],[Fault Time]])*24,"")</f>
        <v>5.6333333333333329</v>
      </c>
      <c r="AF537" s="228" t="s">
        <v>1350</v>
      </c>
      <c r="AG537" s="6" t="s">
        <v>1275</v>
      </c>
      <c r="AH537" s="53">
        <f>IFERROR(PA[[#This Row],[Breakdown Time]]*PA[[#This Row],[Plant Equivalent Weightage]],"")</f>
        <v>2.2533333333333332E-2</v>
      </c>
      <c r="AI537" s="59">
        <v>1.5640000000000001</v>
      </c>
      <c r="AJ537" s="89">
        <f>IFERROR(IF(PA[[#This Row],[Lost PoA(kWh/m2)]]&gt;0,_xlfn.XLOOKUP(G537,'Modelling New'!$D:$D,'Modelling New'!$O:$O)*PA[[#This Row],[Lost PoA(kWh/m2)]]*S537,0),"")</f>
        <v>14.266355495826463</v>
      </c>
      <c r="AK537" s="365"/>
      <c r="AL537" s="365"/>
    </row>
    <row r="538" spans="1:38" ht="45" x14ac:dyDescent="0.25">
      <c r="A538" s="377">
        <v>2230</v>
      </c>
      <c r="B538" s="376">
        <v>45844</v>
      </c>
      <c r="C538" s="163">
        <v>2025</v>
      </c>
      <c r="D538" s="348">
        <f>YEAR(PA[[#This Row],[Date]])</f>
        <v>2025</v>
      </c>
      <c r="E538" s="373" t="s">
        <v>73</v>
      </c>
      <c r="F538" s="374" t="s">
        <v>73</v>
      </c>
      <c r="G538" s="323">
        <v>45809</v>
      </c>
      <c r="H538" s="365">
        <f>DAY(EOMONTH(PA[[#This Row],[Date]], 0))</f>
        <v>31</v>
      </c>
      <c r="I538" s="361">
        <v>0.21875</v>
      </c>
      <c r="J538" s="361">
        <v>0.76874999999999993</v>
      </c>
      <c r="K538" s="53">
        <f>IFERROR((PA[[#This Row],[Sunset Time (POA&lt;20 W/m2)]]-PA[[#This Row],[Sunrise Time (POA&gt;20 W/m2)]])*24,"")</f>
        <v>13.2</v>
      </c>
      <c r="L538" s="59" t="s">
        <v>621</v>
      </c>
      <c r="M538" s="59"/>
      <c r="N538" s="59"/>
      <c r="O538" s="59" t="s">
        <v>612</v>
      </c>
      <c r="P538" s="56"/>
      <c r="Q538" s="6"/>
      <c r="R53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BLK4INV28</v>
      </c>
      <c r="S538" s="53">
        <v>12</v>
      </c>
      <c r="T538" s="90">
        <f>IFERROR(_xlfn.XLOOKUP(PA[[#This Row],[Affected Equipment ]],'Basic Data '!A:A,'Basic Data '!C:C),"")</f>
        <v>4.4999999999999997E-3</v>
      </c>
      <c r="U538" s="59" t="s">
        <v>1260</v>
      </c>
      <c r="V538" s="88"/>
      <c r="W538" s="356" t="s">
        <v>1351</v>
      </c>
      <c r="X538" s="359">
        <v>0.21875</v>
      </c>
      <c r="Y538" s="359">
        <v>0.21875</v>
      </c>
      <c r="Z538" s="359">
        <v>0.46527777777777773</v>
      </c>
      <c r="AA538" s="359">
        <v>0.4861111111111111</v>
      </c>
      <c r="AB538" s="158">
        <f>IF(PA[[#This Row],[Acknowledgement Time ]]="NA","",(PA[[#This Row],[Acknowledgement Time ]]-PA[[#This Row],[Fault Time]])*24)</f>
        <v>0</v>
      </c>
      <c r="AC538" s="158">
        <f>IF(PA[[#This Row],[Work Start time on Fault]]="NA","",(PA[[#This Row],[Work Start time on Fault]]-PA[[#This Row],[Fault Time]])*24)</f>
        <v>5.9166666666666661</v>
      </c>
      <c r="AD538" s="112">
        <f>IF(PA[[#This Row],[Status]]="Open","",(PA[[#This Row],[Work Completion time on fault]]-PA[[#This Row],[Fault Time]])*24)</f>
        <v>6.4166666666666661</v>
      </c>
      <c r="AE538" s="111">
        <f>IFERROR((PA[[#This Row],[Work Completion time on fault]]-PA[[#This Row],[Fault Time]])*24,"")</f>
        <v>6.4166666666666661</v>
      </c>
      <c r="AF538" s="228" t="s">
        <v>1351</v>
      </c>
      <c r="AG538" s="6" t="s">
        <v>1275</v>
      </c>
      <c r="AH538" s="53">
        <f>IFERROR(PA[[#This Row],[Breakdown Time]]*PA[[#This Row],[Plant Equivalent Weightage]],"")</f>
        <v>2.8874999999999994E-2</v>
      </c>
      <c r="AI538" s="59">
        <v>2.2410000000000001</v>
      </c>
      <c r="AJ538" s="89">
        <f>IFERROR(IF(PA[[#This Row],[Lost PoA(kWh/m2)]]&gt;0,_xlfn.XLOOKUP(G538,'Modelling New'!$D:$D,'Modelling New'!$O:$O)*PA[[#This Row],[Lost PoA(kWh/m2)]]*S538,0),"")</f>
        <v>20.441753622856201</v>
      </c>
      <c r="AK538" s="365"/>
      <c r="AL538" s="365"/>
    </row>
    <row r="539" spans="1:38" ht="30" x14ac:dyDescent="0.25">
      <c r="A539" s="229">
        <v>2231</v>
      </c>
      <c r="B539" s="376">
        <v>45845</v>
      </c>
      <c r="C539" s="163">
        <v>2025</v>
      </c>
      <c r="D539" s="348">
        <f>YEAR(PA[[#This Row],[Date]])</f>
        <v>2025</v>
      </c>
      <c r="E539" s="373" t="s">
        <v>73</v>
      </c>
      <c r="F539" s="374" t="s">
        <v>73</v>
      </c>
      <c r="G539" s="323">
        <v>45809</v>
      </c>
      <c r="H539" s="365">
        <f>DAY(EOMONTH(PA[[#This Row],[Date]], 0))</f>
        <v>31</v>
      </c>
      <c r="I539" s="361">
        <v>0.22152777777777777</v>
      </c>
      <c r="J539" s="361">
        <v>0.78055555555555556</v>
      </c>
      <c r="K539" s="53">
        <f>IFERROR((PA[[#This Row],[Sunset Time (POA&lt;20 W/m2)]]-PA[[#This Row],[Sunrise Time (POA&gt;20 W/m2)]])*24,"")</f>
        <v>13.416666666666668</v>
      </c>
      <c r="L539" s="59" t="s">
        <v>564</v>
      </c>
      <c r="M539" s="59"/>
      <c r="N539" s="59"/>
      <c r="O539" s="59" t="s">
        <v>789</v>
      </c>
      <c r="P539" s="56"/>
      <c r="Q539" s="6"/>
      <c r="R53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539" s="53">
        <f>_xlfn.XLOOKUP(PA[[#This Row],[Affected Equipment ]],'Basic Data '!$A:$A,'Basic Data '!$B:$B)</f>
        <v>8864.75</v>
      </c>
      <c r="T539" s="90">
        <f>IFERROR(_xlfn.XLOOKUP(PA[[#This Row],[Affected Equipment ]],'Basic Data '!A:A,'Basic Data '!C:C),"")</f>
        <v>0.13280524344569289</v>
      </c>
      <c r="U539" s="59" t="s">
        <v>589</v>
      </c>
      <c r="V539" s="88"/>
      <c r="W539" s="265" t="s">
        <v>752</v>
      </c>
      <c r="X539" s="359">
        <v>0.51250000000000007</v>
      </c>
      <c r="Y539" s="359">
        <v>0.51250000000000007</v>
      </c>
      <c r="Z539" s="359">
        <v>0.51527777777777783</v>
      </c>
      <c r="AA539" s="359">
        <v>0.51597222222222217</v>
      </c>
      <c r="AB539" s="158">
        <f>IF(PA[[#This Row],[Acknowledgement Time ]]="NA","",(PA[[#This Row],[Acknowledgement Time ]]-PA[[#This Row],[Fault Time]])*24)</f>
        <v>0</v>
      </c>
      <c r="AC539" s="158">
        <f>IF(PA[[#This Row],[Work Start time on Fault]]="NA","",(PA[[#This Row],[Work Start time on Fault]]-PA[[#This Row],[Fault Time]])*24)</f>
        <v>6.666666666666643E-2</v>
      </c>
      <c r="AD539" s="112">
        <f>IF(PA[[#This Row],[Status]]="Open","",(PA[[#This Row],[Work Completion time on fault]]-PA[[#This Row],[Fault Time]])*24)</f>
        <v>8.3333333333330373E-2</v>
      </c>
      <c r="AE539" s="111">
        <f>IFERROR((PA[[#This Row],[Work Completion time on fault]]-PA[[#This Row],[Fault Time]])*24,"")</f>
        <v>8.3333333333330373E-2</v>
      </c>
      <c r="AF539" s="228" t="s">
        <v>752</v>
      </c>
      <c r="AG539" s="6" t="s">
        <v>1275</v>
      </c>
      <c r="AH539" s="53">
        <f>IFERROR(PA[[#This Row],[Breakdown Time]]*PA[[#This Row],[Plant Equivalent Weightage]],"")</f>
        <v>1.1067103620474014E-2</v>
      </c>
      <c r="AI539" s="59">
        <v>8.5000000000000006E-2</v>
      </c>
      <c r="AJ539" s="89">
        <f>IFERROR(IF(PA[[#This Row],[Lost PoA(kWh/m2)]]&gt;0,_xlfn.XLOOKUP(G539,'Modelling New'!$D:$D,'Modelling New'!$O:$O)*PA[[#This Row],[Lost PoA(kWh/m2)]]*S539,0),"")</f>
        <v>572.77026667403811</v>
      </c>
      <c r="AK539" s="365"/>
      <c r="AL539" s="365"/>
    </row>
    <row r="540" spans="1:38" ht="30" x14ac:dyDescent="0.25">
      <c r="A540" s="229">
        <v>2232</v>
      </c>
      <c r="B540" s="376">
        <v>45848</v>
      </c>
      <c r="C540" s="163">
        <v>2025</v>
      </c>
      <c r="D540" s="348">
        <f>YEAR(PA[[#This Row],[Date]])</f>
        <v>2025</v>
      </c>
      <c r="E540" s="373" t="s">
        <v>73</v>
      </c>
      <c r="F540" s="374" t="s">
        <v>73</v>
      </c>
      <c r="G540" s="323">
        <v>45809</v>
      </c>
      <c r="H540" s="365">
        <f>DAY(EOMONTH(PA[[#This Row],[Date]], 0))</f>
        <v>31</v>
      </c>
      <c r="I540" s="361">
        <v>0.22708333333333333</v>
      </c>
      <c r="J540" s="361">
        <v>0.7715277777777777</v>
      </c>
      <c r="K540" s="53">
        <f>IFERROR((PA[[#This Row],[Sunset Time (POA&lt;20 W/m2)]]-PA[[#This Row],[Sunrise Time (POA&gt;20 W/m2)]])*24,"")</f>
        <v>13.066666666666666</v>
      </c>
      <c r="L540" s="59" t="s">
        <v>615</v>
      </c>
      <c r="M540" s="59"/>
      <c r="N540" s="59"/>
      <c r="O540" s="59" t="s">
        <v>583</v>
      </c>
      <c r="P540" s="56"/>
      <c r="Q540" s="6"/>
      <c r="R54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BLK6INV30</v>
      </c>
      <c r="S540" s="53">
        <v>22</v>
      </c>
      <c r="T540" s="90">
        <f>IFERROR(_xlfn.XLOOKUP(PA[[#This Row],[Affected Equipment ]],'Basic Data '!A:A,'Basic Data '!C:C),"")</f>
        <v>4.1198501872659176E-3</v>
      </c>
      <c r="U540" s="59" t="s">
        <v>1312</v>
      </c>
      <c r="V540" s="88"/>
      <c r="W540" s="265" t="s">
        <v>1352</v>
      </c>
      <c r="X540" s="359">
        <v>0.30208333333333331</v>
      </c>
      <c r="Y540" s="359">
        <v>0.30208333333333331</v>
      </c>
      <c r="Z540" s="359">
        <v>0.34375</v>
      </c>
      <c r="AA540" s="359">
        <v>0.3611111111111111</v>
      </c>
      <c r="AB540" s="158">
        <f>IF(PA[[#This Row],[Acknowledgement Time ]]="NA","",(PA[[#This Row],[Acknowledgement Time ]]-PA[[#This Row],[Fault Time]])*24)</f>
        <v>0</v>
      </c>
      <c r="AC540" s="158">
        <f>IF(PA[[#This Row],[Work Start time on Fault]]="NA","",(PA[[#This Row],[Work Start time on Fault]]-PA[[#This Row],[Fault Time]])*24)</f>
        <v>1.0000000000000004</v>
      </c>
      <c r="AD540" s="112">
        <f>IF(PA[[#This Row],[Status]]="Open","",(PA[[#This Row],[Work Completion time on fault]]-PA[[#This Row],[Fault Time]])*24)</f>
        <v>1.416666666666667</v>
      </c>
      <c r="AE540" s="111">
        <f>IFERROR((PA[[#This Row],[Work Completion time on fault]]-PA[[#This Row],[Fault Time]])*24,"")</f>
        <v>1.416666666666667</v>
      </c>
      <c r="AF540" s="228" t="s">
        <v>1353</v>
      </c>
      <c r="AG540" s="6" t="s">
        <v>1275</v>
      </c>
      <c r="AH540" s="53">
        <f>IFERROR(PA[[#This Row],[Breakdown Time]]*PA[[#This Row],[Plant Equivalent Weightage]],"")</f>
        <v>5.8364544319600515E-3</v>
      </c>
      <c r="AI540" s="59">
        <v>0.26200000000000001</v>
      </c>
      <c r="AJ540" s="89">
        <f>IFERROR(IF(PA[[#This Row],[Lost PoA(kWh/m2)]]&gt;0,_xlfn.XLOOKUP(G540,'Modelling New'!$D:$D,'Modelling New'!$O:$O)*PA[[#This Row],[Lost PoA(kWh/m2)]]*S540,0),"")</f>
        <v>4.3814616942638382</v>
      </c>
      <c r="AK540" s="365"/>
      <c r="AL540" s="365"/>
    </row>
    <row r="541" spans="1:38" ht="60" x14ac:dyDescent="0.25">
      <c r="A541" s="229">
        <v>2233</v>
      </c>
      <c r="B541" s="376">
        <v>45849</v>
      </c>
      <c r="C541" s="163">
        <v>2025</v>
      </c>
      <c r="D541" s="364">
        <f>YEAR(PA[[#This Row],[Date]])</f>
        <v>2025</v>
      </c>
      <c r="E541" s="373" t="s">
        <v>73</v>
      </c>
      <c r="F541" s="374" t="s">
        <v>73</v>
      </c>
      <c r="G541" s="323">
        <v>45809</v>
      </c>
      <c r="H541" s="365">
        <f>DAY(EOMONTH(PA[[#This Row],[Date]], 0))</f>
        <v>31</v>
      </c>
      <c r="I541" s="361">
        <v>0.21736111111111112</v>
      </c>
      <c r="J541" s="361">
        <v>0.78125</v>
      </c>
      <c r="K541" s="131">
        <f>IFERROR((PA[[#This Row],[Sunset Time (POA&lt;20 W/m2)]]-PA[[#This Row],[Sunrise Time (POA&gt;20 W/m2)]])*24,"")</f>
        <v>13.533333333333333</v>
      </c>
      <c r="L541" s="59" t="s">
        <v>615</v>
      </c>
      <c r="M541" s="128"/>
      <c r="N541" s="128"/>
      <c r="O541" s="128" t="s">
        <v>618</v>
      </c>
      <c r="P541" s="130"/>
      <c r="Q541" s="129"/>
      <c r="R541"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BLK6INV15</v>
      </c>
      <c r="S541" s="131">
        <v>22</v>
      </c>
      <c r="T541" s="132">
        <f>IFERROR(_xlfn.XLOOKUP(PA[[#This Row],[Affected Equipment ]],'Basic Data '!A:A,'Basic Data '!C:C),"")</f>
        <v>4.1198501872659176E-3</v>
      </c>
      <c r="U541" s="128" t="s">
        <v>1260</v>
      </c>
      <c r="V541" s="117"/>
      <c r="W541" s="375" t="s">
        <v>1293</v>
      </c>
      <c r="X541" s="366">
        <v>0.21736111111111112</v>
      </c>
      <c r="Y541" s="366">
        <v>0.25694444444444448</v>
      </c>
      <c r="Z541" s="366">
        <v>0.3125</v>
      </c>
      <c r="AA541" s="366">
        <v>0.34027777777777773</v>
      </c>
      <c r="AB541" s="159">
        <f>IF(PA[[#This Row],[Acknowledgement Time ]]="NA","",(PA[[#This Row],[Acknowledgement Time ]]-PA[[#This Row],[Fault Time]])*24)</f>
        <v>0.95000000000000062</v>
      </c>
      <c r="AC541" s="159">
        <f>IF(PA[[#This Row],[Work Start time on Fault]]="NA","",(PA[[#This Row],[Work Start time on Fault]]-PA[[#This Row],[Fault Time]])*24)</f>
        <v>2.2833333333333332</v>
      </c>
      <c r="AD541" s="135">
        <f>IF(PA[[#This Row],[Status]]="Open","",(PA[[#This Row],[Work Completion time on fault]]-PA[[#This Row],[Fault Time]])*24)</f>
        <v>2.9499999999999988</v>
      </c>
      <c r="AE541" s="134">
        <f>IFERROR((PA[[#This Row],[Work Completion time on fault]]-PA[[#This Row],[Fault Time]])*24,"")</f>
        <v>2.9499999999999988</v>
      </c>
      <c r="AF541" s="380" t="s">
        <v>1293</v>
      </c>
      <c r="AG541" s="6" t="s">
        <v>1275</v>
      </c>
      <c r="AH541" s="131">
        <f>IFERROR(PA[[#This Row],[Breakdown Time]]*PA[[#This Row],[Plant Equivalent Weightage]],"")</f>
        <v>1.2153558052434453E-2</v>
      </c>
      <c r="AI541" s="128">
        <v>0.39200000000000002</v>
      </c>
      <c r="AJ541" s="89">
        <f>IFERROR(IF(PA[[#This Row],[Lost PoA(kWh/m2)]]&gt;0,_xlfn.XLOOKUP(G541,'Modelling New'!$D:$D,'Modelling New'!$O:$O)*PA[[#This Row],[Lost PoA(kWh/m2)]]*S541,0),"")</f>
        <v>6.5554694051581102</v>
      </c>
      <c r="AK541" s="365"/>
      <c r="AL541" s="365"/>
    </row>
    <row r="542" spans="1:38" ht="30" x14ac:dyDescent="0.25">
      <c r="A542" s="229">
        <v>2234</v>
      </c>
      <c r="B542" s="376">
        <v>45849</v>
      </c>
      <c r="C542" s="163">
        <v>2025</v>
      </c>
      <c r="D542" s="364">
        <f>YEAR(PA[[#This Row],[Date]])</f>
        <v>2025</v>
      </c>
      <c r="E542" s="373" t="s">
        <v>73</v>
      </c>
      <c r="F542" s="374" t="s">
        <v>73</v>
      </c>
      <c r="G542" s="323">
        <v>45809</v>
      </c>
      <c r="H542" s="365">
        <f>DAY(EOMONTH(PA[[#This Row],[Date]], 0))</f>
        <v>31</v>
      </c>
      <c r="I542" s="361">
        <v>0.21736111111111112</v>
      </c>
      <c r="J542" s="361">
        <v>0.78125</v>
      </c>
      <c r="K542" s="131">
        <f>IFERROR((PA[[#This Row],[Sunset Time (POA&lt;20 W/m2)]]-PA[[#This Row],[Sunrise Time (POA&gt;20 W/m2)]])*24,"")</f>
        <v>13.533333333333333</v>
      </c>
      <c r="L542" s="59" t="s">
        <v>615</v>
      </c>
      <c r="M542" s="128"/>
      <c r="N542" s="128"/>
      <c r="O542" s="128" t="s">
        <v>580</v>
      </c>
      <c r="P542" s="130"/>
      <c r="Q542" s="129"/>
      <c r="R542"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BLK6INV31</v>
      </c>
      <c r="S542" s="131">
        <v>44</v>
      </c>
      <c r="T542" s="132">
        <f>IFERROR(_xlfn.XLOOKUP(PA[[#This Row],[Affected Equipment ]],'Basic Data '!A:A,'Basic Data '!C:C),"")</f>
        <v>4.1198501872659176E-3</v>
      </c>
      <c r="U542" s="128" t="s">
        <v>1260</v>
      </c>
      <c r="V542" s="117"/>
      <c r="W542" s="265" t="s">
        <v>1354</v>
      </c>
      <c r="X542" s="366">
        <v>0.21736111111111112</v>
      </c>
      <c r="Y542" s="366">
        <v>0.25694444444444448</v>
      </c>
      <c r="Z542" s="366">
        <v>0.34375</v>
      </c>
      <c r="AA542" s="366">
        <v>0.35416666666666669</v>
      </c>
      <c r="AB542" s="159">
        <f>IF(PA[[#This Row],[Acknowledgement Time ]]="NA","",(PA[[#This Row],[Acknowledgement Time ]]-PA[[#This Row],[Fault Time]])*24)</f>
        <v>0.95000000000000062</v>
      </c>
      <c r="AC542" s="159">
        <f>IF(PA[[#This Row],[Work Start time on Fault]]="NA","",(PA[[#This Row],[Work Start time on Fault]]-PA[[#This Row],[Fault Time]])*24)</f>
        <v>3.0333333333333332</v>
      </c>
      <c r="AD542" s="135">
        <f>IF(PA[[#This Row],[Status]]="Open","",(PA[[#This Row],[Work Completion time on fault]]-PA[[#This Row],[Fault Time]])*24)</f>
        <v>3.2833333333333337</v>
      </c>
      <c r="AE542" s="134">
        <f>IFERROR((PA[[#This Row],[Work Completion time on fault]]-PA[[#This Row],[Fault Time]])*24,"")</f>
        <v>3.2833333333333337</v>
      </c>
      <c r="AF542" s="226" t="s">
        <v>1354</v>
      </c>
      <c r="AG542" s="6" t="s">
        <v>1275</v>
      </c>
      <c r="AH542" s="131">
        <f>IFERROR(PA[[#This Row],[Breakdown Time]]*PA[[#This Row],[Plant Equivalent Weightage]],"")</f>
        <v>1.3526841448189764E-2</v>
      </c>
      <c r="AI542" s="128">
        <v>0.53900000000000003</v>
      </c>
      <c r="AJ542" s="89">
        <f>IFERROR(IF(PA[[#This Row],[Lost PoA(kWh/m2)]]&gt;0,_xlfn.XLOOKUP(G542,'Modelling New'!$D:$D,'Modelling New'!$O:$O)*PA[[#This Row],[Lost PoA(kWh/m2)]]*S542,0),"")</f>
        <v>18.027540864184804</v>
      </c>
      <c r="AK542" s="365"/>
      <c r="AL542" s="365"/>
    </row>
    <row r="543" spans="1:38" x14ac:dyDescent="0.25">
      <c r="A543" s="229">
        <v>2235</v>
      </c>
      <c r="B543" s="376">
        <v>45849</v>
      </c>
      <c r="C543" s="163">
        <v>2025</v>
      </c>
      <c r="D543" s="364">
        <f>YEAR(PA[[#This Row],[Date]])</f>
        <v>2025</v>
      </c>
      <c r="E543" s="373" t="s">
        <v>73</v>
      </c>
      <c r="F543" s="374" t="s">
        <v>73</v>
      </c>
      <c r="G543" s="323">
        <v>45809</v>
      </c>
      <c r="H543" s="365">
        <f>DAY(EOMONTH(PA[[#This Row],[Date]], 0))</f>
        <v>31</v>
      </c>
      <c r="I543" s="361">
        <v>0.21736111111111112</v>
      </c>
      <c r="J543" s="361">
        <v>0.78125</v>
      </c>
      <c r="K543" s="131">
        <f>IFERROR((PA[[#This Row],[Sunset Time (POA&lt;20 W/m2)]]-PA[[#This Row],[Sunrise Time (POA&gt;20 W/m2)]])*24,"")</f>
        <v>13.533333333333333</v>
      </c>
      <c r="L543" s="128" t="s">
        <v>606</v>
      </c>
      <c r="M543" s="128"/>
      <c r="N543" s="128"/>
      <c r="O543" s="128" t="s">
        <v>575</v>
      </c>
      <c r="P543" s="130"/>
      <c r="Q543" s="129"/>
      <c r="R543"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BLK7INV23</v>
      </c>
      <c r="S543" s="131">
        <v>22.25</v>
      </c>
      <c r="T543" s="132">
        <f>IFERROR(_xlfn.XLOOKUP(PA[[#This Row],[Affected Equipment ]],'Basic Data '!A:A,'Basic Data '!C:C),"")</f>
        <v>4.0000000000000001E-3</v>
      </c>
      <c r="U543" s="128" t="s">
        <v>1260</v>
      </c>
      <c r="V543" s="117"/>
      <c r="W543" s="265" t="s">
        <v>1358</v>
      </c>
      <c r="X543" s="366">
        <v>0.21736111111111112</v>
      </c>
      <c r="Y543" s="366">
        <v>0.25694444444444448</v>
      </c>
      <c r="Z543" s="366">
        <v>0.36458333333333331</v>
      </c>
      <c r="AA543" s="366">
        <v>0.38194444444444442</v>
      </c>
      <c r="AB543" s="159">
        <f>IF(PA[[#This Row],[Acknowledgement Time ]]="NA","",(PA[[#This Row],[Acknowledgement Time ]]-PA[[#This Row],[Fault Time]])*24)</f>
        <v>0.95000000000000062</v>
      </c>
      <c r="AC543" s="159">
        <f>IF(PA[[#This Row],[Work Start time on Fault]]="NA","",(PA[[#This Row],[Work Start time on Fault]]-PA[[#This Row],[Fault Time]])*24)</f>
        <v>3.5333333333333328</v>
      </c>
      <c r="AD543" s="135">
        <f>IF(PA[[#This Row],[Status]]="Open","",(PA[[#This Row],[Work Completion time on fault]]-PA[[#This Row],[Fault Time]])*24)</f>
        <v>3.9499999999999993</v>
      </c>
      <c r="AE543" s="134">
        <f>IFERROR((PA[[#This Row],[Work Completion time on fault]]-PA[[#This Row],[Fault Time]])*24,"")</f>
        <v>3.9499999999999993</v>
      </c>
      <c r="AF543" s="226" t="s">
        <v>1358</v>
      </c>
      <c r="AG543" s="6" t="s">
        <v>1275</v>
      </c>
      <c r="AH543" s="131">
        <f>IFERROR(PA[[#This Row],[Breakdown Time]]*PA[[#This Row],[Plant Equivalent Weightage]],"")</f>
        <v>1.5799999999999998E-2</v>
      </c>
      <c r="AI543" s="128">
        <v>0.92700000000000005</v>
      </c>
      <c r="AJ543" s="89">
        <f>IFERROR(IF(PA[[#This Row],[Lost PoA(kWh/m2)]]&gt;0,_xlfn.XLOOKUP(G543,'Modelling New'!$D:$D,'Modelling New'!$O:$O)*PA[[#This Row],[Lost PoA(kWh/m2)]]*S543,0),"")</f>
        <v>15.678510329712417</v>
      </c>
      <c r="AK543" s="365"/>
      <c r="AL543" s="365"/>
    </row>
    <row r="544" spans="1:38" x14ac:dyDescent="0.25">
      <c r="A544" s="229">
        <v>2236</v>
      </c>
      <c r="B544" s="376">
        <v>45849</v>
      </c>
      <c r="C544" s="163">
        <v>2025</v>
      </c>
      <c r="D544" s="364">
        <f>YEAR(PA[[#This Row],[Date]])</f>
        <v>2025</v>
      </c>
      <c r="E544" s="373" t="s">
        <v>73</v>
      </c>
      <c r="F544" s="374" t="s">
        <v>73</v>
      </c>
      <c r="G544" s="323">
        <v>45809</v>
      </c>
      <c r="H544" s="365">
        <f>DAY(EOMONTH(PA[[#This Row],[Date]], 0))</f>
        <v>31</v>
      </c>
      <c r="I544" s="361">
        <v>0.21736111111111112</v>
      </c>
      <c r="J544" s="361">
        <v>0.78125</v>
      </c>
      <c r="K544" s="131">
        <f>IFERROR((PA[[#This Row],[Sunset Time (POA&lt;20 W/m2)]]-PA[[#This Row],[Sunrise Time (POA&gt;20 W/m2)]])*24,"")</f>
        <v>13.533333333333333</v>
      </c>
      <c r="L544" s="128" t="s">
        <v>606</v>
      </c>
      <c r="M544" s="128"/>
      <c r="N544" s="128"/>
      <c r="O544" s="128" t="s">
        <v>578</v>
      </c>
      <c r="P544" s="130"/>
      <c r="Q544" s="129"/>
      <c r="R544"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BLK7INV12</v>
      </c>
      <c r="S544" s="131">
        <v>20</v>
      </c>
      <c r="T544" s="132">
        <f>IFERROR(_xlfn.XLOOKUP(PA[[#This Row],[Affected Equipment ]],'Basic Data '!A:A,'Basic Data '!C:C),"")</f>
        <v>4.0539325842696636E-3</v>
      </c>
      <c r="U544" s="128" t="s">
        <v>1260</v>
      </c>
      <c r="V544" s="117"/>
      <c r="W544" s="265" t="s">
        <v>1355</v>
      </c>
      <c r="X544" s="366">
        <v>0.21736111111111112</v>
      </c>
      <c r="Y544" s="366">
        <v>0.25694444444444448</v>
      </c>
      <c r="Z544" s="366">
        <v>0.38541666666666669</v>
      </c>
      <c r="AA544" s="366">
        <v>0.39930555555555558</v>
      </c>
      <c r="AB544" s="159">
        <f>IF(PA[[#This Row],[Acknowledgement Time ]]="NA","",(PA[[#This Row],[Acknowledgement Time ]]-PA[[#This Row],[Fault Time]])*24)</f>
        <v>0.95000000000000062</v>
      </c>
      <c r="AC544" s="159">
        <f>IF(PA[[#This Row],[Work Start time on Fault]]="NA","",(PA[[#This Row],[Work Start time on Fault]]-PA[[#This Row],[Fault Time]])*24)</f>
        <v>4.0333333333333332</v>
      </c>
      <c r="AD544" s="135">
        <f>IF(PA[[#This Row],[Status]]="Open","",(PA[[#This Row],[Work Completion time on fault]]-PA[[#This Row],[Fault Time]])*24)</f>
        <v>4.3666666666666671</v>
      </c>
      <c r="AE544" s="134">
        <f>IFERROR((PA[[#This Row],[Work Completion time on fault]]-PA[[#This Row],[Fault Time]])*24,"")</f>
        <v>4.3666666666666671</v>
      </c>
      <c r="AF544" s="226" t="s">
        <v>1355</v>
      </c>
      <c r="AG544" s="6" t="s">
        <v>1275</v>
      </c>
      <c r="AH544" s="131">
        <f>IFERROR(PA[[#This Row],[Breakdown Time]]*PA[[#This Row],[Plant Equivalent Weightage]],"")</f>
        <v>1.7702172284644199E-2</v>
      </c>
      <c r="AI544" s="128">
        <v>1.0680000000000001</v>
      </c>
      <c r="AJ544" s="89">
        <f>IFERROR(IF(PA[[#This Row],[Lost PoA(kWh/m2)]]&gt;0,_xlfn.XLOOKUP(G544,'Modelling New'!$D:$D,'Modelling New'!$O:$O)*PA[[#This Row],[Lost PoA(kWh/m2)]]*S544,0),"")</f>
        <v>16.236645001643925</v>
      </c>
      <c r="AK544" s="365"/>
      <c r="AL544" s="365"/>
    </row>
    <row r="545" spans="1:38" ht="30" x14ac:dyDescent="0.25">
      <c r="A545" s="229">
        <v>2237</v>
      </c>
      <c r="B545" s="376">
        <v>45849</v>
      </c>
      <c r="C545" s="163">
        <v>2025</v>
      </c>
      <c r="D545" s="364">
        <f>YEAR(PA[[#This Row],[Date]])</f>
        <v>2025</v>
      </c>
      <c r="E545" s="373" t="s">
        <v>73</v>
      </c>
      <c r="F545" s="374" t="s">
        <v>73</v>
      </c>
      <c r="G545" s="323">
        <v>45809</v>
      </c>
      <c r="H545" s="365">
        <f>DAY(EOMONTH(PA[[#This Row],[Date]], 0))</f>
        <v>31</v>
      </c>
      <c r="I545" s="361">
        <v>0.21736111111111112</v>
      </c>
      <c r="J545" s="361">
        <v>0.78125</v>
      </c>
      <c r="K545" s="131">
        <f>IFERROR((PA[[#This Row],[Sunset Time (POA&lt;20 W/m2)]]-PA[[#This Row],[Sunrise Time (POA&gt;20 W/m2)]])*24,"")</f>
        <v>13.533333333333333</v>
      </c>
      <c r="L545" s="128" t="s">
        <v>564</v>
      </c>
      <c r="M545" s="128"/>
      <c r="N545" s="128"/>
      <c r="O545" s="128" t="s">
        <v>789</v>
      </c>
      <c r="P545" s="130"/>
      <c r="Q545" s="129"/>
      <c r="R545"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545" s="131">
        <f>_xlfn.XLOOKUP(PA[[#This Row],[Affected Equipment ]],'Basic Data '!$A:$A,'Basic Data '!$B:$B)</f>
        <v>8864.75</v>
      </c>
      <c r="T545" s="132">
        <f>IFERROR(_xlfn.XLOOKUP(PA[[#This Row],[Affected Equipment ]],'Basic Data '!A:A,'Basic Data '!C:C),"")</f>
        <v>0.13280524344569289</v>
      </c>
      <c r="U545" s="128" t="s">
        <v>589</v>
      </c>
      <c r="V545" s="117"/>
      <c r="W545" s="265" t="s">
        <v>752</v>
      </c>
      <c r="X545" s="366">
        <v>0.44027777777777777</v>
      </c>
      <c r="Y545" s="366">
        <v>0.44027777777777777</v>
      </c>
      <c r="Z545" s="366">
        <v>0.44236111111111115</v>
      </c>
      <c r="AA545" s="366">
        <v>0.44513888888888892</v>
      </c>
      <c r="AB545" s="159">
        <f>IF(PA[[#This Row],[Acknowledgement Time ]]="NA","",(PA[[#This Row],[Acknowledgement Time ]]-PA[[#This Row],[Fault Time]])*24)</f>
        <v>0</v>
      </c>
      <c r="AC545" s="159">
        <f>IF(PA[[#This Row],[Work Start time on Fault]]="NA","",(PA[[#This Row],[Work Start time on Fault]]-PA[[#This Row],[Fault Time]])*24)</f>
        <v>5.0000000000001155E-2</v>
      </c>
      <c r="AD545" s="135">
        <f>IF(PA[[#This Row],[Status]]="Open","",(PA[[#This Row],[Work Completion time on fault]]-PA[[#This Row],[Fault Time]])*24)</f>
        <v>0.11666666666666758</v>
      </c>
      <c r="AE545" s="134">
        <f>IFERROR((PA[[#This Row],[Work Completion time on fault]]-PA[[#This Row],[Fault Time]])*24,"")</f>
        <v>0.11666666666666758</v>
      </c>
      <c r="AF545" s="226" t="s">
        <v>752</v>
      </c>
      <c r="AG545" s="6" t="s">
        <v>1275</v>
      </c>
      <c r="AH545" s="131">
        <f>IFERROR(PA[[#This Row],[Breakdown Time]]*PA[[#This Row],[Plant Equivalent Weightage]],"")</f>
        <v>1.5493945068664292E-2</v>
      </c>
      <c r="AI545" s="128">
        <v>0.13500000000000001</v>
      </c>
      <c r="AJ545" s="89">
        <f>IFERROR(IF(PA[[#This Row],[Lost PoA(kWh/m2)]]&gt;0,_xlfn.XLOOKUP(G545,'Modelling New'!$D:$D,'Modelling New'!$O:$O)*PA[[#This Row],[Lost PoA(kWh/m2)]]*S545,0),"")</f>
        <v>909.69395295288416</v>
      </c>
      <c r="AK545" s="365"/>
      <c r="AL545" s="365"/>
    </row>
    <row r="546" spans="1:38" ht="30" x14ac:dyDescent="0.25">
      <c r="A546" s="229">
        <v>2238</v>
      </c>
      <c r="B546" s="376">
        <v>45849</v>
      </c>
      <c r="C546" s="163">
        <v>2025</v>
      </c>
      <c r="D546" s="364">
        <f>YEAR(PA[[#This Row],[Date]])</f>
        <v>2025</v>
      </c>
      <c r="E546" s="373" t="s">
        <v>73</v>
      </c>
      <c r="F546" s="374" t="s">
        <v>73</v>
      </c>
      <c r="G546" s="323">
        <v>45809</v>
      </c>
      <c r="H546" s="365">
        <f>DAY(EOMONTH(PA[[#This Row],[Date]], 0))</f>
        <v>31</v>
      </c>
      <c r="I546" s="361">
        <v>0.21736111111111112</v>
      </c>
      <c r="J546" s="361">
        <v>0.78125</v>
      </c>
      <c r="K546" s="131">
        <f>IFERROR((PA[[#This Row],[Sunset Time (POA&lt;20 W/m2)]]-PA[[#This Row],[Sunrise Time (POA&gt;20 W/m2)]])*24,"")</f>
        <v>13.533333333333333</v>
      </c>
      <c r="L546" s="128" t="s">
        <v>587</v>
      </c>
      <c r="M546" s="128"/>
      <c r="N546" s="128"/>
      <c r="O546" s="128" t="s">
        <v>789</v>
      </c>
      <c r="P546" s="130"/>
      <c r="Q546" s="129"/>
      <c r="R546"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546" s="131">
        <f>_xlfn.XLOOKUP(PA[[#This Row],[Affected Equipment ]],'Basic Data '!$A:$A,'Basic Data '!$B:$B)</f>
        <v>8944.5</v>
      </c>
      <c r="T546" s="132">
        <f>IFERROR(_xlfn.XLOOKUP(PA[[#This Row],[Affected Equipment ]],'Basic Data '!A:A,'Basic Data '!C:C),"")</f>
        <v>0.13400000000000001</v>
      </c>
      <c r="U546" s="128" t="s">
        <v>589</v>
      </c>
      <c r="V546" s="117"/>
      <c r="W546" s="265" t="s">
        <v>751</v>
      </c>
      <c r="X546" s="366">
        <v>0.44027777777777777</v>
      </c>
      <c r="Y546" s="366">
        <v>0.44027777777777777</v>
      </c>
      <c r="Z546" s="366">
        <v>0.44236111111111115</v>
      </c>
      <c r="AA546" s="366">
        <v>0.44375000000000003</v>
      </c>
      <c r="AB546" s="159">
        <f>IF(PA[[#This Row],[Acknowledgement Time ]]="NA","",(PA[[#This Row],[Acknowledgement Time ]]-PA[[#This Row],[Fault Time]])*24)</f>
        <v>0</v>
      </c>
      <c r="AC546" s="159">
        <f>IF(PA[[#This Row],[Work Start time on Fault]]="NA","",(PA[[#This Row],[Work Start time on Fault]]-PA[[#This Row],[Fault Time]])*24)</f>
        <v>5.0000000000001155E-2</v>
      </c>
      <c r="AD546" s="135">
        <f>IF(PA[[#This Row],[Status]]="Open","",(PA[[#This Row],[Work Completion time on fault]]-PA[[#This Row],[Fault Time]])*24)</f>
        <v>8.333333333333437E-2</v>
      </c>
      <c r="AE546" s="134">
        <f>IFERROR((PA[[#This Row],[Work Completion time on fault]]-PA[[#This Row],[Fault Time]])*24,"")</f>
        <v>8.333333333333437E-2</v>
      </c>
      <c r="AF546" s="226" t="s">
        <v>751</v>
      </c>
      <c r="AG546" s="6" t="s">
        <v>1275</v>
      </c>
      <c r="AH546" s="131">
        <f>IFERROR(PA[[#This Row],[Breakdown Time]]*PA[[#This Row],[Plant Equivalent Weightage]],"")</f>
        <v>1.1166666666666806E-2</v>
      </c>
      <c r="AI546" s="128">
        <v>0.11</v>
      </c>
      <c r="AJ546" s="89">
        <f>IFERROR(IF(PA[[#This Row],[Lost PoA(kWh/m2)]]&gt;0,_xlfn.XLOOKUP(G546,'Modelling New'!$D:$D,'Modelling New'!$O:$O)*PA[[#This Row],[Lost PoA(kWh/m2)]]*S546,0),"")</f>
        <v>747.90046038822334</v>
      </c>
      <c r="AK546" s="365"/>
      <c r="AL546" s="365"/>
    </row>
    <row r="547" spans="1:38" ht="30" x14ac:dyDescent="0.25">
      <c r="A547" s="229">
        <v>2239</v>
      </c>
      <c r="B547" s="376">
        <v>45849</v>
      </c>
      <c r="C547" s="163">
        <v>2025</v>
      </c>
      <c r="D547" s="364">
        <f>YEAR(PA[[#This Row],[Date]])</f>
        <v>2025</v>
      </c>
      <c r="E547" s="373" t="s">
        <v>73</v>
      </c>
      <c r="F547" s="374" t="s">
        <v>73</v>
      </c>
      <c r="G547" s="323">
        <v>45809</v>
      </c>
      <c r="H547" s="365">
        <f>DAY(EOMONTH(PA[[#This Row],[Date]], 0))</f>
        <v>31</v>
      </c>
      <c r="I547" s="361">
        <v>0.21736111111111112</v>
      </c>
      <c r="J547" s="361">
        <v>0.78125</v>
      </c>
      <c r="K547" s="131">
        <f>IFERROR((PA[[#This Row],[Sunset Time (POA&lt;20 W/m2)]]-PA[[#This Row],[Sunrise Time (POA&gt;20 W/m2)]])*24,"")</f>
        <v>13.533333333333333</v>
      </c>
      <c r="L547" s="128" t="s">
        <v>564</v>
      </c>
      <c r="M547" s="128"/>
      <c r="N547" s="128"/>
      <c r="O547" s="128" t="s">
        <v>789</v>
      </c>
      <c r="P547" s="130"/>
      <c r="Q547" s="129"/>
      <c r="R547"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547" s="131">
        <f>_xlfn.XLOOKUP(PA[[#This Row],[Affected Equipment ]],'Basic Data '!$A:$A,'Basic Data '!$B:$B)</f>
        <v>8864.75</v>
      </c>
      <c r="T547" s="132">
        <f>IFERROR(_xlfn.XLOOKUP(PA[[#This Row],[Affected Equipment ]],'Basic Data '!A:A,'Basic Data '!C:C),"")</f>
        <v>0.13280524344569289</v>
      </c>
      <c r="U547" s="128" t="s">
        <v>589</v>
      </c>
      <c r="V547" s="117"/>
      <c r="W547" s="265" t="s">
        <v>752</v>
      </c>
      <c r="X547" s="366">
        <v>0.5</v>
      </c>
      <c r="Y547" s="366">
        <v>0.5</v>
      </c>
      <c r="Z547" s="366">
        <v>0.50277777777777777</v>
      </c>
      <c r="AA547" s="366">
        <v>0.50347222222222221</v>
      </c>
      <c r="AB547" s="159">
        <f>IF(PA[[#This Row],[Acknowledgement Time ]]="NA","",(PA[[#This Row],[Acknowledgement Time ]]-PA[[#This Row],[Fault Time]])*24)</f>
        <v>0</v>
      </c>
      <c r="AC547" s="159">
        <f>IF(PA[[#This Row],[Work Start time on Fault]]="NA","",(PA[[#This Row],[Work Start time on Fault]]-PA[[#This Row],[Fault Time]])*24)</f>
        <v>6.666666666666643E-2</v>
      </c>
      <c r="AD547" s="135">
        <f>IF(PA[[#This Row],[Status]]="Open","",(PA[[#This Row],[Work Completion time on fault]]-PA[[#This Row],[Fault Time]])*24)</f>
        <v>8.3333333333333037E-2</v>
      </c>
      <c r="AE547" s="134">
        <f>IFERROR((PA[[#This Row],[Work Completion time on fault]]-PA[[#This Row],[Fault Time]])*24,"")</f>
        <v>8.3333333333333037E-2</v>
      </c>
      <c r="AF547" s="226" t="s">
        <v>752</v>
      </c>
      <c r="AG547" s="6" t="s">
        <v>1275</v>
      </c>
      <c r="AH547" s="131">
        <f>IFERROR(PA[[#This Row],[Breakdown Time]]*PA[[#This Row],[Plant Equivalent Weightage]],"")</f>
        <v>1.1067103620474368E-2</v>
      </c>
      <c r="AI547" s="128">
        <v>0.10100000000000001</v>
      </c>
      <c r="AJ547" s="89">
        <f>IFERROR(IF(PA[[#This Row],[Lost PoA(kWh/m2)]]&gt;0,_xlfn.XLOOKUP(G547,'Modelling New'!$D:$D,'Modelling New'!$O:$O)*PA[[#This Row],[Lost PoA(kWh/m2)]]*S547,0),"")</f>
        <v>680.58584628326878</v>
      </c>
      <c r="AK547" s="365"/>
      <c r="AL547" s="365"/>
    </row>
    <row r="548" spans="1:38" ht="30" x14ac:dyDescent="0.25">
      <c r="A548" s="229">
        <v>2240</v>
      </c>
      <c r="B548" s="376">
        <v>45849</v>
      </c>
      <c r="C548" s="163">
        <v>2025</v>
      </c>
      <c r="D548" s="364">
        <f>YEAR(PA[[#This Row],[Date]])</f>
        <v>2025</v>
      </c>
      <c r="E548" s="373" t="s">
        <v>73</v>
      </c>
      <c r="F548" s="374" t="s">
        <v>73</v>
      </c>
      <c r="G548" s="323">
        <v>45809</v>
      </c>
      <c r="H548" s="365">
        <f>DAY(EOMONTH(PA[[#This Row],[Date]], 0))</f>
        <v>31</v>
      </c>
      <c r="I548" s="361">
        <v>0.21736111111111112</v>
      </c>
      <c r="J548" s="361">
        <v>0.78125</v>
      </c>
      <c r="K548" s="131">
        <f>IFERROR((PA[[#This Row],[Sunset Time (POA&lt;20 W/m2)]]-PA[[#This Row],[Sunrise Time (POA&gt;20 W/m2)]])*24,"")</f>
        <v>13.533333333333333</v>
      </c>
      <c r="L548" s="128" t="s">
        <v>559</v>
      </c>
      <c r="M548" s="128"/>
      <c r="N548" s="128"/>
      <c r="O548" s="128" t="s">
        <v>789</v>
      </c>
      <c r="P548" s="130"/>
      <c r="Q548" s="129"/>
      <c r="R548"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548" s="131">
        <f>_xlfn.XLOOKUP(PA[[#This Row],[Affected Equipment ]],'Basic Data '!$A:$A,'Basic Data '!$B:$B)</f>
        <v>8343.75</v>
      </c>
      <c r="T548" s="132">
        <f>IFERROR(_xlfn.XLOOKUP(PA[[#This Row],[Affected Equipment ]],'Basic Data '!A:A,'Basic Data '!C:C),"")</f>
        <v>0.125</v>
      </c>
      <c r="U548" s="128" t="s">
        <v>589</v>
      </c>
      <c r="V548" s="117"/>
      <c r="W548" s="265" t="s">
        <v>754</v>
      </c>
      <c r="X548" s="366">
        <v>0.5</v>
      </c>
      <c r="Y548" s="366">
        <v>0.5</v>
      </c>
      <c r="Z548" s="366">
        <v>0.50486111111111109</v>
      </c>
      <c r="AA548" s="366">
        <v>0.50555555555555554</v>
      </c>
      <c r="AB548" s="159">
        <f>IF(PA[[#This Row],[Acknowledgement Time ]]="NA","",(PA[[#This Row],[Acknowledgement Time ]]-PA[[#This Row],[Fault Time]])*24)</f>
        <v>0</v>
      </c>
      <c r="AC548" s="159">
        <f>IF(PA[[#This Row],[Work Start time on Fault]]="NA","",(PA[[#This Row],[Work Start time on Fault]]-PA[[#This Row],[Fault Time]])*24)</f>
        <v>0.11666666666666625</v>
      </c>
      <c r="AD548" s="135">
        <f>IF(PA[[#This Row],[Status]]="Open","",(PA[[#This Row],[Work Completion time on fault]]-PA[[#This Row],[Fault Time]])*24)</f>
        <v>0.13333333333333286</v>
      </c>
      <c r="AE548" s="134">
        <f>IFERROR((PA[[#This Row],[Work Completion time on fault]]-PA[[#This Row],[Fault Time]])*24,"")</f>
        <v>0.13333333333333286</v>
      </c>
      <c r="AF548" s="226" t="s">
        <v>754</v>
      </c>
      <c r="AG548" s="6" t="s">
        <v>1275</v>
      </c>
      <c r="AH548" s="131">
        <f>IFERROR(PA[[#This Row],[Breakdown Time]]*PA[[#This Row],[Plant Equivalent Weightage]],"")</f>
        <v>1.6666666666666607E-2</v>
      </c>
      <c r="AI548" s="128">
        <v>0.13900000000000001</v>
      </c>
      <c r="AJ548" s="89">
        <f>IFERROR(IF(PA[[#This Row],[Lost PoA(kWh/m2)]]&gt;0,_xlfn.XLOOKUP(G548,'Modelling New'!$D:$D,'Modelling New'!$O:$O)*PA[[#This Row],[Lost PoA(kWh/m2)]]*S548,0),"")</f>
        <v>881.59908407363503</v>
      </c>
      <c r="AK548" s="365"/>
      <c r="AL548" s="365"/>
    </row>
    <row r="549" spans="1:38" ht="30" x14ac:dyDescent="0.25">
      <c r="A549" s="229">
        <v>2241</v>
      </c>
      <c r="B549" s="376">
        <v>45849</v>
      </c>
      <c r="C549" s="163">
        <v>2025</v>
      </c>
      <c r="D549" s="364">
        <f>YEAR(PA[[#This Row],[Date]])</f>
        <v>2025</v>
      </c>
      <c r="E549" s="373" t="s">
        <v>73</v>
      </c>
      <c r="F549" s="374" t="s">
        <v>73</v>
      </c>
      <c r="G549" s="323">
        <v>45809</v>
      </c>
      <c r="H549" s="365">
        <f>DAY(EOMONTH(PA[[#This Row],[Date]], 0))</f>
        <v>31</v>
      </c>
      <c r="I549" s="361">
        <v>0.21736111111111112</v>
      </c>
      <c r="J549" s="361">
        <v>0.78125</v>
      </c>
      <c r="K549" s="131">
        <f>IFERROR((PA[[#This Row],[Sunset Time (POA&lt;20 W/m2)]]-PA[[#This Row],[Sunrise Time (POA&gt;20 W/m2)]])*24,"")</f>
        <v>13.533333333333333</v>
      </c>
      <c r="L549" s="128" t="s">
        <v>564</v>
      </c>
      <c r="M549" s="128"/>
      <c r="N549" s="128"/>
      <c r="O549" s="128" t="s">
        <v>789</v>
      </c>
      <c r="P549" s="130"/>
      <c r="Q549" s="129"/>
      <c r="R549"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549" s="131">
        <f>_xlfn.XLOOKUP(PA[[#This Row],[Affected Equipment ]],'Basic Data '!$A:$A,'Basic Data '!$B:$B)</f>
        <v>8864.75</v>
      </c>
      <c r="T549" s="132">
        <f>IFERROR(_xlfn.XLOOKUP(PA[[#This Row],[Affected Equipment ]],'Basic Data '!A:A,'Basic Data '!C:C),"")</f>
        <v>0.13280524344569289</v>
      </c>
      <c r="U549" s="128" t="s">
        <v>589</v>
      </c>
      <c r="V549" s="117"/>
      <c r="W549" s="265" t="s">
        <v>752</v>
      </c>
      <c r="X549" s="366">
        <v>0.51874999999999993</v>
      </c>
      <c r="Y549" s="366">
        <v>0.51874999999999993</v>
      </c>
      <c r="Z549" s="366">
        <v>0.52013888888888882</v>
      </c>
      <c r="AA549" s="366">
        <v>0.52152777777777781</v>
      </c>
      <c r="AB549" s="159">
        <f>IF(PA[[#This Row],[Acknowledgement Time ]]="NA","",(PA[[#This Row],[Acknowledgement Time ]]-PA[[#This Row],[Fault Time]])*24)</f>
        <v>0</v>
      </c>
      <c r="AC549" s="159">
        <f>IF(PA[[#This Row],[Work Start time on Fault]]="NA","",(PA[[#This Row],[Work Start time on Fault]]-PA[[#This Row],[Fault Time]])*24)</f>
        <v>3.3333333333333215E-2</v>
      </c>
      <c r="AD549" s="135">
        <f>IF(PA[[#This Row],[Status]]="Open","",(PA[[#This Row],[Work Completion time on fault]]-PA[[#This Row],[Fault Time]])*24)</f>
        <v>6.6666666666669094E-2</v>
      </c>
      <c r="AE549" s="134">
        <f>IFERROR((PA[[#This Row],[Work Completion time on fault]]-PA[[#This Row],[Fault Time]])*24,"")</f>
        <v>6.6666666666669094E-2</v>
      </c>
      <c r="AF549" s="226" t="s">
        <v>752</v>
      </c>
      <c r="AG549" s="6" t="s">
        <v>1275</v>
      </c>
      <c r="AH549" s="131">
        <f>IFERROR(PA[[#This Row],[Breakdown Time]]*PA[[#This Row],[Plant Equivalent Weightage]],"")</f>
        <v>8.8536828963798487E-3</v>
      </c>
      <c r="AI549" s="128">
        <v>8.2000000000000003E-2</v>
      </c>
      <c r="AJ549" s="89">
        <f>IFERROR(IF(PA[[#This Row],[Lost PoA(kWh/m2)]]&gt;0,_xlfn.XLOOKUP(G549,'Modelling New'!$D:$D,'Modelling New'!$O:$O)*PA[[#This Row],[Lost PoA(kWh/m2)]]*S549,0),"")</f>
        <v>552.55484549730738</v>
      </c>
      <c r="AK549" s="365"/>
      <c r="AL549" s="365"/>
    </row>
    <row r="550" spans="1:38" ht="45" x14ac:dyDescent="0.25">
      <c r="A550" s="229">
        <v>2242</v>
      </c>
      <c r="B550" s="376">
        <v>45849</v>
      </c>
      <c r="C550" s="163">
        <v>2025</v>
      </c>
      <c r="D550" s="364">
        <f>YEAR(PA[[#This Row],[Date]])</f>
        <v>2025</v>
      </c>
      <c r="E550" s="373" t="s">
        <v>73</v>
      </c>
      <c r="F550" s="374" t="s">
        <v>73</v>
      </c>
      <c r="G550" s="323">
        <v>45809</v>
      </c>
      <c r="H550" s="365">
        <f>DAY(EOMONTH(PA[[#This Row],[Date]], 0))</f>
        <v>31</v>
      </c>
      <c r="I550" s="361">
        <v>0.21736111111111112</v>
      </c>
      <c r="J550" s="361">
        <v>0.78125</v>
      </c>
      <c r="K550" s="131">
        <f>IFERROR((PA[[#This Row],[Sunset Time (POA&lt;20 W/m2)]]-PA[[#This Row],[Sunrise Time (POA&gt;20 W/m2)]])*24,"")</f>
        <v>13.533333333333333</v>
      </c>
      <c r="L550" s="128" t="s">
        <v>587</v>
      </c>
      <c r="M550" s="128"/>
      <c r="N550" s="128"/>
      <c r="O550" s="128" t="s">
        <v>663</v>
      </c>
      <c r="P550" s="130"/>
      <c r="Q550" s="129"/>
      <c r="R550"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BLK1INV16</v>
      </c>
      <c r="S550" s="131">
        <f>_xlfn.XLOOKUP(PA[[#This Row],[Affected Equipment ]],'Basic Data '!$A:$A,'Basic Data '!$B:$B)</f>
        <v>267</v>
      </c>
      <c r="T550" s="132">
        <f>IFERROR(_xlfn.XLOOKUP(PA[[#This Row],[Affected Equipment ]],'Basic Data '!A:A,'Basic Data '!C:C),"")</f>
        <v>4.0000000000000001E-3</v>
      </c>
      <c r="U550" s="128" t="s">
        <v>566</v>
      </c>
      <c r="V550" s="117"/>
      <c r="W550" s="375" t="s">
        <v>1357</v>
      </c>
      <c r="X550" s="366">
        <v>0.53125</v>
      </c>
      <c r="Y550" s="366">
        <v>0.53472222222222221</v>
      </c>
      <c r="Z550" s="366">
        <v>0.53819444444444442</v>
      </c>
      <c r="AA550" s="366">
        <v>0.5625</v>
      </c>
      <c r="AB550" s="159">
        <f>IF(PA[[#This Row],[Acknowledgement Time ]]="NA","",(PA[[#This Row],[Acknowledgement Time ]]-PA[[#This Row],[Fault Time]])*24)</f>
        <v>8.3333333333333037E-2</v>
      </c>
      <c r="AC550" s="159">
        <f>IF(PA[[#This Row],[Work Start time on Fault]]="NA","",(PA[[#This Row],[Work Start time on Fault]]-PA[[#This Row],[Fault Time]])*24)</f>
        <v>0.16666666666666607</v>
      </c>
      <c r="AD550" s="135">
        <f>IF(PA[[#This Row],[Status]]="Open","",(PA[[#This Row],[Work Completion time on fault]]-PA[[#This Row],[Fault Time]])*24)</f>
        <v>0.75</v>
      </c>
      <c r="AE550" s="134">
        <f>IFERROR((PA[[#This Row],[Work Completion time on fault]]-PA[[#This Row],[Fault Time]])*24,"")</f>
        <v>0.75</v>
      </c>
      <c r="AF550" s="226" t="s">
        <v>1357</v>
      </c>
      <c r="AG550" s="6" t="s">
        <v>1275</v>
      </c>
      <c r="AH550" s="131">
        <f>IFERROR(PA[[#This Row],[Breakdown Time]]*PA[[#This Row],[Plant Equivalent Weightage]],"")</f>
        <v>3.0000000000000001E-3</v>
      </c>
      <c r="AI550" s="128">
        <v>0.74099999999999999</v>
      </c>
      <c r="AJ550" s="89">
        <f>IFERROR(IF(PA[[#This Row],[Lost PoA(kWh/m2)]]&gt;0,_xlfn.XLOOKUP(G550,'Modelling New'!$D:$D,'Modelling New'!$O:$O)*PA[[#This Row],[Lost PoA(kWh/m2)]]*S550,0),"")</f>
        <v>150.39192432772688</v>
      </c>
      <c r="AK550" s="365"/>
      <c r="AL550" s="365"/>
    </row>
    <row r="551" spans="1:38" ht="30" x14ac:dyDescent="0.25">
      <c r="A551" s="229">
        <v>2243</v>
      </c>
      <c r="B551" s="376">
        <v>45849</v>
      </c>
      <c r="C551" s="163">
        <v>2025</v>
      </c>
      <c r="D551" s="364">
        <f>YEAR(PA[[#This Row],[Date]])</f>
        <v>2025</v>
      </c>
      <c r="E551" s="373" t="s">
        <v>73</v>
      </c>
      <c r="F551" s="374" t="s">
        <v>73</v>
      </c>
      <c r="G551" s="323">
        <v>45809</v>
      </c>
      <c r="H551" s="365">
        <f>DAY(EOMONTH(PA[[#This Row],[Date]], 0))</f>
        <v>31</v>
      </c>
      <c r="I551" s="361">
        <v>0.21736111111111112</v>
      </c>
      <c r="J551" s="361">
        <v>0.78125</v>
      </c>
      <c r="K551" s="131">
        <f>IFERROR((PA[[#This Row],[Sunset Time (POA&lt;20 W/m2)]]-PA[[#This Row],[Sunrise Time (POA&gt;20 W/m2)]])*24,"")</f>
        <v>13.533333333333333</v>
      </c>
      <c r="L551" s="128" t="s">
        <v>559</v>
      </c>
      <c r="M551" s="128"/>
      <c r="N551" s="128"/>
      <c r="O551" s="128" t="s">
        <v>571</v>
      </c>
      <c r="P551" s="130"/>
      <c r="Q551" s="129"/>
      <c r="R551"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BLK2INV2</v>
      </c>
      <c r="S551" s="131">
        <f>_xlfn.XLOOKUP(PA[[#This Row],[Affected Equipment ]],'Basic Data '!$A:$A,'Basic Data '!$B:$B)</f>
        <v>222.5</v>
      </c>
      <c r="T551" s="132">
        <f>IFERROR(_xlfn.XLOOKUP(PA[[#This Row],[Affected Equipment ]],'Basic Data '!A:A,'Basic Data '!C:C),"")</f>
        <v>3.3333333333333335E-3</v>
      </c>
      <c r="U551" s="128" t="s">
        <v>566</v>
      </c>
      <c r="V551" s="117"/>
      <c r="W551" s="375" t="s">
        <v>1356</v>
      </c>
      <c r="X551" s="366">
        <v>0.50486111111111109</v>
      </c>
      <c r="Y551" s="366">
        <v>0.50486111111111109</v>
      </c>
      <c r="Z551" s="366">
        <v>0.50694444444444442</v>
      </c>
      <c r="AA551" s="366">
        <v>0.52430555555555558</v>
      </c>
      <c r="AB551" s="159">
        <f>IF(PA[[#This Row],[Acknowledgement Time ]]="NA","",(PA[[#This Row],[Acknowledgement Time ]]-PA[[#This Row],[Fault Time]])*24)</f>
        <v>0</v>
      </c>
      <c r="AC551" s="159">
        <f>IF(PA[[#This Row],[Work Start time on Fault]]="NA","",(PA[[#This Row],[Work Start time on Fault]]-PA[[#This Row],[Fault Time]])*24)</f>
        <v>4.9999999999999822E-2</v>
      </c>
      <c r="AD551" s="135">
        <f>IF(PA[[#This Row],[Status]]="Open","",(PA[[#This Row],[Work Completion time on fault]]-PA[[#This Row],[Fault Time]])*24)</f>
        <v>0.46666666666666767</v>
      </c>
      <c r="AE551" s="134">
        <f>IFERROR((PA[[#This Row],[Work Completion time on fault]]-PA[[#This Row],[Fault Time]])*24,"")</f>
        <v>0.46666666666666767</v>
      </c>
      <c r="AF551" s="226" t="s">
        <v>1356</v>
      </c>
      <c r="AG551" s="6" t="s">
        <v>1275</v>
      </c>
      <c r="AH551" s="131">
        <f>IFERROR(PA[[#This Row],[Breakdown Time]]*PA[[#This Row],[Plant Equivalent Weightage]],"")</f>
        <v>1.5555555555555589E-3</v>
      </c>
      <c r="AI551" s="128">
        <v>0.40899999999999997</v>
      </c>
      <c r="AJ551" s="89">
        <f>IFERROR(IF(PA[[#This Row],[Lost PoA(kWh/m2)]]&gt;0,_xlfn.XLOOKUP(G551,'Modelling New'!$D:$D,'Modelling New'!$O:$O)*PA[[#This Row],[Lost PoA(kWh/m2)]]*S551,0),"")</f>
        <v>69.174872975753814</v>
      </c>
      <c r="AK551" s="365"/>
      <c r="AL551" s="365"/>
    </row>
    <row r="552" spans="1:38" ht="45" x14ac:dyDescent="0.25">
      <c r="A552" s="229">
        <v>2244</v>
      </c>
      <c r="B552" s="376">
        <v>45849</v>
      </c>
      <c r="C552" s="163">
        <v>2025</v>
      </c>
      <c r="D552" s="348">
        <f>YEAR(PA[[#This Row],[Date]])</f>
        <v>2025</v>
      </c>
      <c r="E552" s="373" t="s">
        <v>73</v>
      </c>
      <c r="F552" s="374" t="s">
        <v>73</v>
      </c>
      <c r="G552" s="323">
        <v>45809</v>
      </c>
      <c r="H552" s="365">
        <f>DAY(EOMONTH(PA[[#This Row],[Date]], 0))</f>
        <v>31</v>
      </c>
      <c r="I552" s="361">
        <v>0.21736111111111112</v>
      </c>
      <c r="J552" s="361">
        <v>0.78125</v>
      </c>
      <c r="K552" s="53">
        <f>IFERROR((PA[[#This Row],[Sunset Time (POA&lt;20 W/m2)]]-PA[[#This Row],[Sunrise Time (POA&gt;20 W/m2)]])*24,"")</f>
        <v>13.533333333333333</v>
      </c>
      <c r="L552" s="59" t="s">
        <v>564</v>
      </c>
      <c r="M552" s="59"/>
      <c r="N552" s="59"/>
      <c r="O552" s="59" t="s">
        <v>637</v>
      </c>
      <c r="P552" s="56"/>
      <c r="Q552" s="6"/>
      <c r="R55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BLK5INV27</v>
      </c>
      <c r="S552" s="53">
        <f>_xlfn.XLOOKUP(PA[[#This Row],[Affected Equipment ]],'Basic Data '!$A:$A,'Basic Data '!$B:$B)</f>
        <v>267</v>
      </c>
      <c r="T552" s="90">
        <f>IFERROR(_xlfn.XLOOKUP(PA[[#This Row],[Affected Equipment ]],'Basic Data '!A:A,'Basic Data '!C:C),"")</f>
        <v>4.0000000000000001E-3</v>
      </c>
      <c r="U552" s="128" t="s">
        <v>566</v>
      </c>
      <c r="V552" s="88"/>
      <c r="W552" s="375" t="s">
        <v>1359</v>
      </c>
      <c r="X552" s="359">
        <v>0.52013888888888882</v>
      </c>
      <c r="Y552" s="359">
        <v>0.52430555555555558</v>
      </c>
      <c r="Z552" s="359">
        <v>0.53472222222222221</v>
      </c>
      <c r="AA552" s="359">
        <v>7.2916666666666671E-2</v>
      </c>
      <c r="AB552" s="158">
        <f>IF(PA[[#This Row],[Acknowledgement Time ]]="NA","",(PA[[#This Row],[Acknowledgement Time ]]-PA[[#This Row],[Fault Time]])*24)</f>
        <v>0.10000000000000231</v>
      </c>
      <c r="AC552" s="158">
        <f>IF(PA[[#This Row],[Work Start time on Fault]]="NA","",(PA[[#This Row],[Work Start time on Fault]]-PA[[#This Row],[Fault Time]])*24)</f>
        <v>0.35000000000000142</v>
      </c>
      <c r="AD552" s="112">
        <f>IF(PA[[#This Row],[Status]]="Open","",(PA[[#This Row],[Work Completion time on fault]]-PA[[#This Row],[Fault Time]])*24)</f>
        <v>-10.733333333333331</v>
      </c>
      <c r="AE552" s="111">
        <f>IFERROR((PA[[#This Row],[Work Completion time on fault]]-PA[[#This Row],[Fault Time]])*24,"")</f>
        <v>-10.733333333333331</v>
      </c>
      <c r="AF552" s="228" t="s">
        <v>1359</v>
      </c>
      <c r="AG552" s="6" t="s">
        <v>1275</v>
      </c>
      <c r="AH552" s="53">
        <f>IFERROR(PA[[#This Row],[Breakdown Time]]*PA[[#This Row],[Plant Equivalent Weightage]],"")</f>
        <v>-4.2933333333333323E-2</v>
      </c>
      <c r="AI552" s="59">
        <v>1.3420000000000001</v>
      </c>
      <c r="AJ552" s="89">
        <f>IFERROR(IF(PA[[#This Row],[Lost PoA(kWh/m2)]]&gt;0,_xlfn.XLOOKUP(G552,'Modelling New'!$D:$D,'Modelling New'!$O:$O)*PA[[#This Row],[Lost PoA(kWh/m2)]]*S552,0),"")</f>
        <v>272.36971990257689</v>
      </c>
      <c r="AK552" s="365"/>
      <c r="AL552" s="365"/>
    </row>
    <row r="553" spans="1:38" ht="45" x14ac:dyDescent="0.25">
      <c r="A553" s="229">
        <v>2245</v>
      </c>
      <c r="B553" s="376">
        <v>45850</v>
      </c>
      <c r="C553" s="163">
        <v>2025</v>
      </c>
      <c r="D553" s="364">
        <f>YEAR(PA[[#This Row],[Date]])</f>
        <v>2025</v>
      </c>
      <c r="E553" s="373" t="s">
        <v>73</v>
      </c>
      <c r="F553" s="374" t="s">
        <v>73</v>
      </c>
      <c r="G553" s="323">
        <v>45809</v>
      </c>
      <c r="H553" s="365">
        <f>DAY(EOMONTH(PA[[#This Row],[Date]], 0))</f>
        <v>31</v>
      </c>
      <c r="I553" s="361">
        <v>0.21944444444444444</v>
      </c>
      <c r="J553" s="361">
        <v>0.76874999999999993</v>
      </c>
      <c r="K553" s="131">
        <f>IFERROR((PA[[#This Row],[Sunset Time (POA&lt;20 W/m2)]]-PA[[#This Row],[Sunrise Time (POA&gt;20 W/m2)]])*24,"")</f>
        <v>13.183333333333332</v>
      </c>
      <c r="L553" s="128" t="s">
        <v>597</v>
      </c>
      <c r="M553" s="128"/>
      <c r="N553" s="128"/>
      <c r="O553" s="59" t="s">
        <v>637</v>
      </c>
      <c r="P553" s="130"/>
      <c r="Q553" s="129"/>
      <c r="R553"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BLK3INV27</v>
      </c>
      <c r="S553" s="131">
        <f>_xlfn.XLOOKUP(PA[[#This Row],[Affected Equipment ]],'Basic Data '!$A:$A,'Basic Data '!$B:$B)</f>
        <v>267</v>
      </c>
      <c r="T553" s="132">
        <f>IFERROR(_xlfn.XLOOKUP(PA[[#This Row],[Affected Equipment ]],'Basic Data '!A:A,'Basic Data '!C:C),"")</f>
        <v>4.0000000000000001E-3</v>
      </c>
      <c r="U553" s="128" t="s">
        <v>566</v>
      </c>
      <c r="V553" s="117"/>
      <c r="W553" s="375" t="s">
        <v>1360</v>
      </c>
      <c r="X553" s="366">
        <v>0.69097222222222221</v>
      </c>
      <c r="Y553" s="366">
        <v>0.69444444444444453</v>
      </c>
      <c r="Z553" s="366">
        <v>0.70138888888888884</v>
      </c>
      <c r="AA553" s="366">
        <v>0.72222222222222221</v>
      </c>
      <c r="AB553" s="159">
        <f>IF(PA[[#This Row],[Acknowledgement Time ]]="NA","",(PA[[#This Row],[Acknowledgement Time ]]-PA[[#This Row],[Fault Time]])*24)</f>
        <v>8.3333333333335702E-2</v>
      </c>
      <c r="AC553" s="159">
        <f>IF(PA[[#This Row],[Work Start time on Fault]]="NA","",(PA[[#This Row],[Work Start time on Fault]]-PA[[#This Row],[Fault Time]])*24)</f>
        <v>0.24999999999999911</v>
      </c>
      <c r="AD553" s="135">
        <f>IF(PA[[#This Row],[Status]]="Open","",(PA[[#This Row],[Work Completion time on fault]]-PA[[#This Row],[Fault Time]])*24)</f>
        <v>0.75</v>
      </c>
      <c r="AE553" s="134">
        <f>IFERROR((PA[[#This Row],[Work Completion time on fault]]-PA[[#This Row],[Fault Time]])*24,"")</f>
        <v>0.75</v>
      </c>
      <c r="AF553" s="226" t="s">
        <v>1360</v>
      </c>
      <c r="AG553" s="6" t="s">
        <v>1275</v>
      </c>
      <c r="AH553" s="131">
        <f>IFERROR(PA[[#This Row],[Breakdown Time]]*PA[[#This Row],[Plant Equivalent Weightage]],"")</f>
        <v>3.0000000000000001E-3</v>
      </c>
      <c r="AI553" s="128">
        <v>8.9999999999999993E-3</v>
      </c>
      <c r="AJ553" s="89">
        <f>IFERROR(IF(PA[[#This Row],[Lost PoA(kWh/m2)]]&gt;0,_xlfn.XLOOKUP(G553,'Modelling New'!$D:$D,'Modelling New'!$O:$O)*PA[[#This Row],[Lost PoA(kWh/m2)]]*S553,0),"")</f>
        <v>1.8266225626849415</v>
      </c>
      <c r="AK553" s="365"/>
      <c r="AL553" s="365"/>
    </row>
    <row r="554" spans="1:38" ht="45" x14ac:dyDescent="0.25">
      <c r="A554" s="229">
        <v>2246</v>
      </c>
      <c r="B554" s="376">
        <v>45850</v>
      </c>
      <c r="C554" s="163">
        <v>2025</v>
      </c>
      <c r="D554" s="348">
        <f>YEAR(PA[[#This Row],[Date]])</f>
        <v>2025</v>
      </c>
      <c r="E554" s="373" t="s">
        <v>73</v>
      </c>
      <c r="F554" s="374" t="s">
        <v>73</v>
      </c>
      <c r="G554" s="323">
        <v>45809</v>
      </c>
      <c r="H554" s="365">
        <f>DAY(EOMONTH(PA[[#This Row],[Date]], 0))</f>
        <v>31</v>
      </c>
      <c r="I554" s="361">
        <v>0.21944444444444444</v>
      </c>
      <c r="J554" s="361">
        <v>0.76874999999999993</v>
      </c>
      <c r="K554" s="53">
        <f>IFERROR((PA[[#This Row],[Sunset Time (POA&lt;20 W/m2)]]-PA[[#This Row],[Sunrise Time (POA&gt;20 W/m2)]])*24,"")</f>
        <v>13.183333333333332</v>
      </c>
      <c r="L554" s="128" t="s">
        <v>597</v>
      </c>
      <c r="M554" s="59"/>
      <c r="N554" s="59"/>
      <c r="O554" s="59" t="s">
        <v>583</v>
      </c>
      <c r="P554" s="56"/>
      <c r="Q554" s="6"/>
      <c r="R554"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BLK3INV30</v>
      </c>
      <c r="S554" s="53">
        <f>_xlfn.XLOOKUP(PA[[#This Row],[Affected Equipment ]],'Basic Data '!$A:$A,'Basic Data '!$B:$B)</f>
        <v>267</v>
      </c>
      <c r="T554" s="90">
        <f>IFERROR(_xlfn.XLOOKUP(PA[[#This Row],[Affected Equipment ]],'Basic Data '!A:A,'Basic Data '!C:C),"")</f>
        <v>4.0000000000000001E-3</v>
      </c>
      <c r="U554" s="128" t="s">
        <v>566</v>
      </c>
      <c r="V554" s="88"/>
      <c r="W554" s="375" t="s">
        <v>1361</v>
      </c>
      <c r="X554" s="366">
        <v>0.69097222222222221</v>
      </c>
      <c r="Y554" s="366">
        <v>0.69444444444444453</v>
      </c>
      <c r="Z554" s="359">
        <v>0.70486111111111116</v>
      </c>
      <c r="AA554" s="359">
        <v>0.72569444444444453</v>
      </c>
      <c r="AB554" s="158">
        <f>IF(PA[[#This Row],[Acknowledgement Time ]]="NA","",(PA[[#This Row],[Acknowledgement Time ]]-PA[[#This Row],[Fault Time]])*24)</f>
        <v>8.3333333333335702E-2</v>
      </c>
      <c r="AC554" s="158">
        <f>IF(PA[[#This Row],[Work Start time on Fault]]="NA","",(PA[[#This Row],[Work Start time on Fault]]-PA[[#This Row],[Fault Time]])*24)</f>
        <v>0.33333333333333481</v>
      </c>
      <c r="AD554" s="112">
        <f>IF(PA[[#This Row],[Status]]="Open","",(PA[[#This Row],[Work Completion time on fault]]-PA[[#This Row],[Fault Time]])*24)</f>
        <v>0.8333333333333357</v>
      </c>
      <c r="AE554" s="111">
        <f>IFERROR((PA[[#This Row],[Work Completion time on fault]]-PA[[#This Row],[Fault Time]])*24,"")</f>
        <v>0.8333333333333357</v>
      </c>
      <c r="AF554" s="228" t="s">
        <v>1361</v>
      </c>
      <c r="AG554" s="6" t="s">
        <v>1275</v>
      </c>
      <c r="AH554" s="53">
        <f>IFERROR(PA[[#This Row],[Breakdown Time]]*PA[[#This Row],[Plant Equivalent Weightage]],"")</f>
        <v>3.3333333333333431E-3</v>
      </c>
      <c r="AI554" s="59">
        <v>1.0999999999999999E-2</v>
      </c>
      <c r="AJ554" s="89">
        <f>IFERROR(IF(PA[[#This Row],[Lost PoA(kWh/m2)]]&gt;0,_xlfn.XLOOKUP(G554,'Modelling New'!$D:$D,'Modelling New'!$O:$O)*PA[[#This Row],[Lost PoA(kWh/m2)]]*S554,0),"")</f>
        <v>2.2325386877260396</v>
      </c>
      <c r="AK554" s="365"/>
      <c r="AL554" s="365"/>
    </row>
    <row r="555" spans="1:38" ht="45" x14ac:dyDescent="0.25">
      <c r="A555" s="229">
        <v>2247</v>
      </c>
      <c r="B555" s="376">
        <v>45850</v>
      </c>
      <c r="C555" s="163">
        <v>2025</v>
      </c>
      <c r="D555" s="364">
        <f>YEAR(PA[[#This Row],[Date]])</f>
        <v>2025</v>
      </c>
      <c r="E555" s="373" t="s">
        <v>73</v>
      </c>
      <c r="F555" s="374" t="s">
        <v>73</v>
      </c>
      <c r="G555" s="323">
        <v>45809</v>
      </c>
      <c r="H555" s="365">
        <f>DAY(EOMONTH(PA[[#This Row],[Date]], 0))</f>
        <v>31</v>
      </c>
      <c r="I555" s="361">
        <v>0.21944444444444444</v>
      </c>
      <c r="J555" s="361">
        <v>0.76874999999999993</v>
      </c>
      <c r="K555" s="131">
        <f>IFERROR((PA[[#This Row],[Sunset Time (POA&lt;20 W/m2)]]-PA[[#This Row],[Sunrise Time (POA&gt;20 W/m2)]])*24,"")</f>
        <v>13.183333333333332</v>
      </c>
      <c r="L555" s="128" t="s">
        <v>564</v>
      </c>
      <c r="M555" s="128"/>
      <c r="N555" s="128"/>
      <c r="O555" s="128" t="s">
        <v>654</v>
      </c>
      <c r="P555" s="130"/>
      <c r="Q555" s="129"/>
      <c r="R555"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BLK5INV26</v>
      </c>
      <c r="S555" s="131">
        <f>_xlfn.XLOOKUP(PA[[#This Row],[Affected Equipment ]],'Basic Data '!$A:$A,'Basic Data '!$B:$B)</f>
        <v>289.25</v>
      </c>
      <c r="T555" s="132">
        <f>IFERROR(_xlfn.XLOOKUP(PA[[#This Row],[Affected Equipment ]],'Basic Data '!A:A,'Basic Data '!C:C),"")</f>
        <v>4.3333333333333331E-3</v>
      </c>
      <c r="U555" s="128" t="s">
        <v>566</v>
      </c>
      <c r="V555" s="117"/>
      <c r="W555" s="375" t="s">
        <v>1362</v>
      </c>
      <c r="X555" s="366">
        <v>0.69097222222222221</v>
      </c>
      <c r="Y555" s="366">
        <v>0.69444444444444453</v>
      </c>
      <c r="Z555" s="366">
        <v>0.72569444444444453</v>
      </c>
      <c r="AA555" s="366">
        <v>0.73958333333333337</v>
      </c>
      <c r="AB555" s="159">
        <f>IF(PA[[#This Row],[Acknowledgement Time ]]="NA","",(PA[[#This Row],[Acknowledgement Time ]]-PA[[#This Row],[Fault Time]])*24)</f>
        <v>8.3333333333335702E-2</v>
      </c>
      <c r="AC555" s="159">
        <f>IF(PA[[#This Row],[Work Start time on Fault]]="NA","",(PA[[#This Row],[Work Start time on Fault]]-PA[[#This Row],[Fault Time]])*24)</f>
        <v>0.8333333333333357</v>
      </c>
      <c r="AD555" s="135">
        <f>IF(PA[[#This Row],[Status]]="Open","",(PA[[#This Row],[Work Completion time on fault]]-PA[[#This Row],[Fault Time]])*24)</f>
        <v>1.1666666666666679</v>
      </c>
      <c r="AE555" s="134">
        <f>IFERROR((PA[[#This Row],[Work Completion time on fault]]-PA[[#This Row],[Fault Time]])*24,"")</f>
        <v>1.1666666666666679</v>
      </c>
      <c r="AF555" s="226" t="s">
        <v>1362</v>
      </c>
      <c r="AG555" s="6" t="s">
        <v>1275</v>
      </c>
      <c r="AH555" s="131">
        <f>IFERROR(PA[[#This Row],[Breakdown Time]]*PA[[#This Row],[Plant Equivalent Weightage]],"")</f>
        <v>5.0555555555555605E-3</v>
      </c>
      <c r="AI555" s="128">
        <v>1.7000000000000001E-2</v>
      </c>
      <c r="AJ555" s="89">
        <f>IFERROR(IF(PA[[#This Row],[Lost PoA(kWh/m2)]]&gt;0,_xlfn.XLOOKUP(G555,'Modelling New'!$D:$D,'Modelling New'!$O:$O)*PA[[#This Row],[Lost PoA(kWh/m2)]]*S555,0),"")</f>
        <v>3.737810984753446</v>
      </c>
      <c r="AK555" s="365"/>
      <c r="AL555" s="365"/>
    </row>
    <row r="556" spans="1:38" ht="45" x14ac:dyDescent="0.25">
      <c r="A556" s="229">
        <v>2248</v>
      </c>
      <c r="B556" s="376">
        <v>45850</v>
      </c>
      <c r="C556" s="163">
        <v>2025</v>
      </c>
      <c r="D556" s="364">
        <f>YEAR(PA[[#This Row],[Date]])</f>
        <v>2025</v>
      </c>
      <c r="E556" s="373" t="s">
        <v>73</v>
      </c>
      <c r="F556" s="374" t="s">
        <v>73</v>
      </c>
      <c r="G556" s="323">
        <v>45809</v>
      </c>
      <c r="H556" s="365">
        <f>DAY(EOMONTH(PA[[#This Row],[Date]], 0))</f>
        <v>31</v>
      </c>
      <c r="I556" s="361">
        <v>0.21944444444444444</v>
      </c>
      <c r="J556" s="361">
        <v>0.76874999999999993</v>
      </c>
      <c r="K556" s="131">
        <f>IFERROR((PA[[#This Row],[Sunset Time (POA&lt;20 W/m2)]]-PA[[#This Row],[Sunrise Time (POA&gt;20 W/m2)]])*24,"")</f>
        <v>13.183333333333332</v>
      </c>
      <c r="L556" s="128" t="s">
        <v>579</v>
      </c>
      <c r="M556" s="128"/>
      <c r="N556" s="128"/>
      <c r="O556" s="128" t="s">
        <v>594</v>
      </c>
      <c r="P556" s="130"/>
      <c r="Q556" s="129"/>
      <c r="R556"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BLK8INV10</v>
      </c>
      <c r="S556" s="131">
        <f>_xlfn.XLOOKUP(PA[[#This Row],[Affected Equipment ]],'Basic Data '!$A:$A,'Basic Data '!$B:$B)</f>
        <v>300.375</v>
      </c>
      <c r="T556" s="132">
        <f>IFERROR(_xlfn.XLOOKUP(PA[[#This Row],[Affected Equipment ]],'Basic Data '!A:A,'Basic Data '!C:C),"")</f>
        <v>4.4999999999999997E-3</v>
      </c>
      <c r="U556" s="128" t="s">
        <v>566</v>
      </c>
      <c r="V556" s="117"/>
      <c r="W556" s="375" t="s">
        <v>1363</v>
      </c>
      <c r="X556" s="366">
        <v>0.69097222222222221</v>
      </c>
      <c r="Y556" s="366">
        <v>0.69444444444444453</v>
      </c>
      <c r="Z556" s="366">
        <v>0.72916666666666663</v>
      </c>
      <c r="AA556" s="366">
        <v>0.74305555555555547</v>
      </c>
      <c r="AB556" s="159">
        <f>IF(PA[[#This Row],[Acknowledgement Time ]]="NA","",(PA[[#This Row],[Acknowledgement Time ]]-PA[[#This Row],[Fault Time]])*24)</f>
        <v>8.3333333333335702E-2</v>
      </c>
      <c r="AC556" s="159">
        <f>IF(PA[[#This Row],[Work Start time on Fault]]="NA","",(PA[[#This Row],[Work Start time on Fault]]-PA[[#This Row],[Fault Time]])*24)</f>
        <v>0.91666666666666607</v>
      </c>
      <c r="AD556" s="135">
        <f>IF(PA[[#This Row],[Status]]="Open","",(PA[[#This Row],[Work Completion time on fault]]-PA[[#This Row],[Fault Time]])*24)</f>
        <v>1.2499999999999982</v>
      </c>
      <c r="AE556" s="134">
        <f>IFERROR((PA[[#This Row],[Work Completion time on fault]]-PA[[#This Row],[Fault Time]])*24,"")</f>
        <v>1.2499999999999982</v>
      </c>
      <c r="AF556" s="226" t="s">
        <v>1363</v>
      </c>
      <c r="AG556" s="6" t="s">
        <v>1275</v>
      </c>
      <c r="AH556" s="131">
        <f>IFERROR(PA[[#This Row],[Breakdown Time]]*PA[[#This Row],[Plant Equivalent Weightage]],"")</f>
        <v>5.624999999999992E-3</v>
      </c>
      <c r="AI556" s="128">
        <v>1.9E-2</v>
      </c>
      <c r="AJ556" s="89">
        <f>IFERROR(IF(PA[[#This Row],[Lost PoA(kWh/m2)]]&gt;0,_xlfn.XLOOKUP(G556,'Modelling New'!$D:$D,'Modelling New'!$O:$O)*PA[[#This Row],[Lost PoA(kWh/m2)]]*S556,0),"")</f>
        <v>4.3382285863767365</v>
      </c>
      <c r="AK556" s="365"/>
      <c r="AL556" s="365"/>
    </row>
    <row r="557" spans="1:38" ht="30" x14ac:dyDescent="0.25">
      <c r="A557" s="229">
        <v>2249</v>
      </c>
      <c r="B557" s="376">
        <v>45850</v>
      </c>
      <c r="C557" s="163">
        <v>2025</v>
      </c>
      <c r="D557" s="364">
        <f>YEAR(PA[[#This Row],[Date]])</f>
        <v>2025</v>
      </c>
      <c r="E557" s="373" t="s">
        <v>73</v>
      </c>
      <c r="F557" s="374" t="s">
        <v>73</v>
      </c>
      <c r="G557" s="323">
        <v>45809</v>
      </c>
      <c r="H557" s="365">
        <f>DAY(EOMONTH(PA[[#This Row],[Date]], 0))</f>
        <v>31</v>
      </c>
      <c r="I557" s="361">
        <v>0.21944444444444444</v>
      </c>
      <c r="J557" s="361">
        <v>0.76874999999999993</v>
      </c>
      <c r="K557" s="131">
        <f>IFERROR((PA[[#This Row],[Sunset Time (POA&lt;20 W/m2)]]-PA[[#This Row],[Sunrise Time (POA&gt;20 W/m2)]])*24,"")</f>
        <v>13.183333333333332</v>
      </c>
      <c r="L557" s="128" t="s">
        <v>564</v>
      </c>
      <c r="M557" s="128"/>
      <c r="N557" s="128"/>
      <c r="O557" s="128" t="s">
        <v>789</v>
      </c>
      <c r="P557" s="130"/>
      <c r="Q557" s="129"/>
      <c r="R557"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557" s="131">
        <f>_xlfn.XLOOKUP(PA[[#This Row],[Affected Equipment ]],'Basic Data '!$A:$A,'Basic Data '!$B:$B)</f>
        <v>8864.75</v>
      </c>
      <c r="T557" s="132">
        <f>IFERROR(_xlfn.XLOOKUP(PA[[#This Row],[Affected Equipment ]],'Basic Data '!A:A,'Basic Data '!C:C),"")</f>
        <v>0.13280524344569289</v>
      </c>
      <c r="U557" s="128" t="s">
        <v>589</v>
      </c>
      <c r="V557" s="117"/>
      <c r="W557" s="265" t="s">
        <v>752</v>
      </c>
      <c r="X557" s="366">
        <v>0.5131944444444444</v>
      </c>
      <c r="Y557" s="366">
        <v>0.5131944444444444</v>
      </c>
      <c r="Z557" s="366">
        <v>0.51458333333333328</v>
      </c>
      <c r="AA557" s="366">
        <v>0.51458333333333328</v>
      </c>
      <c r="AB557" s="159">
        <f>IF(PA[[#This Row],[Acknowledgement Time ]]="NA","",(PA[[#This Row],[Acknowledgement Time ]]-PA[[#This Row],[Fault Time]])*24)</f>
        <v>0</v>
      </c>
      <c r="AC557" s="159">
        <f>IF(PA[[#This Row],[Work Start time on Fault]]="NA","",(PA[[#This Row],[Work Start time on Fault]]-PA[[#This Row],[Fault Time]])*24)</f>
        <v>3.3333333333333215E-2</v>
      </c>
      <c r="AD557" s="135">
        <f>IF(PA[[#This Row],[Status]]="Open","",(PA[[#This Row],[Work Completion time on fault]]-PA[[#This Row],[Fault Time]])*24)</f>
        <v>3.3333333333333215E-2</v>
      </c>
      <c r="AE557" s="134">
        <f>IFERROR((PA[[#This Row],[Work Completion time on fault]]-PA[[#This Row],[Fault Time]])*24,"")</f>
        <v>3.3333333333333215E-2</v>
      </c>
      <c r="AF557" s="226" t="s">
        <v>752</v>
      </c>
      <c r="AG557" s="6" t="s">
        <v>1275</v>
      </c>
      <c r="AH557" s="131">
        <f>IFERROR(PA[[#This Row],[Breakdown Time]]*PA[[#This Row],[Plant Equivalent Weightage]],"")</f>
        <v>4.4268414481897474E-3</v>
      </c>
      <c r="AI557" s="128">
        <v>5.3999999999999999E-2</v>
      </c>
      <c r="AJ557" s="89">
        <f>IFERROR(IF(PA[[#This Row],[Lost PoA(kWh/m2)]]&gt;0,_xlfn.XLOOKUP(G557,'Modelling New'!$D:$D,'Modelling New'!$O:$O)*PA[[#This Row],[Lost PoA(kWh/m2)]]*S557,0),"")</f>
        <v>363.87758118115363</v>
      </c>
      <c r="AK557" s="365"/>
      <c r="AL557" s="365"/>
    </row>
    <row r="558" spans="1:38" ht="30" x14ac:dyDescent="0.25">
      <c r="A558" s="229">
        <v>2250</v>
      </c>
      <c r="B558" s="376">
        <v>45850</v>
      </c>
      <c r="C558" s="163">
        <v>2025</v>
      </c>
      <c r="D558" s="348">
        <f>YEAR(PA[[#This Row],[Date]])</f>
        <v>2025</v>
      </c>
      <c r="E558" s="373" t="s">
        <v>73</v>
      </c>
      <c r="F558" s="374" t="s">
        <v>73</v>
      </c>
      <c r="G558" s="323">
        <v>45809</v>
      </c>
      <c r="H558" s="365">
        <f>DAY(EOMONTH(PA[[#This Row],[Date]], 0))</f>
        <v>31</v>
      </c>
      <c r="I558" s="361">
        <v>0.21944444444444444</v>
      </c>
      <c r="J558" s="361">
        <v>0.76874999999999993</v>
      </c>
      <c r="K558" s="53">
        <f>IFERROR((PA[[#This Row],[Sunset Time (POA&lt;20 W/m2)]]-PA[[#This Row],[Sunrise Time (POA&gt;20 W/m2)]])*24,"")</f>
        <v>13.183333333333332</v>
      </c>
      <c r="L558" s="59" t="s">
        <v>564</v>
      </c>
      <c r="M558" s="59"/>
      <c r="N558" s="59"/>
      <c r="O558" s="59" t="s">
        <v>789</v>
      </c>
      <c r="P558" s="56"/>
      <c r="Q558" s="6"/>
      <c r="R55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558" s="53">
        <f>_xlfn.XLOOKUP(PA[[#This Row],[Affected Equipment ]],'Basic Data '!$A:$A,'Basic Data '!$B:$B)</f>
        <v>8864.75</v>
      </c>
      <c r="T558" s="90">
        <f>IFERROR(_xlfn.XLOOKUP(PA[[#This Row],[Affected Equipment ]],'Basic Data '!A:A,'Basic Data '!C:C),"")</f>
        <v>0.13280524344569289</v>
      </c>
      <c r="U558" s="128" t="s">
        <v>566</v>
      </c>
      <c r="V558" s="88"/>
      <c r="W558" s="265" t="s">
        <v>1364</v>
      </c>
      <c r="X558" s="359">
        <v>0.51527777777777783</v>
      </c>
      <c r="Y558" s="359">
        <v>0.51527777777777783</v>
      </c>
      <c r="Z558" s="359">
        <v>0.51527777777777783</v>
      </c>
      <c r="AA558" s="359">
        <v>0.5625</v>
      </c>
      <c r="AB558" s="158">
        <f>IF(PA[[#This Row],[Acknowledgement Time ]]="NA","",(PA[[#This Row],[Acknowledgement Time ]]-PA[[#This Row],[Fault Time]])*24)</f>
        <v>0</v>
      </c>
      <c r="AC558" s="158">
        <f>IF(PA[[#This Row],[Work Start time on Fault]]="NA","",(PA[[#This Row],[Work Start time on Fault]]-PA[[#This Row],[Fault Time]])*24)</f>
        <v>0</v>
      </c>
      <c r="AD558" s="112">
        <f>IF(PA[[#This Row],[Status]]="Open","",(PA[[#This Row],[Work Completion time on fault]]-PA[[#This Row],[Fault Time]])*24)</f>
        <v>1.133333333333332</v>
      </c>
      <c r="AE558" s="111">
        <f>IFERROR((PA[[#This Row],[Work Completion time on fault]]-PA[[#This Row],[Fault Time]])*24,"")</f>
        <v>1.133333333333332</v>
      </c>
      <c r="AF558" s="228" t="s">
        <v>1364</v>
      </c>
      <c r="AG558" s="6" t="s">
        <v>1275</v>
      </c>
      <c r="AH558" s="53">
        <f>IFERROR(PA[[#This Row],[Breakdown Time]]*PA[[#This Row],[Plant Equivalent Weightage]],"")</f>
        <v>0.15051260923845175</v>
      </c>
      <c r="AI558" s="59"/>
      <c r="AJ558" s="89">
        <f>IFERROR(IF(PA[[#This Row],[Lost PoA(kWh/m2)]]&gt;0,_xlfn.XLOOKUP(G558,'Modelling New'!$D:$D,'Modelling New'!$O:$O)*PA[[#This Row],[Lost PoA(kWh/m2)]]*S558,0),"")</f>
        <v>0</v>
      </c>
      <c r="AK558" s="365"/>
      <c r="AL558" s="365"/>
    </row>
    <row r="559" spans="1:38" ht="30" x14ac:dyDescent="0.25">
      <c r="A559" s="229">
        <v>2251</v>
      </c>
      <c r="B559" s="376">
        <v>45850</v>
      </c>
      <c r="C559" s="163">
        <v>2025</v>
      </c>
      <c r="D559" s="364">
        <f>YEAR(PA[[#This Row],[Date]])</f>
        <v>2025</v>
      </c>
      <c r="E559" s="373" t="s">
        <v>73</v>
      </c>
      <c r="F559" s="374" t="s">
        <v>73</v>
      </c>
      <c r="G559" s="323">
        <v>45809</v>
      </c>
      <c r="H559" s="365">
        <f>DAY(EOMONTH(PA[[#This Row],[Date]], 0))</f>
        <v>31</v>
      </c>
      <c r="I559" s="361">
        <v>0.21944444444444444</v>
      </c>
      <c r="J559" s="361">
        <v>0.76874999999999993</v>
      </c>
      <c r="K559" s="131">
        <f>IFERROR((PA[[#This Row],[Sunset Time (POA&lt;20 W/m2)]]-PA[[#This Row],[Sunrise Time (POA&gt;20 W/m2)]])*24,"")</f>
        <v>13.183333333333332</v>
      </c>
      <c r="L559" s="128" t="s">
        <v>587</v>
      </c>
      <c r="M559" s="128"/>
      <c r="N559" s="128"/>
      <c r="O559" s="59" t="s">
        <v>789</v>
      </c>
      <c r="P559" s="130"/>
      <c r="Q559" s="129"/>
      <c r="R559"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559" s="131">
        <f>_xlfn.XLOOKUP(PA[[#This Row],[Affected Equipment ]],'Basic Data '!$A:$A,'Basic Data '!$B:$B)</f>
        <v>8944.5</v>
      </c>
      <c r="T559" s="132">
        <f>IFERROR(_xlfn.XLOOKUP(PA[[#This Row],[Affected Equipment ]],'Basic Data '!A:A,'Basic Data '!C:C),"")</f>
        <v>0.13400000000000001</v>
      </c>
      <c r="U559" s="128" t="s">
        <v>566</v>
      </c>
      <c r="V559" s="117"/>
      <c r="W559" s="265" t="s">
        <v>1364</v>
      </c>
      <c r="X559" s="359">
        <v>0.51527777777777783</v>
      </c>
      <c r="Y559" s="359">
        <v>0.51527777777777783</v>
      </c>
      <c r="Z559" s="359">
        <v>0.51527777777777783</v>
      </c>
      <c r="AA559" s="359">
        <v>0.5625</v>
      </c>
      <c r="AB559" s="159">
        <f>IF(PA[[#This Row],[Acknowledgement Time ]]="NA","",(PA[[#This Row],[Acknowledgement Time ]]-PA[[#This Row],[Fault Time]])*24)</f>
        <v>0</v>
      </c>
      <c r="AC559" s="159">
        <f>IF(PA[[#This Row],[Work Start time on Fault]]="NA","",(PA[[#This Row],[Work Start time on Fault]]-PA[[#This Row],[Fault Time]])*24)</f>
        <v>0</v>
      </c>
      <c r="AD559" s="135">
        <f>IF(PA[[#This Row],[Status]]="Open","",(PA[[#This Row],[Work Completion time on fault]]-PA[[#This Row],[Fault Time]])*24)</f>
        <v>1.133333333333332</v>
      </c>
      <c r="AE559" s="134">
        <f>IFERROR((PA[[#This Row],[Work Completion time on fault]]-PA[[#This Row],[Fault Time]])*24,"")</f>
        <v>1.133333333333332</v>
      </c>
      <c r="AF559" s="226" t="s">
        <v>1364</v>
      </c>
      <c r="AG559" s="6" t="s">
        <v>1275</v>
      </c>
      <c r="AH559" s="131">
        <f>IFERROR(PA[[#This Row],[Breakdown Time]]*PA[[#This Row],[Plant Equivalent Weightage]],"")</f>
        <v>0.15186666666666648</v>
      </c>
      <c r="AI559" s="128"/>
      <c r="AJ559" s="89">
        <f>IFERROR(IF(PA[[#This Row],[Lost PoA(kWh/m2)]]&gt;0,_xlfn.XLOOKUP(G559,'Modelling New'!$D:$D,'Modelling New'!$O:$O)*PA[[#This Row],[Lost PoA(kWh/m2)]]*S559,0),"")</f>
        <v>0</v>
      </c>
      <c r="AK559" s="365"/>
      <c r="AL559" s="365"/>
    </row>
    <row r="560" spans="1:38" ht="30" x14ac:dyDescent="0.25">
      <c r="A560" s="229">
        <v>2252</v>
      </c>
      <c r="B560" s="376">
        <v>45850</v>
      </c>
      <c r="C560" s="163">
        <v>2025</v>
      </c>
      <c r="D560" s="364">
        <f>YEAR(PA[[#This Row],[Date]])</f>
        <v>2025</v>
      </c>
      <c r="E560" s="373" t="s">
        <v>73</v>
      </c>
      <c r="F560" s="374" t="s">
        <v>73</v>
      </c>
      <c r="G560" s="323">
        <v>45809</v>
      </c>
      <c r="H560" s="365">
        <f>DAY(EOMONTH(PA[[#This Row],[Date]], 0))</f>
        <v>31</v>
      </c>
      <c r="I560" s="361">
        <v>0.21944444444444444</v>
      </c>
      <c r="J560" s="361">
        <v>0.76874999999999993</v>
      </c>
      <c r="K560" s="131">
        <f>IFERROR((PA[[#This Row],[Sunset Time (POA&lt;20 W/m2)]]-PA[[#This Row],[Sunrise Time (POA&gt;20 W/m2)]])*24,"")</f>
        <v>13.183333333333332</v>
      </c>
      <c r="L560" s="128" t="s">
        <v>559</v>
      </c>
      <c r="M560" s="128"/>
      <c r="N560" s="128"/>
      <c r="O560" s="59" t="s">
        <v>789</v>
      </c>
      <c r="P560" s="130"/>
      <c r="Q560" s="129"/>
      <c r="R560"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560" s="131">
        <f>_xlfn.XLOOKUP(PA[[#This Row],[Affected Equipment ]],'Basic Data '!$A:$A,'Basic Data '!$B:$B)</f>
        <v>8343.75</v>
      </c>
      <c r="T560" s="132">
        <f>IFERROR(_xlfn.XLOOKUP(PA[[#This Row],[Affected Equipment ]],'Basic Data '!A:A,'Basic Data '!C:C),"")</f>
        <v>0.125</v>
      </c>
      <c r="U560" s="128" t="s">
        <v>566</v>
      </c>
      <c r="V560" s="117"/>
      <c r="W560" s="265" t="s">
        <v>1364</v>
      </c>
      <c r="X560" s="359">
        <v>0.51527777777777783</v>
      </c>
      <c r="Y560" s="359">
        <v>0.51527777777777783</v>
      </c>
      <c r="Z560" s="359">
        <v>0.51527777777777783</v>
      </c>
      <c r="AA560" s="359">
        <v>0.5625</v>
      </c>
      <c r="AB560" s="159">
        <f>IF(PA[[#This Row],[Acknowledgement Time ]]="NA","",(PA[[#This Row],[Acknowledgement Time ]]-PA[[#This Row],[Fault Time]])*24)</f>
        <v>0</v>
      </c>
      <c r="AC560" s="159">
        <f>IF(PA[[#This Row],[Work Start time on Fault]]="NA","",(PA[[#This Row],[Work Start time on Fault]]-PA[[#This Row],[Fault Time]])*24)</f>
        <v>0</v>
      </c>
      <c r="AD560" s="135">
        <f>IF(PA[[#This Row],[Status]]="Open","",(PA[[#This Row],[Work Completion time on fault]]-PA[[#This Row],[Fault Time]])*24)</f>
        <v>1.133333333333332</v>
      </c>
      <c r="AE560" s="134">
        <f>IFERROR((PA[[#This Row],[Work Completion time on fault]]-PA[[#This Row],[Fault Time]])*24,"")</f>
        <v>1.133333333333332</v>
      </c>
      <c r="AF560" s="226" t="s">
        <v>1364</v>
      </c>
      <c r="AG560" s="6" t="s">
        <v>1275</v>
      </c>
      <c r="AH560" s="131">
        <f>IFERROR(PA[[#This Row],[Breakdown Time]]*PA[[#This Row],[Plant Equivalent Weightage]],"")</f>
        <v>0.1416666666666665</v>
      </c>
      <c r="AI560" s="128"/>
      <c r="AJ560" s="89">
        <f>IFERROR(IF(PA[[#This Row],[Lost PoA(kWh/m2)]]&gt;0,_xlfn.XLOOKUP(G560,'Modelling New'!$D:$D,'Modelling New'!$O:$O)*PA[[#This Row],[Lost PoA(kWh/m2)]]*S560,0),"")</f>
        <v>0</v>
      </c>
      <c r="AK560" s="365"/>
      <c r="AL560" s="365"/>
    </row>
    <row r="561" spans="1:38" ht="30" x14ac:dyDescent="0.25">
      <c r="A561" s="229">
        <v>2253</v>
      </c>
      <c r="B561" s="376">
        <v>45850</v>
      </c>
      <c r="C561" s="163">
        <v>2025</v>
      </c>
      <c r="D561" s="364">
        <f>YEAR(PA[[#This Row],[Date]])</f>
        <v>2025</v>
      </c>
      <c r="E561" s="373" t="s">
        <v>73</v>
      </c>
      <c r="F561" s="374" t="s">
        <v>73</v>
      </c>
      <c r="G561" s="323">
        <v>45809</v>
      </c>
      <c r="H561" s="365">
        <f>DAY(EOMONTH(PA[[#This Row],[Date]], 0))</f>
        <v>31</v>
      </c>
      <c r="I561" s="361">
        <v>0.21944444444444444</v>
      </c>
      <c r="J561" s="361">
        <v>0.76874999999999993</v>
      </c>
      <c r="K561" s="131">
        <f>IFERROR((PA[[#This Row],[Sunset Time (POA&lt;20 W/m2)]]-PA[[#This Row],[Sunrise Time (POA&gt;20 W/m2)]])*24,"")</f>
        <v>13.183333333333332</v>
      </c>
      <c r="L561" s="128" t="s">
        <v>615</v>
      </c>
      <c r="M561" s="128"/>
      <c r="N561" s="128"/>
      <c r="O561" s="59" t="s">
        <v>789</v>
      </c>
      <c r="P561" s="130"/>
      <c r="Q561" s="129"/>
      <c r="R561"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BLK6MVP</v>
      </c>
      <c r="S561" s="131">
        <f>_xlfn.XLOOKUP(PA[[#This Row],[Affected Equipment ]],'Basic Data '!$A:$A,'Basic Data '!$B:$B)</f>
        <v>8976</v>
      </c>
      <c r="T561" s="132">
        <f>IFERROR(_xlfn.XLOOKUP(PA[[#This Row],[Affected Equipment ]],'Basic Data '!A:A,'Basic Data '!C:C),"")</f>
        <v>0.13447191011235954</v>
      </c>
      <c r="U561" s="128" t="s">
        <v>566</v>
      </c>
      <c r="V561" s="117"/>
      <c r="W561" s="265" t="s">
        <v>1364</v>
      </c>
      <c r="X561" s="359">
        <v>0.51527777777777783</v>
      </c>
      <c r="Y561" s="359">
        <v>0.51527777777777783</v>
      </c>
      <c r="Z561" s="359">
        <v>0.51527777777777783</v>
      </c>
      <c r="AA561" s="359">
        <v>0.5625</v>
      </c>
      <c r="AB561" s="159">
        <f>IF(PA[[#This Row],[Acknowledgement Time ]]="NA","",(PA[[#This Row],[Acknowledgement Time ]]-PA[[#This Row],[Fault Time]])*24)</f>
        <v>0</v>
      </c>
      <c r="AC561" s="159">
        <f>IF(PA[[#This Row],[Work Start time on Fault]]="NA","",(PA[[#This Row],[Work Start time on Fault]]-PA[[#This Row],[Fault Time]])*24)</f>
        <v>0</v>
      </c>
      <c r="AD561" s="135">
        <f>IF(PA[[#This Row],[Status]]="Open","",(PA[[#This Row],[Work Completion time on fault]]-PA[[#This Row],[Fault Time]])*24)</f>
        <v>1.133333333333332</v>
      </c>
      <c r="AE561" s="134">
        <f>IFERROR((PA[[#This Row],[Work Completion time on fault]]-PA[[#This Row],[Fault Time]])*24,"")</f>
        <v>1.133333333333332</v>
      </c>
      <c r="AF561" s="226" t="s">
        <v>1364</v>
      </c>
      <c r="AG561" s="6" t="s">
        <v>1275</v>
      </c>
      <c r="AH561" s="131">
        <f>IFERROR(PA[[#This Row],[Breakdown Time]]*PA[[#This Row],[Plant Equivalent Weightage]],"")</f>
        <v>0.15240149812734063</v>
      </c>
      <c r="AI561" s="128"/>
      <c r="AJ561" s="89">
        <f>IFERROR(IF(PA[[#This Row],[Lost PoA(kWh/m2)]]&gt;0,_xlfn.XLOOKUP(G561,'Modelling New'!$D:$D,'Modelling New'!$O:$O)*PA[[#This Row],[Lost PoA(kWh/m2)]]*S561,0),"")</f>
        <v>0</v>
      </c>
      <c r="AK561" s="365"/>
      <c r="AL561" s="365"/>
    </row>
    <row r="562" spans="1:38" ht="30" x14ac:dyDescent="0.25">
      <c r="A562" s="229">
        <v>2254</v>
      </c>
      <c r="B562" s="376">
        <v>45851</v>
      </c>
      <c r="C562" s="163">
        <v>2025</v>
      </c>
      <c r="D562" s="348">
        <f>YEAR(PA[[#This Row],[Date]])</f>
        <v>2025</v>
      </c>
      <c r="E562" s="373" t="s">
        <v>73</v>
      </c>
      <c r="F562" s="374" t="s">
        <v>73</v>
      </c>
      <c r="G562" s="323">
        <v>45809</v>
      </c>
      <c r="H562" s="354">
        <f>DAY(EOMONTH(PA[[#This Row],[Date]], 0))</f>
        <v>31</v>
      </c>
      <c r="I562" s="361">
        <v>0.22500000000000001</v>
      </c>
      <c r="J562" s="361">
        <v>0.77708333333333324</v>
      </c>
      <c r="K562" s="53">
        <f>IFERROR((PA[[#This Row],[Sunset Time (POA&lt;20 W/m2)]]-PA[[#This Row],[Sunrise Time (POA&gt;20 W/m2)]])*24,"")</f>
        <v>13.249999999999998</v>
      </c>
      <c r="L562" s="59" t="s">
        <v>564</v>
      </c>
      <c r="M562" s="59"/>
      <c r="N562" s="59"/>
      <c r="O562" s="128" t="s">
        <v>789</v>
      </c>
      <c r="P562" s="56"/>
      <c r="Q562" s="6"/>
      <c r="R562"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562" s="53">
        <f>_xlfn.XLOOKUP(PA[[#This Row],[Affected Equipment ]],'Basic Data '!$A:$A,'Basic Data '!$B:$B)</f>
        <v>8864.75</v>
      </c>
      <c r="T562" s="90">
        <f>IFERROR(_xlfn.XLOOKUP(PA[[#This Row],[Affected Equipment ]],'Basic Data '!A:A,'Basic Data '!C:C),"")</f>
        <v>0.13280524344569289</v>
      </c>
      <c r="U562" s="128" t="s">
        <v>566</v>
      </c>
      <c r="V562" s="88"/>
      <c r="W562" s="265" t="s">
        <v>1365</v>
      </c>
      <c r="X562" s="359">
        <v>0.47569444444444442</v>
      </c>
      <c r="Y562" s="359">
        <v>0.47569444444444442</v>
      </c>
      <c r="Z562" s="359">
        <v>0.47569444444444442</v>
      </c>
      <c r="AA562" s="359">
        <v>0.59375</v>
      </c>
      <c r="AB562" s="158">
        <f>IF(PA[[#This Row],[Acknowledgement Time ]]="NA","",(PA[[#This Row],[Acknowledgement Time ]]-PA[[#This Row],[Fault Time]])*24)</f>
        <v>0</v>
      </c>
      <c r="AC562" s="158">
        <f>IF(PA[[#This Row],[Work Start time on Fault]]="NA","",(PA[[#This Row],[Work Start time on Fault]]-PA[[#This Row],[Fault Time]])*24)</f>
        <v>0</v>
      </c>
      <c r="AD562" s="112">
        <f>IF(PA[[#This Row],[Status]]="Open","",(PA[[#This Row],[Work Completion time on fault]]-PA[[#This Row],[Fault Time]])*24)</f>
        <v>2.8333333333333339</v>
      </c>
      <c r="AE562" s="111">
        <f>IFERROR((PA[[#This Row],[Work Completion time on fault]]-PA[[#This Row],[Fault Time]])*24,"")</f>
        <v>2.8333333333333339</v>
      </c>
      <c r="AF562" s="228" t="s">
        <v>1365</v>
      </c>
      <c r="AG562" s="6" t="s">
        <v>1275</v>
      </c>
      <c r="AH562" s="53">
        <f>IFERROR(PA[[#This Row],[Breakdown Time]]*PA[[#This Row],[Plant Equivalent Weightage]],"")</f>
        <v>0.37628152309612994</v>
      </c>
      <c r="AI562" s="59"/>
      <c r="AJ562" s="89">
        <f>IFERROR(IF(PA[[#This Row],[Lost PoA(kWh/m2)]]&gt;0,_xlfn.XLOOKUP(G562,'Modelling New'!$D:$D,'Modelling New'!$O:$O)*PA[[#This Row],[Lost PoA(kWh/m2)]]*S562,0),"")</f>
        <v>0</v>
      </c>
      <c r="AK562" s="354"/>
      <c r="AL562" s="354"/>
    </row>
    <row r="563" spans="1:38" ht="30" x14ac:dyDescent="0.25">
      <c r="A563" s="229">
        <v>2255</v>
      </c>
      <c r="B563" s="376">
        <v>45851</v>
      </c>
      <c r="C563" s="163">
        <v>2025</v>
      </c>
      <c r="D563" s="348">
        <f>YEAR(PA[[#This Row],[Date]])</f>
        <v>2025</v>
      </c>
      <c r="E563" s="373" t="s">
        <v>73</v>
      </c>
      <c r="F563" s="374" t="s">
        <v>73</v>
      </c>
      <c r="G563" s="323">
        <v>45809</v>
      </c>
      <c r="H563" s="354">
        <f>DAY(EOMONTH(PA[[#This Row],[Date]], 0))</f>
        <v>31</v>
      </c>
      <c r="I563" s="361">
        <v>0.22500000000000001</v>
      </c>
      <c r="J563" s="361">
        <v>0.77708333333333324</v>
      </c>
      <c r="K563" s="53">
        <f>IFERROR((PA[[#This Row],[Sunset Time (POA&lt;20 W/m2)]]-PA[[#This Row],[Sunrise Time (POA&gt;20 W/m2)]])*24,"")</f>
        <v>13.249999999999998</v>
      </c>
      <c r="L563" s="59" t="s">
        <v>564</v>
      </c>
      <c r="M563" s="59"/>
      <c r="N563" s="59"/>
      <c r="O563" s="59" t="s">
        <v>789</v>
      </c>
      <c r="P563" s="56"/>
      <c r="Q563" s="6"/>
      <c r="R563"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563" s="53">
        <f>_xlfn.XLOOKUP(PA[[#This Row],[Affected Equipment ]],'Basic Data '!$A:$A,'Basic Data '!$B:$B)</f>
        <v>8864.75</v>
      </c>
      <c r="T563" s="90">
        <f>IFERROR(_xlfn.XLOOKUP(PA[[#This Row],[Affected Equipment ]],'Basic Data '!A:A,'Basic Data '!C:C),"")</f>
        <v>0.13280524344569289</v>
      </c>
      <c r="U563" s="128" t="s">
        <v>566</v>
      </c>
      <c r="V563" s="88"/>
      <c r="W563" s="265" t="s">
        <v>1365</v>
      </c>
      <c r="X563" s="359">
        <v>0.47569444444444442</v>
      </c>
      <c r="Y563" s="359">
        <v>0.47569444444444442</v>
      </c>
      <c r="Z563" s="359">
        <v>0.47569444444444442</v>
      </c>
      <c r="AA563" s="359">
        <v>0.59375</v>
      </c>
      <c r="AB563" s="158">
        <f>IF(PA[[#This Row],[Acknowledgement Time ]]="NA","",(PA[[#This Row],[Acknowledgement Time ]]-PA[[#This Row],[Fault Time]])*24)</f>
        <v>0</v>
      </c>
      <c r="AC563" s="158">
        <f>IF(PA[[#This Row],[Work Start time on Fault]]="NA","",(PA[[#This Row],[Work Start time on Fault]]-PA[[#This Row],[Fault Time]])*24)</f>
        <v>0</v>
      </c>
      <c r="AD563" s="112">
        <f>IF(PA[[#This Row],[Status]]="Open","",(PA[[#This Row],[Work Completion time on fault]]-PA[[#This Row],[Fault Time]])*24)</f>
        <v>2.8333333333333339</v>
      </c>
      <c r="AE563" s="111">
        <f>IFERROR((PA[[#This Row],[Work Completion time on fault]]-PA[[#This Row],[Fault Time]])*24,"")</f>
        <v>2.8333333333333339</v>
      </c>
      <c r="AF563" s="228" t="s">
        <v>1365</v>
      </c>
      <c r="AG563" s="6" t="s">
        <v>1275</v>
      </c>
      <c r="AH563" s="53">
        <f>IFERROR(PA[[#This Row],[Breakdown Time]]*PA[[#This Row],[Plant Equivalent Weightage]],"")</f>
        <v>0.37628152309612994</v>
      </c>
      <c r="AI563" s="59"/>
      <c r="AJ563" s="89">
        <f>IFERROR(IF(PA[[#This Row],[Lost PoA(kWh/m2)]]&gt;0,_xlfn.XLOOKUP(G563,'Modelling New'!$D:$D,'Modelling New'!$O:$O)*PA[[#This Row],[Lost PoA(kWh/m2)]]*S563,0),"")</f>
        <v>0</v>
      </c>
      <c r="AK563" s="354"/>
      <c r="AL563" s="354"/>
    </row>
    <row r="564" spans="1:38" ht="30" x14ac:dyDescent="0.25">
      <c r="A564" s="229">
        <v>2256</v>
      </c>
      <c r="B564" s="376">
        <v>45851</v>
      </c>
      <c r="C564" s="163">
        <v>2025</v>
      </c>
      <c r="D564" s="348">
        <f>YEAR(PA[[#This Row],[Date]])</f>
        <v>2025</v>
      </c>
      <c r="E564" s="373" t="s">
        <v>73</v>
      </c>
      <c r="F564" s="374" t="s">
        <v>73</v>
      </c>
      <c r="G564" s="323">
        <v>45809</v>
      </c>
      <c r="H564" s="354">
        <f>DAY(EOMONTH(PA[[#This Row],[Date]], 0))</f>
        <v>31</v>
      </c>
      <c r="I564" s="361">
        <v>0.22500000000000001</v>
      </c>
      <c r="J564" s="361">
        <v>0.77708333333333324</v>
      </c>
      <c r="K564" s="53">
        <f>IFERROR((PA[[#This Row],[Sunset Time (POA&lt;20 W/m2)]]-PA[[#This Row],[Sunrise Time (POA&gt;20 W/m2)]])*24,"")</f>
        <v>13.249999999999998</v>
      </c>
      <c r="L564" s="59" t="s">
        <v>587</v>
      </c>
      <c r="M564" s="59"/>
      <c r="N564" s="59"/>
      <c r="O564" s="59" t="s">
        <v>789</v>
      </c>
      <c r="P564" s="56"/>
      <c r="Q564" s="6"/>
      <c r="R564"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564" s="53">
        <f>_xlfn.XLOOKUP(PA[[#This Row],[Affected Equipment ]],'Basic Data '!$A:$A,'Basic Data '!$B:$B)</f>
        <v>8944.5</v>
      </c>
      <c r="T564" s="90">
        <f>IFERROR(_xlfn.XLOOKUP(PA[[#This Row],[Affected Equipment ]],'Basic Data '!A:A,'Basic Data '!C:C),"")</f>
        <v>0.13400000000000001</v>
      </c>
      <c r="U564" s="128" t="s">
        <v>566</v>
      </c>
      <c r="V564" s="88"/>
      <c r="W564" s="265" t="s">
        <v>1365</v>
      </c>
      <c r="X564" s="359">
        <v>0.47569444444444442</v>
      </c>
      <c r="Y564" s="359">
        <v>0.47569444444444442</v>
      </c>
      <c r="Z564" s="359">
        <v>0.47569444444444442</v>
      </c>
      <c r="AA564" s="359">
        <v>0.59375</v>
      </c>
      <c r="AB564" s="158">
        <f>IF(PA[[#This Row],[Acknowledgement Time ]]="NA","",(PA[[#This Row],[Acknowledgement Time ]]-PA[[#This Row],[Fault Time]])*24)</f>
        <v>0</v>
      </c>
      <c r="AC564" s="158">
        <f>IF(PA[[#This Row],[Work Start time on Fault]]="NA","",(PA[[#This Row],[Work Start time on Fault]]-PA[[#This Row],[Fault Time]])*24)</f>
        <v>0</v>
      </c>
      <c r="AD564" s="112">
        <f>IF(PA[[#This Row],[Status]]="Open","",(PA[[#This Row],[Work Completion time on fault]]-PA[[#This Row],[Fault Time]])*24)</f>
        <v>2.8333333333333339</v>
      </c>
      <c r="AE564" s="111">
        <f>IFERROR((PA[[#This Row],[Work Completion time on fault]]-PA[[#This Row],[Fault Time]])*24,"")</f>
        <v>2.8333333333333339</v>
      </c>
      <c r="AF564" s="228" t="s">
        <v>1365</v>
      </c>
      <c r="AG564" s="6" t="s">
        <v>1275</v>
      </c>
      <c r="AH564" s="53">
        <f>IFERROR(PA[[#This Row],[Breakdown Time]]*PA[[#This Row],[Plant Equivalent Weightage]],"")</f>
        <v>0.37966666666666676</v>
      </c>
      <c r="AI564" s="59"/>
      <c r="AJ564" s="89">
        <f>IFERROR(IF(PA[[#This Row],[Lost PoA(kWh/m2)]]&gt;0,_xlfn.XLOOKUP(G564,'Modelling New'!$D:$D,'Modelling New'!$O:$O)*PA[[#This Row],[Lost PoA(kWh/m2)]]*S564,0),"")</f>
        <v>0</v>
      </c>
      <c r="AK564" s="354"/>
      <c r="AL564" s="354"/>
    </row>
    <row r="565" spans="1:38" ht="30" x14ac:dyDescent="0.25">
      <c r="A565" s="229">
        <v>2257</v>
      </c>
      <c r="B565" s="376">
        <v>45851</v>
      </c>
      <c r="C565" s="163">
        <v>2025</v>
      </c>
      <c r="D565" s="348">
        <f>YEAR(PA[[#This Row],[Date]])</f>
        <v>2025</v>
      </c>
      <c r="E565" s="373" t="s">
        <v>73</v>
      </c>
      <c r="F565" s="374" t="s">
        <v>73</v>
      </c>
      <c r="G565" s="323">
        <v>45809</v>
      </c>
      <c r="H565" s="354">
        <f>DAY(EOMONTH(PA[[#This Row],[Date]], 0))</f>
        <v>31</v>
      </c>
      <c r="I565" s="361">
        <v>0.22500000000000001</v>
      </c>
      <c r="J565" s="361">
        <v>0.77708333333333324</v>
      </c>
      <c r="K565" s="53">
        <f>IFERROR((PA[[#This Row],[Sunset Time (POA&lt;20 W/m2)]]-PA[[#This Row],[Sunrise Time (POA&gt;20 W/m2)]])*24,"")</f>
        <v>13.249999999999998</v>
      </c>
      <c r="L565" s="59" t="s">
        <v>559</v>
      </c>
      <c r="M565" s="59"/>
      <c r="N565" s="59"/>
      <c r="O565" s="59" t="s">
        <v>789</v>
      </c>
      <c r="P565" s="56"/>
      <c r="Q565" s="6"/>
      <c r="R565"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565" s="53">
        <f>_xlfn.XLOOKUP(PA[[#This Row],[Affected Equipment ]],'Basic Data '!$A:$A,'Basic Data '!$B:$B)</f>
        <v>8343.75</v>
      </c>
      <c r="T565" s="90">
        <f>IFERROR(_xlfn.XLOOKUP(PA[[#This Row],[Affected Equipment ]],'Basic Data '!A:A,'Basic Data '!C:C),"")</f>
        <v>0.125</v>
      </c>
      <c r="U565" s="128" t="s">
        <v>566</v>
      </c>
      <c r="V565" s="88"/>
      <c r="W565" s="265" t="s">
        <v>1365</v>
      </c>
      <c r="X565" s="359">
        <v>0.47569444444444442</v>
      </c>
      <c r="Y565" s="359">
        <v>0.47569444444444442</v>
      </c>
      <c r="Z565" s="359">
        <v>0.47569444444444442</v>
      </c>
      <c r="AA565" s="359">
        <v>0.59375</v>
      </c>
      <c r="AB565" s="158">
        <f>IF(PA[[#This Row],[Acknowledgement Time ]]="NA","",(PA[[#This Row],[Acknowledgement Time ]]-PA[[#This Row],[Fault Time]])*24)</f>
        <v>0</v>
      </c>
      <c r="AC565" s="158">
        <f>IF(PA[[#This Row],[Work Start time on Fault]]="NA","",(PA[[#This Row],[Work Start time on Fault]]-PA[[#This Row],[Fault Time]])*24)</f>
        <v>0</v>
      </c>
      <c r="AD565" s="112">
        <f>IF(PA[[#This Row],[Status]]="Open","",(PA[[#This Row],[Work Completion time on fault]]-PA[[#This Row],[Fault Time]])*24)</f>
        <v>2.8333333333333339</v>
      </c>
      <c r="AE565" s="111">
        <f>IFERROR((PA[[#This Row],[Work Completion time on fault]]-PA[[#This Row],[Fault Time]])*24,"")</f>
        <v>2.8333333333333339</v>
      </c>
      <c r="AF565" s="228" t="s">
        <v>1365</v>
      </c>
      <c r="AG565" s="6" t="s">
        <v>1275</v>
      </c>
      <c r="AH565" s="53">
        <f>IFERROR(PA[[#This Row],[Breakdown Time]]*PA[[#This Row],[Plant Equivalent Weightage]],"")</f>
        <v>0.35416666666666674</v>
      </c>
      <c r="AI565" s="59"/>
      <c r="AJ565" s="89">
        <f>IFERROR(IF(PA[[#This Row],[Lost PoA(kWh/m2)]]&gt;0,_xlfn.XLOOKUP(G565,'Modelling New'!$D:$D,'Modelling New'!$O:$O)*PA[[#This Row],[Lost PoA(kWh/m2)]]*S565,0),"")</f>
        <v>0</v>
      </c>
      <c r="AK565" s="354"/>
      <c r="AL565" s="354"/>
    </row>
    <row r="566" spans="1:38" ht="30" x14ac:dyDescent="0.25">
      <c r="A566" s="229">
        <v>2258</v>
      </c>
      <c r="B566" s="376">
        <v>45851</v>
      </c>
      <c r="C566" s="163">
        <v>2025</v>
      </c>
      <c r="D566" s="364">
        <f>YEAR(PA[[#This Row],[Date]])</f>
        <v>2025</v>
      </c>
      <c r="E566" s="373" t="s">
        <v>73</v>
      </c>
      <c r="F566" s="374" t="s">
        <v>73</v>
      </c>
      <c r="G566" s="323">
        <v>45809</v>
      </c>
      <c r="H566" s="365">
        <f>DAY(EOMONTH(PA[[#This Row],[Date]], 0))</f>
        <v>31</v>
      </c>
      <c r="I566" s="361">
        <v>0.22500000000000001</v>
      </c>
      <c r="J566" s="361">
        <v>0.77708333333333324</v>
      </c>
      <c r="K566" s="131">
        <f>IFERROR((PA[[#This Row],[Sunset Time (POA&lt;20 W/m2)]]-PA[[#This Row],[Sunrise Time (POA&gt;20 W/m2)]])*24,"")</f>
        <v>13.249999999999998</v>
      </c>
      <c r="L566" s="128" t="s">
        <v>615</v>
      </c>
      <c r="M566" s="128"/>
      <c r="N566" s="128"/>
      <c r="O566" s="59" t="s">
        <v>789</v>
      </c>
      <c r="P566" s="130"/>
      <c r="Q566" s="129"/>
      <c r="R566"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BLK6MVP</v>
      </c>
      <c r="S566" s="131">
        <f>_xlfn.XLOOKUP(PA[[#This Row],[Affected Equipment ]],'Basic Data '!$A:$A,'Basic Data '!$B:$B)</f>
        <v>8976</v>
      </c>
      <c r="T566" s="132">
        <f>IFERROR(_xlfn.XLOOKUP(PA[[#This Row],[Affected Equipment ]],'Basic Data '!A:A,'Basic Data '!C:C),"")</f>
        <v>0.13447191011235954</v>
      </c>
      <c r="U566" s="128" t="s">
        <v>566</v>
      </c>
      <c r="V566" s="117"/>
      <c r="W566" s="265" t="s">
        <v>1365</v>
      </c>
      <c r="X566" s="359">
        <v>0.47569444444444442</v>
      </c>
      <c r="Y566" s="359">
        <v>0.47569444444444442</v>
      </c>
      <c r="Z566" s="359">
        <v>0.47569444444444442</v>
      </c>
      <c r="AA566" s="359">
        <v>0.59375</v>
      </c>
      <c r="AB566" s="159">
        <f>IF(PA[[#This Row],[Acknowledgement Time ]]="NA","",(PA[[#This Row],[Acknowledgement Time ]]-PA[[#This Row],[Fault Time]])*24)</f>
        <v>0</v>
      </c>
      <c r="AC566" s="159">
        <f>IF(PA[[#This Row],[Work Start time on Fault]]="NA","",(PA[[#This Row],[Work Start time on Fault]]-PA[[#This Row],[Fault Time]])*24)</f>
        <v>0</v>
      </c>
      <c r="AD566" s="135">
        <f>IF(PA[[#This Row],[Status]]="Open","",(PA[[#This Row],[Work Completion time on fault]]-PA[[#This Row],[Fault Time]])*24)</f>
        <v>2.8333333333333339</v>
      </c>
      <c r="AE566" s="134">
        <f>IFERROR((PA[[#This Row],[Work Completion time on fault]]-PA[[#This Row],[Fault Time]])*24,"")</f>
        <v>2.8333333333333339</v>
      </c>
      <c r="AF566" s="228" t="s">
        <v>1365</v>
      </c>
      <c r="AG566" s="6" t="s">
        <v>1275</v>
      </c>
      <c r="AH566" s="131">
        <f>IFERROR(PA[[#This Row],[Breakdown Time]]*PA[[#This Row],[Plant Equivalent Weightage]],"")</f>
        <v>0.38100374531835213</v>
      </c>
      <c r="AI566" s="128"/>
      <c r="AJ566" s="89">
        <f>IFERROR(IF(PA[[#This Row],[Lost PoA(kWh/m2)]]&gt;0,_xlfn.XLOOKUP(G566,'Modelling New'!$D:$D,'Modelling New'!$O:$O)*PA[[#This Row],[Lost PoA(kWh/m2)]]*S566,0),"")</f>
        <v>0</v>
      </c>
      <c r="AK566" s="365"/>
      <c r="AL566" s="365"/>
    </row>
    <row r="567" spans="1:38" ht="30" x14ac:dyDescent="0.25">
      <c r="A567" s="229">
        <v>2259</v>
      </c>
      <c r="B567" s="376">
        <v>45853</v>
      </c>
      <c r="C567" s="163">
        <v>2025</v>
      </c>
      <c r="D567" s="348">
        <f>YEAR(PA[[#This Row],[Date]])</f>
        <v>2025</v>
      </c>
      <c r="E567" s="373" t="s">
        <v>73</v>
      </c>
      <c r="F567" s="374" t="s">
        <v>73</v>
      </c>
      <c r="G567" s="323">
        <v>45809</v>
      </c>
      <c r="H567" s="354">
        <f>DAY(EOMONTH(PA[[#This Row],[Date]], 0))</f>
        <v>31</v>
      </c>
      <c r="I567" s="361">
        <v>0.21458333333333335</v>
      </c>
      <c r="J567" s="361">
        <v>0.77708333333333324</v>
      </c>
      <c r="K567" s="53">
        <f>IFERROR((PA[[#This Row],[Sunset Time (POA&lt;20 W/m2)]]-PA[[#This Row],[Sunrise Time (POA&gt;20 W/m2)]])*24,"")</f>
        <v>13.499999999999996</v>
      </c>
      <c r="L567" s="59" t="s">
        <v>564</v>
      </c>
      <c r="M567" s="59"/>
      <c r="N567" s="59"/>
      <c r="O567" s="59" t="s">
        <v>789</v>
      </c>
      <c r="P567" s="56"/>
      <c r="Q567" s="6"/>
      <c r="R567"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567" s="53">
        <f>_xlfn.XLOOKUP(PA[[#This Row],[Affected Equipment ]],'Basic Data '!$A:$A,'Basic Data '!$B:$B)</f>
        <v>8864.75</v>
      </c>
      <c r="T567" s="90">
        <f>IFERROR(_xlfn.XLOOKUP(PA[[#This Row],[Affected Equipment ]],'Basic Data '!A:A,'Basic Data '!C:C),"")</f>
        <v>0.13280524344569289</v>
      </c>
      <c r="U567" s="128" t="s">
        <v>566</v>
      </c>
      <c r="V567" s="88"/>
      <c r="W567" s="265" t="s">
        <v>1366</v>
      </c>
      <c r="X567" s="359">
        <v>0.46527777777777773</v>
      </c>
      <c r="Y567" s="359">
        <v>0.46527777777777773</v>
      </c>
      <c r="Z567" s="359">
        <v>0.46527777777777773</v>
      </c>
      <c r="AA567" s="359">
        <v>0.5625</v>
      </c>
      <c r="AB567" s="158">
        <f>IF(PA[[#This Row],[Acknowledgement Time ]]="NA","",(PA[[#This Row],[Acknowledgement Time ]]-PA[[#This Row],[Fault Time]])*24)</f>
        <v>0</v>
      </c>
      <c r="AC567" s="158">
        <f>IF(PA[[#This Row],[Work Start time on Fault]]="NA","",(PA[[#This Row],[Work Start time on Fault]]-PA[[#This Row],[Fault Time]])*24)</f>
        <v>0</v>
      </c>
      <c r="AD567" s="112">
        <f>IF(PA[[#This Row],[Status]]="Open","",(PA[[#This Row],[Work Completion time on fault]]-PA[[#This Row],[Fault Time]])*24)</f>
        <v>2.3333333333333344</v>
      </c>
      <c r="AE567" s="111">
        <f>IFERROR((PA[[#This Row],[Work Completion time on fault]]-PA[[#This Row],[Fault Time]])*24,"")</f>
        <v>2.3333333333333344</v>
      </c>
      <c r="AF567" s="228" t="s">
        <v>1366</v>
      </c>
      <c r="AG567" s="6" t="s">
        <v>1275</v>
      </c>
      <c r="AH567" s="53">
        <f>IFERROR(PA[[#This Row],[Breakdown Time]]*PA[[#This Row],[Plant Equivalent Weightage]],"")</f>
        <v>0.30987890137328356</v>
      </c>
      <c r="AI567" s="59"/>
      <c r="AJ567" s="89">
        <f>IFERROR(IF(PA[[#This Row],[Lost PoA(kWh/m2)]]&gt;0,_xlfn.XLOOKUP(G567,'Modelling New'!$D:$D,'Modelling New'!$O:$O)*PA[[#This Row],[Lost PoA(kWh/m2)]]*S567,0),"")</f>
        <v>0</v>
      </c>
      <c r="AK567" s="354"/>
      <c r="AL567" s="354"/>
    </row>
    <row r="568" spans="1:38" ht="30" x14ac:dyDescent="0.25">
      <c r="A568" s="229">
        <v>2260</v>
      </c>
      <c r="B568" s="376">
        <v>45853</v>
      </c>
      <c r="C568" s="163">
        <v>2025</v>
      </c>
      <c r="D568" s="348">
        <f>YEAR(PA[[#This Row],[Date]])</f>
        <v>2025</v>
      </c>
      <c r="E568" s="373" t="s">
        <v>73</v>
      </c>
      <c r="F568" s="374" t="s">
        <v>73</v>
      </c>
      <c r="G568" s="323">
        <v>45809</v>
      </c>
      <c r="H568" s="354">
        <f>DAY(EOMONTH(PA[[#This Row],[Date]], 0))</f>
        <v>31</v>
      </c>
      <c r="I568" s="361">
        <v>0.21458333333333335</v>
      </c>
      <c r="J568" s="361">
        <v>0.77708333333333324</v>
      </c>
      <c r="K568" s="53">
        <f>IFERROR((PA[[#This Row],[Sunset Time (POA&lt;20 W/m2)]]-PA[[#This Row],[Sunrise Time (POA&gt;20 W/m2)]])*24,"")</f>
        <v>13.499999999999996</v>
      </c>
      <c r="L568" s="59" t="s">
        <v>587</v>
      </c>
      <c r="M568" s="59"/>
      <c r="N568" s="59"/>
      <c r="O568" s="59" t="s">
        <v>789</v>
      </c>
      <c r="P568" s="56"/>
      <c r="Q568" s="6"/>
      <c r="R568"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568" s="53">
        <f>_xlfn.XLOOKUP(PA[[#This Row],[Affected Equipment ]],'Basic Data '!$A:$A,'Basic Data '!$B:$B)</f>
        <v>8944.5</v>
      </c>
      <c r="T568" s="90">
        <f>IFERROR(_xlfn.XLOOKUP(PA[[#This Row],[Affected Equipment ]],'Basic Data '!A:A,'Basic Data '!C:C),"")</f>
        <v>0.13400000000000001</v>
      </c>
      <c r="U568" s="128" t="s">
        <v>566</v>
      </c>
      <c r="V568" s="88"/>
      <c r="W568" s="265" t="s">
        <v>1366</v>
      </c>
      <c r="X568" s="359">
        <v>0.46527777777777773</v>
      </c>
      <c r="Y568" s="359">
        <v>0.46527777777777773</v>
      </c>
      <c r="Z568" s="359">
        <v>0.46527777777777773</v>
      </c>
      <c r="AA568" s="359">
        <v>0.5625</v>
      </c>
      <c r="AB568" s="158">
        <f>IF(PA[[#This Row],[Acknowledgement Time ]]="NA","",(PA[[#This Row],[Acknowledgement Time ]]-PA[[#This Row],[Fault Time]])*24)</f>
        <v>0</v>
      </c>
      <c r="AC568" s="158">
        <f>IF(PA[[#This Row],[Work Start time on Fault]]="NA","",(PA[[#This Row],[Work Start time on Fault]]-PA[[#This Row],[Fault Time]])*24)</f>
        <v>0</v>
      </c>
      <c r="AD568" s="112">
        <f>IF(PA[[#This Row],[Status]]="Open","",(PA[[#This Row],[Work Completion time on fault]]-PA[[#This Row],[Fault Time]])*24)</f>
        <v>2.3333333333333344</v>
      </c>
      <c r="AE568" s="111">
        <f>IFERROR((PA[[#This Row],[Work Completion time on fault]]-PA[[#This Row],[Fault Time]])*24,"")</f>
        <v>2.3333333333333344</v>
      </c>
      <c r="AF568" s="228" t="s">
        <v>1366</v>
      </c>
      <c r="AG568" s="6" t="s">
        <v>1275</v>
      </c>
      <c r="AH568" s="53">
        <f>IFERROR(PA[[#This Row],[Breakdown Time]]*PA[[#This Row],[Plant Equivalent Weightage]],"")</f>
        <v>0.31266666666666681</v>
      </c>
      <c r="AI568" s="59"/>
      <c r="AJ568" s="89">
        <f>IFERROR(IF(PA[[#This Row],[Lost PoA(kWh/m2)]]&gt;0,_xlfn.XLOOKUP(G568,'Modelling New'!$D:$D,'Modelling New'!$O:$O)*PA[[#This Row],[Lost PoA(kWh/m2)]]*S568,0),"")</f>
        <v>0</v>
      </c>
      <c r="AK568" s="354"/>
      <c r="AL568" s="354"/>
    </row>
    <row r="569" spans="1:38" ht="30" x14ac:dyDescent="0.25">
      <c r="A569" s="229">
        <v>2261</v>
      </c>
      <c r="B569" s="376">
        <v>45853</v>
      </c>
      <c r="C569" s="163">
        <v>2025</v>
      </c>
      <c r="D569" s="348">
        <f>YEAR(PA[[#This Row],[Date]])</f>
        <v>2025</v>
      </c>
      <c r="E569" s="373" t="s">
        <v>73</v>
      </c>
      <c r="F569" s="374" t="s">
        <v>73</v>
      </c>
      <c r="G569" s="323">
        <v>45809</v>
      </c>
      <c r="H569" s="354">
        <f>DAY(EOMONTH(PA[[#This Row],[Date]], 0))</f>
        <v>31</v>
      </c>
      <c r="I569" s="361">
        <v>0.21458333333333335</v>
      </c>
      <c r="J569" s="361">
        <v>0.77708333333333324</v>
      </c>
      <c r="K569" s="53">
        <f>IFERROR((PA[[#This Row],[Sunset Time (POA&lt;20 W/m2)]]-PA[[#This Row],[Sunrise Time (POA&gt;20 W/m2)]])*24,"")</f>
        <v>13.499999999999996</v>
      </c>
      <c r="L569" s="59" t="s">
        <v>559</v>
      </c>
      <c r="M569" s="59"/>
      <c r="N569" s="59"/>
      <c r="O569" s="59" t="s">
        <v>789</v>
      </c>
      <c r="P569" s="56"/>
      <c r="Q569" s="6"/>
      <c r="R569"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569" s="53">
        <f>_xlfn.XLOOKUP(PA[[#This Row],[Affected Equipment ]],'Basic Data '!$A:$A,'Basic Data '!$B:$B)</f>
        <v>8343.75</v>
      </c>
      <c r="T569" s="90">
        <f>IFERROR(_xlfn.XLOOKUP(PA[[#This Row],[Affected Equipment ]],'Basic Data '!A:A,'Basic Data '!C:C),"")</f>
        <v>0.125</v>
      </c>
      <c r="U569" s="128" t="s">
        <v>566</v>
      </c>
      <c r="V569" s="88"/>
      <c r="W569" s="265" t="s">
        <v>1366</v>
      </c>
      <c r="X569" s="359">
        <v>0.46527777777777773</v>
      </c>
      <c r="Y569" s="359">
        <v>0.46527777777777773</v>
      </c>
      <c r="Z569" s="359">
        <v>0.46527777777777773</v>
      </c>
      <c r="AA569" s="359">
        <v>0.5625</v>
      </c>
      <c r="AB569" s="158">
        <f>IF(PA[[#This Row],[Acknowledgement Time ]]="NA","",(PA[[#This Row],[Acknowledgement Time ]]-PA[[#This Row],[Fault Time]])*24)</f>
        <v>0</v>
      </c>
      <c r="AC569" s="158">
        <f>IF(PA[[#This Row],[Work Start time on Fault]]="NA","",(PA[[#This Row],[Work Start time on Fault]]-PA[[#This Row],[Fault Time]])*24)</f>
        <v>0</v>
      </c>
      <c r="AD569" s="112">
        <f>IF(PA[[#This Row],[Status]]="Open","",(PA[[#This Row],[Work Completion time on fault]]-PA[[#This Row],[Fault Time]])*24)</f>
        <v>2.3333333333333344</v>
      </c>
      <c r="AE569" s="111">
        <f>IFERROR((PA[[#This Row],[Work Completion time on fault]]-PA[[#This Row],[Fault Time]])*24,"")</f>
        <v>2.3333333333333344</v>
      </c>
      <c r="AF569" s="228" t="s">
        <v>1366</v>
      </c>
      <c r="AG569" s="6" t="s">
        <v>1275</v>
      </c>
      <c r="AH569" s="53">
        <f>IFERROR(PA[[#This Row],[Breakdown Time]]*PA[[#This Row],[Plant Equivalent Weightage]],"")</f>
        <v>0.2916666666666668</v>
      </c>
      <c r="AI569" s="59"/>
      <c r="AJ569" s="89">
        <f>IFERROR(IF(PA[[#This Row],[Lost PoA(kWh/m2)]]&gt;0,_xlfn.XLOOKUP(G569,'Modelling New'!$D:$D,'Modelling New'!$O:$O)*PA[[#This Row],[Lost PoA(kWh/m2)]]*S569,0),"")</f>
        <v>0</v>
      </c>
      <c r="AK569" s="354"/>
      <c r="AL569" s="354"/>
    </row>
    <row r="570" spans="1:38" ht="30" x14ac:dyDescent="0.25">
      <c r="A570" s="229">
        <v>2262</v>
      </c>
      <c r="B570" s="376">
        <v>45853</v>
      </c>
      <c r="C570" s="163">
        <v>2025</v>
      </c>
      <c r="D570" s="364">
        <f>YEAR(PA[[#This Row],[Date]])</f>
        <v>2025</v>
      </c>
      <c r="E570" s="373" t="s">
        <v>73</v>
      </c>
      <c r="F570" s="374" t="s">
        <v>73</v>
      </c>
      <c r="G570" s="323">
        <v>45809</v>
      </c>
      <c r="H570" s="365">
        <f>DAY(EOMONTH(PA[[#This Row],[Date]], 0))</f>
        <v>31</v>
      </c>
      <c r="I570" s="361">
        <v>0.21458333333333335</v>
      </c>
      <c r="J570" s="361">
        <v>0.77708333333333324</v>
      </c>
      <c r="K570" s="131">
        <f>IFERROR((PA[[#This Row],[Sunset Time (POA&lt;20 W/m2)]]-PA[[#This Row],[Sunrise Time (POA&gt;20 W/m2)]])*24,"")</f>
        <v>13.499999999999996</v>
      </c>
      <c r="L570" s="128" t="s">
        <v>615</v>
      </c>
      <c r="M570" s="128"/>
      <c r="N570" s="128"/>
      <c r="O570" s="128" t="s">
        <v>789</v>
      </c>
      <c r="P570" s="130"/>
      <c r="Q570" s="129"/>
      <c r="R570"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BLK6MVP</v>
      </c>
      <c r="S570" s="131">
        <f>_xlfn.XLOOKUP(PA[[#This Row],[Affected Equipment ]],'Basic Data '!$A:$A,'Basic Data '!$B:$B)</f>
        <v>8976</v>
      </c>
      <c r="T570" s="132">
        <f>IFERROR(_xlfn.XLOOKUP(PA[[#This Row],[Affected Equipment ]],'Basic Data '!A:A,'Basic Data '!C:C),"")</f>
        <v>0.13447191011235954</v>
      </c>
      <c r="U570" s="128" t="s">
        <v>566</v>
      </c>
      <c r="V570" s="117"/>
      <c r="W570" s="265" t="s">
        <v>1367</v>
      </c>
      <c r="X570" s="359">
        <v>0.46527777777777773</v>
      </c>
      <c r="Y570" s="359">
        <v>0.46527777777777773</v>
      </c>
      <c r="Z570" s="359">
        <v>0.46527777777777773</v>
      </c>
      <c r="AA570" s="359">
        <v>0.5625</v>
      </c>
      <c r="AB570" s="159">
        <f>IF(PA[[#This Row],[Acknowledgement Time ]]="NA","",(PA[[#This Row],[Acknowledgement Time ]]-PA[[#This Row],[Fault Time]])*24)</f>
        <v>0</v>
      </c>
      <c r="AC570" s="159">
        <f>IF(PA[[#This Row],[Work Start time on Fault]]="NA","",(PA[[#This Row],[Work Start time on Fault]]-PA[[#This Row],[Fault Time]])*24)</f>
        <v>0</v>
      </c>
      <c r="AD570" s="135">
        <f>IF(PA[[#This Row],[Status]]="Open","",(PA[[#This Row],[Work Completion time on fault]]-PA[[#This Row],[Fault Time]])*24)</f>
        <v>2.3333333333333344</v>
      </c>
      <c r="AE570" s="134">
        <f>IFERROR((PA[[#This Row],[Work Completion time on fault]]-PA[[#This Row],[Fault Time]])*24,"")</f>
        <v>2.3333333333333344</v>
      </c>
      <c r="AF570" s="226" t="s">
        <v>1367</v>
      </c>
      <c r="AG570" s="6" t="s">
        <v>1275</v>
      </c>
      <c r="AH570" s="131">
        <f>IFERROR(PA[[#This Row],[Breakdown Time]]*PA[[#This Row],[Plant Equivalent Weightage]],"")</f>
        <v>0.31376779026217239</v>
      </c>
      <c r="AI570" s="128"/>
      <c r="AJ570" s="89">
        <f>IFERROR(IF(PA[[#This Row],[Lost PoA(kWh/m2)]]&gt;0,_xlfn.XLOOKUP(G570,'Modelling New'!$D:$D,'Modelling New'!$O:$O)*PA[[#This Row],[Lost PoA(kWh/m2)]]*S570,0),"")</f>
        <v>0</v>
      </c>
      <c r="AK570" s="365"/>
      <c r="AL570" s="365"/>
    </row>
    <row r="571" spans="1:38" ht="45" x14ac:dyDescent="0.25">
      <c r="A571" s="229">
        <v>2263</v>
      </c>
      <c r="B571" s="376">
        <v>45853</v>
      </c>
      <c r="C571" s="163">
        <v>2025</v>
      </c>
      <c r="D571" s="364">
        <f>YEAR(PA[[#This Row],[Date]])</f>
        <v>2025</v>
      </c>
      <c r="E571" s="373" t="s">
        <v>73</v>
      </c>
      <c r="F571" s="374" t="s">
        <v>73</v>
      </c>
      <c r="G571" s="323">
        <v>45809</v>
      </c>
      <c r="H571" s="365">
        <f>DAY(EOMONTH(PA[[#This Row],[Date]], 0))</f>
        <v>31</v>
      </c>
      <c r="I571" s="361">
        <v>0.21458333333333335</v>
      </c>
      <c r="J571" s="361">
        <v>0.77708333333333324</v>
      </c>
      <c r="K571" s="131">
        <f>IFERROR((PA[[#This Row],[Sunset Time (POA&lt;20 W/m2)]]-PA[[#This Row],[Sunrise Time (POA&gt;20 W/m2)]])*24,"")</f>
        <v>13.499999999999996</v>
      </c>
      <c r="L571" s="128" t="s">
        <v>579</v>
      </c>
      <c r="M571" s="128"/>
      <c r="N571" s="128"/>
      <c r="O571" s="128" t="s">
        <v>654</v>
      </c>
      <c r="P571" s="130"/>
      <c r="Q571" s="129"/>
      <c r="R571"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BLK8INV26</v>
      </c>
      <c r="S571" s="131">
        <v>40.200000000000003</v>
      </c>
      <c r="T571" s="132">
        <f>IFERROR(_xlfn.XLOOKUP(PA[[#This Row],[Affected Equipment ]],'Basic Data '!A:A,'Basic Data '!C:C),"")</f>
        <v>4.0651685393258419E-3</v>
      </c>
      <c r="U571" s="128" t="s">
        <v>773</v>
      </c>
      <c r="V571" s="117"/>
      <c r="W571" s="375" t="s">
        <v>1368</v>
      </c>
      <c r="X571" s="366">
        <v>0.41666666666666669</v>
      </c>
      <c r="Y571" s="366">
        <v>0.41666666666666669</v>
      </c>
      <c r="Z571" s="366">
        <v>0.41666666666666669</v>
      </c>
      <c r="AA571" s="366">
        <v>0.77708333333333324</v>
      </c>
      <c r="AB571" s="159">
        <f>IF(PA[[#This Row],[Acknowledgement Time ]]="NA","",(PA[[#This Row],[Acknowledgement Time ]]-PA[[#This Row],[Fault Time]])*24)</f>
        <v>0</v>
      </c>
      <c r="AC571" s="159">
        <f>IF(PA[[#This Row],[Work Start time on Fault]]="NA","",(PA[[#This Row],[Work Start time on Fault]]-PA[[#This Row],[Fault Time]])*24)</f>
        <v>0</v>
      </c>
      <c r="AD571" s="135" t="str">
        <f>IF(PA[[#This Row],[Status]]="Open","",(PA[[#This Row],[Work Completion time on fault]]-PA[[#This Row],[Fault Time]])*24)</f>
        <v/>
      </c>
      <c r="AE571" s="134">
        <f>IFERROR((PA[[#This Row],[Work Completion time on fault]]-PA[[#This Row],[Fault Time]])*24,"")</f>
        <v>8.6499999999999968</v>
      </c>
      <c r="AF571" s="226" t="s">
        <v>1368</v>
      </c>
      <c r="AG571" s="6" t="s">
        <v>1369</v>
      </c>
      <c r="AH571" s="131">
        <f>IFERROR(PA[[#This Row],[Breakdown Time]]*PA[[#This Row],[Plant Equivalent Weightage]],"")</f>
        <v>3.5163707865168523E-2</v>
      </c>
      <c r="AI571" s="128">
        <v>3.06</v>
      </c>
      <c r="AJ571" s="89">
        <f>IFERROR(IF(PA[[#This Row],[Lost PoA(kWh/m2)]]&gt;0,_xlfn.XLOOKUP(G571,'Modelling New'!$D:$D,'Modelling New'!$O:$O)*PA[[#This Row],[Lost PoA(kWh/m2)]]*S571,0),"")</f>
        <v>93.506656130253873</v>
      </c>
      <c r="AK571" s="365"/>
      <c r="AL571" s="365"/>
    </row>
    <row r="572" spans="1:38" ht="45" x14ac:dyDescent="0.25">
      <c r="A572" s="229">
        <v>2263</v>
      </c>
      <c r="B572" s="376">
        <v>45854</v>
      </c>
      <c r="C572" s="163">
        <v>2025</v>
      </c>
      <c r="D572" s="364">
        <f>YEAR(PA[[#This Row],[Date]])</f>
        <v>2025</v>
      </c>
      <c r="E572" s="373" t="s">
        <v>73</v>
      </c>
      <c r="F572" s="374" t="s">
        <v>73</v>
      </c>
      <c r="G572" s="323">
        <v>45809</v>
      </c>
      <c r="H572" s="365">
        <f>DAY(EOMONTH(PA[[#This Row],[Date]], 0))</f>
        <v>31</v>
      </c>
      <c r="I572" s="361">
        <v>0.22361111111111109</v>
      </c>
      <c r="J572" s="361">
        <v>0.77847222222222223</v>
      </c>
      <c r="K572" s="131">
        <f>IFERROR((PA[[#This Row],[Sunset Time (POA&lt;20 W/m2)]]-PA[[#This Row],[Sunrise Time (POA&gt;20 W/m2)]])*24,"")</f>
        <v>13.316666666666666</v>
      </c>
      <c r="L572" s="128" t="s">
        <v>579</v>
      </c>
      <c r="M572" s="128"/>
      <c r="N572" s="128"/>
      <c r="O572" s="128" t="s">
        <v>654</v>
      </c>
      <c r="P572" s="130"/>
      <c r="Q572" s="129"/>
      <c r="R572"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BLK8INV26</v>
      </c>
      <c r="S572" s="131">
        <v>40.200000000000003</v>
      </c>
      <c r="T572" s="132">
        <f>IFERROR(_xlfn.XLOOKUP(PA[[#This Row],[Affected Equipment ]],'Basic Data '!A:A,'Basic Data '!C:C),"")</f>
        <v>4.0651685393258419E-3</v>
      </c>
      <c r="U572" s="128" t="s">
        <v>773</v>
      </c>
      <c r="V572" s="117"/>
      <c r="W572" s="375" t="s">
        <v>1368</v>
      </c>
      <c r="X572" s="366">
        <v>0.22361111111111109</v>
      </c>
      <c r="Y572" s="366">
        <v>0.22361111111111109</v>
      </c>
      <c r="Z572" s="366">
        <v>0.22361111111111109</v>
      </c>
      <c r="AA572" s="366">
        <v>0.77847222222222223</v>
      </c>
      <c r="AB572" s="159">
        <f>IF(PA[[#This Row],[Acknowledgement Time ]]="NA","",(PA[[#This Row],[Acknowledgement Time ]]-PA[[#This Row],[Fault Time]])*24)</f>
        <v>0</v>
      </c>
      <c r="AC572" s="159">
        <f>IF(PA[[#This Row],[Work Start time on Fault]]="NA","",(PA[[#This Row],[Work Start time on Fault]]-PA[[#This Row],[Fault Time]])*24)</f>
        <v>0</v>
      </c>
      <c r="AD572" s="135" t="str">
        <f>IF(PA[[#This Row],[Status]]="Open","",(PA[[#This Row],[Work Completion time on fault]]-PA[[#This Row],[Fault Time]])*24)</f>
        <v/>
      </c>
      <c r="AE572" s="134">
        <f>IFERROR((PA[[#This Row],[Work Completion time on fault]]-PA[[#This Row],[Fault Time]])*24,"")</f>
        <v>13.316666666666666</v>
      </c>
      <c r="AF572" s="226" t="s">
        <v>1368</v>
      </c>
      <c r="AG572" s="6" t="s">
        <v>1369</v>
      </c>
      <c r="AH572" s="131">
        <f>IFERROR(PA[[#This Row],[Breakdown Time]]*PA[[#This Row],[Plant Equivalent Weightage]],"")</f>
        <v>5.4134494382022461E-2</v>
      </c>
      <c r="AI572" s="128">
        <v>3.55</v>
      </c>
      <c r="AJ572" s="89">
        <f>IFERROR(IF(PA[[#This Row],[Lost PoA(kWh/m2)]]&gt;0,_xlfn.XLOOKUP(G572,'Modelling New'!$D:$D,'Modelling New'!$O:$O)*PA[[#This Row],[Lost PoA(kWh/m2)]]*S572,0),"")</f>
        <v>108.4799442033991</v>
      </c>
      <c r="AK572" s="365"/>
      <c r="AL572" s="365"/>
    </row>
    <row r="573" spans="1:38" ht="45" x14ac:dyDescent="0.25">
      <c r="A573" s="229">
        <v>2264</v>
      </c>
      <c r="B573" s="376">
        <v>45855</v>
      </c>
      <c r="C573" s="163">
        <v>2025</v>
      </c>
      <c r="D573" s="364">
        <f>YEAR(PA[[#This Row],[Date]])</f>
        <v>2025</v>
      </c>
      <c r="E573" s="373" t="s">
        <v>73</v>
      </c>
      <c r="F573" s="374" t="s">
        <v>73</v>
      </c>
      <c r="G573" s="323">
        <v>45809</v>
      </c>
      <c r="H573" s="365">
        <f>DAY(EOMONTH(PA[[#This Row],[Date]], 0))</f>
        <v>31</v>
      </c>
      <c r="I573" s="10">
        <v>0.22500000000000001</v>
      </c>
      <c r="J573" s="10">
        <v>0.76736111111111116</v>
      </c>
      <c r="K573" s="131">
        <f>IFERROR((PA[[#This Row],[Sunset Time (POA&lt;20 W/m2)]]-PA[[#This Row],[Sunrise Time (POA&gt;20 W/m2)]])*24,"")</f>
        <v>13.016666666666669</v>
      </c>
      <c r="L573" s="128" t="s">
        <v>579</v>
      </c>
      <c r="M573" s="128"/>
      <c r="N573" s="128"/>
      <c r="O573" s="128" t="s">
        <v>654</v>
      </c>
      <c r="P573" s="130"/>
      <c r="Q573" s="129"/>
      <c r="R573"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BLK8INV26</v>
      </c>
      <c r="S573" s="131">
        <v>40.200000000000003</v>
      </c>
      <c r="T573" s="132">
        <f>IFERROR(_xlfn.XLOOKUP(PA[[#This Row],[Affected Equipment ]],'Basic Data '!A:A,'Basic Data '!C:C),"")</f>
        <v>4.0651685393258419E-3</v>
      </c>
      <c r="U573" s="128" t="s">
        <v>773</v>
      </c>
      <c r="V573" s="117"/>
      <c r="W573" s="375" t="s">
        <v>1368</v>
      </c>
      <c r="X573" s="366">
        <v>0.22500000000000001</v>
      </c>
      <c r="Y573" s="366">
        <v>0.22500000000000001</v>
      </c>
      <c r="Z573" s="366">
        <v>0.22500000000000001</v>
      </c>
      <c r="AA573" s="366">
        <v>0.76736111111111116</v>
      </c>
      <c r="AB573" s="159">
        <f>IF(PA[[#This Row],[Acknowledgement Time ]]="NA","",(PA[[#This Row],[Acknowledgement Time ]]-PA[[#This Row],[Fault Time]])*24)</f>
        <v>0</v>
      </c>
      <c r="AC573" s="159">
        <f>IF(PA[[#This Row],[Work Start time on Fault]]="NA","",(PA[[#This Row],[Work Start time on Fault]]-PA[[#This Row],[Fault Time]])*24)</f>
        <v>0</v>
      </c>
      <c r="AD573" s="135" t="str">
        <f>IF(PA[[#This Row],[Status]]="Open","",(PA[[#This Row],[Work Completion time on fault]]-PA[[#This Row],[Fault Time]])*24)</f>
        <v/>
      </c>
      <c r="AE573" s="134">
        <f>IFERROR((PA[[#This Row],[Work Completion time on fault]]-PA[[#This Row],[Fault Time]])*24,"")</f>
        <v>13.016666666666669</v>
      </c>
      <c r="AF573" s="226" t="s">
        <v>1368</v>
      </c>
      <c r="AG573" s="6" t="s">
        <v>1369</v>
      </c>
      <c r="AH573" s="131">
        <f>IFERROR(PA[[#This Row],[Breakdown Time]]*PA[[#This Row],[Plant Equivalent Weightage]],"")</f>
        <v>5.291494382022472E-2</v>
      </c>
      <c r="AI573" s="128">
        <v>3.55</v>
      </c>
      <c r="AJ573" s="89">
        <f>IFERROR(IF(PA[[#This Row],[Lost PoA(kWh/m2)]]&gt;0,_xlfn.XLOOKUP(G573,'Modelling New'!$D:$D,'Modelling New'!$O:$O)*PA[[#This Row],[Lost PoA(kWh/m2)]]*S573,0),"")</f>
        <v>108.4799442033991</v>
      </c>
      <c r="AK573" s="365"/>
      <c r="AL573" s="365"/>
    </row>
    <row r="574" spans="1:38" ht="45" x14ac:dyDescent="0.25">
      <c r="A574" s="229">
        <v>2265</v>
      </c>
      <c r="B574" s="376">
        <v>45856</v>
      </c>
      <c r="C574" s="163">
        <v>2025</v>
      </c>
      <c r="D574" s="364">
        <f>YEAR(PA[[#This Row],[Date]])</f>
        <v>2025</v>
      </c>
      <c r="E574" s="373" t="s">
        <v>73</v>
      </c>
      <c r="F574" s="374" t="s">
        <v>73</v>
      </c>
      <c r="G574" s="323">
        <v>45809</v>
      </c>
      <c r="H574" s="365">
        <f>DAY(EOMONTH(PA[[#This Row],[Date]], 0))</f>
        <v>31</v>
      </c>
      <c r="I574" s="10">
        <v>0.23124999999999998</v>
      </c>
      <c r="J574" s="10">
        <v>0.76736111111111116</v>
      </c>
      <c r="K574" s="131">
        <f>IFERROR((PA[[#This Row],[Sunset Time (POA&lt;20 W/m2)]]-PA[[#This Row],[Sunrise Time (POA&gt;20 W/m2)]])*24,"")</f>
        <v>12.866666666666669</v>
      </c>
      <c r="L574" s="128" t="s">
        <v>579</v>
      </c>
      <c r="M574" s="128"/>
      <c r="N574" s="128"/>
      <c r="O574" s="128" t="s">
        <v>654</v>
      </c>
      <c r="P574" s="130"/>
      <c r="Q574" s="129"/>
      <c r="R574"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BLK8INV26</v>
      </c>
      <c r="S574" s="131">
        <v>40.200000000000003</v>
      </c>
      <c r="T574" s="132">
        <f>IFERROR(_xlfn.XLOOKUP(PA[[#This Row],[Affected Equipment ]],'Basic Data '!A:A,'Basic Data '!C:C),"")</f>
        <v>4.0651685393258419E-3</v>
      </c>
      <c r="U574" s="128" t="s">
        <v>773</v>
      </c>
      <c r="V574" s="117"/>
      <c r="W574" s="375" t="s">
        <v>1368</v>
      </c>
      <c r="X574" s="381">
        <v>0.23124999999999998</v>
      </c>
      <c r="Y574" s="381">
        <v>0.23124999999999998</v>
      </c>
      <c r="Z574" s="381">
        <v>0.23124999999999998</v>
      </c>
      <c r="AA574" s="366">
        <v>0.76736111111111116</v>
      </c>
      <c r="AB574" s="159">
        <f>IF(PA[[#This Row],[Acknowledgement Time ]]="NA","",(PA[[#This Row],[Acknowledgement Time ]]-PA[[#This Row],[Fault Time]])*24)</f>
        <v>0</v>
      </c>
      <c r="AC574" s="159">
        <f>IF(PA[[#This Row],[Work Start time on Fault]]="NA","",(PA[[#This Row],[Work Start time on Fault]]-PA[[#This Row],[Fault Time]])*24)</f>
        <v>0</v>
      </c>
      <c r="AD574" s="135" t="str">
        <f>IF(PA[[#This Row],[Status]]="Open","",(PA[[#This Row],[Work Completion time on fault]]-PA[[#This Row],[Fault Time]])*24)</f>
        <v/>
      </c>
      <c r="AE574" s="134">
        <f>IFERROR((PA[[#This Row],[Work Completion time on fault]]-PA[[#This Row],[Fault Time]])*24,"")</f>
        <v>12.866666666666669</v>
      </c>
      <c r="AF574" s="226" t="s">
        <v>1368</v>
      </c>
      <c r="AG574" s="6" t="s">
        <v>1369</v>
      </c>
      <c r="AH574" s="131">
        <f>IFERROR(PA[[#This Row],[Breakdown Time]]*PA[[#This Row],[Plant Equivalent Weightage]],"")</f>
        <v>5.230516853932584E-2</v>
      </c>
      <c r="AI574" s="128">
        <v>1.41</v>
      </c>
      <c r="AJ574" s="89">
        <f>IFERROR(IF(PA[[#This Row],[Lost PoA(kWh/m2)]]&gt;0,_xlfn.XLOOKUP(G574,'Modelling New'!$D:$D,'Modelling New'!$O:$O)*PA[[#This Row],[Lost PoA(kWh/m2)]]*S574,0),"")</f>
        <v>43.086400373744432</v>
      </c>
      <c r="AK574" s="365"/>
      <c r="AL574" s="365"/>
    </row>
    <row r="575" spans="1:38" ht="45" x14ac:dyDescent="0.25">
      <c r="A575" s="229">
        <v>2266</v>
      </c>
      <c r="B575" s="376">
        <v>45857</v>
      </c>
      <c r="C575" s="163">
        <v>2025</v>
      </c>
      <c r="D575" s="364">
        <f>YEAR(PA[[#This Row],[Date]])</f>
        <v>2025</v>
      </c>
      <c r="E575" s="373" t="s">
        <v>73</v>
      </c>
      <c r="F575" s="374" t="s">
        <v>73</v>
      </c>
      <c r="G575" s="323">
        <v>45809</v>
      </c>
      <c r="H575" s="365">
        <f>DAY(EOMONTH(PA[[#This Row],[Date]], 0))</f>
        <v>31</v>
      </c>
      <c r="I575" s="10">
        <v>0.21875</v>
      </c>
      <c r="J575" s="10">
        <v>0.77638888888888891</v>
      </c>
      <c r="K575" s="131">
        <f>IFERROR((PA[[#This Row],[Sunset Time (POA&lt;20 W/m2)]]-PA[[#This Row],[Sunrise Time (POA&gt;20 W/m2)]])*24,"")</f>
        <v>13.383333333333333</v>
      </c>
      <c r="L575" s="128" t="s">
        <v>579</v>
      </c>
      <c r="M575" s="128"/>
      <c r="N575" s="128"/>
      <c r="O575" s="128" t="s">
        <v>654</v>
      </c>
      <c r="P575" s="130"/>
      <c r="Q575" s="129"/>
      <c r="R575"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BLK8INV26</v>
      </c>
      <c r="S575" s="131">
        <v>40</v>
      </c>
      <c r="T575" s="132">
        <f>IFERROR(_xlfn.XLOOKUP(PA[[#This Row],[Affected Equipment ]],'Basic Data '!A:A,'Basic Data '!C:C),"")</f>
        <v>4.0651685393258419E-3</v>
      </c>
      <c r="U575" s="128" t="s">
        <v>773</v>
      </c>
      <c r="V575" s="117"/>
      <c r="W575" s="375" t="s">
        <v>1368</v>
      </c>
      <c r="X575" s="381">
        <v>0.21875</v>
      </c>
      <c r="Y575" s="381">
        <v>0.21875</v>
      </c>
      <c r="Z575" s="381">
        <v>0.21875</v>
      </c>
      <c r="AA575" s="366">
        <v>0.77638888888888891</v>
      </c>
      <c r="AB575" s="159">
        <f>IF(PA[[#This Row],[Acknowledgement Time ]]="NA","",(PA[[#This Row],[Acknowledgement Time ]]-PA[[#This Row],[Fault Time]])*24)</f>
        <v>0</v>
      </c>
      <c r="AC575" s="159">
        <f>IF(PA[[#This Row],[Work Start time on Fault]]="NA","",(PA[[#This Row],[Work Start time on Fault]]-PA[[#This Row],[Fault Time]])*24)</f>
        <v>0</v>
      </c>
      <c r="AD575" s="135" t="str">
        <f>IF(PA[[#This Row],[Status]]="Open","",(PA[[#This Row],[Work Completion time on fault]]-PA[[#This Row],[Fault Time]])*24)</f>
        <v/>
      </c>
      <c r="AE575" s="134">
        <f>IFERROR((PA[[#This Row],[Work Completion time on fault]]-PA[[#This Row],[Fault Time]])*24,"")</f>
        <v>13.383333333333333</v>
      </c>
      <c r="AF575" s="226" t="s">
        <v>1368</v>
      </c>
      <c r="AG575" s="6" t="s">
        <v>1369</v>
      </c>
      <c r="AH575" s="131">
        <f>IFERROR(PA[[#This Row],[Breakdown Time]]*PA[[#This Row],[Plant Equivalent Weightage]],"")</f>
        <v>5.4405505617977516E-2</v>
      </c>
      <c r="AI575" s="128">
        <v>5.84</v>
      </c>
      <c r="AJ575" s="89">
        <f>IFERROR(IF(PA[[#This Row],[Lost PoA(kWh/m2)]]&gt;0,_xlfn.XLOOKUP(G575,'Modelling New'!$D:$D,'Modelling New'!$O:$O)*PA[[#This Row],[Lost PoA(kWh/m2)]]*S575,0),"")</f>
        <v>177.56930114157402</v>
      </c>
      <c r="AK575" s="365"/>
      <c r="AL575" s="365"/>
    </row>
    <row r="576" spans="1:38" ht="45" x14ac:dyDescent="0.25">
      <c r="A576" s="229">
        <v>2267</v>
      </c>
      <c r="B576" s="376">
        <v>45857</v>
      </c>
      <c r="C576" s="163">
        <v>2025</v>
      </c>
      <c r="D576" s="364">
        <f>YEAR(PA[[#This Row],[Date]])</f>
        <v>2025</v>
      </c>
      <c r="E576" s="373" t="s">
        <v>73</v>
      </c>
      <c r="F576" s="374" t="s">
        <v>73</v>
      </c>
      <c r="G576" s="323">
        <v>45809</v>
      </c>
      <c r="H576" s="365">
        <f>DAY(EOMONTH(PA[[#This Row],[Date]], 0))</f>
        <v>31</v>
      </c>
      <c r="I576" s="10">
        <v>0.21875</v>
      </c>
      <c r="J576" s="10">
        <v>0.77638888888888891</v>
      </c>
      <c r="K576" s="131">
        <f>IFERROR((PA[[#This Row],[Sunset Time (POA&lt;20 W/m2)]]-PA[[#This Row],[Sunrise Time (POA&gt;20 W/m2)]])*24,"")</f>
        <v>13.383333333333333</v>
      </c>
      <c r="L576" s="128" t="s">
        <v>597</v>
      </c>
      <c r="M576" s="128"/>
      <c r="N576" s="128"/>
      <c r="O576" s="128" t="s">
        <v>594</v>
      </c>
      <c r="P576" s="130"/>
      <c r="Q576" s="129"/>
      <c r="R576"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BLK3INV10</v>
      </c>
      <c r="S576" s="131">
        <v>267</v>
      </c>
      <c r="T576" s="132">
        <f>IFERROR(_xlfn.XLOOKUP(PA[[#This Row],[Affected Equipment ]],'Basic Data '!A:A,'Basic Data '!C:C),"")</f>
        <v>4.0000000000000001E-3</v>
      </c>
      <c r="U576" s="128" t="s">
        <v>773</v>
      </c>
      <c r="V576" s="117"/>
      <c r="W576" s="375" t="s">
        <v>1370</v>
      </c>
      <c r="X576" s="381">
        <v>0.21875</v>
      </c>
      <c r="Y576" s="366">
        <v>0.29166666666666669</v>
      </c>
      <c r="Z576" s="366">
        <v>0.2951388888888889</v>
      </c>
      <c r="AA576" s="366">
        <v>0.30902777777777779</v>
      </c>
      <c r="AB576" s="159">
        <f>IF(PA[[#This Row],[Acknowledgement Time ]]="NA","",(PA[[#This Row],[Acknowledgement Time ]]-PA[[#This Row],[Fault Time]])*24)</f>
        <v>1.7500000000000004</v>
      </c>
      <c r="AC576" s="159">
        <f>IF(PA[[#This Row],[Work Start time on Fault]]="NA","",(PA[[#This Row],[Work Start time on Fault]]-PA[[#This Row],[Fault Time]])*24)</f>
        <v>1.8333333333333335</v>
      </c>
      <c r="AD576" s="135">
        <f>IF(PA[[#This Row],[Status]]="Open","",(PA[[#This Row],[Work Completion time on fault]]-PA[[#This Row],[Fault Time]])*24)</f>
        <v>2.166666666666667</v>
      </c>
      <c r="AE576" s="134">
        <f>IFERROR((PA[[#This Row],[Work Completion time on fault]]-PA[[#This Row],[Fault Time]])*24,"")</f>
        <v>2.166666666666667</v>
      </c>
      <c r="AF576" s="226" t="s">
        <v>1370</v>
      </c>
      <c r="AG576" s="129" t="s">
        <v>1275</v>
      </c>
      <c r="AH576" s="131">
        <f>IFERROR(PA[[#This Row],[Breakdown Time]]*PA[[#This Row],[Plant Equivalent Weightage]],"")</f>
        <v>8.666666666666668E-3</v>
      </c>
      <c r="AI576" s="128">
        <v>0.16600000000000001</v>
      </c>
      <c r="AJ576" s="89">
        <f>IFERROR(IF(PA[[#This Row],[Lost PoA(kWh/m2)]]&gt;0,_xlfn.XLOOKUP(G576,'Modelling New'!$D:$D,'Modelling New'!$O:$O)*PA[[#This Row],[Lost PoA(kWh/m2)]]*S576,0),"")</f>
        <v>33.691038378411143</v>
      </c>
      <c r="AK576" s="365"/>
      <c r="AL576" s="365"/>
    </row>
    <row r="577" spans="1:38" ht="45" x14ac:dyDescent="0.25">
      <c r="A577" s="229">
        <v>2268</v>
      </c>
      <c r="B577" s="376">
        <v>45857</v>
      </c>
      <c r="C577" s="163">
        <v>2025</v>
      </c>
      <c r="D577" s="364">
        <f>YEAR(PA[[#This Row],[Date]])</f>
        <v>2025</v>
      </c>
      <c r="E577" s="373" t="s">
        <v>73</v>
      </c>
      <c r="F577" s="374" t="s">
        <v>73</v>
      </c>
      <c r="G577" s="323">
        <v>45809</v>
      </c>
      <c r="H577" s="365">
        <f>DAY(EOMONTH(PA[[#This Row],[Date]], 0))</f>
        <v>31</v>
      </c>
      <c r="I577" s="10">
        <v>0.21875</v>
      </c>
      <c r="J577" s="10">
        <v>0.77638888888888891</v>
      </c>
      <c r="K577" s="131">
        <f>IFERROR((PA[[#This Row],[Sunset Time (POA&lt;20 W/m2)]]-PA[[#This Row],[Sunrise Time (POA&gt;20 W/m2)]])*24,"")</f>
        <v>13.383333333333333</v>
      </c>
      <c r="L577" s="128" t="s">
        <v>597</v>
      </c>
      <c r="M577" s="128"/>
      <c r="N577" s="128"/>
      <c r="O577" s="128" t="s">
        <v>575</v>
      </c>
      <c r="P577" s="130"/>
      <c r="Q577" s="129"/>
      <c r="R577"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BLK3INV23</v>
      </c>
      <c r="S577" s="131">
        <v>267</v>
      </c>
      <c r="T577" s="132">
        <f>IFERROR(_xlfn.XLOOKUP(PA[[#This Row],[Affected Equipment ]],'Basic Data '!A:A,'Basic Data '!C:C),"")</f>
        <v>4.0000000000000001E-3</v>
      </c>
      <c r="U577" s="128" t="s">
        <v>773</v>
      </c>
      <c r="V577" s="117"/>
      <c r="W577" s="375" t="s">
        <v>1372</v>
      </c>
      <c r="X577" s="381">
        <v>0.21875</v>
      </c>
      <c r="Y577" s="366">
        <v>0.29166666666666669</v>
      </c>
      <c r="Z577" s="366">
        <v>0.31597222222222221</v>
      </c>
      <c r="AA577" s="366">
        <v>0.33333333333333331</v>
      </c>
      <c r="AB577" s="159">
        <f>IF(PA[[#This Row],[Acknowledgement Time ]]="NA","",(PA[[#This Row],[Acknowledgement Time ]]-PA[[#This Row],[Fault Time]])*24)</f>
        <v>1.7500000000000004</v>
      </c>
      <c r="AC577" s="159">
        <f>IF(PA[[#This Row],[Work Start time on Fault]]="NA","",(PA[[#This Row],[Work Start time on Fault]]-PA[[#This Row],[Fault Time]])*24)</f>
        <v>2.333333333333333</v>
      </c>
      <c r="AD577" s="135">
        <f>IF(PA[[#This Row],[Status]]="Open","",(PA[[#This Row],[Work Completion time on fault]]-PA[[#This Row],[Fault Time]])*24)</f>
        <v>2.7499999999999996</v>
      </c>
      <c r="AE577" s="134">
        <f>IFERROR((PA[[#This Row],[Work Completion time on fault]]-PA[[#This Row],[Fault Time]])*24,"")</f>
        <v>2.7499999999999996</v>
      </c>
      <c r="AF577" s="226" t="s">
        <v>1372</v>
      </c>
      <c r="AG577" s="129" t="s">
        <v>1275</v>
      </c>
      <c r="AH577" s="131">
        <f>IFERROR(PA[[#This Row],[Breakdown Time]]*PA[[#This Row],[Plant Equivalent Weightage]],"")</f>
        <v>1.0999999999999998E-2</v>
      </c>
      <c r="AI577" s="128">
        <v>0.33800000000000002</v>
      </c>
      <c r="AJ577" s="89">
        <f>IFERROR(IF(PA[[#This Row],[Lost PoA(kWh/m2)]]&gt;0,_xlfn.XLOOKUP(G577,'Modelling New'!$D:$D,'Modelling New'!$O:$O)*PA[[#This Row],[Lost PoA(kWh/m2)]]*S577,0),"")</f>
        <v>68.599825131945593</v>
      </c>
      <c r="AK577" s="365"/>
      <c r="AL577" s="365"/>
    </row>
    <row r="578" spans="1:38" ht="45" x14ac:dyDescent="0.25">
      <c r="A578" s="229">
        <v>2269</v>
      </c>
      <c r="B578" s="376">
        <v>45857</v>
      </c>
      <c r="C578" s="163">
        <v>2025</v>
      </c>
      <c r="D578" s="364">
        <f>YEAR(PA[[#This Row],[Date]])</f>
        <v>2025</v>
      </c>
      <c r="E578" s="373" t="s">
        <v>73</v>
      </c>
      <c r="F578" s="374" t="s">
        <v>73</v>
      </c>
      <c r="G578" s="323">
        <v>45809</v>
      </c>
      <c r="H578" s="365">
        <f>DAY(EOMONTH(PA[[#This Row],[Date]], 0))</f>
        <v>31</v>
      </c>
      <c r="I578" s="10">
        <v>0.21875</v>
      </c>
      <c r="J578" s="10">
        <v>0.77638888888888891</v>
      </c>
      <c r="K578" s="131">
        <f>IFERROR((PA[[#This Row],[Sunset Time (POA&lt;20 W/m2)]]-PA[[#This Row],[Sunrise Time (POA&gt;20 W/m2)]])*24,"")</f>
        <v>13.383333333333333</v>
      </c>
      <c r="L578" s="128" t="s">
        <v>621</v>
      </c>
      <c r="M578" s="128"/>
      <c r="N578" s="128"/>
      <c r="O578" s="128" t="s">
        <v>575</v>
      </c>
      <c r="P578" s="130"/>
      <c r="Q578" s="129"/>
      <c r="R578"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BLK4INV23</v>
      </c>
      <c r="S578" s="131">
        <v>300.375</v>
      </c>
      <c r="T578" s="132">
        <f>IFERROR(_xlfn.XLOOKUP(PA[[#This Row],[Affected Equipment ]],'Basic Data '!A:A,'Basic Data '!C:C),"")</f>
        <v>4.0000000000000001E-3</v>
      </c>
      <c r="U578" s="128" t="s">
        <v>773</v>
      </c>
      <c r="V578" s="117"/>
      <c r="W578" s="375" t="s">
        <v>1377</v>
      </c>
      <c r="X578" s="381">
        <v>0.21875</v>
      </c>
      <c r="Y578" s="366">
        <v>0.29166666666666669</v>
      </c>
      <c r="Z578" s="366">
        <v>0.34027777777777773</v>
      </c>
      <c r="AA578" s="366">
        <v>0.3576388888888889</v>
      </c>
      <c r="AB578" s="159">
        <f>IF(PA[[#This Row],[Acknowledgement Time ]]="NA","",(PA[[#This Row],[Acknowledgement Time ]]-PA[[#This Row],[Fault Time]])*24)</f>
        <v>1.7500000000000004</v>
      </c>
      <c r="AC578" s="159">
        <f>IF(PA[[#This Row],[Work Start time on Fault]]="NA","",(PA[[#This Row],[Work Start time on Fault]]-PA[[#This Row],[Fault Time]])*24)</f>
        <v>2.9166666666666656</v>
      </c>
      <c r="AD578" s="135">
        <f>IF(PA[[#This Row],[Status]]="Open","",(PA[[#This Row],[Work Completion time on fault]]-PA[[#This Row],[Fault Time]])*24)</f>
        <v>3.3333333333333335</v>
      </c>
      <c r="AE578" s="134">
        <f>IFERROR((PA[[#This Row],[Work Completion time on fault]]-PA[[#This Row],[Fault Time]])*24,"")</f>
        <v>3.3333333333333335</v>
      </c>
      <c r="AF578" s="226" t="s">
        <v>1373</v>
      </c>
      <c r="AG578" s="129" t="s">
        <v>1275</v>
      </c>
      <c r="AH578" s="131">
        <f>IFERROR(PA[[#This Row],[Breakdown Time]]*PA[[#This Row],[Plant Equivalent Weightage]],"")</f>
        <v>1.3333333333333334E-2</v>
      </c>
      <c r="AI578" s="128">
        <v>0.56299999999999994</v>
      </c>
      <c r="AJ578" s="89">
        <f>IFERROR(IF(PA[[#This Row],[Lost PoA(kWh/m2)]]&gt;0,_xlfn.XLOOKUP(G578,'Modelling New'!$D:$D,'Modelling New'!$O:$O)*PA[[#This Row],[Lost PoA(kWh/m2)]]*S578,0),"")</f>
        <v>128.54856284895274</v>
      </c>
      <c r="AK578" s="365"/>
      <c r="AL578" s="365"/>
    </row>
    <row r="579" spans="1:38" ht="45" x14ac:dyDescent="0.25">
      <c r="A579" s="229">
        <v>2270</v>
      </c>
      <c r="B579" s="376">
        <v>45857</v>
      </c>
      <c r="C579" s="163">
        <v>2025</v>
      </c>
      <c r="D579" s="364">
        <f>YEAR(PA[[#This Row],[Date]])</f>
        <v>2025</v>
      </c>
      <c r="E579" s="373" t="s">
        <v>73</v>
      </c>
      <c r="F579" s="374" t="s">
        <v>73</v>
      </c>
      <c r="G579" s="323">
        <v>45809</v>
      </c>
      <c r="H579" s="365">
        <f>DAY(EOMONTH(PA[[#This Row],[Date]], 0))</f>
        <v>31</v>
      </c>
      <c r="I579" s="10">
        <v>0.21875</v>
      </c>
      <c r="J579" s="10">
        <v>0.77638888888888891</v>
      </c>
      <c r="K579" s="131">
        <f>IFERROR((PA[[#This Row],[Sunset Time (POA&lt;20 W/m2)]]-PA[[#This Row],[Sunrise Time (POA&gt;20 W/m2)]])*24,"")</f>
        <v>13.383333333333333</v>
      </c>
      <c r="L579" s="128" t="s">
        <v>606</v>
      </c>
      <c r="M579" s="128"/>
      <c r="N579" s="128"/>
      <c r="O579" s="128" t="s">
        <v>618</v>
      </c>
      <c r="P579" s="130"/>
      <c r="Q579" s="129"/>
      <c r="R579"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BLK7INV15</v>
      </c>
      <c r="S579" s="131">
        <v>292.60000000000002</v>
      </c>
      <c r="T579" s="132">
        <f>IFERROR(_xlfn.XLOOKUP(PA[[#This Row],[Affected Equipment ]],'Basic Data '!A:A,'Basic Data '!C:C),"")</f>
        <v>4.0000000000000001E-3</v>
      </c>
      <c r="U579" s="128" t="s">
        <v>773</v>
      </c>
      <c r="V579" s="117"/>
      <c r="W579" s="375" t="s">
        <v>1378</v>
      </c>
      <c r="X579" s="381">
        <v>0.21875</v>
      </c>
      <c r="Y579" s="366">
        <v>0.29166666666666669</v>
      </c>
      <c r="Z579" s="366">
        <v>0.3611111111111111</v>
      </c>
      <c r="AA579" s="366">
        <v>0.37847222222222227</v>
      </c>
      <c r="AB579" s="159">
        <f>IF(PA[[#This Row],[Acknowledgement Time ]]="NA","",(PA[[#This Row],[Acknowledgement Time ]]-PA[[#This Row],[Fault Time]])*24)</f>
        <v>1.7500000000000004</v>
      </c>
      <c r="AC579" s="159">
        <f>IF(PA[[#This Row],[Work Start time on Fault]]="NA","",(PA[[#This Row],[Work Start time on Fault]]-PA[[#This Row],[Fault Time]])*24)</f>
        <v>3.4166666666666665</v>
      </c>
      <c r="AD579" s="135">
        <f>IF(PA[[#This Row],[Status]]="Open","",(PA[[#This Row],[Work Completion time on fault]]-PA[[#This Row],[Fault Time]])*24)</f>
        <v>3.8333333333333344</v>
      </c>
      <c r="AE579" s="134">
        <f>IFERROR((PA[[#This Row],[Work Completion time on fault]]-PA[[#This Row],[Fault Time]])*24,"")</f>
        <v>3.8333333333333344</v>
      </c>
      <c r="AF579" s="226" t="s">
        <v>1371</v>
      </c>
      <c r="AG579" s="129" t="s">
        <v>1275</v>
      </c>
      <c r="AH579" s="131">
        <f>IFERROR(PA[[#This Row],[Breakdown Time]]*PA[[#This Row],[Plant Equivalent Weightage]],"")</f>
        <v>1.5333333333333338E-2</v>
      </c>
      <c r="AI579" s="128">
        <v>0.78800000000000003</v>
      </c>
      <c r="AJ579" s="89">
        <f>IFERROR(IF(PA[[#This Row],[Lost PoA(kWh/m2)]]&gt;0,_xlfn.XLOOKUP(G579,'Modelling New'!$D:$D,'Modelling New'!$O:$O)*PA[[#This Row],[Lost PoA(kWh/m2)]]*S579,0),"")</f>
        <v>175.26515702504861</v>
      </c>
      <c r="AK579" s="365"/>
      <c r="AL579" s="365"/>
    </row>
    <row r="580" spans="1:38" x14ac:dyDescent="0.25">
      <c r="A580" s="229">
        <v>2271</v>
      </c>
      <c r="B580" s="376">
        <v>45857</v>
      </c>
      <c r="C580" s="163">
        <v>2025</v>
      </c>
      <c r="D580" s="348">
        <f>YEAR(PA[[#This Row],[Date]])</f>
        <v>2025</v>
      </c>
      <c r="E580" s="373" t="s">
        <v>73</v>
      </c>
      <c r="F580" s="374" t="s">
        <v>73</v>
      </c>
      <c r="G580" s="323">
        <v>45809</v>
      </c>
      <c r="H580" s="365">
        <f>DAY(EOMONTH(PA[[#This Row],[Date]], 0))</f>
        <v>31</v>
      </c>
      <c r="I580" s="10">
        <v>0.21875</v>
      </c>
      <c r="J580" s="10">
        <v>0.77638888888888891</v>
      </c>
      <c r="K580" s="53">
        <f>IFERROR((PA[[#This Row],[Sunset Time (POA&lt;20 W/m2)]]-PA[[#This Row],[Sunrise Time (POA&gt;20 W/m2)]])*24,"")</f>
        <v>13.383333333333333</v>
      </c>
      <c r="L580" s="59" t="s">
        <v>579</v>
      </c>
      <c r="M580" s="59"/>
      <c r="N580" s="59"/>
      <c r="O580" s="59" t="s">
        <v>596</v>
      </c>
      <c r="P580" s="56"/>
      <c r="Q580" s="6"/>
      <c r="R580"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BLK8INV13</v>
      </c>
      <c r="S580" s="131">
        <v>20.100000000000001</v>
      </c>
      <c r="T580" s="90">
        <f>IFERROR(_xlfn.XLOOKUP(PA[[#This Row],[Affected Equipment ]],'Basic Data '!A:A,'Basic Data '!C:C),"")</f>
        <v>4.1528089887640446E-3</v>
      </c>
      <c r="U580" s="128" t="s">
        <v>773</v>
      </c>
      <c r="V580" s="88"/>
      <c r="W580" s="265" t="s">
        <v>1374</v>
      </c>
      <c r="X580" s="381">
        <v>0.21875</v>
      </c>
      <c r="Y580" s="366">
        <v>0.29166666666666669</v>
      </c>
      <c r="Z580" s="359">
        <v>0.4236111111111111</v>
      </c>
      <c r="AA580" s="359">
        <v>0.4375</v>
      </c>
      <c r="AB580" s="158">
        <f>IF(PA[[#This Row],[Acknowledgement Time ]]="NA","",(PA[[#This Row],[Acknowledgement Time ]]-PA[[#This Row],[Fault Time]])*24)</f>
        <v>1.7500000000000004</v>
      </c>
      <c r="AC580" s="158">
        <f>IF(PA[[#This Row],[Work Start time on Fault]]="NA","",(PA[[#This Row],[Work Start time on Fault]]-PA[[#This Row],[Fault Time]])*24)</f>
        <v>4.9166666666666661</v>
      </c>
      <c r="AD580" s="112">
        <f>IF(PA[[#This Row],[Status]]="Open","",(PA[[#This Row],[Work Completion time on fault]]-PA[[#This Row],[Fault Time]])*24)</f>
        <v>5.25</v>
      </c>
      <c r="AE580" s="111">
        <f>IFERROR((PA[[#This Row],[Work Completion time on fault]]-PA[[#This Row],[Fault Time]])*24,"")</f>
        <v>5.25</v>
      </c>
      <c r="AF580" s="228" t="s">
        <v>1374</v>
      </c>
      <c r="AG580" s="129" t="s">
        <v>1275</v>
      </c>
      <c r="AH580" s="53">
        <f>IFERROR(PA[[#This Row],[Breakdown Time]]*PA[[#This Row],[Plant Equivalent Weightage]],"")</f>
        <v>2.1802247191011235E-2</v>
      </c>
      <c r="AI580" s="59">
        <v>1.5249999999999999</v>
      </c>
      <c r="AJ580" s="89">
        <f>IFERROR(IF(PA[[#This Row],[Lost PoA(kWh/m2)]]&gt;0,_xlfn.XLOOKUP(G580,'Modelling New'!$D:$D,'Modelling New'!$O:$O)*PA[[#This Row],[Lost PoA(kWh/m2)]]*S580,0),"")</f>
        <v>23.300269705659662</v>
      </c>
      <c r="AK580" s="365"/>
      <c r="AL580" s="365"/>
    </row>
    <row r="581" spans="1:38" ht="30" x14ac:dyDescent="0.25">
      <c r="A581" s="229">
        <v>2272</v>
      </c>
      <c r="B581" s="376">
        <v>45857</v>
      </c>
      <c r="C581" s="163">
        <v>2025</v>
      </c>
      <c r="D581" s="364">
        <f>YEAR(PA[[#This Row],[Date]])</f>
        <v>2025</v>
      </c>
      <c r="E581" s="373" t="s">
        <v>73</v>
      </c>
      <c r="F581" s="374" t="s">
        <v>73</v>
      </c>
      <c r="G581" s="323">
        <v>45809</v>
      </c>
      <c r="H581" s="365">
        <f>DAY(EOMONTH(PA[[#This Row],[Date]], 0))</f>
        <v>31</v>
      </c>
      <c r="I581" s="10">
        <v>0.21875</v>
      </c>
      <c r="J581" s="10">
        <v>0.77638888888888891</v>
      </c>
      <c r="K581" s="131">
        <f>IFERROR((PA[[#This Row],[Sunset Time (POA&lt;20 W/m2)]]-PA[[#This Row],[Sunrise Time (POA&gt;20 W/m2)]])*24,"")</f>
        <v>13.383333333333333</v>
      </c>
      <c r="L581" s="59" t="s">
        <v>579</v>
      </c>
      <c r="M581" s="128"/>
      <c r="N581" s="128"/>
      <c r="O581" s="128" t="s">
        <v>612</v>
      </c>
      <c r="P581" s="130"/>
      <c r="Q581" s="129"/>
      <c r="R581"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BLK8INV28</v>
      </c>
      <c r="S581" s="131">
        <v>44.5</v>
      </c>
      <c r="T581" s="132">
        <f>IFERROR(_xlfn.XLOOKUP(PA[[#This Row],[Affected Equipment ]],'Basic Data '!A:A,'Basic Data '!C:C),"")</f>
        <v>3.8561797752808993E-3</v>
      </c>
      <c r="U581" s="128" t="s">
        <v>773</v>
      </c>
      <c r="V581" s="117"/>
      <c r="W581" s="375" t="s">
        <v>1376</v>
      </c>
      <c r="X581" s="381">
        <v>0.21875</v>
      </c>
      <c r="Y581" s="366">
        <v>0.29166666666666669</v>
      </c>
      <c r="Z581" s="366">
        <v>0.39583333333333331</v>
      </c>
      <c r="AA581" s="366">
        <v>0.41666666666666669</v>
      </c>
      <c r="AB581" s="159">
        <f>IF(PA[[#This Row],[Acknowledgement Time ]]="NA","",(PA[[#This Row],[Acknowledgement Time ]]-PA[[#This Row],[Fault Time]])*24)</f>
        <v>1.7500000000000004</v>
      </c>
      <c r="AC581" s="159">
        <f>IF(PA[[#This Row],[Work Start time on Fault]]="NA","",(PA[[#This Row],[Work Start time on Fault]]-PA[[#This Row],[Fault Time]])*24)</f>
        <v>4.25</v>
      </c>
      <c r="AD581" s="135">
        <f>IF(PA[[#This Row],[Status]]="Open","",(PA[[#This Row],[Work Completion time on fault]]-PA[[#This Row],[Fault Time]])*24)</f>
        <v>4.75</v>
      </c>
      <c r="AE581" s="134">
        <f>IFERROR((PA[[#This Row],[Work Completion time on fault]]-PA[[#This Row],[Fault Time]])*24,"")</f>
        <v>4.75</v>
      </c>
      <c r="AF581" s="226" t="s">
        <v>1375</v>
      </c>
      <c r="AG581" s="129" t="s">
        <v>1275</v>
      </c>
      <c r="AH581" s="131">
        <f>IFERROR(PA[[#This Row],[Breakdown Time]]*PA[[#This Row],[Plant Equivalent Weightage]],"")</f>
        <v>1.8316853932584271E-2</v>
      </c>
      <c r="AI581" s="128">
        <v>1.224</v>
      </c>
      <c r="AJ581" s="89">
        <f>IFERROR(IF(PA[[#This Row],[Lost PoA(kWh/m2)]]&gt;0,_xlfn.XLOOKUP(G581,'Modelling New'!$D:$D,'Modelling New'!$O:$O)*PA[[#This Row],[Lost PoA(kWh/m2)]]*S581,0),"")</f>
        <v>41.403444754192009</v>
      </c>
      <c r="AK581" s="365"/>
      <c r="AL581" s="365"/>
    </row>
    <row r="582" spans="1:38" ht="45" x14ac:dyDescent="0.25">
      <c r="A582" s="229">
        <v>2273</v>
      </c>
      <c r="B582" s="376">
        <v>45858</v>
      </c>
      <c r="C582" s="163">
        <v>2025</v>
      </c>
      <c r="D582" s="364">
        <f>YEAR(PA[[#This Row],[Date]])</f>
        <v>2025</v>
      </c>
      <c r="E582" s="373" t="s">
        <v>73</v>
      </c>
      <c r="F582" s="374" t="s">
        <v>73</v>
      </c>
      <c r="G582" s="323">
        <v>45809</v>
      </c>
      <c r="H582" s="365">
        <f>DAY(EOMONTH(PA[[#This Row],[Date]], 0))</f>
        <v>31</v>
      </c>
      <c r="I582" s="10">
        <v>0.22569444444444445</v>
      </c>
      <c r="J582" s="10">
        <v>0.77638888888888891</v>
      </c>
      <c r="K582" s="131">
        <f>IFERROR((PA[[#This Row],[Sunset Time (POA&lt;20 W/m2)]]-PA[[#This Row],[Sunrise Time (POA&gt;20 W/m2)]])*24,"")</f>
        <v>13.216666666666669</v>
      </c>
      <c r="L582" s="59" t="s">
        <v>579</v>
      </c>
      <c r="M582" s="128"/>
      <c r="N582" s="128"/>
      <c r="O582" s="128" t="s">
        <v>612</v>
      </c>
      <c r="P582" s="130"/>
      <c r="Q582" s="129"/>
      <c r="R582"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BLK8INV28</v>
      </c>
      <c r="S582" s="131">
        <v>40.200000000000003</v>
      </c>
      <c r="T582" s="132">
        <f>IFERROR(_xlfn.XLOOKUP(PA[[#This Row],[Affected Equipment ]],'Basic Data '!A:A,'Basic Data '!C:C),"")</f>
        <v>3.8561797752808993E-3</v>
      </c>
      <c r="U582" s="128" t="s">
        <v>773</v>
      </c>
      <c r="V582" s="117"/>
      <c r="W582" s="375" t="s">
        <v>1368</v>
      </c>
      <c r="X582" s="366">
        <v>0.22569444444444445</v>
      </c>
      <c r="Y582" s="366">
        <v>0.22569444444444445</v>
      </c>
      <c r="Z582" s="366">
        <v>0.22569444444444445</v>
      </c>
      <c r="AA582" s="366">
        <v>0.77638888888888891</v>
      </c>
      <c r="AB582" s="159">
        <f>IF(PA[[#This Row],[Acknowledgement Time ]]="NA","",(PA[[#This Row],[Acknowledgement Time ]]-PA[[#This Row],[Fault Time]])*24)</f>
        <v>0</v>
      </c>
      <c r="AC582" s="159">
        <f>IF(PA[[#This Row],[Work Start time on Fault]]="NA","",(PA[[#This Row],[Work Start time on Fault]]-PA[[#This Row],[Fault Time]])*24)</f>
        <v>0</v>
      </c>
      <c r="AD582" s="135" t="str">
        <f>IF(PA[[#This Row],[Status]]="Open","",(PA[[#This Row],[Work Completion time on fault]]-PA[[#This Row],[Fault Time]])*24)</f>
        <v/>
      </c>
      <c r="AE582" s="134">
        <f>IFERROR((PA[[#This Row],[Work Completion time on fault]]-PA[[#This Row],[Fault Time]])*24,"")</f>
        <v>13.216666666666669</v>
      </c>
      <c r="AF582" s="226" t="s">
        <v>1368</v>
      </c>
      <c r="AG582" s="129" t="s">
        <v>1369</v>
      </c>
      <c r="AH582" s="131">
        <f>IFERROR(PA[[#This Row],[Breakdown Time]]*PA[[#This Row],[Plant Equivalent Weightage]],"")</f>
        <v>5.0965842696629224E-2</v>
      </c>
      <c r="AI582" s="128">
        <v>6.19</v>
      </c>
      <c r="AJ582" s="89">
        <f>IFERROR(IF(PA[[#This Row],[Lost PoA(kWh/m2)]]&gt;0,_xlfn.XLOOKUP(G582,'Modelling New'!$D:$D,'Modelling New'!$O:$O)*PA[[#This Row],[Lost PoA(kWh/m2)]]*S582,0),"")</f>
        <v>189.15235341381424</v>
      </c>
      <c r="AK582" s="365"/>
      <c r="AL582" s="365"/>
    </row>
    <row r="583" spans="1:38" ht="45" x14ac:dyDescent="0.25">
      <c r="A583" s="229">
        <v>2274</v>
      </c>
      <c r="B583" s="376">
        <v>45858</v>
      </c>
      <c r="C583" s="163">
        <v>2025</v>
      </c>
      <c r="D583" s="364">
        <f>YEAR(PA[[#This Row],[Date]])</f>
        <v>2025</v>
      </c>
      <c r="E583" s="373" t="s">
        <v>73</v>
      </c>
      <c r="F583" s="374" t="s">
        <v>73</v>
      </c>
      <c r="G583" s="323">
        <v>45809</v>
      </c>
      <c r="H583" s="365">
        <f>DAY(EOMONTH(PA[[#This Row],[Date]], 0))</f>
        <v>31</v>
      </c>
      <c r="I583" s="10">
        <v>0.22569444444444445</v>
      </c>
      <c r="J583" s="10">
        <v>0.77638888888888891</v>
      </c>
      <c r="K583" s="131">
        <f>IFERROR((PA[[#This Row],[Sunset Time (POA&lt;20 W/m2)]]-PA[[#This Row],[Sunrise Time (POA&gt;20 W/m2)]])*24,"")</f>
        <v>13.216666666666669</v>
      </c>
      <c r="L583" s="59" t="s">
        <v>579</v>
      </c>
      <c r="M583" s="128"/>
      <c r="N583" s="128"/>
      <c r="O583" s="128" t="s">
        <v>641</v>
      </c>
      <c r="P583" s="130"/>
      <c r="Q583" s="129"/>
      <c r="R583"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BLK8INV19</v>
      </c>
      <c r="S583" s="131">
        <v>40.200000000000003</v>
      </c>
      <c r="T583" s="132">
        <f>IFERROR(_xlfn.XLOOKUP(PA[[#This Row],[Affected Equipment ]],'Basic Data '!A:A,'Basic Data '!C:C),"")</f>
        <v>4.3011235955056184E-3</v>
      </c>
      <c r="U583" s="128" t="s">
        <v>773</v>
      </c>
      <c r="V583" s="117"/>
      <c r="W583" s="375" t="s">
        <v>1379</v>
      </c>
      <c r="X583" s="366">
        <v>0.4236111111111111</v>
      </c>
      <c r="Y583" s="366">
        <v>0.4236111111111111</v>
      </c>
      <c r="Z583" s="366">
        <v>0.4236111111111111</v>
      </c>
      <c r="AA583" s="366">
        <v>0.77638888888888891</v>
      </c>
      <c r="AB583" s="159">
        <f>IF(PA[[#This Row],[Acknowledgement Time ]]="NA","",(PA[[#This Row],[Acknowledgement Time ]]-PA[[#This Row],[Fault Time]])*24)</f>
        <v>0</v>
      </c>
      <c r="AC583" s="159">
        <f>IF(PA[[#This Row],[Work Start time on Fault]]="NA","",(PA[[#This Row],[Work Start time on Fault]]-PA[[#This Row],[Fault Time]])*24)</f>
        <v>0</v>
      </c>
      <c r="AD583" s="135" t="str">
        <f>IF(PA[[#This Row],[Status]]="Open","",(PA[[#This Row],[Work Completion time on fault]]-PA[[#This Row],[Fault Time]])*24)</f>
        <v/>
      </c>
      <c r="AE583" s="134">
        <f>IFERROR((PA[[#This Row],[Work Completion time on fault]]-PA[[#This Row],[Fault Time]])*24,"")</f>
        <v>8.4666666666666668</v>
      </c>
      <c r="AF583" s="226" t="s">
        <v>1379</v>
      </c>
      <c r="AG583" s="129" t="s">
        <v>1369</v>
      </c>
      <c r="AH583" s="131">
        <f>IFERROR(PA[[#This Row],[Breakdown Time]]*PA[[#This Row],[Plant Equivalent Weightage]],"")</f>
        <v>3.6416179775280902E-2</v>
      </c>
      <c r="AI583" s="128">
        <v>4.67</v>
      </c>
      <c r="AJ583" s="89">
        <f>IFERROR(IF(PA[[#This Row],[Lost PoA(kWh/m2)]]&gt;0,_xlfn.XLOOKUP(G583,'Modelling New'!$D:$D,'Modelling New'!$O:$O)*PA[[#This Row],[Lost PoA(kWh/m2)]]*S583,0),"")</f>
        <v>142.70460265630248</v>
      </c>
      <c r="AK583" s="365"/>
      <c r="AL583" s="365"/>
    </row>
    <row r="584" spans="1:38" ht="30" x14ac:dyDescent="0.25">
      <c r="A584" s="229">
        <v>2275</v>
      </c>
      <c r="B584" s="376">
        <v>45858</v>
      </c>
      <c r="C584" s="163">
        <v>2025</v>
      </c>
      <c r="D584" s="364">
        <f>YEAR(PA[[#This Row],[Date]])</f>
        <v>2025</v>
      </c>
      <c r="E584" s="373" t="s">
        <v>73</v>
      </c>
      <c r="F584" s="374" t="s">
        <v>73</v>
      </c>
      <c r="G584" s="323">
        <v>45809</v>
      </c>
      <c r="H584" s="365">
        <f>DAY(EOMONTH(PA[[#This Row],[Date]], 0))</f>
        <v>31</v>
      </c>
      <c r="I584" s="10">
        <v>0.22569444444444445</v>
      </c>
      <c r="J584" s="10">
        <v>0.77638888888888891</v>
      </c>
      <c r="K584" s="131">
        <f>IFERROR((PA[[#This Row],[Sunset Time (POA&lt;20 W/m2)]]-PA[[#This Row],[Sunrise Time (POA&gt;20 W/m2)]])*24,"")</f>
        <v>13.216666666666669</v>
      </c>
      <c r="L584" s="128" t="s">
        <v>587</v>
      </c>
      <c r="M584" s="128"/>
      <c r="N584" s="128"/>
      <c r="O584" s="128" t="s">
        <v>789</v>
      </c>
      <c r="P584" s="130"/>
      <c r="Q584" s="129"/>
      <c r="R584"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BLK1MVP</v>
      </c>
      <c r="S584" s="131">
        <f>_xlfn.XLOOKUP(PA[[#This Row],[Affected Equipment ]],'Basic Data '!$A:$A,'Basic Data '!$B:$B)</f>
        <v>8944.5</v>
      </c>
      <c r="T584" s="132">
        <f>IFERROR(_xlfn.XLOOKUP(PA[[#This Row],[Affected Equipment ]],'Basic Data '!A:A,'Basic Data '!C:C),"")</f>
        <v>0.13400000000000001</v>
      </c>
      <c r="U584" s="128" t="s">
        <v>566</v>
      </c>
      <c r="V584" s="117"/>
      <c r="W584" s="265" t="s">
        <v>1383</v>
      </c>
      <c r="X584" s="366">
        <v>0.46527777777777773</v>
      </c>
      <c r="Y584" s="366">
        <v>0.46527777777777773</v>
      </c>
      <c r="Z584" s="366">
        <v>0.46527777777777773</v>
      </c>
      <c r="AA584" s="366">
        <v>0.57291666666666663</v>
      </c>
      <c r="AB584" s="159">
        <f>IF(PA[[#This Row],[Acknowledgement Time ]]="NA","",(PA[[#This Row],[Acknowledgement Time ]]-PA[[#This Row],[Fault Time]])*24)</f>
        <v>0</v>
      </c>
      <c r="AC584" s="159">
        <f>IF(PA[[#This Row],[Work Start time on Fault]]="NA","",(PA[[#This Row],[Work Start time on Fault]]-PA[[#This Row],[Fault Time]])*24)</f>
        <v>0</v>
      </c>
      <c r="AD584" s="135">
        <f>IF(PA[[#This Row],[Status]]="Open","",(PA[[#This Row],[Work Completion time on fault]]-PA[[#This Row],[Fault Time]])*24)</f>
        <v>2.5833333333333335</v>
      </c>
      <c r="AE584" s="134">
        <f>IFERROR((PA[[#This Row],[Work Completion time on fault]]-PA[[#This Row],[Fault Time]])*24,"")</f>
        <v>2.5833333333333335</v>
      </c>
      <c r="AF584" s="226" t="s">
        <v>1380</v>
      </c>
      <c r="AG584" s="129" t="s">
        <v>1275</v>
      </c>
      <c r="AH584" s="131">
        <f>IFERROR(PA[[#This Row],[Breakdown Time]]*PA[[#This Row],[Plant Equivalent Weightage]],"")</f>
        <v>0.34616666666666673</v>
      </c>
      <c r="AI584" s="128"/>
      <c r="AJ584" s="89">
        <f>IFERROR(IF(PA[[#This Row],[Lost PoA(kWh/m2)]]&gt;0,_xlfn.XLOOKUP(G584,'Modelling New'!$D:$D,'Modelling New'!$O:$O)*PA[[#This Row],[Lost PoA(kWh/m2)]]*S584,0),"")</f>
        <v>0</v>
      </c>
      <c r="AK584" s="365"/>
      <c r="AL584" s="365"/>
    </row>
    <row r="585" spans="1:38" ht="30" x14ac:dyDescent="0.25">
      <c r="A585" s="229">
        <v>2276</v>
      </c>
      <c r="B585" s="376">
        <v>45858</v>
      </c>
      <c r="C585" s="163">
        <v>2025</v>
      </c>
      <c r="D585" s="364">
        <f>YEAR(PA[[#This Row],[Date]])</f>
        <v>2025</v>
      </c>
      <c r="E585" s="373" t="s">
        <v>73</v>
      </c>
      <c r="F585" s="374" t="s">
        <v>73</v>
      </c>
      <c r="G585" s="323">
        <v>45809</v>
      </c>
      <c r="H585" s="365">
        <f>DAY(EOMONTH(PA[[#This Row],[Date]], 0))</f>
        <v>31</v>
      </c>
      <c r="I585" s="10">
        <v>0.22569444444444445</v>
      </c>
      <c r="J585" s="10">
        <v>0.77638888888888891</v>
      </c>
      <c r="K585" s="131">
        <f>IFERROR((PA[[#This Row],[Sunset Time (POA&lt;20 W/m2)]]-PA[[#This Row],[Sunrise Time (POA&gt;20 W/m2)]])*24,"")</f>
        <v>13.216666666666669</v>
      </c>
      <c r="L585" s="128" t="s">
        <v>559</v>
      </c>
      <c r="M585" s="128"/>
      <c r="N585" s="128"/>
      <c r="O585" s="128" t="s">
        <v>789</v>
      </c>
      <c r="P585" s="130"/>
      <c r="Q585" s="129"/>
      <c r="R585"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BLK2MVP</v>
      </c>
      <c r="S585" s="131">
        <f>_xlfn.XLOOKUP(PA[[#This Row],[Affected Equipment ]],'Basic Data '!$A:$A,'Basic Data '!$B:$B)</f>
        <v>8343.75</v>
      </c>
      <c r="T585" s="132">
        <f>IFERROR(_xlfn.XLOOKUP(PA[[#This Row],[Affected Equipment ]],'Basic Data '!A:A,'Basic Data '!C:C),"")</f>
        <v>0.125</v>
      </c>
      <c r="U585" s="128" t="s">
        <v>566</v>
      </c>
      <c r="V585" s="117"/>
      <c r="W585" s="265" t="s">
        <v>1383</v>
      </c>
      <c r="X585" s="366">
        <v>0.46527777777777773</v>
      </c>
      <c r="Y585" s="366">
        <v>0.46527777777777773</v>
      </c>
      <c r="Z585" s="366">
        <v>0.46527777777777773</v>
      </c>
      <c r="AA585" s="366">
        <v>0.57291666666666663</v>
      </c>
      <c r="AB585" s="159">
        <f>IF(PA[[#This Row],[Acknowledgement Time ]]="NA","",(PA[[#This Row],[Acknowledgement Time ]]-PA[[#This Row],[Fault Time]])*24)</f>
        <v>0</v>
      </c>
      <c r="AC585" s="159">
        <f>IF(PA[[#This Row],[Work Start time on Fault]]="NA","",(PA[[#This Row],[Work Start time on Fault]]-PA[[#This Row],[Fault Time]])*24)</f>
        <v>0</v>
      </c>
      <c r="AD585" s="135">
        <f>IF(PA[[#This Row],[Status]]="Open","",(PA[[#This Row],[Work Completion time on fault]]-PA[[#This Row],[Fault Time]])*24)</f>
        <v>2.5833333333333335</v>
      </c>
      <c r="AE585" s="134">
        <f>IFERROR((PA[[#This Row],[Work Completion time on fault]]-PA[[#This Row],[Fault Time]])*24,"")</f>
        <v>2.5833333333333335</v>
      </c>
      <c r="AF585" s="226" t="s">
        <v>1380</v>
      </c>
      <c r="AG585" s="129" t="s">
        <v>1275</v>
      </c>
      <c r="AH585" s="131">
        <f>IFERROR(PA[[#This Row],[Breakdown Time]]*PA[[#This Row],[Plant Equivalent Weightage]],"")</f>
        <v>0.32291666666666669</v>
      </c>
      <c r="AI585" s="128"/>
      <c r="AJ585" s="89">
        <f>IFERROR(IF(PA[[#This Row],[Lost PoA(kWh/m2)]]&gt;0,_xlfn.XLOOKUP(G585,'Modelling New'!$D:$D,'Modelling New'!$O:$O)*PA[[#This Row],[Lost PoA(kWh/m2)]]*S585,0),"")</f>
        <v>0</v>
      </c>
      <c r="AK585" s="365"/>
      <c r="AL585" s="365"/>
    </row>
    <row r="586" spans="1:38" ht="30" x14ac:dyDescent="0.25">
      <c r="A586" s="229">
        <v>2277</v>
      </c>
      <c r="B586" s="376">
        <v>45858</v>
      </c>
      <c r="C586" s="163">
        <v>2025</v>
      </c>
      <c r="D586" s="364">
        <f>YEAR(PA[[#This Row],[Date]])</f>
        <v>2025</v>
      </c>
      <c r="E586" s="373" t="s">
        <v>73</v>
      </c>
      <c r="F586" s="374" t="s">
        <v>73</v>
      </c>
      <c r="G586" s="323">
        <v>45809</v>
      </c>
      <c r="H586" s="365">
        <f>DAY(EOMONTH(PA[[#This Row],[Date]], 0))</f>
        <v>31</v>
      </c>
      <c r="I586" s="10">
        <v>0.22569444444444445</v>
      </c>
      <c r="J586" s="10">
        <v>0.77638888888888891</v>
      </c>
      <c r="K586" s="131">
        <f>IFERROR((PA[[#This Row],[Sunset Time (POA&lt;20 W/m2)]]-PA[[#This Row],[Sunrise Time (POA&gt;20 W/m2)]])*24,"")</f>
        <v>13.216666666666669</v>
      </c>
      <c r="L586" s="128" t="s">
        <v>564</v>
      </c>
      <c r="M586" s="128"/>
      <c r="N586" s="128"/>
      <c r="O586" s="128" t="s">
        <v>789</v>
      </c>
      <c r="P586" s="130"/>
      <c r="Q586" s="129"/>
      <c r="R586"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BLK5MVP</v>
      </c>
      <c r="S586" s="131">
        <f>_xlfn.XLOOKUP(PA[[#This Row],[Affected Equipment ]],'Basic Data '!$A:$A,'Basic Data '!$B:$B)</f>
        <v>8864.75</v>
      </c>
      <c r="T586" s="132">
        <f>IFERROR(_xlfn.XLOOKUP(PA[[#This Row],[Affected Equipment ]],'Basic Data '!A:A,'Basic Data '!C:C),"")</f>
        <v>0.13280524344569289</v>
      </c>
      <c r="U586" s="128" t="s">
        <v>566</v>
      </c>
      <c r="V586" s="117"/>
      <c r="W586" s="265" t="s">
        <v>1384</v>
      </c>
      <c r="X586" s="366">
        <v>0.46527777777777773</v>
      </c>
      <c r="Y586" s="366">
        <v>0.46527777777777773</v>
      </c>
      <c r="Z586" s="366">
        <v>0.46527777777777773</v>
      </c>
      <c r="AA586" s="366">
        <v>0.57291666666666663</v>
      </c>
      <c r="AB586" s="159">
        <f>IF(PA[[#This Row],[Acknowledgement Time ]]="NA","",(PA[[#This Row],[Acknowledgement Time ]]-PA[[#This Row],[Fault Time]])*24)</f>
        <v>0</v>
      </c>
      <c r="AC586" s="159">
        <f>IF(PA[[#This Row],[Work Start time on Fault]]="NA","",(PA[[#This Row],[Work Start time on Fault]]-PA[[#This Row],[Fault Time]])*24)</f>
        <v>0</v>
      </c>
      <c r="AD586" s="135">
        <f>IF(PA[[#This Row],[Status]]="Open","",(PA[[#This Row],[Work Completion time on fault]]-PA[[#This Row],[Fault Time]])*24)</f>
        <v>2.5833333333333335</v>
      </c>
      <c r="AE586" s="134">
        <f>IFERROR((PA[[#This Row],[Work Completion time on fault]]-PA[[#This Row],[Fault Time]])*24,"")</f>
        <v>2.5833333333333335</v>
      </c>
      <c r="AF586" s="226" t="s">
        <v>1382</v>
      </c>
      <c r="AG586" s="129" t="s">
        <v>1275</v>
      </c>
      <c r="AH586" s="131">
        <f>IFERROR(PA[[#This Row],[Breakdown Time]]*PA[[#This Row],[Plant Equivalent Weightage]],"")</f>
        <v>0.34308021223470664</v>
      </c>
      <c r="AI586" s="128"/>
      <c r="AJ586" s="89">
        <f>IFERROR(IF(PA[[#This Row],[Lost PoA(kWh/m2)]]&gt;0,_xlfn.XLOOKUP(G586,'Modelling New'!$D:$D,'Modelling New'!$O:$O)*PA[[#This Row],[Lost PoA(kWh/m2)]]*S586,0),"")</f>
        <v>0</v>
      </c>
      <c r="AK586" s="365"/>
      <c r="AL586" s="365"/>
    </row>
    <row r="587" spans="1:38" ht="30" x14ac:dyDescent="0.25">
      <c r="A587" s="229">
        <v>2278</v>
      </c>
      <c r="B587" s="376">
        <v>45858</v>
      </c>
      <c r="C587" s="163">
        <v>2025</v>
      </c>
      <c r="D587" s="364">
        <f>YEAR(PA[[#This Row],[Date]])</f>
        <v>2025</v>
      </c>
      <c r="E587" s="373" t="s">
        <v>73</v>
      </c>
      <c r="F587" s="374" t="s">
        <v>73</v>
      </c>
      <c r="G587" s="323">
        <v>45809</v>
      </c>
      <c r="H587" s="365">
        <f>DAY(EOMONTH(PA[[#This Row],[Date]], 0))</f>
        <v>31</v>
      </c>
      <c r="I587" s="10">
        <v>0.22569444444444445</v>
      </c>
      <c r="J587" s="10">
        <v>0.77638888888888891</v>
      </c>
      <c r="K587" s="131">
        <f>IFERROR((PA[[#This Row],[Sunset Time (POA&lt;20 W/m2)]]-PA[[#This Row],[Sunrise Time (POA&gt;20 W/m2)]])*24,"")</f>
        <v>13.216666666666669</v>
      </c>
      <c r="L587" s="128" t="s">
        <v>615</v>
      </c>
      <c r="M587" s="128"/>
      <c r="N587" s="128"/>
      <c r="O587" s="128" t="s">
        <v>789</v>
      </c>
      <c r="P587" s="130"/>
      <c r="Q587" s="129"/>
      <c r="R587"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BLK6MVP</v>
      </c>
      <c r="S587" s="131">
        <f>_xlfn.XLOOKUP(PA[[#This Row],[Affected Equipment ]],'Basic Data '!$A:$A,'Basic Data '!$B:$B)</f>
        <v>8976</v>
      </c>
      <c r="T587" s="132">
        <f>IFERROR(_xlfn.XLOOKUP(PA[[#This Row],[Affected Equipment ]],'Basic Data '!A:A,'Basic Data '!C:C),"")</f>
        <v>0.13447191011235954</v>
      </c>
      <c r="U587" s="128" t="s">
        <v>566</v>
      </c>
      <c r="V587" s="117"/>
      <c r="W587" s="265" t="s">
        <v>1385</v>
      </c>
      <c r="X587" s="366">
        <v>0.46527777777777773</v>
      </c>
      <c r="Y587" s="366">
        <v>0.46527777777777773</v>
      </c>
      <c r="Z587" s="366">
        <v>0.46527777777777773</v>
      </c>
      <c r="AA587" s="366">
        <v>0.57291666666666663</v>
      </c>
      <c r="AB587" s="159">
        <f>IF(PA[[#This Row],[Acknowledgement Time ]]="NA","",(PA[[#This Row],[Acknowledgement Time ]]-PA[[#This Row],[Fault Time]])*24)</f>
        <v>0</v>
      </c>
      <c r="AC587" s="159">
        <f>IF(PA[[#This Row],[Work Start time on Fault]]="NA","",(PA[[#This Row],[Work Start time on Fault]]-PA[[#This Row],[Fault Time]])*24)</f>
        <v>0</v>
      </c>
      <c r="AD587" s="135">
        <f>IF(PA[[#This Row],[Status]]="Open","",(PA[[#This Row],[Work Completion time on fault]]-PA[[#This Row],[Fault Time]])*24)</f>
        <v>2.5833333333333335</v>
      </c>
      <c r="AE587" s="134">
        <f>IFERROR((PA[[#This Row],[Work Completion time on fault]]-PA[[#This Row],[Fault Time]])*24,"")</f>
        <v>2.5833333333333335</v>
      </c>
      <c r="AF587" s="226" t="s">
        <v>1381</v>
      </c>
      <c r="AG587" s="129" t="s">
        <v>1275</v>
      </c>
      <c r="AH587" s="131">
        <f>IFERROR(PA[[#This Row],[Breakdown Time]]*PA[[#This Row],[Plant Equivalent Weightage]],"")</f>
        <v>0.34738576779026215</v>
      </c>
      <c r="AI587" s="128"/>
      <c r="AJ587" s="89">
        <f>IFERROR(IF(PA[[#This Row],[Lost PoA(kWh/m2)]]&gt;0,_xlfn.XLOOKUP(G587,'Modelling New'!$D:$D,'Modelling New'!$O:$O)*PA[[#This Row],[Lost PoA(kWh/m2)]]*S587,0),"")</f>
        <v>0</v>
      </c>
      <c r="AK587" s="365"/>
      <c r="AL587" s="365"/>
    </row>
    <row r="588" spans="1:38" ht="45" x14ac:dyDescent="0.25">
      <c r="A588" s="229">
        <v>2279</v>
      </c>
      <c r="B588" s="376">
        <v>45859</v>
      </c>
      <c r="C588" s="163">
        <v>2025</v>
      </c>
      <c r="D588" s="364">
        <f>YEAR(PA[[#This Row],[Date]])</f>
        <v>2025</v>
      </c>
      <c r="E588" s="373" t="s">
        <v>73</v>
      </c>
      <c r="F588" s="374" t="s">
        <v>73</v>
      </c>
      <c r="G588" s="323">
        <v>45809</v>
      </c>
      <c r="H588" s="365">
        <f>DAY(EOMONTH(PA[[#This Row],[Date]], 0))</f>
        <v>31</v>
      </c>
      <c r="I588" s="10">
        <v>0.24305555555555555</v>
      </c>
      <c r="J588" s="10">
        <v>0.77638888888888891</v>
      </c>
      <c r="K588" s="131">
        <f>IFERROR((PA[[#This Row],[Sunset Time (POA&lt;20 W/m2)]]-PA[[#This Row],[Sunrise Time (POA&gt;20 W/m2)]])*24,"")</f>
        <v>12.8</v>
      </c>
      <c r="L588" s="128" t="s">
        <v>579</v>
      </c>
      <c r="M588" s="128"/>
      <c r="N588" s="128"/>
      <c r="O588" s="128" t="s">
        <v>612</v>
      </c>
      <c r="P588" s="130"/>
      <c r="Q588" s="129"/>
      <c r="R588"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BLK8INV28</v>
      </c>
      <c r="S588" s="131">
        <v>40.200000000000003</v>
      </c>
      <c r="T588" s="132">
        <f>IFERROR(_xlfn.XLOOKUP(PA[[#This Row],[Affected Equipment ]],'Basic Data '!A:A,'Basic Data '!C:C),"")</f>
        <v>3.8561797752808993E-3</v>
      </c>
      <c r="U588" s="128" t="s">
        <v>773</v>
      </c>
      <c r="V588" s="117"/>
      <c r="W588" s="375" t="s">
        <v>1368</v>
      </c>
      <c r="X588" s="366">
        <v>0.24305555555555555</v>
      </c>
      <c r="Y588" s="366">
        <v>0.24305555555555555</v>
      </c>
      <c r="Z588" s="366">
        <v>0.24305555555555555</v>
      </c>
      <c r="AA588" s="366">
        <v>0.77638888888888891</v>
      </c>
      <c r="AB588" s="159">
        <f>IF(PA[[#This Row],[Acknowledgement Time ]]="NA","",(PA[[#This Row],[Acknowledgement Time ]]-PA[[#This Row],[Fault Time]])*24)</f>
        <v>0</v>
      </c>
      <c r="AC588" s="159">
        <f>IF(PA[[#This Row],[Work Start time on Fault]]="NA","",(PA[[#This Row],[Work Start time on Fault]]-PA[[#This Row],[Fault Time]])*24)</f>
        <v>0</v>
      </c>
      <c r="AD588" s="135" t="str">
        <f>IF(PA[[#This Row],[Status]]="Open","",(PA[[#This Row],[Work Completion time on fault]]-PA[[#This Row],[Fault Time]])*24)</f>
        <v/>
      </c>
      <c r="AE588" s="134">
        <f>IFERROR((PA[[#This Row],[Work Completion time on fault]]-PA[[#This Row],[Fault Time]])*24,"")</f>
        <v>12.8</v>
      </c>
      <c r="AF588" s="226" t="s">
        <v>1368</v>
      </c>
      <c r="AG588" s="129" t="s">
        <v>1369</v>
      </c>
      <c r="AH588" s="131">
        <f>IFERROR(PA[[#This Row],[Breakdown Time]]*PA[[#This Row],[Plant Equivalent Weightage]],"")</f>
        <v>4.9359101123595511E-2</v>
      </c>
      <c r="AI588" s="128">
        <v>3.4</v>
      </c>
      <c r="AJ588" s="89">
        <f>IFERROR(IF(PA[[#This Row],[Lost PoA(kWh/m2)]]&gt;0,_xlfn.XLOOKUP(G588,'Modelling New'!$D:$D,'Modelling New'!$O:$O)*PA[[#This Row],[Lost PoA(kWh/m2)]]*S588,0),"")</f>
        <v>103.89628458917096</v>
      </c>
      <c r="AK588" s="365"/>
      <c r="AL588" s="365"/>
    </row>
    <row r="589" spans="1:38" ht="45" x14ac:dyDescent="0.25">
      <c r="A589" s="229">
        <v>2280</v>
      </c>
      <c r="B589" s="376">
        <v>45859</v>
      </c>
      <c r="C589" s="163">
        <v>2025</v>
      </c>
      <c r="D589" s="364">
        <f>YEAR(PA[[#This Row],[Date]])</f>
        <v>2025</v>
      </c>
      <c r="E589" s="373" t="s">
        <v>73</v>
      </c>
      <c r="F589" s="374" t="s">
        <v>73</v>
      </c>
      <c r="G589" s="323">
        <v>45809</v>
      </c>
      <c r="H589" s="365">
        <f>DAY(EOMONTH(PA[[#This Row],[Date]], 0))</f>
        <v>31</v>
      </c>
      <c r="I589" s="10">
        <v>0.24305555555555555</v>
      </c>
      <c r="J589" s="10">
        <v>0.77638888888888891</v>
      </c>
      <c r="K589" s="131">
        <f>IFERROR((PA[[#This Row],[Sunset Time (POA&lt;20 W/m2)]]-PA[[#This Row],[Sunrise Time (POA&gt;20 W/m2)]])*24,"")</f>
        <v>12.8</v>
      </c>
      <c r="L589" s="128" t="s">
        <v>579</v>
      </c>
      <c r="M589" s="128"/>
      <c r="N589" s="128"/>
      <c r="O589" s="128" t="s">
        <v>641</v>
      </c>
      <c r="P589" s="130"/>
      <c r="Q589" s="129"/>
      <c r="R589"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BLK8INV19</v>
      </c>
      <c r="S589" s="131">
        <v>40.200000000000003</v>
      </c>
      <c r="T589" s="132">
        <f>IFERROR(_xlfn.XLOOKUP(PA[[#This Row],[Affected Equipment ]],'Basic Data '!A:A,'Basic Data '!C:C),"")</f>
        <v>4.3011235955056184E-3</v>
      </c>
      <c r="U589" s="128" t="s">
        <v>773</v>
      </c>
      <c r="V589" s="117"/>
      <c r="W589" s="375" t="s">
        <v>1379</v>
      </c>
      <c r="X589" s="366">
        <v>0.24305555555555555</v>
      </c>
      <c r="Y589" s="366">
        <v>0.24305555555555555</v>
      </c>
      <c r="Z589" s="366">
        <v>0.24305555555555555</v>
      </c>
      <c r="AA589" s="366">
        <v>0.77638888888888891</v>
      </c>
      <c r="AB589" s="159">
        <f>IF(PA[[#This Row],[Acknowledgement Time ]]="NA","",(PA[[#This Row],[Acknowledgement Time ]]-PA[[#This Row],[Fault Time]])*24)</f>
        <v>0</v>
      </c>
      <c r="AC589" s="159">
        <f>IF(PA[[#This Row],[Work Start time on Fault]]="NA","",(PA[[#This Row],[Work Start time on Fault]]-PA[[#This Row],[Fault Time]])*24)</f>
        <v>0</v>
      </c>
      <c r="AD589" s="135" t="str">
        <f>IF(PA[[#This Row],[Status]]="Open","",(PA[[#This Row],[Work Completion time on fault]]-PA[[#This Row],[Fault Time]])*24)</f>
        <v/>
      </c>
      <c r="AE589" s="134">
        <f>IFERROR((PA[[#This Row],[Work Completion time on fault]]-PA[[#This Row],[Fault Time]])*24,"")</f>
        <v>12.8</v>
      </c>
      <c r="AF589" s="226" t="s">
        <v>1379</v>
      </c>
      <c r="AG589" s="129" t="s">
        <v>1369</v>
      </c>
      <c r="AH589" s="131">
        <f>IFERROR(PA[[#This Row],[Breakdown Time]]*PA[[#This Row],[Plant Equivalent Weightage]],"")</f>
        <v>5.5054382022471919E-2</v>
      </c>
      <c r="AI589" s="128">
        <v>3.4</v>
      </c>
      <c r="AJ589" s="89">
        <f>IFERROR(IF(PA[[#This Row],[Lost PoA(kWh/m2)]]&gt;0,_xlfn.XLOOKUP(G589,'Modelling New'!$D:$D,'Modelling New'!$O:$O)*PA[[#This Row],[Lost PoA(kWh/m2)]]*S589,0),"")</f>
        <v>103.89628458917096</v>
      </c>
      <c r="AK589" s="365"/>
      <c r="AL589" s="365"/>
    </row>
    <row r="590" spans="1:38" ht="45" x14ac:dyDescent="0.25">
      <c r="A590" s="229">
        <v>2281</v>
      </c>
      <c r="B590" s="376">
        <v>45860</v>
      </c>
      <c r="C590" s="163">
        <v>2025</v>
      </c>
      <c r="D590" s="348">
        <f>YEAR(PA[[#This Row],[Date]])</f>
        <v>2025</v>
      </c>
      <c r="E590" s="373" t="s">
        <v>73</v>
      </c>
      <c r="F590" s="374" t="s">
        <v>73</v>
      </c>
      <c r="G590" s="323">
        <v>45809</v>
      </c>
      <c r="H590" s="365">
        <f>DAY(EOMONTH(PA[[#This Row],[Date]], 0))</f>
        <v>31</v>
      </c>
      <c r="I590" s="361">
        <v>0.22638888888888889</v>
      </c>
      <c r="J590" s="361">
        <v>0.77222222222222225</v>
      </c>
      <c r="K590" s="53">
        <f>IFERROR((PA[[#This Row],[Sunset Time (POA&lt;20 W/m2)]]-PA[[#This Row],[Sunrise Time (POA&gt;20 W/m2)]])*24,"")</f>
        <v>13.100000000000001</v>
      </c>
      <c r="L590" s="128" t="s">
        <v>579</v>
      </c>
      <c r="M590" s="128"/>
      <c r="N590" s="128"/>
      <c r="O590" s="128" t="s">
        <v>612</v>
      </c>
      <c r="P590" s="56"/>
      <c r="Q590" s="6"/>
      <c r="R590" s="348"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BLK8INV28</v>
      </c>
      <c r="S590" s="131">
        <v>40.200000000000003</v>
      </c>
      <c r="T590" s="90">
        <f>IFERROR(_xlfn.XLOOKUP(PA[[#This Row],[Affected Equipment ]],'Basic Data '!A:A,'Basic Data '!C:C),"")</f>
        <v>3.8561797752808993E-3</v>
      </c>
      <c r="U590" s="128" t="s">
        <v>773</v>
      </c>
      <c r="V590" s="88"/>
      <c r="W590" s="265" t="s">
        <v>1368</v>
      </c>
      <c r="X590" s="359">
        <v>0.23055555555555554</v>
      </c>
      <c r="Y590" s="359">
        <v>0.23055555555555554</v>
      </c>
      <c r="Z590" s="359">
        <v>0.23055555555555554</v>
      </c>
      <c r="AA590" s="359">
        <v>0.7680555555555556</v>
      </c>
      <c r="AB590" s="158">
        <f>IF(PA[[#This Row],[Acknowledgement Time ]]="NA","",(PA[[#This Row],[Acknowledgement Time ]]-PA[[#This Row],[Fault Time]])*24)</f>
        <v>0</v>
      </c>
      <c r="AC590" s="158">
        <f>IF(PA[[#This Row],[Work Start time on Fault]]="NA","",(PA[[#This Row],[Work Start time on Fault]]-PA[[#This Row],[Fault Time]])*24)</f>
        <v>0</v>
      </c>
      <c r="AD590" s="112" t="str">
        <f>IF(PA[[#This Row],[Status]]="Open","",(PA[[#This Row],[Work Completion time on fault]]-PA[[#This Row],[Fault Time]])*24)</f>
        <v/>
      </c>
      <c r="AE590" s="111">
        <f>IFERROR((PA[[#This Row],[Work Completion time on fault]]-PA[[#This Row],[Fault Time]])*24,"")</f>
        <v>12.900000000000002</v>
      </c>
      <c r="AF590" s="228" t="s">
        <v>1368</v>
      </c>
      <c r="AG590" s="129" t="s">
        <v>1369</v>
      </c>
      <c r="AH590" s="53">
        <f>IFERROR(PA[[#This Row],[Breakdown Time]]*PA[[#This Row],[Plant Equivalent Weightage]],"")</f>
        <v>4.9744719101123609E-2</v>
      </c>
      <c r="AI590" s="59">
        <v>5.81</v>
      </c>
      <c r="AJ590" s="89">
        <f>IFERROR(IF(PA[[#This Row],[Lost PoA(kWh/m2)]]&gt;0,_xlfn.XLOOKUP(G590,'Modelling New'!$D:$D,'Modelling New'!$O:$O)*PA[[#This Row],[Lost PoA(kWh/m2)]]*S590,0),"")</f>
        <v>177.54041572443626</v>
      </c>
      <c r="AK590" s="365"/>
      <c r="AL590" s="365"/>
    </row>
    <row r="591" spans="1:38" ht="45" x14ac:dyDescent="0.25">
      <c r="A591" s="229">
        <v>2282</v>
      </c>
      <c r="B591" s="376">
        <v>45860</v>
      </c>
      <c r="C591" s="163">
        <v>2025</v>
      </c>
      <c r="D591" s="364">
        <f>YEAR(PA[[#This Row],[Date]])</f>
        <v>2025</v>
      </c>
      <c r="E591" s="373" t="s">
        <v>73</v>
      </c>
      <c r="F591" s="374" t="s">
        <v>73</v>
      </c>
      <c r="G591" s="323">
        <v>45809</v>
      </c>
      <c r="H591" s="365">
        <f>DAY(EOMONTH(PA[[#This Row],[Date]], 0))</f>
        <v>31</v>
      </c>
      <c r="I591" s="361">
        <v>0.22638888888888889</v>
      </c>
      <c r="J591" s="361">
        <v>0.77222222222222225</v>
      </c>
      <c r="K591" s="131">
        <f>IFERROR((PA[[#This Row],[Sunset Time (POA&lt;20 W/m2)]]-PA[[#This Row],[Sunrise Time (POA&gt;20 W/m2)]])*24,"")</f>
        <v>13.100000000000001</v>
      </c>
      <c r="L591" s="128" t="s">
        <v>579</v>
      </c>
      <c r="M591" s="128"/>
      <c r="N591" s="128"/>
      <c r="O591" s="128" t="s">
        <v>641</v>
      </c>
      <c r="P591" s="130"/>
      <c r="Q591" s="129"/>
      <c r="R591"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BLK8INV19</v>
      </c>
      <c r="S591" s="131">
        <v>40.200000000000003</v>
      </c>
      <c r="T591" s="132">
        <f>IFERROR(_xlfn.XLOOKUP(PA[[#This Row],[Affected Equipment ]],'Basic Data '!A:A,'Basic Data '!C:C),"")</f>
        <v>4.3011235955056184E-3</v>
      </c>
      <c r="U591" s="128" t="s">
        <v>773</v>
      </c>
      <c r="V591" s="117"/>
      <c r="W591" s="375" t="s">
        <v>1379</v>
      </c>
      <c r="X591" s="359">
        <v>0.23055555555555554</v>
      </c>
      <c r="Y591" s="359">
        <v>0.23055555555555554</v>
      </c>
      <c r="Z591" s="359">
        <v>0.23055555555555554</v>
      </c>
      <c r="AA591" s="359">
        <v>0.7680555555555556</v>
      </c>
      <c r="AB591" s="159">
        <f>IF(PA[[#This Row],[Acknowledgement Time ]]="NA","",(PA[[#This Row],[Acknowledgement Time ]]-PA[[#This Row],[Fault Time]])*24)</f>
        <v>0</v>
      </c>
      <c r="AC591" s="159">
        <f>IF(PA[[#This Row],[Work Start time on Fault]]="NA","",(PA[[#This Row],[Work Start time on Fault]]-PA[[#This Row],[Fault Time]])*24)</f>
        <v>0</v>
      </c>
      <c r="AD591" s="135" t="str">
        <f>IF(PA[[#This Row],[Status]]="Open","",(PA[[#This Row],[Work Completion time on fault]]-PA[[#This Row],[Fault Time]])*24)</f>
        <v/>
      </c>
      <c r="AE591" s="134">
        <f>IFERROR((PA[[#This Row],[Work Completion time on fault]]-PA[[#This Row],[Fault Time]])*24,"")</f>
        <v>12.900000000000002</v>
      </c>
      <c r="AF591" s="226" t="s">
        <v>1379</v>
      </c>
      <c r="AG591" s="129" t="s">
        <v>1369</v>
      </c>
      <c r="AH591" s="131">
        <f>IFERROR(PA[[#This Row],[Breakdown Time]]*PA[[#This Row],[Plant Equivalent Weightage]],"")</f>
        <v>5.5484494382022485E-2</v>
      </c>
      <c r="AI591" s="59">
        <v>5.81</v>
      </c>
      <c r="AJ591" s="89">
        <f>IFERROR(IF(PA[[#This Row],[Lost PoA(kWh/m2)]]&gt;0,_xlfn.XLOOKUP(G591,'Modelling New'!$D:$D,'Modelling New'!$O:$O)*PA[[#This Row],[Lost PoA(kWh/m2)]]*S591,0),"")</f>
        <v>177.54041572443626</v>
      </c>
      <c r="AK591" s="365"/>
      <c r="AL591" s="365"/>
    </row>
    <row r="592" spans="1:38" ht="45" x14ac:dyDescent="0.25">
      <c r="A592" s="229">
        <v>2283</v>
      </c>
      <c r="B592" s="376">
        <v>45860</v>
      </c>
      <c r="C592" s="163">
        <v>2025</v>
      </c>
      <c r="D592" s="364">
        <f>YEAR(PA[[#This Row],[Date]])</f>
        <v>2025</v>
      </c>
      <c r="E592" s="373" t="s">
        <v>73</v>
      </c>
      <c r="F592" s="374" t="s">
        <v>73</v>
      </c>
      <c r="G592" s="323">
        <v>45809</v>
      </c>
      <c r="H592" s="365">
        <f>DAY(EOMONTH(PA[[#This Row],[Date]], 0))</f>
        <v>31</v>
      </c>
      <c r="I592" s="361">
        <v>0.22638888888888889</v>
      </c>
      <c r="J592" s="361">
        <v>0.77222222222222225</v>
      </c>
      <c r="K592" s="131">
        <f>IFERROR((PA[[#This Row],[Sunset Time (POA&lt;20 W/m2)]]-PA[[#This Row],[Sunrise Time (POA&gt;20 W/m2)]])*24,"")</f>
        <v>13.100000000000001</v>
      </c>
      <c r="L592" s="128" t="s">
        <v>615</v>
      </c>
      <c r="M592" s="128"/>
      <c r="N592" s="128"/>
      <c r="O592" s="128" t="s">
        <v>612</v>
      </c>
      <c r="P592" s="130"/>
      <c r="Q592" s="129"/>
      <c r="R592"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BLK6INV28</v>
      </c>
      <c r="S592" s="131">
        <f>_xlfn.XLOOKUP(PA[[#This Row],[Affected Equipment ]],'Basic Data '!$A:$A,'Basic Data '!$B:$B)</f>
        <v>286</v>
      </c>
      <c r="T592" s="132">
        <f>IFERROR(_xlfn.XLOOKUP(PA[[#This Row],[Affected Equipment ]],'Basic Data '!A:A,'Basic Data '!C:C),"")</f>
        <v>4.2846441947565544E-3</v>
      </c>
      <c r="U592" s="128" t="s">
        <v>566</v>
      </c>
      <c r="V592" s="117"/>
      <c r="W592" s="375" t="s">
        <v>1386</v>
      </c>
      <c r="X592" s="366">
        <v>0.30902777777777779</v>
      </c>
      <c r="Y592" s="366">
        <v>0.3125</v>
      </c>
      <c r="Z592" s="366">
        <v>0.32291666666666669</v>
      </c>
      <c r="AA592" s="366">
        <v>0.34375</v>
      </c>
      <c r="AB592" s="159">
        <f>IF(PA[[#This Row],[Acknowledgement Time ]]="NA","",(PA[[#This Row],[Acknowledgement Time ]]-PA[[#This Row],[Fault Time]])*24)</f>
        <v>8.3333333333333037E-2</v>
      </c>
      <c r="AC592" s="159">
        <f>IF(PA[[#This Row],[Work Start time on Fault]]="NA","",(PA[[#This Row],[Work Start time on Fault]]-PA[[#This Row],[Fault Time]])*24)</f>
        <v>0.33333333333333348</v>
      </c>
      <c r="AD592" s="135">
        <f>IF(PA[[#This Row],[Status]]="Open","",(PA[[#This Row],[Work Completion time on fault]]-PA[[#This Row],[Fault Time]])*24)</f>
        <v>0.83333333333333304</v>
      </c>
      <c r="AE592" s="134">
        <f>IFERROR((PA[[#This Row],[Work Completion time on fault]]-PA[[#This Row],[Fault Time]])*24,"")</f>
        <v>0.83333333333333304</v>
      </c>
      <c r="AF592" s="226" t="s">
        <v>1386</v>
      </c>
      <c r="AG592" s="129" t="s">
        <v>1275</v>
      </c>
      <c r="AH592" s="131">
        <f>IFERROR(PA[[#This Row],[Breakdown Time]]*PA[[#This Row],[Plant Equivalent Weightage]],"")</f>
        <v>3.5705368289637939E-3</v>
      </c>
      <c r="AI592" s="128">
        <v>0.23899999999999999</v>
      </c>
      <c r="AJ592" s="89">
        <f>IFERROR(IF(PA[[#This Row],[Lost PoA(kWh/m2)]]&gt;0,_xlfn.XLOOKUP(G592,'Modelling New'!$D:$D,'Modelling New'!$O:$O)*PA[[#This Row],[Lost PoA(kWh/m2)]]*S592,0),"")</f>
        <v>51.958784290373075</v>
      </c>
      <c r="AK592" s="365"/>
      <c r="AL592" s="365"/>
    </row>
    <row r="593" spans="1:38" ht="45" x14ac:dyDescent="0.25">
      <c r="A593" s="229">
        <v>2284</v>
      </c>
      <c r="B593" s="376">
        <v>45861</v>
      </c>
      <c r="C593" s="163">
        <v>2025</v>
      </c>
      <c r="D593" s="364">
        <f>YEAR(PA[[#This Row],[Date]])</f>
        <v>2025</v>
      </c>
      <c r="E593" s="373" t="s">
        <v>73</v>
      </c>
      <c r="F593" s="374" t="s">
        <v>73</v>
      </c>
      <c r="G593" s="323">
        <v>45809</v>
      </c>
      <c r="H593" s="365">
        <f>DAY(EOMONTH(PA[[#This Row],[Date]], 0))</f>
        <v>31</v>
      </c>
      <c r="I593" s="10">
        <v>0.22708333333333333</v>
      </c>
      <c r="J593" s="10">
        <v>0.7729166666666667</v>
      </c>
      <c r="K593" s="131">
        <f>IFERROR((PA[[#This Row],[Sunset Time (POA&lt;20 W/m2)]]-PA[[#This Row],[Sunrise Time (POA&gt;20 W/m2)]])*24,"")</f>
        <v>13.100000000000001</v>
      </c>
      <c r="L593" s="128" t="s">
        <v>579</v>
      </c>
      <c r="M593" s="128"/>
      <c r="N593" s="128"/>
      <c r="O593" s="128" t="s">
        <v>612</v>
      </c>
      <c r="P593" s="130"/>
      <c r="Q593" s="129"/>
      <c r="R593"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BLK8INV28</v>
      </c>
      <c r="S593" s="131">
        <v>40.200000000000003</v>
      </c>
      <c r="T593" s="132">
        <f>IFERROR(_xlfn.XLOOKUP(PA[[#This Row],[Affected Equipment ]],'Basic Data '!A:A,'Basic Data '!C:C),"")</f>
        <v>3.8561797752808993E-3</v>
      </c>
      <c r="U593" s="128" t="s">
        <v>1260</v>
      </c>
      <c r="V593" s="117"/>
      <c r="W593" s="265" t="s">
        <v>1368</v>
      </c>
      <c r="X593" s="366">
        <v>0.22708333333333333</v>
      </c>
      <c r="Y593" s="366">
        <v>0.22708333333333333</v>
      </c>
      <c r="Z593" s="366">
        <v>0.22708333333333333</v>
      </c>
      <c r="AA593" s="366">
        <v>0.7729166666666667</v>
      </c>
      <c r="AB593" s="159">
        <f>IF(PA[[#This Row],[Acknowledgement Time ]]="NA","",(PA[[#This Row],[Acknowledgement Time ]]-PA[[#This Row],[Fault Time]])*24)</f>
        <v>0</v>
      </c>
      <c r="AC593" s="159">
        <f>IF(PA[[#This Row],[Work Start time on Fault]]="NA","",(PA[[#This Row],[Work Start time on Fault]]-PA[[#This Row],[Fault Time]])*24)</f>
        <v>0</v>
      </c>
      <c r="AD593" s="135" t="str">
        <f>IF(PA[[#This Row],[Status]]="Open","",(PA[[#This Row],[Work Completion time on fault]]-PA[[#This Row],[Fault Time]])*24)</f>
        <v/>
      </c>
      <c r="AE593" s="134">
        <f>IFERROR((PA[[#This Row],[Work Completion time on fault]]-PA[[#This Row],[Fault Time]])*24,"")</f>
        <v>13.100000000000001</v>
      </c>
      <c r="AF593" s="226" t="s">
        <v>1368</v>
      </c>
      <c r="AG593" s="129" t="s">
        <v>1369</v>
      </c>
      <c r="AH593" s="131">
        <f>IFERROR(PA[[#This Row],[Breakdown Time]]*PA[[#This Row],[Plant Equivalent Weightage]],"")</f>
        <v>5.0515955056179784E-2</v>
      </c>
      <c r="AI593" s="128">
        <v>2.1</v>
      </c>
      <c r="AJ593" s="89">
        <f>IFERROR(IF(PA[[#This Row],[Lost PoA(kWh/m2)]]&gt;0,_xlfn.XLOOKUP(G593,'Modelling New'!$D:$D,'Modelling New'!$O:$O)*PA[[#This Row],[Lost PoA(kWh/m2)]]*S593,0),"")</f>
        <v>64.171234599193838</v>
      </c>
      <c r="AK593" s="365"/>
      <c r="AL593" s="365"/>
    </row>
    <row r="594" spans="1:38" ht="45" x14ac:dyDescent="0.25">
      <c r="A594" s="229">
        <v>2285</v>
      </c>
      <c r="B594" s="376">
        <v>45861</v>
      </c>
      <c r="C594" s="163">
        <v>2025</v>
      </c>
      <c r="D594" s="364">
        <f>YEAR(PA[[#This Row],[Date]])</f>
        <v>2025</v>
      </c>
      <c r="E594" s="373" t="s">
        <v>73</v>
      </c>
      <c r="F594" s="374" t="s">
        <v>73</v>
      </c>
      <c r="G594" s="323">
        <v>45809</v>
      </c>
      <c r="H594" s="365">
        <f>DAY(EOMONTH(PA[[#This Row],[Date]], 0))</f>
        <v>31</v>
      </c>
      <c r="I594" s="10">
        <v>0.22708333333333333</v>
      </c>
      <c r="J594" s="10">
        <v>0.7729166666666667</v>
      </c>
      <c r="K594" s="131">
        <f>IFERROR((PA[[#This Row],[Sunset Time (POA&lt;20 W/m2)]]-PA[[#This Row],[Sunrise Time (POA&gt;20 W/m2)]])*24,"")</f>
        <v>13.100000000000001</v>
      </c>
      <c r="L594" s="128" t="s">
        <v>579</v>
      </c>
      <c r="M594" s="128"/>
      <c r="N594" s="128"/>
      <c r="O594" s="128" t="s">
        <v>641</v>
      </c>
      <c r="P594" s="130"/>
      <c r="Q594" s="129"/>
      <c r="R594"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BLK8INV19</v>
      </c>
      <c r="S594" s="131">
        <v>40.200000000000003</v>
      </c>
      <c r="T594" s="132">
        <f>IFERROR(_xlfn.XLOOKUP(PA[[#This Row],[Affected Equipment ]],'Basic Data '!A:A,'Basic Data '!C:C),"")</f>
        <v>4.3011235955056184E-3</v>
      </c>
      <c r="U594" s="128" t="s">
        <v>1260</v>
      </c>
      <c r="V594" s="117"/>
      <c r="W594" s="375" t="s">
        <v>1379</v>
      </c>
      <c r="X594" s="366">
        <v>0.22708333333333333</v>
      </c>
      <c r="Y594" s="366">
        <v>0.22708333333333333</v>
      </c>
      <c r="Z594" s="366">
        <v>0.22708333333333333</v>
      </c>
      <c r="AA594" s="366">
        <v>0.7729166666666667</v>
      </c>
      <c r="AB594" s="159">
        <f>IF(PA[[#This Row],[Acknowledgement Time ]]="NA","",(PA[[#This Row],[Acknowledgement Time ]]-PA[[#This Row],[Fault Time]])*24)</f>
        <v>0</v>
      </c>
      <c r="AC594" s="159">
        <f>IF(PA[[#This Row],[Work Start time on Fault]]="NA","",(PA[[#This Row],[Work Start time on Fault]]-PA[[#This Row],[Fault Time]])*24)</f>
        <v>0</v>
      </c>
      <c r="AD594" s="135" t="str">
        <f>IF(PA[[#This Row],[Status]]="Open","",(PA[[#This Row],[Work Completion time on fault]]-PA[[#This Row],[Fault Time]])*24)</f>
        <v/>
      </c>
      <c r="AE594" s="134">
        <f>IFERROR((PA[[#This Row],[Work Completion time on fault]]-PA[[#This Row],[Fault Time]])*24,"")</f>
        <v>13.100000000000001</v>
      </c>
      <c r="AF594" s="226" t="s">
        <v>1379</v>
      </c>
      <c r="AG594" s="129" t="s">
        <v>1369</v>
      </c>
      <c r="AH594" s="131">
        <f>IFERROR(PA[[#This Row],[Breakdown Time]]*PA[[#This Row],[Plant Equivalent Weightage]],"")</f>
        <v>5.6344719101123604E-2</v>
      </c>
      <c r="AI594" s="128">
        <v>2.1</v>
      </c>
      <c r="AJ594" s="89">
        <f>IFERROR(IF(PA[[#This Row],[Lost PoA(kWh/m2)]]&gt;0,_xlfn.XLOOKUP(G594,'Modelling New'!$D:$D,'Modelling New'!$O:$O)*PA[[#This Row],[Lost PoA(kWh/m2)]]*S594,0),"")</f>
        <v>64.171234599193838</v>
      </c>
      <c r="AK594" s="365"/>
      <c r="AL594" s="365"/>
    </row>
    <row r="595" spans="1:38" ht="30" x14ac:dyDescent="0.25">
      <c r="A595" s="229">
        <v>2286</v>
      </c>
      <c r="B595" s="376">
        <v>45861</v>
      </c>
      <c r="C595" s="163">
        <v>2025</v>
      </c>
      <c r="D595" s="364">
        <f>YEAR(PA[[#This Row],[Date]])</f>
        <v>2025</v>
      </c>
      <c r="E595" s="373" t="s">
        <v>73</v>
      </c>
      <c r="F595" s="374" t="s">
        <v>73</v>
      </c>
      <c r="G595" s="323">
        <v>45809</v>
      </c>
      <c r="H595" s="365">
        <f>DAY(EOMONTH(PA[[#This Row],[Date]], 0))</f>
        <v>31</v>
      </c>
      <c r="I595" s="10">
        <v>0.22708333333333333</v>
      </c>
      <c r="J595" s="10">
        <v>0.7729166666666667</v>
      </c>
      <c r="K595" s="131">
        <f>IFERROR((PA[[#This Row],[Sunset Time (POA&lt;20 W/m2)]]-PA[[#This Row],[Sunrise Time (POA&gt;20 W/m2)]])*24,"")</f>
        <v>13.100000000000001</v>
      </c>
      <c r="L595" s="128" t="s">
        <v>615</v>
      </c>
      <c r="M595" s="128"/>
      <c r="N595" s="128"/>
      <c r="O595" s="128" t="s">
        <v>634</v>
      </c>
      <c r="P595" s="130"/>
      <c r="Q595" s="129"/>
      <c r="R595"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BLK6INV9</v>
      </c>
      <c r="S595" s="131">
        <v>22</v>
      </c>
      <c r="T595" s="132">
        <f>IFERROR(_xlfn.XLOOKUP(PA[[#This Row],[Affected Equipment ]],'Basic Data '!A:A,'Basic Data '!C:C),"")</f>
        <v>4.1198501872659176E-3</v>
      </c>
      <c r="U595" s="128" t="s">
        <v>1260</v>
      </c>
      <c r="V595" s="117"/>
      <c r="W595" s="375" t="s">
        <v>1387</v>
      </c>
      <c r="X595" s="366">
        <v>0.33333333333333331</v>
      </c>
      <c r="Y595" s="366">
        <v>0.33333333333333331</v>
      </c>
      <c r="Z595" s="366">
        <v>0.375</v>
      </c>
      <c r="AA595" s="366">
        <v>0.38541666666666669</v>
      </c>
      <c r="AB595" s="159">
        <f>IF(PA[[#This Row],[Acknowledgement Time ]]="NA","",(PA[[#This Row],[Acknowledgement Time ]]-PA[[#This Row],[Fault Time]])*24)</f>
        <v>0</v>
      </c>
      <c r="AC595" s="159">
        <f>IF(PA[[#This Row],[Work Start time on Fault]]="NA","",(PA[[#This Row],[Work Start time on Fault]]-PA[[#This Row],[Fault Time]])*24)</f>
        <v>1.0000000000000004</v>
      </c>
      <c r="AD595" s="135">
        <f>IF(PA[[#This Row],[Status]]="Open","",(PA[[#This Row],[Work Completion time on fault]]-PA[[#This Row],[Fault Time]])*24)</f>
        <v>1.2500000000000009</v>
      </c>
      <c r="AE595" s="134">
        <f>IFERROR((PA[[#This Row],[Work Completion time on fault]]-PA[[#This Row],[Fault Time]])*24,"")</f>
        <v>1.2500000000000009</v>
      </c>
      <c r="AF595" s="226" t="s">
        <v>1387</v>
      </c>
      <c r="AG595" s="129" t="s">
        <v>1275</v>
      </c>
      <c r="AH595" s="131">
        <f>IFERROR(PA[[#This Row],[Breakdown Time]]*PA[[#This Row],[Plant Equivalent Weightage]],"")</f>
        <v>5.1498127340824009E-3</v>
      </c>
      <c r="AI595" s="128">
        <v>0.10199999999999999</v>
      </c>
      <c r="AJ595" s="89">
        <f>IFERROR(IF(PA[[#This Row],[Lost PoA(kWh/m2)]]&gt;0,_xlfn.XLOOKUP(G595,'Modelling New'!$D:$D,'Modelling New'!$O:$O)*PA[[#This Row],[Lost PoA(kWh/m2)]]*S595,0),"")</f>
        <v>1.7057598962401204</v>
      </c>
      <c r="AK595" s="365"/>
      <c r="AL595" s="365"/>
    </row>
    <row r="596" spans="1:38" ht="30" x14ac:dyDescent="0.25">
      <c r="A596" s="229">
        <v>2287</v>
      </c>
      <c r="B596" s="376">
        <v>45861</v>
      </c>
      <c r="C596" s="163">
        <v>2025</v>
      </c>
      <c r="D596" s="364">
        <f>YEAR(PA[[#This Row],[Date]])</f>
        <v>2025</v>
      </c>
      <c r="E596" s="373" t="s">
        <v>73</v>
      </c>
      <c r="F596" s="374" t="s">
        <v>73</v>
      </c>
      <c r="G596" s="323">
        <v>45809</v>
      </c>
      <c r="H596" s="365">
        <f>DAY(EOMONTH(PA[[#This Row],[Date]], 0))</f>
        <v>31</v>
      </c>
      <c r="I596" s="10">
        <v>0.22708333333333333</v>
      </c>
      <c r="J596" s="10">
        <v>0.7729166666666667</v>
      </c>
      <c r="K596" s="131">
        <f>IFERROR((PA[[#This Row],[Sunset Time (POA&lt;20 W/m2)]]-PA[[#This Row],[Sunrise Time (POA&gt;20 W/m2)]])*24,"")</f>
        <v>13.100000000000001</v>
      </c>
      <c r="L596" s="128" t="s">
        <v>615</v>
      </c>
      <c r="M596" s="128"/>
      <c r="N596" s="128"/>
      <c r="O596" s="128" t="s">
        <v>610</v>
      </c>
      <c r="P596" s="130"/>
      <c r="Q596" s="129"/>
      <c r="R596" s="364" t="str">
        <f>CONCATENATE(PA[[#This Row],[Inverter  Station Number (if Bd in filed)]],PA[[#This Row],[Inverter number (If Inv or Str BD)]],PA[[#This Row],[LT Number (If breakdwon in Below LT Panel)]],PA[[#This Row],[ACCB Number (If BD below ACCB)]],PA[[#This Row],[String Type(If String BD, No other filed to be inserted)]],PA[[#This Row],[Equipment (If any BD above LT panel)]])</f>
        <v>BLK6INV24</v>
      </c>
      <c r="S596" s="131">
        <v>11</v>
      </c>
      <c r="T596" s="132">
        <f>IFERROR(_xlfn.XLOOKUP(PA[[#This Row],[Affected Equipment ]],'Basic Data '!A:A,'Basic Data '!C:C),"")</f>
        <v>4.2846441947565544E-3</v>
      </c>
      <c r="U596" s="128" t="s">
        <v>1260</v>
      </c>
      <c r="V596" s="117"/>
      <c r="W596" s="375" t="s">
        <v>1388</v>
      </c>
      <c r="X596" s="366">
        <v>0.33333333333333331</v>
      </c>
      <c r="Y596" s="366">
        <v>0.33333333333333331</v>
      </c>
      <c r="Z596" s="366">
        <v>0.6875</v>
      </c>
      <c r="AA596" s="366">
        <v>0.70833333333333337</v>
      </c>
      <c r="AB596" s="159">
        <f>IF(PA[[#This Row],[Acknowledgement Time ]]="NA","",(PA[[#This Row],[Acknowledgement Time ]]-PA[[#This Row],[Fault Time]])*24)</f>
        <v>0</v>
      </c>
      <c r="AC596" s="159">
        <f>IF(PA[[#This Row],[Work Start time on Fault]]="NA","",(PA[[#This Row],[Work Start time on Fault]]-PA[[#This Row],[Fault Time]])*24)</f>
        <v>8.5</v>
      </c>
      <c r="AD596" s="135">
        <f>IF(PA[[#This Row],[Status]]="Open","",(PA[[#This Row],[Work Completion time on fault]]-PA[[#This Row],[Fault Time]])*24)</f>
        <v>9.0000000000000018</v>
      </c>
      <c r="AE596" s="134">
        <f>IFERROR((PA[[#This Row],[Work Completion time on fault]]-PA[[#This Row],[Fault Time]])*24,"")</f>
        <v>9.0000000000000018</v>
      </c>
      <c r="AF596" s="226" t="s">
        <v>1388</v>
      </c>
      <c r="AG596" s="129" t="s">
        <v>1275</v>
      </c>
      <c r="AH596" s="131">
        <f>IFERROR(PA[[#This Row],[Breakdown Time]]*PA[[#This Row],[Plant Equivalent Weightage]],"")</f>
        <v>3.8561797752808998E-2</v>
      </c>
      <c r="AI596" s="128">
        <v>2.1</v>
      </c>
      <c r="AJ596" s="89">
        <f>IFERROR(IF(PA[[#This Row],[Lost PoA(kWh/m2)]]&gt;0,_xlfn.XLOOKUP(G596,'Modelling New'!$D:$D,'Modelling New'!$O:$O)*PA[[#This Row],[Lost PoA(kWh/m2)]]*S596,0),"")</f>
        <v>17.559293049530652</v>
      </c>
      <c r="AK596" s="365"/>
      <c r="AL596" s="365"/>
    </row>
  </sheetData>
  <phoneticPr fontId="5" type="noConversion"/>
  <dataValidations disablePrompts="1" count="2">
    <dataValidation type="list" allowBlank="1" showErrorMessage="1" sqref="M70:M102" xr:uid="{D81D4AE4-DB86-411D-ACF7-141E8821548B}">
      <formula1>"LT1,LT2"</formula1>
    </dataValidation>
    <dataValidation type="list" allowBlank="1" showInputMessage="1" showErrorMessage="1" sqref="M4:M69" xr:uid="{8E6A2328-430D-4B29-A804-361F26AC9941}">
      <formula1>"LT1,LT2"</formula1>
    </dataValidation>
  </dataValidations>
  <pageMargins left="0.7" right="0.7" top="0.75" bottom="0.75" header="0.3" footer="0.3"/>
  <pageSetup paperSize="9" orientation="portrait" r:id="rId1"/>
  <ignoredErrors>
    <ignoredError sqref="AJ4 AJ5:AJ10 AJ11:AJ14 AJ15:AJ16 AJ17:AJ24" calculatedColumn="1"/>
  </ignoredErrors>
  <tableParts count="1">
    <tablePart r:id="rId2"/>
  </tableParts>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00000000-0002-0000-0900-000002000000}">
          <x14:formula1>
            <xm:f>'Basic Data '!$Q$2:$Q$3</xm:f>
          </x14:formula1>
          <xm:sqref>AG4:AG315</xm:sqref>
        </x14:dataValidation>
        <x14:dataValidation type="list" allowBlank="1" showInputMessage="1" showErrorMessage="1" xr:uid="{00000000-0002-0000-0900-000004000000}">
          <x14:formula1>
            <xm:f>'Basic Data '!$K$2:$K$11</xm:f>
          </x14:formula1>
          <xm:sqref>P4:P159 P167</xm:sqref>
        </x14:dataValidation>
        <x14:dataValidation type="list" allowBlank="1" showInputMessage="1" showErrorMessage="1" xr:uid="{00000000-0002-0000-0900-000005000000}">
          <x14:formula1>
            <xm:f>'Basic Data '!$M$2:$M$19</xm:f>
          </x14:formula1>
          <xm:sqref>Q4:Q159 Q167</xm:sqref>
        </x14:dataValidation>
        <x14:dataValidation type="list" allowBlank="1" showInputMessage="1" showErrorMessage="1" xr:uid="{00000000-0002-0000-0900-000006000000}">
          <x14:formula1>
            <xm:f>'Basic Data '!$I$2:$I$11</xm:f>
          </x14:formula1>
          <xm:sqref>N4:N69</xm:sqref>
        </x14:dataValidation>
        <x14:dataValidation type="list" allowBlank="1" showInputMessage="1" showErrorMessage="1" xr:uid="{6EA6D2AA-2C97-4977-B952-98B9C3D652E4}">
          <x14:formula1>
            <xm:f>'Basic Data '!$O$2:$O$36</xm:f>
          </x14:formula1>
          <xm:sqref>O4:O69</xm:sqref>
        </x14:dataValidation>
        <x14:dataValidation type="list" allowBlank="1" showInputMessage="1" showErrorMessage="1" xr:uid="{00000000-0002-0000-0900-000001000000}">
          <x14:formula1>
            <xm:f>'Basic Data '!$G$2:$G$21</xm:f>
          </x14:formula1>
          <xm:sqref>L4:L69</xm:sqref>
        </x14:dataValidation>
        <x14:dataValidation type="list" allowBlank="1" showInputMessage="1" showErrorMessage="1" xr:uid="{00000000-0002-0000-0900-000003000000}">
          <x14:formula1>
            <xm:f>'Basic Data '!$E$2:$E$27</xm:f>
          </x14:formula1>
          <xm:sqref>U4:U69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IS54"/>
  <sheetViews>
    <sheetView showGridLines="0" zoomScale="80" workbookViewId="0">
      <pane xSplit="2" ySplit="3" topLeftCell="GB26" activePane="bottomRight" state="frozen"/>
      <selection pane="topRight" activeCell="C1" sqref="C1"/>
      <selection pane="bottomLeft" activeCell="A4" sqref="A4"/>
      <selection pane="bottomRight" activeCell="GU2" sqref="GU2"/>
    </sheetView>
  </sheetViews>
  <sheetFormatPr defaultColWidth="8.85546875" defaultRowHeight="15" x14ac:dyDescent="0.25"/>
  <cols>
    <col min="1" max="1" width="1.140625" customWidth="1"/>
    <col min="2" max="2" width="10.140625" customWidth="1"/>
    <col min="3" max="32" width="12.28515625" customWidth="1"/>
    <col min="33" max="33" width="16.7109375" customWidth="1"/>
    <col min="34" max="34" width="9.7109375" customWidth="1"/>
    <col min="35" max="65" width="12.28515625" customWidth="1"/>
    <col min="66" max="66" width="14.85546875" bestFit="1" customWidth="1"/>
    <col min="67" max="76" width="12.28515625" customWidth="1"/>
    <col min="77" max="164" width="13" customWidth="1"/>
    <col min="215" max="215" width="8.85546875" customWidth="1"/>
    <col min="250" max="250" width="31" customWidth="1"/>
    <col min="252" max="252" width="7.7109375" customWidth="1"/>
  </cols>
  <sheetData>
    <row r="1" spans="2:253" x14ac:dyDescent="0.25">
      <c r="C1" s="83">
        <v>289.25</v>
      </c>
      <c r="D1" s="83">
        <v>289.25</v>
      </c>
      <c r="E1" s="83">
        <v>267</v>
      </c>
      <c r="F1" s="83">
        <v>267</v>
      </c>
      <c r="G1" s="83">
        <v>289.25</v>
      </c>
      <c r="H1" s="83">
        <v>267</v>
      </c>
      <c r="I1" s="83">
        <v>267</v>
      </c>
      <c r="J1" s="83">
        <v>267</v>
      </c>
      <c r="K1" s="83">
        <v>278.125</v>
      </c>
      <c r="L1" s="83">
        <v>278.125</v>
      </c>
      <c r="M1" s="83">
        <v>267</v>
      </c>
      <c r="N1" s="83">
        <v>267</v>
      </c>
      <c r="O1" s="83">
        <v>267</v>
      </c>
      <c r="P1" s="83">
        <v>244.75</v>
      </c>
      <c r="Q1" s="83">
        <v>267</v>
      </c>
      <c r="R1" s="83">
        <v>267</v>
      </c>
      <c r="S1" s="83">
        <v>267</v>
      </c>
      <c r="T1" s="83">
        <v>267</v>
      </c>
      <c r="U1" s="83">
        <v>289.25</v>
      </c>
      <c r="V1" s="83">
        <v>289.25</v>
      </c>
      <c r="W1" s="83">
        <v>267</v>
      </c>
      <c r="X1" s="83">
        <v>267</v>
      </c>
      <c r="Y1" s="83">
        <v>289.25</v>
      </c>
      <c r="Z1" s="83">
        <v>300.375</v>
      </c>
      <c r="AA1" s="83">
        <v>289.25</v>
      </c>
      <c r="AB1" s="83">
        <v>289.25</v>
      </c>
      <c r="AC1" s="83">
        <v>289.25</v>
      </c>
      <c r="AD1" s="83">
        <v>300.375</v>
      </c>
      <c r="AE1" s="83">
        <v>300.375</v>
      </c>
      <c r="AF1" s="83">
        <v>300.375</v>
      </c>
      <c r="AG1" s="83">
        <v>300.375</v>
      </c>
      <c r="AH1" s="83">
        <v>300.375</v>
      </c>
      <c r="AI1" s="83">
        <v>254.4</v>
      </c>
      <c r="AJ1" s="83">
        <v>334.55</v>
      </c>
      <c r="AK1" s="83">
        <v>267</v>
      </c>
      <c r="AL1" s="83">
        <v>298.89999999999998</v>
      </c>
      <c r="AM1" s="83">
        <v>267</v>
      </c>
      <c r="AN1" s="83">
        <v>267</v>
      </c>
      <c r="AO1" s="83">
        <v>267</v>
      </c>
      <c r="AP1" s="83">
        <v>267</v>
      </c>
      <c r="AQ1" s="83">
        <v>267</v>
      </c>
      <c r="AR1" s="83">
        <v>267</v>
      </c>
      <c r="AS1" s="83">
        <v>267</v>
      </c>
      <c r="AT1" s="83">
        <v>267</v>
      </c>
      <c r="AU1" s="83">
        <v>267</v>
      </c>
      <c r="AV1" s="83">
        <v>267</v>
      </c>
      <c r="AW1" s="83">
        <v>289.25</v>
      </c>
      <c r="AX1" s="83">
        <v>267</v>
      </c>
      <c r="AY1" s="83">
        <v>278.125</v>
      </c>
      <c r="AZ1" s="83">
        <v>278.125</v>
      </c>
      <c r="BA1" s="83">
        <v>267</v>
      </c>
      <c r="BB1" s="83">
        <v>267</v>
      </c>
      <c r="BC1" s="83">
        <v>300.375</v>
      </c>
      <c r="BD1" s="83">
        <v>300.375</v>
      </c>
      <c r="BE1" s="83">
        <v>289.25</v>
      </c>
      <c r="BF1" s="83">
        <v>300.375</v>
      </c>
      <c r="BG1" s="83">
        <v>300.375</v>
      </c>
      <c r="BH1" s="83">
        <v>267</v>
      </c>
      <c r="BI1" s="83">
        <v>300.375</v>
      </c>
      <c r="BJ1" s="83">
        <v>300.375</v>
      </c>
      <c r="BK1" s="83">
        <v>267</v>
      </c>
      <c r="BL1" s="83">
        <v>298.89999999999998</v>
      </c>
      <c r="BM1" s="83">
        <v>267</v>
      </c>
      <c r="BN1" s="83">
        <v>239.25</v>
      </c>
      <c r="BO1" s="83">
        <v>289.25</v>
      </c>
      <c r="BP1" s="83">
        <v>289.25</v>
      </c>
      <c r="BQ1" s="83">
        <v>289.25</v>
      </c>
      <c r="BR1" s="83">
        <v>289.25</v>
      </c>
      <c r="BS1" s="83">
        <v>267</v>
      </c>
      <c r="BT1" s="83">
        <v>267</v>
      </c>
      <c r="BU1" s="83">
        <v>267</v>
      </c>
      <c r="BV1" s="83">
        <v>267</v>
      </c>
      <c r="BW1" s="83">
        <v>267</v>
      </c>
      <c r="BX1" s="83">
        <v>267</v>
      </c>
      <c r="BY1" s="83">
        <v>300.375</v>
      </c>
      <c r="BZ1" s="83">
        <v>300.375</v>
      </c>
      <c r="CA1" s="83">
        <v>300.375</v>
      </c>
      <c r="CB1" s="83">
        <v>267</v>
      </c>
      <c r="CC1" s="83">
        <v>267</v>
      </c>
      <c r="CD1" s="83">
        <v>289.25</v>
      </c>
      <c r="CE1" s="83">
        <v>267</v>
      </c>
      <c r="CF1" s="83">
        <v>267</v>
      </c>
      <c r="CG1" s="83">
        <v>267</v>
      </c>
      <c r="CH1" s="83">
        <v>267</v>
      </c>
      <c r="CI1" s="83">
        <v>267</v>
      </c>
      <c r="CJ1" s="83">
        <v>267</v>
      </c>
      <c r="CK1" s="83">
        <v>267</v>
      </c>
      <c r="CL1" s="83">
        <v>267</v>
      </c>
      <c r="CM1" s="83">
        <v>267</v>
      </c>
      <c r="CN1" s="83">
        <v>267</v>
      </c>
      <c r="CO1" s="83">
        <v>278.125</v>
      </c>
      <c r="CP1" s="83">
        <v>289.25</v>
      </c>
      <c r="CQ1" s="83">
        <v>267</v>
      </c>
      <c r="CR1" s="83">
        <v>267</v>
      </c>
      <c r="CS1" s="83">
        <v>300.375</v>
      </c>
      <c r="CT1" s="83">
        <v>267</v>
      </c>
      <c r="CU1" s="83">
        <v>267</v>
      </c>
      <c r="CV1" s="83">
        <v>267</v>
      </c>
      <c r="CW1" s="83">
        <v>267</v>
      </c>
      <c r="CX1" s="83">
        <v>267</v>
      </c>
      <c r="CY1" s="83">
        <v>267</v>
      </c>
      <c r="CZ1" s="83">
        <v>267</v>
      </c>
      <c r="DA1" s="83">
        <v>267</v>
      </c>
      <c r="DB1" s="83">
        <v>267</v>
      </c>
      <c r="DC1" s="83">
        <v>300.375</v>
      </c>
      <c r="DD1" s="83">
        <v>267</v>
      </c>
      <c r="DE1" s="83">
        <v>300.375</v>
      </c>
      <c r="DF1" s="83">
        <v>298.89999999999998</v>
      </c>
      <c r="DG1" s="83">
        <v>267</v>
      </c>
      <c r="DH1" s="83">
        <v>300.375</v>
      </c>
      <c r="DI1" s="83">
        <v>289.25</v>
      </c>
      <c r="DJ1" s="83">
        <v>289.25</v>
      </c>
      <c r="DK1" s="83">
        <v>300.375</v>
      </c>
      <c r="DL1" s="83">
        <v>300.375</v>
      </c>
      <c r="DM1" s="83">
        <v>267</v>
      </c>
      <c r="DN1" s="83">
        <v>267</v>
      </c>
      <c r="DO1" s="83">
        <v>298.89999999999998</v>
      </c>
      <c r="DP1" s="83">
        <v>300.375</v>
      </c>
      <c r="DQ1" s="83">
        <v>300.375</v>
      </c>
      <c r="DR1" s="83">
        <v>267</v>
      </c>
      <c r="DS1" s="83">
        <v>267</v>
      </c>
      <c r="DT1" s="83">
        <v>300.375</v>
      </c>
      <c r="DU1" s="83">
        <v>300.375</v>
      </c>
      <c r="DV1" s="83">
        <v>267</v>
      </c>
      <c r="DW1" s="83">
        <v>267</v>
      </c>
      <c r="DX1" s="83">
        <v>300.375</v>
      </c>
      <c r="DY1" s="83">
        <v>267</v>
      </c>
      <c r="DZ1" s="83">
        <v>267</v>
      </c>
      <c r="EA1" s="83">
        <v>300.375</v>
      </c>
      <c r="EB1" s="83">
        <v>300.375</v>
      </c>
      <c r="EC1" s="83">
        <v>289.25</v>
      </c>
      <c r="ED1" s="83">
        <v>289.25</v>
      </c>
      <c r="EE1" s="83">
        <v>289.25</v>
      </c>
      <c r="EF1" s="83">
        <v>244.75</v>
      </c>
      <c r="EG1" s="83">
        <v>286</v>
      </c>
      <c r="EH1" s="83">
        <v>286</v>
      </c>
      <c r="EI1" s="83">
        <v>286</v>
      </c>
      <c r="EJ1" s="83">
        <v>286</v>
      </c>
      <c r="EK1" s="83">
        <v>278.125</v>
      </c>
      <c r="EL1" s="83">
        <v>267</v>
      </c>
      <c r="EM1" s="83">
        <v>289.25</v>
      </c>
      <c r="EN1" s="83">
        <v>289.25</v>
      </c>
      <c r="EO1" s="83">
        <v>267</v>
      </c>
      <c r="EP1" s="83">
        <v>289.25</v>
      </c>
      <c r="EQ1" s="83">
        <v>267</v>
      </c>
      <c r="ER1" s="83">
        <v>289.25</v>
      </c>
      <c r="ES1" s="83">
        <v>267</v>
      </c>
      <c r="ET1" s="83">
        <v>244.75</v>
      </c>
      <c r="EU1" s="83">
        <v>289.25</v>
      </c>
      <c r="EV1" s="83">
        <v>289.25</v>
      </c>
      <c r="EW1" s="83">
        <v>289.25</v>
      </c>
      <c r="EX1" s="83">
        <v>267</v>
      </c>
      <c r="EY1" s="83">
        <v>300.375</v>
      </c>
      <c r="EZ1" s="83">
        <v>267</v>
      </c>
      <c r="FA1" s="83">
        <v>267</v>
      </c>
      <c r="FB1" s="83">
        <v>267</v>
      </c>
      <c r="FC1" s="83">
        <v>267</v>
      </c>
      <c r="FD1" s="83">
        <v>267</v>
      </c>
      <c r="FE1" s="83">
        <v>264</v>
      </c>
      <c r="FF1" s="83">
        <v>264</v>
      </c>
      <c r="FG1" s="83">
        <v>297</v>
      </c>
      <c r="FH1" s="83">
        <v>264</v>
      </c>
      <c r="FI1" s="83">
        <v>297</v>
      </c>
      <c r="FJ1" s="83">
        <v>297</v>
      </c>
      <c r="FK1" s="83">
        <v>297</v>
      </c>
      <c r="FL1" s="83">
        <v>275</v>
      </c>
      <c r="FM1" s="83">
        <v>264</v>
      </c>
      <c r="FN1" s="83">
        <v>297</v>
      </c>
      <c r="FO1" s="83">
        <v>264</v>
      </c>
      <c r="FP1" s="83">
        <v>275</v>
      </c>
      <c r="FQ1" s="83">
        <v>275</v>
      </c>
      <c r="FR1" s="83">
        <v>275</v>
      </c>
      <c r="FS1" s="83">
        <v>297</v>
      </c>
      <c r="FT1" s="83">
        <v>275</v>
      </c>
      <c r="FU1" s="83">
        <v>297</v>
      </c>
      <c r="FV1" s="83">
        <v>264</v>
      </c>
      <c r="FW1" s="83">
        <v>264</v>
      </c>
      <c r="FX1" s="83">
        <v>264</v>
      </c>
      <c r="FY1" s="83">
        <v>297</v>
      </c>
      <c r="FZ1" s="83">
        <v>264</v>
      </c>
      <c r="GA1" s="83">
        <v>286</v>
      </c>
      <c r="GB1" s="83">
        <v>297</v>
      </c>
      <c r="GC1" s="83">
        <v>297</v>
      </c>
      <c r="GD1" s="83">
        <v>275</v>
      </c>
      <c r="GE1" s="83">
        <v>286</v>
      </c>
      <c r="GF1" s="83">
        <v>297</v>
      </c>
      <c r="GG1" s="83">
        <v>275</v>
      </c>
      <c r="GH1" s="83">
        <v>275</v>
      </c>
      <c r="GI1" s="83">
        <v>275</v>
      </c>
      <c r="GJ1" s="83">
        <v>286</v>
      </c>
      <c r="GK1" s="83">
        <v>264</v>
      </c>
      <c r="GL1" s="83">
        <v>264</v>
      </c>
      <c r="GM1" s="83">
        <v>264</v>
      </c>
      <c r="GN1" s="83">
        <v>264</v>
      </c>
      <c r="GO1" s="83">
        <v>264</v>
      </c>
      <c r="GP1" s="83">
        <v>264</v>
      </c>
      <c r="GQ1" s="83">
        <v>220</v>
      </c>
      <c r="GR1" s="83">
        <v>264</v>
      </c>
      <c r="GS1" s="83">
        <v>0</v>
      </c>
      <c r="GT1" s="83">
        <v>0</v>
      </c>
      <c r="GU1" s="83">
        <v>227.4</v>
      </c>
      <c r="GV1" s="83">
        <v>190.35</v>
      </c>
      <c r="GW1" s="83">
        <v>270.60000000000002</v>
      </c>
      <c r="GX1" s="83">
        <v>0</v>
      </c>
      <c r="GY1" s="83">
        <v>292.60000000000002</v>
      </c>
      <c r="GZ1" s="83">
        <v>267</v>
      </c>
      <c r="HA1" s="83">
        <v>267</v>
      </c>
      <c r="HB1" s="83">
        <v>267</v>
      </c>
      <c r="HC1" s="83">
        <v>267</v>
      </c>
      <c r="HD1" s="83">
        <v>267</v>
      </c>
      <c r="HE1" s="83">
        <v>267</v>
      </c>
      <c r="HF1" s="83">
        <v>267</v>
      </c>
      <c r="HG1" s="83">
        <v>267</v>
      </c>
      <c r="HH1" s="83">
        <v>267</v>
      </c>
      <c r="HI1" s="83">
        <v>267</v>
      </c>
      <c r="HJ1" s="83">
        <v>267</v>
      </c>
      <c r="HK1" s="83">
        <v>300.375</v>
      </c>
      <c r="HL1" s="83">
        <v>300.375</v>
      </c>
      <c r="HM1" s="83">
        <v>223.3</v>
      </c>
      <c r="HN1" s="83">
        <v>223.3</v>
      </c>
      <c r="HO1" s="83">
        <v>191.4</v>
      </c>
      <c r="HP1" s="83">
        <v>159.5</v>
      </c>
      <c r="HQ1" s="83">
        <v>207.9</v>
      </c>
      <c r="HR1" s="83">
        <v>239.8</v>
      </c>
      <c r="HS1" s="83">
        <v>278.125</v>
      </c>
      <c r="HT1" s="83">
        <v>300.375</v>
      </c>
      <c r="HU1" s="83">
        <v>289.25</v>
      </c>
      <c r="HV1" s="83">
        <v>289.25</v>
      </c>
      <c r="HW1" s="83">
        <v>278.125</v>
      </c>
      <c r="HX1" s="83">
        <v>289.25</v>
      </c>
      <c r="HY1" s="83">
        <v>300.375</v>
      </c>
      <c r="HZ1" s="83">
        <v>300.375</v>
      </c>
      <c r="IA1" s="83">
        <v>257.39999999999998</v>
      </c>
      <c r="IB1" s="83">
        <v>277.2</v>
      </c>
      <c r="IC1" s="83">
        <v>257.39999999999998</v>
      </c>
      <c r="ID1" s="83">
        <v>267.3</v>
      </c>
      <c r="IE1" s="83">
        <v>247.5</v>
      </c>
      <c r="IF1" s="83">
        <v>0</v>
      </c>
      <c r="IG1" s="83">
        <v>353.3</v>
      </c>
      <c r="IH1" s="83">
        <v>287.10000000000002</v>
      </c>
      <c r="II1" s="83">
        <v>100.5</v>
      </c>
      <c r="IJ1" s="83">
        <v>267.3</v>
      </c>
      <c r="IK1" s="83">
        <v>257.39999999999998</v>
      </c>
      <c r="IL1" s="83">
        <v>0</v>
      </c>
      <c r="IM1" s="83">
        <v>0</v>
      </c>
      <c r="IN1" s="83">
        <v>239.25</v>
      </c>
      <c r="IO1" s="83">
        <v>255.2</v>
      </c>
      <c r="IP1" s="83">
        <v>230.15</v>
      </c>
      <c r="IQ1" s="83">
        <v>257.39999999999998</v>
      </c>
      <c r="IR1" s="83">
        <v>241.2</v>
      </c>
      <c r="IS1" s="83">
        <f>SUM(C1:IR1)</f>
        <v>66958.55</v>
      </c>
    </row>
    <row r="2" spans="2:253" x14ac:dyDescent="0.25">
      <c r="C2">
        <v>11</v>
      </c>
      <c r="D2">
        <v>12</v>
      </c>
      <c r="E2">
        <v>13</v>
      </c>
      <c r="F2">
        <v>14</v>
      </c>
      <c r="G2">
        <v>15</v>
      </c>
      <c r="H2">
        <v>16</v>
      </c>
      <c r="I2">
        <v>17</v>
      </c>
      <c r="J2">
        <v>18</v>
      </c>
      <c r="K2">
        <v>19</v>
      </c>
      <c r="L2">
        <v>20</v>
      </c>
      <c r="M2">
        <v>21</v>
      </c>
      <c r="N2">
        <v>22</v>
      </c>
      <c r="O2">
        <v>23</v>
      </c>
      <c r="P2">
        <v>24</v>
      </c>
      <c r="Q2">
        <v>25</v>
      </c>
      <c r="R2">
        <v>26</v>
      </c>
      <c r="S2">
        <v>27</v>
      </c>
      <c r="T2">
        <v>28</v>
      </c>
      <c r="U2">
        <v>29</v>
      </c>
      <c r="V2">
        <v>30</v>
      </c>
      <c r="W2">
        <v>31</v>
      </c>
      <c r="X2">
        <v>32</v>
      </c>
      <c r="Y2">
        <v>33</v>
      </c>
      <c r="Z2">
        <v>34</v>
      </c>
      <c r="AA2">
        <v>35</v>
      </c>
      <c r="AB2">
        <v>36</v>
      </c>
      <c r="AC2">
        <v>37</v>
      </c>
      <c r="AD2">
        <v>38</v>
      </c>
      <c r="AE2">
        <v>39</v>
      </c>
      <c r="AF2">
        <v>40</v>
      </c>
      <c r="AG2">
        <v>41</v>
      </c>
      <c r="AH2">
        <v>42</v>
      </c>
      <c r="AI2">
        <v>43</v>
      </c>
      <c r="AJ2">
        <v>44</v>
      </c>
      <c r="AK2">
        <v>45</v>
      </c>
      <c r="AL2">
        <v>46</v>
      </c>
      <c r="AM2">
        <v>47</v>
      </c>
      <c r="AN2">
        <v>48</v>
      </c>
      <c r="AO2">
        <v>49</v>
      </c>
      <c r="AP2">
        <v>50</v>
      </c>
      <c r="AQ2">
        <v>51</v>
      </c>
      <c r="AR2">
        <v>52</v>
      </c>
      <c r="AS2">
        <v>53</v>
      </c>
      <c r="AT2">
        <v>54</v>
      </c>
      <c r="AU2">
        <v>55</v>
      </c>
      <c r="AV2">
        <v>56</v>
      </c>
      <c r="AW2">
        <v>57</v>
      </c>
      <c r="AX2">
        <v>58</v>
      </c>
      <c r="AY2">
        <v>59</v>
      </c>
      <c r="AZ2">
        <v>60</v>
      </c>
      <c r="BA2">
        <v>61</v>
      </c>
      <c r="BB2">
        <v>62</v>
      </c>
      <c r="BC2">
        <v>63</v>
      </c>
      <c r="BD2">
        <v>64</v>
      </c>
      <c r="BE2">
        <v>65</v>
      </c>
      <c r="BF2">
        <v>66</v>
      </c>
      <c r="BG2">
        <v>67</v>
      </c>
      <c r="BH2">
        <v>68</v>
      </c>
      <c r="BI2">
        <v>69</v>
      </c>
      <c r="BJ2">
        <v>70</v>
      </c>
      <c r="BK2">
        <v>71</v>
      </c>
      <c r="BL2">
        <v>72</v>
      </c>
      <c r="BM2">
        <v>73</v>
      </c>
      <c r="BN2">
        <v>74</v>
      </c>
      <c r="BO2">
        <v>75</v>
      </c>
      <c r="BP2">
        <v>76</v>
      </c>
      <c r="BQ2">
        <v>77</v>
      </c>
      <c r="BR2">
        <v>78</v>
      </c>
      <c r="BS2">
        <v>79</v>
      </c>
      <c r="BT2">
        <v>80</v>
      </c>
      <c r="BU2">
        <v>81</v>
      </c>
      <c r="BV2">
        <v>82</v>
      </c>
      <c r="BW2">
        <v>83</v>
      </c>
      <c r="BX2">
        <v>84</v>
      </c>
      <c r="BY2">
        <v>85</v>
      </c>
      <c r="BZ2">
        <v>86</v>
      </c>
      <c r="CA2">
        <v>87</v>
      </c>
      <c r="CB2">
        <v>88</v>
      </c>
      <c r="CC2">
        <v>89</v>
      </c>
      <c r="CD2">
        <v>90</v>
      </c>
      <c r="CE2">
        <v>91</v>
      </c>
      <c r="CF2">
        <v>92</v>
      </c>
      <c r="CG2">
        <v>93</v>
      </c>
      <c r="CH2">
        <v>94</v>
      </c>
      <c r="CI2">
        <v>95</v>
      </c>
      <c r="CJ2">
        <v>96</v>
      </c>
      <c r="CK2">
        <v>97</v>
      </c>
      <c r="CL2">
        <v>98</v>
      </c>
      <c r="CM2">
        <v>99</v>
      </c>
      <c r="CN2">
        <v>100</v>
      </c>
      <c r="CO2">
        <v>101</v>
      </c>
      <c r="CP2">
        <v>102</v>
      </c>
      <c r="CQ2">
        <v>103</v>
      </c>
      <c r="CR2">
        <v>104</v>
      </c>
      <c r="CS2">
        <v>105</v>
      </c>
      <c r="CT2">
        <v>106</v>
      </c>
      <c r="CU2">
        <v>107</v>
      </c>
      <c r="CV2">
        <v>108</v>
      </c>
      <c r="CW2">
        <v>109</v>
      </c>
      <c r="CX2">
        <v>110</v>
      </c>
      <c r="CY2">
        <v>111</v>
      </c>
      <c r="CZ2">
        <v>112</v>
      </c>
      <c r="DA2">
        <v>113</v>
      </c>
      <c r="DB2">
        <v>114</v>
      </c>
      <c r="DC2">
        <v>115</v>
      </c>
      <c r="DD2">
        <v>116</v>
      </c>
      <c r="DE2">
        <v>117</v>
      </c>
      <c r="DF2">
        <v>118</v>
      </c>
      <c r="DG2">
        <v>119</v>
      </c>
      <c r="DH2">
        <v>120</v>
      </c>
      <c r="DI2">
        <v>121</v>
      </c>
      <c r="DJ2">
        <v>122</v>
      </c>
      <c r="DK2">
        <v>123</v>
      </c>
      <c r="DL2">
        <v>124</v>
      </c>
      <c r="DM2">
        <v>125</v>
      </c>
      <c r="DN2">
        <v>126</v>
      </c>
      <c r="DO2">
        <v>127</v>
      </c>
      <c r="DP2">
        <v>128</v>
      </c>
      <c r="DQ2">
        <v>129</v>
      </c>
      <c r="DR2">
        <v>130</v>
      </c>
      <c r="DS2">
        <v>131</v>
      </c>
      <c r="DT2">
        <v>132</v>
      </c>
      <c r="DU2">
        <v>133</v>
      </c>
      <c r="DV2">
        <v>134</v>
      </c>
      <c r="DW2">
        <v>135</v>
      </c>
      <c r="DX2">
        <v>136</v>
      </c>
      <c r="DY2">
        <v>137</v>
      </c>
      <c r="DZ2">
        <v>138</v>
      </c>
      <c r="EA2">
        <v>139</v>
      </c>
      <c r="EB2">
        <v>140</v>
      </c>
      <c r="EC2">
        <v>141</v>
      </c>
      <c r="ED2">
        <v>142</v>
      </c>
      <c r="EE2">
        <v>143</v>
      </c>
      <c r="EF2">
        <v>144</v>
      </c>
      <c r="EG2">
        <v>145</v>
      </c>
      <c r="EH2">
        <v>146</v>
      </c>
      <c r="EI2">
        <v>147</v>
      </c>
      <c r="EJ2">
        <v>148</v>
      </c>
      <c r="EK2">
        <v>149</v>
      </c>
      <c r="EL2">
        <v>150</v>
      </c>
      <c r="EM2">
        <v>151</v>
      </c>
      <c r="EN2">
        <v>152</v>
      </c>
      <c r="EO2">
        <v>153</v>
      </c>
      <c r="EP2">
        <v>154</v>
      </c>
      <c r="EQ2">
        <v>155</v>
      </c>
      <c r="ER2">
        <v>156</v>
      </c>
      <c r="ES2">
        <v>157</v>
      </c>
      <c r="ET2">
        <v>158</v>
      </c>
      <c r="EU2">
        <v>159</v>
      </c>
      <c r="EV2">
        <v>160</v>
      </c>
      <c r="EW2">
        <v>161</v>
      </c>
      <c r="EX2">
        <v>162</v>
      </c>
      <c r="EY2">
        <v>163</v>
      </c>
      <c r="EZ2">
        <v>164</v>
      </c>
      <c r="FA2">
        <v>165</v>
      </c>
      <c r="FB2">
        <v>166</v>
      </c>
      <c r="FC2">
        <v>167</v>
      </c>
      <c r="FD2">
        <v>168</v>
      </c>
      <c r="FE2">
        <v>169</v>
      </c>
      <c r="FF2">
        <v>170</v>
      </c>
      <c r="FG2">
        <v>171</v>
      </c>
      <c r="FH2">
        <v>172</v>
      </c>
      <c r="FI2">
        <v>173</v>
      </c>
      <c r="FJ2">
        <v>174</v>
      </c>
      <c r="FK2">
        <v>175</v>
      </c>
      <c r="FL2">
        <v>176</v>
      </c>
      <c r="FM2">
        <v>177</v>
      </c>
      <c r="FN2">
        <v>178</v>
      </c>
      <c r="FO2">
        <v>179</v>
      </c>
      <c r="FP2">
        <v>180</v>
      </c>
      <c r="FQ2">
        <v>181</v>
      </c>
      <c r="FR2">
        <v>182</v>
      </c>
      <c r="FS2">
        <v>183</v>
      </c>
      <c r="FT2">
        <v>184</v>
      </c>
      <c r="FU2">
        <v>185</v>
      </c>
      <c r="FV2">
        <v>186</v>
      </c>
      <c r="FW2">
        <v>187</v>
      </c>
      <c r="FX2">
        <v>188</v>
      </c>
      <c r="FY2">
        <v>189</v>
      </c>
      <c r="FZ2">
        <v>190</v>
      </c>
      <c r="GA2">
        <v>191</v>
      </c>
      <c r="GB2">
        <v>192</v>
      </c>
      <c r="GC2">
        <v>193</v>
      </c>
      <c r="GD2">
        <v>194</v>
      </c>
      <c r="GE2">
        <v>195</v>
      </c>
      <c r="GF2">
        <v>196</v>
      </c>
      <c r="GG2">
        <v>197</v>
      </c>
      <c r="GH2">
        <v>198</v>
      </c>
      <c r="GI2">
        <v>199</v>
      </c>
      <c r="GJ2">
        <v>200</v>
      </c>
      <c r="GK2">
        <v>201</v>
      </c>
      <c r="GL2">
        <v>202</v>
      </c>
      <c r="GM2">
        <v>203</v>
      </c>
      <c r="GN2">
        <v>204</v>
      </c>
      <c r="GO2">
        <v>205</v>
      </c>
      <c r="GP2">
        <v>206</v>
      </c>
      <c r="GQ2">
        <v>207</v>
      </c>
      <c r="GR2">
        <v>208</v>
      </c>
      <c r="GS2">
        <v>209</v>
      </c>
      <c r="GT2">
        <v>210</v>
      </c>
      <c r="GU2">
        <v>211</v>
      </c>
      <c r="GV2">
        <v>212</v>
      </c>
      <c r="GW2">
        <v>213</v>
      </c>
      <c r="GX2">
        <v>214</v>
      </c>
      <c r="GY2">
        <v>215</v>
      </c>
      <c r="GZ2">
        <v>216</v>
      </c>
      <c r="HA2">
        <v>217</v>
      </c>
      <c r="HB2">
        <v>218</v>
      </c>
      <c r="HC2">
        <v>219</v>
      </c>
      <c r="HD2">
        <v>220</v>
      </c>
      <c r="HE2">
        <v>221</v>
      </c>
      <c r="HF2">
        <v>222</v>
      </c>
      <c r="HG2">
        <v>223</v>
      </c>
      <c r="HH2">
        <v>224</v>
      </c>
      <c r="HI2">
        <v>225</v>
      </c>
      <c r="HJ2">
        <v>226</v>
      </c>
      <c r="HK2">
        <v>227</v>
      </c>
      <c r="HL2">
        <v>228</v>
      </c>
      <c r="HM2">
        <v>229</v>
      </c>
      <c r="HN2">
        <v>230</v>
      </c>
      <c r="HO2">
        <v>231</v>
      </c>
      <c r="HP2">
        <v>232</v>
      </c>
      <c r="HQ2">
        <v>233</v>
      </c>
      <c r="HR2">
        <v>234</v>
      </c>
      <c r="HS2">
        <v>235</v>
      </c>
      <c r="HT2">
        <v>236</v>
      </c>
      <c r="HU2">
        <v>237</v>
      </c>
      <c r="HV2">
        <v>238</v>
      </c>
      <c r="HW2">
        <v>239</v>
      </c>
      <c r="HX2">
        <v>240</v>
      </c>
      <c r="HY2">
        <v>241</v>
      </c>
      <c r="HZ2">
        <v>242</v>
      </c>
      <c r="IA2">
        <v>243</v>
      </c>
      <c r="IB2">
        <v>244</v>
      </c>
      <c r="IC2">
        <v>245</v>
      </c>
      <c r="ID2">
        <v>246</v>
      </c>
      <c r="IE2">
        <v>247</v>
      </c>
      <c r="IF2">
        <v>248</v>
      </c>
      <c r="IG2">
        <v>249</v>
      </c>
      <c r="IH2">
        <v>250</v>
      </c>
      <c r="II2">
        <v>251</v>
      </c>
      <c r="IJ2">
        <v>252</v>
      </c>
      <c r="IK2">
        <v>253</v>
      </c>
      <c r="IL2">
        <v>254</v>
      </c>
      <c r="IM2">
        <v>255</v>
      </c>
      <c r="IN2">
        <v>256</v>
      </c>
      <c r="IO2">
        <v>257</v>
      </c>
      <c r="IP2">
        <v>258</v>
      </c>
      <c r="IQ2">
        <v>259</v>
      </c>
      <c r="IR2">
        <v>260</v>
      </c>
      <c r="IS2">
        <v>261</v>
      </c>
    </row>
    <row r="3" spans="2:253" ht="24" x14ac:dyDescent="0.25">
      <c r="B3" s="51" t="s">
        <v>54</v>
      </c>
      <c r="C3" s="3" t="s">
        <v>146</v>
      </c>
      <c r="D3" s="3" t="s">
        <v>147</v>
      </c>
      <c r="E3" s="3" t="s">
        <v>148</v>
      </c>
      <c r="F3" s="3" t="s">
        <v>149</v>
      </c>
      <c r="G3" s="3" t="s">
        <v>150</v>
      </c>
      <c r="H3" s="3" t="s">
        <v>151</v>
      </c>
      <c r="I3" s="3" t="s">
        <v>152</v>
      </c>
      <c r="J3" s="3" t="s">
        <v>153</v>
      </c>
      <c r="K3" s="3" t="s">
        <v>154</v>
      </c>
      <c r="L3" s="3" t="s">
        <v>155</v>
      </c>
      <c r="M3" s="3" t="s">
        <v>156</v>
      </c>
      <c r="N3" s="3" t="s">
        <v>157</v>
      </c>
      <c r="O3" s="3" t="s">
        <v>158</v>
      </c>
      <c r="P3" s="3" t="s">
        <v>159</v>
      </c>
      <c r="Q3" s="3" t="s">
        <v>160</v>
      </c>
      <c r="R3" s="3" t="s">
        <v>161</v>
      </c>
      <c r="S3" s="3" t="s">
        <v>162</v>
      </c>
      <c r="T3" s="3" t="s">
        <v>163</v>
      </c>
      <c r="U3" s="3" t="s">
        <v>164</v>
      </c>
      <c r="V3" s="3" t="s">
        <v>165</v>
      </c>
      <c r="W3" s="3" t="s">
        <v>166</v>
      </c>
      <c r="X3" s="3" t="s">
        <v>167</v>
      </c>
      <c r="Y3" s="3" t="s">
        <v>168</v>
      </c>
      <c r="Z3" s="3" t="s">
        <v>169</v>
      </c>
      <c r="AA3" s="3" t="s">
        <v>170</v>
      </c>
      <c r="AB3" s="3" t="s">
        <v>171</v>
      </c>
      <c r="AC3" s="3" t="s">
        <v>172</v>
      </c>
      <c r="AD3" s="3" t="s">
        <v>173</v>
      </c>
      <c r="AE3" s="3" t="s">
        <v>174</v>
      </c>
      <c r="AF3" s="3" t="s">
        <v>175</v>
      </c>
      <c r="AG3" s="3" t="s">
        <v>176</v>
      </c>
      <c r="AH3" s="3" t="s">
        <v>177</v>
      </c>
      <c r="AI3" s="3" t="s">
        <v>178</v>
      </c>
      <c r="AJ3" s="3" t="s">
        <v>179</v>
      </c>
      <c r="AK3" s="3" t="s">
        <v>180</v>
      </c>
      <c r="AL3" s="3" t="s">
        <v>181</v>
      </c>
      <c r="AM3" s="3" t="s">
        <v>182</v>
      </c>
      <c r="AN3" s="3" t="s">
        <v>183</v>
      </c>
      <c r="AO3" s="3" t="s">
        <v>184</v>
      </c>
      <c r="AP3" s="3" t="s">
        <v>185</v>
      </c>
      <c r="AQ3" s="3" t="s">
        <v>186</v>
      </c>
      <c r="AR3" s="3" t="s">
        <v>187</v>
      </c>
      <c r="AS3" s="3" t="s">
        <v>188</v>
      </c>
      <c r="AT3" s="3" t="s">
        <v>189</v>
      </c>
      <c r="AU3" s="3" t="s">
        <v>190</v>
      </c>
      <c r="AV3" s="3" t="s">
        <v>191</v>
      </c>
      <c r="AW3" s="3" t="s">
        <v>192</v>
      </c>
      <c r="AX3" s="3" t="s">
        <v>193</v>
      </c>
      <c r="AY3" s="3" t="s">
        <v>194</v>
      </c>
      <c r="AZ3" s="3" t="s">
        <v>195</v>
      </c>
      <c r="BA3" s="3" t="s">
        <v>196</v>
      </c>
      <c r="BB3" s="3" t="s">
        <v>197</v>
      </c>
      <c r="BC3" s="3" t="s">
        <v>198</v>
      </c>
      <c r="BD3" s="3" t="s">
        <v>199</v>
      </c>
      <c r="BE3" s="3" t="s">
        <v>200</v>
      </c>
      <c r="BF3" s="3" t="s">
        <v>201</v>
      </c>
      <c r="BG3" s="3" t="s">
        <v>202</v>
      </c>
      <c r="BH3" s="3" t="s">
        <v>203</v>
      </c>
      <c r="BI3" s="3" t="s">
        <v>204</v>
      </c>
      <c r="BJ3" s="3" t="s">
        <v>205</v>
      </c>
      <c r="BK3" s="3" t="s">
        <v>206</v>
      </c>
      <c r="BL3" s="3" t="s">
        <v>207</v>
      </c>
      <c r="BM3" s="3" t="s">
        <v>208</v>
      </c>
      <c r="BN3" s="3" t="s">
        <v>209</v>
      </c>
      <c r="BO3" s="3" t="s">
        <v>210</v>
      </c>
      <c r="BP3" s="3" t="s">
        <v>211</v>
      </c>
      <c r="BQ3" s="3" t="s">
        <v>212</v>
      </c>
      <c r="BR3" s="3" t="s">
        <v>213</v>
      </c>
      <c r="BS3" s="3" t="s">
        <v>214</v>
      </c>
      <c r="BT3" s="3" t="s">
        <v>215</v>
      </c>
      <c r="BU3" s="3" t="s">
        <v>216</v>
      </c>
      <c r="BV3" s="3" t="s">
        <v>217</v>
      </c>
      <c r="BW3" s="3" t="s">
        <v>218</v>
      </c>
      <c r="BX3" s="3" t="s">
        <v>219</v>
      </c>
      <c r="BY3" s="3" t="s">
        <v>220</v>
      </c>
      <c r="BZ3" s="3" t="s">
        <v>221</v>
      </c>
      <c r="CA3" s="3" t="s">
        <v>222</v>
      </c>
      <c r="CB3" s="3" t="s">
        <v>223</v>
      </c>
      <c r="CC3" s="3" t="s">
        <v>224</v>
      </c>
      <c r="CD3" s="3" t="s">
        <v>225</v>
      </c>
      <c r="CE3" s="3" t="s">
        <v>226</v>
      </c>
      <c r="CF3" s="3" t="s">
        <v>227</v>
      </c>
      <c r="CG3" s="3" t="s">
        <v>228</v>
      </c>
      <c r="CH3" s="3" t="s">
        <v>229</v>
      </c>
      <c r="CI3" s="3" t="s">
        <v>230</v>
      </c>
      <c r="CJ3" s="3" t="s">
        <v>231</v>
      </c>
      <c r="CK3" s="3" t="s">
        <v>232</v>
      </c>
      <c r="CL3" s="3" t="s">
        <v>233</v>
      </c>
      <c r="CM3" s="3" t="s">
        <v>234</v>
      </c>
      <c r="CN3" s="3" t="s">
        <v>235</v>
      </c>
      <c r="CO3" s="3" t="s">
        <v>236</v>
      </c>
      <c r="CP3" s="3" t="s">
        <v>237</v>
      </c>
      <c r="CQ3" s="3" t="s">
        <v>238</v>
      </c>
      <c r="CR3" s="3" t="s">
        <v>239</v>
      </c>
      <c r="CS3" s="3" t="s">
        <v>240</v>
      </c>
      <c r="CT3" s="3" t="s">
        <v>241</v>
      </c>
      <c r="CU3" s="3" t="s">
        <v>242</v>
      </c>
      <c r="CV3" s="3" t="s">
        <v>243</v>
      </c>
      <c r="CW3" s="3" t="s">
        <v>244</v>
      </c>
      <c r="CX3" s="3" t="s">
        <v>245</v>
      </c>
      <c r="CY3" s="3" t="s">
        <v>246</v>
      </c>
      <c r="CZ3" s="3" t="s">
        <v>247</v>
      </c>
      <c r="DA3" s="3" t="s">
        <v>248</v>
      </c>
      <c r="DB3" s="3" t="s">
        <v>249</v>
      </c>
      <c r="DC3" s="3" t="s">
        <v>250</v>
      </c>
      <c r="DD3" s="3" t="s">
        <v>251</v>
      </c>
      <c r="DE3" s="3" t="s">
        <v>252</v>
      </c>
      <c r="DF3" s="3" t="s">
        <v>253</v>
      </c>
      <c r="DG3" s="3" t="s">
        <v>254</v>
      </c>
      <c r="DH3" s="3" t="s">
        <v>255</v>
      </c>
      <c r="DI3" s="3" t="s">
        <v>256</v>
      </c>
      <c r="DJ3" s="3" t="s">
        <v>257</v>
      </c>
      <c r="DK3" s="3" t="s">
        <v>258</v>
      </c>
      <c r="DL3" s="3" t="s">
        <v>259</v>
      </c>
      <c r="DM3" s="3" t="s">
        <v>260</v>
      </c>
      <c r="DN3" s="3" t="s">
        <v>261</v>
      </c>
      <c r="DO3" s="3" t="s">
        <v>262</v>
      </c>
      <c r="DP3" s="3" t="s">
        <v>263</v>
      </c>
      <c r="DQ3" s="3" t="s">
        <v>264</v>
      </c>
      <c r="DR3" s="3" t="s">
        <v>265</v>
      </c>
      <c r="DS3" s="3" t="s">
        <v>266</v>
      </c>
      <c r="DT3" s="3" t="s">
        <v>267</v>
      </c>
      <c r="DU3" s="3" t="s">
        <v>268</v>
      </c>
      <c r="DV3" s="3" t="s">
        <v>269</v>
      </c>
      <c r="DW3" s="3" t="s">
        <v>270</v>
      </c>
      <c r="DX3" s="3" t="s">
        <v>271</v>
      </c>
      <c r="DY3" s="3" t="s">
        <v>272</v>
      </c>
      <c r="DZ3" s="3" t="s">
        <v>273</v>
      </c>
      <c r="EA3" s="3" t="s">
        <v>274</v>
      </c>
      <c r="EB3" s="3" t="s">
        <v>275</v>
      </c>
      <c r="EC3" s="3" t="s">
        <v>276</v>
      </c>
      <c r="ED3" s="3" t="s">
        <v>277</v>
      </c>
      <c r="EE3" s="3" t="s">
        <v>278</v>
      </c>
      <c r="EF3" s="3" t="s">
        <v>279</v>
      </c>
      <c r="EG3" s="3" t="s">
        <v>280</v>
      </c>
      <c r="EH3" s="3" t="s">
        <v>281</v>
      </c>
      <c r="EI3" s="3" t="s">
        <v>282</v>
      </c>
      <c r="EJ3" s="3" t="s">
        <v>283</v>
      </c>
      <c r="EK3" s="3" t="s">
        <v>284</v>
      </c>
      <c r="EL3" s="3" t="s">
        <v>285</v>
      </c>
      <c r="EM3" s="3" t="s">
        <v>286</v>
      </c>
      <c r="EN3" s="3" t="s">
        <v>287</v>
      </c>
      <c r="EO3" s="3" t="s">
        <v>288</v>
      </c>
      <c r="EP3" s="3" t="s">
        <v>289</v>
      </c>
      <c r="EQ3" s="3" t="s">
        <v>290</v>
      </c>
      <c r="ER3" s="3" t="s">
        <v>291</v>
      </c>
      <c r="ES3" s="3" t="s">
        <v>292</v>
      </c>
      <c r="ET3" s="3" t="s">
        <v>293</v>
      </c>
      <c r="EU3" s="3" t="s">
        <v>294</v>
      </c>
      <c r="EV3" s="3" t="s">
        <v>295</v>
      </c>
      <c r="EW3" s="3" t="s">
        <v>296</v>
      </c>
      <c r="EX3" s="3" t="s">
        <v>297</v>
      </c>
      <c r="EY3" s="3" t="s">
        <v>298</v>
      </c>
      <c r="EZ3" s="3" t="s">
        <v>299</v>
      </c>
      <c r="FA3" s="3" t="s">
        <v>300</v>
      </c>
      <c r="FB3" s="3" t="s">
        <v>301</v>
      </c>
      <c r="FC3" s="3" t="s">
        <v>302</v>
      </c>
      <c r="FD3" s="3" t="s">
        <v>303</v>
      </c>
      <c r="FE3" s="3" t="s">
        <v>304</v>
      </c>
      <c r="FF3" s="3" t="s">
        <v>305</v>
      </c>
      <c r="FG3" s="3" t="s">
        <v>306</v>
      </c>
      <c r="FH3" s="3" t="s">
        <v>307</v>
      </c>
      <c r="FI3" s="3" t="s">
        <v>308</v>
      </c>
      <c r="FJ3" s="3" t="s">
        <v>309</v>
      </c>
      <c r="FK3" s="3" t="s">
        <v>310</v>
      </c>
      <c r="FL3" s="3" t="s">
        <v>311</v>
      </c>
      <c r="FM3" s="3" t="s">
        <v>312</v>
      </c>
      <c r="FN3" s="3" t="s">
        <v>313</v>
      </c>
      <c r="FO3" s="3" t="s">
        <v>314</v>
      </c>
      <c r="FP3" s="3" t="s">
        <v>315</v>
      </c>
      <c r="FQ3" s="3" t="s">
        <v>316</v>
      </c>
      <c r="FR3" s="3" t="s">
        <v>317</v>
      </c>
      <c r="FS3" s="3" t="s">
        <v>318</v>
      </c>
      <c r="FT3" s="3" t="s">
        <v>319</v>
      </c>
      <c r="FU3" s="3" t="s">
        <v>320</v>
      </c>
      <c r="FV3" s="3" t="s">
        <v>321</v>
      </c>
      <c r="FW3" s="3" t="s">
        <v>322</v>
      </c>
      <c r="FX3" s="3" t="s">
        <v>323</v>
      </c>
      <c r="FY3" s="3" t="s">
        <v>324</v>
      </c>
      <c r="FZ3" s="3" t="s">
        <v>325</v>
      </c>
      <c r="GA3" s="3" t="s">
        <v>326</v>
      </c>
      <c r="GB3" s="3" t="s">
        <v>327</v>
      </c>
      <c r="GC3" s="3" t="s">
        <v>328</v>
      </c>
      <c r="GD3" s="3" t="s">
        <v>329</v>
      </c>
      <c r="GE3" s="3" t="s">
        <v>330</v>
      </c>
      <c r="GF3" s="3" t="s">
        <v>331</v>
      </c>
      <c r="GG3" s="3" t="s">
        <v>332</v>
      </c>
      <c r="GH3" s="3" t="s">
        <v>333</v>
      </c>
      <c r="GI3" s="3" t="s">
        <v>334</v>
      </c>
      <c r="GJ3" s="3" t="s">
        <v>335</v>
      </c>
      <c r="GK3" s="3" t="s">
        <v>336</v>
      </c>
      <c r="GL3" s="3" t="s">
        <v>337</v>
      </c>
      <c r="GM3" s="3" t="s">
        <v>338</v>
      </c>
      <c r="GN3" s="3" t="s">
        <v>339</v>
      </c>
      <c r="GO3" s="3" t="s">
        <v>340</v>
      </c>
      <c r="GP3" s="3" t="s">
        <v>341</v>
      </c>
      <c r="GQ3" s="3" t="s">
        <v>342</v>
      </c>
      <c r="GR3" s="3" t="s">
        <v>343</v>
      </c>
      <c r="GS3" s="3" t="s">
        <v>344</v>
      </c>
      <c r="GT3" s="3" t="s">
        <v>345</v>
      </c>
      <c r="GU3" s="3" t="s">
        <v>346</v>
      </c>
      <c r="GV3" s="3" t="s">
        <v>347</v>
      </c>
      <c r="GW3" s="3" t="s">
        <v>348</v>
      </c>
      <c r="GX3" s="3" t="s">
        <v>349</v>
      </c>
      <c r="GY3" s="3" t="s">
        <v>350</v>
      </c>
      <c r="GZ3" s="3" t="s">
        <v>351</v>
      </c>
      <c r="HA3" s="3" t="s">
        <v>352</v>
      </c>
      <c r="HB3" s="3" t="s">
        <v>353</v>
      </c>
      <c r="HC3" s="3" t="s">
        <v>354</v>
      </c>
      <c r="HD3" s="3" t="s">
        <v>355</v>
      </c>
      <c r="HE3" s="3" t="s">
        <v>356</v>
      </c>
      <c r="HF3" s="3" t="s">
        <v>357</v>
      </c>
      <c r="HG3" s="3" t="s">
        <v>358</v>
      </c>
      <c r="HH3" s="3" t="s">
        <v>359</v>
      </c>
      <c r="HI3" s="3" t="s">
        <v>360</v>
      </c>
      <c r="HJ3" s="3" t="s">
        <v>361</v>
      </c>
      <c r="HK3" s="3" t="s">
        <v>362</v>
      </c>
      <c r="HL3" s="3" t="s">
        <v>363</v>
      </c>
      <c r="HM3" s="3" t="s">
        <v>364</v>
      </c>
      <c r="HN3" s="3" t="s">
        <v>365</v>
      </c>
      <c r="HO3" s="3" t="s">
        <v>366</v>
      </c>
      <c r="HP3" s="3" t="s">
        <v>367</v>
      </c>
      <c r="HQ3" s="3" t="s">
        <v>368</v>
      </c>
      <c r="HR3" s="3" t="s">
        <v>369</v>
      </c>
      <c r="HS3" s="3" t="s">
        <v>370</v>
      </c>
      <c r="HT3" s="3" t="s">
        <v>371</v>
      </c>
      <c r="HU3" s="3" t="s">
        <v>372</v>
      </c>
      <c r="HV3" s="3" t="s">
        <v>373</v>
      </c>
      <c r="HW3" s="3" t="s">
        <v>374</v>
      </c>
      <c r="HX3" s="3" t="s">
        <v>375</v>
      </c>
      <c r="HY3" s="3" t="s">
        <v>376</v>
      </c>
      <c r="HZ3" s="3" t="s">
        <v>377</v>
      </c>
      <c r="IA3" s="3" t="s">
        <v>378</v>
      </c>
      <c r="IB3" s="3" t="s">
        <v>379</v>
      </c>
      <c r="IC3" s="3" t="s">
        <v>380</v>
      </c>
      <c r="ID3" s="3" t="s">
        <v>381</v>
      </c>
      <c r="IE3" s="3" t="s">
        <v>382</v>
      </c>
      <c r="IF3" s="3" t="s">
        <v>383</v>
      </c>
      <c r="IG3" s="3" t="s">
        <v>384</v>
      </c>
      <c r="IH3" s="3" t="s">
        <v>385</v>
      </c>
      <c r="II3" s="3" t="s">
        <v>386</v>
      </c>
      <c r="IJ3" s="3" t="s">
        <v>387</v>
      </c>
      <c r="IK3" s="3" t="s">
        <v>388</v>
      </c>
      <c r="IL3" s="3" t="s">
        <v>389</v>
      </c>
      <c r="IM3" s="3" t="s">
        <v>390</v>
      </c>
      <c r="IN3" s="3" t="s">
        <v>391</v>
      </c>
      <c r="IO3" s="3" t="s">
        <v>392</v>
      </c>
      <c r="IP3" s="3" t="s">
        <v>393</v>
      </c>
      <c r="IQ3" s="3" t="s">
        <v>394</v>
      </c>
      <c r="IR3" s="3" t="s">
        <v>395</v>
      </c>
      <c r="IS3" s="3" t="s">
        <v>1234</v>
      </c>
    </row>
    <row r="4" spans="2:253" x14ac:dyDescent="0.25">
      <c r="B4" s="85">
        <f>Dashboard!B3-31</f>
        <v>45830</v>
      </c>
      <c r="C4" s="67">
        <f>IFERROR(VLOOKUP($B4,RD[#All],C$2,0)/C$1,"")</f>
        <v>4.2541054451166813</v>
      </c>
      <c r="D4" s="67">
        <f>IFERROR(VLOOKUP($B4,RD[#All],D$2,0)/D$1,"")</f>
        <v>4.2458081244598098</v>
      </c>
      <c r="E4" s="67">
        <f>IFERROR(VLOOKUP($B4,RD[#All],E$2,0)/E$1,"")</f>
        <v>4.2288389513108608</v>
      </c>
      <c r="F4" s="67">
        <f>IFERROR(VLOOKUP($B4,RD[#All],F$2,0)/F$1,"")</f>
        <v>4.2479400749063672</v>
      </c>
      <c r="G4" s="67">
        <f>IFERROR(VLOOKUP($B4,RD[#All],G$2,0)/G$1,"")</f>
        <v>4.2212618841832326</v>
      </c>
      <c r="H4" s="67">
        <f>IFERROR(VLOOKUP($B4,RD[#All],H$2,0)/H$1,"")</f>
        <v>4.2734082397003741</v>
      </c>
      <c r="I4" s="67">
        <f>IFERROR(VLOOKUP($B4,RD[#All],I$2,0)/I$1,"")</f>
        <v>4.262172284644195</v>
      </c>
      <c r="J4" s="67">
        <f>IFERROR(VLOOKUP($B4,RD[#All],J$2,0)/J$1,"")</f>
        <v>4.2883895131086138</v>
      </c>
      <c r="K4" s="67">
        <f>IFERROR(VLOOKUP($B4,RD[#All],K$2,0)/K$1,"")</f>
        <v>4.2786516853932586</v>
      </c>
      <c r="L4" s="67">
        <f>IFERROR(VLOOKUP($B4,RD[#All],L$2,0)/L$1,"")</f>
        <v>4.2786516853932586</v>
      </c>
      <c r="M4" s="67">
        <f>IFERROR(VLOOKUP($B4,RD[#All],M$2,0)/M$1,"")</f>
        <v>4.2209737827715355</v>
      </c>
      <c r="N4" s="67">
        <f>IFERROR(VLOOKUP($B4,RD[#All],N$2,0)/N$1,"")</f>
        <v>4.2958801498127341</v>
      </c>
      <c r="O4" s="67">
        <f>IFERROR(VLOOKUP($B4,RD[#All],O$2,0)/O$1,"")</f>
        <v>4.1771535580524342</v>
      </c>
      <c r="P4" s="67">
        <f>IFERROR(VLOOKUP($B4,RD[#All],P$2,0)/P$1,"")</f>
        <v>4.2737487231869258</v>
      </c>
      <c r="Q4" s="67">
        <f>IFERROR(VLOOKUP($B4,RD[#All],Q$2,0)/Q$1,"")</f>
        <v>4.2808988764044944</v>
      </c>
      <c r="R4" s="67">
        <f>IFERROR(VLOOKUP($B4,RD[#All],R$2,0)/R$1,"")</f>
        <v>4.1198501872659179</v>
      </c>
      <c r="S4" s="67">
        <f>IFERROR(VLOOKUP($B4,RD[#All],S$2,0)/S$1,"")</f>
        <v>4.2471910112359552</v>
      </c>
      <c r="T4" s="67">
        <f>IFERROR(VLOOKUP($B4,RD[#All],T$2,0)/T$1,"")</f>
        <v>4.3164794007490634</v>
      </c>
      <c r="U4" s="67">
        <f>IFERROR(VLOOKUP($B4,RD[#All],U$2,0)/U$1,"")</f>
        <v>4.3076923076923075</v>
      </c>
      <c r="V4" s="67">
        <f>IFERROR(VLOOKUP($B4,RD[#All],V$2,0)/V$1,"")</f>
        <v>4.2558340535868622</v>
      </c>
      <c r="W4" s="67">
        <f>IFERROR(VLOOKUP($B4,RD[#All],W$2,0)/W$1,"")</f>
        <v>4.2434456928838955</v>
      </c>
      <c r="X4" s="67">
        <f>IFERROR(VLOOKUP($B4,RD[#All],X$2,0)/X$1,"")</f>
        <v>4.2509363295880149</v>
      </c>
      <c r="Y4" s="67">
        <f>IFERROR(VLOOKUP($B4,RD[#All],Y$2,0)/Y$1,"")</f>
        <v>4.2416594641313745</v>
      </c>
      <c r="Z4" s="67">
        <f>IFERROR(VLOOKUP($B4,RD[#All],Z$2,0)/Z$1,"")</f>
        <v>4.2613399916770707</v>
      </c>
      <c r="AA4" s="67">
        <f>IFERROR(VLOOKUP($B4,RD[#All],AA$2,0)/AA$1,"")</f>
        <v>4.2558340535868622</v>
      </c>
      <c r="AB4" s="67">
        <f>IFERROR(VLOOKUP($B4,RD[#All],AB$2,0)/AB$1,"")</f>
        <v>4.2834917891097666</v>
      </c>
      <c r="AC4" s="67">
        <f>IFERROR(VLOOKUP($B4,RD[#All],AC$2,0)/AC$1,"")</f>
        <v>4.2651685393258427</v>
      </c>
      <c r="AD4" s="67">
        <f>IFERROR(VLOOKUP($B4,RD[#All],AD$2,0)/AD$1,"")</f>
        <v>4.277985851019559</v>
      </c>
      <c r="AE4" s="67">
        <f>IFERROR(VLOOKUP($B4,RD[#All],AE$2,0)/AE$1,"")</f>
        <v>4.3212650853100287</v>
      </c>
      <c r="AF4" s="67">
        <f>IFERROR(VLOOKUP($B4,RD[#All],AF$2,0)/AF$1,"")</f>
        <v>4.1248439450686645</v>
      </c>
      <c r="AG4" s="67">
        <f>IFERROR(VLOOKUP($B4,RD[#All],AG$2,0)/AG$1,"")</f>
        <v>4.1797752808988768</v>
      </c>
      <c r="AH4" s="67">
        <f>IFERROR(VLOOKUP($B4,RD[#All],AH$2,0)/AH$1,"")</f>
        <v>3.9883478984602578</v>
      </c>
      <c r="AI4" s="67">
        <f>IFERROR(VLOOKUP($B4,RD[#All],AI$2,0)/AI$1,"")</f>
        <v>4.2845911949685531</v>
      </c>
      <c r="AJ4" s="67">
        <f>IFERROR(VLOOKUP($B4,RD[#All],AJ$2,0)/AJ$1,"")</f>
        <v>4.1231505006725451</v>
      </c>
      <c r="AK4" s="67">
        <f>IFERROR(VLOOKUP($B4,RD[#All],AK$2,0)/AK$1,"")</f>
        <v>4.3101123595505619</v>
      </c>
      <c r="AL4" s="67">
        <f>IFERROR(VLOOKUP($B4,RD[#All],AL$2,0)/AL$1,"")</f>
        <v>4.2823686851789899</v>
      </c>
      <c r="AM4" s="67">
        <f>IFERROR(VLOOKUP($B4,RD[#All],AM$2,0)/AM$1,"")</f>
        <v>4.3228464419475658</v>
      </c>
      <c r="AN4" s="67">
        <f>IFERROR(VLOOKUP($B4,RD[#All],AN$2,0)/AN$1,"")</f>
        <v>4.2539325842696627</v>
      </c>
      <c r="AO4" s="67">
        <f>IFERROR(VLOOKUP($B4,RD[#All],AO$2,0)/AO$1,"")</f>
        <v>4.3112359550561798</v>
      </c>
      <c r="AP4" s="67">
        <f>IFERROR(VLOOKUP($B4,RD[#All],AP$2,0)/AP$1,"")</f>
        <v>4.2958801498127341</v>
      </c>
      <c r="AQ4" s="67">
        <f>IFERROR(VLOOKUP($B4,RD[#All],AQ$2,0)/AQ$1,"")</f>
        <v>4.2359550561797752</v>
      </c>
      <c r="AR4" s="67">
        <f>IFERROR(VLOOKUP($B4,RD[#All],AR$2,0)/AR$1,"")</f>
        <v>4.2531835205992508</v>
      </c>
      <c r="AS4" s="67">
        <f>IFERROR(VLOOKUP($B4,RD[#All],AS$2,0)/AS$1,"")</f>
        <v>4.2471910112359552</v>
      </c>
      <c r="AT4" s="67">
        <f>IFERROR(VLOOKUP($B4,RD[#All],AT$2,0)/AT$1,"")</f>
        <v>4.1985018726591763</v>
      </c>
      <c r="AU4" s="67">
        <f>IFERROR(VLOOKUP($B4,RD[#All],AU$2,0)/AU$1,"")</f>
        <v>4.2996254681647939</v>
      </c>
      <c r="AV4" s="67">
        <f>IFERROR(VLOOKUP($B4,RD[#All],AV$2,0)/AV$1,"")</f>
        <v>4.2284644194756558</v>
      </c>
      <c r="AW4" s="67">
        <f>IFERROR(VLOOKUP($B4,RD[#All],AW$2,0)/AW$1,"")</f>
        <v>4.1521175453759724</v>
      </c>
      <c r="AX4" s="67">
        <f>IFERROR(VLOOKUP($B4,RD[#All],AX$2,0)/AX$1,"")</f>
        <v>4.2734082397003741</v>
      </c>
      <c r="AY4" s="67">
        <f>IFERROR(VLOOKUP($B4,RD[#All],AY$2,0)/AY$1,"")</f>
        <v>4.1930786516853935</v>
      </c>
      <c r="AZ4" s="67">
        <f>IFERROR(VLOOKUP($B4,RD[#All],AZ$2,0)/AZ$1,"")</f>
        <v>3.967280898876405</v>
      </c>
      <c r="BA4" s="67">
        <f>IFERROR(VLOOKUP($B4,RD[#All],BA$2,0)/BA$1,"")</f>
        <v>4.3146067415730336</v>
      </c>
      <c r="BB4" s="67">
        <f>IFERROR(VLOOKUP($B4,RD[#All],BB$2,0)/BB$1,"")</f>
        <v>4.308988764044944</v>
      </c>
      <c r="BC4" s="67">
        <f>IFERROR(VLOOKUP($B4,RD[#All],BC$2,0)/BC$1,"")</f>
        <v>4.3312526009155219</v>
      </c>
      <c r="BD4" s="67">
        <f>IFERROR(VLOOKUP($B4,RD[#All],BD$2,0)/BD$1,"")</f>
        <v>4.2946317103620473</v>
      </c>
      <c r="BE4" s="67">
        <f>IFERROR(VLOOKUP($B4,RD[#All],BE$2,0)/BE$1,"")</f>
        <v>4.2713915298184961</v>
      </c>
      <c r="BF4" s="67">
        <f>IFERROR(VLOOKUP($B4,RD[#All],BF$2,0)/BF$1,"")</f>
        <v>4.2546816479400746</v>
      </c>
      <c r="BG4" s="67">
        <f>IFERROR(VLOOKUP($B4,RD[#All],BG$2,0)/BG$1,"")</f>
        <v>4.2313774448605912</v>
      </c>
      <c r="BH4" s="67">
        <f>IFERROR(VLOOKUP($B4,RD[#All],BH$2,0)/BH$1,"")</f>
        <v>4.2397003745318349</v>
      </c>
      <c r="BI4" s="67">
        <f>IFERROR(VLOOKUP($B4,RD[#All],BI$2,0)/BI$1,"")</f>
        <v>4.2280482729920932</v>
      </c>
      <c r="BJ4" s="67">
        <f>IFERROR(VLOOKUP($B4,RD[#All],BJ$2,0)/BJ$1,"")</f>
        <v>4.2946317103620473</v>
      </c>
      <c r="BK4" s="67">
        <f>IFERROR(VLOOKUP($B4,RD[#All],BK$2,0)/BK$1,"")</f>
        <v>4.262172284644195</v>
      </c>
      <c r="BL4" s="67">
        <f>IFERROR(VLOOKUP($B4,RD[#All],BL$2,0)/BL$1,"")</f>
        <v>4.3158246905319508</v>
      </c>
      <c r="BM4" s="67">
        <f>IFERROR(VLOOKUP($B4,RD[#All],BM$2,0)/BM$1,"")</f>
        <v>4.2962546816479401</v>
      </c>
      <c r="BN4" s="67">
        <f>IFERROR(VLOOKUP($B4,RD[#All],BN$2,0)/BN$1,"")</f>
        <v>4.3887147335423196</v>
      </c>
      <c r="BO4" s="67">
        <f>IFERROR(VLOOKUP($B4,RD[#All],BO$2,0)/BO$1,"")</f>
        <v>4.248919619706137</v>
      </c>
      <c r="BP4" s="67">
        <f>IFERROR(VLOOKUP($B4,RD[#All],BP$2,0)/BP$1,"")</f>
        <v>4.2558340535868622</v>
      </c>
      <c r="BQ4" s="67">
        <f>IFERROR(VLOOKUP($B4,RD[#All],BQ$2,0)/BQ$1,"")</f>
        <v>4.3080380293863438</v>
      </c>
      <c r="BR4" s="67">
        <f>IFERROR(VLOOKUP($B4,RD[#All],BR$2,0)/BR$1,"")</f>
        <v>4.2015557476231633</v>
      </c>
      <c r="BS4" s="67">
        <f>IFERROR(VLOOKUP($B4,RD[#All],BS$2,0)/BS$1,"")</f>
        <v>4.2397003745318349</v>
      </c>
      <c r="BT4" s="67">
        <f>IFERROR(VLOOKUP($B4,RD[#All],BT$2,0)/BT$1,"")</f>
        <v>4.2550561797752806</v>
      </c>
      <c r="BU4" s="67">
        <f>IFERROR(VLOOKUP($B4,RD[#All],BU$2,0)/BU$1,"")</f>
        <v>4.2659176029962547</v>
      </c>
      <c r="BV4" s="67">
        <f>IFERROR(VLOOKUP($B4,RD[#All],BV$2,0)/BV$1,"")</f>
        <v>4.2471910112359552</v>
      </c>
      <c r="BW4" s="67">
        <f>IFERROR(VLOOKUP($B4,RD[#All],BW$2,0)/BW$1,"")</f>
        <v>4.1985018726591763</v>
      </c>
      <c r="BX4" s="67">
        <f>IFERROR(VLOOKUP($B4,RD[#All],BX$2,0)/BX$1,"")</f>
        <v>4.2887640449438198</v>
      </c>
      <c r="BY4" s="67">
        <f>IFERROR(VLOOKUP($B4,RD[#All],BY$2,0)/BY$1,"")</f>
        <v>4.2280482729920932</v>
      </c>
      <c r="BZ4" s="67">
        <f>IFERROR(VLOOKUP($B4,RD[#All],BZ$2,0)/BZ$1,"")</f>
        <v>4.2679983354140658</v>
      </c>
      <c r="CA4" s="67">
        <f>IFERROR(VLOOKUP($B4,RD[#All],CA$2,0)/CA$1,"")</f>
        <v>4.2756554307116099</v>
      </c>
      <c r="CB4" s="67">
        <f>IFERROR(VLOOKUP($B4,RD[#All],CB$2,0)/CB$1,"")</f>
        <v>4.2898876404494386</v>
      </c>
      <c r="CC4" s="67">
        <f>IFERROR(VLOOKUP($B4,RD[#All],CC$2,0)/CC$1,"")</f>
        <v>4.2797752808988765</v>
      </c>
      <c r="CD4" s="67">
        <f>IFERROR(VLOOKUP($B4,RD[#All],CD$2,0)/CD$1,"")</f>
        <v>4.3273984442523767</v>
      </c>
      <c r="CE4" s="67">
        <f>IFERROR(VLOOKUP($B4,RD[#All],CE$2,0)/CE$1,"")</f>
        <v>4.2359550561797752</v>
      </c>
      <c r="CF4" s="67">
        <f>IFERROR(VLOOKUP($B4,RD[#All],CF$2,0)/CF$1,"")</f>
        <v>4.2288389513108608</v>
      </c>
      <c r="CG4" s="67">
        <f>IFERROR(VLOOKUP($B4,RD[#All],CG$2,0)/CG$1,"")</f>
        <v>4.2524344569288397</v>
      </c>
      <c r="CH4" s="67">
        <f>IFERROR(VLOOKUP($B4,RD[#All],CH$2,0)/CH$1,"")</f>
        <v>4.3056179775280894</v>
      </c>
      <c r="CI4" s="67">
        <f>IFERROR(VLOOKUP($B4,RD[#All],CI$2,0)/CI$1,"")</f>
        <v>4.3108614232209739</v>
      </c>
      <c r="CJ4" s="67">
        <f>IFERROR(VLOOKUP($B4,RD[#All],CJ$2,0)/CJ$1,"")</f>
        <v>4.2925093632958795</v>
      </c>
      <c r="CK4" s="67">
        <f>IFERROR(VLOOKUP($B4,RD[#All],CK$2,0)/CK$1,"")</f>
        <v>4.2838951310861422</v>
      </c>
      <c r="CL4" s="67">
        <f>IFERROR(VLOOKUP($B4,RD[#All],CL$2,0)/CL$1,"")</f>
        <v>4.2835205992509362</v>
      </c>
      <c r="CM4" s="67">
        <f>IFERROR(VLOOKUP($B4,RD[#All],CM$2,0)/CM$1,"")</f>
        <v>4.2093632958801503</v>
      </c>
      <c r="CN4" s="67">
        <f>IFERROR(VLOOKUP($B4,RD[#All],CN$2,0)/CN$1,"")</f>
        <v>4.1767790262172291</v>
      </c>
      <c r="CO4" s="67">
        <f>IFERROR(VLOOKUP($B4,RD[#All],CO$2,0)/CO$1,"")</f>
        <v>4.2056629213483152</v>
      </c>
      <c r="CP4" s="67">
        <f>IFERROR(VLOOKUP($B4,RD[#All],CP$2,0)/CP$1,"")</f>
        <v>4.1452031114952463</v>
      </c>
      <c r="CQ4" s="67">
        <f>IFERROR(VLOOKUP($B4,RD[#All],CQ$2,0)/CQ$1,"")</f>
        <v>4.2359550561797752</v>
      </c>
      <c r="CR4" s="67">
        <f>IFERROR(VLOOKUP($B4,RD[#All],CR$2,0)/CR$1,"")</f>
        <v>4.2220973782771534</v>
      </c>
      <c r="CS4" s="67">
        <f>IFERROR(VLOOKUP($B4,RD[#All],CS$2,0)/CS$1,"")</f>
        <v>4.241032043279235</v>
      </c>
      <c r="CT4" s="67">
        <f>IFERROR(VLOOKUP($B4,RD[#All],CT$2,0)/CT$1,"")</f>
        <v>4.2659176029962547</v>
      </c>
      <c r="CU4" s="67">
        <f>IFERROR(VLOOKUP($B4,RD[#All],CU$2,0)/CU$1,"")</f>
        <v>4.2400749063670409</v>
      </c>
      <c r="CV4" s="67">
        <f>IFERROR(VLOOKUP($B4,RD[#All],CV$2,0)/CV$1,"")</f>
        <v>4.2209737827715355</v>
      </c>
      <c r="CW4" s="67">
        <f>IFERROR(VLOOKUP($B4,RD[#All],CW$2,0)/CW$1,"")</f>
        <v>4.2925093632958795</v>
      </c>
      <c r="CX4" s="67">
        <f>IFERROR(VLOOKUP($B4,RD[#All],CX$2,0)/CX$1,"")</f>
        <v>4.2816479400749063</v>
      </c>
      <c r="CY4" s="67">
        <f>IFERROR(VLOOKUP($B4,RD[#All],CY$2,0)/CY$1,"")</f>
        <v>4.2509363295880149</v>
      </c>
      <c r="CZ4" s="67">
        <f>IFERROR(VLOOKUP($B4,RD[#All],CZ$2,0)/CZ$1,"")</f>
        <v>4.2823970037453183</v>
      </c>
      <c r="DA4" s="67">
        <f>IFERROR(VLOOKUP($B4,RD[#All],DA$2,0)/DA$1,"")</f>
        <v>4.2471910112359552</v>
      </c>
      <c r="DB4" s="67">
        <f>IFERROR(VLOOKUP($B4,RD[#All],DB$2,0)/DB$1,"")</f>
        <v>4.2011235955056181</v>
      </c>
      <c r="DC4" s="67">
        <f>IFERROR(VLOOKUP($B4,RD[#All],DC$2,0)/DC$1,"")</f>
        <v>4.2686641697877654</v>
      </c>
      <c r="DD4" s="67">
        <f>IFERROR(VLOOKUP($B4,RD[#All],DD$2,0)/DD$1,"")</f>
        <v>4.2528089887640448</v>
      </c>
      <c r="DE4" s="67">
        <f>IFERROR(VLOOKUP($B4,RD[#All],DE$2,0)/DE$1,"")</f>
        <v>4.0682480233042027</v>
      </c>
      <c r="DF4" s="67">
        <f>IFERROR(VLOOKUP($B4,RD[#All],DF$2,0)/DF$1,"")</f>
        <v>4.2392104382736697</v>
      </c>
      <c r="DG4" s="67">
        <f>IFERROR(VLOOKUP($B4,RD[#All],DG$2,0)/DG$1,"")</f>
        <v>4.2943820224719094</v>
      </c>
      <c r="DH4" s="67">
        <f>IFERROR(VLOOKUP($B4,RD[#All],DH$2,0)/DH$1,"")</f>
        <v>4.2247191011235952</v>
      </c>
      <c r="DI4" s="67">
        <f>IFERROR(VLOOKUP($B4,RD[#All],DI$2,0)/DI$1,"")</f>
        <v>4.2243733794295597</v>
      </c>
      <c r="DJ4" s="67">
        <f>IFERROR(VLOOKUP($B4,RD[#All],DJ$2,0)/DJ$1,"")</f>
        <v>3.9757994814174591</v>
      </c>
      <c r="DK4" s="67">
        <f>IFERROR(VLOOKUP($B4,RD[#All],DK$2,0)/DK$1,"")</f>
        <v>4.223387432376196</v>
      </c>
      <c r="DL4" s="67">
        <f>IFERROR(VLOOKUP($B4,RD[#All],DL$2,0)/DL$1,"")</f>
        <v>4.2520183104452771</v>
      </c>
      <c r="DM4" s="67">
        <f>IFERROR(VLOOKUP($B4,RD[#All],DM$2,0)/DM$1,"")</f>
        <v>4.3026217228464416</v>
      </c>
      <c r="DN4" s="67">
        <f>IFERROR(VLOOKUP($B4,RD[#All],DN$2,0)/DN$1,"")</f>
        <v>4.274531835205992</v>
      </c>
      <c r="DO4" s="67">
        <f>IFERROR(VLOOKUP($B4,RD[#All],DO$2,0)/DO$1,"")</f>
        <v>4.1284710605553698</v>
      </c>
      <c r="DP4" s="67">
        <f>IFERROR(VLOOKUP($B4,RD[#All],DP$2,0)/DP$1,"")</f>
        <v>4.1558052434456929</v>
      </c>
      <c r="DQ4" s="67">
        <f>IFERROR(VLOOKUP($B4,RD[#All],DQ$2,0)/DQ$1,"")</f>
        <v>4.1861007074490226</v>
      </c>
      <c r="DR4" s="67">
        <f>IFERROR(VLOOKUP($B4,RD[#All],DR$2,0)/DR$1,"")</f>
        <v>4.2029962546816479</v>
      </c>
      <c r="DS4" s="67">
        <f>IFERROR(VLOOKUP($B4,RD[#All],DS$2,0)/DS$1,"")</f>
        <v>4.2902621722846446</v>
      </c>
      <c r="DT4" s="67">
        <f>IFERROR(VLOOKUP($B4,RD[#All],DT$2,0)/DT$1,"")</f>
        <v>3.9497295047856849</v>
      </c>
      <c r="DU4" s="67">
        <f>IFERROR(VLOOKUP($B4,RD[#All],DU$2,0)/DU$1,"")</f>
        <v>3.866500208073242</v>
      </c>
      <c r="DV4" s="67">
        <f>IFERROR(VLOOKUP($B4,RD[#All],DV$2,0)/DV$1,"")</f>
        <v>4.2441947565543074</v>
      </c>
      <c r="DW4" s="67">
        <f>IFERROR(VLOOKUP($B4,RD[#All],DW$2,0)/DW$1,"")</f>
        <v>4.2808988764044944</v>
      </c>
      <c r="DX4" s="67">
        <f>IFERROR(VLOOKUP($B4,RD[#All],DX$2,0)/DX$1,"")</f>
        <v>4.2450270495214308</v>
      </c>
      <c r="DY4" s="67">
        <f>IFERROR(VLOOKUP($B4,RD[#All],DY$2,0)/DY$1,"")</f>
        <v>4.2801498127340825</v>
      </c>
      <c r="DZ4" s="67">
        <f>IFERROR(VLOOKUP($B4,RD[#All],DZ$2,0)/DZ$1,"")</f>
        <v>4.2692883895131093</v>
      </c>
      <c r="EA4" s="67">
        <f>IFERROR(VLOOKUP($B4,RD[#All],EA$2,0)/EA$1,"")</f>
        <v>4.1315022888056596</v>
      </c>
      <c r="EB4" s="67">
        <f>IFERROR(VLOOKUP($B4,RD[#All],EB$2,0)/EB$1,"")</f>
        <v>4.2120682480233045</v>
      </c>
      <c r="EC4" s="67">
        <f>IFERROR(VLOOKUP($B4,RD[#All],EC$2,0)/EC$1,"")</f>
        <v>4.2506482281763178</v>
      </c>
      <c r="ED4" s="67">
        <f>IFERROR(VLOOKUP($B4,RD[#All],ED$2,0)/ED$1,"")</f>
        <v>4.1521175453759724</v>
      </c>
      <c r="EE4" s="67">
        <f>IFERROR(VLOOKUP($B4,RD[#All],EE$2,0)/EE$1,"")</f>
        <v>4.2910976663785654</v>
      </c>
      <c r="EF4" s="67">
        <f>IFERROR(VLOOKUP($B4,RD[#All],EF$2,0)/EF$1,"")</f>
        <v>4.2941777323799792</v>
      </c>
      <c r="EG4" s="67">
        <f>IFERROR(VLOOKUP($B4,RD[#All],EG$2,0)/EG$1,"")</f>
        <v>4.2622377622377625</v>
      </c>
      <c r="EH4" s="67">
        <f>IFERROR(VLOOKUP($B4,RD[#All],EH$2,0)/EH$1,"")</f>
        <v>4.3041958041958042</v>
      </c>
      <c r="EI4" s="67">
        <f>IFERROR(VLOOKUP($B4,RD[#All],EI$2,0)/EI$1,"")</f>
        <v>4.3041958041958042</v>
      </c>
      <c r="EJ4" s="67">
        <f>IFERROR(VLOOKUP($B4,RD[#All],EJ$2,0)/EJ$1,"")</f>
        <v>4.27972027972028</v>
      </c>
      <c r="EK4" s="67">
        <f>IFERROR(VLOOKUP($B4,RD[#All],EK$2,0)/EK$1,"")</f>
        <v>4.2426966292134836</v>
      </c>
      <c r="EL4" s="67">
        <f>IFERROR(VLOOKUP($B4,RD[#All],EL$2,0)/EL$1,"")</f>
        <v>4.1235955056179776</v>
      </c>
      <c r="EM4" s="67">
        <f>IFERROR(VLOOKUP($B4,RD[#All],EM$2,0)/EM$1,"")</f>
        <v>4.2648228176318064</v>
      </c>
      <c r="EN4" s="67">
        <f>IFERROR(VLOOKUP($B4,RD[#All],EN$2,0)/EN$1,"")</f>
        <v>4.1956784788245463</v>
      </c>
      <c r="EO4" s="67">
        <f>IFERROR(VLOOKUP($B4,RD[#All],EO$2,0)/EO$1,"")</f>
        <v>4.2397003745318349</v>
      </c>
      <c r="EP4" s="67">
        <f>IFERROR(VLOOKUP($B4,RD[#All],EP$2,0)/EP$1,"")</f>
        <v>4.2662057044079518</v>
      </c>
      <c r="EQ4" s="67">
        <f>IFERROR(VLOOKUP($B4,RD[#All],EQ$2,0)/EQ$1,"")</f>
        <v>4.2546816479400746</v>
      </c>
      <c r="ER4" s="67">
        <f>IFERROR(VLOOKUP($B4,RD[#All],ER$2,0)/ER$1,"")</f>
        <v>3.971305099394987</v>
      </c>
      <c r="ES4" s="67">
        <f>IFERROR(VLOOKUP($B4,RD[#All],ES$2,0)/ES$1,"")</f>
        <v>4.1985018726591763</v>
      </c>
      <c r="ET4" s="67">
        <f>IFERROR(VLOOKUP($B4,RD[#All],ET$2,0)/ET$1,"")</f>
        <v>4.2533197139938714</v>
      </c>
      <c r="EU4" s="67">
        <f>IFERROR(VLOOKUP($B4,RD[#All],EU$2,0)/EU$1,"")</f>
        <v>4.274157303370786</v>
      </c>
      <c r="EV4" s="67">
        <f>IFERROR(VLOOKUP($B4,RD[#All],EV$2,0)/EV$1,"")</f>
        <v>4.2599827139152984</v>
      </c>
      <c r="EW4" s="67">
        <f>IFERROR(VLOOKUP($B4,RD[#All],EW$2,0)/EW$1,"")</f>
        <v>4.2627484874675883</v>
      </c>
      <c r="EX4" s="67">
        <f>IFERROR(VLOOKUP($B4,RD[#All],EX$2,0)/EX$1,"")</f>
        <v>4.2970037453183521</v>
      </c>
      <c r="EY4" s="67">
        <f>IFERROR(VLOOKUP($B4,RD[#All],EY$2,0)/EY$1,"")</f>
        <v>4.2873075322513525</v>
      </c>
      <c r="EZ4" s="67">
        <f>IFERROR(VLOOKUP($B4,RD[#All],EZ$2,0)/EZ$1,"")</f>
        <v>4.2475655430711603</v>
      </c>
      <c r="FA4" s="67">
        <f>IFERROR(VLOOKUP($B4,RD[#All],FA$2,0)/FA$1,"")</f>
        <v>4.250561797752809</v>
      </c>
      <c r="FB4" s="67">
        <f>IFERROR(VLOOKUP($B4,RD[#All],FB$2,0)/FB$1,"")</f>
        <v>4.2277153558052429</v>
      </c>
      <c r="FC4" s="67">
        <f>IFERROR(VLOOKUP($B4,RD[#All],FC$2,0)/FC$1,"")</f>
        <v>4.2513108614232209</v>
      </c>
      <c r="FD4" s="67">
        <f>IFERROR(VLOOKUP($B4,RD[#All],FD$2,0)/FD$1,"")</f>
        <v>4.2790262172284645</v>
      </c>
      <c r="FE4" s="67">
        <f>IFERROR(VLOOKUP($B4,RD[#All],FE$2,0)/FE$1,"")</f>
        <v>4.2791666666666668</v>
      </c>
      <c r="FF4" s="67">
        <f>IFERROR(VLOOKUP($B4,RD[#All],FF$2,0)/FF$1,"")</f>
        <v>4.290909090909091</v>
      </c>
      <c r="FG4" s="67">
        <f>IFERROR(VLOOKUP($B4,RD[#All],FG$2,0)/FG$1,"")</f>
        <v>4.2457912457912457</v>
      </c>
      <c r="FH4" s="67">
        <f>IFERROR(VLOOKUP($B4,RD[#All],FH$2,0)/FH$1,"")</f>
        <v>4.2121212121212119</v>
      </c>
      <c r="FI4" s="67">
        <f>IFERROR(VLOOKUP($B4,RD[#All],FI$2,0)/FI$1,"")</f>
        <v>4.2212121212121216</v>
      </c>
      <c r="FJ4" s="67">
        <f>IFERROR(VLOOKUP($B4,RD[#All],FJ$2,0)/FJ$1,"")</f>
        <v>4.2508417508417509</v>
      </c>
      <c r="FK4" s="67">
        <f>IFERROR(VLOOKUP($B4,RD[#All],FK$2,0)/FK$1,"")</f>
        <v>4.2121212121212119</v>
      </c>
      <c r="FL4" s="67">
        <f>IFERROR(VLOOKUP($B4,RD[#All],FL$2,0)/FL$1,"")</f>
        <v>4.3138181818181813</v>
      </c>
      <c r="FM4" s="67">
        <f>IFERROR(VLOOKUP($B4,RD[#All],FM$2,0)/FM$1,"")</f>
        <v>4.2189393939393938</v>
      </c>
      <c r="FN4" s="67">
        <f>IFERROR(VLOOKUP($B4,RD[#All],FN$2,0)/FN$1,"")</f>
        <v>4.2188552188552189</v>
      </c>
      <c r="FO4" s="67">
        <f>IFERROR(VLOOKUP($B4,RD[#All],FO$2,0)/FO$1,"")</f>
        <v>4.1742424242424239</v>
      </c>
      <c r="FP4" s="67">
        <f>IFERROR(VLOOKUP($B4,RD[#All],FP$2,0)/FP$1,"")</f>
        <v>4.1920000000000002</v>
      </c>
      <c r="FQ4" s="67">
        <f>IFERROR(VLOOKUP($B4,RD[#All],FQ$2,0)/FQ$1,"")</f>
        <v>4.1876363636363632</v>
      </c>
      <c r="FR4" s="67">
        <f>IFERROR(VLOOKUP($B4,RD[#All],FR$2,0)/FR$1,"")</f>
        <v>4.2014545454545456</v>
      </c>
      <c r="FS4" s="67">
        <f>IFERROR(VLOOKUP($B4,RD[#All],FS$2,0)/FS$1,"")</f>
        <v>4.262626262626263</v>
      </c>
      <c r="FT4" s="67">
        <f>IFERROR(VLOOKUP($B4,RD[#All],FT$2,0)/FT$1,"")</f>
        <v>4.1894545454545451</v>
      </c>
      <c r="FU4" s="67">
        <f>IFERROR(VLOOKUP($B4,RD[#All],FU$2,0)/FU$1,"")</f>
        <v>4.269360269360269</v>
      </c>
      <c r="FV4" s="67">
        <f>IFERROR(VLOOKUP($B4,RD[#All],FV$2,0)/FV$1,"")</f>
        <v>4.1704545454545459</v>
      </c>
      <c r="FW4" s="67">
        <f>IFERROR(VLOOKUP($B4,RD[#All],FW$2,0)/FW$1,"")</f>
        <v>4.2412878787878787</v>
      </c>
      <c r="FX4" s="67">
        <f>IFERROR(VLOOKUP($B4,RD[#All],FX$2,0)/FX$1,"")</f>
        <v>4.2696969696969695</v>
      </c>
      <c r="FY4" s="67">
        <f>IFERROR(VLOOKUP($B4,RD[#All],FY$2,0)/FY$1,"")</f>
        <v>4.3097643097643097</v>
      </c>
      <c r="FZ4" s="67">
        <f>IFERROR(VLOOKUP($B4,RD[#All],FZ$2,0)/FZ$1,"")</f>
        <v>4.3090909090909086</v>
      </c>
      <c r="GA4" s="67">
        <f>IFERROR(VLOOKUP($B4,RD[#All],GA$2,0)/GA$1,"")</f>
        <v>4.1902097902097903</v>
      </c>
      <c r="GB4" s="67">
        <f>IFERROR(VLOOKUP($B4,RD[#All],GB$2,0)/GB$1,"")</f>
        <v>4.2060606060606061</v>
      </c>
      <c r="GC4" s="67">
        <f>IFERROR(VLOOKUP($B4,RD[#All],GC$2,0)/GC$1,"")</f>
        <v>4.2784511784511787</v>
      </c>
      <c r="GD4" s="67">
        <f>IFERROR(VLOOKUP($B4,RD[#All],GD$2,0)/GD$1,"")</f>
        <v>4.290909090909091</v>
      </c>
      <c r="GE4" s="67">
        <f>IFERROR(VLOOKUP($B4,RD[#All],GE$2,0)/GE$1,"")</f>
        <v>4.2779720279720284</v>
      </c>
      <c r="GF4" s="67">
        <f>IFERROR(VLOOKUP($B4,RD[#All],GF$2,0)/GF$1,"")</f>
        <v>4.2811447811447811</v>
      </c>
      <c r="GG4" s="67">
        <f>IFERROR(VLOOKUP($B4,RD[#All],GG$2,0)/GG$1,"")</f>
        <v>4.2181818181818178</v>
      </c>
      <c r="GH4" s="67">
        <f>IFERROR(VLOOKUP($B4,RD[#All],GH$2,0)/GH$1,"")</f>
        <v>4.2545454545454549</v>
      </c>
      <c r="GI4" s="67">
        <f>IFERROR(VLOOKUP($B4,RD[#All],GI$2,0)/GI$1,"")</f>
        <v>4.276727272727272</v>
      </c>
      <c r="GJ4" s="67">
        <f>IFERROR(VLOOKUP($B4,RD[#All],GJ$2,0)/GJ$1,"")</f>
        <v>3.9930069930069929</v>
      </c>
      <c r="GK4" s="67">
        <f>IFERROR(VLOOKUP($B4,RD[#All],GK$2,0)/GK$1,"")</f>
        <v>4.1287878787878789</v>
      </c>
      <c r="GL4" s="67">
        <f>IFERROR(VLOOKUP($B4,RD[#All],GL$2,0)/GL$1,"")</f>
        <v>4.208333333333333</v>
      </c>
      <c r="GM4" s="67">
        <f>IFERROR(VLOOKUP($B4,RD[#All],GM$2,0)/GM$1,"")</f>
        <v>4.2537878787878789</v>
      </c>
      <c r="GN4" s="67">
        <f>IFERROR(VLOOKUP($B4,RD[#All],GN$2,0)/GN$1,"")</f>
        <v>4.1704545454545459</v>
      </c>
      <c r="GO4" s="67">
        <f>IFERROR(VLOOKUP($B4,RD[#All],GO$2,0)/GO$1,"")</f>
        <v>4.1522727272727273</v>
      </c>
      <c r="GP4" s="67">
        <f>IFERROR(VLOOKUP($B4,RD[#All],GP$2,0)/GP$1,"")</f>
        <v>4.2321969696969699</v>
      </c>
      <c r="GQ4" s="67">
        <f>IFERROR(VLOOKUP($B4,RD[#All],GQ$2,0)/GQ$1,"")</f>
        <v>4.2518181818181819</v>
      </c>
      <c r="GR4" s="67">
        <f>IFERROR(VLOOKUP($B4,RD[#All],GR$2,0)/GR$1,"")</f>
        <v>4.2587121212121213</v>
      </c>
      <c r="GS4" s="67" t="str">
        <f>IFERROR(VLOOKUP($B4,RD[#All],GS$2,0)/GS$1,"")</f>
        <v/>
      </c>
      <c r="GT4" s="67" t="str">
        <f>IFERROR(VLOOKUP($B4,RD[#All],GT$2,0)/GT$1,"")</f>
        <v/>
      </c>
      <c r="GU4" s="67">
        <f>IFERROR(VLOOKUP($B4,RD[#All],GU$2,0)/GU$1,"")</f>
        <v>4.4898856640281437</v>
      </c>
      <c r="GV4" s="67">
        <f>IFERROR(VLOOKUP($B4,RD[#All],GV$2,0)/GV$1,"")</f>
        <v>4.208037825059102</v>
      </c>
      <c r="GW4" s="67">
        <f>IFERROR(VLOOKUP($B4,RD[#All],GW$2,0)/GW$1,"")</f>
        <v>4.2165558019216549</v>
      </c>
      <c r="GX4" s="67" t="str">
        <f>IFERROR(VLOOKUP($B4,RD[#All],GX$2,0)/GX$1,"")</f>
        <v/>
      </c>
      <c r="GY4" s="67">
        <f>IFERROR(VLOOKUP($B4,RD[#All],GY$2,0)/GY$1,"")</f>
        <v>4.1431989063568002</v>
      </c>
      <c r="GZ4" s="67">
        <f>IFERROR(VLOOKUP($B4,RD[#All],GZ$2,0)/GZ$1,"")</f>
        <v>4.1985018726591763</v>
      </c>
      <c r="HA4" s="67">
        <f>IFERROR(VLOOKUP($B4,RD[#All],HA$2,0)/HA$1,"")</f>
        <v>4.1558052434456929</v>
      </c>
      <c r="HB4" s="67">
        <f>IFERROR(VLOOKUP($B4,RD[#All],HB$2,0)/HB$1,"")</f>
        <v>4.2011235955056181</v>
      </c>
      <c r="HC4" s="67">
        <f>IFERROR(VLOOKUP($B4,RD[#All],HC$2,0)/HC$1,"")</f>
        <v>4.1647940074906371</v>
      </c>
      <c r="HD4" s="67">
        <f>IFERROR(VLOOKUP($B4,RD[#All],HD$2,0)/HD$1,"")</f>
        <v>4.142696629213483</v>
      </c>
      <c r="HE4" s="67">
        <f>IFERROR(VLOOKUP($B4,RD[#All],HE$2,0)/HE$1,"")</f>
        <v>4.2044943820224718</v>
      </c>
      <c r="HF4" s="67">
        <f>IFERROR(VLOOKUP($B4,RD[#All],HF$2,0)/HF$1,"")</f>
        <v>4.2</v>
      </c>
      <c r="HG4" s="67">
        <f>IFERROR(VLOOKUP($B4,RD[#All],HG$2,0)/HG$1,"")</f>
        <v>4.2288389513108608</v>
      </c>
      <c r="HH4" s="67">
        <f>IFERROR(VLOOKUP($B4,RD[#All],HH$2,0)/HH$1,"")</f>
        <v>4.1928838951310858</v>
      </c>
      <c r="HI4" s="67">
        <f>IFERROR(VLOOKUP($B4,RD[#All],HI$2,0)/HI$1,"")</f>
        <v>4.2265917602996259</v>
      </c>
      <c r="HJ4" s="67">
        <f>IFERROR(VLOOKUP($B4,RD[#All],HJ$2,0)/HJ$1,"")</f>
        <v>4.155056179775281</v>
      </c>
      <c r="HK4" s="67">
        <f>IFERROR(VLOOKUP($B4,RD[#All],HK$2,0)/HK$1,"")</f>
        <v>4.2270495214315442</v>
      </c>
      <c r="HL4" s="67">
        <f>IFERROR(VLOOKUP($B4,RD[#All],HL$2,0)/HL$1,"")</f>
        <v>4.3222638368705786</v>
      </c>
      <c r="HM4" s="67">
        <f>IFERROR(VLOOKUP($B4,RD[#All],HM$2,0)/HM$1,"")</f>
        <v>4.3439319301388268</v>
      </c>
      <c r="HN4" s="67">
        <f>IFERROR(VLOOKUP($B4,RD[#All],HN$2,0)/HN$1,"")</f>
        <v>4.2991491267353332</v>
      </c>
      <c r="HO4" s="67">
        <f>IFERROR(VLOOKUP($B4,RD[#All],HO$2,0)/HO$1,"")</f>
        <v>4.3521421107628004</v>
      </c>
      <c r="HP4" s="67">
        <f>IFERROR(VLOOKUP($B4,RD[#All],HP$2,0)/HP$1,"")</f>
        <v>4.3134796238244517</v>
      </c>
      <c r="HQ4" s="67">
        <f>IFERROR(VLOOKUP($B4,RD[#All],HQ$2,0)/HQ$1,"")</f>
        <v>4.191919191919192</v>
      </c>
      <c r="HR4" s="67">
        <f>IFERROR(VLOOKUP($B4,RD[#All],HR$2,0)/HR$1,"")</f>
        <v>4.1747289407839867</v>
      </c>
      <c r="HS4" s="67">
        <f>IFERROR(VLOOKUP($B4,RD[#All],HS$2,0)/HS$1,"")</f>
        <v>4.1341123595505618</v>
      </c>
      <c r="HT4" s="67">
        <f>IFERROR(VLOOKUP($B4,RD[#All],HT$2,0)/HT$1,"")</f>
        <v>4.1607990012484395</v>
      </c>
      <c r="HU4" s="67">
        <f>IFERROR(VLOOKUP($B4,RD[#All],HU$2,0)/HU$1,"")</f>
        <v>4.1431287813310291</v>
      </c>
      <c r="HV4" s="67">
        <f>IFERROR(VLOOKUP($B4,RD[#All],HV$2,0)/HV$1,"")</f>
        <v>4.1821953327571304</v>
      </c>
      <c r="HW4" s="67">
        <f>IFERROR(VLOOKUP($B4,RD[#All],HW$2,0)/HW$1,"")</f>
        <v>4.1546067415730334</v>
      </c>
      <c r="HX4" s="67">
        <f>IFERROR(VLOOKUP($B4,RD[#All],HX$2,0)/HX$1,"")</f>
        <v>4.1901469317199656</v>
      </c>
      <c r="HY4" s="67">
        <f>IFERROR(VLOOKUP($B4,RD[#All],HY$2,0)/HY$1,"")</f>
        <v>4.139492301290054</v>
      </c>
      <c r="HZ4" s="67">
        <f>IFERROR(VLOOKUP($B4,RD[#All],HZ$2,0)/HZ$1,"")</f>
        <v>4.1599667082813152</v>
      </c>
      <c r="IA4" s="67">
        <f>IFERROR(VLOOKUP($B4,RD[#All],IA$2,0)/IA$1,"")</f>
        <v>4.2777777777777777</v>
      </c>
      <c r="IB4" s="67">
        <f>IFERROR(VLOOKUP($B4,RD[#All],IB$2,0)/IB$1,"")</f>
        <v>4.1681096681096683</v>
      </c>
      <c r="IC4" s="67">
        <f>IFERROR(VLOOKUP($B4,RD[#All],IC$2,0)/IC$1,"")</f>
        <v>4.2863247863247862</v>
      </c>
      <c r="ID4" s="67">
        <f>IFERROR(VLOOKUP($B4,RD[#All],ID$2,0)/ID$1,"")</f>
        <v>4.2312008978675646</v>
      </c>
      <c r="IE4" s="67">
        <f>IFERROR(VLOOKUP($B4,RD[#All],IE$2,0)/IE$1,"")</f>
        <v>4.2747474747474747</v>
      </c>
      <c r="IF4" s="67" t="str">
        <f>IFERROR(VLOOKUP($B4,RD[#All],IF$2,0)/IF$1,"")</f>
        <v/>
      </c>
      <c r="IG4" s="67">
        <f>IFERROR(VLOOKUP($B4,RD[#All],IG$2,0)/IG$1,"")</f>
        <v>4.2459666006227001</v>
      </c>
      <c r="IH4" s="67">
        <f>IFERROR(VLOOKUP($B4,RD[#All],IH$2,0)/IH$1,"")</f>
        <v>4.2598397770811562</v>
      </c>
      <c r="II4" s="67">
        <f>IFERROR(VLOOKUP($B4,RD[#All],II$2,0)/II$1,"")</f>
        <v>4.189054726368159</v>
      </c>
      <c r="IJ4" s="67">
        <f>IFERROR(VLOOKUP($B4,RD[#All],IJ$2,0)/IJ$1,"")</f>
        <v>4.1488963711185933</v>
      </c>
      <c r="IK4" s="67">
        <f>IFERROR(VLOOKUP($B4,RD[#All],IK$2,0)/IK$1,"")</f>
        <v>4.1608391608391608</v>
      </c>
      <c r="IL4" s="67" t="str">
        <f>IFERROR(VLOOKUP($B4,RD[#All],IL$2,0)/IL$1,"")</f>
        <v/>
      </c>
      <c r="IM4" s="67" t="str">
        <f>IFERROR(VLOOKUP($B4,RD[#All],IM$2,0)/IM$1,"")</f>
        <v/>
      </c>
      <c r="IN4" s="67">
        <f>IFERROR(VLOOKUP($B4,RD[#All],IN$2,0)/IN$1,"")</f>
        <v>4.3469174503657264</v>
      </c>
      <c r="IO4" s="67">
        <f>IFERROR(VLOOKUP($B4,RD[#All],IO$2,0)/IO$1,"")</f>
        <v>4.3142633228840124</v>
      </c>
      <c r="IP4" s="67">
        <f>IFERROR(VLOOKUP($B4,RD[#All],IP$2,0)/IP$1,"")</f>
        <v>4.9663263089289593</v>
      </c>
      <c r="IQ4" s="67">
        <f>IFERROR(VLOOKUP($B4,RD[#All],IQ$2,0)/IQ$1,"")</f>
        <v>4.1608391608391608</v>
      </c>
      <c r="IR4" s="67">
        <f>IFERROR(VLOOKUP($B4,RD[#All],IR$2,0)/IR$1,"")</f>
        <v>4.2744610281923716</v>
      </c>
      <c r="IS4" s="86">
        <f>IFERROR(AVERAGEIF(Inv_SY_B[[#This Row],[BLK1_INV1]:[BLK8_INV27]],"&gt;"&amp;0.1,Inv_SY_B[[#This Row],[BLK1_INV1]:[BLK8_INV27]]),"")</f>
        <v>4.2377288106169688</v>
      </c>
    </row>
    <row r="5" spans="2:253" x14ac:dyDescent="0.25">
      <c r="B5" s="85">
        <f>B4+1</f>
        <v>45831</v>
      </c>
      <c r="C5" s="67">
        <f>IFERROR(VLOOKUP($B5,RD[#All],C$2,0)/C$1,"")</f>
        <v>3.6888504753673295</v>
      </c>
      <c r="D5" s="67">
        <f>IFERROR(VLOOKUP($B5,RD[#All],D$2,0)/D$1,"")</f>
        <v>3.6418323249783926</v>
      </c>
      <c r="E5" s="67">
        <f>IFERROR(VLOOKUP($B5,RD[#All],E$2,0)/E$1,"")</f>
        <v>3.6629213483146068</v>
      </c>
      <c r="F5" s="67">
        <f>IFERROR(VLOOKUP($B5,RD[#All],F$2,0)/F$1,"")</f>
        <v>3.6445692883895133</v>
      </c>
      <c r="G5" s="67">
        <f>IFERROR(VLOOKUP($B5,RD[#All],G$2,0)/G$1,"")</f>
        <v>3.6273120138288677</v>
      </c>
      <c r="H5" s="67">
        <f>IFERROR(VLOOKUP($B5,RD[#All],H$2,0)/H$1,"")</f>
        <v>3.6475655430711611</v>
      </c>
      <c r="I5" s="67">
        <f>IFERROR(VLOOKUP($B5,RD[#All],I$2,0)/I$1,"")</f>
        <v>3.642696629213483</v>
      </c>
      <c r="J5" s="67">
        <f>IFERROR(VLOOKUP($B5,RD[#All],J$2,0)/J$1,"")</f>
        <v>3.6445692883895133</v>
      </c>
      <c r="K5" s="67">
        <f>IFERROR(VLOOKUP($B5,RD[#All],K$2,0)/K$1,"")</f>
        <v>3.3495730337078653</v>
      </c>
      <c r="L5" s="67">
        <f>IFERROR(VLOOKUP($B5,RD[#All],L$2,0)/L$1,"")</f>
        <v>3.6426067415730339</v>
      </c>
      <c r="M5" s="67">
        <f>IFERROR(VLOOKUP($B5,RD[#All],M$2,0)/M$1,"")</f>
        <v>3.6741573033707864</v>
      </c>
      <c r="N5" s="67">
        <f>IFERROR(VLOOKUP($B5,RD[#All],N$2,0)/N$1,"")</f>
        <v>3.6936329588014982</v>
      </c>
      <c r="O5" s="67">
        <f>IFERROR(VLOOKUP($B5,RD[#All],O$2,0)/O$1,"")</f>
        <v>3.6745318352059928</v>
      </c>
      <c r="P5" s="67">
        <f>IFERROR(VLOOKUP($B5,RD[#All],P$2,0)/P$1,"")</f>
        <v>3.6404494382022472</v>
      </c>
      <c r="Q5" s="67">
        <f>IFERROR(VLOOKUP($B5,RD[#All],Q$2,0)/Q$1,"")</f>
        <v>3.6262172284644199</v>
      </c>
      <c r="R5" s="67">
        <f>IFERROR(VLOOKUP($B5,RD[#All],R$2,0)/R$1,"")</f>
        <v>3.6247191011235955</v>
      </c>
      <c r="S5" s="67">
        <f>IFERROR(VLOOKUP($B5,RD[#All],S$2,0)/S$1,"")</f>
        <v>3.6161048689138577</v>
      </c>
      <c r="T5" s="67">
        <f>IFERROR(VLOOKUP($B5,RD[#All],T$2,0)/T$1,"")</f>
        <v>3.7385767790262174</v>
      </c>
      <c r="U5" s="67">
        <f>IFERROR(VLOOKUP($B5,RD[#All],U$2,0)/U$1,"")</f>
        <v>3.6141745894554886</v>
      </c>
      <c r="V5" s="67">
        <f>IFERROR(VLOOKUP($B5,RD[#All],V$2,0)/V$1,"")</f>
        <v>3.6086430423509075</v>
      </c>
      <c r="W5" s="67">
        <f>IFERROR(VLOOKUP($B5,RD[#All],W$2,0)/W$1,"")</f>
        <v>3.6299625468164796</v>
      </c>
      <c r="X5" s="67">
        <f>IFERROR(VLOOKUP($B5,RD[#All],X$2,0)/X$1,"")</f>
        <v>3.6404494382022472</v>
      </c>
      <c r="Y5" s="67">
        <f>IFERROR(VLOOKUP($B5,RD[#All],Y$2,0)/Y$1,"")</f>
        <v>3.6165946413137422</v>
      </c>
      <c r="Z5" s="67">
        <f>IFERROR(VLOOKUP($B5,RD[#All],Z$2,0)/Z$1,"")</f>
        <v>3.6604244694132335</v>
      </c>
      <c r="AA5" s="67">
        <f>IFERROR(VLOOKUP($B5,RD[#All],AA$2,0)/AA$1,"")</f>
        <v>3.6563526361279166</v>
      </c>
      <c r="AB5" s="67">
        <f>IFERROR(VLOOKUP($B5,RD[#All],AB$2,0)/AB$1,"")</f>
        <v>3.624200518582541</v>
      </c>
      <c r="AC5" s="67">
        <f>IFERROR(VLOOKUP($B5,RD[#All],AC$2,0)/AC$1,"")</f>
        <v>3.6615384615384614</v>
      </c>
      <c r="AD5" s="67">
        <f>IFERROR(VLOOKUP($B5,RD[#All],AD$2,0)/AD$1,"")</f>
        <v>3.6224719101123593</v>
      </c>
      <c r="AE5" s="67">
        <f>IFERROR(VLOOKUP($B5,RD[#All],AE$2,0)/AE$1,"")</f>
        <v>3.6547648772367873</v>
      </c>
      <c r="AF5" s="67">
        <f>IFERROR(VLOOKUP($B5,RD[#All],AF$2,0)/AF$1,"")</f>
        <v>3.6327923429047027</v>
      </c>
      <c r="AG5" s="67">
        <f>IFERROR(VLOOKUP($B5,RD[#All],AG$2,0)/AG$1,"")</f>
        <v>3.6920516021639616</v>
      </c>
      <c r="AH5" s="67">
        <f>IFERROR(VLOOKUP($B5,RD[#All],AH$2,0)/AH$1,"")</f>
        <v>3.3624635871826882</v>
      </c>
      <c r="AI5" s="67">
        <f>IFERROR(VLOOKUP($B5,RD[#All],AI$2,0)/AI$1,"")</f>
        <v>3.6761006289308176</v>
      </c>
      <c r="AJ5" s="67">
        <f>IFERROR(VLOOKUP($B5,RD[#All],AJ$2,0)/AJ$1,"")</f>
        <v>3.6825586608877594</v>
      </c>
      <c r="AK5" s="67">
        <f>IFERROR(VLOOKUP($B5,RD[#All],AK$2,0)/AK$1,"")</f>
        <v>3.6344569288389512</v>
      </c>
      <c r="AL5" s="67">
        <f>IFERROR(VLOOKUP($B5,RD[#All],AL$2,0)/AL$1,"")</f>
        <v>3.5831381733021082</v>
      </c>
      <c r="AM5" s="67">
        <f>IFERROR(VLOOKUP($B5,RD[#All],AM$2,0)/AM$1,"")</f>
        <v>3.6580524344569292</v>
      </c>
      <c r="AN5" s="67">
        <f>IFERROR(VLOOKUP($B5,RD[#All],AN$2,0)/AN$1,"")</f>
        <v>3.7116104868913857</v>
      </c>
      <c r="AO5" s="67">
        <f>IFERROR(VLOOKUP($B5,RD[#All],AO$2,0)/AO$1,"")</f>
        <v>3.6749063670411988</v>
      </c>
      <c r="AP5" s="67">
        <f>IFERROR(VLOOKUP($B5,RD[#All],AP$2,0)/AP$1,"")</f>
        <v>3.6625468164794008</v>
      </c>
      <c r="AQ5" s="67">
        <f>IFERROR(VLOOKUP($B5,RD[#All],AQ$2,0)/AQ$1,"")</f>
        <v>3.6044943820224717</v>
      </c>
      <c r="AR5" s="67">
        <f>IFERROR(VLOOKUP($B5,RD[#All],AR$2,0)/AR$1,"")</f>
        <v>3.7074906367041196</v>
      </c>
      <c r="AS5" s="67">
        <f>IFERROR(VLOOKUP($B5,RD[#All],AS$2,0)/AS$1,"")</f>
        <v>3.7419475655430712</v>
      </c>
      <c r="AT5" s="67">
        <f>IFERROR(VLOOKUP($B5,RD[#All],AT$2,0)/AT$1,"")</f>
        <v>3.7250936329588016</v>
      </c>
      <c r="AU5" s="67">
        <f>IFERROR(VLOOKUP($B5,RD[#All],AU$2,0)/AU$1,"")</f>
        <v>3.6531835205992507</v>
      </c>
      <c r="AV5" s="67">
        <f>IFERROR(VLOOKUP($B5,RD[#All],AV$2,0)/AV$1,"")</f>
        <v>3.6681647940074904</v>
      </c>
      <c r="AW5" s="67">
        <f>IFERROR(VLOOKUP($B5,RD[#All],AW$2,0)/AW$1,"")</f>
        <v>3.2878133102852205</v>
      </c>
      <c r="AX5" s="67">
        <f>IFERROR(VLOOKUP($B5,RD[#All],AX$2,0)/AX$1,"")</f>
        <v>3.5921348314606742</v>
      </c>
      <c r="AY5" s="67">
        <f>IFERROR(VLOOKUP($B5,RD[#All],AY$2,0)/AY$1,"")</f>
        <v>3.6314606741573034</v>
      </c>
      <c r="AZ5" s="67">
        <f>IFERROR(VLOOKUP($B5,RD[#All],AZ$2,0)/AZ$1,"")</f>
        <v>3.2755056179775281</v>
      </c>
      <c r="BA5" s="67">
        <f>IFERROR(VLOOKUP($B5,RD[#All],BA$2,0)/BA$1,"")</f>
        <v>3.6314606741573034</v>
      </c>
      <c r="BB5" s="67">
        <f>IFERROR(VLOOKUP($B5,RD[#All],BB$2,0)/BB$1,"")</f>
        <v>3.6441947565543069</v>
      </c>
      <c r="BC5" s="67">
        <f>IFERROR(VLOOKUP($B5,RD[#All],BC$2,0)/BC$1,"")</f>
        <v>3.628797336662505</v>
      </c>
      <c r="BD5" s="67">
        <f>IFERROR(VLOOKUP($B5,RD[#All],BD$2,0)/BD$1,"")</f>
        <v>3.6334581772784023</v>
      </c>
      <c r="BE5" s="67">
        <f>IFERROR(VLOOKUP($B5,RD[#All],BE$2,0)/BE$1,"")</f>
        <v>3.575108038029386</v>
      </c>
      <c r="BF5" s="67">
        <f>IFERROR(VLOOKUP($B5,RD[#All],BF$2,0)/BF$1,"")</f>
        <v>3.6620890553474825</v>
      </c>
      <c r="BG5" s="67">
        <f>IFERROR(VLOOKUP($B5,RD[#All],BG$2,0)/BG$1,"")</f>
        <v>3.6604244694132335</v>
      </c>
      <c r="BH5" s="67">
        <f>IFERROR(VLOOKUP($B5,RD[#All],BH$2,0)/BH$1,"")</f>
        <v>3.6325842696629214</v>
      </c>
      <c r="BI5" s="67">
        <f>IFERROR(VLOOKUP($B5,RD[#All],BI$2,0)/BI$1,"")</f>
        <v>3.6201414898044115</v>
      </c>
      <c r="BJ5" s="67">
        <f>IFERROR(VLOOKUP($B5,RD[#All],BJ$2,0)/BJ$1,"")</f>
        <v>3.6767374115688725</v>
      </c>
      <c r="BK5" s="67">
        <f>IFERROR(VLOOKUP($B5,RD[#All],BK$2,0)/BK$1,"")</f>
        <v>3.6558052434456929</v>
      </c>
      <c r="BL5" s="67">
        <f>IFERROR(VLOOKUP($B5,RD[#All],BL$2,0)/BL$1,"")</f>
        <v>3.613248578119773</v>
      </c>
      <c r="BM5" s="67">
        <f>IFERROR(VLOOKUP($B5,RD[#All],BM$2,0)/BM$1,"")</f>
        <v>3.6456928838951308</v>
      </c>
      <c r="BN5" s="67">
        <f>IFERROR(VLOOKUP($B5,RD[#All],BN$2,0)/BN$1,"")</f>
        <v>3.7199582027168234</v>
      </c>
      <c r="BO5" s="67">
        <f>IFERROR(VLOOKUP($B5,RD[#All],BO$2,0)/BO$1,"")</f>
        <v>3.6380293863439928</v>
      </c>
      <c r="BP5" s="67">
        <f>IFERROR(VLOOKUP($B5,RD[#All],BP$2,0)/BP$1,"")</f>
        <v>3.6556611927398448</v>
      </c>
      <c r="BQ5" s="67">
        <f>IFERROR(VLOOKUP($B5,RD[#All],BQ$2,0)/BQ$1,"")</f>
        <v>3.6093344857389802</v>
      </c>
      <c r="BR5" s="67">
        <f>IFERROR(VLOOKUP($B5,RD[#All],BR$2,0)/BR$1,"")</f>
        <v>3.5889369057908382</v>
      </c>
      <c r="BS5" s="67">
        <f>IFERROR(VLOOKUP($B5,RD[#All],BS$2,0)/BS$1,"")</f>
        <v>3.6554307116104869</v>
      </c>
      <c r="BT5" s="67">
        <f>IFERROR(VLOOKUP($B5,RD[#All],BT$2,0)/BT$1,"")</f>
        <v>3.648314606741573</v>
      </c>
      <c r="BU5" s="67">
        <f>IFERROR(VLOOKUP($B5,RD[#All],BU$2,0)/BU$1,"")</f>
        <v>3.6531835205992507</v>
      </c>
      <c r="BV5" s="67">
        <f>IFERROR(VLOOKUP($B5,RD[#All],BV$2,0)/BV$1,"")</f>
        <v>3.6220973782771537</v>
      </c>
      <c r="BW5" s="67">
        <f>IFERROR(VLOOKUP($B5,RD[#All],BW$2,0)/BW$1,"")</f>
        <v>3.5992509363295881</v>
      </c>
      <c r="BX5" s="67">
        <f>IFERROR(VLOOKUP($B5,RD[#All],BX$2,0)/BX$1,"")</f>
        <v>3.5992509363295881</v>
      </c>
      <c r="BY5" s="67">
        <f>IFERROR(VLOOKUP($B5,RD[#All],BY$2,0)/BY$1,"")</f>
        <v>3.595505617977528</v>
      </c>
      <c r="BZ5" s="67">
        <f>IFERROR(VLOOKUP($B5,RD[#All],BZ$2,0)/BZ$1,"")</f>
        <v>3.6570952975447359</v>
      </c>
      <c r="CA5" s="67">
        <f>IFERROR(VLOOKUP($B5,RD[#All],CA$2,0)/CA$1,"")</f>
        <v>3.5888472742405328</v>
      </c>
      <c r="CB5" s="67">
        <f>IFERROR(VLOOKUP($B5,RD[#All],CB$2,0)/CB$1,"")</f>
        <v>3.6812734082397003</v>
      </c>
      <c r="CC5" s="67">
        <f>IFERROR(VLOOKUP($B5,RD[#All],CC$2,0)/CC$1,"")</f>
        <v>3.6441947565543069</v>
      </c>
      <c r="CD5" s="67">
        <f>IFERROR(VLOOKUP($B5,RD[#All],CD$2,0)/CD$1,"")</f>
        <v>3.7057908383751084</v>
      </c>
      <c r="CE5" s="67">
        <f>IFERROR(VLOOKUP($B5,RD[#All],CE$2,0)/CE$1,"")</f>
        <v>3.6726591760299625</v>
      </c>
      <c r="CF5" s="67">
        <f>IFERROR(VLOOKUP($B5,RD[#All],CF$2,0)/CF$1,"")</f>
        <v>3.6176029962546816</v>
      </c>
      <c r="CG5" s="67">
        <f>IFERROR(VLOOKUP($B5,RD[#All],CG$2,0)/CG$1,"")</f>
        <v>3.6479400749063671</v>
      </c>
      <c r="CH5" s="67">
        <f>IFERROR(VLOOKUP($B5,RD[#All],CH$2,0)/CH$1,"")</f>
        <v>3.7041198501872659</v>
      </c>
      <c r="CI5" s="67">
        <f>IFERROR(VLOOKUP($B5,RD[#All],CI$2,0)/CI$1,"")</f>
        <v>3.6352059925093632</v>
      </c>
      <c r="CJ5" s="67">
        <f>IFERROR(VLOOKUP($B5,RD[#All],CJ$2,0)/CJ$1,"")</f>
        <v>3.6445692883895133</v>
      </c>
      <c r="CK5" s="67">
        <f>IFERROR(VLOOKUP($B5,RD[#All],CK$2,0)/CK$1,"")</f>
        <v>3.6513108614232208</v>
      </c>
      <c r="CL5" s="67">
        <f>IFERROR(VLOOKUP($B5,RD[#All],CL$2,0)/CL$1,"")</f>
        <v>3.6284644194756552</v>
      </c>
      <c r="CM5" s="67">
        <f>IFERROR(VLOOKUP($B5,RD[#All],CM$2,0)/CM$1,"")</f>
        <v>3.5808988764044947</v>
      </c>
      <c r="CN5" s="67">
        <f>IFERROR(VLOOKUP($B5,RD[#All],CN$2,0)/CN$1,"")</f>
        <v>3.5419475655430714</v>
      </c>
      <c r="CO5" s="67">
        <f>IFERROR(VLOOKUP($B5,RD[#All],CO$2,0)/CO$1,"")</f>
        <v>3.5951460674157301</v>
      </c>
      <c r="CP5" s="67">
        <f>IFERROR(VLOOKUP($B5,RD[#All],CP$2,0)/CP$1,"")</f>
        <v>3.5159896283491787</v>
      </c>
      <c r="CQ5" s="67">
        <f>IFERROR(VLOOKUP($B5,RD[#All],CQ$2,0)/CQ$1,"")</f>
        <v>3.5767790262172285</v>
      </c>
      <c r="CR5" s="67">
        <f>IFERROR(VLOOKUP($B5,RD[#All],CR$2,0)/CR$1,"")</f>
        <v>3.5880149812734081</v>
      </c>
      <c r="CS5" s="67">
        <f>IFERROR(VLOOKUP($B5,RD[#All],CS$2,0)/CS$1,"")</f>
        <v>3.5655430711610485</v>
      </c>
      <c r="CT5" s="67">
        <f>IFERROR(VLOOKUP($B5,RD[#All],CT$2,0)/CT$1,"")</f>
        <v>3.5883895131086145</v>
      </c>
      <c r="CU5" s="67">
        <f>IFERROR(VLOOKUP($B5,RD[#All],CU$2,0)/CU$1,"")</f>
        <v>2.7902621722846441</v>
      </c>
      <c r="CV5" s="67">
        <f>IFERROR(VLOOKUP($B5,RD[#All],CV$2,0)/CV$1,"")</f>
        <v>3.6898876404494385</v>
      </c>
      <c r="CW5" s="67">
        <f>IFERROR(VLOOKUP($B5,RD[#All],CW$2,0)/CW$1,"")</f>
        <v>3.5805243445692883</v>
      </c>
      <c r="CX5" s="67">
        <f>IFERROR(VLOOKUP($B5,RD[#All],CX$2,0)/CX$1,"")</f>
        <v>3.595505617977528</v>
      </c>
      <c r="CY5" s="67">
        <f>IFERROR(VLOOKUP($B5,RD[#All],CY$2,0)/CY$1,"")</f>
        <v>3.6329588014981273</v>
      </c>
      <c r="CZ5" s="67">
        <f>IFERROR(VLOOKUP($B5,RD[#All],CZ$2,0)/CZ$1,"")</f>
        <v>3.5880149812734081</v>
      </c>
      <c r="DA5" s="67">
        <f>IFERROR(VLOOKUP($B5,RD[#All],DA$2,0)/DA$1,"")</f>
        <v>3.5617977528089888</v>
      </c>
      <c r="DB5" s="67">
        <f>IFERROR(VLOOKUP($B5,RD[#All],DB$2,0)/DB$1,"")</f>
        <v>3.5453183520599252</v>
      </c>
      <c r="DC5" s="67">
        <f>IFERROR(VLOOKUP($B5,RD[#All],DC$2,0)/DC$1,"")</f>
        <v>3.595505617977528</v>
      </c>
      <c r="DD5" s="67">
        <f>IFERROR(VLOOKUP($B5,RD[#All],DD$2,0)/DD$1,"")</f>
        <v>3.5617977528089888</v>
      </c>
      <c r="DE5" s="67">
        <f>IFERROR(VLOOKUP($B5,RD[#All],DE$2,0)/DE$1,"")</f>
        <v>3.595505617977528</v>
      </c>
      <c r="DF5" s="67">
        <f>IFERROR(VLOOKUP($B5,RD[#All],DF$2,0)/DF$1,"")</f>
        <v>3.6112412177985953</v>
      </c>
      <c r="DG5" s="67">
        <f>IFERROR(VLOOKUP($B5,RD[#All],DG$2,0)/DG$1,"")</f>
        <v>3.5617977528089888</v>
      </c>
      <c r="DH5" s="67">
        <f>IFERROR(VLOOKUP($B5,RD[#All],DH$2,0)/DH$1,"")</f>
        <v>3.5255930087390763</v>
      </c>
      <c r="DI5" s="67">
        <f>IFERROR(VLOOKUP($B5,RD[#All],DI$2,0)/DI$1,"")</f>
        <v>3.6134831460674159</v>
      </c>
      <c r="DJ5" s="67">
        <f>IFERROR(VLOOKUP($B5,RD[#All],DJ$2,0)/DJ$1,"")</f>
        <v>3.6397579948141745</v>
      </c>
      <c r="DK5" s="67">
        <f>IFERROR(VLOOKUP($B5,RD[#All],DK$2,0)/DK$1,"")</f>
        <v>3.5622138992925509</v>
      </c>
      <c r="DL5" s="67">
        <f>IFERROR(VLOOKUP($B5,RD[#All],DL$2,0)/DL$1,"")</f>
        <v>3.5322513524760715</v>
      </c>
      <c r="DM5" s="67">
        <f>IFERROR(VLOOKUP($B5,RD[#All],DM$2,0)/DM$1,"")</f>
        <v>3.5617977528089888</v>
      </c>
      <c r="DN5" s="67">
        <f>IFERROR(VLOOKUP($B5,RD[#All],DN$2,0)/DN$1,"")</f>
        <v>3.6104868913857677</v>
      </c>
      <c r="DO5" s="67">
        <f>IFERROR(VLOOKUP($B5,RD[#All],DO$2,0)/DO$1,"")</f>
        <v>3.2351957176313149</v>
      </c>
      <c r="DP5" s="67">
        <f>IFERROR(VLOOKUP($B5,RD[#All],DP$2,0)/DP$1,"")</f>
        <v>3.628797336662505</v>
      </c>
      <c r="DQ5" s="67">
        <f>IFERROR(VLOOKUP($B5,RD[#All],DQ$2,0)/DQ$1,"")</f>
        <v>3.5255930087390763</v>
      </c>
      <c r="DR5" s="67">
        <f>IFERROR(VLOOKUP($B5,RD[#All],DR$2,0)/DR$1,"")</f>
        <v>3.6535580524344571</v>
      </c>
      <c r="DS5" s="67">
        <f>IFERROR(VLOOKUP($B5,RD[#All],DS$2,0)/DS$1,"")</f>
        <v>3.5805243445692883</v>
      </c>
      <c r="DT5" s="67">
        <f>IFERROR(VLOOKUP($B5,RD[#All],DT$2,0)/DT$1,"")</f>
        <v>3.4610070744902202</v>
      </c>
      <c r="DU5" s="67">
        <f>IFERROR(VLOOKUP($B5,RD[#All],DU$2,0)/DU$1,"")</f>
        <v>3.3827715355805243</v>
      </c>
      <c r="DV5" s="67">
        <f>IFERROR(VLOOKUP($B5,RD[#All],DV$2,0)/DV$1,"")</f>
        <v>3.5617977528089888</v>
      </c>
      <c r="DW5" s="67">
        <f>IFERROR(VLOOKUP($B5,RD[#All],DW$2,0)/DW$1,"")</f>
        <v>3.6217228464419478</v>
      </c>
      <c r="DX5" s="67">
        <f>IFERROR(VLOOKUP($B5,RD[#All],DX$2,0)/DX$1,"")</f>
        <v>3.6254681647940075</v>
      </c>
      <c r="DY5" s="67">
        <f>IFERROR(VLOOKUP($B5,RD[#All],DY$2,0)/DY$1,"")</f>
        <v>3.5209737827715357</v>
      </c>
      <c r="DZ5" s="67">
        <f>IFERROR(VLOOKUP($B5,RD[#All],DZ$2,0)/DZ$1,"")</f>
        <v>3.6108614232209737</v>
      </c>
      <c r="EA5" s="67">
        <f>IFERROR(VLOOKUP($B5,RD[#All],EA$2,0)/EA$1,"")</f>
        <v>3.595505617977528</v>
      </c>
      <c r="EB5" s="67">
        <f>IFERROR(VLOOKUP($B5,RD[#All],EB$2,0)/EB$1,"")</f>
        <v>3.4823137744486061</v>
      </c>
      <c r="EC5" s="67">
        <f>IFERROR(VLOOKUP($B5,RD[#All],EC$2,0)/EC$1,"")</f>
        <v>3.5574762316335349</v>
      </c>
      <c r="ED5" s="67">
        <f>IFERROR(VLOOKUP($B5,RD[#All],ED$2,0)/ED$1,"")</f>
        <v>3.5239412273120139</v>
      </c>
      <c r="EE5" s="67">
        <f>IFERROR(VLOOKUP($B5,RD[#All],EE$2,0)/EE$1,"")</f>
        <v>3.6110630942091615</v>
      </c>
      <c r="EF5" s="67">
        <f>IFERROR(VLOOKUP($B5,RD[#All],EF$2,0)/EF$1,"")</f>
        <v>3.5137895812053115</v>
      </c>
      <c r="EG5" s="67">
        <f>IFERROR(VLOOKUP($B5,RD[#All],EG$2,0)/EG$1,"")</f>
        <v>3.5664335664335662</v>
      </c>
      <c r="EH5" s="67">
        <f>IFERROR(VLOOKUP($B5,RD[#All],EH$2,0)/EH$1,"")</f>
        <v>3.6038461538461539</v>
      </c>
      <c r="EI5" s="67">
        <f>IFERROR(VLOOKUP($B5,RD[#All],EI$2,0)/EI$1,"")</f>
        <v>3.040909090909091</v>
      </c>
      <c r="EJ5" s="67">
        <f>IFERROR(VLOOKUP($B5,RD[#All],EJ$2,0)/EJ$1,"")</f>
        <v>3.5979020979020979</v>
      </c>
      <c r="EK5" s="67">
        <f>IFERROR(VLOOKUP($B5,RD[#All],EK$2,0)/EK$1,"")</f>
        <v>3.559550561797753</v>
      </c>
      <c r="EL5" s="67">
        <f>IFERROR(VLOOKUP($B5,RD[#All],EL$2,0)/EL$1,"")</f>
        <v>3.4981273408239701</v>
      </c>
      <c r="EM5" s="67">
        <f>IFERROR(VLOOKUP($B5,RD[#All],EM$2,0)/EM$1,"")</f>
        <v>3.5941227312013826</v>
      </c>
      <c r="EN5" s="67">
        <f>IFERROR(VLOOKUP($B5,RD[#All],EN$2,0)/EN$1,"")</f>
        <v>3.5277441659464133</v>
      </c>
      <c r="EO5" s="67">
        <f>IFERROR(VLOOKUP($B5,RD[#All],EO$2,0)/EO$1,"")</f>
        <v>3.6044943820224717</v>
      </c>
      <c r="EP5" s="67">
        <f>IFERROR(VLOOKUP($B5,RD[#All],EP$2,0)/EP$1,"")</f>
        <v>3.6024200518582541</v>
      </c>
      <c r="EQ5" s="67">
        <f>IFERROR(VLOOKUP($B5,RD[#All],EQ$2,0)/EQ$1,"")</f>
        <v>3.5453183520599252</v>
      </c>
      <c r="ER5" s="67">
        <f>IFERROR(VLOOKUP($B5,RD[#All],ER$2,0)/ER$1,"")</f>
        <v>3.6093344857389802</v>
      </c>
      <c r="ES5" s="67">
        <f>IFERROR(VLOOKUP($B5,RD[#All],ES$2,0)/ES$1,"")</f>
        <v>3.6142322097378279</v>
      </c>
      <c r="ET5" s="67">
        <f>IFERROR(VLOOKUP($B5,RD[#All],ET$2,0)/ET$1,"")</f>
        <v>3.5791624106230846</v>
      </c>
      <c r="EU5" s="67">
        <f>IFERROR(VLOOKUP($B5,RD[#All],EU$2,0)/EU$1,"")</f>
        <v>3.6764044943820227</v>
      </c>
      <c r="EV5" s="67">
        <f>IFERROR(VLOOKUP($B5,RD[#All],EV$2,0)/EV$1,"")</f>
        <v>3.6667242869490058</v>
      </c>
      <c r="EW5" s="67">
        <f>IFERROR(VLOOKUP($B5,RD[#All],EW$2,0)/EW$1,"")</f>
        <v>3.6231633535004319</v>
      </c>
      <c r="EX5" s="67">
        <f>IFERROR(VLOOKUP($B5,RD[#All],EX$2,0)/EX$1,"")</f>
        <v>3.6374531835205994</v>
      </c>
      <c r="EY5" s="67">
        <f>IFERROR(VLOOKUP($B5,RD[#All],EY$2,0)/EY$1,"")</f>
        <v>3.598834789846026</v>
      </c>
      <c r="EZ5" s="67">
        <f>IFERROR(VLOOKUP($B5,RD[#All],EZ$2,0)/EZ$1,"")</f>
        <v>3.6044943820224717</v>
      </c>
      <c r="FA5" s="67">
        <f>IFERROR(VLOOKUP($B5,RD[#All],FA$2,0)/FA$1,"")</f>
        <v>3.6479400749063671</v>
      </c>
      <c r="FB5" s="67">
        <f>IFERROR(VLOOKUP($B5,RD[#All],FB$2,0)/FB$1,"")</f>
        <v>3.6037453183520602</v>
      </c>
      <c r="FC5" s="67">
        <f>IFERROR(VLOOKUP($B5,RD[#All],FC$2,0)/FC$1,"")</f>
        <v>3.6146067415730339</v>
      </c>
      <c r="FD5" s="67">
        <f>IFERROR(VLOOKUP($B5,RD[#All],FD$2,0)/FD$1,"")</f>
        <v>3.5692883895131087</v>
      </c>
      <c r="FE5" s="67">
        <f>IFERROR(VLOOKUP($B5,RD[#All],FE$2,0)/FE$1,"")</f>
        <v>3.6337121212121208</v>
      </c>
      <c r="FF5" s="67">
        <f>IFERROR(VLOOKUP($B5,RD[#All],FF$2,0)/FF$1,"")</f>
        <v>3.5950757575757577</v>
      </c>
      <c r="FG5" s="67">
        <f>IFERROR(VLOOKUP($B5,RD[#All],FG$2,0)/FG$1,"")</f>
        <v>3.6346801346801345</v>
      </c>
      <c r="FH5" s="67">
        <f>IFERROR(VLOOKUP($B5,RD[#All],FH$2,0)/FH$1,"")</f>
        <v>3.4882575757575758</v>
      </c>
      <c r="FI5" s="67">
        <f>IFERROR(VLOOKUP($B5,RD[#All],FI$2,0)/FI$1,"")</f>
        <v>3.3313131313131312</v>
      </c>
      <c r="FJ5" s="67">
        <f>IFERROR(VLOOKUP($B5,RD[#All],FJ$2,0)/FJ$1,"")</f>
        <v>3.3272727272727276</v>
      </c>
      <c r="FK5" s="67">
        <f>IFERROR(VLOOKUP($B5,RD[#All],FK$2,0)/FK$1,"")</f>
        <v>3.531986531986532</v>
      </c>
      <c r="FL5" s="67">
        <f>IFERROR(VLOOKUP($B5,RD[#All],FL$2,0)/FL$1,"")</f>
        <v>3.6145454545454547</v>
      </c>
      <c r="FM5" s="67">
        <f>IFERROR(VLOOKUP($B5,RD[#All],FM$2,0)/FM$1,"")</f>
        <v>3.5606060606060606</v>
      </c>
      <c r="FN5" s="67">
        <f>IFERROR(VLOOKUP($B5,RD[#All],FN$2,0)/FN$1,"")</f>
        <v>3.3420875420875422</v>
      </c>
      <c r="FO5" s="67">
        <f>IFERROR(VLOOKUP($B5,RD[#All],FO$2,0)/FO$1,"")</f>
        <v>3.5606060606060606</v>
      </c>
      <c r="FP5" s="67">
        <f>IFERROR(VLOOKUP($B5,RD[#All],FP$2,0)/FP$1,"")</f>
        <v>3.5098181818181819</v>
      </c>
      <c r="FQ5" s="67">
        <f>IFERROR(VLOOKUP($B5,RD[#All],FQ$2,0)/FQ$1,"")</f>
        <v>3.605818181818182</v>
      </c>
      <c r="FR5" s="67">
        <f>IFERROR(VLOOKUP($B5,RD[#All],FR$2,0)/FR$1,"")</f>
        <v>3.5221818181818181</v>
      </c>
      <c r="FS5" s="67">
        <f>IFERROR(VLOOKUP($B5,RD[#All],FS$2,0)/FS$1,"")</f>
        <v>3.5690235690235692</v>
      </c>
      <c r="FT5" s="67">
        <f>IFERROR(VLOOKUP($B5,RD[#All],FT$2,0)/FT$1,"")</f>
        <v>3.5636363636363635</v>
      </c>
      <c r="FU5" s="67">
        <f>IFERROR(VLOOKUP($B5,RD[#All],FU$2,0)/FU$1,"")</f>
        <v>3.6235690235690239</v>
      </c>
      <c r="FV5" s="67">
        <f>IFERROR(VLOOKUP($B5,RD[#All],FV$2,0)/FV$1,"")</f>
        <v>3.6140151515151517</v>
      </c>
      <c r="FW5" s="67">
        <f>IFERROR(VLOOKUP($B5,RD[#All],FW$2,0)/FW$1,"")</f>
        <v>3.5643939393939394</v>
      </c>
      <c r="FX5" s="67">
        <f>IFERROR(VLOOKUP($B5,RD[#All],FX$2,0)/FX$1,"")</f>
        <v>3.5768939393939392</v>
      </c>
      <c r="FY5" s="67">
        <f>IFERROR(VLOOKUP($B5,RD[#All],FY$2,0)/FY$1,"")</f>
        <v>3.574410774410774</v>
      </c>
      <c r="FZ5" s="67">
        <f>IFERROR(VLOOKUP($B5,RD[#All],FZ$2,0)/FZ$1,"")</f>
        <v>3.6022727272727271</v>
      </c>
      <c r="GA5" s="67">
        <f>IFERROR(VLOOKUP($B5,RD[#All],GA$2,0)/GA$1,"")</f>
        <v>3.5664335664335662</v>
      </c>
      <c r="GB5" s="67">
        <f>IFERROR(VLOOKUP($B5,RD[#All],GB$2,0)/GB$1,"")</f>
        <v>3.5050505050505052</v>
      </c>
      <c r="GC5" s="67">
        <f>IFERROR(VLOOKUP($B5,RD[#All],GC$2,0)/GC$1,"")</f>
        <v>3.606060606060606</v>
      </c>
      <c r="GD5" s="67">
        <f>IFERROR(VLOOKUP($B5,RD[#All],GD$2,0)/GD$1,"")</f>
        <v>3.6</v>
      </c>
      <c r="GE5" s="67">
        <f>IFERROR(VLOOKUP($B5,RD[#All],GE$2,0)/GE$1,"")</f>
        <v>3.5821678321678321</v>
      </c>
      <c r="GF5" s="67">
        <f>IFERROR(VLOOKUP($B5,RD[#All],GF$2,0)/GF$1,"")</f>
        <v>3.6117845117845118</v>
      </c>
      <c r="GG5" s="67">
        <f>IFERROR(VLOOKUP($B5,RD[#All],GG$2,0)/GG$1,"")</f>
        <v>3.5309090909090908</v>
      </c>
      <c r="GH5" s="67">
        <f>IFERROR(VLOOKUP($B5,RD[#All],GH$2,0)/GH$1,"")</f>
        <v>3.6032727272727274</v>
      </c>
      <c r="GI5" s="67">
        <f>IFERROR(VLOOKUP($B5,RD[#All],GI$2,0)/GI$1,"")</f>
        <v>3.3454545454545452</v>
      </c>
      <c r="GJ5" s="67">
        <f>IFERROR(VLOOKUP($B5,RD[#All],GJ$2,0)/GJ$1,"")</f>
        <v>3.5314685314685317</v>
      </c>
      <c r="GK5" s="67">
        <f>IFERROR(VLOOKUP($B5,RD[#All],GK$2,0)/GK$1,"")</f>
        <v>3.5988636363636366</v>
      </c>
      <c r="GL5" s="67">
        <f>IFERROR(VLOOKUP($B5,RD[#All],GL$2,0)/GL$1,"")</f>
        <v>3.5446969696969695</v>
      </c>
      <c r="GM5" s="67">
        <f>IFERROR(VLOOKUP($B5,RD[#All],GM$2,0)/GM$1,"")</f>
        <v>3.5643939393939394</v>
      </c>
      <c r="GN5" s="67">
        <f>IFERROR(VLOOKUP($B5,RD[#All],GN$2,0)/GN$1,"")</f>
        <v>3.5670454545454549</v>
      </c>
      <c r="GO5" s="67">
        <f>IFERROR(VLOOKUP($B5,RD[#All],GO$2,0)/GO$1,"")</f>
        <v>3.6234848484848485</v>
      </c>
      <c r="GP5" s="67">
        <f>IFERROR(VLOOKUP($B5,RD[#All],GP$2,0)/GP$1,"")</f>
        <v>3.5265151515151514</v>
      </c>
      <c r="GQ5" s="67">
        <f>IFERROR(VLOOKUP($B5,RD[#All],GQ$2,0)/GQ$1,"")</f>
        <v>3.5454545454545454</v>
      </c>
      <c r="GR5" s="67">
        <f>IFERROR(VLOOKUP($B5,RD[#All],GR$2,0)/GR$1,"")</f>
        <v>3.5265151515151514</v>
      </c>
      <c r="GS5" s="67" t="str">
        <f>IFERROR(VLOOKUP($B5,RD[#All],GS$2,0)/GS$1,"")</f>
        <v/>
      </c>
      <c r="GT5" s="67" t="str">
        <f>IFERROR(VLOOKUP($B5,RD[#All],GT$2,0)/GT$1,"")</f>
        <v/>
      </c>
      <c r="GU5" s="67">
        <f>IFERROR(VLOOKUP($B5,RD[#All],GU$2,0)/GU$1,"")</f>
        <v>3.781882145998241</v>
      </c>
      <c r="GV5" s="67">
        <f>IFERROR(VLOOKUP($B5,RD[#All],GV$2,0)/GV$1,"")</f>
        <v>3.235618597320725</v>
      </c>
      <c r="GW5" s="67">
        <f>IFERROR(VLOOKUP($B5,RD[#All],GW$2,0)/GW$1,"")</f>
        <v>3.524020694752402</v>
      </c>
      <c r="GX5" s="67" t="str">
        <f>IFERROR(VLOOKUP($B5,RD[#All],GX$2,0)/GX$1,"")</f>
        <v/>
      </c>
      <c r="GY5" s="67">
        <f>IFERROR(VLOOKUP($B5,RD[#All],GY$2,0)/GY$1,"")</f>
        <v>3.6408065618591929</v>
      </c>
      <c r="GZ5" s="67">
        <f>IFERROR(VLOOKUP($B5,RD[#All],GZ$2,0)/GZ$1,"")</f>
        <v>3.5337078651685392</v>
      </c>
      <c r="HA5" s="67">
        <f>IFERROR(VLOOKUP($B5,RD[#All],HA$2,0)/HA$1,"")</f>
        <v>3.3756554307116104</v>
      </c>
      <c r="HB5" s="67">
        <f>IFERROR(VLOOKUP($B5,RD[#All],HB$2,0)/HB$1,"")</f>
        <v>3.5254681647940074</v>
      </c>
      <c r="HC5" s="67">
        <f>IFERROR(VLOOKUP($B5,RD[#All],HC$2,0)/HC$1,"")</f>
        <v>3.5940074906367041</v>
      </c>
      <c r="HD5" s="67">
        <f>IFERROR(VLOOKUP($B5,RD[#All],HD$2,0)/HD$1,"")</f>
        <v>3.6247191011235955</v>
      </c>
      <c r="HE5" s="67">
        <f>IFERROR(VLOOKUP($B5,RD[#All],HE$2,0)/HE$1,"")</f>
        <v>3.6591760299625467</v>
      </c>
      <c r="HF5" s="67">
        <f>IFERROR(VLOOKUP($B5,RD[#All],HF$2,0)/HF$1,"")</f>
        <v>3.6558052434456929</v>
      </c>
      <c r="HG5" s="67">
        <f>IFERROR(VLOOKUP($B5,RD[#All],HG$2,0)/HG$1,"")</f>
        <v>3.5243445692883895</v>
      </c>
      <c r="HH5" s="67">
        <f>IFERROR(VLOOKUP($B5,RD[#All],HH$2,0)/HH$1,"")</f>
        <v>3.648314606741573</v>
      </c>
      <c r="HI5" s="67">
        <f>IFERROR(VLOOKUP($B5,RD[#All],HI$2,0)/HI$1,"")</f>
        <v>3.6614232209737829</v>
      </c>
      <c r="HJ5" s="67">
        <f>IFERROR(VLOOKUP($B5,RD[#All],HJ$2,0)/HJ$1,"")</f>
        <v>3.5243445692883895</v>
      </c>
      <c r="HK5" s="67">
        <f>IFERROR(VLOOKUP($B5,RD[#All],HK$2,0)/HK$1,"")</f>
        <v>3.595505617977528</v>
      </c>
      <c r="HL5" s="67">
        <f>IFERROR(VLOOKUP($B5,RD[#All],HL$2,0)/HL$1,"")</f>
        <v>3.6620890553474825</v>
      </c>
      <c r="HM5" s="67">
        <f>IFERROR(VLOOKUP($B5,RD[#All],HM$2,0)/HM$1,"")</f>
        <v>3.7169726824899239</v>
      </c>
      <c r="HN5" s="67">
        <f>IFERROR(VLOOKUP($B5,RD[#All],HN$2,0)/HN$1,"")</f>
        <v>3.6677115987460813</v>
      </c>
      <c r="HO5" s="67">
        <f>IFERROR(VLOOKUP($B5,RD[#All],HO$2,0)/HO$1,"")</f>
        <v>3.6468129571577848</v>
      </c>
      <c r="HP5" s="67">
        <f>IFERROR(VLOOKUP($B5,RD[#All],HP$2,0)/HP$1,"")</f>
        <v>3.7053291536050157</v>
      </c>
      <c r="HQ5" s="67">
        <f>IFERROR(VLOOKUP($B5,RD[#All],HQ$2,0)/HQ$1,"")</f>
        <v>3.5642135642135639</v>
      </c>
      <c r="HR5" s="67">
        <f>IFERROR(VLOOKUP($B5,RD[#All],HR$2,0)/HR$1,"")</f>
        <v>3.6163469557964971</v>
      </c>
      <c r="HS5" s="67">
        <f>IFERROR(VLOOKUP($B5,RD[#All],HS$2,0)/HS$1,"")</f>
        <v>3.7123595505617977</v>
      </c>
      <c r="HT5" s="67">
        <f>IFERROR(VLOOKUP($B5,RD[#All],HT$2,0)/HT$1,"")</f>
        <v>3.6657511444028295</v>
      </c>
      <c r="HU5" s="67">
        <f>IFERROR(VLOOKUP($B5,RD[#All],HU$2,0)/HU$1,"")</f>
        <v>3.6352636127917028</v>
      </c>
      <c r="HV5" s="67">
        <f>IFERROR(VLOOKUP($B5,RD[#All],HV$2,0)/HV$1,"")</f>
        <v>3.6812445980985307</v>
      </c>
      <c r="HW5" s="67">
        <f>IFERROR(VLOOKUP($B5,RD[#All],HW$2,0)/HW$1,"")</f>
        <v>3.7130786516853935</v>
      </c>
      <c r="HX5" s="67">
        <f>IFERROR(VLOOKUP($B5,RD[#All],HX$2,0)/HX$1,"")</f>
        <v>3.7082108902333619</v>
      </c>
      <c r="HY5" s="67">
        <f>IFERROR(VLOOKUP($B5,RD[#All],HY$2,0)/HY$1,"")</f>
        <v>3.6977111943404082</v>
      </c>
      <c r="HZ5" s="67">
        <f>IFERROR(VLOOKUP($B5,RD[#All],HZ$2,0)/HZ$1,"")</f>
        <v>3.637453183520599</v>
      </c>
      <c r="IA5" s="67">
        <f>IFERROR(VLOOKUP($B5,RD[#All],IA$2,0)/IA$1,"")</f>
        <v>3.6581196581196584</v>
      </c>
      <c r="IB5" s="67">
        <f>IFERROR(VLOOKUP($B5,RD[#All],IB$2,0)/IB$1,"")</f>
        <v>3.5389610389610393</v>
      </c>
      <c r="IC5" s="67">
        <f>IFERROR(VLOOKUP($B5,RD[#All],IC$2,0)/IC$1,"")</f>
        <v>3.612665112665113</v>
      </c>
      <c r="ID5" s="67">
        <f>IFERROR(VLOOKUP($B5,RD[#All],ID$2,0)/ID$1,"")</f>
        <v>3.522633744855967</v>
      </c>
      <c r="IE5" s="67">
        <f>IFERROR(VLOOKUP($B5,RD[#All],IE$2,0)/IE$1,"")</f>
        <v>3.541818181818182</v>
      </c>
      <c r="IF5" s="67" t="str">
        <f>IFERROR(VLOOKUP($B5,RD[#All],IF$2,0)/IF$1,"")</f>
        <v/>
      </c>
      <c r="IG5" s="67">
        <f>IFERROR(VLOOKUP($B5,RD[#All],IG$2,0)/IG$1,"")</f>
        <v>3.6824228700820831</v>
      </c>
      <c r="IH5" s="67">
        <f>IFERROR(VLOOKUP($B5,RD[#All],IH$2,0)/IH$1,"")</f>
        <v>3.5527690700104491</v>
      </c>
      <c r="II5" s="67">
        <f>IFERROR(VLOOKUP($B5,RD[#All],II$2,0)/II$1,"")</f>
        <v>3.7014925373134329</v>
      </c>
      <c r="IJ5" s="67">
        <f>IFERROR(VLOOKUP($B5,RD[#All],IJ$2,0)/IJ$1,"")</f>
        <v>3.4942012719790494</v>
      </c>
      <c r="IK5" s="67">
        <f>IFERROR(VLOOKUP($B5,RD[#All],IK$2,0)/IK$1,"")</f>
        <v>3.5042735042735047</v>
      </c>
      <c r="IL5" s="67" t="str">
        <f>IFERROR(VLOOKUP($B5,RD[#All],IL$2,0)/IL$1,"")</f>
        <v/>
      </c>
      <c r="IM5" s="67" t="str">
        <f>IFERROR(VLOOKUP($B5,RD[#All],IM$2,0)/IM$1,"")</f>
        <v/>
      </c>
      <c r="IN5" s="67">
        <f>IFERROR(VLOOKUP($B5,RD[#All],IN$2,0)/IN$1,"")</f>
        <v>3.9414838035527691</v>
      </c>
      <c r="IO5" s="67">
        <f>IFERROR(VLOOKUP($B5,RD[#All],IO$2,0)/IO$1,"")</f>
        <v>3.7225705329153609</v>
      </c>
      <c r="IP5" s="67">
        <f>IFERROR(VLOOKUP($B5,RD[#All],IP$2,0)/IP$1,"")</f>
        <v>4.1885726699978276</v>
      </c>
      <c r="IQ5" s="67">
        <f>IFERROR(VLOOKUP($B5,RD[#All],IQ$2,0)/IQ$1,"")</f>
        <v>3.4887334887334891</v>
      </c>
      <c r="IR5" s="67">
        <f>IFERROR(VLOOKUP($B5,RD[#All],IR$2,0)/IR$1,"")</f>
        <v>3.5704809286898844</v>
      </c>
      <c r="IS5" s="86">
        <f>IFERROR(AVERAGEIF(Inv_SY_B[[#This Row],[BLK1_INV1]:[BLK8_INV27]],"&gt;"&amp;0.1,Inv_SY_B[[#This Row],[BLK1_INV1]:[BLK8_INV27]]),"")</f>
        <v>3.5961771151212387</v>
      </c>
    </row>
    <row r="6" spans="2:253" x14ac:dyDescent="0.25">
      <c r="B6" s="85">
        <f t="shared" ref="B6:B34" si="0">B5+1</f>
        <v>45832</v>
      </c>
      <c r="C6" s="67">
        <f>IFERROR(VLOOKUP($B6,RD[#All],C$2,0)/C$1,"")</f>
        <v>4.892653414001729</v>
      </c>
      <c r="D6" s="67">
        <f>IFERROR(VLOOKUP($B6,RD[#All],D$2,0)/D$1,"")</f>
        <v>5.0136560069144345</v>
      </c>
      <c r="E6" s="67">
        <f>IFERROR(VLOOKUP($B6,RD[#All],E$2,0)/E$1,"")</f>
        <v>5.0404494382022467</v>
      </c>
      <c r="F6" s="67">
        <f>IFERROR(VLOOKUP($B6,RD[#All],F$2,0)/F$1,"")</f>
        <v>4.9700374531835205</v>
      </c>
      <c r="G6" s="67">
        <f>IFERROR(VLOOKUP($B6,RD[#All],G$2,0)/G$1,"")</f>
        <v>4.9649092480553154</v>
      </c>
      <c r="H6" s="67">
        <f>IFERROR(VLOOKUP($B6,RD[#All],H$2,0)/H$1,"")</f>
        <v>5.0123595505617979</v>
      </c>
      <c r="I6" s="67">
        <f>IFERROR(VLOOKUP($B6,RD[#All],I$2,0)/I$1,"")</f>
        <v>5.0101123595505621</v>
      </c>
      <c r="J6" s="67">
        <f>IFERROR(VLOOKUP($B6,RD[#All],J$2,0)/J$1,"")</f>
        <v>5.0344569288389511</v>
      </c>
      <c r="K6" s="67">
        <f>IFERROR(VLOOKUP($B6,RD[#All],K$2,0)/K$1,"")</f>
        <v>5.0013483146067417</v>
      </c>
      <c r="L6" s="67">
        <f>IFERROR(VLOOKUP($B6,RD[#All],L$2,0)/L$1,"")</f>
        <v>5.0333483146067417</v>
      </c>
      <c r="M6" s="67">
        <f>IFERROR(VLOOKUP($B6,RD[#All],M$2,0)/M$1,"")</f>
        <v>5.0973782771535578</v>
      </c>
      <c r="N6" s="67">
        <f>IFERROR(VLOOKUP($B6,RD[#All],N$2,0)/N$1,"")</f>
        <v>5.0861423220973787</v>
      </c>
      <c r="O6" s="67">
        <f>IFERROR(VLOOKUP($B6,RD[#All],O$2,0)/O$1,"")</f>
        <v>4.8202247191011232</v>
      </c>
      <c r="P6" s="67">
        <f>IFERROR(VLOOKUP($B6,RD[#All],P$2,0)/P$1,"")</f>
        <v>5.1718079673135851</v>
      </c>
      <c r="Q6" s="67">
        <f>IFERROR(VLOOKUP($B6,RD[#All],Q$2,0)/Q$1,"")</f>
        <v>5.0239700374531839</v>
      </c>
      <c r="R6" s="67">
        <f>IFERROR(VLOOKUP($B6,RD[#All],R$2,0)/R$1,"")</f>
        <v>5.0209737827715353</v>
      </c>
      <c r="S6" s="67">
        <f>IFERROR(VLOOKUP($B6,RD[#All],S$2,0)/S$1,"")</f>
        <v>4.9801498127340826</v>
      </c>
      <c r="T6" s="67">
        <f>IFERROR(VLOOKUP($B6,RD[#All],T$2,0)/T$1,"")</f>
        <v>4.9689138576779026</v>
      </c>
      <c r="U6" s="67">
        <f>IFERROR(VLOOKUP($B6,RD[#All],U$2,0)/U$1,"")</f>
        <v>4.9787381158167676</v>
      </c>
      <c r="V6" s="67">
        <f>IFERROR(VLOOKUP($B6,RD[#All],V$2,0)/V$1,"")</f>
        <v>4.9777009507346586</v>
      </c>
      <c r="W6" s="67">
        <f>IFERROR(VLOOKUP($B6,RD[#All],W$2,0)/W$1,"")</f>
        <v>5.0288389513108616</v>
      </c>
      <c r="X6" s="67">
        <f>IFERROR(VLOOKUP($B6,RD[#All],X$2,0)/X$1,"")</f>
        <v>5.0520599250936336</v>
      </c>
      <c r="Y6" s="67">
        <f>IFERROR(VLOOKUP($B6,RD[#All],Y$2,0)/Y$1,"")</f>
        <v>4.9147796024200519</v>
      </c>
      <c r="Z6" s="67">
        <f>IFERROR(VLOOKUP($B6,RD[#All],Z$2,0)/Z$1,"")</f>
        <v>5.0490220557636283</v>
      </c>
      <c r="AA6" s="67">
        <f>IFERROR(VLOOKUP($B6,RD[#All],AA$2,0)/AA$1,"")</f>
        <v>5.0585998271391528</v>
      </c>
      <c r="AB6" s="67">
        <f>IFERROR(VLOOKUP($B6,RD[#All],AB$2,0)/AB$1,"")</f>
        <v>5.0143474503025072</v>
      </c>
      <c r="AC6" s="67">
        <f>IFERROR(VLOOKUP($B6,RD[#All],AC$2,0)/AC$1,"")</f>
        <v>4.8715643906655144</v>
      </c>
      <c r="AD6" s="67">
        <f>IFERROR(VLOOKUP($B6,RD[#All],AD$2,0)/AD$1,"")</f>
        <v>4.9711194340407827</v>
      </c>
      <c r="AE6" s="67">
        <f>IFERROR(VLOOKUP($B6,RD[#All],AE$2,0)/AE$1,"")</f>
        <v>5.0253849354972955</v>
      </c>
      <c r="AF6" s="67">
        <f>IFERROR(VLOOKUP($B6,RD[#All],AF$2,0)/AF$1,"")</f>
        <v>4.8439450686641701</v>
      </c>
      <c r="AG6" s="67">
        <f>IFERROR(VLOOKUP($B6,RD[#All],AG$2,0)/AG$1,"")</f>
        <v>4.8456096545984186</v>
      </c>
      <c r="AH6" s="67">
        <f>IFERROR(VLOOKUP($B6,RD[#All],AH$2,0)/AH$1,"")</f>
        <v>4.8309612983770283</v>
      </c>
      <c r="AI6" s="67">
        <f>IFERROR(VLOOKUP($B6,RD[#All],AI$2,0)/AI$1,"")</f>
        <v>4.9449685534591197</v>
      </c>
      <c r="AJ6" s="67">
        <f>IFERROR(VLOOKUP($B6,RD[#All],AJ$2,0)/AJ$1,"")</f>
        <v>5.0775668808847705</v>
      </c>
      <c r="AK6" s="67">
        <f>IFERROR(VLOOKUP($B6,RD[#All],AK$2,0)/AK$1,"")</f>
        <v>4.9104868913857675</v>
      </c>
      <c r="AL6" s="67">
        <f>IFERROR(VLOOKUP($B6,RD[#All],AL$2,0)/AL$1,"")</f>
        <v>4.9454667112746744</v>
      </c>
      <c r="AM6" s="67">
        <f>IFERROR(VLOOKUP($B6,RD[#All],AM$2,0)/AM$1,"")</f>
        <v>4.8067415730337082</v>
      </c>
      <c r="AN6" s="67">
        <f>IFERROR(VLOOKUP($B6,RD[#All],AN$2,0)/AN$1,"")</f>
        <v>4.8397003745318354</v>
      </c>
      <c r="AO6" s="67">
        <f>IFERROR(VLOOKUP($B6,RD[#All],AO$2,0)/AO$1,"")</f>
        <v>4.9325842696629216</v>
      </c>
      <c r="AP6" s="67">
        <f>IFERROR(VLOOKUP($B6,RD[#All],AP$2,0)/AP$1,"")</f>
        <v>4.9797752808988758</v>
      </c>
      <c r="AQ6" s="67">
        <f>IFERROR(VLOOKUP($B6,RD[#All],AQ$2,0)/AQ$1,"")</f>
        <v>4.8955056179775278</v>
      </c>
      <c r="AR6" s="67">
        <f>IFERROR(VLOOKUP($B6,RD[#All],AR$2,0)/AR$1,"")</f>
        <v>4.8782771535580522</v>
      </c>
      <c r="AS6" s="67">
        <f>IFERROR(VLOOKUP($B6,RD[#All],AS$2,0)/AS$1,"")</f>
        <v>4.9666666666666659</v>
      </c>
      <c r="AT6" s="67">
        <f>IFERROR(VLOOKUP($B6,RD[#All],AT$2,0)/AT$1,"")</f>
        <v>4.9322097378277157</v>
      </c>
      <c r="AU6" s="67">
        <f>IFERROR(VLOOKUP($B6,RD[#All],AU$2,0)/AU$1,"")</f>
        <v>5.000374531835206</v>
      </c>
      <c r="AV6" s="67">
        <f>IFERROR(VLOOKUP($B6,RD[#All],AV$2,0)/AV$1,"")</f>
        <v>5.0220973782771541</v>
      </c>
      <c r="AW6" s="67">
        <f>IFERROR(VLOOKUP($B6,RD[#All],AW$2,0)/AW$1,"")</f>
        <v>4.8708729472774417</v>
      </c>
      <c r="AX6" s="67">
        <f>IFERROR(VLOOKUP($B6,RD[#All],AX$2,0)/AX$1,"")</f>
        <v>4.9224719101123595</v>
      </c>
      <c r="AY6" s="67">
        <f>IFERROR(VLOOKUP($B6,RD[#All],AY$2,0)/AY$1,"")</f>
        <v>4.9377078651685391</v>
      </c>
      <c r="AZ6" s="67">
        <f>IFERROR(VLOOKUP($B6,RD[#All],AZ$2,0)/AZ$1,"")</f>
        <v>4.8719101123595507</v>
      </c>
      <c r="BA6" s="67">
        <f>IFERROR(VLOOKUP($B6,RD[#All],BA$2,0)/BA$1,"")</f>
        <v>4.9883895131086149</v>
      </c>
      <c r="BB6" s="67">
        <f>IFERROR(VLOOKUP($B6,RD[#All],BB$2,0)/BB$1,"")</f>
        <v>4.9831460674157304</v>
      </c>
      <c r="BC6" s="67">
        <f>IFERROR(VLOOKUP($B6,RD[#All],BC$2,0)/BC$1,"")</f>
        <v>5.0580108198085725</v>
      </c>
      <c r="BD6" s="67">
        <f>IFERROR(VLOOKUP($B6,RD[#All],BD$2,0)/BD$1,"")</f>
        <v>4.991094465251769</v>
      </c>
      <c r="BE6" s="67">
        <f>IFERROR(VLOOKUP($B6,RD[#All],BE$2,0)/BE$1,"")</f>
        <v>4.9140881590319792</v>
      </c>
      <c r="BF6" s="67">
        <f>IFERROR(VLOOKUP($B6,RD[#All],BF$2,0)/BF$1,"")</f>
        <v>5.0070744902205577</v>
      </c>
      <c r="BG6" s="67">
        <f>IFERROR(VLOOKUP($B6,RD[#All],BG$2,0)/BG$1,"")</f>
        <v>4.9994173949230127</v>
      </c>
      <c r="BH6" s="67">
        <f>IFERROR(VLOOKUP($B6,RD[#All],BH$2,0)/BH$1,"")</f>
        <v>5.0082397003745323</v>
      </c>
      <c r="BI6" s="67">
        <f>IFERROR(VLOOKUP($B6,RD[#All],BI$2,0)/BI$1,"")</f>
        <v>4.937494798168955</v>
      </c>
      <c r="BJ6" s="67">
        <f>IFERROR(VLOOKUP($B6,RD[#All],BJ$2,0)/BJ$1,"")</f>
        <v>5.0054099042863092</v>
      </c>
      <c r="BK6" s="67">
        <f>IFERROR(VLOOKUP($B6,RD[#All],BK$2,0)/BK$1,"")</f>
        <v>4.9932584269662925</v>
      </c>
      <c r="BL6" s="67">
        <f>IFERROR(VLOOKUP($B6,RD[#All],BL$2,0)/BL$1,"")</f>
        <v>5.0334560053529609</v>
      </c>
      <c r="BM6" s="67">
        <f>IFERROR(VLOOKUP($B6,RD[#All],BM$2,0)/BM$1,"")</f>
        <v>4.9801498127340826</v>
      </c>
      <c r="BN6" s="67">
        <f>IFERROR(VLOOKUP($B6,RD[#All],BN$2,0)/BN$1,"")</f>
        <v>5.3889237199582025</v>
      </c>
      <c r="BO6" s="67">
        <f>IFERROR(VLOOKUP($B6,RD[#All],BO$2,0)/BO$1,"")</f>
        <v>5.0236819360414859</v>
      </c>
      <c r="BP6" s="67">
        <f>IFERROR(VLOOKUP($B6,RD[#All],BP$2,0)/BP$1,"")</f>
        <v>4.9787381158167676</v>
      </c>
      <c r="BQ6" s="67">
        <f>IFERROR(VLOOKUP($B6,RD[#All],BQ$2,0)/BQ$1,"")</f>
        <v>5.0202247191011233</v>
      </c>
      <c r="BR6" s="67">
        <f>IFERROR(VLOOKUP($B6,RD[#All],BR$2,0)/BR$1,"")</f>
        <v>4.8618841832324975</v>
      </c>
      <c r="BS6" s="67">
        <f>IFERROR(VLOOKUP($B6,RD[#All],BS$2,0)/BS$1,"")</f>
        <v>4.9741573033707862</v>
      </c>
      <c r="BT6" s="67">
        <f>IFERROR(VLOOKUP($B6,RD[#All],BT$2,0)/BT$1,"")</f>
        <v>4.9651685393258429</v>
      </c>
      <c r="BU6" s="67">
        <f>IFERROR(VLOOKUP($B6,RD[#All],BU$2,0)/BU$1,"")</f>
        <v>4.9700374531835205</v>
      </c>
      <c r="BV6" s="67">
        <f>IFERROR(VLOOKUP($B6,RD[#All],BV$2,0)/BV$1,"")</f>
        <v>4.9337078651685395</v>
      </c>
      <c r="BW6" s="67">
        <f>IFERROR(VLOOKUP($B6,RD[#All],BW$2,0)/BW$1,"")</f>
        <v>5.0610486891385769</v>
      </c>
      <c r="BX6" s="67">
        <f>IFERROR(VLOOKUP($B6,RD[#All],BX$2,0)/BX$1,"")</f>
        <v>4.951685393258427</v>
      </c>
      <c r="BY6" s="67">
        <f>IFERROR(VLOOKUP($B6,RD[#All],BY$2,0)/BY$1,"")</f>
        <v>4.9661256762380361</v>
      </c>
      <c r="BZ6" s="67">
        <f>IFERROR(VLOOKUP($B6,RD[#All],BZ$2,0)/BZ$1,"")</f>
        <v>4.861256762380358</v>
      </c>
      <c r="CA6" s="67">
        <f>IFERROR(VLOOKUP($B6,RD[#All],CA$2,0)/CA$1,"")</f>
        <v>4.9934248855597172</v>
      </c>
      <c r="CB6" s="67">
        <f>IFERROR(VLOOKUP($B6,RD[#All],CB$2,0)/CB$1,"")</f>
        <v>4.9775280898876408</v>
      </c>
      <c r="CC6" s="67">
        <f>IFERROR(VLOOKUP($B6,RD[#All],CC$2,0)/CC$1,"")</f>
        <v>4.9382022471910112</v>
      </c>
      <c r="CD6" s="67">
        <f>IFERROR(VLOOKUP($B6,RD[#All],CD$2,0)/CD$1,"")</f>
        <v>5.0008643042350904</v>
      </c>
      <c r="CE6" s="67">
        <f>IFERROR(VLOOKUP($B6,RD[#All],CE$2,0)/CE$1,"")</f>
        <v>5.0280898876404496</v>
      </c>
      <c r="CF6" s="67">
        <f>IFERROR(VLOOKUP($B6,RD[#All],CF$2,0)/CF$1,"")</f>
        <v>5.0438202247191013</v>
      </c>
      <c r="CG6" s="67">
        <f>IFERROR(VLOOKUP($B6,RD[#All],CG$2,0)/CG$1,"")</f>
        <v>4.9726591760299623</v>
      </c>
      <c r="CH6" s="67">
        <f>IFERROR(VLOOKUP($B6,RD[#All],CH$2,0)/CH$1,"")</f>
        <v>5.0213483146067421</v>
      </c>
      <c r="CI6" s="67">
        <f>IFERROR(VLOOKUP($B6,RD[#All],CI$2,0)/CI$1,"")</f>
        <v>4.9797752808988758</v>
      </c>
      <c r="CJ6" s="67">
        <f>IFERROR(VLOOKUP($B6,RD[#All],CJ$2,0)/CJ$1,"")</f>
        <v>4.9992509363295881</v>
      </c>
      <c r="CK6" s="67">
        <f>IFERROR(VLOOKUP($B6,RD[#All],CK$2,0)/CK$1,"")</f>
        <v>4.9876404494382021</v>
      </c>
      <c r="CL6" s="67">
        <f>IFERROR(VLOOKUP($B6,RD[#All],CL$2,0)/CL$1,"")</f>
        <v>4.9808988764044946</v>
      </c>
      <c r="CM6" s="67">
        <f>IFERROR(VLOOKUP($B6,RD[#All],CM$2,0)/CM$1,"")</f>
        <v>4.8756554307116104</v>
      </c>
      <c r="CN6" s="67">
        <f>IFERROR(VLOOKUP($B6,RD[#All],CN$2,0)/CN$1,"")</f>
        <v>4.845692883895131</v>
      </c>
      <c r="CO6" s="67">
        <f>IFERROR(VLOOKUP($B6,RD[#All],CO$2,0)/CO$1,"")</f>
        <v>4.8629213483146065</v>
      </c>
      <c r="CP6" s="67">
        <f>IFERROR(VLOOKUP($B6,RD[#All],CP$2,0)/CP$1,"")</f>
        <v>4.8442523768366463</v>
      </c>
      <c r="CQ6" s="67">
        <f>IFERROR(VLOOKUP($B6,RD[#All],CQ$2,0)/CQ$1,"")</f>
        <v>5.0494382022471909</v>
      </c>
      <c r="CR6" s="67">
        <f>IFERROR(VLOOKUP($B6,RD[#All],CR$2,0)/CR$1,"")</f>
        <v>4.8715355805243448</v>
      </c>
      <c r="CS6" s="67">
        <f>IFERROR(VLOOKUP($B6,RD[#All],CS$2,0)/CS$1,"")</f>
        <v>4.9384935497295048</v>
      </c>
      <c r="CT6" s="67">
        <f>IFERROR(VLOOKUP($B6,RD[#All],CT$2,0)/CT$1,"")</f>
        <v>4.9089887640449437</v>
      </c>
      <c r="CU6" s="67">
        <f>IFERROR(VLOOKUP($B6,RD[#All],CU$2,0)/CU$1,"")</f>
        <v>4.8239700374531838</v>
      </c>
      <c r="CV6" s="67">
        <f>IFERROR(VLOOKUP($B6,RD[#All],CV$2,0)/CV$1,"")</f>
        <v>5.048314606741573</v>
      </c>
      <c r="CW6" s="67">
        <f>IFERROR(VLOOKUP($B6,RD[#All],CW$2,0)/CW$1,"")</f>
        <v>4.9273408239700371</v>
      </c>
      <c r="CX6" s="67">
        <f>IFERROR(VLOOKUP($B6,RD[#All],CX$2,0)/CX$1,"")</f>
        <v>4.999625468164794</v>
      </c>
      <c r="CY6" s="67">
        <f>IFERROR(VLOOKUP($B6,RD[#All],CY$2,0)/CY$1,"")</f>
        <v>5.1026217228464423</v>
      </c>
      <c r="CZ6" s="67">
        <f>IFERROR(VLOOKUP($B6,RD[#All],CZ$2,0)/CZ$1,"")</f>
        <v>4.9573033707865166</v>
      </c>
      <c r="DA6" s="67">
        <f>IFERROR(VLOOKUP($B6,RD[#All],DA$2,0)/DA$1,"")</f>
        <v>4.9913857677902627</v>
      </c>
      <c r="DB6" s="67">
        <f>IFERROR(VLOOKUP($B6,RD[#All],DB$2,0)/DB$1,"")</f>
        <v>4.9067415730337078</v>
      </c>
      <c r="DC6" s="67">
        <f>IFERROR(VLOOKUP($B6,RD[#All],DC$2,0)/DC$1,"")</f>
        <v>4.9987515605493131</v>
      </c>
      <c r="DD6" s="67">
        <f>IFERROR(VLOOKUP($B6,RD[#All],DD$2,0)/DD$1,"")</f>
        <v>4.8595505617977528</v>
      </c>
      <c r="DE6" s="67">
        <f>IFERROR(VLOOKUP($B6,RD[#All],DE$2,0)/DE$1,"")</f>
        <v>5.1156054931335824</v>
      </c>
      <c r="DF6" s="67">
        <f>IFERROR(VLOOKUP($B6,RD[#All],DF$2,0)/DF$1,"")</f>
        <v>2.4974907995985283</v>
      </c>
      <c r="DG6" s="67">
        <f>IFERROR(VLOOKUP($B6,RD[#All],DG$2,0)/DG$1,"")</f>
        <v>5.0382022471910117</v>
      </c>
      <c r="DH6" s="67">
        <f>IFERROR(VLOOKUP($B6,RD[#All],DH$2,0)/DH$1,"")</f>
        <v>4.9774448605909276</v>
      </c>
      <c r="DI6" s="67">
        <f>IFERROR(VLOOKUP($B6,RD[#All],DI$2,0)/DI$1,"")</f>
        <v>5.0030769230769234</v>
      </c>
      <c r="DJ6" s="67">
        <f>IFERROR(VLOOKUP($B6,RD[#All],DJ$2,0)/DJ$1,"")</f>
        <v>4.9614520311149519</v>
      </c>
      <c r="DK6" s="67">
        <f>IFERROR(VLOOKUP($B6,RD[#All],DK$2,0)/DK$1,"")</f>
        <v>4.9607990012484393</v>
      </c>
      <c r="DL6" s="67">
        <f>IFERROR(VLOOKUP($B6,RD[#All],DL$2,0)/DL$1,"")</f>
        <v>4.9970869746150646</v>
      </c>
      <c r="DM6" s="67">
        <f>IFERROR(VLOOKUP($B6,RD[#All],DM$2,0)/DM$1,"")</f>
        <v>5.0490636704119849</v>
      </c>
      <c r="DN6" s="67">
        <f>IFERROR(VLOOKUP($B6,RD[#All],DN$2,0)/DN$1,"")</f>
        <v>5.0314606741573034</v>
      </c>
      <c r="DO6" s="67">
        <f>IFERROR(VLOOKUP($B6,RD[#All],DO$2,0)/DO$1,"")</f>
        <v>4.8394111743057886</v>
      </c>
      <c r="DP6" s="67">
        <f>IFERROR(VLOOKUP($B6,RD[#All],DP$2,0)/DP$1,"")</f>
        <v>4.9478152309612984</v>
      </c>
      <c r="DQ6" s="67">
        <f>IFERROR(VLOOKUP($B6,RD[#All],DQ$2,0)/DQ$1,"")</f>
        <v>4.9538077403245939</v>
      </c>
      <c r="DR6" s="67">
        <f>IFERROR(VLOOKUP($B6,RD[#All],DR$2,0)/DR$1,"")</f>
        <v>4.9981273408239701</v>
      </c>
      <c r="DS6" s="67">
        <f>IFERROR(VLOOKUP($B6,RD[#All],DS$2,0)/DS$1,"")</f>
        <v>5.0662921348314605</v>
      </c>
      <c r="DT6" s="67">
        <f>IFERROR(VLOOKUP($B6,RD[#All],DT$2,0)/DT$1,"")</f>
        <v>4.7527257594673324</v>
      </c>
      <c r="DU6" s="67">
        <f>IFERROR(VLOOKUP($B6,RD[#All],DU$2,0)/DU$1,"")</f>
        <v>4.6463587182688313</v>
      </c>
      <c r="DV6" s="67">
        <f>IFERROR(VLOOKUP($B6,RD[#All],DV$2,0)/DV$1,"")</f>
        <v>5.0108614232209741</v>
      </c>
      <c r="DW6" s="67">
        <f>IFERROR(VLOOKUP($B6,RD[#All],DW$2,0)/DW$1,"")</f>
        <v>4.9033707865168541</v>
      </c>
      <c r="DX6" s="67">
        <f>IFERROR(VLOOKUP($B6,RD[#All],DX$2,0)/DX$1,"")</f>
        <v>4.9235122763212651</v>
      </c>
      <c r="DY6" s="67">
        <f>IFERROR(VLOOKUP($B6,RD[#All],DY$2,0)/DY$1,"")</f>
        <v>4.9116104868913864</v>
      </c>
      <c r="DZ6" s="67">
        <f>IFERROR(VLOOKUP($B6,RD[#All],DZ$2,0)/DZ$1,"")</f>
        <v>4.8404494382022474</v>
      </c>
      <c r="EA6" s="67">
        <f>IFERROR(VLOOKUP($B6,RD[#All],EA$2,0)/EA$1,"")</f>
        <v>4.9454848106533502</v>
      </c>
      <c r="EB6" s="67">
        <f>IFERROR(VLOOKUP($B6,RD[#All],EB$2,0)/EB$1,"")</f>
        <v>4.9012068248023306</v>
      </c>
      <c r="EC6" s="67">
        <f>IFERROR(VLOOKUP($B6,RD[#All],EC$2,0)/EC$1,"")</f>
        <v>4.875021607605877</v>
      </c>
      <c r="ED6" s="67">
        <f>IFERROR(VLOOKUP($B6,RD[#All],ED$2,0)/ED$1,"")</f>
        <v>4.807951598962835</v>
      </c>
      <c r="EE6" s="67">
        <f>IFERROR(VLOOKUP($B6,RD[#All],EE$2,0)/EE$1,"")</f>
        <v>4.8943820224719099</v>
      </c>
      <c r="EF6" s="67">
        <f>IFERROR(VLOOKUP($B6,RD[#All],EF$2,0)/EF$1,"")</f>
        <v>4.9074565883554646</v>
      </c>
      <c r="EG6" s="67">
        <f>IFERROR(VLOOKUP($B6,RD[#All],EG$2,0)/EG$1,"")</f>
        <v>5.0440559440559438</v>
      </c>
      <c r="EH6" s="67">
        <f>IFERROR(VLOOKUP($B6,RD[#All],EH$2,0)/EH$1,"")</f>
        <v>4.813986013986014</v>
      </c>
      <c r="EI6" s="67">
        <f>IFERROR(VLOOKUP($B6,RD[#All],EI$2,0)/EI$1,"")</f>
        <v>4.9755244755244759</v>
      </c>
      <c r="EJ6" s="67">
        <f>IFERROR(VLOOKUP($B6,RD[#All],EJ$2,0)/EJ$1,"")</f>
        <v>5.0195804195804197</v>
      </c>
      <c r="EK6" s="67">
        <f>IFERROR(VLOOKUP($B6,RD[#All],EK$2,0)/EK$1,"")</f>
        <v>4.9715056179775283</v>
      </c>
      <c r="EL6" s="67">
        <f>IFERROR(VLOOKUP($B6,RD[#All],EL$2,0)/EL$1,"")</f>
        <v>4.9400749063670411</v>
      </c>
      <c r="EM6" s="67">
        <f>IFERROR(VLOOKUP($B6,RD[#All],EM$2,0)/EM$1,"")</f>
        <v>4.8753673292999133</v>
      </c>
      <c r="EN6" s="67">
        <f>IFERROR(VLOOKUP($B6,RD[#All],EN$2,0)/EN$1,"")</f>
        <v>4.8477095937770098</v>
      </c>
      <c r="EO6" s="67">
        <f>IFERROR(VLOOKUP($B6,RD[#All],EO$2,0)/EO$1,"")</f>
        <v>4.9258426966292133</v>
      </c>
      <c r="EP6" s="67">
        <f>IFERROR(VLOOKUP($B6,RD[#All],EP$2,0)/EP$1,"")</f>
        <v>4.9825410544511666</v>
      </c>
      <c r="EQ6" s="67">
        <f>IFERROR(VLOOKUP($B6,RD[#All],EQ$2,0)/EQ$1,"")</f>
        <v>4.8071161048689142</v>
      </c>
      <c r="ER6" s="67">
        <f>IFERROR(VLOOKUP($B6,RD[#All],ER$2,0)/ER$1,"")</f>
        <v>4.8971477960242007</v>
      </c>
      <c r="ES6" s="67">
        <f>IFERROR(VLOOKUP($B6,RD[#All],ES$2,0)/ES$1,"")</f>
        <v>4.8385767790262175</v>
      </c>
      <c r="ET6" s="67">
        <f>IFERROR(VLOOKUP($B6,RD[#All],ET$2,0)/ET$1,"")</f>
        <v>4.9397344228804902</v>
      </c>
      <c r="EU6" s="67">
        <f>IFERROR(VLOOKUP($B6,RD[#All],EU$2,0)/EU$1,"")</f>
        <v>4.8885047536732928</v>
      </c>
      <c r="EV6" s="67">
        <f>IFERROR(VLOOKUP($B6,RD[#All],EV$2,0)/EV$1,"")</f>
        <v>4.8739844425237679</v>
      </c>
      <c r="EW6" s="67">
        <f>IFERROR(VLOOKUP($B6,RD[#All],EW$2,0)/EW$1,"")</f>
        <v>4.9804667242869485</v>
      </c>
      <c r="EX6" s="67">
        <f>IFERROR(VLOOKUP($B6,RD[#All],EX$2,0)/EX$1,"")</f>
        <v>4.9194756554307117</v>
      </c>
      <c r="EY6" s="67">
        <f>IFERROR(VLOOKUP($B6,RD[#All],EY$2,0)/EY$1,"")</f>
        <v>4.9238451935081144</v>
      </c>
      <c r="EZ6" s="67">
        <f>IFERROR(VLOOKUP($B6,RD[#All],EZ$2,0)/EZ$1,"")</f>
        <v>4.9153558052434461</v>
      </c>
      <c r="FA6" s="67">
        <f>IFERROR(VLOOKUP($B6,RD[#All],FA$2,0)/FA$1,"")</f>
        <v>4.8277153558052435</v>
      </c>
      <c r="FB6" s="67">
        <f>IFERROR(VLOOKUP($B6,RD[#All],FB$2,0)/FB$1,"")</f>
        <v>4.8355805243445689</v>
      </c>
      <c r="FC6" s="67">
        <f>IFERROR(VLOOKUP($B6,RD[#All],FC$2,0)/FC$1,"")</f>
        <v>4.8037453183520595</v>
      </c>
      <c r="FD6" s="67">
        <f>IFERROR(VLOOKUP($B6,RD[#All],FD$2,0)/FD$1,"")</f>
        <v>4.8816479400749069</v>
      </c>
      <c r="FE6" s="67">
        <f>IFERROR(VLOOKUP($B6,RD[#All],FE$2,0)/FE$1,"")</f>
        <v>5.0268939393939389</v>
      </c>
      <c r="FF6" s="67">
        <f>IFERROR(VLOOKUP($B6,RD[#All],FF$2,0)/FF$1,"")</f>
        <v>4.9359848484848481</v>
      </c>
      <c r="FG6" s="67">
        <f>IFERROR(VLOOKUP($B6,RD[#All],FG$2,0)/FG$1,"")</f>
        <v>4.9794612794612796</v>
      </c>
      <c r="FH6" s="67">
        <f>IFERROR(VLOOKUP($B6,RD[#All],FH$2,0)/FH$1,"")</f>
        <v>4.8564393939393939</v>
      </c>
      <c r="FI6" s="67">
        <f>IFERROR(VLOOKUP($B6,RD[#All],FI$2,0)/FI$1,"")</f>
        <v>4.8686868686868685</v>
      </c>
      <c r="FJ6" s="67">
        <f>IFERROR(VLOOKUP($B6,RD[#All],FJ$2,0)/FJ$1,"")</f>
        <v>4.872727272727273</v>
      </c>
      <c r="FK6" s="67">
        <f>IFERROR(VLOOKUP($B6,RD[#All],FK$2,0)/FK$1,"")</f>
        <v>4.8956228956228953</v>
      </c>
      <c r="FL6" s="67">
        <f>IFERROR(VLOOKUP($B6,RD[#All],FL$2,0)/FL$1,"")</f>
        <v>4.9650909090909092</v>
      </c>
      <c r="FM6" s="67">
        <f>IFERROR(VLOOKUP($B6,RD[#All],FM$2,0)/FM$1,"")</f>
        <v>4.896590909090909</v>
      </c>
      <c r="FN6" s="67">
        <f>IFERROR(VLOOKUP($B6,RD[#All],FN$2,0)/FN$1,"")</f>
        <v>4.9067340067340064</v>
      </c>
      <c r="FO6" s="67">
        <f>IFERROR(VLOOKUP($B6,RD[#All],FO$2,0)/FO$1,"")</f>
        <v>4.8787878787878789</v>
      </c>
      <c r="FP6" s="67">
        <f>IFERROR(VLOOKUP($B6,RD[#All],FP$2,0)/FP$1,"")</f>
        <v>4.8243636363636364</v>
      </c>
      <c r="FQ6" s="67">
        <f>IFERROR(VLOOKUP($B6,RD[#All],FQ$2,0)/FQ$1,"")</f>
        <v>4.9719999999999995</v>
      </c>
      <c r="FR6" s="67">
        <f>IFERROR(VLOOKUP($B6,RD[#All],FR$2,0)/FR$1,"")</f>
        <v>4.8636363636363633</v>
      </c>
      <c r="FS6" s="67">
        <f>IFERROR(VLOOKUP($B6,RD[#All],FS$2,0)/FS$1,"")</f>
        <v>4.8619528619528616</v>
      </c>
      <c r="FT6" s="67">
        <f>IFERROR(VLOOKUP($B6,RD[#All],FT$2,0)/FT$1,"")</f>
        <v>4.9836363636363634</v>
      </c>
      <c r="FU6" s="67">
        <f>IFERROR(VLOOKUP($B6,RD[#All],FU$2,0)/FU$1,"")</f>
        <v>4.9841750841750843</v>
      </c>
      <c r="FV6" s="67">
        <f>IFERROR(VLOOKUP($B6,RD[#All],FV$2,0)/FV$1,"")</f>
        <v>4.958333333333333</v>
      </c>
      <c r="FW6" s="67">
        <f>IFERROR(VLOOKUP($B6,RD[#All],FW$2,0)/FW$1,"")</f>
        <v>4.9681818181818178</v>
      </c>
      <c r="FX6" s="67">
        <f>IFERROR(VLOOKUP($B6,RD[#All],FX$2,0)/FX$1,"")</f>
        <v>4.877272727272727</v>
      </c>
      <c r="FY6" s="67">
        <f>IFERROR(VLOOKUP($B6,RD[#All],FY$2,0)/FY$1,"")</f>
        <v>4.9013468013468016</v>
      </c>
      <c r="FZ6" s="67">
        <f>IFERROR(VLOOKUP($B6,RD[#All],FZ$2,0)/FZ$1,"")</f>
        <v>5.0575757575757576</v>
      </c>
      <c r="GA6" s="67">
        <f>IFERROR(VLOOKUP($B6,RD[#All],GA$2,0)/GA$1,"")</f>
        <v>4.8569930069930063</v>
      </c>
      <c r="GB6" s="67">
        <f>IFERROR(VLOOKUP($B6,RD[#All],GB$2,0)/GB$1,"")</f>
        <v>4.8925925925925924</v>
      </c>
      <c r="GC6" s="67">
        <f>IFERROR(VLOOKUP($B6,RD[#All],GC$2,0)/GC$1,"")</f>
        <v>4.8518518518518521</v>
      </c>
      <c r="GD6" s="67">
        <f>IFERROR(VLOOKUP($B6,RD[#All],GD$2,0)/GD$1,"")</f>
        <v>5.163636363636364</v>
      </c>
      <c r="GE6" s="67">
        <f>IFERROR(VLOOKUP($B6,RD[#All],GE$2,0)/GE$1,"")</f>
        <v>5.0034965034965033</v>
      </c>
      <c r="GF6" s="67">
        <f>IFERROR(VLOOKUP($B6,RD[#All],GF$2,0)/GF$1,"")</f>
        <v>4.9656565656565652</v>
      </c>
      <c r="GG6" s="67">
        <f>IFERROR(VLOOKUP($B6,RD[#All],GG$2,0)/GG$1,"")</f>
        <v>4.9872727272727273</v>
      </c>
      <c r="GH6" s="67">
        <f>IFERROR(VLOOKUP($B6,RD[#All],GH$2,0)/GH$1,"")</f>
        <v>4.9090909090909092</v>
      </c>
      <c r="GI6" s="67">
        <f>IFERROR(VLOOKUP($B6,RD[#All],GI$2,0)/GI$1,"")</f>
        <v>4.8501818181818184</v>
      </c>
      <c r="GJ6" s="67">
        <f>IFERROR(VLOOKUP($B6,RD[#All],GJ$2,0)/GJ$1,"")</f>
        <v>4.93006993006993</v>
      </c>
      <c r="GK6" s="67">
        <f>IFERROR(VLOOKUP($B6,RD[#All],GK$2,0)/GK$1,"")</f>
        <v>4.9935606060606057</v>
      </c>
      <c r="GL6" s="67">
        <f>IFERROR(VLOOKUP($B6,RD[#All],GL$2,0)/GL$1,"")</f>
        <v>4.9587121212121206</v>
      </c>
      <c r="GM6" s="67">
        <f>IFERROR(VLOOKUP($B6,RD[#All],GM$2,0)/GM$1,"")</f>
        <v>4.8409090909090908</v>
      </c>
      <c r="GN6" s="67">
        <f>IFERROR(VLOOKUP($B6,RD[#All],GN$2,0)/GN$1,"")</f>
        <v>4.9321969696969692</v>
      </c>
      <c r="GO6" s="67">
        <f>IFERROR(VLOOKUP($B6,RD[#All],GO$2,0)/GO$1,"")</f>
        <v>4.9693181818181822</v>
      </c>
      <c r="GP6" s="67">
        <f>IFERROR(VLOOKUP($B6,RD[#All],GP$2,0)/GP$1,"")</f>
        <v>4.852651515151515</v>
      </c>
      <c r="GQ6" s="67">
        <f>IFERROR(VLOOKUP($B6,RD[#All],GQ$2,0)/GQ$1,"")</f>
        <v>5.0145454545454546</v>
      </c>
      <c r="GR6" s="67">
        <f>IFERROR(VLOOKUP($B6,RD[#All],GR$2,0)/GR$1,"")</f>
        <v>4.8863636363636367</v>
      </c>
      <c r="GS6" s="67" t="str">
        <f>IFERROR(VLOOKUP($B6,RD[#All],GS$2,0)/GS$1,"")</f>
        <v/>
      </c>
      <c r="GT6" s="67" t="str">
        <f>IFERROR(VLOOKUP($B6,RD[#All],GT$2,0)/GT$1,"")</f>
        <v/>
      </c>
      <c r="GU6" s="67">
        <f>IFERROR(VLOOKUP($B6,RD[#All],GU$2,0)/GU$1,"")</f>
        <v>5.1715039577836412</v>
      </c>
      <c r="GV6" s="67">
        <f>IFERROR(VLOOKUP($B6,RD[#All],GV$2,0)/GV$1,"")</f>
        <v>4.8384554767533494</v>
      </c>
      <c r="GW6" s="67">
        <f>IFERROR(VLOOKUP($B6,RD[#All],GW$2,0)/GW$1,"")</f>
        <v>4.8484848484848477</v>
      </c>
      <c r="GX6" s="67" t="str">
        <f>IFERROR(VLOOKUP($B6,RD[#All],GX$2,0)/GX$1,"")</f>
        <v/>
      </c>
      <c r="GY6" s="67">
        <f>IFERROR(VLOOKUP($B6,RD[#All],GY$2,0)/GY$1,"")</f>
        <v>4.8920027341079972</v>
      </c>
      <c r="GZ6" s="67">
        <f>IFERROR(VLOOKUP($B6,RD[#All],GZ$2,0)/GZ$1,"")</f>
        <v>4.8580524344569289</v>
      </c>
      <c r="HA6" s="67">
        <f>IFERROR(VLOOKUP($B6,RD[#All],HA$2,0)/HA$1,"")</f>
        <v>4.8831460674157299</v>
      </c>
      <c r="HB6" s="67">
        <f>IFERROR(VLOOKUP($B6,RD[#All],HB$2,0)/HB$1,"")</f>
        <v>4.8823970037453179</v>
      </c>
      <c r="HC6" s="67">
        <f>IFERROR(VLOOKUP($B6,RD[#All],HC$2,0)/HC$1,"")</f>
        <v>4.964794007490636</v>
      </c>
      <c r="HD6" s="67">
        <f>IFERROR(VLOOKUP($B6,RD[#All],HD$2,0)/HD$1,"")</f>
        <v>4.9726591760299623</v>
      </c>
      <c r="HE6" s="67">
        <f>IFERROR(VLOOKUP($B6,RD[#All],HE$2,0)/HE$1,"")</f>
        <v>5.0033707865168546</v>
      </c>
      <c r="HF6" s="67">
        <f>IFERROR(VLOOKUP($B6,RD[#All],HF$2,0)/HF$1,"")</f>
        <v>5.0041198501872657</v>
      </c>
      <c r="HG6" s="67">
        <f>IFERROR(VLOOKUP($B6,RD[#All],HG$2,0)/HG$1,"")</f>
        <v>4.9955056179775283</v>
      </c>
      <c r="HH6" s="67">
        <f>IFERROR(VLOOKUP($B6,RD[#All],HH$2,0)/HH$1,"")</f>
        <v>4.8280898876404494</v>
      </c>
      <c r="HI6" s="67">
        <f>IFERROR(VLOOKUP($B6,RD[#All],HI$2,0)/HI$1,"")</f>
        <v>4.963295880149813</v>
      </c>
      <c r="HJ6" s="67">
        <f>IFERROR(VLOOKUP($B6,RD[#All],HJ$2,0)/HJ$1,"")</f>
        <v>5</v>
      </c>
      <c r="HK6" s="67">
        <f>IFERROR(VLOOKUP($B6,RD[#All],HK$2,0)/HK$1,"")</f>
        <v>4.9614648356221389</v>
      </c>
      <c r="HL6" s="67">
        <f>IFERROR(VLOOKUP($B6,RD[#All],HL$2,0)/HL$1,"")</f>
        <v>4.9857677902621722</v>
      </c>
      <c r="HM6" s="67">
        <f>IFERROR(VLOOKUP($B6,RD[#All],HM$2,0)/HM$1,"")</f>
        <v>5.1231527093596059</v>
      </c>
      <c r="HN6" s="67">
        <f>IFERROR(VLOOKUP($B6,RD[#All],HN$2,0)/HN$1,"")</f>
        <v>4.9305866547245856</v>
      </c>
      <c r="HO6" s="67">
        <f>IFERROR(VLOOKUP($B6,RD[#All],HO$2,0)/HO$1,"")</f>
        <v>4.9320794148380358</v>
      </c>
      <c r="HP6" s="67">
        <f>IFERROR(VLOOKUP($B6,RD[#All],HP$2,0)/HP$1,"")</f>
        <v>5.0219435736677118</v>
      </c>
      <c r="HQ6" s="67">
        <f>IFERROR(VLOOKUP($B6,RD[#All],HQ$2,0)/HQ$1,"")</f>
        <v>4.9264069264069263</v>
      </c>
      <c r="HR6" s="67">
        <f>IFERROR(VLOOKUP($B6,RD[#All],HR$2,0)/HR$1,"")</f>
        <v>4.8594662218515428</v>
      </c>
      <c r="HS6" s="67">
        <f>IFERROR(VLOOKUP($B6,RD[#All],HS$2,0)/HS$1,"")</f>
        <v>4.9761797752808992</v>
      </c>
      <c r="HT6" s="67">
        <f>IFERROR(VLOOKUP($B6,RD[#All],HT$2,0)/HT$1,"")</f>
        <v>4.9847690387016232</v>
      </c>
      <c r="HU6" s="67">
        <f>IFERROR(VLOOKUP($B6,RD[#All],HU$2,0)/HU$1,"")</f>
        <v>4.9386343993085564</v>
      </c>
      <c r="HV6" s="67">
        <f>IFERROR(VLOOKUP($B6,RD[#All],HV$2,0)/HV$1,"")</f>
        <v>4.9220397579948143</v>
      </c>
      <c r="HW6" s="67">
        <f>IFERROR(VLOOKUP($B6,RD[#All],HW$2,0)/HW$1,"")</f>
        <v>5.0175280898876409</v>
      </c>
      <c r="HX6" s="67">
        <f>IFERROR(VLOOKUP($B6,RD[#All],HX$2,0)/HX$1,"")</f>
        <v>4.9628349178910973</v>
      </c>
      <c r="HY6" s="67">
        <f>IFERROR(VLOOKUP($B6,RD[#All],HY$2,0)/HY$1,"")</f>
        <v>4.9598002496878904</v>
      </c>
      <c r="HZ6" s="67">
        <f>IFERROR(VLOOKUP($B6,RD[#All],HZ$2,0)/HZ$1,"")</f>
        <v>4.9148564294631711</v>
      </c>
      <c r="IA6" s="67">
        <f>IFERROR(VLOOKUP($B6,RD[#All],IA$2,0)/IA$1,"")</f>
        <v>4.8368298368298372</v>
      </c>
      <c r="IB6" s="67">
        <f>IFERROR(VLOOKUP($B6,RD[#All],IB$2,0)/IB$1,"")</f>
        <v>4.8308080808080804</v>
      </c>
      <c r="IC6" s="67">
        <f>IFERROR(VLOOKUP($B6,RD[#All],IC$2,0)/IC$1,"")</f>
        <v>4.8271173271173273</v>
      </c>
      <c r="ID6" s="67">
        <f>IFERROR(VLOOKUP($B6,RD[#All],ID$2,0)/ID$1,"")</f>
        <v>4.9502431724653944</v>
      </c>
      <c r="IE6" s="67">
        <f>IFERROR(VLOOKUP($B6,RD[#All],IE$2,0)/IE$1,"")</f>
        <v>4.9660606060606058</v>
      </c>
      <c r="IF6" s="67" t="str">
        <f>IFERROR(VLOOKUP($B6,RD[#All],IF$2,0)/IF$1,"")</f>
        <v/>
      </c>
      <c r="IG6" s="67">
        <f>IFERROR(VLOOKUP($B6,RD[#All],IG$2,0)/IG$1,"")</f>
        <v>5.0976507217662039</v>
      </c>
      <c r="IH6" s="67">
        <f>IFERROR(VLOOKUP($B6,RD[#All],IH$2,0)/IH$1,"")</f>
        <v>4.8805294322535699</v>
      </c>
      <c r="II6" s="67">
        <f>IFERROR(VLOOKUP($B6,RD[#All],II$2,0)/II$1,"")</f>
        <v>5.2189054726368163</v>
      </c>
      <c r="IJ6" s="67">
        <f>IFERROR(VLOOKUP($B6,RD[#All],IJ$2,0)/IJ$1,"")</f>
        <v>4.8671904227459777</v>
      </c>
      <c r="IK6" s="67">
        <f>IFERROR(VLOOKUP($B6,RD[#All],IK$2,0)/IK$1,"")</f>
        <v>4.8310023310023311</v>
      </c>
      <c r="IL6" s="67" t="str">
        <f>IFERROR(VLOOKUP($B6,RD[#All],IL$2,0)/IL$1,"")</f>
        <v/>
      </c>
      <c r="IM6" s="67" t="str">
        <f>IFERROR(VLOOKUP($B6,RD[#All],IM$2,0)/IM$1,"")</f>
        <v/>
      </c>
      <c r="IN6" s="67">
        <f>IFERROR(VLOOKUP($B6,RD[#All],IN$2,0)/IN$1,"")</f>
        <v>5.4378265412748172</v>
      </c>
      <c r="IO6" s="67">
        <f>IFERROR(VLOOKUP($B6,RD[#All],IO$2,0)/IO$1,"")</f>
        <v>5.0047021943573675</v>
      </c>
      <c r="IP6" s="67">
        <f>IFERROR(VLOOKUP($B6,RD[#All],IP$2,0)/IP$1,"")</f>
        <v>5.6528351075385617</v>
      </c>
      <c r="IQ6" s="67">
        <f>IFERROR(VLOOKUP($B6,RD[#All],IQ$2,0)/IQ$1,"")</f>
        <v>4.8302253302253302</v>
      </c>
      <c r="IR6" s="67">
        <f>IFERROR(VLOOKUP($B6,RD[#All],IR$2,0)/IR$1,"")</f>
        <v>4.8859867330016584</v>
      </c>
      <c r="IS6" s="86">
        <f>IFERROR(AVERAGEIF(Inv_SY_B[[#This Row],[BLK1_INV1]:[BLK8_INV27]],"&gt;"&amp;0.1,Inv_SY_B[[#This Row],[BLK1_INV1]:[BLK8_INV27]]),"")</f>
        <v>4.9439071091702056</v>
      </c>
    </row>
    <row r="7" spans="2:253" x14ac:dyDescent="0.25">
      <c r="B7" s="85">
        <f t="shared" si="0"/>
        <v>45833</v>
      </c>
      <c r="C7" s="67">
        <f>IFERROR(VLOOKUP($B7,RD[#All],C$2,0)/C$1,"")</f>
        <v>4.8356093344857394</v>
      </c>
      <c r="D7" s="67">
        <f>IFERROR(VLOOKUP($B7,RD[#All],D$2,0)/D$1,"")</f>
        <v>4.8442523768366463</v>
      </c>
      <c r="E7" s="67">
        <f>IFERROR(VLOOKUP($B7,RD[#All],E$2,0)/E$1,"")</f>
        <v>4.9666666666666659</v>
      </c>
      <c r="F7" s="67">
        <f>IFERROR(VLOOKUP($B7,RD[#All],F$2,0)/F$1,"")</f>
        <v>4.9621722846441951</v>
      </c>
      <c r="G7" s="67">
        <f>IFERROR(VLOOKUP($B7,RD[#All],G$2,0)/G$1,"")</f>
        <v>4.9158167675021609</v>
      </c>
      <c r="H7" s="67">
        <f>IFERROR(VLOOKUP($B7,RD[#All],H$2,0)/H$1,"")</f>
        <v>4.9378277153558052</v>
      </c>
      <c r="I7" s="67">
        <f>IFERROR(VLOOKUP($B7,RD[#All],I$2,0)/I$1,"")</f>
        <v>4.9539325842696629</v>
      </c>
      <c r="J7" s="67">
        <f>IFERROR(VLOOKUP($B7,RD[#All],J$2,0)/J$1,"")</f>
        <v>4.8734082397003746</v>
      </c>
      <c r="K7" s="67">
        <f>IFERROR(VLOOKUP($B7,RD[#All],K$2,0)/K$1,"")</f>
        <v>4.9111011235955058</v>
      </c>
      <c r="L7" s="67">
        <f>IFERROR(VLOOKUP($B7,RD[#All],L$2,0)/L$1,"")</f>
        <v>4.9218876404494383</v>
      </c>
      <c r="M7" s="67">
        <f>IFERROR(VLOOKUP($B7,RD[#All],M$2,0)/M$1,"")</f>
        <v>4.9142322097378273</v>
      </c>
      <c r="N7" s="67">
        <f>IFERROR(VLOOKUP($B7,RD[#All],N$2,0)/N$1,"")</f>
        <v>4.904868913857678</v>
      </c>
      <c r="O7" s="67">
        <f>IFERROR(VLOOKUP($B7,RD[#All],O$2,0)/O$1,"")</f>
        <v>4.7344569288389513</v>
      </c>
      <c r="P7" s="67">
        <f>IFERROR(VLOOKUP($B7,RD[#All],P$2,0)/P$1,"")</f>
        <v>4.8629213483146065</v>
      </c>
      <c r="Q7" s="67">
        <f>IFERROR(VLOOKUP($B7,RD[#All],Q$2,0)/Q$1,"")</f>
        <v>4.9322097378277157</v>
      </c>
      <c r="R7" s="67">
        <f>IFERROR(VLOOKUP($B7,RD[#All],R$2,0)/R$1,"")</f>
        <v>4.9269662921348312</v>
      </c>
      <c r="S7" s="67">
        <f>IFERROR(VLOOKUP($B7,RD[#All],S$2,0)/S$1,"")</f>
        <v>4.9063670411985019</v>
      </c>
      <c r="T7" s="67">
        <f>IFERROR(VLOOKUP($B7,RD[#All],T$2,0)/T$1,"")</f>
        <v>4.8846441947565546</v>
      </c>
      <c r="U7" s="67">
        <f>IFERROR(VLOOKUP($B7,RD[#All],U$2,0)/U$1,"")</f>
        <v>4.8739844425237679</v>
      </c>
      <c r="V7" s="67">
        <f>IFERROR(VLOOKUP($B7,RD[#All],V$2,0)/V$1,"")</f>
        <v>4.8961106309420916</v>
      </c>
      <c r="W7" s="67">
        <f>IFERROR(VLOOKUP($B7,RD[#All],W$2,0)/W$1,"")</f>
        <v>4.9483146067415733</v>
      </c>
      <c r="X7" s="67">
        <f>IFERROR(VLOOKUP($B7,RD[#All],X$2,0)/X$1,"")</f>
        <v>4.9501872659176032</v>
      </c>
      <c r="Y7" s="67">
        <f>IFERROR(VLOOKUP($B7,RD[#All],Y$2,0)/Y$1,"")</f>
        <v>4.8352636127917021</v>
      </c>
      <c r="Z7" s="67">
        <f>IFERROR(VLOOKUP($B7,RD[#All],Z$2,0)/Z$1,"")</f>
        <v>4.9548064918851438</v>
      </c>
      <c r="AA7" s="67">
        <f>IFERROR(VLOOKUP($B7,RD[#All],AA$2,0)/AA$1,"")</f>
        <v>4.9649092480553154</v>
      </c>
      <c r="AB7" s="67">
        <f>IFERROR(VLOOKUP($B7,RD[#All],AB$2,0)/AB$1,"")</f>
        <v>4.9044079515989623</v>
      </c>
      <c r="AC7" s="67">
        <f>IFERROR(VLOOKUP($B7,RD[#All],AC$2,0)/AC$1,"")</f>
        <v>4.7401901469317194</v>
      </c>
      <c r="AD7" s="67">
        <f>IFERROR(VLOOKUP($B7,RD[#All],AD$2,0)/AD$1,"")</f>
        <v>4.8769038701622973</v>
      </c>
      <c r="AE7" s="67">
        <f>IFERROR(VLOOKUP($B7,RD[#All],AE$2,0)/AE$1,"")</f>
        <v>4.900540990428631</v>
      </c>
      <c r="AF7" s="67">
        <f>IFERROR(VLOOKUP($B7,RD[#All],AF$2,0)/AF$1,"")</f>
        <v>4.7314190595089469</v>
      </c>
      <c r="AG7" s="67">
        <f>IFERROR(VLOOKUP($B7,RD[#All],AG$2,0)/AG$1,"")</f>
        <v>4.7457344985434871</v>
      </c>
      <c r="AH7" s="67">
        <f>IFERROR(VLOOKUP($B7,RD[#All],AH$2,0)/AH$1,"")</f>
        <v>4.7191011235955056</v>
      </c>
      <c r="AI7" s="67">
        <f>IFERROR(VLOOKUP($B7,RD[#All],AI$2,0)/AI$1,"")</f>
        <v>4.9339622641509431</v>
      </c>
      <c r="AJ7" s="67">
        <f>IFERROR(VLOOKUP($B7,RD[#All],AJ$2,0)/AJ$1,"")</f>
        <v>4.8515916903302942</v>
      </c>
      <c r="AK7" s="67">
        <f>IFERROR(VLOOKUP($B7,RD[#All],AK$2,0)/AK$1,"")</f>
        <v>4.8602996254681647</v>
      </c>
      <c r="AL7" s="67">
        <f>IFERROR(VLOOKUP($B7,RD[#All],AL$2,0)/AL$1,"")</f>
        <v>4.8952827032452326</v>
      </c>
      <c r="AM7" s="67">
        <f>IFERROR(VLOOKUP($B7,RD[#All],AM$2,0)/AM$1,"")</f>
        <v>4.904494382022472</v>
      </c>
      <c r="AN7" s="67">
        <f>IFERROR(VLOOKUP($B7,RD[#All],AN$2,0)/AN$1,"")</f>
        <v>4.7992509363295888</v>
      </c>
      <c r="AO7" s="67">
        <f>IFERROR(VLOOKUP($B7,RD[#All],AO$2,0)/AO$1,"")</f>
        <v>4.8801498127340821</v>
      </c>
      <c r="AP7" s="67">
        <f>IFERROR(VLOOKUP($B7,RD[#All],AP$2,0)/AP$1,"")</f>
        <v>4.9614232209737832</v>
      </c>
      <c r="AQ7" s="67">
        <f>IFERROR(VLOOKUP($B7,RD[#All],AQ$2,0)/AQ$1,"")</f>
        <v>4.845318352059925</v>
      </c>
      <c r="AR7" s="67">
        <f>IFERROR(VLOOKUP($B7,RD[#All],AR$2,0)/AR$1,"")</f>
        <v>4.8014981273408237</v>
      </c>
      <c r="AS7" s="67">
        <f>IFERROR(VLOOKUP($B7,RD[#All],AS$2,0)/AS$1,"")</f>
        <v>4.893258426966292</v>
      </c>
      <c r="AT7" s="67">
        <f>IFERROR(VLOOKUP($B7,RD[#All],AT$2,0)/AT$1,"")</f>
        <v>4.8528089887640453</v>
      </c>
      <c r="AU7" s="67">
        <f>IFERROR(VLOOKUP($B7,RD[#All],AU$2,0)/AU$1,"")</f>
        <v>4.9310861423220969</v>
      </c>
      <c r="AV7" s="67">
        <f>IFERROR(VLOOKUP($B7,RD[#All],AV$2,0)/AV$1,"")</f>
        <v>4.9363295880149813</v>
      </c>
      <c r="AW7" s="67">
        <f>IFERROR(VLOOKUP($B7,RD[#All],AW$2,0)/AW$1,"")</f>
        <v>4.8798617113223859</v>
      </c>
      <c r="AX7" s="67">
        <f>IFERROR(VLOOKUP($B7,RD[#All],AX$2,0)/AX$1,"")</f>
        <v>4.8707865168539328</v>
      </c>
      <c r="AY7" s="67">
        <f>IFERROR(VLOOKUP($B7,RD[#All],AY$2,0)/AY$1,"")</f>
        <v>4.8762247191011241</v>
      </c>
      <c r="AZ7" s="67">
        <f>IFERROR(VLOOKUP($B7,RD[#All],AZ$2,0)/AZ$1,"")</f>
        <v>4.7226966292134831</v>
      </c>
      <c r="BA7" s="67">
        <f>IFERROR(VLOOKUP($B7,RD[#All],BA$2,0)/BA$1,"")</f>
        <v>4.9183520599250938</v>
      </c>
      <c r="BB7" s="67">
        <f>IFERROR(VLOOKUP($B7,RD[#All],BB$2,0)/BB$1,"")</f>
        <v>4.9101123595505616</v>
      </c>
      <c r="BC7" s="67">
        <f>IFERROR(VLOOKUP($B7,RD[#All],BC$2,0)/BC$1,"")</f>
        <v>4.892883895131086</v>
      </c>
      <c r="BD7" s="67">
        <f>IFERROR(VLOOKUP($B7,RD[#All],BD$2,0)/BD$1,"")</f>
        <v>4.920183104452768</v>
      </c>
      <c r="BE7" s="67">
        <f>IFERROR(VLOOKUP($B7,RD[#All],BE$2,0)/BE$1,"")</f>
        <v>4.7975799481417463</v>
      </c>
      <c r="BF7" s="67">
        <f>IFERROR(VLOOKUP($B7,RD[#All],BF$2,0)/BF$1,"")</f>
        <v>4.8845609654598423</v>
      </c>
      <c r="BG7" s="67">
        <f>IFERROR(VLOOKUP($B7,RD[#All],BG$2,0)/BG$1,"")</f>
        <v>4.8742405326674989</v>
      </c>
      <c r="BH7" s="67">
        <f>IFERROR(VLOOKUP($B7,RD[#All],BH$2,0)/BH$1,"")</f>
        <v>4.8677902621722851</v>
      </c>
      <c r="BI7" s="67">
        <f>IFERROR(VLOOKUP($B7,RD[#All],BI$2,0)/BI$1,"")</f>
        <v>4.8922180607573864</v>
      </c>
      <c r="BJ7" s="67">
        <f>IFERROR(VLOOKUP($B7,RD[#All],BJ$2,0)/BJ$1,"")</f>
        <v>4.8759051186017475</v>
      </c>
      <c r="BK7" s="67">
        <f>IFERROR(VLOOKUP($B7,RD[#All],BK$2,0)/BK$1,"")</f>
        <v>4.9449438202247187</v>
      </c>
      <c r="BL7" s="67">
        <f>IFERROR(VLOOKUP($B7,RD[#All],BL$2,0)/BL$1,"")</f>
        <v>4.8905988624958185</v>
      </c>
      <c r="BM7" s="67">
        <f>IFERROR(VLOOKUP($B7,RD[#All],BM$2,0)/BM$1,"")</f>
        <v>4.9202247191011237</v>
      </c>
      <c r="BN7" s="67">
        <f>IFERROR(VLOOKUP($B7,RD[#All],BN$2,0)/BN$1,"")</f>
        <v>5.2610240334378267</v>
      </c>
      <c r="BO7" s="67">
        <f>IFERROR(VLOOKUP($B7,RD[#All],BO$2,0)/BO$1,"")</f>
        <v>4.9414001728608472</v>
      </c>
      <c r="BP7" s="67">
        <f>IFERROR(VLOOKUP($B7,RD[#All],BP$2,0)/BP$1,"")</f>
        <v>4.8992221261884179</v>
      </c>
      <c r="BQ7" s="67">
        <f>IFERROR(VLOOKUP($B7,RD[#All],BQ$2,0)/BQ$1,"")</f>
        <v>4.958686257562662</v>
      </c>
      <c r="BR7" s="67">
        <f>IFERROR(VLOOKUP($B7,RD[#All],BR$2,0)/BR$1,"")</f>
        <v>4.8121002592912712</v>
      </c>
      <c r="BS7" s="67">
        <f>IFERROR(VLOOKUP($B7,RD[#All],BS$2,0)/BS$1,"")</f>
        <v>4.915730337078652</v>
      </c>
      <c r="BT7" s="67">
        <f>IFERROR(VLOOKUP($B7,RD[#All],BT$2,0)/BT$1,"")</f>
        <v>4.8962546816479398</v>
      </c>
      <c r="BU7" s="67">
        <f>IFERROR(VLOOKUP($B7,RD[#All],BU$2,0)/BU$1,"")</f>
        <v>4.915730337078652</v>
      </c>
      <c r="BV7" s="67">
        <f>IFERROR(VLOOKUP($B7,RD[#All],BV$2,0)/BV$1,"")</f>
        <v>4.8677902621722851</v>
      </c>
      <c r="BW7" s="67">
        <f>IFERROR(VLOOKUP($B7,RD[#All],BW$2,0)/BW$1,"")</f>
        <v>4.940449438202247</v>
      </c>
      <c r="BX7" s="67">
        <f>IFERROR(VLOOKUP($B7,RD[#All],BX$2,0)/BX$1,"")</f>
        <v>4.916479400749064</v>
      </c>
      <c r="BY7" s="67">
        <f>IFERROR(VLOOKUP($B7,RD[#All],BY$2,0)/BY$1,"")</f>
        <v>4.9538077403245939</v>
      </c>
      <c r="BZ7" s="67">
        <f>IFERROR(VLOOKUP($B7,RD[#All],BZ$2,0)/BZ$1,"")</f>
        <v>4.8516021639617142</v>
      </c>
      <c r="CA7" s="67">
        <f>IFERROR(VLOOKUP($B7,RD[#All],CA$2,0)/CA$1,"")</f>
        <v>4.96046608406159</v>
      </c>
      <c r="CB7" s="67">
        <f>IFERROR(VLOOKUP($B7,RD[#All],CB$2,0)/CB$1,"")</f>
        <v>4.9232209737827715</v>
      </c>
      <c r="CC7" s="67">
        <f>IFERROR(VLOOKUP($B7,RD[#All],CC$2,0)/CC$1,"")</f>
        <v>4.8715355805243448</v>
      </c>
      <c r="CD7" s="67">
        <f>IFERROR(VLOOKUP($B7,RD[#All],CD$2,0)/CD$1,"")</f>
        <v>4.9611063094209165</v>
      </c>
      <c r="CE7" s="67">
        <f>IFERROR(VLOOKUP($B7,RD[#All],CE$2,0)/CE$1,"")</f>
        <v>4.9475655430711614</v>
      </c>
      <c r="CF7" s="67">
        <f>IFERROR(VLOOKUP($B7,RD[#All],CF$2,0)/CF$1,"")</f>
        <v>4.8726591760299627</v>
      </c>
      <c r="CG7" s="67">
        <f>IFERROR(VLOOKUP($B7,RD[#All],CG$2,0)/CG$1,"")</f>
        <v>4.8906367041198502</v>
      </c>
      <c r="CH7" s="67">
        <f>IFERROR(VLOOKUP($B7,RD[#All],CH$2,0)/CH$1,"")</f>
        <v>4.951685393258427</v>
      </c>
      <c r="CI7" s="67">
        <f>IFERROR(VLOOKUP($B7,RD[#All],CI$2,0)/CI$1,"")</f>
        <v>4.8823970037453179</v>
      </c>
      <c r="CJ7" s="67">
        <f>IFERROR(VLOOKUP($B7,RD[#All],CJ$2,0)/CJ$1,"")</f>
        <v>4.9063670411985019</v>
      </c>
      <c r="CK7" s="67">
        <f>IFERROR(VLOOKUP($B7,RD[#All],CK$2,0)/CK$1,"")</f>
        <v>4.8996254681647944</v>
      </c>
      <c r="CL7" s="67">
        <f>IFERROR(VLOOKUP($B7,RD[#All],CL$2,0)/CL$1,"")</f>
        <v>4.8895131086142323</v>
      </c>
      <c r="CM7" s="67">
        <f>IFERROR(VLOOKUP($B7,RD[#All],CM$2,0)/CM$1,"")</f>
        <v>4.785767790262172</v>
      </c>
      <c r="CN7" s="67">
        <f>IFERROR(VLOOKUP($B7,RD[#All],CN$2,0)/CN$1,"")</f>
        <v>4.7468164794007492</v>
      </c>
      <c r="CO7" s="67">
        <f>IFERROR(VLOOKUP($B7,RD[#All],CO$2,0)/CO$1,"")</f>
        <v>4.8068314606741573</v>
      </c>
      <c r="CP7" s="67">
        <f>IFERROR(VLOOKUP($B7,RD[#All],CP$2,0)/CP$1,"")</f>
        <v>4.7588591184096805</v>
      </c>
      <c r="CQ7" s="67">
        <f>IFERROR(VLOOKUP($B7,RD[#All],CQ$2,0)/CQ$1,"")</f>
        <v>4.9816479400749056</v>
      </c>
      <c r="CR7" s="67">
        <f>IFERROR(VLOOKUP($B7,RD[#All],CR$2,0)/CR$1,"")</f>
        <v>4.8355805243445689</v>
      </c>
      <c r="CS7" s="67">
        <f>IFERROR(VLOOKUP($B7,RD[#All],CS$2,0)/CS$1,"")</f>
        <v>4.8848938826466917</v>
      </c>
      <c r="CT7" s="67">
        <f>IFERROR(VLOOKUP($B7,RD[#All],CT$2,0)/CT$1,"")</f>
        <v>4.8666666666666671</v>
      </c>
      <c r="CU7" s="67">
        <f>IFERROR(VLOOKUP($B7,RD[#All],CU$2,0)/CU$1,"")</f>
        <v>4.8812734082397</v>
      </c>
      <c r="CV7" s="67">
        <f>IFERROR(VLOOKUP($B7,RD[#All],CV$2,0)/CV$1,"")</f>
        <v>4.9685393258426966</v>
      </c>
      <c r="CW7" s="67">
        <f>IFERROR(VLOOKUP($B7,RD[#All],CW$2,0)/CW$1,"")</f>
        <v>4.9078651685393258</v>
      </c>
      <c r="CX7" s="67">
        <f>IFERROR(VLOOKUP($B7,RD[#All],CX$2,0)/CX$1,"")</f>
        <v>4.9355805243445694</v>
      </c>
      <c r="CY7" s="67">
        <f>IFERROR(VLOOKUP($B7,RD[#All],CY$2,0)/CY$1,"")</f>
        <v>4.9479400749063664</v>
      </c>
      <c r="CZ7" s="67">
        <f>IFERROR(VLOOKUP($B7,RD[#All],CZ$2,0)/CZ$1,"")</f>
        <v>4.879775280898877</v>
      </c>
      <c r="DA7" s="67">
        <f>IFERROR(VLOOKUP($B7,RD[#All],DA$2,0)/DA$1,"")</f>
        <v>4.9254681647940073</v>
      </c>
      <c r="DB7" s="67">
        <f>IFERROR(VLOOKUP($B7,RD[#All],DB$2,0)/DB$1,"")</f>
        <v>4.8734082397003746</v>
      </c>
      <c r="DC7" s="67">
        <f>IFERROR(VLOOKUP($B7,RD[#All],DC$2,0)/DC$1,"")</f>
        <v>4.9444860590928013</v>
      </c>
      <c r="DD7" s="67">
        <f>IFERROR(VLOOKUP($B7,RD[#All],DD$2,0)/DD$1,"")</f>
        <v>4.8318352059925092</v>
      </c>
      <c r="DE7" s="67">
        <f>IFERROR(VLOOKUP($B7,RD[#All],DE$2,0)/DE$1,"")</f>
        <v>4.9614648356221389</v>
      </c>
      <c r="DF7" s="67">
        <f>IFERROR(VLOOKUP($B7,RD[#All],DF$2,0)/DF$1,"")</f>
        <v>4.7313482770157247</v>
      </c>
      <c r="DG7" s="67">
        <f>IFERROR(VLOOKUP($B7,RD[#All],DG$2,0)/DG$1,"")</f>
        <v>4.9029962546816472</v>
      </c>
      <c r="DH7" s="67">
        <f>IFERROR(VLOOKUP($B7,RD[#All],DH$2,0)/DH$1,"")</f>
        <v>4.8878901373283394</v>
      </c>
      <c r="DI7" s="67">
        <f>IFERROR(VLOOKUP($B7,RD[#All],DI$2,0)/DI$1,"")</f>
        <v>4.9140881590319792</v>
      </c>
      <c r="DJ7" s="67">
        <f>IFERROR(VLOOKUP($B7,RD[#All],DJ$2,0)/DJ$1,"")</f>
        <v>4.9109766637856529</v>
      </c>
      <c r="DK7" s="67">
        <f>IFERROR(VLOOKUP($B7,RD[#All],DK$2,0)/DK$1,"")</f>
        <v>4.8476071577195166</v>
      </c>
      <c r="DL7" s="67">
        <f>IFERROR(VLOOKUP($B7,RD[#All],DL$2,0)/DL$1,"")</f>
        <v>4.8812317935913443</v>
      </c>
      <c r="DM7" s="67">
        <f>IFERROR(VLOOKUP($B7,RD[#All],DM$2,0)/DM$1,"")</f>
        <v>4.9595505617977533</v>
      </c>
      <c r="DN7" s="67">
        <f>IFERROR(VLOOKUP($B7,RD[#All],DN$2,0)/DN$1,"")</f>
        <v>4.7460674157303373</v>
      </c>
      <c r="DO7" s="67">
        <f>IFERROR(VLOOKUP($B7,RD[#All],DO$2,0)/DO$1,"")</f>
        <v>4.7460689193710275</v>
      </c>
      <c r="DP7" s="67">
        <f>IFERROR(VLOOKUP($B7,RD[#All],DP$2,0)/DP$1,"")</f>
        <v>4.8532667498959636</v>
      </c>
      <c r="DQ7" s="67">
        <f>IFERROR(VLOOKUP($B7,RD[#All],DQ$2,0)/DQ$1,"")</f>
        <v>4.8832292967124422</v>
      </c>
      <c r="DR7" s="67">
        <f>IFERROR(VLOOKUP($B7,RD[#All],DR$2,0)/DR$1,"")</f>
        <v>4.9310861423220969</v>
      </c>
      <c r="DS7" s="67">
        <f>IFERROR(VLOOKUP($B7,RD[#All],DS$2,0)/DS$1,"")</f>
        <v>4.940449438202247</v>
      </c>
      <c r="DT7" s="67">
        <f>IFERROR(VLOOKUP($B7,RD[#All],DT$2,0)/DT$1,"")</f>
        <v>4.6794839783603823</v>
      </c>
      <c r="DU7" s="67">
        <f>IFERROR(VLOOKUP($B7,RD[#All],DU$2,0)/DU$1,"")</f>
        <v>4.5546400332917187</v>
      </c>
      <c r="DV7" s="67">
        <f>IFERROR(VLOOKUP($B7,RD[#All],DV$2,0)/DV$1,"")</f>
        <v>4.9310861423220969</v>
      </c>
      <c r="DW7" s="67">
        <f>IFERROR(VLOOKUP($B7,RD[#All],DW$2,0)/DW$1,"")</f>
        <v>4.8322097378277151</v>
      </c>
      <c r="DX7" s="67">
        <f>IFERROR(VLOOKUP($B7,RD[#All],DX$2,0)/DX$1,"")</f>
        <v>4.8842280482729921</v>
      </c>
      <c r="DY7" s="67">
        <f>IFERROR(VLOOKUP($B7,RD[#All],DY$2,0)/DY$1,"")</f>
        <v>4.8322097378277151</v>
      </c>
      <c r="DZ7" s="67">
        <f>IFERROR(VLOOKUP($B7,RD[#All],DZ$2,0)/DZ$1,"")</f>
        <v>4.8438202247191011</v>
      </c>
      <c r="EA7" s="67">
        <f>IFERROR(VLOOKUP($B7,RD[#All],EA$2,0)/EA$1,"")</f>
        <v>4.7067831876820643</v>
      </c>
      <c r="EB7" s="67">
        <f>IFERROR(VLOOKUP($B7,RD[#All],EB$2,0)/EB$1,"")</f>
        <v>4.8209737827715351</v>
      </c>
      <c r="EC7" s="67">
        <f>IFERROR(VLOOKUP($B7,RD[#All],EC$2,0)/EC$1,"")</f>
        <v>4.8473638720829726</v>
      </c>
      <c r="ED7" s="67">
        <f>IFERROR(VLOOKUP($B7,RD[#All],ED$2,0)/ED$1,"")</f>
        <v>4.8034572169403633</v>
      </c>
      <c r="EE7" s="67">
        <f>IFERROR(VLOOKUP($B7,RD[#All],EE$2,0)/EE$1,"")</f>
        <v>4.8231633535004317</v>
      </c>
      <c r="EF7" s="67">
        <f>IFERROR(VLOOKUP($B7,RD[#All],EF$2,0)/EF$1,"")</f>
        <v>4.9164453524004088</v>
      </c>
      <c r="EG7" s="67">
        <f>IFERROR(VLOOKUP($B7,RD[#All],EG$2,0)/EG$1,"")</f>
        <v>4.8989510489510488</v>
      </c>
      <c r="EH7" s="67">
        <f>IFERROR(VLOOKUP($B7,RD[#All],EH$2,0)/EH$1,"")</f>
        <v>4.8048951048951052</v>
      </c>
      <c r="EI7" s="67">
        <f>IFERROR(VLOOKUP($B7,RD[#All],EI$2,0)/EI$1,"")</f>
        <v>4.8604895104895105</v>
      </c>
      <c r="EJ7" s="67">
        <f>IFERROR(VLOOKUP($B7,RD[#All],EJ$2,0)/EJ$1,"")</f>
        <v>4.941258741258741</v>
      </c>
      <c r="EK7" s="67">
        <f>IFERROR(VLOOKUP($B7,RD[#All],EK$2,0)/EK$1,"")</f>
        <v>4.8693932584269657</v>
      </c>
      <c r="EL7" s="67">
        <f>IFERROR(VLOOKUP($B7,RD[#All],EL$2,0)/EL$1,"")</f>
        <v>4.7647940074906368</v>
      </c>
      <c r="EM7" s="67">
        <f>IFERROR(VLOOKUP($B7,RD[#All],EM$2,0)/EM$1,"")</f>
        <v>4.7771823681936043</v>
      </c>
      <c r="EN7" s="67">
        <f>IFERROR(VLOOKUP($B7,RD[#All],EN$2,0)/EN$1,"")</f>
        <v>4.7426101987899738</v>
      </c>
      <c r="EO7" s="67">
        <f>IFERROR(VLOOKUP($B7,RD[#All],EO$2,0)/EO$1,"")</f>
        <v>4.8812734082397</v>
      </c>
      <c r="EP7" s="67">
        <f>IFERROR(VLOOKUP($B7,RD[#All],EP$2,0)/EP$1,"")</f>
        <v>4.84390665514261</v>
      </c>
      <c r="EQ7" s="67">
        <f>IFERROR(VLOOKUP($B7,RD[#All],EQ$2,0)/EQ$1,"")</f>
        <v>4.7359550561797752</v>
      </c>
      <c r="ER7" s="67">
        <f>IFERROR(VLOOKUP($B7,RD[#All],ER$2,0)/ER$1,"")</f>
        <v>4.8152117545375974</v>
      </c>
      <c r="ES7" s="67">
        <f>IFERROR(VLOOKUP($B7,RD[#All],ES$2,0)/ES$1,"")</f>
        <v>4.7970037453183521</v>
      </c>
      <c r="ET7" s="67">
        <f>IFERROR(VLOOKUP($B7,RD[#All],ET$2,0)/ET$1,"")</f>
        <v>4.8935648621041885</v>
      </c>
      <c r="EU7" s="67">
        <f>IFERROR(VLOOKUP($B7,RD[#All],EU$2,0)/EU$1,"")</f>
        <v>4.849783923941227</v>
      </c>
      <c r="EV7" s="67">
        <f>IFERROR(VLOOKUP($B7,RD[#All],EV$2,0)/EV$1,"")</f>
        <v>4.8912705272255836</v>
      </c>
      <c r="EW7" s="67">
        <f>IFERROR(VLOOKUP($B7,RD[#All],EW$2,0)/EW$1,"")</f>
        <v>4.84390665514261</v>
      </c>
      <c r="EX7" s="67">
        <f>IFERROR(VLOOKUP($B7,RD[#All],EX$2,0)/EX$1,"")</f>
        <v>4.8621722846441946</v>
      </c>
      <c r="EY7" s="67">
        <f>IFERROR(VLOOKUP($B7,RD[#All],EY$2,0)/EY$1,"")</f>
        <v>4.9488139825218473</v>
      </c>
      <c r="EZ7" s="67">
        <f>IFERROR(VLOOKUP($B7,RD[#All],EZ$2,0)/EZ$1,"")</f>
        <v>4.8655430711610483</v>
      </c>
      <c r="FA7" s="67">
        <f>IFERROR(VLOOKUP($B7,RD[#All],FA$2,0)/FA$1,"")</f>
        <v>4.7760299625468168</v>
      </c>
      <c r="FB7" s="67">
        <f>IFERROR(VLOOKUP($B7,RD[#All],FB$2,0)/FB$1,"")</f>
        <v>4.7670411985018726</v>
      </c>
      <c r="FC7" s="67">
        <f>IFERROR(VLOOKUP($B7,RD[#All],FC$2,0)/FC$1,"")</f>
        <v>4.7670411985018726</v>
      </c>
      <c r="FD7" s="67">
        <f>IFERROR(VLOOKUP($B7,RD[#All],FD$2,0)/FD$1,"")</f>
        <v>4.8647940074906373</v>
      </c>
      <c r="FE7" s="67">
        <f>IFERROR(VLOOKUP($B7,RD[#All],FE$2,0)/FE$1,"")</f>
        <v>4.8321969696969695</v>
      </c>
      <c r="FF7" s="67">
        <f>IFERROR(VLOOKUP($B7,RD[#All],FF$2,0)/FF$1,"")</f>
        <v>4.7409090909090903</v>
      </c>
      <c r="FG7" s="67">
        <f>IFERROR(VLOOKUP($B7,RD[#All],FG$2,0)/FG$1,"")</f>
        <v>4.7639730639730642</v>
      </c>
      <c r="FH7" s="67">
        <f>IFERROR(VLOOKUP($B7,RD[#All],FH$2,0)/FH$1,"")</f>
        <v>4.752272727272727</v>
      </c>
      <c r="FI7" s="67">
        <f>IFERROR(VLOOKUP($B7,RD[#All],FI$2,0)/FI$1,"")</f>
        <v>4.7407407407407405</v>
      </c>
      <c r="FJ7" s="67">
        <f>IFERROR(VLOOKUP($B7,RD[#All],FJ$2,0)/FJ$1,"")</f>
        <v>4.7104377104377102</v>
      </c>
      <c r="FK7" s="67">
        <f>IFERROR(VLOOKUP($B7,RD[#All],FK$2,0)/FK$1,"")</f>
        <v>4.8558922558922557</v>
      </c>
      <c r="FL7" s="67">
        <f>IFERROR(VLOOKUP($B7,RD[#All],FL$2,0)/FL$1,"")</f>
        <v>4.7901818181818179</v>
      </c>
      <c r="FM7" s="67">
        <f>IFERROR(VLOOKUP($B7,RD[#All],FM$2,0)/FM$1,"")</f>
        <v>4.7393939393939393</v>
      </c>
      <c r="FN7" s="67">
        <f>IFERROR(VLOOKUP($B7,RD[#All],FN$2,0)/FN$1,"")</f>
        <v>4.8198653198653201</v>
      </c>
      <c r="FO7" s="67">
        <f>IFERROR(VLOOKUP($B7,RD[#All],FO$2,0)/FO$1,"")</f>
        <v>4.7897727272727275</v>
      </c>
      <c r="FP7" s="67">
        <f>IFERROR(VLOOKUP($B7,RD[#All],FP$2,0)/FP$1,"")</f>
        <v>4.7763636363636364</v>
      </c>
      <c r="FQ7" s="67">
        <f>IFERROR(VLOOKUP($B7,RD[#All],FQ$2,0)/FQ$1,"")</f>
        <v>4.7912727272727267</v>
      </c>
      <c r="FR7" s="67">
        <f>IFERROR(VLOOKUP($B7,RD[#All],FR$2,0)/FR$1,"")</f>
        <v>4.7745818181818178</v>
      </c>
      <c r="FS7" s="67">
        <f>IFERROR(VLOOKUP($B7,RD[#All],FS$2,0)/FS$1,"")</f>
        <v>4.7622895622895625</v>
      </c>
      <c r="FT7" s="67">
        <f>IFERROR(VLOOKUP($B7,RD[#All],FT$2,0)/FT$1,"")</f>
        <v>4.8414545454545461</v>
      </c>
      <c r="FU7" s="67">
        <f>IFERROR(VLOOKUP($B7,RD[#All],FU$2,0)/FU$1,"")</f>
        <v>4.7750841750841753</v>
      </c>
      <c r="FV7" s="67">
        <f>IFERROR(VLOOKUP($B7,RD[#All],FV$2,0)/FV$1,"")</f>
        <v>4.7795454545454543</v>
      </c>
      <c r="FW7" s="67">
        <f>IFERROR(VLOOKUP($B7,RD[#All],FW$2,0)/FW$1,"")</f>
        <v>4.8250000000000002</v>
      </c>
      <c r="FX7" s="67">
        <f>IFERROR(VLOOKUP($B7,RD[#All],FX$2,0)/FX$1,"")</f>
        <v>4.8087121212121211</v>
      </c>
      <c r="FY7" s="67">
        <f>IFERROR(VLOOKUP($B7,RD[#All],FY$2,0)/FY$1,"")</f>
        <v>4.7528619528619522</v>
      </c>
      <c r="FZ7" s="67">
        <f>IFERROR(VLOOKUP($B7,RD[#All],FZ$2,0)/FZ$1,"")</f>
        <v>4.8662878787878787</v>
      </c>
      <c r="GA7" s="67">
        <f>IFERROR(VLOOKUP($B7,RD[#All],GA$2,0)/GA$1,"")</f>
        <v>4.7524475524475527</v>
      </c>
      <c r="GB7" s="67">
        <f>IFERROR(VLOOKUP($B7,RD[#All],GB$2,0)/GB$1,"")</f>
        <v>4.7252525252525253</v>
      </c>
      <c r="GC7" s="67">
        <f>IFERROR(VLOOKUP($B7,RD[#All],GC$2,0)/GC$1,"")</f>
        <v>4.8569023569023573</v>
      </c>
      <c r="GD7" s="67">
        <f>IFERROR(VLOOKUP($B7,RD[#All],GD$2,0)/GD$1,"")</f>
        <v>4.9534545454545453</v>
      </c>
      <c r="GE7" s="67">
        <f>IFERROR(VLOOKUP($B7,RD[#All],GE$2,0)/GE$1,"")</f>
        <v>4.8136363636363635</v>
      </c>
      <c r="GF7" s="67">
        <f>IFERROR(VLOOKUP($B7,RD[#All],GF$2,0)/GF$1,"")</f>
        <v>4.7771043771043766</v>
      </c>
      <c r="GG7" s="67">
        <f>IFERROR(VLOOKUP($B7,RD[#All],GG$2,0)/GG$1,"")</f>
        <v>4.8498181818181818</v>
      </c>
      <c r="GH7" s="67">
        <f>IFERROR(VLOOKUP($B7,RD[#All],GH$2,0)/GH$1,"")</f>
        <v>4.8378181818181822</v>
      </c>
      <c r="GI7" s="67">
        <f>IFERROR(VLOOKUP($B7,RD[#All],GI$2,0)/GI$1,"")</f>
        <v>4.8145454545454545</v>
      </c>
      <c r="GJ7" s="67">
        <f>IFERROR(VLOOKUP($B7,RD[#All],GJ$2,0)/GJ$1,"")</f>
        <v>4.7398601398601397</v>
      </c>
      <c r="GK7" s="67">
        <f>IFERROR(VLOOKUP($B7,RD[#All],GK$2,0)/GK$1,"")</f>
        <v>4.8458333333333332</v>
      </c>
      <c r="GL7" s="67">
        <f>IFERROR(VLOOKUP($B7,RD[#All],GL$2,0)/GL$1,"")</f>
        <v>4.7412878787878787</v>
      </c>
      <c r="GM7" s="67">
        <f>IFERROR(VLOOKUP($B7,RD[#All],GM$2,0)/GM$1,"")</f>
        <v>4.7897727272727275</v>
      </c>
      <c r="GN7" s="67">
        <f>IFERROR(VLOOKUP($B7,RD[#All],GN$2,0)/GN$1,"")</f>
        <v>4.7878787878787881</v>
      </c>
      <c r="GO7" s="67">
        <f>IFERROR(VLOOKUP($B7,RD[#All],GO$2,0)/GO$1,"")</f>
        <v>4.9026515151515149</v>
      </c>
      <c r="GP7" s="67">
        <f>IFERROR(VLOOKUP($B7,RD[#All],GP$2,0)/GP$1,"")</f>
        <v>4.8026515151515152</v>
      </c>
      <c r="GQ7" s="67">
        <f>IFERROR(VLOOKUP($B7,RD[#All],GQ$2,0)/GQ$1,"")</f>
        <v>4.8690909090909091</v>
      </c>
      <c r="GR7" s="67">
        <f>IFERROR(VLOOKUP($B7,RD[#All],GR$2,0)/GR$1,"")</f>
        <v>4.8863636363636367</v>
      </c>
      <c r="GS7" s="67" t="str">
        <f>IFERROR(VLOOKUP($B7,RD[#All],GS$2,0)/GS$1,"")</f>
        <v/>
      </c>
      <c r="GT7" s="67" t="str">
        <f>IFERROR(VLOOKUP($B7,RD[#All],GT$2,0)/GT$1,"")</f>
        <v/>
      </c>
      <c r="GU7" s="67">
        <f>IFERROR(VLOOKUP($B7,RD[#All],GU$2,0)/GU$1,"")</f>
        <v>5.1644678979771328</v>
      </c>
      <c r="GV7" s="67">
        <f>IFERROR(VLOOKUP($B7,RD[#All],GV$2,0)/GV$1,"")</f>
        <v>4.7386393485684266</v>
      </c>
      <c r="GW7" s="67">
        <f>IFERROR(VLOOKUP($B7,RD[#All],GW$2,0)/GW$1,"")</f>
        <v>4.8130081300813004</v>
      </c>
      <c r="GX7" s="67" t="str">
        <f>IFERROR(VLOOKUP($B7,RD[#All],GX$2,0)/GX$1,"")</f>
        <v/>
      </c>
      <c r="GY7" s="67">
        <f>IFERROR(VLOOKUP($B7,RD[#All],GY$2,0)/GY$1,"")</f>
        <v>4.845181134654819</v>
      </c>
      <c r="GZ7" s="67">
        <f>IFERROR(VLOOKUP($B7,RD[#All],GZ$2,0)/GZ$1,"")</f>
        <v>4.7644194756554308</v>
      </c>
      <c r="HA7" s="67">
        <f>IFERROR(VLOOKUP($B7,RD[#All],HA$2,0)/HA$1,"")</f>
        <v>4.8232209737827709</v>
      </c>
      <c r="HB7" s="67">
        <f>IFERROR(VLOOKUP($B7,RD[#All],HB$2,0)/HB$1,"")</f>
        <v>4.7606741573033702</v>
      </c>
      <c r="HC7" s="67">
        <f>IFERROR(VLOOKUP($B7,RD[#All],HC$2,0)/HC$1,"")</f>
        <v>4.8808988764044949</v>
      </c>
      <c r="HD7" s="67">
        <f>IFERROR(VLOOKUP($B7,RD[#All],HD$2,0)/HD$1,"")</f>
        <v>4.9029962546816472</v>
      </c>
      <c r="HE7" s="67">
        <f>IFERROR(VLOOKUP($B7,RD[#All],HE$2,0)/HE$1,"")</f>
        <v>4.9475655430711614</v>
      </c>
      <c r="HF7" s="67">
        <f>IFERROR(VLOOKUP($B7,RD[#All],HF$2,0)/HF$1,"")</f>
        <v>4.9543071161048688</v>
      </c>
      <c r="HG7" s="67">
        <f>IFERROR(VLOOKUP($B7,RD[#All],HG$2,0)/HG$1,"")</f>
        <v>4.8318352059925092</v>
      </c>
      <c r="HH7" s="67">
        <f>IFERROR(VLOOKUP($B7,RD[#All],HH$2,0)/HH$1,"")</f>
        <v>4.762172284644195</v>
      </c>
      <c r="HI7" s="67">
        <f>IFERROR(VLOOKUP($B7,RD[#All],HI$2,0)/HI$1,"")</f>
        <v>4.9344569288389515</v>
      </c>
      <c r="HJ7" s="67">
        <f>IFERROR(VLOOKUP($B7,RD[#All],HJ$2,0)/HJ$1,"")</f>
        <v>4.8314606741573032</v>
      </c>
      <c r="HK7" s="67">
        <f>IFERROR(VLOOKUP($B7,RD[#All],HK$2,0)/HK$1,"")</f>
        <v>4.9351643778610077</v>
      </c>
      <c r="HL7" s="67">
        <f>IFERROR(VLOOKUP($B7,RD[#All],HL$2,0)/HL$1,"")</f>
        <v>5.0496878901373279</v>
      </c>
      <c r="HM7" s="67">
        <f>IFERROR(VLOOKUP($B7,RD[#All],HM$2,0)/HM$1,"")</f>
        <v>5.1679355127630986</v>
      </c>
      <c r="HN7" s="67">
        <f>IFERROR(VLOOKUP($B7,RD[#All],HN$2,0)/HN$1,"")</f>
        <v>5.0291088222122706</v>
      </c>
      <c r="HO7" s="67">
        <f>IFERROR(VLOOKUP($B7,RD[#All],HO$2,0)/HO$1,"")</f>
        <v>5.0522466039707421</v>
      </c>
      <c r="HP7" s="67">
        <f>IFERROR(VLOOKUP($B7,RD[#All],HP$2,0)/HP$1,"")</f>
        <v>4.9467084639498431</v>
      </c>
      <c r="HQ7" s="67">
        <f>IFERROR(VLOOKUP($B7,RD[#All],HQ$2,0)/HQ$1,"")</f>
        <v>4.8100048100048101</v>
      </c>
      <c r="HR7" s="67">
        <f>IFERROR(VLOOKUP($B7,RD[#All],HR$2,0)/HR$1,"")</f>
        <v>4.7631359466221852</v>
      </c>
      <c r="HS7" s="67">
        <f>IFERROR(VLOOKUP($B7,RD[#All],HS$2,0)/HS$1,"")</f>
        <v>4.912898876404495</v>
      </c>
      <c r="HT7" s="67">
        <f>IFERROR(VLOOKUP($B7,RD[#All],HT$2,0)/HT$1,"")</f>
        <v>4.8705784436121515</v>
      </c>
      <c r="HU7" s="67">
        <f>IFERROR(VLOOKUP($B7,RD[#All],HU$2,0)/HU$1,"")</f>
        <v>4.7917026793431292</v>
      </c>
      <c r="HV7" s="67">
        <f>IFERROR(VLOOKUP($B7,RD[#All],HV$2,0)/HV$1,"")</f>
        <v>4.7934312878133101</v>
      </c>
      <c r="HW7" s="67">
        <f>IFERROR(VLOOKUP($B7,RD[#All],HW$2,0)/HW$1,"")</f>
        <v>4.9420224719101125</v>
      </c>
      <c r="HX7" s="67">
        <f>IFERROR(VLOOKUP($B7,RD[#All],HX$2,0)/HX$1,"")</f>
        <v>4.8210890233362145</v>
      </c>
      <c r="HY7" s="67">
        <f>IFERROR(VLOOKUP($B7,RD[#All],HY$2,0)/HY$1,"")</f>
        <v>4.8632542655014568</v>
      </c>
      <c r="HZ7" s="67">
        <f>IFERROR(VLOOKUP($B7,RD[#All],HZ$2,0)/HZ$1,"")</f>
        <v>4.765376612567624</v>
      </c>
      <c r="IA7" s="67">
        <f>IFERROR(VLOOKUP($B7,RD[#All],IA$2,0)/IA$1,"")</f>
        <v>4.7552447552447559</v>
      </c>
      <c r="IB7" s="67">
        <f>IFERROR(VLOOKUP($B7,RD[#All],IB$2,0)/IB$1,"")</f>
        <v>4.7662337662337668</v>
      </c>
      <c r="IC7" s="67">
        <f>IFERROR(VLOOKUP($B7,RD[#All],IC$2,0)/IC$1,"")</f>
        <v>4.7435897435897436</v>
      </c>
      <c r="ID7" s="67">
        <f>IFERROR(VLOOKUP($B7,RD[#All],ID$2,0)/ID$1,"")</f>
        <v>4.7437336326225212</v>
      </c>
      <c r="IE7" s="67">
        <f>IFERROR(VLOOKUP($B7,RD[#All],IE$2,0)/IE$1,"")</f>
        <v>4.8666666666666663</v>
      </c>
      <c r="IF7" s="67" t="str">
        <f>IFERROR(VLOOKUP($B7,RD[#All],IF$2,0)/IF$1,"")</f>
        <v/>
      </c>
      <c r="IG7" s="67">
        <f>IFERROR(VLOOKUP($B7,RD[#All],IG$2,0)/IG$1,"")</f>
        <v>5.0636852533257857</v>
      </c>
      <c r="IH7" s="67">
        <f>IFERROR(VLOOKUP($B7,RD[#All],IH$2,0)/IH$1,"")</f>
        <v>4.7638453500522466</v>
      </c>
      <c r="II7" s="67">
        <f>IFERROR(VLOOKUP($B7,RD[#All],II$2,0)/II$1,"")</f>
        <v>5.0049751243781095</v>
      </c>
      <c r="IJ7" s="67">
        <f>IFERROR(VLOOKUP($B7,RD[#All],IJ$2,0)/IJ$1,"")</f>
        <v>4.7759072203516642</v>
      </c>
      <c r="IK7" s="67">
        <f>IFERROR(VLOOKUP($B7,RD[#All],IK$2,0)/IK$1,"")</f>
        <v>4.7808857808857805</v>
      </c>
      <c r="IL7" s="67" t="str">
        <f>IFERROR(VLOOKUP($B7,RD[#All],IL$2,0)/IL$1,"")</f>
        <v/>
      </c>
      <c r="IM7" s="67" t="str">
        <f>IFERROR(VLOOKUP($B7,RD[#All],IM$2,0)/IM$1,"")</f>
        <v/>
      </c>
      <c r="IN7" s="67">
        <f>IFERROR(VLOOKUP($B7,RD[#All],IN$2,0)/IN$1,"")</f>
        <v>5.2723092998955075</v>
      </c>
      <c r="IO7" s="67">
        <f>IFERROR(VLOOKUP($B7,RD[#All],IO$2,0)/IO$1,"")</f>
        <v>4.9177115987460818</v>
      </c>
      <c r="IP7" s="67">
        <f>IFERROR(VLOOKUP($B7,RD[#All],IP$2,0)/IP$1,"")</f>
        <v>5.7049750162937212</v>
      </c>
      <c r="IQ7" s="67">
        <f>IFERROR(VLOOKUP($B7,RD[#All],IQ$2,0)/IQ$1,"")</f>
        <v>4.7882672882672885</v>
      </c>
      <c r="IR7" s="67">
        <f>IFERROR(VLOOKUP($B7,RD[#All],IR$2,0)/IR$1,"")</f>
        <v>4.9361525704809281</v>
      </c>
      <c r="IS7" s="86">
        <f>IFERROR(AVERAGEIF(Inv_SY_B[[#This Row],[BLK1_INV1]:[BLK8_INV27]],"&gt;"&amp;0.1,Inv_SY_B[[#This Row],[BLK1_INV1]:[BLK8_INV27]]),"")</f>
        <v>4.8660766979572783</v>
      </c>
    </row>
    <row r="8" spans="2:253" x14ac:dyDescent="0.25">
      <c r="B8" s="85">
        <f t="shared" si="0"/>
        <v>45834</v>
      </c>
      <c r="C8" s="67">
        <f>IFERROR(VLOOKUP($B8,RD[#All],C$2,0)/C$1,"")</f>
        <v>4.8885047536732928</v>
      </c>
      <c r="D8" s="67">
        <f>IFERROR(VLOOKUP($B8,RD[#All],D$2,0)/D$1,"")</f>
        <v>4.9199654278305962</v>
      </c>
      <c r="E8" s="67">
        <f>IFERROR(VLOOKUP($B8,RD[#All],E$2,0)/E$1,"")</f>
        <v>5.0157303370786517</v>
      </c>
      <c r="F8" s="67">
        <f>IFERROR(VLOOKUP($B8,RD[#All],F$2,0)/F$1,"")</f>
        <v>5.0033707865168546</v>
      </c>
      <c r="G8" s="67">
        <f>IFERROR(VLOOKUP($B8,RD[#All],G$2,0)/G$1,"")</f>
        <v>4.9351771823681938</v>
      </c>
      <c r="H8" s="67">
        <f>IFERROR(VLOOKUP($B8,RD[#All],H$2,0)/H$1,"")</f>
        <v>4.9741573033707862</v>
      </c>
      <c r="I8" s="67">
        <f>IFERROR(VLOOKUP($B8,RD[#All],I$2,0)/I$1,"")</f>
        <v>4.9449438202247187</v>
      </c>
      <c r="J8" s="67">
        <f>IFERROR(VLOOKUP($B8,RD[#All],J$2,0)/J$1,"")</f>
        <v>4.964794007490636</v>
      </c>
      <c r="K8" s="67">
        <f>IFERROR(VLOOKUP($B8,RD[#All],K$2,0)/K$1,"")</f>
        <v>4.9229662921348316</v>
      </c>
      <c r="L8" s="67">
        <f>IFERROR(VLOOKUP($B8,RD[#All],L$2,0)/L$1,"")</f>
        <v>4.9395056179775283</v>
      </c>
      <c r="M8" s="67">
        <f>IFERROR(VLOOKUP($B8,RD[#All],M$2,0)/M$1,"")</f>
        <v>5.0059925093632955</v>
      </c>
      <c r="N8" s="67">
        <f>IFERROR(VLOOKUP($B8,RD[#All],N$2,0)/N$1,"")</f>
        <v>4.9726591760299623</v>
      </c>
      <c r="O8" s="67">
        <f>IFERROR(VLOOKUP($B8,RD[#All],O$2,0)/O$1,"")</f>
        <v>4.8303370786516853</v>
      </c>
      <c r="P8" s="67">
        <f>IFERROR(VLOOKUP($B8,RD[#All],P$2,0)/P$1,"")</f>
        <v>4.9519918283963227</v>
      </c>
      <c r="Q8" s="67">
        <f>IFERROR(VLOOKUP($B8,RD[#All],Q$2,0)/Q$1,"")</f>
        <v>4.8996254681647944</v>
      </c>
      <c r="R8" s="67">
        <f>IFERROR(VLOOKUP($B8,RD[#All],R$2,0)/R$1,"")</f>
        <v>4.8921348314606741</v>
      </c>
      <c r="S8" s="67">
        <f>IFERROR(VLOOKUP($B8,RD[#All],S$2,0)/S$1,"")</f>
        <v>4.8610486891385767</v>
      </c>
      <c r="T8" s="67">
        <f>IFERROR(VLOOKUP($B8,RD[#All],T$2,0)/T$1,"")</f>
        <v>4.8385767790262175</v>
      </c>
      <c r="U8" s="67">
        <f>IFERROR(VLOOKUP($B8,RD[#All],U$2,0)/U$1,"")</f>
        <v>4.8318063958513395</v>
      </c>
      <c r="V8" s="67">
        <f>IFERROR(VLOOKUP($B8,RD[#All],V$2,0)/V$1,"")</f>
        <v>4.8470181503889371</v>
      </c>
      <c r="W8" s="67">
        <f>IFERROR(VLOOKUP($B8,RD[#All],W$2,0)/W$1,"")</f>
        <v>4.9063670411985019</v>
      </c>
      <c r="X8" s="67">
        <f>IFERROR(VLOOKUP($B8,RD[#All],X$2,0)/X$1,"")</f>
        <v>4.9161048689138571</v>
      </c>
      <c r="Y8" s="67">
        <f>IFERROR(VLOOKUP($B8,RD[#All],Y$2,0)/Y$1,"")</f>
        <v>4.7965427830596372</v>
      </c>
      <c r="Z8" s="67">
        <f>IFERROR(VLOOKUP($B8,RD[#All],Z$2,0)/Z$1,"")</f>
        <v>4.9002080732417816</v>
      </c>
      <c r="AA8" s="67">
        <f>IFERROR(VLOOKUP($B8,RD[#All],AA$2,0)/AA$1,"")</f>
        <v>4.9019878997407087</v>
      </c>
      <c r="AB8" s="67">
        <f>IFERROR(VLOOKUP($B8,RD[#All],AB$2,0)/AB$1,"")</f>
        <v>4.8445980985306827</v>
      </c>
      <c r="AC8" s="67">
        <f>IFERROR(VLOOKUP($B8,RD[#All],AC$2,0)/AC$1,"")</f>
        <v>4.735004321521175</v>
      </c>
      <c r="AD8" s="67">
        <f>IFERROR(VLOOKUP($B8,RD[#All],AD$2,0)/AD$1,"")</f>
        <v>4.8079900124843951</v>
      </c>
      <c r="AE8" s="67">
        <f>IFERROR(VLOOKUP($B8,RD[#All],AE$2,0)/AE$1,"")</f>
        <v>4.8399500624219725</v>
      </c>
      <c r="AF8" s="67">
        <f>IFERROR(VLOOKUP($B8,RD[#All],AF$2,0)/AF$1,"")</f>
        <v>4.8079900124843951</v>
      </c>
      <c r="AG8" s="67">
        <f>IFERROR(VLOOKUP($B8,RD[#All],AG$2,0)/AG$1,"")</f>
        <v>4.7387432376196426</v>
      </c>
      <c r="AH8" s="67">
        <f>IFERROR(VLOOKUP($B8,RD[#All],AH$2,0)/AH$1,"")</f>
        <v>4.7766957969205155</v>
      </c>
      <c r="AI8" s="67">
        <f>IFERROR(VLOOKUP($B8,RD[#All],AI$2,0)/AI$1,"")</f>
        <v>4.9033018867924527</v>
      </c>
      <c r="AJ8" s="67">
        <f>IFERROR(VLOOKUP($B8,RD[#All],AJ$2,0)/AJ$1,"")</f>
        <v>5.0052309071887606</v>
      </c>
      <c r="AK8" s="67">
        <f>IFERROR(VLOOKUP($B8,RD[#All],AK$2,0)/AK$1,"")</f>
        <v>4.834456928838951</v>
      </c>
      <c r="AL8" s="67">
        <f>IFERROR(VLOOKUP($B8,RD[#All],AL$2,0)/AL$1,"")</f>
        <v>4.8598193375710936</v>
      </c>
      <c r="AM8" s="67">
        <f>IFERROR(VLOOKUP($B8,RD[#All],AM$2,0)/AM$1,"")</f>
        <v>4.8692883895131081</v>
      </c>
      <c r="AN8" s="67">
        <f>IFERROR(VLOOKUP($B8,RD[#All],AN$2,0)/AN$1,"")</f>
        <v>4.7625468164794</v>
      </c>
      <c r="AO8" s="67">
        <f>IFERROR(VLOOKUP($B8,RD[#All],AO$2,0)/AO$1,"")</f>
        <v>4.8374531835205987</v>
      </c>
      <c r="AP8" s="67">
        <f>IFERROR(VLOOKUP($B8,RD[#All],AP$2,0)/AP$1,"")</f>
        <v>4.9243445692883894</v>
      </c>
      <c r="AQ8" s="67">
        <f>IFERROR(VLOOKUP($B8,RD[#All],AQ$2,0)/AQ$1,"")</f>
        <v>4.8138576779026216</v>
      </c>
      <c r="AR8" s="67">
        <f>IFERROR(VLOOKUP($B8,RD[#All],AR$2,0)/AR$1,"")</f>
        <v>4.7689138576779024</v>
      </c>
      <c r="AS8" s="67">
        <f>IFERROR(VLOOKUP($B8,RD[#All],AS$2,0)/AS$1,"")</f>
        <v>4.845692883895131</v>
      </c>
      <c r="AT8" s="67">
        <f>IFERROR(VLOOKUP($B8,RD[#All],AT$2,0)/AT$1,"")</f>
        <v>4.8056179775280894</v>
      </c>
      <c r="AU8" s="67">
        <f>IFERROR(VLOOKUP($B8,RD[#All],AU$2,0)/AU$1,"")</f>
        <v>4.8992509363295875</v>
      </c>
      <c r="AV8" s="67">
        <f>IFERROR(VLOOKUP($B8,RD[#All],AV$2,0)/AV$1,"")</f>
        <v>4.9254681647940073</v>
      </c>
      <c r="AW8" s="67">
        <f>IFERROR(VLOOKUP($B8,RD[#All],AW$2,0)/AW$1,"")</f>
        <v>4.89161624891962</v>
      </c>
      <c r="AX8" s="67">
        <f>IFERROR(VLOOKUP($B8,RD[#All],AX$2,0)/AX$1,"")</f>
        <v>4.8411985018726584</v>
      </c>
      <c r="AY8" s="67">
        <f>IFERROR(VLOOKUP($B8,RD[#All],AY$2,0)/AY$1,"")</f>
        <v>4.9139775280898874</v>
      </c>
      <c r="AZ8" s="67">
        <f>IFERROR(VLOOKUP($B8,RD[#All],AZ$2,0)/AZ$1,"")</f>
        <v>4.7507415730337081</v>
      </c>
      <c r="BA8" s="67">
        <f>IFERROR(VLOOKUP($B8,RD[#All],BA$2,0)/BA$1,"")</f>
        <v>4.9453183520599255</v>
      </c>
      <c r="BB8" s="67">
        <f>IFERROR(VLOOKUP($B8,RD[#All],BB$2,0)/BB$1,"")</f>
        <v>4.9340823970037455</v>
      </c>
      <c r="BC8" s="67">
        <f>IFERROR(VLOOKUP($B8,RD[#All],BC$2,0)/BC$1,"")</f>
        <v>4.8998751560549314</v>
      </c>
      <c r="BD8" s="67">
        <f>IFERROR(VLOOKUP($B8,RD[#All],BD$2,0)/BD$1,"")</f>
        <v>4.9215147732001663</v>
      </c>
      <c r="BE8" s="67">
        <f>IFERROR(VLOOKUP($B8,RD[#All],BE$2,0)/BE$1,"")</f>
        <v>4.7664649956784793</v>
      </c>
      <c r="BF8" s="67">
        <f>IFERROR(VLOOKUP($B8,RD[#All],BF$2,0)/BF$1,"")</f>
        <v>4.8978776529338326</v>
      </c>
      <c r="BG8" s="67">
        <f>IFERROR(VLOOKUP($B8,RD[#All],BG$2,0)/BG$1,"")</f>
        <v>4.8585934248855605</v>
      </c>
      <c r="BH8" s="67">
        <f>IFERROR(VLOOKUP($B8,RD[#All],BH$2,0)/BH$1,"")</f>
        <v>4.9314606741573037</v>
      </c>
      <c r="BI8" s="67">
        <f>IFERROR(VLOOKUP($B8,RD[#All],BI$2,0)/BI$1,"")</f>
        <v>4.8555971702039118</v>
      </c>
      <c r="BJ8" s="67">
        <f>IFERROR(VLOOKUP($B8,RD[#All],BJ$2,0)/BJ$1,"")</f>
        <v>4.9071993341656261</v>
      </c>
      <c r="BK8" s="67">
        <f>IFERROR(VLOOKUP($B8,RD[#All],BK$2,0)/BK$1,"")</f>
        <v>4.9067415730337078</v>
      </c>
      <c r="BL8" s="67">
        <f>IFERROR(VLOOKUP($B8,RD[#All],BL$2,0)/BL$1,"")</f>
        <v>4.9511542321846775</v>
      </c>
      <c r="BM8" s="67">
        <f>IFERROR(VLOOKUP($B8,RD[#All],BM$2,0)/BM$1,"")</f>
        <v>4.8970037453183517</v>
      </c>
      <c r="BN8" s="67">
        <f>IFERROR(VLOOKUP($B8,RD[#All],BN$2,0)/BN$1,"")</f>
        <v>5.3007314524555902</v>
      </c>
      <c r="BO8" s="67">
        <f>IFERROR(VLOOKUP($B8,RD[#All],BO$2,0)/BO$1,"")</f>
        <v>4.927571305099395</v>
      </c>
      <c r="BP8" s="67">
        <f>IFERROR(VLOOKUP($B8,RD[#All],BP$2,0)/BP$1,"")</f>
        <v>4.8791702679343123</v>
      </c>
      <c r="BQ8" s="67">
        <f>IFERROR(VLOOKUP($B8,RD[#All],BQ$2,0)/BQ$1,"")</f>
        <v>4.9427830596369926</v>
      </c>
      <c r="BR8" s="67">
        <f>IFERROR(VLOOKUP($B8,RD[#All],BR$2,0)/BR$1,"")</f>
        <v>4.8262748487467588</v>
      </c>
      <c r="BS8" s="67">
        <f>IFERROR(VLOOKUP($B8,RD[#All],BS$2,0)/BS$1,"")</f>
        <v>4.9093632958801496</v>
      </c>
      <c r="BT8" s="67">
        <f>IFERROR(VLOOKUP($B8,RD[#All],BT$2,0)/BT$1,"")</f>
        <v>4.8827715355805248</v>
      </c>
      <c r="BU8" s="67">
        <f>IFERROR(VLOOKUP($B8,RD[#All],BU$2,0)/BU$1,"")</f>
        <v>4.9198501872659168</v>
      </c>
      <c r="BV8" s="67">
        <f>IFERROR(VLOOKUP($B8,RD[#All],BV$2,0)/BV$1,"")</f>
        <v>4.8805243445692881</v>
      </c>
      <c r="BW8" s="67">
        <f>IFERROR(VLOOKUP($B8,RD[#All],BW$2,0)/BW$1,"")</f>
        <v>4.8775280898876403</v>
      </c>
      <c r="BX8" s="67">
        <f>IFERROR(VLOOKUP($B8,RD[#All],BX$2,0)/BX$1,"")</f>
        <v>4.8730337078651678</v>
      </c>
      <c r="BY8" s="67">
        <f>IFERROR(VLOOKUP($B8,RD[#All],BY$2,0)/BY$1,"")</f>
        <v>4.8496046608406163</v>
      </c>
      <c r="BZ8" s="67">
        <f>IFERROR(VLOOKUP($B8,RD[#All],BZ$2,0)/BZ$1,"")</f>
        <v>4.7720349563046192</v>
      </c>
      <c r="CA8" s="67">
        <f>IFERROR(VLOOKUP($B8,RD[#All],CA$2,0)/CA$1,"")</f>
        <v>4.8952143154390351</v>
      </c>
      <c r="CB8" s="67">
        <f>IFERROR(VLOOKUP($B8,RD[#All],CB$2,0)/CB$1,"")</f>
        <v>4.8730337078651678</v>
      </c>
      <c r="CC8" s="67">
        <f>IFERROR(VLOOKUP($B8,RD[#All],CC$2,0)/CC$1,"")</f>
        <v>4.833707865168539</v>
      </c>
      <c r="CD8" s="67">
        <f>IFERROR(VLOOKUP($B8,RD[#All],CD$2,0)/CD$1,"")</f>
        <v>4.8867761452031111</v>
      </c>
      <c r="CE8" s="67">
        <f>IFERROR(VLOOKUP($B8,RD[#All],CE$2,0)/CE$1,"")</f>
        <v>4.9056179775280899</v>
      </c>
      <c r="CF8" s="67">
        <f>IFERROR(VLOOKUP($B8,RD[#All],CF$2,0)/CF$1,"")</f>
        <v>4.9265917602996261</v>
      </c>
      <c r="CG8" s="67">
        <f>IFERROR(VLOOKUP($B8,RD[#All],CG$2,0)/CG$1,"")</f>
        <v>4.8734082397003746</v>
      </c>
      <c r="CH8" s="67">
        <f>IFERROR(VLOOKUP($B8,RD[#All],CH$2,0)/CH$1,"")</f>
        <v>4.9247191011235962</v>
      </c>
      <c r="CI8" s="67">
        <f>IFERROR(VLOOKUP($B8,RD[#All],CI$2,0)/CI$1,"")</f>
        <v>4.8591760299625468</v>
      </c>
      <c r="CJ8" s="67">
        <f>IFERROR(VLOOKUP($B8,RD[#All],CJ$2,0)/CJ$1,"")</f>
        <v>4.8955056179775278</v>
      </c>
      <c r="CK8" s="67">
        <f>IFERROR(VLOOKUP($B8,RD[#All],CK$2,0)/CK$1,"")</f>
        <v>4.9033707865168541</v>
      </c>
      <c r="CL8" s="67">
        <f>IFERROR(VLOOKUP($B8,RD[#All],CL$2,0)/CL$1,"")</f>
        <v>4.905243445692884</v>
      </c>
      <c r="CM8" s="67">
        <f>IFERROR(VLOOKUP($B8,RD[#All],CM$2,0)/CM$1,"")</f>
        <v>4.7955056179775282</v>
      </c>
      <c r="CN8" s="67">
        <f>IFERROR(VLOOKUP($B8,RD[#All],CN$2,0)/CN$1,"")</f>
        <v>4.7677902621722845</v>
      </c>
      <c r="CO8" s="67">
        <f>IFERROR(VLOOKUP($B8,RD[#All],CO$2,0)/CO$1,"")</f>
        <v>4.8269662921348315</v>
      </c>
      <c r="CP8" s="67">
        <f>IFERROR(VLOOKUP($B8,RD[#All],CP$2,0)/CP$1,"")</f>
        <v>4.7764909248055316</v>
      </c>
      <c r="CQ8" s="67">
        <f>IFERROR(VLOOKUP($B8,RD[#All],CQ$2,0)/CQ$1,"")</f>
        <v>4.9674157303370787</v>
      </c>
      <c r="CR8" s="67">
        <f>IFERROR(VLOOKUP($B8,RD[#All],CR$2,0)/CR$1,"")</f>
        <v>4.9194756554307117</v>
      </c>
      <c r="CS8" s="67">
        <f>IFERROR(VLOOKUP($B8,RD[#All],CS$2,0)/CS$1,"")</f>
        <v>4.8592592592592592</v>
      </c>
      <c r="CT8" s="67">
        <f>IFERROR(VLOOKUP($B8,RD[#All],CT$2,0)/CT$1,"")</f>
        <v>4.832958801498128</v>
      </c>
      <c r="CU8" s="67">
        <f>IFERROR(VLOOKUP($B8,RD[#All],CU$2,0)/CU$1,"")</f>
        <v>4.8228464419475658</v>
      </c>
      <c r="CV8" s="67">
        <f>IFERROR(VLOOKUP($B8,RD[#All],CV$2,0)/CV$1,"")</f>
        <v>4.9464419475655435</v>
      </c>
      <c r="CW8" s="67">
        <f>IFERROR(VLOOKUP($B8,RD[#All],CW$2,0)/CW$1,"")</f>
        <v>4.8520599250936334</v>
      </c>
      <c r="CX8" s="67">
        <f>IFERROR(VLOOKUP($B8,RD[#All],CX$2,0)/CX$1,"")</f>
        <v>4.8985018726591765</v>
      </c>
      <c r="CY8" s="67">
        <f>IFERROR(VLOOKUP($B8,RD[#All],CY$2,0)/CY$1,"")</f>
        <v>4.9108614232209735</v>
      </c>
      <c r="CZ8" s="67">
        <f>IFERROR(VLOOKUP($B8,RD[#All],CZ$2,0)/CZ$1,"")</f>
        <v>4.8303370786516853</v>
      </c>
      <c r="DA8" s="67">
        <f>IFERROR(VLOOKUP($B8,RD[#All],DA$2,0)/DA$1,"")</f>
        <v>4.8794007490636702</v>
      </c>
      <c r="DB8" s="67">
        <f>IFERROR(VLOOKUP($B8,RD[#All],DB$2,0)/DB$1,"")</f>
        <v>4.8191011235955061</v>
      </c>
      <c r="DC8" s="67">
        <f>IFERROR(VLOOKUP($B8,RD[#All],DC$2,0)/DC$1,"")</f>
        <v>4.841614648356221</v>
      </c>
      <c r="DD8" s="67">
        <f>IFERROR(VLOOKUP($B8,RD[#All],DD$2,0)/DD$1,"")</f>
        <v>4.5749063670411987</v>
      </c>
      <c r="DE8" s="67">
        <f>IFERROR(VLOOKUP($B8,RD[#All],DE$2,0)/DE$1,"")</f>
        <v>4.9704535996670831</v>
      </c>
      <c r="DF8" s="67">
        <f>IFERROR(VLOOKUP($B8,RD[#All],DF$2,0)/DF$1,"")</f>
        <v>4.8026095684175312</v>
      </c>
      <c r="DG8" s="67">
        <f>IFERROR(VLOOKUP($B8,RD[#All],DG$2,0)/DG$1,"")</f>
        <v>4.9209737827715356</v>
      </c>
      <c r="DH8" s="67">
        <f>IFERROR(VLOOKUP($B8,RD[#All],DH$2,0)/DH$1,"")</f>
        <v>4.8446109030378697</v>
      </c>
      <c r="DI8" s="67">
        <f>IFERROR(VLOOKUP($B8,RD[#All],DI$2,0)/DI$1,"")</f>
        <v>4.8515125324114088</v>
      </c>
      <c r="DJ8" s="67">
        <f>IFERROR(VLOOKUP($B8,RD[#All],DJ$2,0)/DJ$1,"")</f>
        <v>4.896456352636128</v>
      </c>
      <c r="DK8" s="67">
        <f>IFERROR(VLOOKUP($B8,RD[#All],DK$2,0)/DK$1,"")</f>
        <v>4.8649188514357053</v>
      </c>
      <c r="DL8" s="67">
        <f>IFERROR(VLOOKUP($B8,RD[#All],DL$2,0)/DL$1,"")</f>
        <v>4.8855597170203913</v>
      </c>
      <c r="DM8" s="67">
        <f>IFERROR(VLOOKUP($B8,RD[#All],DM$2,0)/DM$1,"")</f>
        <v>4.9367041198501873</v>
      </c>
      <c r="DN8" s="67">
        <f>IFERROR(VLOOKUP($B8,RD[#All],DN$2,0)/DN$1,"")</f>
        <v>4.7606741573033702</v>
      </c>
      <c r="DO8" s="67">
        <f>IFERROR(VLOOKUP($B8,RD[#All],DO$2,0)/DO$1,"")</f>
        <v>4.8019404483104715</v>
      </c>
      <c r="DP8" s="67">
        <f>IFERROR(VLOOKUP($B8,RD[#All],DP$2,0)/DP$1,"")</f>
        <v>4.7647107781939244</v>
      </c>
      <c r="DQ8" s="67">
        <f>IFERROR(VLOOKUP($B8,RD[#All],DQ$2,0)/DQ$1,"")</f>
        <v>4.8086558468580947</v>
      </c>
      <c r="DR8" s="67">
        <f>IFERROR(VLOOKUP($B8,RD[#All],DR$2,0)/DR$1,"")</f>
        <v>4.9071161048689138</v>
      </c>
      <c r="DS8" s="67">
        <f>IFERROR(VLOOKUP($B8,RD[#All],DS$2,0)/DS$1,"")</f>
        <v>4.9677902621722847</v>
      </c>
      <c r="DT8" s="67">
        <f>IFERROR(VLOOKUP($B8,RD[#All],DT$2,0)/DT$1,"")</f>
        <v>4.6641697877652932</v>
      </c>
      <c r="DU8" s="67">
        <f>IFERROR(VLOOKUP($B8,RD[#All],DU$2,0)/DU$1,"")</f>
        <v>4.5057012068248028</v>
      </c>
      <c r="DV8" s="67">
        <f>IFERROR(VLOOKUP($B8,RD[#All],DV$2,0)/DV$1,"")</f>
        <v>4.8865168539325845</v>
      </c>
      <c r="DW8" s="67">
        <f>IFERROR(VLOOKUP($B8,RD[#All],DW$2,0)/DW$1,"")</f>
        <v>4.9029962546816472</v>
      </c>
      <c r="DX8" s="67">
        <f>IFERROR(VLOOKUP($B8,RD[#All],DX$2,0)/DX$1,"")</f>
        <v>4.8865584685809402</v>
      </c>
      <c r="DY8" s="67">
        <f>IFERROR(VLOOKUP($B8,RD[#All],DY$2,0)/DY$1,"")</f>
        <v>4.8299625468164793</v>
      </c>
      <c r="DZ8" s="67">
        <f>IFERROR(VLOOKUP($B8,RD[#All],DZ$2,0)/DZ$1,"")</f>
        <v>4.8254681647940076</v>
      </c>
      <c r="EA8" s="67">
        <f>IFERROR(VLOOKUP($B8,RD[#All],EA$2,0)/EA$1,"")</f>
        <v>4.7643778610070742</v>
      </c>
      <c r="EB8" s="67">
        <f>IFERROR(VLOOKUP($B8,RD[#All],EB$2,0)/EB$1,"")</f>
        <v>4.8216396171452347</v>
      </c>
      <c r="EC8" s="67">
        <f>IFERROR(VLOOKUP($B8,RD[#All],EC$2,0)/EC$1,"")</f>
        <v>4.8107173725151258</v>
      </c>
      <c r="ED8" s="67">
        <f>IFERROR(VLOOKUP($B8,RD[#All],ED$2,0)/ED$1,"")</f>
        <v>4.8114088159031985</v>
      </c>
      <c r="EE8" s="67">
        <f>IFERROR(VLOOKUP($B8,RD[#All],EE$2,0)/EE$1,"")</f>
        <v>4.8276577355229042</v>
      </c>
      <c r="EF8" s="67">
        <f>IFERROR(VLOOKUP($B8,RD[#All],EF$2,0)/EF$1,"")</f>
        <v>4.9127681307456594</v>
      </c>
      <c r="EG8" s="67">
        <f>IFERROR(VLOOKUP($B8,RD[#All],EG$2,0)/EG$1,"")</f>
        <v>4.8569930069930063</v>
      </c>
      <c r="EH8" s="67">
        <f>IFERROR(VLOOKUP($B8,RD[#All],EH$2,0)/EH$1,"")</f>
        <v>4.8013986013986019</v>
      </c>
      <c r="EI8" s="67">
        <f>IFERROR(VLOOKUP($B8,RD[#All],EI$2,0)/EI$1,"")</f>
        <v>4.8888111888111894</v>
      </c>
      <c r="EJ8" s="67">
        <f>IFERROR(VLOOKUP($B8,RD[#All],EJ$2,0)/EJ$1,"")</f>
        <v>4.8993006993006993</v>
      </c>
      <c r="EK8" s="67">
        <f>IFERROR(VLOOKUP($B8,RD[#All],EK$2,0)/EK$1,"")</f>
        <v>4.8582471910112357</v>
      </c>
      <c r="EL8" s="67">
        <f>IFERROR(VLOOKUP($B8,RD[#All],EL$2,0)/EL$1,"")</f>
        <v>4.8696629213483149</v>
      </c>
      <c r="EM8" s="67">
        <f>IFERROR(VLOOKUP($B8,RD[#All],EM$2,0)/EM$1,"")</f>
        <v>4.7965427830596372</v>
      </c>
      <c r="EN8" s="67">
        <f>IFERROR(VLOOKUP($B8,RD[#All],EN$2,0)/EN$1,"")</f>
        <v>4.7747623163353499</v>
      </c>
      <c r="EO8" s="67">
        <f>IFERROR(VLOOKUP($B8,RD[#All],EO$2,0)/EO$1,"")</f>
        <v>4.9003745318352063</v>
      </c>
      <c r="EP8" s="67">
        <f>IFERROR(VLOOKUP($B8,RD[#All],EP$2,0)/EP$1,"")</f>
        <v>4.9286084701815032</v>
      </c>
      <c r="EQ8" s="67">
        <f>IFERROR(VLOOKUP($B8,RD[#All],EQ$2,0)/EQ$1,"")</f>
        <v>4.7632958801498129</v>
      </c>
      <c r="ER8" s="67">
        <f>IFERROR(VLOOKUP($B8,RD[#All],ER$2,0)/ER$1,"")</f>
        <v>4.828349178910976</v>
      </c>
      <c r="ES8" s="67">
        <f>IFERROR(VLOOKUP($B8,RD[#All],ES$2,0)/ES$1,"")</f>
        <v>4.7966292134831461</v>
      </c>
      <c r="ET8" s="67">
        <f>IFERROR(VLOOKUP($B8,RD[#All],ET$2,0)/ET$1,"")</f>
        <v>4.8813074565883561</v>
      </c>
      <c r="EU8" s="67">
        <f>IFERROR(VLOOKUP($B8,RD[#All],EU$2,0)/EU$1,"")</f>
        <v>4.786516853932584</v>
      </c>
      <c r="EV8" s="67">
        <f>IFERROR(VLOOKUP($B8,RD[#All],EV$2,0)/EV$1,"")</f>
        <v>4.8532411408815905</v>
      </c>
      <c r="EW8" s="67">
        <f>IFERROR(VLOOKUP($B8,RD[#All],EW$2,0)/EW$1,"")</f>
        <v>4.8764044943820224</v>
      </c>
      <c r="EX8" s="67">
        <f>IFERROR(VLOOKUP($B8,RD[#All],EX$2,0)/EX$1,"")</f>
        <v>4.8131086142322097</v>
      </c>
      <c r="EY8" s="67">
        <f>IFERROR(VLOOKUP($B8,RD[#All],EY$2,0)/EY$1,"")</f>
        <v>4.9125260091552221</v>
      </c>
      <c r="EZ8" s="67">
        <f>IFERROR(VLOOKUP($B8,RD[#All],EZ$2,0)/EZ$1,"")</f>
        <v>4.8310861423220981</v>
      </c>
      <c r="FA8" s="67">
        <f>IFERROR(VLOOKUP($B8,RD[#All],FA$2,0)/FA$1,"")</f>
        <v>4.7513108614232209</v>
      </c>
      <c r="FB8" s="67">
        <f>IFERROR(VLOOKUP($B8,RD[#All],FB$2,0)/FB$1,"")</f>
        <v>4.7868913857677899</v>
      </c>
      <c r="FC8" s="67">
        <f>IFERROR(VLOOKUP($B8,RD[#All],FC$2,0)/FC$1,"")</f>
        <v>4.7449438202247194</v>
      </c>
      <c r="FD8" s="67">
        <f>IFERROR(VLOOKUP($B8,RD[#All],FD$2,0)/FD$1,"")</f>
        <v>4.8318352059925092</v>
      </c>
      <c r="FE8" s="67">
        <f>IFERROR(VLOOKUP($B8,RD[#All],FE$2,0)/FE$1,"")</f>
        <v>4.8848484848484848</v>
      </c>
      <c r="FF8" s="67">
        <f>IFERROR(VLOOKUP($B8,RD[#All],FF$2,0)/FF$1,"")</f>
        <v>4.814772727272727</v>
      </c>
      <c r="FG8" s="67">
        <f>IFERROR(VLOOKUP($B8,RD[#All],FG$2,0)/FG$1,"")</f>
        <v>4.818518518518518</v>
      </c>
      <c r="FH8" s="67">
        <f>IFERROR(VLOOKUP($B8,RD[#All],FH$2,0)/FH$1,"")</f>
        <v>4.7943181818181824</v>
      </c>
      <c r="FI8" s="67">
        <f>IFERROR(VLOOKUP($B8,RD[#All],FI$2,0)/FI$1,"")</f>
        <v>4.7848484848484842</v>
      </c>
      <c r="FJ8" s="67">
        <f>IFERROR(VLOOKUP($B8,RD[#All],FJ$2,0)/FJ$1,"")</f>
        <v>4.8289562289562289</v>
      </c>
      <c r="FK8" s="67">
        <f>IFERROR(VLOOKUP($B8,RD[#All],FK$2,0)/FK$1,"")</f>
        <v>4.8454545454545448</v>
      </c>
      <c r="FL8" s="67">
        <f>IFERROR(VLOOKUP($B8,RD[#All],FL$2,0)/FL$1,"")</f>
        <v>4.8039999999999994</v>
      </c>
      <c r="FM8" s="67">
        <f>IFERROR(VLOOKUP($B8,RD[#All],FM$2,0)/FM$1,"")</f>
        <v>4.7935606060606064</v>
      </c>
      <c r="FN8" s="67">
        <f>IFERROR(VLOOKUP($B8,RD[#All],FN$2,0)/FN$1,"")</f>
        <v>4.8858585858585855</v>
      </c>
      <c r="FO8" s="67">
        <f>IFERROR(VLOOKUP($B8,RD[#All],FO$2,0)/FO$1,"")</f>
        <v>4.8484848484848486</v>
      </c>
      <c r="FP8" s="67">
        <f>IFERROR(VLOOKUP($B8,RD[#All],FP$2,0)/FP$1,"")</f>
        <v>4.9272727272727277</v>
      </c>
      <c r="FQ8" s="67">
        <f>IFERROR(VLOOKUP($B8,RD[#All],FQ$2,0)/FQ$1,"")</f>
        <v>4.8836363636363638</v>
      </c>
      <c r="FR8" s="67">
        <f>IFERROR(VLOOKUP($B8,RD[#All],FR$2,0)/FR$1,"")</f>
        <v>4.8414545454545461</v>
      </c>
      <c r="FS8" s="67">
        <f>IFERROR(VLOOKUP($B8,RD[#All],FS$2,0)/FS$1,"")</f>
        <v>4.786531986531986</v>
      </c>
      <c r="FT8" s="67">
        <f>IFERROR(VLOOKUP($B8,RD[#All],FT$2,0)/FT$1,"")</f>
        <v>4.8767272727272726</v>
      </c>
      <c r="FU8" s="67">
        <f>IFERROR(VLOOKUP($B8,RD[#All],FU$2,0)/FU$1,"")</f>
        <v>4.7845117845117846</v>
      </c>
      <c r="FV8" s="67">
        <f>IFERROR(VLOOKUP($B8,RD[#All],FV$2,0)/FV$1,"")</f>
        <v>4.814772727272727</v>
      </c>
      <c r="FW8" s="67">
        <f>IFERROR(VLOOKUP($B8,RD[#All],FW$2,0)/FW$1,"")</f>
        <v>4.8174242424242424</v>
      </c>
      <c r="FX8" s="67">
        <f>IFERROR(VLOOKUP($B8,RD[#All],FX$2,0)/FX$1,"")</f>
        <v>4.8901515151515156</v>
      </c>
      <c r="FY8" s="67">
        <f>IFERROR(VLOOKUP($B8,RD[#All],FY$2,0)/FY$1,"")</f>
        <v>4.818518518518518</v>
      </c>
      <c r="FZ8" s="67">
        <f>IFERROR(VLOOKUP($B8,RD[#All],FZ$2,0)/FZ$1,"")</f>
        <v>4.9280303030303028</v>
      </c>
      <c r="GA8" s="67">
        <f>IFERROR(VLOOKUP($B8,RD[#All],GA$2,0)/GA$1,"")</f>
        <v>4.8409090909090908</v>
      </c>
      <c r="GB8" s="67">
        <f>IFERROR(VLOOKUP($B8,RD[#All],GB$2,0)/GB$1,"")</f>
        <v>4.7861952861952863</v>
      </c>
      <c r="GC8" s="67">
        <f>IFERROR(VLOOKUP($B8,RD[#All],GC$2,0)/GC$1,"")</f>
        <v>4.7491582491582491</v>
      </c>
      <c r="GD8" s="67">
        <f>IFERROR(VLOOKUP($B8,RD[#All],GD$2,0)/GD$1,"")</f>
        <v>4.9858181818181819</v>
      </c>
      <c r="GE8" s="67">
        <f>IFERROR(VLOOKUP($B8,RD[#All],GE$2,0)/GE$1,"")</f>
        <v>4.888461538461538</v>
      </c>
      <c r="GF8" s="67">
        <f>IFERROR(VLOOKUP($B8,RD[#All],GF$2,0)/GF$1,"")</f>
        <v>4.8306397306397306</v>
      </c>
      <c r="GG8" s="67">
        <f>IFERROR(VLOOKUP($B8,RD[#All],GG$2,0)/GG$1,"")</f>
        <v>4.8872727272727277</v>
      </c>
      <c r="GH8" s="67">
        <f>IFERROR(VLOOKUP($B8,RD[#All],GH$2,0)/GH$1,"")</f>
        <v>4.8876363636363633</v>
      </c>
      <c r="GI8" s="67">
        <f>IFERROR(VLOOKUP($B8,RD[#All],GI$2,0)/GI$1,"")</f>
        <v>4.8705454545454545</v>
      </c>
      <c r="GJ8" s="67">
        <f>IFERROR(VLOOKUP($B8,RD[#All],GJ$2,0)/GJ$1,"")</f>
        <v>4.7940559440559438</v>
      </c>
      <c r="GK8" s="67">
        <f>IFERROR(VLOOKUP($B8,RD[#All],GK$2,0)/GK$1,"")</f>
        <v>4.8931818181818176</v>
      </c>
      <c r="GL8" s="67">
        <f>IFERROR(VLOOKUP($B8,RD[#All],GL$2,0)/GL$1,"")</f>
        <v>4.8689393939393941</v>
      </c>
      <c r="GM8" s="67">
        <f>IFERROR(VLOOKUP($B8,RD[#All],GM$2,0)/GM$1,"")</f>
        <v>4.8715909090909086</v>
      </c>
      <c r="GN8" s="67">
        <f>IFERROR(VLOOKUP($B8,RD[#All],GN$2,0)/GN$1,"")</f>
        <v>4.8844696969696972</v>
      </c>
      <c r="GO8" s="67">
        <f>IFERROR(VLOOKUP($B8,RD[#All],GO$2,0)/GO$1,"")</f>
        <v>4.8863636363636367</v>
      </c>
      <c r="GP8" s="67">
        <f>IFERROR(VLOOKUP($B8,RD[#All],GP$2,0)/GP$1,"")</f>
        <v>4.8409090909090908</v>
      </c>
      <c r="GQ8" s="67">
        <f>IFERROR(VLOOKUP($B8,RD[#All],GQ$2,0)/GQ$1,"")</f>
        <v>4.8636363636363633</v>
      </c>
      <c r="GR8" s="67">
        <f>IFERROR(VLOOKUP($B8,RD[#All],GR$2,0)/GR$1,"")</f>
        <v>4.9284090909090903</v>
      </c>
      <c r="GS8" s="67" t="str">
        <f>IFERROR(VLOOKUP($B8,RD[#All],GS$2,0)/GS$1,"")</f>
        <v/>
      </c>
      <c r="GT8" s="67" t="str">
        <f>IFERROR(VLOOKUP($B8,RD[#All],GT$2,0)/GT$1,"")</f>
        <v/>
      </c>
      <c r="GU8" s="67">
        <f>IFERROR(VLOOKUP($B8,RD[#All],GU$2,0)/GU$1,"")</f>
        <v>5.1934916446789794</v>
      </c>
      <c r="GV8" s="67">
        <f>IFERROR(VLOOKUP($B8,RD[#All],GV$2,0)/GV$1,"")</f>
        <v>4.8106120304701872</v>
      </c>
      <c r="GW8" s="67">
        <f>IFERROR(VLOOKUP($B8,RD[#All],GW$2,0)/GW$1,"")</f>
        <v>4.8141167775314111</v>
      </c>
      <c r="GX8" s="67" t="str">
        <f>IFERROR(VLOOKUP($B8,RD[#All],GX$2,0)/GX$1,"")</f>
        <v/>
      </c>
      <c r="GY8" s="67">
        <f>IFERROR(VLOOKUP($B8,RD[#All],GY$2,0)/GY$1,"")</f>
        <v>4.9306220095693778</v>
      </c>
      <c r="GZ8" s="67">
        <f>IFERROR(VLOOKUP($B8,RD[#All],GZ$2,0)/GZ$1,"")</f>
        <v>4.8161048689138584</v>
      </c>
      <c r="HA8" s="67">
        <f>IFERROR(VLOOKUP($B8,RD[#All],HA$2,0)/HA$1,"")</f>
        <v>4.8367041198501877</v>
      </c>
      <c r="HB8" s="67">
        <f>IFERROR(VLOOKUP($B8,RD[#All],HB$2,0)/HB$1,"")</f>
        <v>4.8</v>
      </c>
      <c r="HC8" s="67">
        <f>IFERROR(VLOOKUP($B8,RD[#All],HC$2,0)/HC$1,"")</f>
        <v>4.8726591760299627</v>
      </c>
      <c r="HD8" s="67">
        <f>IFERROR(VLOOKUP($B8,RD[#All],HD$2,0)/HD$1,"")</f>
        <v>4.8531835205992504</v>
      </c>
      <c r="HE8" s="67">
        <f>IFERROR(VLOOKUP($B8,RD[#All],HE$2,0)/HE$1,"")</f>
        <v>4.9853932584269662</v>
      </c>
      <c r="HF8" s="67">
        <f>IFERROR(VLOOKUP($B8,RD[#All],HF$2,0)/HF$1,"")</f>
        <v>4.9554307116104868</v>
      </c>
      <c r="HG8" s="67">
        <f>IFERROR(VLOOKUP($B8,RD[#All],HG$2,0)/HG$1,"")</f>
        <v>4.8730337078651678</v>
      </c>
      <c r="HH8" s="67">
        <f>IFERROR(VLOOKUP($B8,RD[#All],HH$2,0)/HH$1,"")</f>
        <v>4.8314606741573032</v>
      </c>
      <c r="HI8" s="67">
        <f>IFERROR(VLOOKUP($B8,RD[#All],HI$2,0)/HI$1,"")</f>
        <v>4.9138576779026213</v>
      </c>
      <c r="HJ8" s="67">
        <f>IFERROR(VLOOKUP($B8,RD[#All],HJ$2,0)/HJ$1,"")</f>
        <v>4.9621722846441951</v>
      </c>
      <c r="HK8" s="67">
        <f>IFERROR(VLOOKUP($B8,RD[#All],HK$2,0)/HK$1,"")</f>
        <v>4.9381606325426546</v>
      </c>
      <c r="HL8" s="67">
        <f>IFERROR(VLOOKUP($B8,RD[#All],HL$2,0)/HL$1,"")</f>
        <v>5.0500208073241781</v>
      </c>
      <c r="HM8" s="67">
        <f>IFERROR(VLOOKUP($B8,RD[#All],HM$2,0)/HM$1,"")</f>
        <v>5.154500671742051</v>
      </c>
      <c r="HN8" s="67">
        <f>IFERROR(VLOOKUP($B8,RD[#All],HN$2,0)/HN$1,"")</f>
        <v>5.0765785938199723</v>
      </c>
      <c r="HO8" s="67">
        <f>IFERROR(VLOOKUP($B8,RD[#All],HO$2,0)/HO$1,"")</f>
        <v>5.0914315569487982</v>
      </c>
      <c r="HP8" s="67">
        <f>IFERROR(VLOOKUP($B8,RD[#All],HP$2,0)/HP$1,"")</f>
        <v>5.0094043887147333</v>
      </c>
      <c r="HQ8" s="67">
        <f>IFERROR(VLOOKUP($B8,RD[#All],HQ$2,0)/HQ$1,"")</f>
        <v>4.8066378066378066</v>
      </c>
      <c r="HR8" s="67">
        <f>IFERROR(VLOOKUP($B8,RD[#All],HR$2,0)/HR$1,"")</f>
        <v>4.9040867389491236</v>
      </c>
      <c r="HS8" s="67">
        <f>IFERROR(VLOOKUP($B8,RD[#All],HS$2,0)/HS$1,"")</f>
        <v>4.9315955056179774</v>
      </c>
      <c r="HT8" s="67">
        <f>IFERROR(VLOOKUP($B8,RD[#All],HT$2,0)/HT$1,"")</f>
        <v>4.9161880982105703</v>
      </c>
      <c r="HU8" s="67">
        <f>IFERROR(VLOOKUP($B8,RD[#All],HU$2,0)/HU$1,"")</f>
        <v>4.8781331028522041</v>
      </c>
      <c r="HV8" s="67">
        <f>IFERROR(VLOOKUP($B8,RD[#All],HV$2,0)/HV$1,"")</f>
        <v>4.8729472774416598</v>
      </c>
      <c r="HW8" s="67">
        <f>IFERROR(VLOOKUP($B8,RD[#All],HW$2,0)/HW$1,"")</f>
        <v>4.9297977528089882</v>
      </c>
      <c r="HX8" s="67">
        <f>IFERROR(VLOOKUP($B8,RD[#All],HX$2,0)/HX$1,"")</f>
        <v>4.9151253241140882</v>
      </c>
      <c r="HY8" s="67">
        <f>IFERROR(VLOOKUP($B8,RD[#All],HY$2,0)/HY$1,"")</f>
        <v>4.984436121514773</v>
      </c>
      <c r="HZ8" s="67">
        <f>IFERROR(VLOOKUP($B8,RD[#All],HZ$2,0)/HZ$1,"")</f>
        <v>4.9265085310029129</v>
      </c>
      <c r="IA8" s="67">
        <f>IFERROR(VLOOKUP($B8,RD[#All],IA$2,0)/IA$1,"")</f>
        <v>4.822066822066823</v>
      </c>
      <c r="IB8" s="67">
        <f>IFERROR(VLOOKUP($B8,RD[#All],IB$2,0)/IB$1,"")</f>
        <v>4.8618326118326118</v>
      </c>
      <c r="IC8" s="67">
        <f>IFERROR(VLOOKUP($B8,RD[#All],IC$2,0)/IC$1,"")</f>
        <v>4.7933177933177937</v>
      </c>
      <c r="ID8" s="67">
        <f>IFERROR(VLOOKUP($B8,RD[#All],ID$2,0)/ID$1,"")</f>
        <v>4.8252899364010471</v>
      </c>
      <c r="IE8" s="67">
        <f>IFERROR(VLOOKUP($B8,RD[#All],IE$2,0)/IE$1,"")</f>
        <v>4.8117171717171718</v>
      </c>
      <c r="IF8" s="67" t="str">
        <f>IFERROR(VLOOKUP($B8,RD[#All],IF$2,0)/IF$1,"")</f>
        <v/>
      </c>
      <c r="IG8" s="67">
        <f>IFERROR(VLOOKUP($B8,RD[#All],IG$2,0)/IG$1,"")</f>
        <v>5.0976507217662039</v>
      </c>
      <c r="IH8" s="67">
        <f>IFERROR(VLOOKUP($B8,RD[#All],IH$2,0)/IH$1,"")</f>
        <v>4.7948450017415531</v>
      </c>
      <c r="II8" s="67">
        <f>IFERROR(VLOOKUP($B8,RD[#All],II$2,0)/II$1,"")</f>
        <v>5.1064676616915428</v>
      </c>
      <c r="IJ8" s="67">
        <f>IFERROR(VLOOKUP($B8,RD[#All],IJ$2,0)/IJ$1,"")</f>
        <v>4.7729143284698834</v>
      </c>
      <c r="IK8" s="67">
        <f>IFERROR(VLOOKUP($B8,RD[#All],IK$2,0)/IK$1,"")</f>
        <v>4.7882672882672885</v>
      </c>
      <c r="IL8" s="67" t="str">
        <f>IFERROR(VLOOKUP($B8,RD[#All],IL$2,0)/IL$1,"")</f>
        <v/>
      </c>
      <c r="IM8" s="67" t="str">
        <f>IFERROR(VLOOKUP($B8,RD[#All],IM$2,0)/IM$1,"")</f>
        <v/>
      </c>
      <c r="IN8" s="67">
        <f>IFERROR(VLOOKUP($B8,RD[#All],IN$2,0)/IN$1,"")</f>
        <v>5.2706374085684429</v>
      </c>
      <c r="IO8" s="67">
        <f>IFERROR(VLOOKUP($B8,RD[#All],IO$2,0)/IO$1,"")</f>
        <v>5.0101880877742948</v>
      </c>
      <c r="IP8" s="67">
        <f>IFERROR(VLOOKUP($B8,RD[#All],IP$2,0)/IP$1,"")</f>
        <v>5.7401694547034534</v>
      </c>
      <c r="IQ8" s="67">
        <f>IFERROR(VLOOKUP($B8,RD[#All],IQ$2,0)/IQ$1,"")</f>
        <v>4.7622377622377625</v>
      </c>
      <c r="IR8" s="67">
        <f>IFERROR(VLOOKUP($B8,RD[#All],IR$2,0)/IR$1,"")</f>
        <v>5.0004145936981752</v>
      </c>
      <c r="IS8" s="86">
        <f>IFERROR(AVERAGEIF(Inv_SY_B[[#This Row],[BLK1_INV1]:[BLK8_INV27]],"&gt;"&amp;0.1,Inv_SY_B[[#This Row],[BLK1_INV1]:[BLK8_INV27]]),"")</f>
        <v>4.8764333799014432</v>
      </c>
    </row>
    <row r="9" spans="2:253" x14ac:dyDescent="0.25">
      <c r="B9" s="85">
        <f t="shared" si="0"/>
        <v>45835</v>
      </c>
      <c r="C9" s="67">
        <f>IFERROR(VLOOKUP($B9,RD[#All],C$2,0)/C$1,"")</f>
        <v>4.4542783059636992</v>
      </c>
      <c r="D9" s="67">
        <f>IFERROR(VLOOKUP($B9,RD[#All],D$2,0)/D$1,"")</f>
        <v>4.4636127917026789</v>
      </c>
      <c r="E9" s="67">
        <f>IFERROR(VLOOKUP($B9,RD[#All],E$2,0)/E$1,"")</f>
        <v>4.4569288389513106</v>
      </c>
      <c r="F9" s="67">
        <f>IFERROR(VLOOKUP($B9,RD[#All],F$2,0)/F$1,"")</f>
        <v>4.4981273408239701</v>
      </c>
      <c r="G9" s="67">
        <f>IFERROR(VLOOKUP($B9,RD[#All],G$2,0)/G$1,"")</f>
        <v>4.4943820224719104</v>
      </c>
      <c r="H9" s="67">
        <f>IFERROR(VLOOKUP($B9,RD[#All],H$2,0)/H$1,"")</f>
        <v>4.4850187265917603</v>
      </c>
      <c r="I9" s="67">
        <f>IFERROR(VLOOKUP($B9,RD[#All],I$2,0)/I$1,"")</f>
        <v>4.4254681647940073</v>
      </c>
      <c r="J9" s="67">
        <f>IFERROR(VLOOKUP($B9,RD[#All],J$2,0)/J$1,"")</f>
        <v>4.4872659176029961</v>
      </c>
      <c r="K9" s="67">
        <f>IFERROR(VLOOKUP($B9,RD[#All],K$2,0)/K$1,"")</f>
        <v>4.3221573033707861</v>
      </c>
      <c r="L9" s="67">
        <f>IFERROR(VLOOKUP($B9,RD[#All],L$2,0)/L$1,"")</f>
        <v>4.3505617977528086</v>
      </c>
      <c r="M9" s="67">
        <f>IFERROR(VLOOKUP($B9,RD[#All],M$2,0)/M$1,"")</f>
        <v>4.4573033707865166</v>
      </c>
      <c r="N9" s="67">
        <f>IFERROR(VLOOKUP($B9,RD[#All],N$2,0)/N$1,"")</f>
        <v>4.4895131086142328</v>
      </c>
      <c r="O9" s="67">
        <f>IFERROR(VLOOKUP($B9,RD[#All],O$2,0)/O$1,"")</f>
        <v>4.2872659176029968</v>
      </c>
      <c r="P9" s="67">
        <f>IFERROR(VLOOKUP($B9,RD[#All],P$2,0)/P$1,"")</f>
        <v>4.3309499489274774</v>
      </c>
      <c r="Q9" s="67">
        <f>IFERROR(VLOOKUP($B9,RD[#All],Q$2,0)/Q$1,"")</f>
        <v>4.4441947565543067</v>
      </c>
      <c r="R9" s="67">
        <f>IFERROR(VLOOKUP($B9,RD[#All],R$2,0)/R$1,"")</f>
        <v>4.4610486891385763</v>
      </c>
      <c r="S9" s="67">
        <f>IFERROR(VLOOKUP($B9,RD[#All],S$2,0)/S$1,"")</f>
        <v>4.4232209737827715</v>
      </c>
      <c r="T9" s="67">
        <f>IFERROR(VLOOKUP($B9,RD[#All],T$2,0)/T$1,"")</f>
        <v>4.4176029962546819</v>
      </c>
      <c r="U9" s="67">
        <f>IFERROR(VLOOKUP($B9,RD[#All],U$2,0)/U$1,"")</f>
        <v>4.3270527225583404</v>
      </c>
      <c r="V9" s="67">
        <f>IFERROR(VLOOKUP($B9,RD[#All],V$2,0)/V$1,"")</f>
        <v>4.3356957649092474</v>
      </c>
      <c r="W9" s="67">
        <f>IFERROR(VLOOKUP($B9,RD[#All],W$2,0)/W$1,"")</f>
        <v>4.3730337078651678</v>
      </c>
      <c r="X9" s="67">
        <f>IFERROR(VLOOKUP($B9,RD[#All],X$2,0)/X$1,"")</f>
        <v>4.3887640449438203</v>
      </c>
      <c r="Y9" s="67">
        <f>IFERROR(VLOOKUP($B9,RD[#All],Y$2,0)/Y$1,"")</f>
        <v>4.3488331892826277</v>
      </c>
      <c r="Z9" s="67">
        <f>IFERROR(VLOOKUP($B9,RD[#All],Z$2,0)/Z$1,"")</f>
        <v>4.3315855181023721</v>
      </c>
      <c r="AA9" s="67">
        <f>IFERROR(VLOOKUP($B9,RD[#All],AA$2,0)/AA$1,"")</f>
        <v>4.383059636992221</v>
      </c>
      <c r="AB9" s="67">
        <f>IFERROR(VLOOKUP($B9,RD[#All],AB$2,0)/AB$1,"")</f>
        <v>4.3754537597234222</v>
      </c>
      <c r="AC9" s="67">
        <f>IFERROR(VLOOKUP($B9,RD[#All],AC$2,0)/AC$1,"")</f>
        <v>4.2229904926534143</v>
      </c>
      <c r="AD9" s="67">
        <f>IFERROR(VLOOKUP($B9,RD[#All],AD$2,0)/AD$1,"")</f>
        <v>4.4038285476487724</v>
      </c>
      <c r="AE9" s="67">
        <f>IFERROR(VLOOKUP($B9,RD[#All],AE$2,0)/AE$1,"")</f>
        <v>4.3865168539325836</v>
      </c>
      <c r="AF9" s="67">
        <f>IFERROR(VLOOKUP($B9,RD[#All],AF$2,0)/AF$1,"")</f>
        <v>4.2277153558052438</v>
      </c>
      <c r="AG9" s="67">
        <f>IFERROR(VLOOKUP($B9,RD[#All],AG$2,0)/AG$1,"")</f>
        <v>4.2130669995838534</v>
      </c>
      <c r="AH9" s="67">
        <f>IFERROR(VLOOKUP($B9,RD[#All],AH$2,0)/AH$1,"")</f>
        <v>4.2516853932584269</v>
      </c>
      <c r="AI9" s="67">
        <f>IFERROR(VLOOKUP($B9,RD[#All],AI$2,0)/AI$1,"")</f>
        <v>4.3333333333333339</v>
      </c>
      <c r="AJ9" s="67">
        <f>IFERROR(VLOOKUP($B9,RD[#All],AJ$2,0)/AJ$1,"")</f>
        <v>4.3539082349424598</v>
      </c>
      <c r="AK9" s="67">
        <f>IFERROR(VLOOKUP($B9,RD[#All],AK$2,0)/AK$1,"")</f>
        <v>4.2801498127340825</v>
      </c>
      <c r="AL9" s="67">
        <f>IFERROR(VLOOKUP($B9,RD[#All],AL$2,0)/AL$1,"")</f>
        <v>4.2673134827701578</v>
      </c>
      <c r="AM9" s="67">
        <f>IFERROR(VLOOKUP($B9,RD[#All],AM$2,0)/AM$1,"")</f>
        <v>4.3131086142322097</v>
      </c>
      <c r="AN9" s="67">
        <f>IFERROR(VLOOKUP($B9,RD[#All],AN$2,0)/AN$1,"")</f>
        <v>4.2322097378277155</v>
      </c>
      <c r="AO9" s="67">
        <f>IFERROR(VLOOKUP($B9,RD[#All],AO$2,0)/AO$1,"")</f>
        <v>4.3029962546816485</v>
      </c>
      <c r="AP9" s="67">
        <f>IFERROR(VLOOKUP($B9,RD[#All],AP$2,0)/AP$1,"")</f>
        <v>4.3921348314606741</v>
      </c>
      <c r="AQ9" s="67">
        <f>IFERROR(VLOOKUP($B9,RD[#All],AQ$2,0)/AQ$1,"")</f>
        <v>4.2719101123595502</v>
      </c>
      <c r="AR9" s="67">
        <f>IFERROR(VLOOKUP($B9,RD[#All],AR$2,0)/AR$1,"")</f>
        <v>4.2438202247191006</v>
      </c>
      <c r="AS9" s="67">
        <f>IFERROR(VLOOKUP($B9,RD[#All],AS$2,0)/AS$1,"")</f>
        <v>4.308988764044944</v>
      </c>
      <c r="AT9" s="67">
        <f>IFERROR(VLOOKUP($B9,RD[#All],AT$2,0)/AT$1,"")</f>
        <v>4.2707865168539323</v>
      </c>
      <c r="AU9" s="67">
        <f>IFERROR(VLOOKUP($B9,RD[#All],AU$2,0)/AU$1,"")</f>
        <v>4.3681647940074901</v>
      </c>
      <c r="AV9" s="67">
        <f>IFERROR(VLOOKUP($B9,RD[#All],AV$2,0)/AV$1,"")</f>
        <v>4.3842696629213478</v>
      </c>
      <c r="AW9" s="67">
        <f>IFERROR(VLOOKUP($B9,RD[#All],AW$2,0)/AW$1,"")</f>
        <v>4.1901469317199656</v>
      </c>
      <c r="AX9" s="67">
        <f>IFERROR(VLOOKUP($B9,RD[#All],AX$2,0)/AX$1,"")</f>
        <v>4.3307116104868912</v>
      </c>
      <c r="AY9" s="67">
        <f>IFERROR(VLOOKUP($B9,RD[#All],AY$2,0)/AY$1,"")</f>
        <v>4.3865168539325845</v>
      </c>
      <c r="AZ9" s="67">
        <f>IFERROR(VLOOKUP($B9,RD[#All],AZ$2,0)/AZ$1,"")</f>
        <v>4.1988314606741568</v>
      </c>
      <c r="BA9" s="67">
        <f>IFERROR(VLOOKUP($B9,RD[#All],BA$2,0)/BA$1,"")</f>
        <v>4.3861423220973776</v>
      </c>
      <c r="BB9" s="67">
        <f>IFERROR(VLOOKUP($B9,RD[#All],BB$2,0)/BB$1,"")</f>
        <v>4.393258426966292</v>
      </c>
      <c r="BC9" s="67">
        <f>IFERROR(VLOOKUP($B9,RD[#All],BC$2,0)/BC$1,"")</f>
        <v>4.3315855181023721</v>
      </c>
      <c r="BD9" s="67">
        <f>IFERROR(VLOOKUP($B9,RD[#All],BD$2,0)/BD$1,"")</f>
        <v>4.3735330836454436</v>
      </c>
      <c r="BE9" s="67">
        <f>IFERROR(VLOOKUP($B9,RD[#All],BE$2,0)/BE$1,"")</f>
        <v>4.1901469317199656</v>
      </c>
      <c r="BF9" s="67">
        <f>IFERROR(VLOOKUP($B9,RD[#All],BF$2,0)/BF$1,"")</f>
        <v>4.3319184352892224</v>
      </c>
      <c r="BG9" s="67">
        <f>IFERROR(VLOOKUP($B9,RD[#All],BG$2,0)/BG$1,"")</f>
        <v>4.368539325842697</v>
      </c>
      <c r="BH9" s="67">
        <f>IFERROR(VLOOKUP($B9,RD[#All],BH$2,0)/BH$1,"")</f>
        <v>4.415730337078652</v>
      </c>
      <c r="BI9" s="67">
        <f>IFERROR(VLOOKUP($B9,RD[#All],BI$2,0)/BI$1,"")</f>
        <v>4.3239284228048271</v>
      </c>
      <c r="BJ9" s="67">
        <f>IFERROR(VLOOKUP($B9,RD[#All],BJ$2,0)/BJ$1,"")</f>
        <v>4.3465667915106119</v>
      </c>
      <c r="BK9" s="67">
        <f>IFERROR(VLOOKUP($B9,RD[#All],BK$2,0)/BK$1,"")</f>
        <v>4.3722846441947567</v>
      </c>
      <c r="BL9" s="67">
        <f>IFERROR(VLOOKUP($B9,RD[#All],BL$2,0)/BL$1,"")</f>
        <v>4.3874205419872876</v>
      </c>
      <c r="BM9" s="67">
        <f>IFERROR(VLOOKUP($B9,RD[#All],BM$2,0)/BM$1,"")</f>
        <v>4.3430711610486892</v>
      </c>
      <c r="BN9" s="67">
        <f>IFERROR(VLOOKUP($B9,RD[#All],BN$2,0)/BN$1,"")</f>
        <v>4.6039707419017768</v>
      </c>
      <c r="BO9" s="67">
        <f>IFERROR(VLOOKUP($B9,RD[#All],BO$2,0)/BO$1,"")</f>
        <v>4.3526361279170267</v>
      </c>
      <c r="BP9" s="67">
        <f>IFERROR(VLOOKUP($B9,RD[#All],BP$2,0)/BP$1,"")</f>
        <v>4.3761452031114949</v>
      </c>
      <c r="BQ9" s="67">
        <f>IFERROR(VLOOKUP($B9,RD[#All],BQ$2,0)/BQ$1,"")</f>
        <v>4.3968885047536732</v>
      </c>
      <c r="BR9" s="67">
        <f>IFERROR(VLOOKUP($B9,RD[#All],BR$2,0)/BR$1,"")</f>
        <v>4.3263612791702686</v>
      </c>
      <c r="BS9" s="67">
        <f>IFERROR(VLOOKUP($B9,RD[#All],BS$2,0)/BS$1,"")</f>
        <v>4.3164794007490634</v>
      </c>
      <c r="BT9" s="67">
        <f>IFERROR(VLOOKUP($B9,RD[#All],BT$2,0)/BT$1,"")</f>
        <v>4.3243445692883888</v>
      </c>
      <c r="BU9" s="67">
        <f>IFERROR(VLOOKUP($B9,RD[#All],BU$2,0)/BU$1,"")</f>
        <v>4.3516853932584274</v>
      </c>
      <c r="BV9" s="67">
        <f>IFERROR(VLOOKUP($B9,RD[#All],BV$2,0)/BV$1,"")</f>
        <v>4.3883895131086144</v>
      </c>
      <c r="BW9" s="67">
        <f>IFERROR(VLOOKUP($B9,RD[#All],BW$2,0)/BW$1,"")</f>
        <v>4.3659176029962552</v>
      </c>
      <c r="BX9" s="67">
        <f>IFERROR(VLOOKUP($B9,RD[#All],BX$2,0)/BX$1,"")</f>
        <v>4.3558052434456931</v>
      </c>
      <c r="BY9" s="67">
        <f>IFERROR(VLOOKUP($B9,RD[#All],BY$2,0)/BY$1,"")</f>
        <v>4.3435705368289641</v>
      </c>
      <c r="BZ9" s="67">
        <f>IFERROR(VLOOKUP($B9,RD[#All],BZ$2,0)/BZ$1,"")</f>
        <v>4.2849771119434035</v>
      </c>
      <c r="CA9" s="67">
        <f>IFERROR(VLOOKUP($B9,RD[#All],CA$2,0)/CA$1,"")</f>
        <v>4.3272575946733252</v>
      </c>
      <c r="CB9" s="67">
        <f>IFERROR(VLOOKUP($B9,RD[#All],CB$2,0)/CB$1,"")</f>
        <v>4.3850187265917597</v>
      </c>
      <c r="CC9" s="67">
        <f>IFERROR(VLOOKUP($B9,RD[#All],CC$2,0)/CC$1,"")</f>
        <v>4.3741573033707866</v>
      </c>
      <c r="CD9" s="67">
        <f>IFERROR(VLOOKUP($B9,RD[#All],CD$2,0)/CD$1,"")</f>
        <v>4.3657735522904062</v>
      </c>
      <c r="CE9" s="67">
        <f>IFERROR(VLOOKUP($B9,RD[#All],CE$2,0)/CE$1,"")</f>
        <v>4.3576779026217229</v>
      </c>
      <c r="CF9" s="67">
        <f>IFERROR(VLOOKUP($B9,RD[#All],CF$2,0)/CF$1,"")</f>
        <v>4.3355805243445689</v>
      </c>
      <c r="CG9" s="67">
        <f>IFERROR(VLOOKUP($B9,RD[#All],CG$2,0)/CG$1,"")</f>
        <v>4.3812734082397</v>
      </c>
      <c r="CH9" s="67">
        <f>IFERROR(VLOOKUP($B9,RD[#All],CH$2,0)/CH$1,"")</f>
        <v>4.3940074906367039</v>
      </c>
      <c r="CI9" s="67">
        <f>IFERROR(VLOOKUP($B9,RD[#All],CI$2,0)/CI$1,"")</f>
        <v>4.3794007490636702</v>
      </c>
      <c r="CJ9" s="67">
        <f>IFERROR(VLOOKUP($B9,RD[#All],CJ$2,0)/CJ$1,"")</f>
        <v>4.3400749063670414</v>
      </c>
      <c r="CK9" s="67">
        <f>IFERROR(VLOOKUP($B9,RD[#All],CK$2,0)/CK$1,"")</f>
        <v>4.3400749063670414</v>
      </c>
      <c r="CL9" s="67">
        <f>IFERROR(VLOOKUP($B9,RD[#All],CL$2,0)/CL$1,"")</f>
        <v>4.3220973782771539</v>
      </c>
      <c r="CM9" s="67">
        <f>IFERROR(VLOOKUP($B9,RD[#All],CM$2,0)/CM$1,"")</f>
        <v>4.3250936329588017</v>
      </c>
      <c r="CN9" s="67">
        <f>IFERROR(VLOOKUP($B9,RD[#All],CN$2,0)/CN$1,"")</f>
        <v>4.2805243445692884</v>
      </c>
      <c r="CO9" s="67">
        <f>IFERROR(VLOOKUP($B9,RD[#All],CO$2,0)/CO$1,"")</f>
        <v>4.3016629213483153</v>
      </c>
      <c r="CP9" s="67">
        <f>IFERROR(VLOOKUP($B9,RD[#All],CP$2,0)/CP$1,"")</f>
        <v>4.2385479688850474</v>
      </c>
      <c r="CQ9" s="67">
        <f>IFERROR(VLOOKUP($B9,RD[#All],CQ$2,0)/CQ$1,"")</f>
        <v>4.3707865168539328</v>
      </c>
      <c r="CR9" s="67">
        <f>IFERROR(VLOOKUP($B9,RD[#All],CR$2,0)/CR$1,"")</f>
        <v>4.3655430711610483</v>
      </c>
      <c r="CS9" s="67">
        <f>IFERROR(VLOOKUP($B9,RD[#All],CS$2,0)/CS$1,"")</f>
        <v>4.3831876820640865</v>
      </c>
      <c r="CT9" s="67">
        <f>IFERROR(VLOOKUP($B9,RD[#All],CT$2,0)/CT$1,"")</f>
        <v>4.3857677902621726</v>
      </c>
      <c r="CU9" s="67">
        <f>IFERROR(VLOOKUP($B9,RD[#All],CU$2,0)/CU$1,"")</f>
        <v>2.8640449438202249</v>
      </c>
      <c r="CV9" s="67">
        <f>IFERROR(VLOOKUP($B9,RD[#All],CV$2,0)/CV$1,"")</f>
        <v>4.3917602996254681</v>
      </c>
      <c r="CW9" s="67">
        <f>IFERROR(VLOOKUP($B9,RD[#All],CW$2,0)/CW$1,"")</f>
        <v>4.3831460674157299</v>
      </c>
      <c r="CX9" s="67">
        <f>IFERROR(VLOOKUP($B9,RD[#All],CX$2,0)/CX$1,"")</f>
        <v>4.3737827715355806</v>
      </c>
      <c r="CY9" s="67">
        <f>IFERROR(VLOOKUP($B9,RD[#All],CY$2,0)/CY$1,"")</f>
        <v>4.3539325842696632</v>
      </c>
      <c r="CZ9" s="67">
        <f>IFERROR(VLOOKUP($B9,RD[#All],CZ$2,0)/CZ$1,"")</f>
        <v>4.393632958801498</v>
      </c>
      <c r="DA9" s="67">
        <f>IFERROR(VLOOKUP($B9,RD[#All],DA$2,0)/DA$1,"")</f>
        <v>4.4239700374531834</v>
      </c>
      <c r="DB9" s="67">
        <f>IFERROR(VLOOKUP($B9,RD[#All],DB$2,0)/DB$1,"")</f>
        <v>4.2235955056179781</v>
      </c>
      <c r="DC9" s="67">
        <f>IFERROR(VLOOKUP($B9,RD[#All],DC$2,0)/DC$1,"")</f>
        <v>4.3452351227632127</v>
      </c>
      <c r="DD9" s="67">
        <f>IFERROR(VLOOKUP($B9,RD[#All],DD$2,0)/DD$1,"")</f>
        <v>4.4149812734082392</v>
      </c>
      <c r="DE9" s="67">
        <f>IFERROR(VLOOKUP($B9,RD[#All],DE$2,0)/DE$1,"")</f>
        <v>4.3771951727007909</v>
      </c>
      <c r="DF9" s="67">
        <f>IFERROR(VLOOKUP($B9,RD[#All],DF$2,0)/DF$1,"")</f>
        <v>4.2080963532954163</v>
      </c>
      <c r="DG9" s="67">
        <f>IFERROR(VLOOKUP($B9,RD[#All],DG$2,0)/DG$1,"")</f>
        <v>4.3887640449438203</v>
      </c>
      <c r="DH9" s="67">
        <f>IFERROR(VLOOKUP($B9,RD[#All],DH$2,0)/DH$1,"")</f>
        <v>4.3828547648772371</v>
      </c>
      <c r="DI9" s="67">
        <f>IFERROR(VLOOKUP($B9,RD[#All],DI$2,0)/DI$1,"")</f>
        <v>4.4006914433880731</v>
      </c>
      <c r="DJ9" s="67">
        <f>IFERROR(VLOOKUP($B9,RD[#All],DJ$2,0)/DJ$1,"")</f>
        <v>4.351944684528954</v>
      </c>
      <c r="DK9" s="67">
        <f>IFERROR(VLOOKUP($B9,RD[#All],DK$2,0)/DK$1,"")</f>
        <v>4.3472326258843115</v>
      </c>
      <c r="DL9" s="67">
        <f>IFERROR(VLOOKUP($B9,RD[#All],DL$2,0)/DL$1,"")</f>
        <v>4.3971702039117764</v>
      </c>
      <c r="DM9" s="67">
        <f>IFERROR(VLOOKUP($B9,RD[#All],DM$2,0)/DM$1,"")</f>
        <v>4.3153558052434455</v>
      </c>
      <c r="DN9" s="67">
        <f>IFERROR(VLOOKUP($B9,RD[#All],DN$2,0)/DN$1,"")</f>
        <v>4.2059925093632957</v>
      </c>
      <c r="DO9" s="67">
        <f>IFERROR(VLOOKUP($B9,RD[#All],DO$2,0)/DO$1,"")</f>
        <v>4.195717631314821</v>
      </c>
      <c r="DP9" s="67">
        <f>IFERROR(VLOOKUP($B9,RD[#All],DP$2,0)/DP$1,"")</f>
        <v>4.2466916354556803</v>
      </c>
      <c r="DQ9" s="67">
        <f>IFERROR(VLOOKUP($B9,RD[#All],DQ$2,0)/DQ$1,"")</f>
        <v>4.2679983354140658</v>
      </c>
      <c r="DR9" s="67">
        <f>IFERROR(VLOOKUP($B9,RD[#All],DR$2,0)/DR$1,"")</f>
        <v>4.4029962546816472</v>
      </c>
      <c r="DS9" s="67">
        <f>IFERROR(VLOOKUP($B9,RD[#All],DS$2,0)/DS$1,"")</f>
        <v>4.4486891385767793</v>
      </c>
      <c r="DT9" s="67">
        <f>IFERROR(VLOOKUP($B9,RD[#All],DT$2,0)/DT$1,"")</f>
        <v>4.1155222638368709</v>
      </c>
      <c r="DU9" s="67">
        <f>IFERROR(VLOOKUP($B9,RD[#All],DU$2,0)/DU$1,"")</f>
        <v>4.0865584685809404</v>
      </c>
      <c r="DV9" s="67">
        <f>IFERROR(VLOOKUP($B9,RD[#All],DV$2,0)/DV$1,"")</f>
        <v>4.3235955056179778</v>
      </c>
      <c r="DW9" s="67">
        <f>IFERROR(VLOOKUP($B9,RD[#All],DW$2,0)/DW$1,"")</f>
        <v>4.3591760299625468</v>
      </c>
      <c r="DX9" s="67">
        <f>IFERROR(VLOOKUP($B9,RD[#All],DX$2,0)/DX$1,"")</f>
        <v>4.2546816479400746</v>
      </c>
      <c r="DY9" s="67">
        <f>IFERROR(VLOOKUP($B9,RD[#All],DY$2,0)/DY$1,"")</f>
        <v>4.3220973782771539</v>
      </c>
      <c r="DZ9" s="67">
        <f>IFERROR(VLOOKUP($B9,RD[#All],DZ$2,0)/DZ$1,"")</f>
        <v>4.2734082397003741</v>
      </c>
      <c r="EA9" s="67">
        <f>IFERROR(VLOOKUP($B9,RD[#All],EA$2,0)/EA$1,"")</f>
        <v>4.2183936745734494</v>
      </c>
      <c r="EB9" s="67">
        <f>IFERROR(VLOOKUP($B9,RD[#All],EB$2,0)/EB$1,"")</f>
        <v>4.2247191011235952</v>
      </c>
      <c r="EC9" s="67">
        <f>IFERROR(VLOOKUP($B9,RD[#All],EC$2,0)/EC$1,"")</f>
        <v>4.2115816767502166</v>
      </c>
      <c r="ED9" s="67">
        <f>IFERROR(VLOOKUP($B9,RD[#All],ED$2,0)/ED$1,"")</f>
        <v>4.2554883318928267</v>
      </c>
      <c r="EE9" s="67">
        <f>IFERROR(VLOOKUP($B9,RD[#All],EE$2,0)/EE$1,"")</f>
        <v>4.2655142610198791</v>
      </c>
      <c r="EF9" s="67">
        <f>IFERROR(VLOOKUP($B9,RD[#All],EF$2,0)/EF$1,"")</f>
        <v>4.3374872318692539</v>
      </c>
      <c r="EG9" s="67">
        <f>IFERROR(VLOOKUP($B9,RD[#All],EG$2,0)/EG$1,"")</f>
        <v>4.3013986013986019</v>
      </c>
      <c r="EH9" s="67">
        <f>IFERROR(VLOOKUP($B9,RD[#All],EH$2,0)/EH$1,"")</f>
        <v>4.2377622377622375</v>
      </c>
      <c r="EI9" s="67">
        <f>IFERROR(VLOOKUP($B9,RD[#All],EI$2,0)/EI$1,"")</f>
        <v>4.285664335664336</v>
      </c>
      <c r="EJ9" s="67">
        <f>IFERROR(VLOOKUP($B9,RD[#All],EJ$2,0)/EJ$1,"")</f>
        <v>4.2657342657342658</v>
      </c>
      <c r="EK9" s="67">
        <f>IFERROR(VLOOKUP($B9,RD[#All],EK$2,0)/EK$1,"")</f>
        <v>4.2416179775280902</v>
      </c>
      <c r="EL9" s="67">
        <f>IFERROR(VLOOKUP($B9,RD[#All],EL$2,0)/EL$1,"")</f>
        <v>4.2238951310861426</v>
      </c>
      <c r="EM9" s="67">
        <f>IFERROR(VLOOKUP($B9,RD[#All],EM$2,0)/EM$1,"")</f>
        <v>4.2610198789974074</v>
      </c>
      <c r="EN9" s="67">
        <f>IFERROR(VLOOKUP($B9,RD[#All],EN$2,0)/EN$1,"")</f>
        <v>4.2216076058772689</v>
      </c>
      <c r="EO9" s="67">
        <f>IFERROR(VLOOKUP($B9,RD[#All],EO$2,0)/EO$1,"")</f>
        <v>4.2265917602996259</v>
      </c>
      <c r="EP9" s="67">
        <f>IFERROR(VLOOKUP($B9,RD[#All],EP$2,0)/EP$1,"")</f>
        <v>4.2544511668107168</v>
      </c>
      <c r="EQ9" s="67">
        <f>IFERROR(VLOOKUP($B9,RD[#All],EQ$2,0)/EQ$1,"")</f>
        <v>4.2363295880149812</v>
      </c>
      <c r="ER9" s="67">
        <f>IFERROR(VLOOKUP($B9,RD[#All],ER$2,0)/ER$1,"")</f>
        <v>4.2561797752808985</v>
      </c>
      <c r="ES9" s="67">
        <f>IFERROR(VLOOKUP($B9,RD[#All],ES$2,0)/ES$1,"")</f>
        <v>4.2363295880149812</v>
      </c>
      <c r="ET9" s="67">
        <f>IFERROR(VLOOKUP($B9,RD[#All],ET$2,0)/ET$1,"")</f>
        <v>4.227170582226762</v>
      </c>
      <c r="EU9" s="67">
        <f>IFERROR(VLOOKUP($B9,RD[#All],EU$2,0)/EU$1,"")</f>
        <v>4.2575626620570439</v>
      </c>
      <c r="EV9" s="67">
        <f>IFERROR(VLOOKUP($B9,RD[#All],EV$2,0)/EV$1,"")</f>
        <v>4.2198789974070872</v>
      </c>
      <c r="EW9" s="67">
        <f>IFERROR(VLOOKUP($B9,RD[#All],EW$2,0)/EW$1,"")</f>
        <v>4.2392394122731201</v>
      </c>
      <c r="EX9" s="67">
        <f>IFERROR(VLOOKUP($B9,RD[#All],EX$2,0)/EX$1,"")</f>
        <v>4.2063670411985017</v>
      </c>
      <c r="EY9" s="67">
        <f>IFERROR(VLOOKUP($B9,RD[#All],EY$2,0)/EY$1,"")</f>
        <v>4.2709945900957136</v>
      </c>
      <c r="EZ9" s="67">
        <f>IFERROR(VLOOKUP($B9,RD[#All],EZ$2,0)/EZ$1,"")</f>
        <v>4.2127340823970032</v>
      </c>
      <c r="FA9" s="67">
        <f>IFERROR(VLOOKUP($B9,RD[#All],FA$2,0)/FA$1,"")</f>
        <v>4.2363295880149812</v>
      </c>
      <c r="FB9" s="67">
        <f>IFERROR(VLOOKUP($B9,RD[#All],FB$2,0)/FB$1,"")</f>
        <v>4.2138576779026211</v>
      </c>
      <c r="FC9" s="67">
        <f>IFERROR(VLOOKUP($B9,RD[#All],FC$2,0)/FC$1,"")</f>
        <v>4.2902621722846446</v>
      </c>
      <c r="FD9" s="67">
        <f>IFERROR(VLOOKUP($B9,RD[#All],FD$2,0)/FD$1,"")</f>
        <v>4.2715355805243442</v>
      </c>
      <c r="FE9" s="67">
        <f>IFERROR(VLOOKUP($B9,RD[#All],FE$2,0)/FE$1,"")</f>
        <v>4.3215909090909097</v>
      </c>
      <c r="FF9" s="67">
        <f>IFERROR(VLOOKUP($B9,RD[#All],FF$2,0)/FF$1,"")</f>
        <v>4.2401515151515152</v>
      </c>
      <c r="FG9" s="67">
        <f>IFERROR(VLOOKUP($B9,RD[#All],FG$2,0)/FG$1,"")</f>
        <v>4.2525252525252526</v>
      </c>
      <c r="FH9" s="67">
        <f>IFERROR(VLOOKUP($B9,RD[#All],FH$2,0)/FH$1,"")</f>
        <v>4.2856060606060611</v>
      </c>
      <c r="FI9" s="67">
        <f>IFERROR(VLOOKUP($B9,RD[#All],FI$2,0)/FI$1,"")</f>
        <v>4.2185185185185192</v>
      </c>
      <c r="FJ9" s="67">
        <f>IFERROR(VLOOKUP($B9,RD[#All],FJ$2,0)/FJ$1,"")</f>
        <v>4.2249158249158247</v>
      </c>
      <c r="FK9" s="67">
        <f>IFERROR(VLOOKUP($B9,RD[#All],FK$2,0)/FK$1,"")</f>
        <v>4.3144781144781144</v>
      </c>
      <c r="FL9" s="67">
        <f>IFERROR(VLOOKUP($B9,RD[#All],FL$2,0)/FL$1,"")</f>
        <v>4.276727272727272</v>
      </c>
      <c r="FM9" s="67">
        <f>IFERROR(VLOOKUP($B9,RD[#All],FM$2,0)/FM$1,"")</f>
        <v>4.2787878787878784</v>
      </c>
      <c r="FN9" s="67">
        <f>IFERROR(VLOOKUP($B9,RD[#All],FN$2,0)/FN$1,"")</f>
        <v>4.2</v>
      </c>
      <c r="FO9" s="67">
        <f>IFERROR(VLOOKUP($B9,RD[#All],FO$2,0)/FO$1,"")</f>
        <v>4.2928030303030305</v>
      </c>
      <c r="FP9" s="67">
        <f>IFERROR(VLOOKUP($B9,RD[#All],FP$2,0)/FP$1,"")</f>
        <v>4.263272727272728</v>
      </c>
      <c r="FQ9" s="67">
        <f>IFERROR(VLOOKUP($B9,RD[#All],FQ$2,0)/FQ$1,"")</f>
        <v>4.2694545454545452</v>
      </c>
      <c r="FR9" s="67">
        <f>IFERROR(VLOOKUP($B9,RD[#All],FR$2,0)/FR$1,"")</f>
        <v>4.2043636363636363</v>
      </c>
      <c r="FS9" s="67">
        <f>IFERROR(VLOOKUP($B9,RD[#All],FS$2,0)/FS$1,"")</f>
        <v>4.2531986531986536</v>
      </c>
      <c r="FT9" s="67">
        <f>IFERROR(VLOOKUP($B9,RD[#All],FT$2,0)/FT$1,"")</f>
        <v>4.3003636363636364</v>
      </c>
      <c r="FU9" s="67">
        <f>IFERROR(VLOOKUP($B9,RD[#All],FU$2,0)/FU$1,"")</f>
        <v>4.222558922558922</v>
      </c>
      <c r="FV9" s="67">
        <f>IFERROR(VLOOKUP($B9,RD[#All],FV$2,0)/FV$1,"")</f>
        <v>4.2518939393939394</v>
      </c>
      <c r="FW9" s="67">
        <f>IFERROR(VLOOKUP($B9,RD[#All],FW$2,0)/FW$1,"")</f>
        <v>4.2931818181818189</v>
      </c>
      <c r="FX9" s="67">
        <f>IFERROR(VLOOKUP($B9,RD[#All],FX$2,0)/FX$1,"")</f>
        <v>4.2465909090909086</v>
      </c>
      <c r="FY9" s="67">
        <f>IFERROR(VLOOKUP($B9,RD[#All],FY$2,0)/FY$1,"")</f>
        <v>4.2138047138047137</v>
      </c>
      <c r="FZ9" s="67">
        <f>IFERROR(VLOOKUP($B9,RD[#All],FZ$2,0)/FZ$1,"")</f>
        <v>4.3189393939393943</v>
      </c>
      <c r="GA9" s="67">
        <f>IFERROR(VLOOKUP($B9,RD[#All],GA$2,0)/GA$1,"")</f>
        <v>4.2377622377622375</v>
      </c>
      <c r="GB9" s="67">
        <f>IFERROR(VLOOKUP($B9,RD[#All],GB$2,0)/GB$1,"")</f>
        <v>4.222558922558922</v>
      </c>
      <c r="GC9" s="67">
        <f>IFERROR(VLOOKUP($B9,RD[#All],GC$2,0)/GC$1,"")</f>
        <v>4.2575757575757578</v>
      </c>
      <c r="GD9" s="67">
        <f>IFERROR(VLOOKUP($B9,RD[#All],GD$2,0)/GD$1,"")</f>
        <v>4.4210909090909087</v>
      </c>
      <c r="GE9" s="67">
        <f>IFERROR(VLOOKUP($B9,RD[#All],GE$2,0)/GE$1,"")</f>
        <v>4.2891608391608393</v>
      </c>
      <c r="GF9" s="67">
        <f>IFERROR(VLOOKUP($B9,RD[#All],GF$2,0)/GF$1,"")</f>
        <v>4.2673400673400677</v>
      </c>
      <c r="GG9" s="67">
        <f>IFERROR(VLOOKUP($B9,RD[#All],GG$2,0)/GG$1,"")</f>
        <v>4.3010909090909086</v>
      </c>
      <c r="GH9" s="67">
        <f>IFERROR(VLOOKUP($B9,RD[#All],GH$2,0)/GH$1,"")</f>
        <v>4.303272727272728</v>
      </c>
      <c r="GI9" s="67">
        <f>IFERROR(VLOOKUP($B9,RD[#All],GI$2,0)/GI$1,"")</f>
        <v>4.3560000000000008</v>
      </c>
      <c r="GJ9" s="67">
        <f>IFERROR(VLOOKUP($B9,RD[#All],GJ$2,0)/GJ$1,"")</f>
        <v>4.2307692307692308</v>
      </c>
      <c r="GK9" s="67">
        <f>IFERROR(VLOOKUP($B9,RD[#All],GK$2,0)/GK$1,"")</f>
        <v>4.2882575757575756</v>
      </c>
      <c r="GL9" s="67">
        <f>IFERROR(VLOOKUP($B9,RD[#All],GL$2,0)/GL$1,"")</f>
        <v>4.3022727272727268</v>
      </c>
      <c r="GM9" s="67">
        <f>IFERROR(VLOOKUP($B9,RD[#All],GM$2,0)/GM$1,"")</f>
        <v>4.2465909090909086</v>
      </c>
      <c r="GN9" s="67">
        <f>IFERROR(VLOOKUP($B9,RD[#All],GN$2,0)/GN$1,"")</f>
        <v>4.311742424242424</v>
      </c>
      <c r="GO9" s="67">
        <f>IFERROR(VLOOKUP($B9,RD[#All],GO$2,0)/GO$1,"")</f>
        <v>4.2844696969696967</v>
      </c>
      <c r="GP9" s="67">
        <f>IFERROR(VLOOKUP($B9,RD[#All],GP$2,0)/GP$1,"")</f>
        <v>4.2162878787878784</v>
      </c>
      <c r="GQ9" s="67">
        <f>IFERROR(VLOOKUP($B9,RD[#All],GQ$2,0)/GQ$1,"")</f>
        <v>4.3459090909090907</v>
      </c>
      <c r="GR9" s="67">
        <f>IFERROR(VLOOKUP($B9,RD[#All],GR$2,0)/GR$1,"")</f>
        <v>4.2579545454545453</v>
      </c>
      <c r="GS9" s="67" t="str">
        <f>IFERROR(VLOOKUP($B9,RD[#All],GS$2,0)/GS$1,"")</f>
        <v/>
      </c>
      <c r="GT9" s="67" t="str">
        <f>IFERROR(VLOOKUP($B9,RD[#All],GT$2,0)/GT$1,"")</f>
        <v/>
      </c>
      <c r="GU9" s="67">
        <f>IFERROR(VLOOKUP($B9,RD[#All],GU$2,0)/GU$1,"")</f>
        <v>4.3975373790677223E-4</v>
      </c>
      <c r="GV9" s="67">
        <f>IFERROR(VLOOKUP($B9,RD[#All],GV$2,0)/GV$1,"")</f>
        <v>4.237982663514579</v>
      </c>
      <c r="GW9" s="67">
        <f>IFERROR(VLOOKUP($B9,RD[#All],GW$2,0)/GW$1,"")</f>
        <v>4.2457501847745753</v>
      </c>
      <c r="GX9" s="67" t="str">
        <f>IFERROR(VLOOKUP($B9,RD[#All],GX$2,0)/GX$1,"")</f>
        <v/>
      </c>
      <c r="GY9" s="67">
        <f>IFERROR(VLOOKUP($B9,RD[#All],GY$2,0)/GY$1,"")</f>
        <v>4.36807928913192</v>
      </c>
      <c r="GZ9" s="67">
        <f>IFERROR(VLOOKUP($B9,RD[#All],GZ$2,0)/GZ$1,"")</f>
        <v>4.3404494382022474</v>
      </c>
      <c r="HA9" s="67">
        <f>IFERROR(VLOOKUP($B9,RD[#All],HA$2,0)/HA$1,"")</f>
        <v>4.3861423220973776</v>
      </c>
      <c r="HB9" s="67">
        <f>IFERROR(VLOOKUP($B9,RD[#All],HB$2,0)/HB$1,"")</f>
        <v>4.2258426966292131</v>
      </c>
      <c r="HC9" s="67">
        <f>IFERROR(VLOOKUP($B9,RD[#All],HC$2,0)/HC$1,"")</f>
        <v>4.3861423220973776</v>
      </c>
      <c r="HD9" s="67">
        <f>IFERROR(VLOOKUP($B9,RD[#All],HD$2,0)/HD$1,"")</f>
        <v>4.345692883895131</v>
      </c>
      <c r="HE9" s="67">
        <f>IFERROR(VLOOKUP($B9,RD[#All],HE$2,0)/HE$1,"")</f>
        <v>4.3734082397003746</v>
      </c>
      <c r="HF9" s="67">
        <f>IFERROR(VLOOKUP($B9,RD[#All],HF$2,0)/HF$1,"")</f>
        <v>4.3999999999999995</v>
      </c>
      <c r="HG9" s="67">
        <f>IFERROR(VLOOKUP($B9,RD[#All],HG$2,0)/HG$1,"")</f>
        <v>4.3250936329588017</v>
      </c>
      <c r="HH9" s="67">
        <f>IFERROR(VLOOKUP($B9,RD[#All],HH$2,0)/HH$1,"")</f>
        <v>4.238951310861423</v>
      </c>
      <c r="HI9" s="67">
        <f>IFERROR(VLOOKUP($B9,RD[#All],HI$2,0)/HI$1,"")</f>
        <v>4.3116104868913858</v>
      </c>
      <c r="HJ9" s="67">
        <f>IFERROR(VLOOKUP($B9,RD[#All],HJ$2,0)/HJ$1,"")</f>
        <v>4.3310861423220981</v>
      </c>
      <c r="HK9" s="67">
        <f>IFERROR(VLOOKUP($B9,RD[#All],HK$2,0)/HK$1,"")</f>
        <v>4.4018310445276736</v>
      </c>
      <c r="HL9" s="67">
        <f>IFERROR(VLOOKUP($B9,RD[#All],HL$2,0)/HL$1,"")</f>
        <v>4.4963795255930084</v>
      </c>
      <c r="HM9" s="67">
        <f>IFERROR(VLOOKUP($B9,RD[#All],HM$2,0)/HM$1,"")</f>
        <v>4.5862068965517233</v>
      </c>
      <c r="HN9" s="67">
        <f>IFERROR(VLOOKUP($B9,RD[#All],HN$2,0)/HN$1,"")</f>
        <v>4.5678459471562913</v>
      </c>
      <c r="HO9" s="67">
        <f>IFERROR(VLOOKUP($B9,RD[#All],HO$2,0)/HO$1,"")</f>
        <v>4.5517241379310347</v>
      </c>
      <c r="HP9" s="67">
        <f>IFERROR(VLOOKUP($B9,RD[#All],HP$2,0)/HP$1,"")</f>
        <v>4.3962382445141071</v>
      </c>
      <c r="HQ9" s="67">
        <f>IFERROR(VLOOKUP($B9,RD[#All],HQ$2,0)/HQ$1,"")</f>
        <v>4.265031265031265</v>
      </c>
      <c r="HR9" s="67">
        <f>IFERROR(VLOOKUP($B9,RD[#All],HR$2,0)/HR$1,"")</f>
        <v>4.3423686405337776</v>
      </c>
      <c r="HS9" s="67">
        <f>IFERROR(VLOOKUP($B9,RD[#All],HS$2,0)/HS$1,"")</f>
        <v>4.4889887640449437</v>
      </c>
      <c r="HT9" s="67">
        <f>IFERROR(VLOOKUP($B9,RD[#All],HT$2,0)/HT$1,"")</f>
        <v>4.4154806491885141</v>
      </c>
      <c r="HU9" s="67">
        <f>IFERROR(VLOOKUP($B9,RD[#All],HU$2,0)/HU$1,"")</f>
        <v>4.3630077787381154</v>
      </c>
      <c r="HV9" s="67">
        <f>IFERROR(VLOOKUP($B9,RD[#All],HV$2,0)/HV$1,"")</f>
        <v>4.3834053586862582</v>
      </c>
      <c r="HW9" s="67">
        <f>IFERROR(VLOOKUP($B9,RD[#All],HW$2,0)/HW$1,"")</f>
        <v>4.5141573033707862</v>
      </c>
      <c r="HX9" s="67">
        <f>IFERROR(VLOOKUP($B9,RD[#All],HX$2,0)/HX$1,"")</f>
        <v>4.4425237683664651</v>
      </c>
      <c r="HY9" s="67">
        <f>IFERROR(VLOOKUP($B9,RD[#All],HY$2,0)/HY$1,"")</f>
        <v>4.3955056179775278</v>
      </c>
      <c r="HZ9" s="67">
        <f>IFERROR(VLOOKUP($B9,RD[#All],HZ$2,0)/HZ$1,"")</f>
        <v>4.3245942571785267</v>
      </c>
      <c r="IA9" s="67">
        <f>IFERROR(VLOOKUP($B9,RD[#All],IA$2,0)/IA$1,"")</f>
        <v>4.2389277389277389</v>
      </c>
      <c r="IB9" s="67">
        <f>IFERROR(VLOOKUP($B9,RD[#All],IB$2,0)/IB$1,"")</f>
        <v>4.2828282828282829</v>
      </c>
      <c r="IC9" s="67">
        <f>IFERROR(VLOOKUP($B9,RD[#All],IC$2,0)/IC$1,"")</f>
        <v>4.2773892773892781</v>
      </c>
      <c r="ID9" s="67">
        <f>IFERROR(VLOOKUP($B9,RD[#All],ID$2,0)/ID$1,"")</f>
        <v>4.2704826038159371</v>
      </c>
      <c r="IE9" s="67">
        <f>IFERROR(VLOOKUP($B9,RD[#All],IE$2,0)/IE$1,"")</f>
        <v>4.2492929292929293</v>
      </c>
      <c r="IF9" s="67" t="str">
        <f>IFERROR(VLOOKUP($B9,RD[#All],IF$2,0)/IF$1,"")</f>
        <v/>
      </c>
      <c r="IG9" s="67">
        <f>IFERROR(VLOOKUP($B9,RD[#All],IG$2,0)/IG$1,"")</f>
        <v>4.5895839230116051</v>
      </c>
      <c r="IH9" s="67">
        <f>IFERROR(VLOOKUP($B9,RD[#All],IH$2,0)/IH$1,"")</f>
        <v>4.2532218739115288</v>
      </c>
      <c r="II9" s="67">
        <f>IFERROR(VLOOKUP($B9,RD[#All],II$2,0)/II$1,"")</f>
        <v>4.3363184079601993</v>
      </c>
      <c r="IJ9" s="67">
        <f>IFERROR(VLOOKUP($B9,RD[#All],IJ$2,0)/IJ$1,"")</f>
        <v>4.2353161242050126</v>
      </c>
      <c r="IK9" s="67">
        <f>IFERROR(VLOOKUP($B9,RD[#All],IK$2,0)/IK$1,"")</f>
        <v>4.2408702408702412</v>
      </c>
      <c r="IL9" s="67" t="str">
        <f>IFERROR(VLOOKUP($B9,RD[#All],IL$2,0)/IL$1,"")</f>
        <v/>
      </c>
      <c r="IM9" s="67" t="str">
        <f>IFERROR(VLOOKUP($B9,RD[#All],IM$2,0)/IM$1,"")</f>
        <v/>
      </c>
      <c r="IN9" s="67">
        <f>IFERROR(VLOOKUP($B9,RD[#All],IN$2,0)/IN$1,"")</f>
        <v>4.6858934169278994</v>
      </c>
      <c r="IO9" s="67">
        <f>IFERROR(VLOOKUP($B9,RD[#All],IO$2,0)/IO$1,"")</f>
        <v>4.4772727272727275</v>
      </c>
      <c r="IP9" s="67">
        <f>IFERROR(VLOOKUP($B9,RD[#All],IP$2,0)/IP$1,"")</f>
        <v>5.1344775146643498</v>
      </c>
      <c r="IQ9" s="67">
        <f>IFERROR(VLOOKUP($B9,RD[#All],IQ$2,0)/IQ$1,"")</f>
        <v>4.3550893550893557</v>
      </c>
      <c r="IR9" s="67">
        <f>IFERROR(VLOOKUP($B9,RD[#All],IR$2,0)/IR$1,"")</f>
        <v>4.3743781094527359</v>
      </c>
      <c r="IS9" s="86">
        <f>IFERROR(AVERAGEIF(Inv_SY_B[[#This Row],[BLK1_INV1]:[BLK8_INV27]],"&gt;"&amp;0.1,Inv_SY_B[[#This Row],[BLK1_INV1]:[BLK8_INV27]]),"")</f>
        <v>4.323400078359966</v>
      </c>
    </row>
    <row r="10" spans="2:253" x14ac:dyDescent="0.25">
      <c r="B10" s="85">
        <f t="shared" si="0"/>
        <v>45836</v>
      </c>
      <c r="C10" s="67">
        <f>IFERROR(VLOOKUP($B10,RD[#All],C$2,0)/C$1,"")</f>
        <v>3.6273120138288677</v>
      </c>
      <c r="D10" s="67">
        <f>IFERROR(VLOOKUP($B10,RD[#All],D$2,0)/D$1,"")</f>
        <v>3.6968020743301642</v>
      </c>
      <c r="E10" s="67">
        <f>IFERROR(VLOOKUP($B10,RD[#All],E$2,0)/E$1,"")</f>
        <v>3.5996254681647941</v>
      </c>
      <c r="F10" s="67">
        <f>IFERROR(VLOOKUP($B10,RD[#All],F$2,0)/F$1,"")</f>
        <v>3.6093632958801498</v>
      </c>
      <c r="G10" s="67">
        <f>IFERROR(VLOOKUP($B10,RD[#All],G$2,0)/G$1,"")</f>
        <v>3.6923076923076925</v>
      </c>
      <c r="H10" s="67">
        <f>IFERROR(VLOOKUP($B10,RD[#All],H$2,0)/H$1,"")</f>
        <v>3.6853932584269664</v>
      </c>
      <c r="I10" s="67">
        <f>IFERROR(VLOOKUP($B10,RD[#All],I$2,0)/I$1,"")</f>
        <v>3.7101123595505618</v>
      </c>
      <c r="J10" s="67">
        <f>IFERROR(VLOOKUP($B10,RD[#All],J$2,0)/J$1,"")</f>
        <v>3.7101123595505618</v>
      </c>
      <c r="K10" s="67">
        <f>IFERROR(VLOOKUP($B10,RD[#All],K$2,0)/K$1,"")</f>
        <v>3.6641797752808989</v>
      </c>
      <c r="L10" s="67">
        <f>IFERROR(VLOOKUP($B10,RD[#All],L$2,0)/L$1,"")</f>
        <v>3.6825168539325843</v>
      </c>
      <c r="M10" s="67">
        <f>IFERROR(VLOOKUP($B10,RD[#All],M$2,0)/M$1,"")</f>
        <v>3.6284644194756552</v>
      </c>
      <c r="N10" s="67">
        <f>IFERROR(VLOOKUP($B10,RD[#All],N$2,0)/N$1,"")</f>
        <v>3.7374531835205991</v>
      </c>
      <c r="O10" s="67">
        <f>IFERROR(VLOOKUP($B10,RD[#All],O$2,0)/O$1,"")</f>
        <v>3.5183520599250935</v>
      </c>
      <c r="P10" s="67">
        <f>IFERROR(VLOOKUP($B10,RD[#All],P$2,0)/P$1,"")</f>
        <v>3.5877425944841677</v>
      </c>
      <c r="Q10" s="67">
        <f>IFERROR(VLOOKUP($B10,RD[#All],Q$2,0)/Q$1,"")</f>
        <v>3.6827715355805242</v>
      </c>
      <c r="R10" s="67">
        <f>IFERROR(VLOOKUP($B10,RD[#All],R$2,0)/R$1,"")</f>
        <v>3.648314606741573</v>
      </c>
      <c r="S10" s="67">
        <f>IFERROR(VLOOKUP($B10,RD[#All],S$2,0)/S$1,"")</f>
        <v>3.6617977528089889</v>
      </c>
      <c r="T10" s="67">
        <f>IFERROR(VLOOKUP($B10,RD[#All],T$2,0)/T$1,"")</f>
        <v>3.6561797752808989</v>
      </c>
      <c r="U10" s="67">
        <f>IFERROR(VLOOKUP($B10,RD[#All],U$2,0)/U$1,"")</f>
        <v>3.6383751080380295</v>
      </c>
      <c r="V10" s="67">
        <f>IFERROR(VLOOKUP($B10,RD[#All],V$2,0)/V$1,"")</f>
        <v>3.6497839239412273</v>
      </c>
      <c r="W10" s="67">
        <f>IFERROR(VLOOKUP($B10,RD[#All],W$2,0)/W$1,"")</f>
        <v>3.5621722846441948</v>
      </c>
      <c r="X10" s="67">
        <f>IFERROR(VLOOKUP($B10,RD[#All],X$2,0)/X$1,"")</f>
        <v>3.594756554307116</v>
      </c>
      <c r="Y10" s="67">
        <f>IFERROR(VLOOKUP($B10,RD[#All],Y$2,0)/Y$1,"")</f>
        <v>3.5481417458945548</v>
      </c>
      <c r="Z10" s="67">
        <f>IFERROR(VLOOKUP($B10,RD[#All],Z$2,0)/Z$1,"")</f>
        <v>3.6417811069496464</v>
      </c>
      <c r="AA10" s="67">
        <f>IFERROR(VLOOKUP($B10,RD[#All],AA$2,0)/AA$1,"")</f>
        <v>3.5768366464995673</v>
      </c>
      <c r="AB10" s="67">
        <f>IFERROR(VLOOKUP($B10,RD[#All],AB$2,0)/AB$1,"")</f>
        <v>3.6248919619706137</v>
      </c>
      <c r="AC10" s="67">
        <f>IFERROR(VLOOKUP($B10,RD[#All],AC$2,0)/AC$1,"")</f>
        <v>3.5028522039757997</v>
      </c>
      <c r="AD10" s="67">
        <f>IFERROR(VLOOKUP($B10,RD[#All],AD$2,0)/AD$1,"")</f>
        <v>3.5592176446109027</v>
      </c>
      <c r="AE10" s="67">
        <f>IFERROR(VLOOKUP($B10,RD[#All],AE$2,0)/AE$1,"")</f>
        <v>3.5918435289221811</v>
      </c>
      <c r="AF10" s="67">
        <f>IFERROR(VLOOKUP($B10,RD[#All],AF$2,0)/AF$1,"")</f>
        <v>3.5395755305867667</v>
      </c>
      <c r="AG10" s="67">
        <f>IFERROR(VLOOKUP($B10,RD[#All],AG$2,0)/AG$1,"")</f>
        <v>3.5658759883478983</v>
      </c>
      <c r="AH10" s="67">
        <f>IFERROR(VLOOKUP($B10,RD[#All],AH$2,0)/AH$1,"")</f>
        <v>3.499625468164794</v>
      </c>
      <c r="AI10" s="67">
        <f>IFERROR(VLOOKUP($B10,RD[#All],AI$2,0)/AI$1,"")</f>
        <v>3.545990566037736</v>
      </c>
      <c r="AJ10" s="67">
        <f>IFERROR(VLOOKUP($B10,RD[#All],AJ$2,0)/AJ$1,"")</f>
        <v>3.5904946943655656</v>
      </c>
      <c r="AK10" s="67">
        <f>IFERROR(VLOOKUP($B10,RD[#All],AK$2,0)/AK$1,"")</f>
        <v>3.6374531835205994</v>
      </c>
      <c r="AL10" s="67">
        <f>IFERROR(VLOOKUP($B10,RD[#All],AL$2,0)/AL$1,"")</f>
        <v>3.5128805620608903</v>
      </c>
      <c r="AM10" s="67">
        <f>IFERROR(VLOOKUP($B10,RD[#All],AM$2,0)/AM$1,"")</f>
        <v>3.6374531835205994</v>
      </c>
      <c r="AN10" s="67">
        <f>IFERROR(VLOOKUP($B10,RD[#All],AN$2,0)/AN$1,"")</f>
        <v>3.6179775280898876</v>
      </c>
      <c r="AO10" s="67">
        <f>IFERROR(VLOOKUP($B10,RD[#All],AO$2,0)/AO$1,"")</f>
        <v>3.262172284644195</v>
      </c>
      <c r="AP10" s="67">
        <f>IFERROR(VLOOKUP($B10,RD[#All],AP$2,0)/AP$1,"")</f>
        <v>3.6498127340823969</v>
      </c>
      <c r="AQ10" s="67">
        <f>IFERROR(VLOOKUP($B10,RD[#All],AQ$2,0)/AQ$1,"")</f>
        <v>3.6554307116104869</v>
      </c>
      <c r="AR10" s="67">
        <f>IFERROR(VLOOKUP($B10,RD[#All],AR$2,0)/AR$1,"")</f>
        <v>3.642696629213483</v>
      </c>
      <c r="AS10" s="67">
        <f>IFERROR(VLOOKUP($B10,RD[#All],AS$2,0)/AS$1,"")</f>
        <v>3.6374531835205994</v>
      </c>
      <c r="AT10" s="67">
        <f>IFERROR(VLOOKUP($B10,RD[#All],AT$2,0)/AT$1,"")</f>
        <v>3.6164794007490637</v>
      </c>
      <c r="AU10" s="67">
        <f>IFERROR(VLOOKUP($B10,RD[#All],AU$2,0)/AU$1,"")</f>
        <v>3.6</v>
      </c>
      <c r="AV10" s="67">
        <f>IFERROR(VLOOKUP($B10,RD[#All],AV$2,0)/AV$1,"")</f>
        <v>3.583520599250936</v>
      </c>
      <c r="AW10" s="67">
        <f>IFERROR(VLOOKUP($B10,RD[#All],AW$2,0)/AW$1,"")</f>
        <v>3.5609334485738979</v>
      </c>
      <c r="AX10" s="67">
        <f>IFERROR(VLOOKUP($B10,RD[#All],AX$2,0)/AX$1,"")</f>
        <v>3.6247191011235955</v>
      </c>
      <c r="AY10" s="67">
        <f>IFERROR(VLOOKUP($B10,RD[#All],AY$2,0)/AY$1,"")</f>
        <v>3.5839999999999996</v>
      </c>
      <c r="AZ10" s="67">
        <f>IFERROR(VLOOKUP($B10,RD[#All],AZ$2,0)/AZ$1,"")</f>
        <v>3.4980674157303371</v>
      </c>
      <c r="BA10" s="67">
        <f>IFERROR(VLOOKUP($B10,RD[#All],BA$2,0)/BA$1,"")</f>
        <v>3.6374531835205994</v>
      </c>
      <c r="BB10" s="67">
        <f>IFERROR(VLOOKUP($B10,RD[#All],BB$2,0)/BB$1,"")</f>
        <v>3.6509363295880148</v>
      </c>
      <c r="BC10" s="67">
        <f>IFERROR(VLOOKUP($B10,RD[#All],BC$2,0)/BC$1,"")</f>
        <v>3.6394506866416982</v>
      </c>
      <c r="BD10" s="67">
        <f>IFERROR(VLOOKUP($B10,RD[#All],BD$2,0)/BD$1,"")</f>
        <v>3.6577611319184355</v>
      </c>
      <c r="BE10" s="67">
        <f>IFERROR(VLOOKUP($B10,RD[#All],BE$2,0)/BE$1,"")</f>
        <v>3.536732929991357</v>
      </c>
      <c r="BF10" s="67">
        <f>IFERROR(VLOOKUP($B10,RD[#All],BF$2,0)/BF$1,"")</f>
        <v>3.6624219725343319</v>
      </c>
      <c r="BG10" s="67">
        <f>IFERROR(VLOOKUP($B10,RD[#All],BG$2,0)/BG$1,"")</f>
        <v>3.6740740740740736</v>
      </c>
      <c r="BH10" s="67">
        <f>IFERROR(VLOOKUP($B10,RD[#All],BH$2,0)/BH$1,"")</f>
        <v>3.2666666666666671</v>
      </c>
      <c r="BI10" s="67">
        <f>IFERROR(VLOOKUP($B10,RD[#All],BI$2,0)/BI$1,"")</f>
        <v>3.5845193508114859</v>
      </c>
      <c r="BJ10" s="67">
        <f>IFERROR(VLOOKUP($B10,RD[#All],BJ$2,0)/BJ$1,"")</f>
        <v>3.6327923429047027</v>
      </c>
      <c r="BK10" s="67">
        <f>IFERROR(VLOOKUP($B10,RD[#All],BK$2,0)/BK$1,"")</f>
        <v>3.714232209737828</v>
      </c>
      <c r="BL10" s="67">
        <f>IFERROR(VLOOKUP($B10,RD[#All],BL$2,0)/BL$1,"")</f>
        <v>3.5296085647373707</v>
      </c>
      <c r="BM10" s="67">
        <f>IFERROR(VLOOKUP($B10,RD[#All],BM$2,0)/BM$1,"")</f>
        <v>3.6913857677902624</v>
      </c>
      <c r="BN10" s="67">
        <f>IFERROR(VLOOKUP($B10,RD[#All],BN$2,0)/BN$1,"")</f>
        <v>3.7701149425287355</v>
      </c>
      <c r="BO10" s="67">
        <f>IFERROR(VLOOKUP($B10,RD[#All],BO$2,0)/BO$1,"")</f>
        <v>3.6663785652549699</v>
      </c>
      <c r="BP10" s="67">
        <f>IFERROR(VLOOKUP($B10,RD[#All],BP$2,0)/BP$1,"")</f>
        <v>3.5996542783059637</v>
      </c>
      <c r="BQ10" s="67">
        <f>IFERROR(VLOOKUP($B10,RD[#All],BQ$2,0)/BQ$1,"")</f>
        <v>3.6515125324114091</v>
      </c>
      <c r="BR10" s="67">
        <f>IFERROR(VLOOKUP($B10,RD[#All],BR$2,0)/BR$1,"")</f>
        <v>3.6044943820224717</v>
      </c>
      <c r="BS10" s="67">
        <f>IFERROR(VLOOKUP($B10,RD[#All],BS$2,0)/BS$1,"")</f>
        <v>3.6464419475655432</v>
      </c>
      <c r="BT10" s="67">
        <f>IFERROR(VLOOKUP($B10,RD[#All],BT$2,0)/BT$1,"")</f>
        <v>3.6093632958801498</v>
      </c>
      <c r="BU10" s="67">
        <f>IFERROR(VLOOKUP($B10,RD[#All],BU$2,0)/BU$1,"")</f>
        <v>3.6217228464419478</v>
      </c>
      <c r="BV10" s="67">
        <f>IFERROR(VLOOKUP($B10,RD[#All],BV$2,0)/BV$1,"")</f>
        <v>3.6745318352059928</v>
      </c>
      <c r="BW10" s="67">
        <f>IFERROR(VLOOKUP($B10,RD[#All],BW$2,0)/BW$1,"")</f>
        <v>3.6307116104868915</v>
      </c>
      <c r="BX10" s="67">
        <f>IFERROR(VLOOKUP($B10,RD[#All],BX$2,0)/BX$1,"")</f>
        <v>3.5794007490636708</v>
      </c>
      <c r="BY10" s="67">
        <f>IFERROR(VLOOKUP($B10,RD[#All],BY$2,0)/BY$1,"")</f>
        <v>3.5712026633374951</v>
      </c>
      <c r="BZ10" s="67">
        <f>IFERROR(VLOOKUP($B10,RD[#All],BZ$2,0)/BZ$1,"")</f>
        <v>3.5991677070328754</v>
      </c>
      <c r="CA10" s="67">
        <f>IFERROR(VLOOKUP($B10,RD[#All],CA$2,0)/CA$1,"")</f>
        <v>3.6311277569704536</v>
      </c>
      <c r="CB10" s="67">
        <f>IFERROR(VLOOKUP($B10,RD[#All],CB$2,0)/CB$1,"")</f>
        <v>3.6322097378277154</v>
      </c>
      <c r="CC10" s="67">
        <f>IFERROR(VLOOKUP($B10,RD[#All],CC$2,0)/CC$1,"")</f>
        <v>3.6453183520599248</v>
      </c>
      <c r="CD10" s="67">
        <f>IFERROR(VLOOKUP($B10,RD[#All],CD$2,0)/CD$1,"")</f>
        <v>3.6681071737251512</v>
      </c>
      <c r="CE10" s="67">
        <f>IFERROR(VLOOKUP($B10,RD[#All],CE$2,0)/CE$1,"")</f>
        <v>3.5872659176029962</v>
      </c>
      <c r="CF10" s="67">
        <f>IFERROR(VLOOKUP($B10,RD[#All],CF$2,0)/CF$1,"")</f>
        <v>3.6374531835205994</v>
      </c>
      <c r="CG10" s="67">
        <f>IFERROR(VLOOKUP($B10,RD[#All],CG$2,0)/CG$1,"")</f>
        <v>3.6674157303370789</v>
      </c>
      <c r="CH10" s="67">
        <f>IFERROR(VLOOKUP($B10,RD[#All],CH$2,0)/CH$1,"")</f>
        <v>3.6213483146067413</v>
      </c>
      <c r="CI10" s="67">
        <f>IFERROR(VLOOKUP($B10,RD[#All],CI$2,0)/CI$1,"")</f>
        <v>3.6711610486891386</v>
      </c>
      <c r="CJ10" s="67">
        <f>IFERROR(VLOOKUP($B10,RD[#All],CJ$2,0)/CJ$1,"")</f>
        <v>3.6187265917603</v>
      </c>
      <c r="CK10" s="67">
        <f>IFERROR(VLOOKUP($B10,RD[#All],CK$2,0)/CK$1,"")</f>
        <v>3.5812734082397006</v>
      </c>
      <c r="CL10" s="67">
        <f>IFERROR(VLOOKUP($B10,RD[#All],CL$2,0)/CL$1,"")</f>
        <v>3.6640449438202247</v>
      </c>
      <c r="CM10" s="67">
        <f>IFERROR(VLOOKUP($B10,RD[#All],CM$2,0)/CM$1,"")</f>
        <v>3.6344569288389512</v>
      </c>
      <c r="CN10" s="67">
        <f>IFERROR(VLOOKUP($B10,RD[#All],CN$2,0)/CN$1,"")</f>
        <v>3.5850187265917604</v>
      </c>
      <c r="CO10" s="67">
        <f>IFERROR(VLOOKUP($B10,RD[#All],CO$2,0)/CO$1,"")</f>
        <v>3.5847191011235955</v>
      </c>
      <c r="CP10" s="67">
        <f>IFERROR(VLOOKUP($B10,RD[#All],CP$2,0)/CP$1,"")</f>
        <v>3.5215211754537599</v>
      </c>
      <c r="CQ10" s="67">
        <f>IFERROR(VLOOKUP($B10,RD[#All],CQ$2,0)/CQ$1,"")</f>
        <v>3.6</v>
      </c>
      <c r="CR10" s="67">
        <f>IFERROR(VLOOKUP($B10,RD[#All],CR$2,0)/CR$1,"")</f>
        <v>3.1985018726591758</v>
      </c>
      <c r="CS10" s="67">
        <f>IFERROR(VLOOKUP($B10,RD[#All],CS$2,0)/CS$1,"")</f>
        <v>3.6647523928422805</v>
      </c>
      <c r="CT10" s="67">
        <f>IFERROR(VLOOKUP($B10,RD[#All],CT$2,0)/CT$1,"")</f>
        <v>3.6505617977528093</v>
      </c>
      <c r="CU10" s="67">
        <f>IFERROR(VLOOKUP($B10,RD[#All],CU$2,0)/CU$1,"")</f>
        <v>0</v>
      </c>
      <c r="CV10" s="67">
        <f>IFERROR(VLOOKUP($B10,RD[#All],CV$2,0)/CV$1,"")</f>
        <v>3.6408239700374532</v>
      </c>
      <c r="CW10" s="67">
        <f>IFERROR(VLOOKUP($B10,RD[#All],CW$2,0)/CW$1,"")</f>
        <v>3.5880149812734081</v>
      </c>
      <c r="CX10" s="67">
        <f>IFERROR(VLOOKUP($B10,RD[#All],CX$2,0)/CX$1,"")</f>
        <v>3.5737827715355808</v>
      </c>
      <c r="CY10" s="67">
        <f>IFERROR(VLOOKUP($B10,RD[#All],CY$2,0)/CY$1,"")</f>
        <v>3.612734082397004</v>
      </c>
      <c r="CZ10" s="67">
        <f>IFERROR(VLOOKUP($B10,RD[#All],CZ$2,0)/CZ$1,"")</f>
        <v>3.5640449438202246</v>
      </c>
      <c r="DA10" s="67">
        <f>IFERROR(VLOOKUP($B10,RD[#All],DA$2,0)/DA$1,"")</f>
        <v>3.5932584269662922</v>
      </c>
      <c r="DB10" s="67">
        <f>IFERROR(VLOOKUP($B10,RD[#All],DB$2,0)/DB$1,"")</f>
        <v>3.5591760299625466</v>
      </c>
      <c r="DC10" s="67">
        <f>IFERROR(VLOOKUP($B10,RD[#All],DC$2,0)/DC$1,"")</f>
        <v>3.5655430711610485</v>
      </c>
      <c r="DD10" s="67">
        <f>IFERROR(VLOOKUP($B10,RD[#All],DD$2,0)/DD$1,"")</f>
        <v>3.6217228464419478</v>
      </c>
      <c r="DE10" s="67">
        <f>IFERROR(VLOOKUP($B10,RD[#All],DE$2,0)/DE$1,"")</f>
        <v>3.6078235538909698</v>
      </c>
      <c r="DF10" s="67">
        <f>IFERROR(VLOOKUP($B10,RD[#All],DF$2,0)/DF$1,"")</f>
        <v>3.517229842756775</v>
      </c>
      <c r="DG10" s="67">
        <f>IFERROR(VLOOKUP($B10,RD[#All],DG$2,0)/DG$1,"")</f>
        <v>3.5202247191011233</v>
      </c>
      <c r="DH10" s="67">
        <f>IFERROR(VLOOKUP($B10,RD[#All],DH$2,0)/DH$1,"")</f>
        <v>3.6787349146899708</v>
      </c>
      <c r="DI10" s="67">
        <f>IFERROR(VLOOKUP($B10,RD[#All],DI$2,0)/DI$1,"")</f>
        <v>3.567847882454624</v>
      </c>
      <c r="DJ10" s="67">
        <f>IFERROR(VLOOKUP($B10,RD[#All],DJ$2,0)/DJ$1,"")</f>
        <v>3.5235955056179775</v>
      </c>
      <c r="DK10" s="67">
        <f>IFERROR(VLOOKUP($B10,RD[#All],DK$2,0)/DK$1,"")</f>
        <v>3.521930919683729</v>
      </c>
      <c r="DL10" s="67">
        <f>IFERROR(VLOOKUP($B10,RD[#All],DL$2,0)/DL$1,"")</f>
        <v>3.5672076570952975</v>
      </c>
      <c r="DM10" s="67">
        <f>IFERROR(VLOOKUP($B10,RD[#All],DM$2,0)/DM$1,"")</f>
        <v>3.6213483146067413</v>
      </c>
      <c r="DN10" s="67">
        <f>IFERROR(VLOOKUP($B10,RD[#All],DN$2,0)/DN$1,"")</f>
        <v>3.5808988764044947</v>
      </c>
      <c r="DO10" s="67">
        <f>IFERROR(VLOOKUP($B10,RD[#All],DO$2,0)/DO$1,"")</f>
        <v>3.5503512880562065</v>
      </c>
      <c r="DP10" s="67">
        <f>IFERROR(VLOOKUP($B10,RD[#All],DP$2,0)/DP$1,"")</f>
        <v>3.5089471493965876</v>
      </c>
      <c r="DQ10" s="67">
        <f>IFERROR(VLOOKUP($B10,RD[#All],DQ$2,0)/DQ$1,"")</f>
        <v>3.5618809821057016</v>
      </c>
      <c r="DR10" s="67">
        <f>IFERROR(VLOOKUP($B10,RD[#All],DR$2,0)/DR$1,"")</f>
        <v>3.5737827715355808</v>
      </c>
      <c r="DS10" s="67">
        <f>IFERROR(VLOOKUP($B10,RD[#All],DS$2,0)/DS$1,"")</f>
        <v>3.6224719101123597</v>
      </c>
      <c r="DT10" s="67">
        <f>IFERROR(VLOOKUP($B10,RD[#All],DT$2,0)/DT$1,"")</f>
        <v>3.3258426966292136</v>
      </c>
      <c r="DU10" s="67">
        <f>IFERROR(VLOOKUP($B10,RD[#All],DU$2,0)/DU$1,"")</f>
        <v>3.3458177278401999</v>
      </c>
      <c r="DV10" s="67">
        <f>IFERROR(VLOOKUP($B10,RD[#All],DV$2,0)/DV$1,"")</f>
        <v>3.5805243445692883</v>
      </c>
      <c r="DW10" s="67">
        <f>IFERROR(VLOOKUP($B10,RD[#All],DW$2,0)/DW$1,"")</f>
        <v>3.5243445692883895</v>
      </c>
      <c r="DX10" s="67">
        <f>IFERROR(VLOOKUP($B10,RD[#All],DX$2,0)/DX$1,"")</f>
        <v>3.5255930087390763</v>
      </c>
      <c r="DY10" s="67">
        <f>IFERROR(VLOOKUP($B10,RD[#All],DY$2,0)/DY$1,"")</f>
        <v>3.5805243445692883</v>
      </c>
      <c r="DZ10" s="67">
        <f>IFERROR(VLOOKUP($B10,RD[#All],DZ$2,0)/DZ$1,"")</f>
        <v>3.5430711610486894</v>
      </c>
      <c r="EA10" s="67">
        <f>IFERROR(VLOOKUP($B10,RD[#All],EA$2,0)/EA$1,"")</f>
        <v>3.628797336662505</v>
      </c>
      <c r="EB10" s="67">
        <f>IFERROR(VLOOKUP($B10,RD[#All],EB$2,0)/EB$1,"")</f>
        <v>3.5968372867249276</v>
      </c>
      <c r="EC10" s="67">
        <f>IFERROR(VLOOKUP($B10,RD[#All],EC$2,0)/EC$1,"")</f>
        <v>3.3089023336214347</v>
      </c>
      <c r="ED10" s="67">
        <f>IFERROR(VLOOKUP($B10,RD[#All],ED$2,0)/ED$1,"")</f>
        <v>3.620397579948142</v>
      </c>
      <c r="EE10" s="67">
        <f>IFERROR(VLOOKUP($B10,RD[#All],EE$2,0)/EE$1,"")</f>
        <v>3.6715643906655142</v>
      </c>
      <c r="EF10" s="67">
        <f>IFERROR(VLOOKUP($B10,RD[#All],EF$2,0)/EF$1,"")</f>
        <v>3.6976506639427988</v>
      </c>
      <c r="EG10" s="67">
        <f>IFERROR(VLOOKUP($B10,RD[#All],EG$2,0)/EG$1,"")</f>
        <v>3.7290209790209792</v>
      </c>
      <c r="EH10" s="67">
        <f>IFERROR(VLOOKUP($B10,RD[#All],EH$2,0)/EH$1,"")</f>
        <v>3.5646853146853146</v>
      </c>
      <c r="EI10" s="67">
        <f>IFERROR(VLOOKUP($B10,RD[#All],EI$2,0)/EI$1,"")</f>
        <v>3.7248251748251748</v>
      </c>
      <c r="EJ10" s="67">
        <f>IFERROR(VLOOKUP($B10,RD[#All],EJ$2,0)/EJ$1,"")</f>
        <v>3.7073426573426573</v>
      </c>
      <c r="EK10" s="67">
        <f>IFERROR(VLOOKUP($B10,RD[#All],EK$2,0)/EK$1,"")</f>
        <v>3.6915056179775281</v>
      </c>
      <c r="EL10" s="67">
        <f>IFERROR(VLOOKUP($B10,RD[#All],EL$2,0)/EL$1,"")</f>
        <v>3.2812734082397004</v>
      </c>
      <c r="EM10" s="67">
        <f>IFERROR(VLOOKUP($B10,RD[#All],EM$2,0)/EM$1,"")</f>
        <v>3.6283491789109767</v>
      </c>
      <c r="EN10" s="67">
        <f>IFERROR(VLOOKUP($B10,RD[#All],EN$2,0)/EN$1,"")</f>
        <v>3.5495246326707002</v>
      </c>
      <c r="EO10" s="67">
        <f>IFERROR(VLOOKUP($B10,RD[#All],EO$2,0)/EO$1,"")</f>
        <v>3.6704119850187267</v>
      </c>
      <c r="EP10" s="67">
        <f>IFERROR(VLOOKUP($B10,RD[#All],EP$2,0)/EP$1,"")</f>
        <v>3.7133967156439063</v>
      </c>
      <c r="EQ10" s="67">
        <f>IFERROR(VLOOKUP($B10,RD[#All],EQ$2,0)/EQ$1,"")</f>
        <v>3.5659176029962549</v>
      </c>
      <c r="ER10" s="67">
        <f>IFERROR(VLOOKUP($B10,RD[#All],ER$2,0)/ER$1,"")</f>
        <v>3.6380293863439928</v>
      </c>
      <c r="ES10" s="67">
        <f>IFERROR(VLOOKUP($B10,RD[#All],ES$2,0)/ES$1,"")</f>
        <v>3.6104868913857677</v>
      </c>
      <c r="ET10" s="67">
        <f>IFERROR(VLOOKUP($B10,RD[#All],ET$2,0)/ET$1,"")</f>
        <v>3.6902962206332997</v>
      </c>
      <c r="EU10" s="67">
        <f>IFERROR(VLOOKUP($B10,RD[#All],EU$2,0)/EU$1,"")</f>
        <v>3.6145203111495245</v>
      </c>
      <c r="EV10" s="67">
        <f>IFERROR(VLOOKUP($B10,RD[#All],EV$2,0)/EV$1,"")</f>
        <v>3.6556611927398448</v>
      </c>
      <c r="EW10" s="67">
        <f>IFERROR(VLOOKUP($B10,RD[#All],EW$2,0)/EW$1,"")</f>
        <v>3.6535868625756263</v>
      </c>
      <c r="EX10" s="67">
        <f>IFERROR(VLOOKUP($B10,RD[#All],EX$2,0)/EX$1,"")</f>
        <v>3.5872659176029962</v>
      </c>
      <c r="EY10" s="67">
        <f>IFERROR(VLOOKUP($B10,RD[#All],EY$2,0)/EY$1,"")</f>
        <v>3.5761964211402417</v>
      </c>
      <c r="EZ10" s="67">
        <f>IFERROR(VLOOKUP($B10,RD[#All],EZ$2,0)/EZ$1,"")</f>
        <v>3.553183520599251</v>
      </c>
      <c r="FA10" s="67">
        <f>IFERROR(VLOOKUP($B10,RD[#All],FA$2,0)/FA$1,"")</f>
        <v>3.5419475655430714</v>
      </c>
      <c r="FB10" s="67">
        <f>IFERROR(VLOOKUP($B10,RD[#All],FB$2,0)/FB$1,"")</f>
        <v>3.5580524344569286</v>
      </c>
      <c r="FC10" s="67">
        <f>IFERROR(VLOOKUP($B10,RD[#All],FC$2,0)/FC$1,"")</f>
        <v>3.6239700374531836</v>
      </c>
      <c r="FD10" s="67">
        <f>IFERROR(VLOOKUP($B10,RD[#All],FD$2,0)/FD$1,"")</f>
        <v>3.6985018726591758</v>
      </c>
      <c r="FE10" s="67">
        <f>IFERROR(VLOOKUP($B10,RD[#All],FE$2,0)/FE$1,"")</f>
        <v>3.6662878787878785</v>
      </c>
      <c r="FF10" s="67">
        <f>IFERROR(VLOOKUP($B10,RD[#All],FF$2,0)/FF$1,"")</f>
        <v>3.5625</v>
      </c>
      <c r="FG10" s="67">
        <f>IFERROR(VLOOKUP($B10,RD[#All],FG$2,0)/FG$1,"")</f>
        <v>3.6461279461279466</v>
      </c>
      <c r="FH10" s="67">
        <f>IFERROR(VLOOKUP($B10,RD[#All],FH$2,0)/FH$1,"")</f>
        <v>3.5151515151515151</v>
      </c>
      <c r="FI10" s="67">
        <f>IFERROR(VLOOKUP($B10,RD[#All],FI$2,0)/FI$1,"")</f>
        <v>3.5370370370370372</v>
      </c>
      <c r="FJ10" s="67">
        <f>IFERROR(VLOOKUP($B10,RD[#All],FJ$2,0)/FJ$1,"")</f>
        <v>3.5168350168350169</v>
      </c>
      <c r="FK10" s="67">
        <f>IFERROR(VLOOKUP($B10,RD[#All],FK$2,0)/FK$1,"")</f>
        <v>3.6393939393939396</v>
      </c>
      <c r="FL10" s="67">
        <f>IFERROR(VLOOKUP($B10,RD[#All],FL$2,0)/FL$1,"")</f>
        <v>3.5778181818181816</v>
      </c>
      <c r="FM10" s="67">
        <f>IFERROR(VLOOKUP($B10,RD[#All],FM$2,0)/FM$1,"")</f>
        <v>3.5712121212121208</v>
      </c>
      <c r="FN10" s="67">
        <f>IFERROR(VLOOKUP($B10,RD[#All],FN$2,0)/FN$1,"")</f>
        <v>3.5188552188552187</v>
      </c>
      <c r="FO10" s="67">
        <f>IFERROR(VLOOKUP($B10,RD[#All],FO$2,0)/FO$1,"")</f>
        <v>3.5390151515151516</v>
      </c>
      <c r="FP10" s="67">
        <f>IFERROR(VLOOKUP($B10,RD[#All],FP$2,0)/FP$1,"")</f>
        <v>3.4909090909090907</v>
      </c>
      <c r="FQ10" s="67">
        <f>IFERROR(VLOOKUP($B10,RD[#All],FQ$2,0)/FQ$1,"")</f>
        <v>3.5970909090909093</v>
      </c>
      <c r="FR10" s="67">
        <f>IFERROR(VLOOKUP($B10,RD[#All],FR$2,0)/FR$1,"")</f>
        <v>3.5250909090909088</v>
      </c>
      <c r="FS10" s="67">
        <f>IFERROR(VLOOKUP($B10,RD[#All],FS$2,0)/FS$1,"")</f>
        <v>3.5441077441077438</v>
      </c>
      <c r="FT10" s="67">
        <f>IFERROR(VLOOKUP($B10,RD[#All],FT$2,0)/FT$1,"")</f>
        <v>3.2480000000000002</v>
      </c>
      <c r="FU10" s="67">
        <f>IFERROR(VLOOKUP($B10,RD[#All],FU$2,0)/FU$1,"")</f>
        <v>3.5966329966329966</v>
      </c>
      <c r="FV10" s="67">
        <f>IFERROR(VLOOKUP($B10,RD[#All],FV$2,0)/FV$1,"")</f>
        <v>3.6333333333333333</v>
      </c>
      <c r="FW10" s="67">
        <f>IFERROR(VLOOKUP($B10,RD[#All],FW$2,0)/FW$1,"")</f>
        <v>3.6931818181818183</v>
      </c>
      <c r="FX10" s="67">
        <f>IFERROR(VLOOKUP($B10,RD[#All],FX$2,0)/FX$1,"")</f>
        <v>3.6545454545454543</v>
      </c>
      <c r="FY10" s="67">
        <f>IFERROR(VLOOKUP($B10,RD[#All],FY$2,0)/FY$1,"")</f>
        <v>3.6074074074074076</v>
      </c>
      <c r="FZ10" s="67">
        <f>IFERROR(VLOOKUP($B10,RD[#All],FZ$2,0)/FZ$1,"")</f>
        <v>3.6212121212121211</v>
      </c>
      <c r="GA10" s="67">
        <f>IFERROR(VLOOKUP($B10,RD[#All],GA$2,0)/GA$1,"")</f>
        <v>3.5384615384615383</v>
      </c>
      <c r="GB10" s="67">
        <f>IFERROR(VLOOKUP($B10,RD[#All],GB$2,0)/GB$1,"")</f>
        <v>3.5562289562289564</v>
      </c>
      <c r="GC10" s="67">
        <f>IFERROR(VLOOKUP($B10,RD[#All],GC$2,0)/GC$1,"")</f>
        <v>3.5360269360269361</v>
      </c>
      <c r="GD10" s="67">
        <f>IFERROR(VLOOKUP($B10,RD[#All],GD$2,0)/GD$1,"")</f>
        <v>3.6727272727272728</v>
      </c>
      <c r="GE10" s="67">
        <f>IFERROR(VLOOKUP($B10,RD[#All],GE$2,0)/GE$1,"")</f>
        <v>3.5702797202797205</v>
      </c>
      <c r="GF10" s="67">
        <f>IFERROR(VLOOKUP($B10,RD[#All],GF$2,0)/GF$1,"")</f>
        <v>3.6417508417508415</v>
      </c>
      <c r="GG10" s="67">
        <f>IFERROR(VLOOKUP($B10,RD[#All],GG$2,0)/GG$1,"")</f>
        <v>3.5563636363636362</v>
      </c>
      <c r="GH10" s="67">
        <f>IFERROR(VLOOKUP($B10,RD[#All],GH$2,0)/GH$1,"")</f>
        <v>3.6</v>
      </c>
      <c r="GI10" s="67">
        <f>IFERROR(VLOOKUP($B10,RD[#All],GI$2,0)/GI$1,"")</f>
        <v>3.5014545454545454</v>
      </c>
      <c r="GJ10" s="67">
        <f>IFERROR(VLOOKUP($B10,RD[#All],GJ$2,0)/GJ$1,"")</f>
        <v>3.2604895104895104</v>
      </c>
      <c r="GK10" s="67">
        <f>IFERROR(VLOOKUP($B10,RD[#All],GK$2,0)/GK$1,"")</f>
        <v>3.5810606060606061</v>
      </c>
      <c r="GL10" s="67">
        <f>IFERROR(VLOOKUP($B10,RD[#All],GL$2,0)/GL$1,"")</f>
        <v>3.663257575757576</v>
      </c>
      <c r="GM10" s="67">
        <f>IFERROR(VLOOKUP($B10,RD[#All],GM$2,0)/GM$1,"")</f>
        <v>3.6333333333333333</v>
      </c>
      <c r="GN10" s="67">
        <f>IFERROR(VLOOKUP($B10,RD[#All],GN$2,0)/GN$1,"")</f>
        <v>3.6799242424242422</v>
      </c>
      <c r="GO10" s="67">
        <f>IFERROR(VLOOKUP($B10,RD[#All],GO$2,0)/GO$1,"")</f>
        <v>3.6208333333333331</v>
      </c>
      <c r="GP10" s="67">
        <f>IFERROR(VLOOKUP($B10,RD[#All],GP$2,0)/GP$1,"")</f>
        <v>3.5795454545454546</v>
      </c>
      <c r="GQ10" s="67">
        <f>IFERROR(VLOOKUP($B10,RD[#All],GQ$2,0)/GQ$1,"")</f>
        <v>3.6159090909090907</v>
      </c>
      <c r="GR10" s="67">
        <f>IFERROR(VLOOKUP($B10,RD[#All],GR$2,0)/GR$1,"")</f>
        <v>3.5965909090909092</v>
      </c>
      <c r="GS10" s="67" t="str">
        <f>IFERROR(VLOOKUP($B10,RD[#All],GS$2,0)/GS$1,"")</f>
        <v/>
      </c>
      <c r="GT10" s="67" t="str">
        <f>IFERROR(VLOOKUP($B10,RD[#All],GT$2,0)/GT$1,"")</f>
        <v/>
      </c>
      <c r="GU10" s="67">
        <f>IFERROR(VLOOKUP($B10,RD[#All],GU$2,0)/GU$1,"")</f>
        <v>0</v>
      </c>
      <c r="GV10" s="67">
        <f>IFERROR(VLOOKUP($B10,RD[#All],GV$2,0)/GV$1,"")</f>
        <v>3.5786708694510114</v>
      </c>
      <c r="GW10" s="67">
        <f>IFERROR(VLOOKUP($B10,RD[#All],GW$2,0)/GW$1,"")</f>
        <v>3.5432372505543235</v>
      </c>
      <c r="GX10" s="67" t="str">
        <f>IFERROR(VLOOKUP($B10,RD[#All],GX$2,0)/GX$1,"")</f>
        <v/>
      </c>
      <c r="GY10" s="67">
        <f>IFERROR(VLOOKUP($B10,RD[#All],GY$2,0)/GY$1,"")</f>
        <v>3.5338345864661651</v>
      </c>
      <c r="GZ10" s="67">
        <f>IFERROR(VLOOKUP($B10,RD[#All],GZ$2,0)/GZ$1,"")</f>
        <v>3.6370786516853935</v>
      </c>
      <c r="HA10" s="67">
        <f>IFERROR(VLOOKUP($B10,RD[#All],HA$2,0)/HA$1,"")</f>
        <v>3.5805243445692883</v>
      </c>
      <c r="HB10" s="67">
        <f>IFERROR(VLOOKUP($B10,RD[#All],HB$2,0)/HB$1,"")</f>
        <v>3.5921348314606742</v>
      </c>
      <c r="HC10" s="67">
        <f>IFERROR(VLOOKUP($B10,RD[#All],HC$2,0)/HC$1,"")</f>
        <v>3.2127340823970036</v>
      </c>
      <c r="HD10" s="67">
        <f>IFERROR(VLOOKUP($B10,RD[#All],HD$2,0)/HD$1,"")</f>
        <v>3.6749063670411988</v>
      </c>
      <c r="HE10" s="67">
        <f>IFERROR(VLOOKUP($B10,RD[#All],HE$2,0)/HE$1,"")</f>
        <v>3.6191011235955055</v>
      </c>
      <c r="HF10" s="67">
        <f>IFERROR(VLOOKUP($B10,RD[#All],HF$2,0)/HF$1,"")</f>
        <v>3.648314606741573</v>
      </c>
      <c r="HG10" s="67">
        <f>IFERROR(VLOOKUP($B10,RD[#All],HG$2,0)/HG$1,"")</f>
        <v>3.5460674157303371</v>
      </c>
      <c r="HH10" s="67">
        <f>IFERROR(VLOOKUP($B10,RD[#All],HH$2,0)/HH$1,"")</f>
        <v>3.583520599250936</v>
      </c>
      <c r="HI10" s="67">
        <f>IFERROR(VLOOKUP($B10,RD[#All],HI$2,0)/HI$1,"")</f>
        <v>3.5516853932584267</v>
      </c>
      <c r="HJ10" s="67">
        <f>IFERROR(VLOOKUP($B10,RD[#All],HJ$2,0)/HJ$1,"")</f>
        <v>3.5543071161048689</v>
      </c>
      <c r="HK10" s="67">
        <f>IFERROR(VLOOKUP($B10,RD[#All],HK$2,0)/HK$1,"")</f>
        <v>3.537245110278818</v>
      </c>
      <c r="HL10" s="67">
        <f>IFERROR(VLOOKUP($B10,RD[#All],HL$2,0)/HL$1,"")</f>
        <v>3.8052434456928839</v>
      </c>
      <c r="HM10" s="67">
        <f>IFERROR(VLOOKUP($B10,RD[#All],HM$2,0)/HM$1,"")</f>
        <v>3.8110165696372591</v>
      </c>
      <c r="HN10" s="67">
        <f>IFERROR(VLOOKUP($B10,RD[#All],HN$2,0)/HN$1,"")</f>
        <v>3.7662337662337659</v>
      </c>
      <c r="HO10" s="67">
        <f>IFERROR(VLOOKUP($B10,RD[#All],HO$2,0)/HO$1,"")</f>
        <v>3.766980146290491</v>
      </c>
      <c r="HP10" s="67">
        <f>IFERROR(VLOOKUP($B10,RD[#All],HP$2,0)/HP$1,"")</f>
        <v>3.6990595611285269</v>
      </c>
      <c r="HQ10" s="67">
        <f>IFERROR(VLOOKUP($B10,RD[#All],HQ$2,0)/HQ$1,"")</f>
        <v>3.5675805675805679</v>
      </c>
      <c r="HR10" s="67">
        <f>IFERROR(VLOOKUP($B10,RD[#All],HR$2,0)/HR$1,"")</f>
        <v>3.5429524603836531</v>
      </c>
      <c r="HS10" s="67">
        <f>IFERROR(VLOOKUP($B10,RD[#All],HS$2,0)/HS$1,"")</f>
        <v>3.6185168539325843</v>
      </c>
      <c r="HT10" s="67">
        <f>IFERROR(VLOOKUP($B10,RD[#All],HT$2,0)/HT$1,"")</f>
        <v>3.5868497711194345</v>
      </c>
      <c r="HU10" s="67">
        <f>IFERROR(VLOOKUP($B10,RD[#All],HU$2,0)/HU$1,"")</f>
        <v>3.5073465859982713</v>
      </c>
      <c r="HV10" s="67">
        <f>IFERROR(VLOOKUP($B10,RD[#All],HV$2,0)/HV$1,"")</f>
        <v>3.5111495246326707</v>
      </c>
      <c r="HW10" s="67">
        <f>IFERROR(VLOOKUP($B10,RD[#All],HW$2,0)/HW$1,"")</f>
        <v>3.6728089887640452</v>
      </c>
      <c r="HX10" s="67">
        <f>IFERROR(VLOOKUP($B10,RD[#All],HX$2,0)/HX$1,"")</f>
        <v>3.5764909248055314</v>
      </c>
      <c r="HY10" s="67">
        <f>IFERROR(VLOOKUP($B10,RD[#All],HY$2,0)/HY$1,"")</f>
        <v>3.5562213899292554</v>
      </c>
      <c r="HZ10" s="67">
        <f>IFERROR(VLOOKUP($B10,RD[#All],HZ$2,0)/HZ$1,"")</f>
        <v>3.5891801914273822</v>
      </c>
      <c r="IA10" s="67">
        <f>IFERROR(VLOOKUP($B10,RD[#All],IA$2,0)/IA$1,"")</f>
        <v>3.6173271173271178</v>
      </c>
      <c r="IB10" s="67">
        <f>IFERROR(VLOOKUP($B10,RD[#All],IB$2,0)/IB$1,"")</f>
        <v>3.6515151515151518</v>
      </c>
      <c r="IC10" s="67">
        <f>IFERROR(VLOOKUP($B10,RD[#All],IC$2,0)/IC$1,"")</f>
        <v>3.5314685314685317</v>
      </c>
      <c r="ID10" s="67">
        <f>IFERROR(VLOOKUP($B10,RD[#All],ID$2,0)/ID$1,"")</f>
        <v>3.5488215488215489</v>
      </c>
      <c r="IE10" s="67">
        <f>IFERROR(VLOOKUP($B10,RD[#All],IE$2,0)/IE$1,"")</f>
        <v>3.5511111111111111</v>
      </c>
      <c r="IF10" s="67" t="str">
        <f>IFERROR(VLOOKUP($B10,RD[#All],IF$2,0)/IF$1,"")</f>
        <v/>
      </c>
      <c r="IG10" s="67">
        <f>IFERROR(VLOOKUP($B10,RD[#All],IG$2,0)/IG$1,"")</f>
        <v>3.8069629210302858</v>
      </c>
      <c r="IH10" s="67">
        <f>IFERROR(VLOOKUP($B10,RD[#All],IH$2,0)/IH$1,"")</f>
        <v>3.556252176941832</v>
      </c>
      <c r="II10" s="67">
        <f>IFERROR(VLOOKUP($B10,RD[#All],II$2,0)/II$1,"")</f>
        <v>3.6069651741293534</v>
      </c>
      <c r="IJ10" s="67">
        <f>IFERROR(VLOOKUP($B10,RD[#All],IJ$2,0)/IJ$1,"")</f>
        <v>3.4942012719790494</v>
      </c>
      <c r="IK10" s="67">
        <f>IFERROR(VLOOKUP($B10,RD[#All],IK$2,0)/IK$1,"")</f>
        <v>3.5431235431235435</v>
      </c>
      <c r="IL10" s="67" t="str">
        <f>IFERROR(VLOOKUP($B10,RD[#All],IL$2,0)/IL$1,"")</f>
        <v/>
      </c>
      <c r="IM10" s="67" t="str">
        <f>IFERROR(VLOOKUP($B10,RD[#All],IM$2,0)/IM$1,"")</f>
        <v/>
      </c>
      <c r="IN10" s="67">
        <f>IFERROR(VLOOKUP($B10,RD[#All],IN$2,0)/IN$1,"")</f>
        <v>3.7659352142110762</v>
      </c>
      <c r="IO10" s="67">
        <f>IFERROR(VLOOKUP($B10,RD[#All],IO$2,0)/IO$1,"")</f>
        <v>3.7460815047021945</v>
      </c>
      <c r="IP10" s="67">
        <f>IFERROR(VLOOKUP($B10,RD[#All],IP$2,0)/IP$1,"")</f>
        <v>4.2494025635455133</v>
      </c>
      <c r="IQ10" s="67">
        <f>IFERROR(VLOOKUP($B10,RD[#All],IQ$2,0)/IQ$1,"")</f>
        <v>3.5264180264180269</v>
      </c>
      <c r="IR10" s="67">
        <f>IFERROR(VLOOKUP($B10,RD[#All],IR$2,0)/IR$1,"")</f>
        <v>3.6111111111111112</v>
      </c>
      <c r="IS10" s="86">
        <f>IFERROR(AVERAGEIF(Inv_SY_B[[#This Row],[BLK1_INV1]:[BLK8_INV27]],"&gt;"&amp;0.1,Inv_SY_B[[#This Row],[BLK1_INV1]:[BLK8_INV27]]),"")</f>
        <v>3.5983964387004708</v>
      </c>
    </row>
    <row r="11" spans="2:253" x14ac:dyDescent="0.25">
      <c r="B11" s="85">
        <f t="shared" si="0"/>
        <v>45837</v>
      </c>
      <c r="C11" s="67">
        <f>IFERROR(VLOOKUP($B11,RD[#All],C$2,0)/C$1,"")</f>
        <v>3.1564390665514259</v>
      </c>
      <c r="D11" s="67">
        <f>IFERROR(VLOOKUP($B11,RD[#All],D$2,0)/D$1,"")</f>
        <v>3.2221261884183234</v>
      </c>
      <c r="E11" s="67">
        <f>IFERROR(VLOOKUP($B11,RD[#All],E$2,0)/E$1,"")</f>
        <v>3.2284644194756553</v>
      </c>
      <c r="F11" s="67">
        <f>IFERROR(VLOOKUP($B11,RD[#All],F$2,0)/F$1,"")</f>
        <v>3.2172284644194757</v>
      </c>
      <c r="G11" s="67">
        <f>IFERROR(VLOOKUP($B11,RD[#All],G$2,0)/G$1,"")</f>
        <v>3.2082973206568712</v>
      </c>
      <c r="H11" s="67">
        <f>IFERROR(VLOOKUP($B11,RD[#All],H$2,0)/H$1,"")</f>
        <v>3.2097378277153559</v>
      </c>
      <c r="I11" s="67">
        <f>IFERROR(VLOOKUP($B11,RD[#All],I$2,0)/I$1,"")</f>
        <v>3.2247191011235956</v>
      </c>
      <c r="J11" s="67">
        <f>IFERROR(VLOOKUP($B11,RD[#All],J$2,0)/J$1,"")</f>
        <v>3.2359550561797752</v>
      </c>
      <c r="K11" s="67">
        <f>IFERROR(VLOOKUP($B11,RD[#All],K$2,0)/K$1,"")</f>
        <v>3.2071910112359552</v>
      </c>
      <c r="L11" s="67">
        <f>IFERROR(VLOOKUP($B11,RD[#All],L$2,0)/L$1,"")</f>
        <v>3.2215730337078652</v>
      </c>
      <c r="M11" s="67">
        <f>IFERROR(VLOOKUP($B11,RD[#All],M$2,0)/M$1,"")</f>
        <v>3.2059925093632957</v>
      </c>
      <c r="N11" s="67">
        <f>IFERROR(VLOOKUP($B11,RD[#All],N$2,0)/N$1,"")</f>
        <v>3.1453183520599248</v>
      </c>
      <c r="O11" s="67">
        <f>IFERROR(VLOOKUP($B11,RD[#All],O$2,0)/O$1,"")</f>
        <v>3.1423220973782771</v>
      </c>
      <c r="P11" s="67">
        <f>IFERROR(VLOOKUP($B11,RD[#All],P$2,0)/P$1,"")</f>
        <v>3.2972420837589378</v>
      </c>
      <c r="Q11" s="67">
        <f>IFERROR(VLOOKUP($B11,RD[#All],Q$2,0)/Q$1,"")</f>
        <v>3.2172284644194757</v>
      </c>
      <c r="R11" s="67">
        <f>IFERROR(VLOOKUP($B11,RD[#All],R$2,0)/R$1,"")</f>
        <v>3.1880149812734082</v>
      </c>
      <c r="S11" s="67">
        <f>IFERROR(VLOOKUP($B11,RD[#All],S$2,0)/S$1,"")</f>
        <v>3.191011235955056</v>
      </c>
      <c r="T11" s="67">
        <f>IFERROR(VLOOKUP($B11,RD[#All],T$2,0)/T$1,"")</f>
        <v>3.1872659176029963</v>
      </c>
      <c r="U11" s="67">
        <f>IFERROR(VLOOKUP($B11,RD[#All],U$2,0)/U$1,"")</f>
        <v>3.1979256698357821</v>
      </c>
      <c r="V11" s="67">
        <f>IFERROR(VLOOKUP($B11,RD[#All],V$2,0)/V$1,"")</f>
        <v>3.2082973206568712</v>
      </c>
      <c r="W11" s="67">
        <f>IFERROR(VLOOKUP($B11,RD[#All],W$2,0)/W$1,"")</f>
        <v>3.1797752808988764</v>
      </c>
      <c r="X11" s="67">
        <f>IFERROR(VLOOKUP($B11,RD[#All],X$2,0)/X$1,"")</f>
        <v>3.2284644194756553</v>
      </c>
      <c r="Y11" s="67">
        <f>IFERROR(VLOOKUP($B11,RD[#All],Y$2,0)/Y$1,"")</f>
        <v>3.1391529818496111</v>
      </c>
      <c r="Z11" s="67">
        <f>IFERROR(VLOOKUP($B11,RD[#All],Z$2,0)/Z$1,"")</f>
        <v>3.225967540574282</v>
      </c>
      <c r="AA11" s="67">
        <f>IFERROR(VLOOKUP($B11,RD[#All],AA$2,0)/AA$1,"")</f>
        <v>3.1149524632670702</v>
      </c>
      <c r="AB11" s="67">
        <f>IFERROR(VLOOKUP($B11,RD[#All],AB$2,0)/AB$1,"")</f>
        <v>3.2117545375972343</v>
      </c>
      <c r="AC11" s="67">
        <f>IFERROR(VLOOKUP($B11,RD[#All],AC$2,0)/AC$1,"")</f>
        <v>3.1184096802074328</v>
      </c>
      <c r="AD11" s="67">
        <f>IFERROR(VLOOKUP($B11,RD[#All],AD$2,0)/AD$1,"")</f>
        <v>3.1893466500208074</v>
      </c>
      <c r="AE11" s="67">
        <f>IFERROR(VLOOKUP($B11,RD[#All],AE$2,0)/AE$1,"")</f>
        <v>3.2159800249687889</v>
      </c>
      <c r="AF11" s="67">
        <f>IFERROR(VLOOKUP($B11,RD[#All],AF$2,0)/AF$1,"")</f>
        <v>3.1434040782355392</v>
      </c>
      <c r="AG11" s="67">
        <f>IFERROR(VLOOKUP($B11,RD[#All],AG$2,0)/AG$1,"")</f>
        <v>3.1693716188098211</v>
      </c>
      <c r="AH11" s="67">
        <f>IFERROR(VLOOKUP($B11,RD[#All],AH$2,0)/AH$1,"")</f>
        <v>3.0535164377861008</v>
      </c>
      <c r="AI11" s="67">
        <f>IFERROR(VLOOKUP($B11,RD[#All],AI$2,0)/AI$1,"")</f>
        <v>3.1485849056603774</v>
      </c>
      <c r="AJ11" s="67">
        <f>IFERROR(VLOOKUP($B11,RD[#All],AJ$2,0)/AJ$1,"")</f>
        <v>3.2049021073083246</v>
      </c>
      <c r="AK11" s="67">
        <f>IFERROR(VLOOKUP($B11,RD[#All],AK$2,0)/AK$1,"")</f>
        <v>3.1797752808988764</v>
      </c>
      <c r="AL11" s="67">
        <f>IFERROR(VLOOKUP($B11,RD[#All],AL$2,0)/AL$1,"")</f>
        <v>3.2050853128136505</v>
      </c>
      <c r="AM11" s="67">
        <f>IFERROR(VLOOKUP($B11,RD[#All],AM$2,0)/AM$1,"")</f>
        <v>3.2059925093632957</v>
      </c>
      <c r="AN11" s="67">
        <f>IFERROR(VLOOKUP($B11,RD[#All],AN$2,0)/AN$1,"")</f>
        <v>3.1048689138576777</v>
      </c>
      <c r="AO11" s="67">
        <f>IFERROR(VLOOKUP($B11,RD[#All],AO$2,0)/AO$1,"")</f>
        <v>3.161048689138577</v>
      </c>
      <c r="AP11" s="67">
        <f>IFERROR(VLOOKUP($B11,RD[#All],AP$2,0)/AP$1,"")</f>
        <v>3.2209737827715355</v>
      </c>
      <c r="AQ11" s="67">
        <f>IFERROR(VLOOKUP($B11,RD[#All],AQ$2,0)/AQ$1,"")</f>
        <v>3.1310861423220975</v>
      </c>
      <c r="AR11" s="67">
        <f>IFERROR(VLOOKUP($B11,RD[#All],AR$2,0)/AR$1,"")</f>
        <v>3.1239700374531836</v>
      </c>
      <c r="AS11" s="67">
        <f>IFERROR(VLOOKUP($B11,RD[#All],AS$2,0)/AS$1,"")</f>
        <v>3.1685393258426968</v>
      </c>
      <c r="AT11" s="67">
        <f>IFERROR(VLOOKUP($B11,RD[#All],AT$2,0)/AT$1,"")</f>
        <v>3.0681647940074908</v>
      </c>
      <c r="AU11" s="67">
        <f>IFERROR(VLOOKUP($B11,RD[#All],AU$2,0)/AU$1,"")</f>
        <v>3.1947565543071161</v>
      </c>
      <c r="AV11" s="67">
        <f>IFERROR(VLOOKUP($B11,RD[#All],AV$2,0)/AV$1,"")</f>
        <v>3.2059925093632957</v>
      </c>
      <c r="AW11" s="67">
        <f>IFERROR(VLOOKUP($B11,RD[#All],AW$2,0)/AW$1,"")</f>
        <v>3.1149524632670702</v>
      </c>
      <c r="AX11" s="67">
        <f>IFERROR(VLOOKUP($B11,RD[#All],AX$2,0)/AX$1,"")</f>
        <v>3.1685393258426968</v>
      </c>
      <c r="AY11" s="67">
        <f>IFERROR(VLOOKUP($B11,RD[#All],AY$2,0)/AY$1,"")</f>
        <v>3.1712359550561797</v>
      </c>
      <c r="AZ11" s="67">
        <f>IFERROR(VLOOKUP($B11,RD[#All],AZ$2,0)/AZ$1,"")</f>
        <v>3.0964494382022472</v>
      </c>
      <c r="BA11" s="67">
        <f>IFERROR(VLOOKUP($B11,RD[#All],BA$2,0)/BA$1,"")</f>
        <v>3.1835205992509361</v>
      </c>
      <c r="BB11" s="67">
        <f>IFERROR(VLOOKUP($B11,RD[#All],BB$2,0)/BB$1,"")</f>
        <v>3.1985018726591758</v>
      </c>
      <c r="BC11" s="67">
        <f>IFERROR(VLOOKUP($B11,RD[#All],BC$2,0)/BC$1,"")</f>
        <v>3.2392842280482732</v>
      </c>
      <c r="BD11" s="67">
        <f>IFERROR(VLOOKUP($B11,RD[#All],BD$2,0)/BD$1,"")</f>
        <v>3.1993341656263006</v>
      </c>
      <c r="BE11" s="67">
        <f>IFERROR(VLOOKUP($B11,RD[#All],BE$2,0)/BE$1,"")</f>
        <v>3.1623163353500434</v>
      </c>
      <c r="BF11" s="67">
        <f>IFERROR(VLOOKUP($B11,RD[#All],BF$2,0)/BF$1,"")</f>
        <v>3.1776945484810653</v>
      </c>
      <c r="BG11" s="67">
        <f>IFERROR(VLOOKUP($B11,RD[#All],BG$2,0)/BG$1,"")</f>
        <v>3.2</v>
      </c>
      <c r="BH11" s="67">
        <f>IFERROR(VLOOKUP($B11,RD[#All],BH$2,0)/BH$1,"")</f>
        <v>3.1711610486891386</v>
      </c>
      <c r="BI11" s="67">
        <f>IFERROR(VLOOKUP($B11,RD[#All],BI$2,0)/BI$1,"")</f>
        <v>3.1960049937578026</v>
      </c>
      <c r="BJ11" s="67">
        <f>IFERROR(VLOOKUP($B11,RD[#All],BJ$2,0)/BJ$1,"")</f>
        <v>3.1074490220557633</v>
      </c>
      <c r="BK11" s="67">
        <f>IFERROR(VLOOKUP($B11,RD[#All],BK$2,0)/BK$1,"")</f>
        <v>3.2059925093632957</v>
      </c>
      <c r="BL11" s="67">
        <f>IFERROR(VLOOKUP($B11,RD[#All],BL$2,0)/BL$1,"")</f>
        <v>3.2519237203077953</v>
      </c>
      <c r="BM11" s="67">
        <f>IFERROR(VLOOKUP($B11,RD[#All],BM$2,0)/BM$1,"")</f>
        <v>3.2397003745318353</v>
      </c>
      <c r="BN11" s="67">
        <f>IFERROR(VLOOKUP($B11,RD[#All],BN$2,0)/BN$1,"")</f>
        <v>3.2936259143155695</v>
      </c>
      <c r="BO11" s="67">
        <f>IFERROR(VLOOKUP($B11,RD[#All],BO$2,0)/BO$1,"")</f>
        <v>3.191011235955056</v>
      </c>
      <c r="BP11" s="67">
        <f>IFERROR(VLOOKUP($B11,RD[#All],BP$2,0)/BP$1,"")</f>
        <v>3.1771823681936042</v>
      </c>
      <c r="BQ11" s="67">
        <f>IFERROR(VLOOKUP($B11,RD[#All],BQ$2,0)/BQ$1,"")</f>
        <v>3.2082973206568712</v>
      </c>
      <c r="BR11" s="67">
        <f>IFERROR(VLOOKUP($B11,RD[#All],BR$2,0)/BR$1,"")</f>
        <v>3.0907519446845289</v>
      </c>
      <c r="BS11" s="67">
        <f>IFERROR(VLOOKUP($B11,RD[#All],BS$2,0)/BS$1,"")</f>
        <v>3.1647940074906367</v>
      </c>
      <c r="BT11" s="67">
        <f>IFERROR(VLOOKUP($B11,RD[#All],BT$2,0)/BT$1,"")</f>
        <v>3.1760299625468167</v>
      </c>
      <c r="BU11" s="67">
        <f>IFERROR(VLOOKUP($B11,RD[#All],BU$2,0)/BU$1,"")</f>
        <v>3.191011235955056</v>
      </c>
      <c r="BV11" s="67">
        <f>IFERROR(VLOOKUP($B11,RD[#All],BV$2,0)/BV$1,"")</f>
        <v>3.1385767790262173</v>
      </c>
      <c r="BW11" s="67">
        <f>IFERROR(VLOOKUP($B11,RD[#All],BW$2,0)/BW$1,"")</f>
        <v>3.1423220973782771</v>
      </c>
      <c r="BX11" s="67">
        <f>IFERROR(VLOOKUP($B11,RD[#All],BX$2,0)/BX$1,"")</f>
        <v>3.1722846441947565</v>
      </c>
      <c r="BY11" s="67">
        <f>IFERROR(VLOOKUP($B11,RD[#All],BY$2,0)/BY$1,"")</f>
        <v>3.2126508531002913</v>
      </c>
      <c r="BZ11" s="67">
        <f>IFERROR(VLOOKUP($B11,RD[#All],BZ$2,0)/BZ$1,"")</f>
        <v>3.1727007906783187</v>
      </c>
      <c r="CA11" s="67">
        <f>IFERROR(VLOOKUP($B11,RD[#All],CA$2,0)/CA$1,"")</f>
        <v>3.2193091968372869</v>
      </c>
      <c r="CB11" s="67">
        <f>IFERROR(VLOOKUP($B11,RD[#All],CB$2,0)/CB$1,"")</f>
        <v>3.1797752808988764</v>
      </c>
      <c r="CC11" s="67">
        <f>IFERROR(VLOOKUP($B11,RD[#All],CC$2,0)/CC$1,"")</f>
        <v>3.1647940074906367</v>
      </c>
      <c r="CD11" s="67">
        <f>IFERROR(VLOOKUP($B11,RD[#All],CD$2,0)/CD$1,"")</f>
        <v>3.2152117545375973</v>
      </c>
      <c r="CE11" s="67">
        <f>IFERROR(VLOOKUP($B11,RD[#All],CE$2,0)/CE$1,"")</f>
        <v>3.1985018726591758</v>
      </c>
      <c r="CF11" s="67">
        <f>IFERROR(VLOOKUP($B11,RD[#All],CF$2,0)/CF$1,"")</f>
        <v>3.2209737827715355</v>
      </c>
      <c r="CG11" s="67">
        <f>IFERROR(VLOOKUP($B11,RD[#All],CG$2,0)/CG$1,"")</f>
        <v>3.1685393258426968</v>
      </c>
      <c r="CH11" s="67">
        <f>IFERROR(VLOOKUP($B11,RD[#All],CH$2,0)/CH$1,"")</f>
        <v>3.191011235955056</v>
      </c>
      <c r="CI11" s="67">
        <f>IFERROR(VLOOKUP($B11,RD[#All],CI$2,0)/CI$1,"")</f>
        <v>3.1385767790262173</v>
      </c>
      <c r="CJ11" s="67">
        <f>IFERROR(VLOOKUP($B11,RD[#All],CJ$2,0)/CJ$1,"")</f>
        <v>3.1760299625468167</v>
      </c>
      <c r="CK11" s="67">
        <f>IFERROR(VLOOKUP($B11,RD[#All],CK$2,0)/CK$1,"")</f>
        <v>3.1460674157303372</v>
      </c>
      <c r="CL11" s="67">
        <f>IFERROR(VLOOKUP($B11,RD[#All],CL$2,0)/CL$1,"")</f>
        <v>3.1573033707865168</v>
      </c>
      <c r="CM11" s="67">
        <f>IFERROR(VLOOKUP($B11,RD[#All],CM$2,0)/CM$1,"")</f>
        <v>3.1453183520599248</v>
      </c>
      <c r="CN11" s="67">
        <f>IFERROR(VLOOKUP($B11,RD[#All],CN$2,0)/CN$1,"")</f>
        <v>3.1243445692883896</v>
      </c>
      <c r="CO11" s="67">
        <f>IFERROR(VLOOKUP($B11,RD[#All],CO$2,0)/CO$1,"")</f>
        <v>3.1611685393258431</v>
      </c>
      <c r="CP11" s="67">
        <f>IFERROR(VLOOKUP($B11,RD[#All],CP$2,0)/CP$1,"")</f>
        <v>3.1149524632670702</v>
      </c>
      <c r="CQ11" s="67">
        <f>IFERROR(VLOOKUP($B11,RD[#All],CQ$2,0)/CQ$1,"")</f>
        <v>3.2134831460674156</v>
      </c>
      <c r="CR11" s="67">
        <f>IFERROR(VLOOKUP($B11,RD[#All],CR$2,0)/CR$1,"")</f>
        <v>3.11310861423221</v>
      </c>
      <c r="CS11" s="67">
        <f>IFERROR(VLOOKUP($B11,RD[#All],CS$2,0)/CS$1,"")</f>
        <v>3.1560549313358304</v>
      </c>
      <c r="CT11" s="67">
        <f>IFERROR(VLOOKUP($B11,RD[#All],CT$2,0)/CT$1,"")</f>
        <v>3.161048689138577</v>
      </c>
      <c r="CU11" s="67">
        <f>IFERROR(VLOOKUP($B11,RD[#All],CU$2,0)/CU$1,"")</f>
        <v>0</v>
      </c>
      <c r="CV11" s="67">
        <f>IFERROR(VLOOKUP($B11,RD[#All],CV$2,0)/CV$1,"")</f>
        <v>3.1722846441947565</v>
      </c>
      <c r="CW11" s="67">
        <f>IFERROR(VLOOKUP($B11,RD[#All],CW$2,0)/CW$1,"")</f>
        <v>3.191011235955056</v>
      </c>
      <c r="CX11" s="67">
        <f>IFERROR(VLOOKUP($B11,RD[#All],CX$2,0)/CX$1,"")</f>
        <v>3.1423220973782771</v>
      </c>
      <c r="CY11" s="67">
        <f>IFERROR(VLOOKUP($B11,RD[#All],CY$2,0)/CY$1,"")</f>
        <v>3.1198501872659175</v>
      </c>
      <c r="CZ11" s="67">
        <f>IFERROR(VLOOKUP($B11,RD[#All],CZ$2,0)/CZ$1,"")</f>
        <v>3.202247191011236</v>
      </c>
      <c r="DA11" s="67">
        <f>IFERROR(VLOOKUP($B11,RD[#All],DA$2,0)/DA$1,"")</f>
        <v>3.1310861423220975</v>
      </c>
      <c r="DB11" s="67">
        <f>IFERROR(VLOOKUP($B11,RD[#All],DB$2,0)/DB$1,"")</f>
        <v>3.191011235955056</v>
      </c>
      <c r="DC11" s="67">
        <f>IFERROR(VLOOKUP($B11,RD[#All],DC$2,0)/DC$1,"")</f>
        <v>3.2126508531002913</v>
      </c>
      <c r="DD11" s="67">
        <f>IFERROR(VLOOKUP($B11,RD[#All],DD$2,0)/DD$1,"")</f>
        <v>3.1498127340823969</v>
      </c>
      <c r="DE11" s="67">
        <f>IFERROR(VLOOKUP($B11,RD[#All],DE$2,0)/DE$1,"")</f>
        <v>3.2725759467332503</v>
      </c>
      <c r="DF11" s="67">
        <f>IFERROR(VLOOKUP($B11,RD[#All],DF$2,0)/DF$1,"")</f>
        <v>3.1870190699230516</v>
      </c>
      <c r="DG11" s="67">
        <f>IFERROR(VLOOKUP($B11,RD[#All],DG$2,0)/DG$1,"")</f>
        <v>3.1573033707865168</v>
      </c>
      <c r="DH11" s="67">
        <f>IFERROR(VLOOKUP($B11,RD[#All],DH$2,0)/DH$1,"")</f>
        <v>3.1860174781523094</v>
      </c>
      <c r="DI11" s="67">
        <f>IFERROR(VLOOKUP($B11,RD[#All],DI$2,0)/DI$1,"")</f>
        <v>3.1840968020743303</v>
      </c>
      <c r="DJ11" s="67">
        <f>IFERROR(VLOOKUP($B11,RD[#All],DJ$2,0)/DJ$1,"")</f>
        <v>3.1840968020743303</v>
      </c>
      <c r="DK11" s="67">
        <f>IFERROR(VLOOKUP($B11,RD[#All],DK$2,0)/DK$1,"")</f>
        <v>3.1104452767374116</v>
      </c>
      <c r="DL11" s="67">
        <f>IFERROR(VLOOKUP($B11,RD[#All],DL$2,0)/DL$1,"")</f>
        <v>3.0884727424053269</v>
      </c>
      <c r="DM11" s="67">
        <f>IFERROR(VLOOKUP($B11,RD[#All],DM$2,0)/DM$1,"")</f>
        <v>3.2209737827715355</v>
      </c>
      <c r="DN11" s="67">
        <f>IFERROR(VLOOKUP($B11,RD[#All],DN$2,0)/DN$1,"")</f>
        <v>3.1340823970037452</v>
      </c>
      <c r="DO11" s="67">
        <f>IFERROR(VLOOKUP($B11,RD[#All],DO$2,0)/DO$1,"")</f>
        <v>3.1622616259618606</v>
      </c>
      <c r="DP11" s="67">
        <f>IFERROR(VLOOKUP($B11,RD[#All],DP$2,0)/DP$1,"")</f>
        <v>3.099459009571369</v>
      </c>
      <c r="DQ11" s="67">
        <f>IFERROR(VLOOKUP($B11,RD[#All],DQ$2,0)/DQ$1,"")</f>
        <v>3.1660424469413235</v>
      </c>
      <c r="DR11" s="67">
        <f>IFERROR(VLOOKUP($B11,RD[#All],DR$2,0)/DR$1,"")</f>
        <v>3.1947565543071161</v>
      </c>
      <c r="DS11" s="67">
        <f>IFERROR(VLOOKUP($B11,RD[#All],DS$2,0)/DS$1,"")</f>
        <v>3.1262172284644199</v>
      </c>
      <c r="DT11" s="67">
        <f>IFERROR(VLOOKUP($B11,RD[#All],DT$2,0)/DT$1,"")</f>
        <v>2.9929255097794423</v>
      </c>
      <c r="DU11" s="67">
        <f>IFERROR(VLOOKUP($B11,RD[#All],DU$2,0)/DU$1,"")</f>
        <v>2.9396587598834789</v>
      </c>
      <c r="DV11" s="67">
        <f>IFERROR(VLOOKUP($B11,RD[#All],DV$2,0)/DV$1,"")</f>
        <v>3.1985018726591758</v>
      </c>
      <c r="DW11" s="67">
        <f>IFERROR(VLOOKUP($B11,RD[#All],DW$2,0)/DW$1,"")</f>
        <v>3.1041198501872658</v>
      </c>
      <c r="DX11" s="67">
        <f>IFERROR(VLOOKUP($B11,RD[#All],DX$2,0)/DX$1,"")</f>
        <v>3.1893466500208074</v>
      </c>
      <c r="DY11" s="67">
        <f>IFERROR(VLOOKUP($B11,RD[#All],DY$2,0)/DY$1,"")</f>
        <v>3.1172284644194757</v>
      </c>
      <c r="DZ11" s="67">
        <f>IFERROR(VLOOKUP($B11,RD[#All],DZ$2,0)/DZ$1,"")</f>
        <v>3.1449438202247193</v>
      </c>
      <c r="EA11" s="67">
        <f>IFERROR(VLOOKUP($B11,RD[#All],EA$2,0)/EA$1,"")</f>
        <v>3.1044527673741156</v>
      </c>
      <c r="EB11" s="67">
        <f>IFERROR(VLOOKUP($B11,RD[#All],EB$2,0)/EB$1,"")</f>
        <v>3.1816895547232629</v>
      </c>
      <c r="EC11" s="67">
        <f>IFERROR(VLOOKUP($B11,RD[#All],EC$2,0)/EC$1,"")</f>
        <v>3.1208297320656873</v>
      </c>
      <c r="ED11" s="67">
        <f>IFERROR(VLOOKUP($B11,RD[#All],ED$2,0)/ED$1,"")</f>
        <v>3.1688850475367332</v>
      </c>
      <c r="EE11" s="67">
        <f>IFERROR(VLOOKUP($B11,RD[#All],EE$2,0)/EE$1,"")</f>
        <v>3.189628349178911</v>
      </c>
      <c r="EF11" s="67">
        <f>IFERROR(VLOOKUP($B11,RD[#All],EF$2,0)/EF$1,"")</f>
        <v>3.1297242083758938</v>
      </c>
      <c r="EG11" s="67">
        <f>IFERROR(VLOOKUP($B11,RD[#All],EG$2,0)/EG$1,"")</f>
        <v>3.1433566433566433</v>
      </c>
      <c r="EH11" s="67">
        <f>IFERROR(VLOOKUP($B11,RD[#All],EH$2,0)/EH$1,"")</f>
        <v>3.1479020979020977</v>
      </c>
      <c r="EI11" s="67">
        <f>IFERROR(VLOOKUP($B11,RD[#All],EI$2,0)/EI$1,"")</f>
        <v>3.1216783216783215</v>
      </c>
      <c r="EJ11" s="67">
        <f>IFERROR(VLOOKUP($B11,RD[#All],EJ$2,0)/EJ$1,"")</f>
        <v>3.1573426573426575</v>
      </c>
      <c r="EK11" s="67">
        <f>IFERROR(VLOOKUP($B11,RD[#All],EK$2,0)/EK$1,"")</f>
        <v>3.1316853932584268</v>
      </c>
      <c r="EL11" s="67">
        <f>IFERROR(VLOOKUP($B11,RD[#All],EL$2,0)/EL$1,"")</f>
        <v>3.2247191011235956</v>
      </c>
      <c r="EM11" s="67">
        <f>IFERROR(VLOOKUP($B11,RD[#All],EM$2,0)/EM$1,"")</f>
        <v>3.1775280898876406</v>
      </c>
      <c r="EN11" s="67">
        <f>IFERROR(VLOOKUP($B11,RD[#All],EN$2,0)/EN$1,"")</f>
        <v>3.128781331028522</v>
      </c>
      <c r="EO11" s="67">
        <f>IFERROR(VLOOKUP($B11,RD[#All],EO$2,0)/EO$1,"")</f>
        <v>3.1685393258426968</v>
      </c>
      <c r="EP11" s="67">
        <f>IFERROR(VLOOKUP($B11,RD[#All],EP$2,0)/EP$1,"")</f>
        <v>3.2570440795159898</v>
      </c>
      <c r="EQ11" s="67">
        <f>IFERROR(VLOOKUP($B11,RD[#All],EQ$2,0)/EQ$1,"")</f>
        <v>3.112734082397004</v>
      </c>
      <c r="ER11" s="67">
        <f>IFERROR(VLOOKUP($B11,RD[#All],ER$2,0)/ER$1,"")</f>
        <v>3.1996542783059638</v>
      </c>
      <c r="ES11" s="67">
        <f>IFERROR(VLOOKUP($B11,RD[#All],ES$2,0)/ES$1,"")</f>
        <v>3.1764044943820227</v>
      </c>
      <c r="ET11" s="67">
        <f>IFERROR(VLOOKUP($B11,RD[#All],ET$2,0)/ET$1,"")</f>
        <v>3.2196118488253318</v>
      </c>
      <c r="EU11" s="67">
        <f>IFERROR(VLOOKUP($B11,RD[#All],EU$2,0)/EU$1,"")</f>
        <v>3.1840968020743303</v>
      </c>
      <c r="EV11" s="67">
        <f>IFERROR(VLOOKUP($B11,RD[#All],EV$2,0)/EV$1,"")</f>
        <v>3.2643042350907523</v>
      </c>
      <c r="EW11" s="67">
        <f>IFERROR(VLOOKUP($B11,RD[#All],EW$2,0)/EW$1,"")</f>
        <v>3.2293863439930854</v>
      </c>
      <c r="EX11" s="67">
        <f>IFERROR(VLOOKUP($B11,RD[#All],EX$2,0)/EX$1,"")</f>
        <v>3.2397003745318353</v>
      </c>
      <c r="EY11" s="67">
        <f>IFERROR(VLOOKUP($B11,RD[#All],EY$2,0)/EY$1,"")</f>
        <v>3.1667082813150231</v>
      </c>
      <c r="EZ11" s="67">
        <f>IFERROR(VLOOKUP($B11,RD[#All],EZ$2,0)/EZ$1,"")</f>
        <v>3.1647940074906367</v>
      </c>
      <c r="FA11" s="67">
        <f>IFERROR(VLOOKUP($B11,RD[#All],FA$2,0)/FA$1,"")</f>
        <v>3.1921348314606739</v>
      </c>
      <c r="FB11" s="67">
        <f>IFERROR(VLOOKUP($B11,RD[#All],FB$2,0)/FB$1,"")</f>
        <v>3.149063670411985</v>
      </c>
      <c r="FC11" s="67">
        <f>IFERROR(VLOOKUP($B11,RD[#All],FC$2,0)/FC$1,"")</f>
        <v>3.2059925093632957</v>
      </c>
      <c r="FD11" s="67">
        <f>IFERROR(VLOOKUP($B11,RD[#All],FD$2,0)/FD$1,"")</f>
        <v>3.2629213483146069</v>
      </c>
      <c r="FE11" s="67">
        <f>IFERROR(VLOOKUP($B11,RD[#All],FE$2,0)/FE$1,"")</f>
        <v>3.2121212121212119</v>
      </c>
      <c r="FF11" s="67">
        <f>IFERROR(VLOOKUP($B11,RD[#All],FF$2,0)/FF$1,"")</f>
        <v>3.1363636363636362</v>
      </c>
      <c r="FG11" s="67">
        <f>IFERROR(VLOOKUP($B11,RD[#All],FG$2,0)/FG$1,"")</f>
        <v>3.1784511784511786</v>
      </c>
      <c r="FH11" s="67">
        <f>IFERROR(VLOOKUP($B11,RD[#All],FH$2,0)/FH$1,"")</f>
        <v>3.0984848484848486</v>
      </c>
      <c r="FI11" s="67">
        <f>IFERROR(VLOOKUP($B11,RD[#All],FI$2,0)/FI$1,"")</f>
        <v>3.1481481481481484</v>
      </c>
      <c r="FJ11" s="67">
        <f>IFERROR(VLOOKUP($B11,RD[#All],FJ$2,0)/FJ$1,"")</f>
        <v>3.1043771043771042</v>
      </c>
      <c r="FK11" s="67">
        <f>IFERROR(VLOOKUP($B11,RD[#All],FK$2,0)/FK$1,"")</f>
        <v>3.2053872053872055</v>
      </c>
      <c r="FL11" s="67">
        <f>IFERROR(VLOOKUP($B11,RD[#All],FL$2,0)/FL$1,"")</f>
        <v>3.16</v>
      </c>
      <c r="FM11" s="67">
        <f>IFERROR(VLOOKUP($B11,RD[#All],FM$2,0)/FM$1,"")</f>
        <v>3.1287878787878789</v>
      </c>
      <c r="FN11" s="67">
        <f>IFERROR(VLOOKUP($B11,RD[#All],FN$2,0)/FN$1,"")</f>
        <v>3.0168350168350169</v>
      </c>
      <c r="FO11" s="67">
        <f>IFERROR(VLOOKUP($B11,RD[#All],FO$2,0)/FO$1,"")</f>
        <v>3.1643939393939391</v>
      </c>
      <c r="FP11" s="67">
        <f>IFERROR(VLOOKUP($B11,RD[#All],FP$2,0)/FP$1,"")</f>
        <v>3.0952727272727274</v>
      </c>
      <c r="FQ11" s="67">
        <f>IFERROR(VLOOKUP($B11,RD[#All],FQ$2,0)/FQ$1,"")</f>
        <v>3.1418181818181816</v>
      </c>
      <c r="FR11" s="67">
        <f>IFERROR(VLOOKUP($B11,RD[#All],FR$2,0)/FR$1,"")</f>
        <v>3.1487272727272728</v>
      </c>
      <c r="FS11" s="67">
        <f>IFERROR(VLOOKUP($B11,RD[#All],FS$2,0)/FS$1,"")</f>
        <v>3.1616161616161618</v>
      </c>
      <c r="FT11" s="67">
        <f>IFERROR(VLOOKUP($B11,RD[#All],FT$2,0)/FT$1,"")</f>
        <v>2.9818181818181819</v>
      </c>
      <c r="FU11" s="67">
        <f>IFERROR(VLOOKUP($B11,RD[#All],FU$2,0)/FU$1,"")</f>
        <v>3.1303030303030304</v>
      </c>
      <c r="FV11" s="67">
        <f>IFERROR(VLOOKUP($B11,RD[#All],FV$2,0)/FV$1,"")</f>
        <v>3.1590909090909092</v>
      </c>
      <c r="FW11" s="67">
        <f>IFERROR(VLOOKUP($B11,RD[#All],FW$2,0)/FW$1,"")</f>
        <v>3.2045454545454546</v>
      </c>
      <c r="FX11" s="67">
        <f>IFERROR(VLOOKUP($B11,RD[#All],FX$2,0)/FX$1,"")</f>
        <v>3.1212121212121211</v>
      </c>
      <c r="FY11" s="67">
        <f>IFERROR(VLOOKUP($B11,RD[#All],FY$2,0)/FY$1,"")</f>
        <v>3.1178451178451176</v>
      </c>
      <c r="FZ11" s="67">
        <f>IFERROR(VLOOKUP($B11,RD[#All],FZ$2,0)/FZ$1,"")</f>
        <v>3.2007575757575757</v>
      </c>
      <c r="GA11" s="67">
        <f>IFERROR(VLOOKUP($B11,RD[#All],GA$2,0)/GA$1,"")</f>
        <v>3.1912587412587414</v>
      </c>
      <c r="GB11" s="67">
        <f>IFERROR(VLOOKUP($B11,RD[#All],GB$2,0)/GB$1,"")</f>
        <v>3.1346801346801345</v>
      </c>
      <c r="GC11" s="67">
        <f>IFERROR(VLOOKUP($B11,RD[#All],GC$2,0)/GC$1,"")</f>
        <v>3.1212121212121211</v>
      </c>
      <c r="GD11" s="67">
        <f>IFERROR(VLOOKUP($B11,RD[#All],GD$2,0)/GD$1,"")</f>
        <v>3.1709090909090909</v>
      </c>
      <c r="GE11" s="67">
        <f>IFERROR(VLOOKUP($B11,RD[#All],GE$2,0)/GE$1,"")</f>
        <v>3.1213286713286714</v>
      </c>
      <c r="GF11" s="67">
        <f>IFERROR(VLOOKUP($B11,RD[#All],GF$2,0)/GF$1,"")</f>
        <v>3.2053872053872055</v>
      </c>
      <c r="GG11" s="67">
        <f>IFERROR(VLOOKUP($B11,RD[#All],GG$2,0)/GG$1,"")</f>
        <v>3.1680000000000001</v>
      </c>
      <c r="GH11" s="67">
        <f>IFERROR(VLOOKUP($B11,RD[#All],GH$2,0)/GH$1,"")</f>
        <v>3.1480000000000001</v>
      </c>
      <c r="GI11" s="67">
        <f>IFERROR(VLOOKUP($B11,RD[#All],GI$2,0)/GI$1,"")</f>
        <v>3.1425454545454548</v>
      </c>
      <c r="GJ11" s="67">
        <f>IFERROR(VLOOKUP($B11,RD[#All],GJ$2,0)/GJ$1,"")</f>
        <v>3.1538461538461537</v>
      </c>
      <c r="GK11" s="67">
        <f>IFERROR(VLOOKUP($B11,RD[#All],GK$2,0)/GK$1,"")</f>
        <v>3.1098484848484849</v>
      </c>
      <c r="GL11" s="67">
        <f>IFERROR(VLOOKUP($B11,RD[#All],GL$2,0)/GL$1,"")</f>
        <v>3.1598484848484851</v>
      </c>
      <c r="GM11" s="67">
        <f>IFERROR(VLOOKUP($B11,RD[#All],GM$2,0)/GM$1,"")</f>
        <v>3.1920454545454549</v>
      </c>
      <c r="GN11" s="67">
        <f>IFERROR(VLOOKUP($B11,RD[#All],GN$2,0)/GN$1,"")</f>
        <v>3.1628787878787881</v>
      </c>
      <c r="GO11" s="67">
        <f>IFERROR(VLOOKUP($B11,RD[#All],GO$2,0)/GO$1,"")</f>
        <v>3.1590909090909092</v>
      </c>
      <c r="GP11" s="67">
        <f>IFERROR(VLOOKUP($B11,RD[#All],GP$2,0)/GP$1,"")</f>
        <v>3.1401515151515151</v>
      </c>
      <c r="GQ11" s="67">
        <f>IFERROR(VLOOKUP($B11,RD[#All],GQ$2,0)/GQ$1,"")</f>
        <v>3.1318181818181818</v>
      </c>
      <c r="GR11" s="67">
        <f>IFERROR(VLOOKUP($B11,RD[#All],GR$2,0)/GR$1,"")</f>
        <v>3.1174242424242422</v>
      </c>
      <c r="GS11" s="67" t="str">
        <f>IFERROR(VLOOKUP($B11,RD[#All],GS$2,0)/GS$1,"")</f>
        <v/>
      </c>
      <c r="GT11" s="67" t="str">
        <f>IFERROR(VLOOKUP($B11,RD[#All],GT$2,0)/GT$1,"")</f>
        <v/>
      </c>
      <c r="GU11" s="67">
        <f>IFERROR(VLOOKUP($B11,RD[#All],GU$2,0)/GU$1,"")</f>
        <v>0</v>
      </c>
      <c r="GV11" s="67">
        <f>IFERROR(VLOOKUP($B11,RD[#All],GV$2,0)/GV$1,"")</f>
        <v>3.1573417389020229</v>
      </c>
      <c r="GW11" s="67">
        <f>IFERROR(VLOOKUP($B11,RD[#All],GW$2,0)/GW$1,"")</f>
        <v>3.1633407243163338</v>
      </c>
      <c r="GX11" s="67" t="str">
        <f>IFERROR(VLOOKUP($B11,RD[#All],GX$2,0)/GX$1,"")</f>
        <v/>
      </c>
      <c r="GY11" s="67">
        <f>IFERROR(VLOOKUP($B11,RD[#All],GY$2,0)/GY$1,"")</f>
        <v>3.1664388243335608</v>
      </c>
      <c r="GZ11" s="67">
        <f>IFERROR(VLOOKUP($B11,RD[#All],GZ$2,0)/GZ$1,"")</f>
        <v>3.1797752808988764</v>
      </c>
      <c r="HA11" s="67">
        <f>IFERROR(VLOOKUP($B11,RD[#All],HA$2,0)/HA$1,"")</f>
        <v>3.1674157303370789</v>
      </c>
      <c r="HB11" s="67">
        <f>IFERROR(VLOOKUP($B11,RD[#All],HB$2,0)/HB$1,"")</f>
        <v>3.1449438202247193</v>
      </c>
      <c r="HC11" s="67">
        <f>IFERROR(VLOOKUP($B11,RD[#All],HC$2,0)/HC$1,"")</f>
        <v>3.149438202247191</v>
      </c>
      <c r="HD11" s="67">
        <f>IFERROR(VLOOKUP($B11,RD[#All],HD$2,0)/HD$1,"")</f>
        <v>3.159925093632959</v>
      </c>
      <c r="HE11" s="67">
        <f>IFERROR(VLOOKUP($B11,RD[#All],HE$2,0)/HE$1,"")</f>
        <v>3.1310861423220975</v>
      </c>
      <c r="HF11" s="67">
        <f>IFERROR(VLOOKUP($B11,RD[#All],HF$2,0)/HF$1,"")</f>
        <v>3.1786516853932585</v>
      </c>
      <c r="HG11" s="67">
        <f>IFERROR(VLOOKUP($B11,RD[#All],HG$2,0)/HG$1,"")</f>
        <v>3.1449438202247193</v>
      </c>
      <c r="HH11" s="67">
        <f>IFERROR(VLOOKUP($B11,RD[#All],HH$2,0)/HH$1,"")</f>
        <v>3.1704119850187267</v>
      </c>
      <c r="HI11" s="67">
        <f>IFERROR(VLOOKUP($B11,RD[#All],HI$2,0)/HI$1,"")</f>
        <v>3.191011235955056</v>
      </c>
      <c r="HJ11" s="67">
        <f>IFERROR(VLOOKUP($B11,RD[#All],HJ$2,0)/HJ$1,"")</f>
        <v>3.1168539325842697</v>
      </c>
      <c r="HK11" s="67">
        <f>IFERROR(VLOOKUP($B11,RD[#All],HK$2,0)/HK$1,"")</f>
        <v>3.1996670828131504</v>
      </c>
      <c r="HL11" s="67">
        <f>IFERROR(VLOOKUP($B11,RD[#All],HL$2,0)/HL$1,"")</f>
        <v>3.3325010403662088</v>
      </c>
      <c r="HM11" s="67">
        <f>IFERROR(VLOOKUP($B11,RD[#All],HM$2,0)/HM$1,"")</f>
        <v>3.3685624720107481</v>
      </c>
      <c r="HN11" s="67">
        <f>IFERROR(VLOOKUP($B11,RD[#All],HN$2,0)/HN$1,"")</f>
        <v>3.3094491715181369</v>
      </c>
      <c r="HO11" s="67">
        <f>IFERROR(VLOOKUP($B11,RD[#All],HO$2,0)/HO$1,"")</f>
        <v>3.2863113897596654</v>
      </c>
      <c r="HP11" s="67">
        <f>IFERROR(VLOOKUP($B11,RD[#All],HP$2,0)/HP$1,"")</f>
        <v>3.3479623824451412</v>
      </c>
      <c r="HQ11" s="67">
        <f>IFERROR(VLOOKUP($B11,RD[#All],HQ$2,0)/HQ$1,"")</f>
        <v>3.1024531024531026</v>
      </c>
      <c r="HR11" s="67">
        <f>IFERROR(VLOOKUP($B11,RD[#All],HR$2,0)/HR$1,"")</f>
        <v>3.1276063386155126</v>
      </c>
      <c r="HS11" s="67">
        <f>IFERROR(VLOOKUP($B11,RD[#All],HS$2,0)/HS$1,"")</f>
        <v>3.1101123595505618</v>
      </c>
      <c r="HT11" s="67">
        <f>IFERROR(VLOOKUP($B11,RD[#All],HT$2,0)/HT$1,"")</f>
        <v>3.1893466500208074</v>
      </c>
      <c r="HU11" s="67">
        <f>IFERROR(VLOOKUP($B11,RD[#All],HU$2,0)/HU$1,"")</f>
        <v>3.1149524632670702</v>
      </c>
      <c r="HV11" s="67">
        <f>IFERROR(VLOOKUP($B11,RD[#All],HV$2,0)/HV$1,"")</f>
        <v>3.1114952463267072</v>
      </c>
      <c r="HW11" s="67">
        <f>IFERROR(VLOOKUP($B11,RD[#All],HW$2,0)/HW$1,"")</f>
        <v>3.2287640449438202</v>
      </c>
      <c r="HX11" s="67">
        <f>IFERROR(VLOOKUP($B11,RD[#All],HX$2,0)/HX$1,"")</f>
        <v>3.2290406222990491</v>
      </c>
      <c r="HY11" s="67">
        <f>IFERROR(VLOOKUP($B11,RD[#All],HY$2,0)/HY$1,"")</f>
        <v>3.1793591344153143</v>
      </c>
      <c r="HZ11" s="67">
        <f>IFERROR(VLOOKUP($B11,RD[#All],HZ$2,0)/HZ$1,"")</f>
        <v>3.1207657095297545</v>
      </c>
      <c r="IA11" s="67">
        <f>IFERROR(VLOOKUP($B11,RD[#All],IA$2,0)/IA$1,"")</f>
        <v>3.1118881118881121</v>
      </c>
      <c r="IB11" s="67">
        <f>IFERROR(VLOOKUP($B11,RD[#All],IB$2,0)/IB$1,"")</f>
        <v>3.1240981240981243</v>
      </c>
      <c r="IC11" s="67">
        <f>IFERROR(VLOOKUP($B11,RD[#All],IC$2,0)/IC$1,"")</f>
        <v>3.1429681429681433</v>
      </c>
      <c r="ID11" s="67">
        <f>IFERROR(VLOOKUP($B11,RD[#All],ID$2,0)/ID$1,"")</f>
        <v>3.1511410400299287</v>
      </c>
      <c r="IE11" s="67">
        <f>IFERROR(VLOOKUP($B11,RD[#All],IE$2,0)/IE$1,"")</f>
        <v>3.1604040404040408</v>
      </c>
      <c r="IF11" s="67" t="str">
        <f>IFERROR(VLOOKUP($B11,RD[#All],IF$2,0)/IF$1,"")</f>
        <v/>
      </c>
      <c r="IG11" s="67">
        <f>IFERROR(VLOOKUP($B11,RD[#All],IG$2,0)/IG$1,"")</f>
        <v>3.3150297197848855</v>
      </c>
      <c r="IH11" s="67">
        <f>IFERROR(VLOOKUP($B11,RD[#All],IH$2,0)/IH$1,"")</f>
        <v>3.1682340647857887</v>
      </c>
      <c r="II11" s="67">
        <f>IFERROR(VLOOKUP($B11,RD[#All],II$2,0)/II$1,"")</f>
        <v>3.2039800995024876</v>
      </c>
      <c r="IJ11" s="67">
        <f>IFERROR(VLOOKUP($B11,RD[#All],IJ$2,0)/IJ$1,"")</f>
        <v>3.1238309016086792</v>
      </c>
      <c r="IK11" s="67">
        <f>IFERROR(VLOOKUP($B11,RD[#All],IK$2,0)/IK$1,"")</f>
        <v>3.1196581196581201</v>
      </c>
      <c r="IL11" s="67" t="str">
        <f>IFERROR(VLOOKUP($B11,RD[#All],IL$2,0)/IL$1,"")</f>
        <v/>
      </c>
      <c r="IM11" s="67" t="str">
        <f>IFERROR(VLOOKUP($B11,RD[#All],IM$2,0)/IM$1,"")</f>
        <v/>
      </c>
      <c r="IN11" s="67">
        <f>IFERROR(VLOOKUP($B11,RD[#All],IN$2,0)/IN$1,"")</f>
        <v>3.2936259143155695</v>
      </c>
      <c r="IO11" s="67">
        <f>IFERROR(VLOOKUP($B11,RD[#All],IO$2,0)/IO$1,"")</f>
        <v>3.334639498432602</v>
      </c>
      <c r="IP11" s="67">
        <f>IFERROR(VLOOKUP($B11,RD[#All],IP$2,0)/IP$1,"")</f>
        <v>3.6715185748424939</v>
      </c>
      <c r="IQ11" s="67">
        <f>IFERROR(VLOOKUP($B11,RD[#All],IQ$2,0)/IQ$1,"")</f>
        <v>3.1429681429681433</v>
      </c>
      <c r="IR11" s="67">
        <f>IFERROR(VLOOKUP($B11,RD[#All],IR$2,0)/IR$1,"")</f>
        <v>3.1496683250414597</v>
      </c>
      <c r="IS11" s="86">
        <f>IFERROR(AVERAGEIF(Inv_SY_B[[#This Row],[BLK1_INV1]:[BLK8_INV27]],"&gt;"&amp;0.1,Inv_SY_B[[#This Row],[BLK1_INV1]:[BLK8_INV27]]),"")</f>
        <v>3.1725797418825281</v>
      </c>
    </row>
    <row r="12" spans="2:253" x14ac:dyDescent="0.25">
      <c r="B12" s="85">
        <f t="shared" si="0"/>
        <v>45838</v>
      </c>
      <c r="C12" s="67">
        <f>IFERROR(VLOOKUP($B12,RD[#All],C$2,0)/C$1,"")</f>
        <v>2.5548833189282627</v>
      </c>
      <c r="D12" s="67">
        <f>IFERROR(VLOOKUP($B12,RD[#All],D$2,0)/D$1,"")</f>
        <v>2.5306828003457218</v>
      </c>
      <c r="E12" s="67">
        <f>IFERROR(VLOOKUP($B12,RD[#All],E$2,0)/E$1,"")</f>
        <v>2.5355805243445695</v>
      </c>
      <c r="F12" s="67">
        <f>IFERROR(VLOOKUP($B12,RD[#All],F$2,0)/F$1,"")</f>
        <v>2.5205992509363297</v>
      </c>
      <c r="G12" s="67">
        <f>IFERROR(VLOOKUP($B12,RD[#All],G$2,0)/G$1,"")</f>
        <v>2.5168539325842696</v>
      </c>
      <c r="H12" s="67">
        <f>IFERROR(VLOOKUP($B12,RD[#All],H$2,0)/H$1,"")</f>
        <v>2.5243445692883895</v>
      </c>
      <c r="I12" s="67">
        <f>IFERROR(VLOOKUP($B12,RD[#All],I$2,0)/I$1,"")</f>
        <v>2.5355805243445695</v>
      </c>
      <c r="J12" s="67">
        <f>IFERROR(VLOOKUP($B12,RD[#All],J$2,0)/J$1,"")</f>
        <v>2.5430711610486894</v>
      </c>
      <c r="K12" s="67">
        <f>IFERROR(VLOOKUP($B12,RD[#All],K$2,0)/K$1,"")</f>
        <v>2.5204494382022471</v>
      </c>
      <c r="L12" s="67">
        <f>IFERROR(VLOOKUP($B12,RD[#All],L$2,0)/L$1,"")</f>
        <v>2.5312359550561796</v>
      </c>
      <c r="M12" s="67">
        <f>IFERROR(VLOOKUP($B12,RD[#All],M$2,0)/M$1,"")</f>
        <v>2.5880149812734081</v>
      </c>
      <c r="N12" s="67">
        <f>IFERROR(VLOOKUP($B12,RD[#All],N$2,0)/N$1,"")</f>
        <v>2.5692883895131087</v>
      </c>
      <c r="O12" s="67">
        <f>IFERROR(VLOOKUP($B12,RD[#All],O$2,0)/O$1,"")</f>
        <v>2.5505617977528088</v>
      </c>
      <c r="P12" s="67">
        <f>IFERROR(VLOOKUP($B12,RD[#All],P$2,0)/P$1,"")</f>
        <v>2.5903983656792646</v>
      </c>
      <c r="Q12" s="67">
        <f>IFERROR(VLOOKUP($B12,RD[#All],Q$2,0)/Q$1,"")</f>
        <v>2.5243445692883895</v>
      </c>
      <c r="R12" s="67">
        <f>IFERROR(VLOOKUP($B12,RD[#All],R$2,0)/R$1,"")</f>
        <v>2.5205992509363297</v>
      </c>
      <c r="S12" s="67">
        <f>IFERROR(VLOOKUP($B12,RD[#All],S$2,0)/S$1,"")</f>
        <v>2.5093632958801497</v>
      </c>
      <c r="T12" s="67">
        <f>IFERROR(VLOOKUP($B12,RD[#All],T$2,0)/T$1,"")</f>
        <v>2.49438202247191</v>
      </c>
      <c r="U12" s="67">
        <f>IFERROR(VLOOKUP($B12,RD[#All],U$2,0)/U$1,"")</f>
        <v>2.5237683664649957</v>
      </c>
      <c r="V12" s="67">
        <f>IFERROR(VLOOKUP($B12,RD[#All],V$2,0)/V$1,"")</f>
        <v>2.5133967156439065</v>
      </c>
      <c r="W12" s="67">
        <f>IFERROR(VLOOKUP($B12,RD[#All],W$2,0)/W$1,"")</f>
        <v>2.5243445692883895</v>
      </c>
      <c r="X12" s="67">
        <f>IFERROR(VLOOKUP($B12,RD[#All],X$2,0)/X$1,"")</f>
        <v>2.5318352059925093</v>
      </c>
      <c r="Y12" s="67">
        <f>IFERROR(VLOOKUP($B12,RD[#All],Y$2,0)/Y$1,"")</f>
        <v>2.5203111495246326</v>
      </c>
      <c r="Z12" s="67">
        <f>IFERROR(VLOOKUP($B12,RD[#All],Z$2,0)/Z$1,"")</f>
        <v>2.5401581356637535</v>
      </c>
      <c r="AA12" s="67">
        <f>IFERROR(VLOOKUP($B12,RD[#All],AA$2,0)/AA$1,"")</f>
        <v>2.5341400172860848</v>
      </c>
      <c r="AB12" s="67">
        <f>IFERROR(VLOOKUP($B12,RD[#All],AB$2,0)/AB$1,"")</f>
        <v>2.5099394987035435</v>
      </c>
      <c r="AC12" s="67">
        <f>IFERROR(VLOOKUP($B12,RD[#All],AC$2,0)/AC$1,"")</f>
        <v>2.5410544511668105</v>
      </c>
      <c r="AD12" s="67">
        <f>IFERROR(VLOOKUP($B12,RD[#All],AD$2,0)/AD$1,"")</f>
        <v>2.513524760715772</v>
      </c>
      <c r="AE12" s="67">
        <f>IFERROR(VLOOKUP($B12,RD[#All],AE$2,0)/AE$1,"")</f>
        <v>2.5235122763212652</v>
      </c>
      <c r="AF12" s="67">
        <f>IFERROR(VLOOKUP($B12,RD[#All],AF$2,0)/AF$1,"")</f>
        <v>2.5334997919267583</v>
      </c>
      <c r="AG12" s="67">
        <f>IFERROR(VLOOKUP($B12,RD[#All],AG$2,0)/AG$1,"")</f>
        <v>2.5268414481897628</v>
      </c>
      <c r="AH12" s="67">
        <f>IFERROR(VLOOKUP($B12,RD[#All],AH$2,0)/AH$1,"")</f>
        <v>2.5068664169787764</v>
      </c>
      <c r="AI12" s="67">
        <f>IFERROR(VLOOKUP($B12,RD[#All],AI$2,0)/AI$1,"")</f>
        <v>2.5511006289308176</v>
      </c>
      <c r="AJ12" s="67">
        <f>IFERROR(VLOOKUP($B12,RD[#All],AJ$2,0)/AJ$1,"")</f>
        <v>2.5825736063368705</v>
      </c>
      <c r="AK12" s="67">
        <f>IFERROR(VLOOKUP($B12,RD[#All],AK$2,0)/AK$1,"")</f>
        <v>2.4794007490636703</v>
      </c>
      <c r="AL12" s="67">
        <f>IFERROR(VLOOKUP($B12,RD[#All],AL$2,0)/AL$1,"")</f>
        <v>2.4891267982602878</v>
      </c>
      <c r="AM12" s="67">
        <f>IFERROR(VLOOKUP($B12,RD[#All],AM$2,0)/AM$1,"")</f>
        <v>2.5205992509363297</v>
      </c>
      <c r="AN12" s="67">
        <f>IFERROR(VLOOKUP($B12,RD[#All],AN$2,0)/AN$1,"")</f>
        <v>2.4868913857677901</v>
      </c>
      <c r="AO12" s="67">
        <f>IFERROR(VLOOKUP($B12,RD[#All],AO$2,0)/AO$1,"")</f>
        <v>2.4419475655430714</v>
      </c>
      <c r="AP12" s="67">
        <f>IFERROR(VLOOKUP($B12,RD[#All],AP$2,0)/AP$1,"")</f>
        <v>2.5168539325842696</v>
      </c>
      <c r="AQ12" s="67">
        <f>IFERROR(VLOOKUP($B12,RD[#All],AQ$2,0)/AQ$1,"")</f>
        <v>2.5205992509363297</v>
      </c>
      <c r="AR12" s="67">
        <f>IFERROR(VLOOKUP($B12,RD[#All],AR$2,0)/AR$1,"")</f>
        <v>2.4569288389513106</v>
      </c>
      <c r="AS12" s="67">
        <f>IFERROR(VLOOKUP($B12,RD[#All],AS$2,0)/AS$1,"")</f>
        <v>2.5730337078651684</v>
      </c>
      <c r="AT12" s="67">
        <f>IFERROR(VLOOKUP($B12,RD[#All],AT$2,0)/AT$1,"")</f>
        <v>2.5318352059925093</v>
      </c>
      <c r="AU12" s="67">
        <f>IFERROR(VLOOKUP($B12,RD[#All],AU$2,0)/AU$1,"")</f>
        <v>2.5617977528089888</v>
      </c>
      <c r="AV12" s="67">
        <f>IFERROR(VLOOKUP($B12,RD[#All],AV$2,0)/AV$1,"")</f>
        <v>2.5205992509363297</v>
      </c>
      <c r="AW12" s="67">
        <f>IFERROR(VLOOKUP($B12,RD[#All],AW$2,0)/AW$1,"")</f>
        <v>2.3578219533275715</v>
      </c>
      <c r="AX12" s="67">
        <f>IFERROR(VLOOKUP($B12,RD[#All],AX$2,0)/AX$1,"")</f>
        <v>2.5310861423220974</v>
      </c>
      <c r="AY12" s="67">
        <f>IFERROR(VLOOKUP($B12,RD[#All],AY$2,0)/AY$1,"")</f>
        <v>2.3766292134831462</v>
      </c>
      <c r="AZ12" s="67">
        <f>IFERROR(VLOOKUP($B12,RD[#All],AZ$2,0)/AZ$1,"")</f>
        <v>2.3694382022471911</v>
      </c>
      <c r="BA12" s="67">
        <f>IFERROR(VLOOKUP($B12,RD[#All],BA$2,0)/BA$1,"")</f>
        <v>2.4868913857677901</v>
      </c>
      <c r="BB12" s="67">
        <f>IFERROR(VLOOKUP($B12,RD[#All],BB$2,0)/BB$1,"")</f>
        <v>2.5393258426966292</v>
      </c>
      <c r="BC12" s="67">
        <f>IFERROR(VLOOKUP($B12,RD[#All],BC$2,0)/BC$1,"")</f>
        <v>2.5002080732417813</v>
      </c>
      <c r="BD12" s="67">
        <f>IFERROR(VLOOKUP($B12,RD[#All],BD$2,0)/BD$1,"")</f>
        <v>2.5434873075322515</v>
      </c>
      <c r="BE12" s="67">
        <f>IFERROR(VLOOKUP($B12,RD[#All],BE$2,0)/BE$1,"")</f>
        <v>2.4995678478824548</v>
      </c>
      <c r="BF12" s="67">
        <f>IFERROR(VLOOKUP($B12,RD[#All],BF$2,0)/BF$1,"")</f>
        <v>2.5401581356637535</v>
      </c>
      <c r="BG12" s="67">
        <f>IFERROR(VLOOKUP($B12,RD[#All],BG$2,0)/BG$1,"")</f>
        <v>2.5468164794007491</v>
      </c>
      <c r="BH12" s="67">
        <f>IFERROR(VLOOKUP($B12,RD[#All],BH$2,0)/BH$1,"")</f>
        <v>2.5468164794007491</v>
      </c>
      <c r="BI12" s="67">
        <f>IFERROR(VLOOKUP($B12,RD[#All],BI$2,0)/BI$1,"")</f>
        <v>2.5168539325842696</v>
      </c>
      <c r="BJ12" s="67">
        <f>IFERROR(VLOOKUP($B12,RD[#All],BJ$2,0)/BJ$1,"")</f>
        <v>2.5501456512692466</v>
      </c>
      <c r="BK12" s="67">
        <f>IFERROR(VLOOKUP($B12,RD[#All],BK$2,0)/BK$1,"")</f>
        <v>2.5093632958801497</v>
      </c>
      <c r="BL12" s="67">
        <f>IFERROR(VLOOKUP($B12,RD[#All],BL$2,0)/BL$1,"")</f>
        <v>2.569421211107394</v>
      </c>
      <c r="BM12" s="67">
        <f>IFERROR(VLOOKUP($B12,RD[#All],BM$2,0)/BM$1,"")</f>
        <v>2.5205992509363297</v>
      </c>
      <c r="BN12" s="67">
        <f>IFERROR(VLOOKUP($B12,RD[#All],BN$2,0)/BN$1,"")</f>
        <v>2.6081504702194356</v>
      </c>
      <c r="BO12" s="67">
        <f>IFERROR(VLOOKUP($B12,RD[#All],BO$2,0)/BO$1,"")</f>
        <v>2.5133967156439065</v>
      </c>
      <c r="BP12" s="67">
        <f>IFERROR(VLOOKUP($B12,RD[#All],BP$2,0)/BP$1,"")</f>
        <v>2.5030250648228178</v>
      </c>
      <c r="BQ12" s="67">
        <f>IFERROR(VLOOKUP($B12,RD[#All],BQ$2,0)/BQ$1,"")</f>
        <v>2.5168539325842696</v>
      </c>
      <c r="BR12" s="67">
        <f>IFERROR(VLOOKUP($B12,RD[#All],BR$2,0)/BR$1,"")</f>
        <v>2.5375972342264479</v>
      </c>
      <c r="BS12" s="67">
        <f>IFERROR(VLOOKUP($B12,RD[#All],BS$2,0)/BS$1,"")</f>
        <v>2.4794007490636703</v>
      </c>
      <c r="BT12" s="67">
        <f>IFERROR(VLOOKUP($B12,RD[#All],BT$2,0)/BT$1,"")</f>
        <v>2.4868913857677901</v>
      </c>
      <c r="BU12" s="67">
        <f>IFERROR(VLOOKUP($B12,RD[#All],BU$2,0)/BU$1,"")</f>
        <v>2.5243445692883895</v>
      </c>
      <c r="BV12" s="67">
        <f>IFERROR(VLOOKUP($B12,RD[#All],BV$2,0)/BV$1,"")</f>
        <v>2.5131086142322099</v>
      </c>
      <c r="BW12" s="67">
        <f>IFERROR(VLOOKUP($B12,RD[#All],BW$2,0)/BW$1,"")</f>
        <v>2.5580524344569286</v>
      </c>
      <c r="BX12" s="67">
        <f>IFERROR(VLOOKUP($B12,RD[#All],BX$2,0)/BX$1,"")</f>
        <v>2.5430711610486894</v>
      </c>
      <c r="BY12" s="67">
        <f>IFERROR(VLOOKUP($B12,RD[#All],BY$2,0)/BY$1,"")</f>
        <v>2.5561381606325426</v>
      </c>
      <c r="BZ12" s="67">
        <f>IFERROR(VLOOKUP($B12,RD[#All],BZ$2,0)/BZ$1,"")</f>
        <v>2.5002080732417813</v>
      </c>
      <c r="CA12" s="67">
        <f>IFERROR(VLOOKUP($B12,RD[#All],CA$2,0)/CA$1,"")</f>
        <v>2.5368289637952559</v>
      </c>
      <c r="CB12" s="67">
        <f>IFERROR(VLOOKUP($B12,RD[#All],CB$2,0)/CB$1,"")</f>
        <v>2.50561797752809</v>
      </c>
      <c r="CC12" s="67">
        <f>IFERROR(VLOOKUP($B12,RD[#All],CC$2,0)/CC$1,"")</f>
        <v>2.5269662921348317</v>
      </c>
      <c r="CD12" s="67">
        <f>IFERROR(VLOOKUP($B12,RD[#All],CD$2,0)/CD$1,"")</f>
        <v>2.5272255834053587</v>
      </c>
      <c r="CE12" s="67">
        <f>IFERROR(VLOOKUP($B12,RD[#All],CE$2,0)/CE$1,"")</f>
        <v>2.5018726591760299</v>
      </c>
      <c r="CF12" s="67">
        <f>IFERROR(VLOOKUP($B12,RD[#All],CF$2,0)/CF$1,"")</f>
        <v>2.5205992509363297</v>
      </c>
      <c r="CG12" s="67">
        <f>IFERROR(VLOOKUP($B12,RD[#All],CG$2,0)/CG$1,"")</f>
        <v>2.4831460674157304</v>
      </c>
      <c r="CH12" s="67">
        <f>IFERROR(VLOOKUP($B12,RD[#All],CH$2,0)/CH$1,"")</f>
        <v>2.50561797752809</v>
      </c>
      <c r="CI12" s="67">
        <f>IFERROR(VLOOKUP($B12,RD[#All],CI$2,0)/CI$1,"")</f>
        <v>2.5243445692883895</v>
      </c>
      <c r="CJ12" s="67">
        <f>IFERROR(VLOOKUP($B12,RD[#All],CJ$2,0)/CJ$1,"")</f>
        <v>2.4531835205992509</v>
      </c>
      <c r="CK12" s="67">
        <f>IFERROR(VLOOKUP($B12,RD[#All],CK$2,0)/CK$1,"")</f>
        <v>2.5505617977528088</v>
      </c>
      <c r="CL12" s="67">
        <f>IFERROR(VLOOKUP($B12,RD[#All],CL$2,0)/CL$1,"")</f>
        <v>2.4531835205992509</v>
      </c>
      <c r="CM12" s="67">
        <f>IFERROR(VLOOKUP($B12,RD[#All],CM$2,0)/CM$1,"")</f>
        <v>2.4569288389513106</v>
      </c>
      <c r="CN12" s="67">
        <f>IFERROR(VLOOKUP($B12,RD[#All],CN$2,0)/CN$1,"")</f>
        <v>2.49438202247191</v>
      </c>
      <c r="CO12" s="67">
        <f>IFERROR(VLOOKUP($B12,RD[#All],CO$2,0)/CO$1,"")</f>
        <v>2.4492584269662925</v>
      </c>
      <c r="CP12" s="67">
        <f>IFERROR(VLOOKUP($B12,RD[#All],CP$2,0)/CP$1,"")</f>
        <v>2.4995678478824548</v>
      </c>
      <c r="CQ12" s="67">
        <f>IFERROR(VLOOKUP($B12,RD[#All],CQ$2,0)/CQ$1,"")</f>
        <v>2.4981273408239701</v>
      </c>
      <c r="CR12" s="67">
        <f>IFERROR(VLOOKUP($B12,RD[#All],CR$2,0)/CR$1,"")</f>
        <v>2.3745318352059925</v>
      </c>
      <c r="CS12" s="67">
        <f>IFERROR(VLOOKUP($B12,RD[#All],CS$2,0)/CS$1,"")</f>
        <v>2.5168539325842696</v>
      </c>
      <c r="CT12" s="67">
        <f>IFERROR(VLOOKUP($B12,RD[#All],CT$2,0)/CT$1,"")</f>
        <v>2.4794007490636703</v>
      </c>
      <c r="CU12" s="67">
        <f>IFERROR(VLOOKUP($B12,RD[#All],CU$2,0)/CU$1,"")</f>
        <v>0.17790262172284643</v>
      </c>
      <c r="CV12" s="67">
        <f>IFERROR(VLOOKUP($B12,RD[#All],CV$2,0)/CV$1,"")</f>
        <v>2.5318352059925093</v>
      </c>
      <c r="CW12" s="67">
        <f>IFERROR(VLOOKUP($B12,RD[#All],CW$2,0)/CW$1,"")</f>
        <v>2.5580524344569286</v>
      </c>
      <c r="CX12" s="67">
        <f>IFERROR(VLOOKUP($B12,RD[#All],CX$2,0)/CX$1,"")</f>
        <v>2.5168539325842696</v>
      </c>
      <c r="CY12" s="67">
        <f>IFERROR(VLOOKUP($B12,RD[#All],CY$2,0)/CY$1,"")</f>
        <v>2.4636704119850186</v>
      </c>
      <c r="CZ12" s="67">
        <f>IFERROR(VLOOKUP($B12,RD[#All],CZ$2,0)/CZ$1,"")</f>
        <v>2.564419475655431</v>
      </c>
      <c r="DA12" s="67">
        <f>IFERROR(VLOOKUP($B12,RD[#All],DA$2,0)/DA$1,"")</f>
        <v>2.4640449438202245</v>
      </c>
      <c r="DB12" s="67">
        <f>IFERROR(VLOOKUP($B12,RD[#All],DB$2,0)/DB$1,"")</f>
        <v>2.4981273408239701</v>
      </c>
      <c r="DC12" s="67">
        <f>IFERROR(VLOOKUP($B12,RD[#All],DC$2,0)/DC$1,"")</f>
        <v>2.513524760715772</v>
      </c>
      <c r="DD12" s="67">
        <f>IFERROR(VLOOKUP($B12,RD[#All],DD$2,0)/DD$1,"")</f>
        <v>2.4269662921348316</v>
      </c>
      <c r="DE12" s="67">
        <f>IFERROR(VLOOKUP($B12,RD[#All],DE$2,0)/DE$1,"")</f>
        <v>2.5411568872243029</v>
      </c>
      <c r="DF12" s="67">
        <f>IFERROR(VLOOKUP($B12,RD[#All],DF$2,0)/DF$1,"")</f>
        <v>2.4723987955838074</v>
      </c>
      <c r="DG12" s="67">
        <f>IFERROR(VLOOKUP($B12,RD[#All],DG$2,0)/DG$1,"")</f>
        <v>2.5131086142322099</v>
      </c>
      <c r="DH12" s="67">
        <f>IFERROR(VLOOKUP($B12,RD[#All],DH$2,0)/DH$1,"")</f>
        <v>2.5168539325842696</v>
      </c>
      <c r="DI12" s="67">
        <f>IFERROR(VLOOKUP($B12,RD[#All],DI$2,0)/DI$1,"")</f>
        <v>2.5133967156439065</v>
      </c>
      <c r="DJ12" s="67">
        <f>IFERROR(VLOOKUP($B12,RD[#All],DJ$2,0)/DJ$1,"")</f>
        <v>2.5687121866897149</v>
      </c>
      <c r="DK12" s="67">
        <f>IFERROR(VLOOKUP($B12,RD[#All],DK$2,0)/DK$1,"")</f>
        <v>2.5168539325842696</v>
      </c>
      <c r="DL12" s="67">
        <f>IFERROR(VLOOKUP($B12,RD[#All],DL$2,0)/DL$1,"")</f>
        <v>2.5235122763212652</v>
      </c>
      <c r="DM12" s="67">
        <f>IFERROR(VLOOKUP($B12,RD[#All],DM$2,0)/DM$1,"")</f>
        <v>2.5168539325842696</v>
      </c>
      <c r="DN12" s="67">
        <f>IFERROR(VLOOKUP($B12,RD[#All],DN$2,0)/DN$1,"")</f>
        <v>2.5205992509363297</v>
      </c>
      <c r="DO12" s="67">
        <f>IFERROR(VLOOKUP($B12,RD[#All],DO$2,0)/DO$1,"")</f>
        <v>2.5158916025426565</v>
      </c>
      <c r="DP12" s="67">
        <f>IFERROR(VLOOKUP($B12,RD[#All],DP$2,0)/DP$1,"")</f>
        <v>2.4369538077403248</v>
      </c>
      <c r="DQ12" s="67">
        <f>IFERROR(VLOOKUP($B12,RD[#All],DQ$2,0)/DQ$1,"")</f>
        <v>2.513524760715772</v>
      </c>
      <c r="DR12" s="67">
        <f>IFERROR(VLOOKUP($B12,RD[#All],DR$2,0)/DR$1,"")</f>
        <v>2.5205992509363297</v>
      </c>
      <c r="DS12" s="67">
        <f>IFERROR(VLOOKUP($B12,RD[#All],DS$2,0)/DS$1,"")</f>
        <v>2.451685393258427</v>
      </c>
      <c r="DT12" s="67">
        <f>IFERROR(VLOOKUP($B12,RD[#All],DT$2,0)/DT$1,"")</f>
        <v>2.3570536828963795</v>
      </c>
      <c r="DU12" s="67">
        <f>IFERROR(VLOOKUP($B12,RD[#All],DU$2,0)/DU$1,"")</f>
        <v>2.420307948397836</v>
      </c>
      <c r="DV12" s="67">
        <f>IFERROR(VLOOKUP($B12,RD[#All],DV$2,0)/DV$1,"")</f>
        <v>2.5018726591760299</v>
      </c>
      <c r="DW12" s="67">
        <f>IFERROR(VLOOKUP($B12,RD[#All],DW$2,0)/DW$1,"")</f>
        <v>2.50561797752809</v>
      </c>
      <c r="DX12" s="67">
        <f>IFERROR(VLOOKUP($B12,RD[#All],DX$2,0)/DX$1,"")</f>
        <v>2.5101955888472745</v>
      </c>
      <c r="DY12" s="67">
        <f>IFERROR(VLOOKUP($B12,RD[#All],DY$2,0)/DY$1,"")</f>
        <v>2.5243445692883895</v>
      </c>
      <c r="DZ12" s="67">
        <f>IFERROR(VLOOKUP($B12,RD[#All],DZ$2,0)/DZ$1,"")</f>
        <v>2.5617977528089888</v>
      </c>
      <c r="EA12" s="67">
        <f>IFERROR(VLOOKUP($B12,RD[#All],EA$2,0)/EA$1,"")</f>
        <v>2.4003329171868497</v>
      </c>
      <c r="EB12" s="67">
        <f>IFERROR(VLOOKUP($B12,RD[#All],EB$2,0)/EB$1,"")</f>
        <v>2.5667915106117354</v>
      </c>
      <c r="EC12" s="67">
        <f>IFERROR(VLOOKUP($B12,RD[#All],EC$2,0)/EC$1,"")</f>
        <v>2.5548833189282627</v>
      </c>
      <c r="ED12" s="67">
        <f>IFERROR(VLOOKUP($B12,RD[#All],ED$2,0)/ED$1,"")</f>
        <v>2.575626620570441</v>
      </c>
      <c r="EE12" s="67">
        <f>IFERROR(VLOOKUP($B12,RD[#All],EE$2,0)/EE$1,"")</f>
        <v>2.5548833189282627</v>
      </c>
      <c r="EF12" s="67">
        <f>IFERROR(VLOOKUP($B12,RD[#All],EF$2,0)/EF$1,"")</f>
        <v>2.5005107252298262</v>
      </c>
      <c r="EG12" s="67">
        <f>IFERROR(VLOOKUP($B12,RD[#All],EG$2,0)/EG$1,"")</f>
        <v>2.5244755244755246</v>
      </c>
      <c r="EH12" s="67">
        <f>IFERROR(VLOOKUP($B12,RD[#All],EH$2,0)/EH$1,"")</f>
        <v>2.5209790209790208</v>
      </c>
      <c r="EI12" s="67">
        <f>IFERROR(VLOOKUP($B12,RD[#All],EI$2,0)/EI$1,"")</f>
        <v>2.4860139860139858</v>
      </c>
      <c r="EJ12" s="67">
        <f>IFERROR(VLOOKUP($B12,RD[#All],EJ$2,0)/EJ$1,"")</f>
        <v>2.5489510489510487</v>
      </c>
      <c r="EK12" s="67">
        <f>IFERROR(VLOOKUP($B12,RD[#All],EK$2,0)/EK$1,"")</f>
        <v>2.5276404494382021</v>
      </c>
      <c r="EL12" s="67">
        <f>IFERROR(VLOOKUP($B12,RD[#All],EL$2,0)/EL$1,"")</f>
        <v>2.5543071161048689</v>
      </c>
      <c r="EM12" s="67">
        <f>IFERROR(VLOOKUP($B12,RD[#All],EM$2,0)/EM$1,"")</f>
        <v>2.4843560933448576</v>
      </c>
      <c r="EN12" s="67">
        <f>IFERROR(VLOOKUP($B12,RD[#All],EN$2,0)/EN$1,"")</f>
        <v>2.4719101123595504</v>
      </c>
      <c r="EO12" s="67">
        <f>IFERROR(VLOOKUP($B12,RD[#All],EO$2,0)/EO$1,"")</f>
        <v>2.5580524344569286</v>
      </c>
      <c r="EP12" s="67">
        <f>IFERROR(VLOOKUP($B12,RD[#All],EP$2,0)/EP$1,"")</f>
        <v>2.4511668107173725</v>
      </c>
      <c r="EQ12" s="67">
        <f>IFERROR(VLOOKUP($B12,RD[#All],EQ$2,0)/EQ$1,"")</f>
        <v>2.5543071161048689</v>
      </c>
      <c r="ER12" s="67">
        <f>IFERROR(VLOOKUP($B12,RD[#All],ER$2,0)/ER$1,"")</f>
        <v>2.4587726879861713</v>
      </c>
      <c r="ES12" s="67">
        <f>IFERROR(VLOOKUP($B12,RD[#All],ES$2,0)/ES$1,"")</f>
        <v>2.4910112359550562</v>
      </c>
      <c r="ET12" s="67">
        <f>IFERROR(VLOOKUP($B12,RD[#All],ET$2,0)/ET$1,"")</f>
        <v>2.530337078651685</v>
      </c>
      <c r="EU12" s="67">
        <f>IFERROR(VLOOKUP($B12,RD[#All],EU$2,0)/EU$1,"")</f>
        <v>2.5548833189282627</v>
      </c>
      <c r="EV12" s="67">
        <f>IFERROR(VLOOKUP($B12,RD[#All],EV$2,0)/EV$1,"")</f>
        <v>2.5375972342264479</v>
      </c>
      <c r="EW12" s="67">
        <f>IFERROR(VLOOKUP($B12,RD[#All],EW$2,0)/EW$1,"")</f>
        <v>2.5545375972342264</v>
      </c>
      <c r="EX12" s="67">
        <f>IFERROR(VLOOKUP($B12,RD[#All],EX$2,0)/EX$1,"")</f>
        <v>2.5400749063670416</v>
      </c>
      <c r="EY12" s="67">
        <f>IFERROR(VLOOKUP($B12,RD[#All],EY$2,0)/EY$1,"")</f>
        <v>2.5341656263004579</v>
      </c>
      <c r="EZ12" s="67">
        <f>IFERROR(VLOOKUP($B12,RD[#All],EZ$2,0)/EZ$1,"")</f>
        <v>2.5441947565543068</v>
      </c>
      <c r="FA12" s="67">
        <f>IFERROR(VLOOKUP($B12,RD[#All],FA$2,0)/FA$1,"")</f>
        <v>2.5044943820224721</v>
      </c>
      <c r="FB12" s="67">
        <f>IFERROR(VLOOKUP($B12,RD[#All],FB$2,0)/FB$1,"")</f>
        <v>2.5617977528089888</v>
      </c>
      <c r="FC12" s="67">
        <f>IFERROR(VLOOKUP($B12,RD[#All],FC$2,0)/FC$1,"")</f>
        <v>2.5093632958801497</v>
      </c>
      <c r="FD12" s="67">
        <f>IFERROR(VLOOKUP($B12,RD[#All],FD$2,0)/FD$1,"")</f>
        <v>2.5655430711610485</v>
      </c>
      <c r="FE12" s="67">
        <f>IFERROR(VLOOKUP($B12,RD[#All],FE$2,0)/FE$1,"")</f>
        <v>2.5037878787878789</v>
      </c>
      <c r="FF12" s="67">
        <f>IFERROR(VLOOKUP($B12,RD[#All],FF$2,0)/FF$1,"")</f>
        <v>2.5367424242424246</v>
      </c>
      <c r="FG12" s="67">
        <f>IFERROR(VLOOKUP($B12,RD[#All],FG$2,0)/FG$1,"")</f>
        <v>2.4814814814814814</v>
      </c>
      <c r="FH12" s="67">
        <f>IFERROR(VLOOKUP($B12,RD[#All],FH$2,0)/FH$1,"")</f>
        <v>2.4583333333333335</v>
      </c>
      <c r="FI12" s="67">
        <f>IFERROR(VLOOKUP($B12,RD[#All],FI$2,0)/FI$1,"")</f>
        <v>2.5387205387205389</v>
      </c>
      <c r="FJ12" s="67">
        <f>IFERROR(VLOOKUP($B12,RD[#All],FJ$2,0)/FJ$1,"")</f>
        <v>2.4478114478114477</v>
      </c>
      <c r="FK12" s="67">
        <f>IFERROR(VLOOKUP($B12,RD[#All],FK$2,0)/FK$1,"")</f>
        <v>2.4612794612794611</v>
      </c>
      <c r="FL12" s="67">
        <f>IFERROR(VLOOKUP($B12,RD[#All],FL$2,0)/FL$1,"")</f>
        <v>2.458181818181818</v>
      </c>
      <c r="FM12" s="67">
        <f>IFERROR(VLOOKUP($B12,RD[#All],FM$2,0)/FM$1,"")</f>
        <v>2.5530303030303032</v>
      </c>
      <c r="FN12" s="67">
        <f>IFERROR(VLOOKUP($B12,RD[#All],FN$2,0)/FN$1,"")</f>
        <v>2.3602693602693603</v>
      </c>
      <c r="FO12" s="67">
        <f>IFERROR(VLOOKUP($B12,RD[#All],FO$2,0)/FO$1,"")</f>
        <v>2.4659090909090908</v>
      </c>
      <c r="FP12" s="67">
        <f>IFERROR(VLOOKUP($B12,RD[#All],FP$2,0)/FP$1,"")</f>
        <v>2.4763636363636365</v>
      </c>
      <c r="FQ12" s="67">
        <f>IFERROR(VLOOKUP($B12,RD[#All],FQ$2,0)/FQ$1,"")</f>
        <v>2.5381818181818181</v>
      </c>
      <c r="FR12" s="67">
        <f>IFERROR(VLOOKUP($B12,RD[#All],FR$2,0)/FR$1,"")</f>
        <v>2.4690909090909092</v>
      </c>
      <c r="FS12" s="67">
        <f>IFERROR(VLOOKUP($B12,RD[#All],FS$2,0)/FS$1,"")</f>
        <v>2.4882154882154883</v>
      </c>
      <c r="FT12" s="67">
        <f>IFERROR(VLOOKUP($B12,RD[#All],FT$2,0)/FT$1,"")</f>
        <v>2.4290909090909092</v>
      </c>
      <c r="FU12" s="67">
        <f>IFERROR(VLOOKUP($B12,RD[#All],FU$2,0)/FU$1,"")</f>
        <v>2.4882154882154883</v>
      </c>
      <c r="FV12" s="67">
        <f>IFERROR(VLOOKUP($B12,RD[#All],FV$2,0)/FV$1,"")</f>
        <v>2.4719696969696972</v>
      </c>
      <c r="FW12" s="67">
        <f>IFERROR(VLOOKUP($B12,RD[#All],FW$2,0)/FW$1,"")</f>
        <v>2.4772727272727271</v>
      </c>
      <c r="FX12" s="67">
        <f>IFERROR(VLOOKUP($B12,RD[#All],FX$2,0)/FX$1,"")</f>
        <v>2.48030303030303</v>
      </c>
      <c r="FY12" s="67">
        <f>IFERROR(VLOOKUP($B12,RD[#All],FY$2,0)/FY$1,"")</f>
        <v>2.4377104377104377</v>
      </c>
      <c r="FZ12" s="67">
        <f>IFERROR(VLOOKUP($B12,RD[#All],FZ$2,0)/FZ$1,"")</f>
        <v>2.4659090909090908</v>
      </c>
      <c r="GA12" s="67">
        <f>IFERROR(VLOOKUP($B12,RD[#All],GA$2,0)/GA$1,"")</f>
        <v>2.5314685314685317</v>
      </c>
      <c r="GB12" s="67">
        <f>IFERROR(VLOOKUP($B12,RD[#All],GB$2,0)/GB$1,"")</f>
        <v>2.4612794612794611</v>
      </c>
      <c r="GC12" s="67">
        <f>IFERROR(VLOOKUP($B12,RD[#All],GC$2,0)/GC$1,"")</f>
        <v>2.4377104377104377</v>
      </c>
      <c r="GD12" s="67">
        <f>IFERROR(VLOOKUP($B12,RD[#All],GD$2,0)/GD$1,"")</f>
        <v>2.4469090909090907</v>
      </c>
      <c r="GE12" s="67">
        <f>IFERROR(VLOOKUP($B12,RD[#All],GE$2,0)/GE$1,"")</f>
        <v>2.4860139860139858</v>
      </c>
      <c r="GF12" s="67">
        <f>IFERROR(VLOOKUP($B12,RD[#All],GF$2,0)/GF$1,"")</f>
        <v>2.4781144781144779</v>
      </c>
      <c r="GG12" s="67">
        <f>IFERROR(VLOOKUP($B12,RD[#All],GG$2,0)/GG$1,"")</f>
        <v>2.5163636363636366</v>
      </c>
      <c r="GH12" s="67">
        <f>IFERROR(VLOOKUP($B12,RD[#All],GH$2,0)/GH$1,"")</f>
        <v>2.5236363636363635</v>
      </c>
      <c r="GI12" s="67">
        <f>IFERROR(VLOOKUP($B12,RD[#All],GI$2,0)/GI$1,"")</f>
        <v>2.3454545454545452</v>
      </c>
      <c r="GJ12" s="67">
        <f>IFERROR(VLOOKUP($B12,RD[#All],GJ$2,0)/GJ$1,"")</f>
        <v>2.4510489510489513</v>
      </c>
      <c r="GK12" s="67">
        <f>IFERROR(VLOOKUP($B12,RD[#All],GK$2,0)/GK$1,"")</f>
        <v>2.4878787878787878</v>
      </c>
      <c r="GL12" s="67">
        <f>IFERROR(VLOOKUP($B12,RD[#All],GL$2,0)/GL$1,"")</f>
        <v>2.4431818181818183</v>
      </c>
      <c r="GM12" s="67">
        <f>IFERROR(VLOOKUP($B12,RD[#All],GM$2,0)/GM$1,"")</f>
        <v>2.4848484848484849</v>
      </c>
      <c r="GN12" s="67">
        <f>IFERROR(VLOOKUP($B12,RD[#All],GN$2,0)/GN$1,"")</f>
        <v>2.4696969696969697</v>
      </c>
      <c r="GO12" s="67">
        <f>IFERROR(VLOOKUP($B12,RD[#All],GO$2,0)/GO$1,"")</f>
        <v>2.481060606060606</v>
      </c>
      <c r="GP12" s="67">
        <f>IFERROR(VLOOKUP($B12,RD[#All],GP$2,0)/GP$1,"")</f>
        <v>2.4939393939393937</v>
      </c>
      <c r="GQ12" s="67">
        <f>IFERROR(VLOOKUP($B12,RD[#All],GQ$2,0)/GQ$1,"")</f>
        <v>2.4727272727272727</v>
      </c>
      <c r="GR12" s="67">
        <f>IFERROR(VLOOKUP($B12,RD[#All],GR$2,0)/GR$1,"")</f>
        <v>2.5</v>
      </c>
      <c r="GS12" s="67" t="str">
        <f>IFERROR(VLOOKUP($B12,RD[#All],GS$2,0)/GS$1,"")</f>
        <v/>
      </c>
      <c r="GT12" s="67" t="str">
        <f>IFERROR(VLOOKUP($B12,RD[#All],GT$2,0)/GT$1,"")</f>
        <v/>
      </c>
      <c r="GU12" s="67">
        <f>IFERROR(VLOOKUP($B12,RD[#All],GU$2,0)/GU$1,"")</f>
        <v>0</v>
      </c>
      <c r="GV12" s="67">
        <f>IFERROR(VLOOKUP($B12,RD[#All],GV$2,0)/GV$1,"")</f>
        <v>2.4355135277121094</v>
      </c>
      <c r="GW12" s="67">
        <f>IFERROR(VLOOKUP($B12,RD[#All],GW$2,0)/GW$1,"")</f>
        <v>2.4242424242424239</v>
      </c>
      <c r="GX12" s="67" t="str">
        <f>IFERROR(VLOOKUP($B12,RD[#All],GX$2,0)/GX$1,"")</f>
        <v/>
      </c>
      <c r="GY12" s="67">
        <f>IFERROR(VLOOKUP($B12,RD[#All],GY$2,0)/GY$1,"")</f>
        <v>2.4880382775119614</v>
      </c>
      <c r="GZ12" s="67">
        <f>IFERROR(VLOOKUP($B12,RD[#All],GZ$2,0)/GZ$1,"")</f>
        <v>2.5543071161048689</v>
      </c>
      <c r="HA12" s="67">
        <f>IFERROR(VLOOKUP($B12,RD[#All],HA$2,0)/HA$1,"")</f>
        <v>2.4464419475655435</v>
      </c>
      <c r="HB12" s="67">
        <f>IFERROR(VLOOKUP($B12,RD[#All],HB$2,0)/HB$1,"")</f>
        <v>2.4494382022471912</v>
      </c>
      <c r="HC12" s="67">
        <f>IFERROR(VLOOKUP($B12,RD[#All],HC$2,0)/HC$1,"")</f>
        <v>2.5655430711610485</v>
      </c>
      <c r="HD12" s="67">
        <f>IFERROR(VLOOKUP($B12,RD[#All],HD$2,0)/HD$1,"")</f>
        <v>2.4981273408239701</v>
      </c>
      <c r="HE12" s="67">
        <f>IFERROR(VLOOKUP($B12,RD[#All],HE$2,0)/HE$1,"")</f>
        <v>2.5018726591760299</v>
      </c>
      <c r="HF12" s="67">
        <f>IFERROR(VLOOKUP($B12,RD[#All],HF$2,0)/HF$1,"")</f>
        <v>2.4647940074906369</v>
      </c>
      <c r="HG12" s="67">
        <f>IFERROR(VLOOKUP($B12,RD[#All],HG$2,0)/HG$1,"")</f>
        <v>2.5093632958801497</v>
      </c>
      <c r="HH12" s="67">
        <f>IFERROR(VLOOKUP($B12,RD[#All],HH$2,0)/HH$1,"")</f>
        <v>2.4588014981273409</v>
      </c>
      <c r="HI12" s="67">
        <f>IFERROR(VLOOKUP($B12,RD[#All],HI$2,0)/HI$1,"")</f>
        <v>2.4906367041198503</v>
      </c>
      <c r="HJ12" s="67">
        <f>IFERROR(VLOOKUP($B12,RD[#All],HJ$2,0)/HJ$1,"")</f>
        <v>2.4756554307116105</v>
      </c>
      <c r="HK12" s="67">
        <f>IFERROR(VLOOKUP($B12,RD[#All],HK$2,0)/HK$1,"")</f>
        <v>2.5268414481897628</v>
      </c>
      <c r="HL12" s="67">
        <f>IFERROR(VLOOKUP($B12,RD[#All],HL$2,0)/HL$1,"")</f>
        <v>2.5767790262172285</v>
      </c>
      <c r="HM12" s="67">
        <f>IFERROR(VLOOKUP($B12,RD[#All],HM$2,0)/HM$1,"")</f>
        <v>2.6287505597850425</v>
      </c>
      <c r="HN12" s="67">
        <f>IFERROR(VLOOKUP($B12,RD[#All],HN$2,0)/HN$1,"")</f>
        <v>2.5660546350201523</v>
      </c>
      <c r="HO12" s="67">
        <f>IFERROR(VLOOKUP($B12,RD[#All],HO$2,0)/HO$1,"")</f>
        <v>2.5809822361546497</v>
      </c>
      <c r="HP12" s="67">
        <f>IFERROR(VLOOKUP($B12,RD[#All],HP$2,0)/HP$1,"")</f>
        <v>2.5956112852664579</v>
      </c>
      <c r="HQ12" s="67">
        <f>IFERROR(VLOOKUP($B12,RD[#All],HQ$2,0)/HQ$1,"")</f>
        <v>2.4242424242424243</v>
      </c>
      <c r="HR12" s="67">
        <f>IFERROR(VLOOKUP($B12,RD[#All],HR$2,0)/HR$1,"")</f>
        <v>2.4812343619683066</v>
      </c>
      <c r="HS12" s="67">
        <f>IFERROR(VLOOKUP($B12,RD[#All],HS$2,0)/HS$1,"")</f>
        <v>2.5312359550561796</v>
      </c>
      <c r="HT12" s="67">
        <f>IFERROR(VLOOKUP($B12,RD[#All],HT$2,0)/HT$1,"")</f>
        <v>2.5334997919267583</v>
      </c>
      <c r="HU12" s="67">
        <f>IFERROR(VLOOKUP($B12,RD[#All],HU$2,0)/HU$1,"")</f>
        <v>2.5306828003457218</v>
      </c>
      <c r="HV12" s="67">
        <f>IFERROR(VLOOKUP($B12,RD[#All],HV$2,0)/HV$1,"")</f>
        <v>2.4926534140017287</v>
      </c>
      <c r="HW12" s="67">
        <f>IFERROR(VLOOKUP($B12,RD[#All],HW$2,0)/HW$1,"")</f>
        <v>2.5635955056179776</v>
      </c>
      <c r="HX12" s="67">
        <f>IFERROR(VLOOKUP($B12,RD[#All],HX$2,0)/HX$1,"")</f>
        <v>2.5548833189282627</v>
      </c>
      <c r="HY12" s="67">
        <f>IFERROR(VLOOKUP($B12,RD[#All],HY$2,0)/HY$1,"")</f>
        <v>2.5268414481897628</v>
      </c>
      <c r="HZ12" s="67">
        <f>IFERROR(VLOOKUP($B12,RD[#All],HZ$2,0)/HZ$1,"")</f>
        <v>2.513524760715772</v>
      </c>
      <c r="IA12" s="67">
        <f>IFERROR(VLOOKUP($B12,RD[#All],IA$2,0)/IA$1,"")</f>
        <v>2.4825174825174829</v>
      </c>
      <c r="IB12" s="67">
        <f>IFERROR(VLOOKUP($B12,RD[#All],IB$2,0)/IB$1,"")</f>
        <v>2.4386724386724388</v>
      </c>
      <c r="IC12" s="67">
        <f>IFERROR(VLOOKUP($B12,RD[#All],IC$2,0)/IC$1,"")</f>
        <v>2.4980574980574981</v>
      </c>
      <c r="ID12" s="67">
        <f>IFERROR(VLOOKUP($B12,RD[#All],ID$2,0)/ID$1,"")</f>
        <v>2.4915824915824913</v>
      </c>
      <c r="IE12" s="67">
        <f>IFERROR(VLOOKUP($B12,RD[#All],IE$2,0)/IE$1,"")</f>
        <v>2.4727272727272727</v>
      </c>
      <c r="IF12" s="67" t="str">
        <f>IFERROR(VLOOKUP($B12,RD[#All],IF$2,0)/IF$1,"")</f>
        <v/>
      </c>
      <c r="IG12" s="67">
        <f>IFERROR(VLOOKUP($B12,RD[#All],IG$2,0)/IG$1,"")</f>
        <v>2.6436456269459381</v>
      </c>
      <c r="IH12" s="67">
        <f>IFERROR(VLOOKUP($B12,RD[#All],IH$2,0)/IH$1,"")</f>
        <v>2.4695228143504004</v>
      </c>
      <c r="II12" s="67">
        <f>IFERROR(VLOOKUP($B12,RD[#All],II$2,0)/II$1,"")</f>
        <v>2.5074626865671643</v>
      </c>
      <c r="IJ12" s="67">
        <f>IFERROR(VLOOKUP($B12,RD[#All],IJ$2,0)/IJ$1,"")</f>
        <v>2.4728769173213618</v>
      </c>
      <c r="IK12" s="67">
        <f>IFERROR(VLOOKUP($B12,RD[#All],IK$2,0)/IK$1,"")</f>
        <v>2.4630924630924631</v>
      </c>
      <c r="IL12" s="67" t="str">
        <f>IFERROR(VLOOKUP($B12,RD[#All],IL$2,0)/IL$1,"")</f>
        <v/>
      </c>
      <c r="IM12" s="67" t="str">
        <f>IFERROR(VLOOKUP($B12,RD[#All],IM$2,0)/IM$1,"")</f>
        <v/>
      </c>
      <c r="IN12" s="67">
        <f>IFERROR(VLOOKUP($B12,RD[#All],IN$2,0)/IN$1,"")</f>
        <v>2.6708463949843262</v>
      </c>
      <c r="IO12" s="67">
        <f>IFERROR(VLOOKUP($B12,RD[#All],IO$2,0)/IO$1,"")</f>
        <v>2.6567398119122259</v>
      </c>
      <c r="IP12" s="67">
        <f>IFERROR(VLOOKUP($B12,RD[#All],IP$2,0)/IP$1,"")</f>
        <v>2.9719747990441014</v>
      </c>
      <c r="IQ12" s="67">
        <f>IFERROR(VLOOKUP($B12,RD[#All],IQ$2,0)/IQ$1,"")</f>
        <v>2.4708624708624711</v>
      </c>
      <c r="IR12" s="67">
        <f>IFERROR(VLOOKUP($B12,RD[#All],IR$2,0)/IR$1,"")</f>
        <v>2.4917081260364844</v>
      </c>
      <c r="IS12" s="86">
        <f>IFERROR(AVERAGEIF(Inv_SY_B[[#This Row],[BLK1_INV1]:[BLK8_INV27]],"&gt;"&amp;0.1,Inv_SY_B[[#This Row],[BLK1_INV1]:[BLK8_INV27]]),"")</f>
        <v>2.5000016770928504</v>
      </c>
    </row>
    <row r="13" spans="2:253" x14ac:dyDescent="0.25">
      <c r="B13" s="85">
        <f t="shared" si="0"/>
        <v>45839</v>
      </c>
      <c r="C13" s="67">
        <f>IFERROR(VLOOKUP($B13,RD[#All],C$2,0)/C$1,"")</f>
        <v>2.0342264477095937</v>
      </c>
      <c r="D13" s="67">
        <f>IFERROR(VLOOKUP($B13,RD[#All],D$2,0)/D$1,"")</f>
        <v>2.0708729472774419</v>
      </c>
      <c r="E13" s="67">
        <f>IFERROR(VLOOKUP($B13,RD[#All],E$2,0)/E$1,"")</f>
        <v>2.0756554307116106</v>
      </c>
      <c r="F13" s="67">
        <f>IFERROR(VLOOKUP($B13,RD[#All],F$2,0)/F$1,"")</f>
        <v>2.0651685393258425</v>
      </c>
      <c r="G13" s="67">
        <f>IFERROR(VLOOKUP($B13,RD[#All],G$2,0)/G$1,"")</f>
        <v>2.0646499567847885</v>
      </c>
      <c r="H13" s="67">
        <f>IFERROR(VLOOKUP($B13,RD[#All],H$2,0)/H$1,"")</f>
        <v>2.0629213483146067</v>
      </c>
      <c r="I13" s="67">
        <f>IFERROR(VLOOKUP($B13,RD[#All],I$2,0)/I$1,"")</f>
        <v>2.0734082397003748</v>
      </c>
      <c r="J13" s="67">
        <f>IFERROR(VLOOKUP($B13,RD[#All],J$2,0)/J$1,"")</f>
        <v>2.0794007490636708</v>
      </c>
      <c r="K13" s="67">
        <f>IFERROR(VLOOKUP($B13,RD[#All],K$2,0)/K$1,"")</f>
        <v>1.8013483146067415</v>
      </c>
      <c r="L13" s="67">
        <f>IFERROR(VLOOKUP($B13,RD[#All],L$2,0)/L$1,"")</f>
        <v>1.9523595505617977</v>
      </c>
      <c r="M13" s="67">
        <f>IFERROR(VLOOKUP($B13,RD[#All],M$2,0)/M$1,"")</f>
        <v>2.1202247191011239</v>
      </c>
      <c r="N13" s="67">
        <f>IFERROR(VLOOKUP($B13,RD[#All],N$2,0)/N$1,"")</f>
        <v>2.1063670411985016</v>
      </c>
      <c r="O13" s="67">
        <f>IFERROR(VLOOKUP($B13,RD[#All],O$2,0)/O$1,"")</f>
        <v>1.9782771535580526</v>
      </c>
      <c r="P13" s="67">
        <f>IFERROR(VLOOKUP($B13,RD[#All],P$2,0)/P$1,"")</f>
        <v>2.1262512768130746</v>
      </c>
      <c r="Q13" s="67">
        <f>IFERROR(VLOOKUP($B13,RD[#All],Q$2,0)/Q$1,"")</f>
        <v>2.0704119850187266</v>
      </c>
      <c r="R13" s="67">
        <f>IFERROR(VLOOKUP($B13,RD[#All],R$2,0)/R$1,"")</f>
        <v>2.0711610486891385</v>
      </c>
      <c r="S13" s="67">
        <f>IFERROR(VLOOKUP($B13,RD[#All],S$2,0)/S$1,"")</f>
        <v>2.0505617977528088</v>
      </c>
      <c r="T13" s="67">
        <f>IFERROR(VLOOKUP($B13,RD[#All],T$2,0)/T$1,"")</f>
        <v>2.0426966292134829</v>
      </c>
      <c r="U13" s="67">
        <f>IFERROR(VLOOKUP($B13,RD[#All],U$2,0)/U$1,"")</f>
        <v>2.0708729472774419</v>
      </c>
      <c r="V13" s="67">
        <f>IFERROR(VLOOKUP($B13,RD[#All],V$2,0)/V$1,"")</f>
        <v>2.0674157303370788</v>
      </c>
      <c r="W13" s="67">
        <f>IFERROR(VLOOKUP($B13,RD[#All],W$2,0)/W$1,"")</f>
        <v>2.0734082397003748</v>
      </c>
      <c r="X13" s="67">
        <f>IFERROR(VLOOKUP($B13,RD[#All],X$2,0)/X$1,"")</f>
        <v>2.0861423220973783</v>
      </c>
      <c r="Y13" s="67">
        <f>IFERROR(VLOOKUP($B13,RD[#All],Y$2,0)/Y$1,"")</f>
        <v>2.0304235090751943</v>
      </c>
      <c r="Z13" s="67">
        <f>IFERROR(VLOOKUP($B13,RD[#All],Z$2,0)/Z$1,"")</f>
        <v>2.104702455264253</v>
      </c>
      <c r="AA13" s="67">
        <f>IFERROR(VLOOKUP($B13,RD[#All],AA$2,0)/AA$1,"")</f>
        <v>2.0929991356957647</v>
      </c>
      <c r="AB13" s="67">
        <f>IFERROR(VLOOKUP($B13,RD[#All],AB$2,0)/AB$1,"")</f>
        <v>2.0784788245462402</v>
      </c>
      <c r="AC13" s="67">
        <f>IFERROR(VLOOKUP($B13,RD[#All],AC$2,0)/AC$1,"")</f>
        <v>2.0660328435609334</v>
      </c>
      <c r="AD13" s="67">
        <f>IFERROR(VLOOKUP($B13,RD[#All],AD$2,0)/AD$1,"")</f>
        <v>2.0737411568872242</v>
      </c>
      <c r="AE13" s="67">
        <f>IFERROR(VLOOKUP($B13,RD[#All],AE$2,0)/AE$1,"")</f>
        <v>2.0953807740324595</v>
      </c>
      <c r="AF13" s="67">
        <f>IFERROR(VLOOKUP($B13,RD[#All],AF$2,0)/AF$1,"")</f>
        <v>2.0058260507698709</v>
      </c>
      <c r="AG13" s="67">
        <f>IFERROR(VLOOKUP($B13,RD[#All],AG$2,0)/AG$1,"")</f>
        <v>2.0481065334997921</v>
      </c>
      <c r="AH13" s="67">
        <f>IFERROR(VLOOKUP($B13,RD[#All],AH$2,0)/AH$1,"")</f>
        <v>2.0374531835205993</v>
      </c>
      <c r="AI13" s="67">
        <f>IFERROR(VLOOKUP($B13,RD[#All],AI$2,0)/AI$1,"")</f>
        <v>2.0345911949685536</v>
      </c>
      <c r="AJ13" s="67">
        <f>IFERROR(VLOOKUP($B13,RD[#All],AJ$2,0)/AJ$1,"")</f>
        <v>2.0624719772829172</v>
      </c>
      <c r="AK13" s="67">
        <f>IFERROR(VLOOKUP($B13,RD[#All],AK$2,0)/AK$1,"")</f>
        <v>2.0389513108614232</v>
      </c>
      <c r="AL13" s="67">
        <f>IFERROR(VLOOKUP($B13,RD[#All],AL$2,0)/AL$1,"")</f>
        <v>1.9739043158246907</v>
      </c>
      <c r="AM13" s="67">
        <f>IFERROR(VLOOKUP($B13,RD[#All],AM$2,0)/AM$1,"")</f>
        <v>2.0074906367041199</v>
      </c>
      <c r="AN13" s="67">
        <f>IFERROR(VLOOKUP($B13,RD[#All],AN$2,0)/AN$1,"")</f>
        <v>1.951685393258427</v>
      </c>
      <c r="AO13" s="67">
        <f>IFERROR(VLOOKUP($B13,RD[#All],AO$2,0)/AO$1,"")</f>
        <v>1.9925093632958801</v>
      </c>
      <c r="AP13" s="67">
        <f>IFERROR(VLOOKUP($B13,RD[#All],AP$2,0)/AP$1,"")</f>
        <v>2.0104868913857676</v>
      </c>
      <c r="AQ13" s="67">
        <f>IFERROR(VLOOKUP($B13,RD[#All],AQ$2,0)/AQ$1,"")</f>
        <v>1.9700374531835205</v>
      </c>
      <c r="AR13" s="67">
        <f>IFERROR(VLOOKUP($B13,RD[#All],AR$2,0)/AR$1,"")</f>
        <v>1.9812734082397003</v>
      </c>
      <c r="AS13" s="67">
        <f>IFERROR(VLOOKUP($B13,RD[#All],AS$2,0)/AS$1,"")</f>
        <v>2.0127340823970035</v>
      </c>
      <c r="AT13" s="67">
        <f>IFERROR(VLOOKUP($B13,RD[#All],AT$2,0)/AT$1,"")</f>
        <v>2.011985018726592</v>
      </c>
      <c r="AU13" s="67">
        <f>IFERROR(VLOOKUP($B13,RD[#All],AU$2,0)/AU$1,"")</f>
        <v>2.0269662921348317</v>
      </c>
      <c r="AV13" s="67">
        <f>IFERROR(VLOOKUP($B13,RD[#All],AV$2,0)/AV$1,"")</f>
        <v>1.9764044943820227</v>
      </c>
      <c r="AW13" s="67">
        <f>IFERROR(VLOOKUP($B13,RD[#All],AW$2,0)/AW$1,"")</f>
        <v>1.9809853068280034</v>
      </c>
      <c r="AX13" s="67">
        <f>IFERROR(VLOOKUP($B13,RD[#All],AX$2,0)/AX$1,"")</f>
        <v>2.0194756554307118</v>
      </c>
      <c r="AY13" s="67">
        <f>IFERROR(VLOOKUP($B13,RD[#All],AY$2,0)/AY$1,"")</f>
        <v>2.0188764044943821</v>
      </c>
      <c r="AZ13" s="67">
        <f>IFERROR(VLOOKUP($B13,RD[#All],AZ$2,0)/AZ$1,"")</f>
        <v>1.975011235955056</v>
      </c>
      <c r="BA13" s="67">
        <f>IFERROR(VLOOKUP($B13,RD[#All],BA$2,0)/BA$1,"")</f>
        <v>2.0314606741573034</v>
      </c>
      <c r="BB13" s="67">
        <f>IFERROR(VLOOKUP($B13,RD[#All],BB$2,0)/BB$1,"")</f>
        <v>2.0516853932584267</v>
      </c>
      <c r="BC13" s="67">
        <f>IFERROR(VLOOKUP($B13,RD[#All],BC$2,0)/BC$1,"")</f>
        <v>1.9741989180191428</v>
      </c>
      <c r="BD13" s="67">
        <f>IFERROR(VLOOKUP($B13,RD[#All],BD$2,0)/BD$1,"")</f>
        <v>1.984186433624636</v>
      </c>
      <c r="BE13" s="67">
        <f>IFERROR(VLOOKUP($B13,RD[#All],BE$2,0)/BE$1,"")</f>
        <v>1.9740708729472773</v>
      </c>
      <c r="BF13" s="67">
        <f>IFERROR(VLOOKUP($B13,RD[#All],BF$2,0)/BF$1,"")</f>
        <v>1.984186433624636</v>
      </c>
      <c r="BG13" s="67">
        <f>IFERROR(VLOOKUP($B13,RD[#All],BG$2,0)/BG$1,"")</f>
        <v>1.8017478152309614</v>
      </c>
      <c r="BH13" s="67">
        <f>IFERROR(VLOOKUP($B13,RD[#All],BH$2,0)/BH$1,"")</f>
        <v>2.0187265917602994</v>
      </c>
      <c r="BI13" s="67">
        <f>IFERROR(VLOOKUP($B13,RD[#All],BI$2,0)/BI$1,"")</f>
        <v>1.9575530586766541</v>
      </c>
      <c r="BJ13" s="67">
        <f>IFERROR(VLOOKUP($B13,RD[#All],BJ$2,0)/BJ$1,"")</f>
        <v>1.9642114024136497</v>
      </c>
      <c r="BK13" s="67">
        <f>IFERROR(VLOOKUP($B13,RD[#All],BK$2,0)/BK$1,"")</f>
        <v>1.9775280898876404</v>
      </c>
      <c r="BL13" s="67">
        <f>IFERROR(VLOOKUP($B13,RD[#All],BL$2,0)/BL$1,"")</f>
        <v>1.9739043158246907</v>
      </c>
      <c r="BM13" s="67">
        <f>IFERROR(VLOOKUP($B13,RD[#All],BM$2,0)/BM$1,"")</f>
        <v>2</v>
      </c>
      <c r="BN13" s="67">
        <f>IFERROR(VLOOKUP($B13,RD[#All],BN$2,0)/BN$1,"")</f>
        <v>2.0869383490073146</v>
      </c>
      <c r="BO13" s="67">
        <f>IFERROR(VLOOKUP($B13,RD[#All],BO$2,0)/BO$1,"")</f>
        <v>2.026274848746759</v>
      </c>
      <c r="BP13" s="67">
        <f>IFERROR(VLOOKUP($B13,RD[#All],BP$2,0)/BP$1,"")</f>
        <v>2.0190146931719966</v>
      </c>
      <c r="BQ13" s="67">
        <f>IFERROR(VLOOKUP($B13,RD[#All],BQ$2,0)/BQ$1,"")</f>
        <v>2.0190146931719966</v>
      </c>
      <c r="BR13" s="67">
        <f>IFERROR(VLOOKUP($B13,RD[#All],BR$2,0)/BR$1,"")</f>
        <v>1.9671564390665515</v>
      </c>
      <c r="BS13" s="67">
        <f>IFERROR(VLOOKUP($B13,RD[#All],BS$2,0)/BS$1,"")</f>
        <v>1.9932584269662923</v>
      </c>
      <c r="BT13" s="67">
        <f>IFERROR(VLOOKUP($B13,RD[#All],BT$2,0)/BT$1,"")</f>
        <v>2.0074906367041199</v>
      </c>
      <c r="BU13" s="67">
        <f>IFERROR(VLOOKUP($B13,RD[#All],BU$2,0)/BU$1,"")</f>
        <v>2.0093632958801497</v>
      </c>
      <c r="BV13" s="67">
        <f>IFERROR(VLOOKUP($B13,RD[#All],BV$2,0)/BV$1,"")</f>
        <v>1.9580524344569286</v>
      </c>
      <c r="BW13" s="67">
        <f>IFERROR(VLOOKUP($B13,RD[#All],BW$2,0)/BW$1,"")</f>
        <v>1.9816479400749065</v>
      </c>
      <c r="BX13" s="67">
        <f>IFERROR(VLOOKUP($B13,RD[#All],BX$2,0)/BX$1,"")</f>
        <v>2.0273408239700372</v>
      </c>
      <c r="BY13" s="67">
        <f>IFERROR(VLOOKUP($B13,RD[#All],BY$2,0)/BY$1,"")</f>
        <v>1.9941739492301289</v>
      </c>
      <c r="BZ13" s="67">
        <f>IFERROR(VLOOKUP($B13,RD[#All],BZ$2,0)/BZ$1,"")</f>
        <v>1.9575530586766541</v>
      </c>
      <c r="CA13" s="67">
        <f>IFERROR(VLOOKUP($B13,RD[#All],CA$2,0)/CA$1,"")</f>
        <v>1.9642114024136497</v>
      </c>
      <c r="CB13" s="67">
        <f>IFERROR(VLOOKUP($B13,RD[#All],CB$2,0)/CB$1,"")</f>
        <v>2</v>
      </c>
      <c r="CC13" s="67">
        <f>IFERROR(VLOOKUP($B13,RD[#All],CC$2,0)/CC$1,"")</f>
        <v>2.0014981273408239</v>
      </c>
      <c r="CD13" s="67">
        <f>IFERROR(VLOOKUP($B13,RD[#All],CD$2,0)/CD$1,"")</f>
        <v>1.9602420051858254</v>
      </c>
      <c r="CE13" s="67">
        <f>IFERROR(VLOOKUP($B13,RD[#All],CE$2,0)/CE$1,"")</f>
        <v>1.9812734082397003</v>
      </c>
      <c r="CF13" s="67">
        <f>IFERROR(VLOOKUP($B13,RD[#All],CF$2,0)/CF$1,"")</f>
        <v>1.9632958801498128</v>
      </c>
      <c r="CG13" s="67">
        <f>IFERROR(VLOOKUP($B13,RD[#All],CG$2,0)/CG$1,"")</f>
        <v>2.0220973782771536</v>
      </c>
      <c r="CH13" s="67">
        <f>IFERROR(VLOOKUP($B13,RD[#All],CH$2,0)/CH$1,"")</f>
        <v>1.9955056179775279</v>
      </c>
      <c r="CI13" s="67">
        <f>IFERROR(VLOOKUP($B13,RD[#All],CI$2,0)/CI$1,"")</f>
        <v>1.9659176029962546</v>
      </c>
      <c r="CJ13" s="67">
        <f>IFERROR(VLOOKUP($B13,RD[#All],CJ$2,0)/CJ$1,"")</f>
        <v>1.9595505617977529</v>
      </c>
      <c r="CK13" s="67">
        <f>IFERROR(VLOOKUP($B13,RD[#All],CK$2,0)/CK$1,"")</f>
        <v>1.9621722846441947</v>
      </c>
      <c r="CL13" s="67">
        <f>IFERROR(VLOOKUP($B13,RD[#All],CL$2,0)/CL$1,"")</f>
        <v>1.993632958801498</v>
      </c>
      <c r="CM13" s="67">
        <f>IFERROR(VLOOKUP($B13,RD[#All],CM$2,0)/CM$1,"")</f>
        <v>1.9887640449438202</v>
      </c>
      <c r="CN13" s="67">
        <f>IFERROR(VLOOKUP($B13,RD[#All],CN$2,0)/CN$1,"")</f>
        <v>1.9700374531835205</v>
      </c>
      <c r="CO13" s="67">
        <f>IFERROR(VLOOKUP($B13,RD[#All],CO$2,0)/CO$1,"")</f>
        <v>1.9631460674157304</v>
      </c>
      <c r="CP13" s="67">
        <f>IFERROR(VLOOKUP($B13,RD[#All],CP$2,0)/CP$1,"")</f>
        <v>1.9433016421780467</v>
      </c>
      <c r="CQ13" s="67">
        <f>IFERROR(VLOOKUP($B13,RD[#All],CQ$2,0)/CQ$1,"")</f>
        <v>2.0074906367041199</v>
      </c>
      <c r="CR13" s="67">
        <f>IFERROR(VLOOKUP($B13,RD[#All],CR$2,0)/CR$1,"")</f>
        <v>1.9588014981273407</v>
      </c>
      <c r="CS13" s="67">
        <f>IFERROR(VLOOKUP($B13,RD[#All],CS$2,0)/CS$1,"")</f>
        <v>1.9988347898460257</v>
      </c>
      <c r="CT13" s="67">
        <f>IFERROR(VLOOKUP($B13,RD[#All],CT$2,0)/CT$1,"")</f>
        <v>1.9928838951310863</v>
      </c>
      <c r="CU13" s="67">
        <f>IFERROR(VLOOKUP($B13,RD[#All],CU$2,0)/CU$1,"")</f>
        <v>1.7602996254681649</v>
      </c>
      <c r="CV13" s="67">
        <f>IFERROR(VLOOKUP($B13,RD[#All],CV$2,0)/CV$1,"")</f>
        <v>1.9513108614232211</v>
      </c>
      <c r="CW13" s="67">
        <f>IFERROR(VLOOKUP($B13,RD[#All],CW$2,0)/CW$1,"")</f>
        <v>2.0187265917602994</v>
      </c>
      <c r="CX13" s="67">
        <f>IFERROR(VLOOKUP($B13,RD[#All],CX$2,0)/CX$1,"")</f>
        <v>2.0325842696629217</v>
      </c>
      <c r="CY13" s="67">
        <f>IFERROR(VLOOKUP($B13,RD[#All],CY$2,0)/CY$1,"")</f>
        <v>1.9925093632958801</v>
      </c>
      <c r="CZ13" s="67">
        <f>IFERROR(VLOOKUP($B13,RD[#All],CZ$2,0)/CZ$1,"")</f>
        <v>2.0149812734082397</v>
      </c>
      <c r="DA13" s="67">
        <f>IFERROR(VLOOKUP($B13,RD[#All],DA$2,0)/DA$1,"")</f>
        <v>1.9962546816479401</v>
      </c>
      <c r="DB13" s="67">
        <f>IFERROR(VLOOKUP($B13,RD[#All],DB$2,0)/DB$1,"")</f>
        <v>2.0250936329588018</v>
      </c>
      <c r="DC13" s="67">
        <f>IFERROR(VLOOKUP($B13,RD[#All],DC$2,0)/DC$1,"")</f>
        <v>2.0334581772784017</v>
      </c>
      <c r="DD13" s="67">
        <f>IFERROR(VLOOKUP($B13,RD[#All],DD$2,0)/DD$1,"")</f>
        <v>1.9595505617977529</v>
      </c>
      <c r="DE13" s="67">
        <f>IFERROR(VLOOKUP($B13,RD[#All],DE$2,0)/DE$1,"")</f>
        <v>2.0008322929671243</v>
      </c>
      <c r="DF13" s="67">
        <f>IFERROR(VLOOKUP($B13,RD[#All],DF$2,0)/DF$1,"")</f>
        <v>2.0013382402141189</v>
      </c>
      <c r="DG13" s="67">
        <f>IFERROR(VLOOKUP($B13,RD[#All],DG$2,0)/DG$1,"")</f>
        <v>1.9625468164794007</v>
      </c>
      <c r="DH13" s="67">
        <f>IFERROR(VLOOKUP($B13,RD[#All],DH$2,0)/DH$1,"")</f>
        <v>2.011485642946317</v>
      </c>
      <c r="DI13" s="67">
        <f>IFERROR(VLOOKUP($B13,RD[#All],DI$2,0)/DI$1,"")</f>
        <v>2.0055315471045807</v>
      </c>
      <c r="DJ13" s="67">
        <f>IFERROR(VLOOKUP($B13,RD[#All],DJ$2,0)/DJ$1,"")</f>
        <v>2.0096802074330165</v>
      </c>
      <c r="DK13" s="67">
        <f>IFERROR(VLOOKUP($B13,RD[#All],DK$2,0)/DK$1,"")</f>
        <v>1.9642114024136497</v>
      </c>
      <c r="DL13" s="67">
        <f>IFERROR(VLOOKUP($B13,RD[#All],DL$2,0)/DL$1,"")</f>
        <v>1.9741989180191428</v>
      </c>
      <c r="DM13" s="67">
        <f>IFERROR(VLOOKUP($B13,RD[#All],DM$2,0)/DM$1,"")</f>
        <v>1.9887640449438202</v>
      </c>
      <c r="DN13" s="67">
        <f>IFERROR(VLOOKUP($B13,RD[#All],DN$2,0)/DN$1,"")</f>
        <v>1.9625468164794007</v>
      </c>
      <c r="DO13" s="67">
        <f>IFERROR(VLOOKUP($B13,RD[#All],DO$2,0)/DO$1,"")</f>
        <v>1.947139511542322</v>
      </c>
      <c r="DP13" s="67">
        <f>IFERROR(VLOOKUP($B13,RD[#All],DP$2,0)/DP$1,"")</f>
        <v>1.9542238868081565</v>
      </c>
      <c r="DQ13" s="67">
        <f>IFERROR(VLOOKUP($B13,RD[#All],DQ$2,0)/DQ$1,"")</f>
        <v>2.0071577195172701</v>
      </c>
      <c r="DR13" s="67">
        <f>IFERROR(VLOOKUP($B13,RD[#All],DR$2,0)/DR$1,"")</f>
        <v>1.9947565543071162</v>
      </c>
      <c r="DS13" s="67">
        <f>IFERROR(VLOOKUP($B13,RD[#All],DS$2,0)/DS$1,"")</f>
        <v>2.0172284644194756</v>
      </c>
      <c r="DT13" s="67">
        <f>IFERROR(VLOOKUP($B13,RD[#All],DT$2,0)/DT$1,"")</f>
        <v>1.8523512276321263</v>
      </c>
      <c r="DU13" s="67">
        <f>IFERROR(VLOOKUP($B13,RD[#All],DU$2,0)/DU$1,"")</f>
        <v>1.9126092384519351</v>
      </c>
      <c r="DV13" s="67">
        <f>IFERROR(VLOOKUP($B13,RD[#All],DV$2,0)/DV$1,"")</f>
        <v>1.9988764044943821</v>
      </c>
      <c r="DW13" s="67">
        <f>IFERROR(VLOOKUP($B13,RD[#All],DW$2,0)/DW$1,"")</f>
        <v>2.0052434456928836</v>
      </c>
      <c r="DX13" s="67">
        <f>IFERROR(VLOOKUP($B13,RD[#All],DX$2,0)/DX$1,"")</f>
        <v>1.9608822305451519</v>
      </c>
      <c r="DY13" s="67">
        <f>IFERROR(VLOOKUP($B13,RD[#All],DY$2,0)/DY$1,"")</f>
        <v>1.9625468164794007</v>
      </c>
      <c r="DZ13" s="67">
        <f>IFERROR(VLOOKUP($B13,RD[#All],DZ$2,0)/DZ$1,"")</f>
        <v>2.005992509363296</v>
      </c>
      <c r="EA13" s="67">
        <f>IFERROR(VLOOKUP($B13,RD[#All],EA$2,0)/EA$1,"")</f>
        <v>1.9558884727424053</v>
      </c>
      <c r="EB13" s="67">
        <f>IFERROR(VLOOKUP($B13,RD[#All],EB$2,0)/EB$1,"")</f>
        <v>2.0041614648356223</v>
      </c>
      <c r="EC13" s="67">
        <f>IFERROR(VLOOKUP($B13,RD[#All],EC$2,0)/EC$1,"")</f>
        <v>1.9775280898876404</v>
      </c>
      <c r="ED13" s="67">
        <f>IFERROR(VLOOKUP($B13,RD[#All],ED$2,0)/ED$1,"")</f>
        <v>2.0304235090751943</v>
      </c>
      <c r="EE13" s="67">
        <f>IFERROR(VLOOKUP($B13,RD[#All],EE$2,0)/EE$1,"")</f>
        <v>1.9602420051858254</v>
      </c>
      <c r="EF13" s="67">
        <f>IFERROR(VLOOKUP($B13,RD[#All],EF$2,0)/EF$1,"")</f>
        <v>1.9611848825331972</v>
      </c>
      <c r="EG13" s="67">
        <f>IFERROR(VLOOKUP($B13,RD[#All],EG$2,0)/EG$1,"")</f>
        <v>2</v>
      </c>
      <c r="EH13" s="67">
        <f>IFERROR(VLOOKUP($B13,RD[#All],EH$2,0)/EH$1,"")</f>
        <v>1.965034965034965</v>
      </c>
      <c r="EI13" s="67">
        <f>IFERROR(VLOOKUP($B13,RD[#All],EI$2,0)/EI$1,"")</f>
        <v>1.9685314685314685</v>
      </c>
      <c r="EJ13" s="67">
        <f>IFERROR(VLOOKUP($B13,RD[#All],EJ$2,0)/EJ$1,"")</f>
        <v>1.986013986013986</v>
      </c>
      <c r="EK13" s="67">
        <f>IFERROR(VLOOKUP($B13,RD[#All],EK$2,0)/EK$1,"")</f>
        <v>2.01276404494382</v>
      </c>
      <c r="EL13" s="67">
        <f>IFERROR(VLOOKUP($B13,RD[#All],EL$2,0)/EL$1,"")</f>
        <v>2.0187265917602994</v>
      </c>
      <c r="EM13" s="67">
        <f>IFERROR(VLOOKUP($B13,RD[#All],EM$2,0)/EM$1,"")</f>
        <v>2.0442523768366465</v>
      </c>
      <c r="EN13" s="67">
        <f>IFERROR(VLOOKUP($B13,RD[#All],EN$2,0)/EN$1,"")</f>
        <v>2.0352636127917028</v>
      </c>
      <c r="EO13" s="67">
        <f>IFERROR(VLOOKUP($B13,RD[#All],EO$2,0)/EO$1,"")</f>
        <v>1.9906367041198503</v>
      </c>
      <c r="EP13" s="67">
        <f>IFERROR(VLOOKUP($B13,RD[#All],EP$2,0)/EP$1,"")</f>
        <v>1.9872082973206566</v>
      </c>
      <c r="EQ13" s="67">
        <f>IFERROR(VLOOKUP($B13,RD[#All],EQ$2,0)/EQ$1,"")</f>
        <v>1.9588014981273407</v>
      </c>
      <c r="ER13" s="67">
        <f>IFERROR(VLOOKUP($B13,RD[#All],ER$2,0)/ER$1,"")</f>
        <v>2.0121002592912705</v>
      </c>
      <c r="ES13" s="67">
        <f>IFERROR(VLOOKUP($B13,RD[#All],ES$2,0)/ES$1,"")</f>
        <v>2.0426966292134829</v>
      </c>
      <c r="ET13" s="67">
        <f>IFERROR(VLOOKUP($B13,RD[#All],ET$2,0)/ET$1,"")</f>
        <v>1.7609805924412667</v>
      </c>
      <c r="EU13" s="67">
        <f>IFERROR(VLOOKUP($B13,RD[#All],EU$2,0)/EU$1,"")</f>
        <v>2.0432152117545375</v>
      </c>
      <c r="EV13" s="67">
        <f>IFERROR(VLOOKUP($B13,RD[#All],EV$2,0)/EV$1,"")</f>
        <v>2.0397579948141744</v>
      </c>
      <c r="EW13" s="67">
        <f>IFERROR(VLOOKUP($B13,RD[#All],EW$2,0)/EW$1,"")</f>
        <v>1.9982713915298185</v>
      </c>
      <c r="EX13" s="67">
        <f>IFERROR(VLOOKUP($B13,RD[#All],EX$2,0)/EX$1,"")</f>
        <v>1.9812734082397003</v>
      </c>
      <c r="EY13" s="67">
        <f>IFERROR(VLOOKUP($B13,RD[#All],EY$2,0)/EY$1,"")</f>
        <v>2.0461090303786933</v>
      </c>
      <c r="EZ13" s="67">
        <f>IFERROR(VLOOKUP($B13,RD[#All],EZ$2,0)/EZ$1,"")</f>
        <v>1.9812734082397003</v>
      </c>
      <c r="FA13" s="67">
        <f>IFERROR(VLOOKUP($B13,RD[#All],FA$2,0)/FA$1,"")</f>
        <v>2.0037453183520597</v>
      </c>
      <c r="FB13" s="67">
        <f>IFERROR(VLOOKUP($B13,RD[#All],FB$2,0)/FB$1,"")</f>
        <v>2.0250936329588018</v>
      </c>
      <c r="FC13" s="67">
        <f>IFERROR(VLOOKUP($B13,RD[#All],FC$2,0)/FC$1,"")</f>
        <v>1.9625468164794007</v>
      </c>
      <c r="FD13" s="67">
        <f>IFERROR(VLOOKUP($B13,RD[#All],FD$2,0)/FD$1,"")</f>
        <v>2.017602996254682</v>
      </c>
      <c r="FE13" s="67">
        <f>IFERROR(VLOOKUP($B13,RD[#All],FE$2,0)/FE$1,"")</f>
        <v>2.0037878787878789</v>
      </c>
      <c r="FF13" s="67">
        <f>IFERROR(VLOOKUP($B13,RD[#All],FF$2,0)/FF$1,"")</f>
        <v>2.0227272727272729</v>
      </c>
      <c r="FG13" s="67">
        <f>IFERROR(VLOOKUP($B13,RD[#All],FG$2,0)/FG$1,"")</f>
        <v>1.9865319865319866</v>
      </c>
      <c r="FH13" s="67">
        <f>IFERROR(VLOOKUP($B13,RD[#All],FH$2,0)/FH$1,"")</f>
        <v>1.9681818181818183</v>
      </c>
      <c r="FI13" s="67">
        <f>IFERROR(VLOOKUP($B13,RD[#All],FI$2,0)/FI$1,"")</f>
        <v>2.0333333333333332</v>
      </c>
      <c r="FJ13" s="67">
        <f>IFERROR(VLOOKUP($B13,RD[#All],FJ$2,0)/FJ$1,"")</f>
        <v>1.7878787878787878</v>
      </c>
      <c r="FK13" s="67">
        <f>IFERROR(VLOOKUP($B13,RD[#All],FK$2,0)/FK$1,"")</f>
        <v>1.9562289562289563</v>
      </c>
      <c r="FL13" s="67">
        <f>IFERROR(VLOOKUP($B13,RD[#All],FL$2,0)/FL$1,"")</f>
        <v>2.0105454545454546</v>
      </c>
      <c r="FM13" s="67">
        <f>IFERROR(VLOOKUP($B13,RD[#All],FM$2,0)/FM$1,"")</f>
        <v>2.0280303030303028</v>
      </c>
      <c r="FN13" s="67">
        <f>IFERROR(VLOOKUP($B13,RD[#All],FN$2,0)/FN$1,"")</f>
        <v>1.7811447811447811</v>
      </c>
      <c r="FO13" s="67">
        <f>IFERROR(VLOOKUP($B13,RD[#All],FO$2,0)/FO$1,"")</f>
        <v>2.0181818181818181</v>
      </c>
      <c r="FP13" s="67">
        <f>IFERROR(VLOOKUP($B13,RD[#All],FP$2,0)/FP$1,"")</f>
        <v>1.9829090909090907</v>
      </c>
      <c r="FQ13" s="67">
        <f>IFERROR(VLOOKUP($B13,RD[#All],FQ$2,0)/FQ$1,"")</f>
        <v>1.9901818181818181</v>
      </c>
      <c r="FR13" s="67">
        <f>IFERROR(VLOOKUP($B13,RD[#All],FR$2,0)/FR$1,"")</f>
        <v>1.9996363636363637</v>
      </c>
      <c r="FS13" s="67">
        <f>IFERROR(VLOOKUP($B13,RD[#All],FS$2,0)/FS$1,"")</f>
        <v>1.9905723905723907</v>
      </c>
      <c r="FT13" s="67">
        <f>IFERROR(VLOOKUP($B13,RD[#All],FT$2,0)/FT$1,"")</f>
        <v>1.9854545454545454</v>
      </c>
      <c r="FU13" s="67">
        <f>IFERROR(VLOOKUP($B13,RD[#All],FU$2,0)/FU$1,"")</f>
        <v>1.962962962962963</v>
      </c>
      <c r="FV13" s="67">
        <f>IFERROR(VLOOKUP($B13,RD[#All],FV$2,0)/FV$1,"")</f>
        <v>1.8643939393939393</v>
      </c>
      <c r="FW13" s="67">
        <f>IFERROR(VLOOKUP($B13,RD[#All],FW$2,0)/FW$1,"")</f>
        <v>1.9848484848484849</v>
      </c>
      <c r="FX13" s="67">
        <f>IFERROR(VLOOKUP($B13,RD[#All],FX$2,0)/FX$1,"")</f>
        <v>1.9829545454545454</v>
      </c>
      <c r="FY13" s="67">
        <f>IFERROR(VLOOKUP($B13,RD[#All],FY$2,0)/FY$1,"")</f>
        <v>1.9952861952861953</v>
      </c>
      <c r="FZ13" s="67">
        <f>IFERROR(VLOOKUP($B13,RD[#All],FZ$2,0)/FZ$1,"")</f>
        <v>1.9659090909090908</v>
      </c>
      <c r="GA13" s="67">
        <f>IFERROR(VLOOKUP($B13,RD[#All],GA$2,0)/GA$1,"")</f>
        <v>1.9916083916083918</v>
      </c>
      <c r="GB13" s="67">
        <f>IFERROR(VLOOKUP($B13,RD[#All],GB$2,0)/GB$1,"")</f>
        <v>1.9461279461279462</v>
      </c>
      <c r="GC13" s="67">
        <f>IFERROR(VLOOKUP($B13,RD[#All],GC$2,0)/GC$1,"")</f>
        <v>1.9865319865319866</v>
      </c>
      <c r="GD13" s="67">
        <f>IFERROR(VLOOKUP($B13,RD[#All],GD$2,0)/GD$1,"")</f>
        <v>1.9963636363636363</v>
      </c>
      <c r="GE13" s="67">
        <f>IFERROR(VLOOKUP($B13,RD[#All],GE$2,0)/GE$1,"")</f>
        <v>2.0251748251748252</v>
      </c>
      <c r="GF13" s="67">
        <f>IFERROR(VLOOKUP($B13,RD[#All],GF$2,0)/GF$1,"")</f>
        <v>1.962962962962963</v>
      </c>
      <c r="GG13" s="67">
        <f>IFERROR(VLOOKUP($B13,RD[#All],GG$2,0)/GG$1,"")</f>
        <v>1.9818181818181819</v>
      </c>
      <c r="GH13" s="67">
        <f>IFERROR(VLOOKUP($B13,RD[#All],GH$2,0)/GH$1,"")</f>
        <v>1.9563636363636363</v>
      </c>
      <c r="GI13" s="67">
        <f>IFERROR(VLOOKUP($B13,RD[#All],GI$2,0)/GI$1,"")</f>
        <v>2.0036363636363634</v>
      </c>
      <c r="GJ13" s="67">
        <f>IFERROR(VLOOKUP($B13,RD[#All],GJ$2,0)/GJ$1,"")</f>
        <v>1.7307692307692308</v>
      </c>
      <c r="GK13" s="67">
        <f>IFERROR(VLOOKUP($B13,RD[#All],GK$2,0)/GK$1,"")</f>
        <v>2.0037878787878789</v>
      </c>
      <c r="GL13" s="67">
        <f>IFERROR(VLOOKUP($B13,RD[#All],GL$2,0)/GL$1,"")</f>
        <v>2.0340909090909092</v>
      </c>
      <c r="GM13" s="67">
        <f>IFERROR(VLOOKUP($B13,RD[#All],GM$2,0)/GM$1,"")</f>
        <v>1.9962121212121211</v>
      </c>
      <c r="GN13" s="67">
        <f>IFERROR(VLOOKUP($B13,RD[#All],GN$2,0)/GN$1,"")</f>
        <v>1.9886363636363635</v>
      </c>
      <c r="GO13" s="67">
        <f>IFERROR(VLOOKUP($B13,RD[#All],GO$2,0)/GO$1,"")</f>
        <v>1.9462121212121211</v>
      </c>
      <c r="GP13" s="67">
        <f>IFERROR(VLOOKUP($B13,RD[#All],GP$2,0)/GP$1,"")</f>
        <v>1.9924242424242424</v>
      </c>
      <c r="GQ13" s="67">
        <f>IFERROR(VLOOKUP($B13,RD[#All],GQ$2,0)/GQ$1,"")</f>
        <v>1.9795454545454545</v>
      </c>
      <c r="GR13" s="67">
        <f>IFERROR(VLOOKUP($B13,RD[#All],GR$2,0)/GR$1,"")</f>
        <v>1.9712121212121212</v>
      </c>
      <c r="GS13" s="67" t="str">
        <f>IFERROR(VLOOKUP($B13,RD[#All],GS$2,0)/GS$1,"")</f>
        <v/>
      </c>
      <c r="GT13" s="67" t="str">
        <f>IFERROR(VLOOKUP($B13,RD[#All],GT$2,0)/GT$1,"")</f>
        <v/>
      </c>
      <c r="GU13" s="67">
        <f>IFERROR(VLOOKUP($B13,RD[#All],GU$2,0)/GU$1,"")</f>
        <v>0</v>
      </c>
      <c r="GV13" s="67">
        <f>IFERROR(VLOOKUP($B13,RD[#All],GV$2,0)/GV$1,"")</f>
        <v>2.0026267402153928</v>
      </c>
      <c r="GW13" s="67">
        <f>IFERROR(VLOOKUP($B13,RD[#All],GW$2,0)/GW$1,"")</f>
        <v>1.9623059866962305</v>
      </c>
      <c r="GX13" s="67" t="str">
        <f>IFERROR(VLOOKUP($B13,RD[#All],GX$2,0)/GX$1,"")</f>
        <v/>
      </c>
      <c r="GY13" s="67">
        <f>IFERROR(VLOOKUP($B13,RD[#All],GY$2,0)/GY$1,"")</f>
        <v>1.9514695830485302</v>
      </c>
      <c r="GZ13" s="67">
        <f>IFERROR(VLOOKUP($B13,RD[#All],GZ$2,0)/GZ$1,"")</f>
        <v>2</v>
      </c>
      <c r="HA13" s="67">
        <f>IFERROR(VLOOKUP($B13,RD[#All],HA$2,0)/HA$1,"")</f>
        <v>1.9737827715355805</v>
      </c>
      <c r="HB13" s="67">
        <f>IFERROR(VLOOKUP($B13,RD[#All],HB$2,0)/HB$1,"")</f>
        <v>2.0074906367041199</v>
      </c>
      <c r="HC13" s="67">
        <f>IFERROR(VLOOKUP($B13,RD[#All],HC$2,0)/HC$1,"")</f>
        <v>2.0074906367041199</v>
      </c>
      <c r="HD13" s="67">
        <f>IFERROR(VLOOKUP($B13,RD[#All],HD$2,0)/HD$1,"")</f>
        <v>1.9745318352059926</v>
      </c>
      <c r="HE13" s="67">
        <f>IFERROR(VLOOKUP($B13,RD[#All],HE$2,0)/HE$1,"")</f>
        <v>1.8164794007490637</v>
      </c>
      <c r="HF13" s="67">
        <f>IFERROR(VLOOKUP($B13,RD[#All],HF$2,0)/HF$1,"")</f>
        <v>2.0202247191011233</v>
      </c>
      <c r="HG13" s="67">
        <f>IFERROR(VLOOKUP($B13,RD[#All],HG$2,0)/HG$1,"")</f>
        <v>1.9580524344569286</v>
      </c>
      <c r="HH13" s="67">
        <f>IFERROR(VLOOKUP($B13,RD[#All],HH$2,0)/HH$1,"")</f>
        <v>1.9992509363295878</v>
      </c>
      <c r="HI13" s="67">
        <f>IFERROR(VLOOKUP($B13,RD[#All],HI$2,0)/HI$1,"")</f>
        <v>1.9749063670411984</v>
      </c>
      <c r="HJ13" s="67">
        <f>IFERROR(VLOOKUP($B13,RD[#All],HJ$2,0)/HJ$1,"")</f>
        <v>2.0243445692883895</v>
      </c>
      <c r="HK13" s="67">
        <f>IFERROR(VLOOKUP($B13,RD[#All],HK$2,0)/HK$1,"")</f>
        <v>1.9642114024136497</v>
      </c>
      <c r="HL13" s="67">
        <f>IFERROR(VLOOKUP($B13,RD[#All],HL$2,0)/HL$1,"")</f>
        <v>2.0557636287973367</v>
      </c>
      <c r="HM13" s="67">
        <f>IFERROR(VLOOKUP($B13,RD[#All],HM$2,0)/HM$1,"")</f>
        <v>2.1137483206448722</v>
      </c>
      <c r="HN13" s="67">
        <f>IFERROR(VLOOKUP($B13,RD[#All],HN$2,0)/HN$1,"")</f>
        <v>2.0197044334975369</v>
      </c>
      <c r="HO13" s="67">
        <f>IFERROR(VLOOKUP($B13,RD[#All],HO$2,0)/HO$1,"")</f>
        <v>2.0376175548589339</v>
      </c>
      <c r="HP13" s="67">
        <f>IFERROR(VLOOKUP($B13,RD[#All],HP$2,0)/HP$1,"")</f>
        <v>2.0902821316614419</v>
      </c>
      <c r="HQ13" s="67">
        <f>IFERROR(VLOOKUP($B13,RD[#All],HQ$2,0)/HQ$1,"")</f>
        <v>1.9865319865319864</v>
      </c>
      <c r="HR13" s="67">
        <f>IFERROR(VLOOKUP($B13,RD[#All],HR$2,0)/HR$1,"")</f>
        <v>1.9753961634695578</v>
      </c>
      <c r="HS13" s="67">
        <f>IFERROR(VLOOKUP($B13,RD[#All],HS$2,0)/HS$1,"")</f>
        <v>2.0077303370786517</v>
      </c>
      <c r="HT13" s="67">
        <f>IFERROR(VLOOKUP($B13,RD[#All],HT$2,0)/HT$1,"")</f>
        <v>1.9891801914273823</v>
      </c>
      <c r="HU13" s="67">
        <f>IFERROR(VLOOKUP($B13,RD[#All],HU$2,0)/HU$1,"")</f>
        <v>1.9650821089023336</v>
      </c>
      <c r="HV13" s="67">
        <f>IFERROR(VLOOKUP($B13,RD[#All],HV$2,0)/HV$1,"")</f>
        <v>1.9809853068280034</v>
      </c>
      <c r="HW13" s="67">
        <f>IFERROR(VLOOKUP($B13,RD[#All],HW$2,0)/HW$1,"")</f>
        <v>2.0296629213483146</v>
      </c>
      <c r="HX13" s="67">
        <f>IFERROR(VLOOKUP($B13,RD[#All],HX$2,0)/HX$1,"")</f>
        <v>1.986171132238548</v>
      </c>
      <c r="HY13" s="67">
        <f>IFERROR(VLOOKUP($B13,RD[#All],HY$2,0)/HY$1,"")</f>
        <v>1.9895131086142324</v>
      </c>
      <c r="HZ13" s="67">
        <f>IFERROR(VLOOKUP($B13,RD[#All],HZ$2,0)/HZ$1,"")</f>
        <v>1.9505617977528089</v>
      </c>
      <c r="IA13" s="67">
        <f>IFERROR(VLOOKUP($B13,RD[#All],IA$2,0)/IA$1,"")</f>
        <v>1.9930069930069931</v>
      </c>
      <c r="IB13" s="67">
        <f>IFERROR(VLOOKUP($B13,RD[#All],IB$2,0)/IB$1,"")</f>
        <v>1.9884559884559887</v>
      </c>
      <c r="IC13" s="67">
        <f>IFERROR(VLOOKUP($B13,RD[#All],IC$2,0)/IC$1,"")</f>
        <v>2.0512820512820515</v>
      </c>
      <c r="ID13" s="67">
        <f>IFERROR(VLOOKUP($B13,RD[#All],ID$2,0)/ID$1,"")</f>
        <v>2.012719790497568</v>
      </c>
      <c r="IE13" s="67">
        <f>IFERROR(VLOOKUP($B13,RD[#All],IE$2,0)/IE$1,"")</f>
        <v>2.0080808080808081</v>
      </c>
      <c r="IF13" s="67" t="str">
        <f>IFERROR(VLOOKUP($B13,RD[#All],IF$2,0)/IF$1,"")</f>
        <v/>
      </c>
      <c r="IG13" s="67">
        <f>IFERROR(VLOOKUP($B13,RD[#All],IG$2,0)/IG$1,"")</f>
        <v>2.0775544862722897</v>
      </c>
      <c r="IH13" s="67">
        <f>IFERROR(VLOOKUP($B13,RD[#All],IH$2,0)/IH$1,"")</f>
        <v>1.9575060954371297</v>
      </c>
      <c r="II13" s="67">
        <f>IFERROR(VLOOKUP($B13,RD[#All],II$2,0)/II$1,"")</f>
        <v>1.9701492537313432</v>
      </c>
      <c r="IJ13" s="67">
        <f>IFERROR(VLOOKUP($B13,RD[#All],IJ$2,0)/IJ$1,"")</f>
        <v>1.9640852974186307</v>
      </c>
      <c r="IK13" s="67">
        <f>IFERROR(VLOOKUP($B13,RD[#All],IK$2,0)/IK$1,"")</f>
        <v>1.9774669774669777</v>
      </c>
      <c r="IL13" s="67" t="str">
        <f>IFERROR(VLOOKUP($B13,RD[#All],IL$2,0)/IL$1,"")</f>
        <v/>
      </c>
      <c r="IM13" s="67" t="str">
        <f>IFERROR(VLOOKUP($B13,RD[#All],IM$2,0)/IM$1,"")</f>
        <v/>
      </c>
      <c r="IN13" s="67">
        <f>IFERROR(VLOOKUP($B13,RD[#All],IN$2,0)/IN$1,"")</f>
        <v>2.1400208986415885</v>
      </c>
      <c r="IO13" s="67">
        <f>IFERROR(VLOOKUP($B13,RD[#All],IO$2,0)/IO$1,"")</f>
        <v>2.108150470219436</v>
      </c>
      <c r="IP13" s="67">
        <f>IFERROR(VLOOKUP($B13,RD[#All],IP$2,0)/IP$1,"")</f>
        <v>2.3593308711709753</v>
      </c>
      <c r="IQ13" s="67">
        <f>IFERROR(VLOOKUP($B13,RD[#All],IQ$2,0)/IQ$1,"")</f>
        <v>1.9879564879564882</v>
      </c>
      <c r="IR13" s="67">
        <f>IFERROR(VLOOKUP($B13,RD[#All],IR$2,0)/IR$1,"")</f>
        <v>2.0190713101160864</v>
      </c>
      <c r="IS13" s="86">
        <f>IFERROR(AVERAGEIF(Inv_SY_B[[#This Row],[BLK1_INV1]:[BLK8_INV27]],"&gt;"&amp;0.1,Inv_SY_B[[#This Row],[BLK1_INV1]:[BLK8_INV27]]),"")</f>
        <v>1.9975969074463102</v>
      </c>
    </row>
    <row r="14" spans="2:253" x14ac:dyDescent="0.25">
      <c r="B14" s="85">
        <f t="shared" si="0"/>
        <v>45840</v>
      </c>
      <c r="C14" s="67">
        <f>IFERROR(VLOOKUP($B14,RD[#All],C$2,0)/C$1,"")</f>
        <v>3.2290406222990491</v>
      </c>
      <c r="D14" s="67">
        <f>IFERROR(VLOOKUP($B14,RD[#All],D$2,0)/D$1,"")</f>
        <v>3.2912705272255836</v>
      </c>
      <c r="E14" s="67">
        <f>IFERROR(VLOOKUP($B14,RD[#All],E$2,0)/E$1,"")</f>
        <v>3.2846441947565541</v>
      </c>
      <c r="F14" s="67">
        <f>IFERROR(VLOOKUP($B14,RD[#All],F$2,0)/F$1,"")</f>
        <v>3.2883895131086143</v>
      </c>
      <c r="G14" s="67">
        <f>IFERROR(VLOOKUP($B14,RD[#All],G$2,0)/G$1,"")</f>
        <v>3.2497839239412274</v>
      </c>
      <c r="H14" s="67">
        <f>IFERROR(VLOOKUP($B14,RD[#All],H$2,0)/H$1,"")</f>
        <v>3.2546816479400751</v>
      </c>
      <c r="I14" s="67">
        <f>IFERROR(VLOOKUP($B14,RD[#All],I$2,0)/I$1,"")</f>
        <v>3.2808988764044944</v>
      </c>
      <c r="J14" s="67">
        <f>IFERROR(VLOOKUP($B14,RD[#All],J$2,0)/J$1,"")</f>
        <v>3.2771535580524342</v>
      </c>
      <c r="K14" s="67">
        <f>IFERROR(VLOOKUP($B14,RD[#All],K$2,0)/K$1,"")</f>
        <v>3.1101123595505618</v>
      </c>
      <c r="L14" s="67">
        <f>IFERROR(VLOOKUP($B14,RD[#All],L$2,0)/L$1,"")</f>
        <v>3.2539325842696631</v>
      </c>
      <c r="M14" s="67">
        <f>IFERROR(VLOOKUP($B14,RD[#All],M$2,0)/M$1,"")</f>
        <v>3.3558052434456931</v>
      </c>
      <c r="N14" s="67">
        <f>IFERROR(VLOOKUP($B14,RD[#All],N$2,0)/N$1,"")</f>
        <v>3.3258426966292136</v>
      </c>
      <c r="O14" s="67">
        <f>IFERROR(VLOOKUP($B14,RD[#All],O$2,0)/O$1,"")</f>
        <v>3.1348314606741572</v>
      </c>
      <c r="P14" s="67">
        <f>IFERROR(VLOOKUP($B14,RD[#All],P$2,0)/P$1,"")</f>
        <v>3.3585291113380999</v>
      </c>
      <c r="Q14" s="67">
        <f>IFERROR(VLOOKUP($B14,RD[#All],Q$2,0)/Q$1,"")</f>
        <v>3.303370786516854</v>
      </c>
      <c r="R14" s="67">
        <f>IFERROR(VLOOKUP($B14,RD[#All],R$2,0)/R$1,"")</f>
        <v>3.292134831460674</v>
      </c>
      <c r="S14" s="67">
        <f>IFERROR(VLOOKUP($B14,RD[#All],S$2,0)/S$1,"")</f>
        <v>3.2996254681647939</v>
      </c>
      <c r="T14" s="67">
        <f>IFERROR(VLOOKUP($B14,RD[#All],T$2,0)/T$1,"")</f>
        <v>3.2996254681647939</v>
      </c>
      <c r="U14" s="67">
        <f>IFERROR(VLOOKUP($B14,RD[#All],U$2,0)/U$1,"")</f>
        <v>3.3258426966292136</v>
      </c>
      <c r="V14" s="67">
        <f>IFERROR(VLOOKUP($B14,RD[#All],V$2,0)/V$1,"")</f>
        <v>3.3258426966292136</v>
      </c>
      <c r="W14" s="67">
        <f>IFERROR(VLOOKUP($B14,RD[#All],W$2,0)/W$1,"")</f>
        <v>3.3408239700374533</v>
      </c>
      <c r="X14" s="67">
        <f>IFERROR(VLOOKUP($B14,RD[#All],X$2,0)/X$1,"")</f>
        <v>3.3295880149812733</v>
      </c>
      <c r="Y14" s="67">
        <f>IFERROR(VLOOKUP($B14,RD[#All],Y$2,0)/Y$1,"")</f>
        <v>3.2394122731201382</v>
      </c>
      <c r="Z14" s="67">
        <f>IFERROR(VLOOKUP($B14,RD[#All],Z$2,0)/Z$1,"")</f>
        <v>3.3524760715771951</v>
      </c>
      <c r="AA14" s="67">
        <f>IFERROR(VLOOKUP($B14,RD[#All],AA$2,0)/AA$1,"")</f>
        <v>3.3327571305099397</v>
      </c>
      <c r="AB14" s="67">
        <f>IFERROR(VLOOKUP($B14,RD[#All],AB$2,0)/AB$1,"")</f>
        <v>3.3120138288677614</v>
      </c>
      <c r="AC14" s="67">
        <f>IFERROR(VLOOKUP($B14,RD[#All],AC$2,0)/AC$1,"")</f>
        <v>3.2843560933448575</v>
      </c>
      <c r="AD14" s="67">
        <f>IFERROR(VLOOKUP($B14,RD[#All],AD$2,0)/AD$1,"")</f>
        <v>3.2925509779442366</v>
      </c>
      <c r="AE14" s="67">
        <f>IFERROR(VLOOKUP($B14,RD[#All],AE$2,0)/AE$1,"")</f>
        <v>3.2992093216812317</v>
      </c>
      <c r="AF14" s="67">
        <f>IFERROR(VLOOKUP($B14,RD[#All],AF$2,0)/AF$1,"")</f>
        <v>3.1527257594673324</v>
      </c>
      <c r="AG14" s="67">
        <f>IFERROR(VLOOKUP($B14,RD[#All],AG$2,0)/AG$1,"")</f>
        <v>3.1893466500208074</v>
      </c>
      <c r="AH14" s="67">
        <f>IFERROR(VLOOKUP($B14,RD[#All],AH$2,0)/AH$1,"")</f>
        <v>3.3158551810237205</v>
      </c>
      <c r="AI14" s="67">
        <f>IFERROR(VLOOKUP($B14,RD[#All],AI$2,0)/AI$1,"")</f>
        <v>3.1957547169811318</v>
      </c>
      <c r="AJ14" s="67">
        <f>IFERROR(VLOOKUP($B14,RD[#All],AJ$2,0)/AJ$1,"")</f>
        <v>3.2909878941862201</v>
      </c>
      <c r="AK14" s="67">
        <f>IFERROR(VLOOKUP($B14,RD[#All],AK$2,0)/AK$1,"")</f>
        <v>3.2846441947565541</v>
      </c>
      <c r="AL14" s="67">
        <f>IFERROR(VLOOKUP($B14,RD[#All],AL$2,0)/AL$1,"")</f>
        <v>3.2954165272666445</v>
      </c>
      <c r="AM14" s="67">
        <f>IFERROR(VLOOKUP($B14,RD[#All],AM$2,0)/AM$1,"")</f>
        <v>3.3183520599250937</v>
      </c>
      <c r="AN14" s="67">
        <f>IFERROR(VLOOKUP($B14,RD[#All],AN$2,0)/AN$1,"")</f>
        <v>3.2584269662921348</v>
      </c>
      <c r="AO14" s="67">
        <f>IFERROR(VLOOKUP($B14,RD[#All],AO$2,0)/AO$1,"")</f>
        <v>3.1685393258426968</v>
      </c>
      <c r="AP14" s="67">
        <f>IFERROR(VLOOKUP($B14,RD[#All],AP$2,0)/AP$1,"")</f>
        <v>3.262172284644195</v>
      </c>
      <c r="AQ14" s="67">
        <f>IFERROR(VLOOKUP($B14,RD[#All],AQ$2,0)/AQ$1,"")</f>
        <v>3.1685393258426968</v>
      </c>
      <c r="AR14" s="67">
        <f>IFERROR(VLOOKUP($B14,RD[#All],AR$2,0)/AR$1,"")</f>
        <v>3.1423220973782771</v>
      </c>
      <c r="AS14" s="67">
        <f>IFERROR(VLOOKUP($B14,RD[#All],AS$2,0)/AS$1,"")</f>
        <v>3.1985018726591758</v>
      </c>
      <c r="AT14" s="67">
        <f>IFERROR(VLOOKUP($B14,RD[#All],AT$2,0)/AT$1,"")</f>
        <v>3.202247191011236</v>
      </c>
      <c r="AU14" s="67">
        <f>IFERROR(VLOOKUP($B14,RD[#All],AU$2,0)/AU$1,"")</f>
        <v>3.2209737827715355</v>
      </c>
      <c r="AV14" s="67">
        <f>IFERROR(VLOOKUP($B14,RD[#All],AV$2,0)/AV$1,"")</f>
        <v>3.2359550561797752</v>
      </c>
      <c r="AW14" s="67">
        <f>IFERROR(VLOOKUP($B14,RD[#All],AW$2,0)/AW$1,"")</f>
        <v>3.2221261884183234</v>
      </c>
      <c r="AX14" s="67">
        <f>IFERROR(VLOOKUP($B14,RD[#All],AX$2,0)/AX$1,"")</f>
        <v>3.2134831460674156</v>
      </c>
      <c r="AY14" s="67">
        <f>IFERROR(VLOOKUP($B14,RD[#All],AY$2,0)/AY$1,"")</f>
        <v>3.2107865168539327</v>
      </c>
      <c r="AZ14" s="67">
        <f>IFERROR(VLOOKUP($B14,RD[#All],AZ$2,0)/AZ$1,"")</f>
        <v>3.1532584269662922</v>
      </c>
      <c r="BA14" s="67">
        <f>IFERROR(VLOOKUP($B14,RD[#All],BA$2,0)/BA$1,"")</f>
        <v>3.1872659176029963</v>
      </c>
      <c r="BB14" s="67">
        <f>IFERROR(VLOOKUP($B14,RD[#All],BB$2,0)/BB$1,"")</f>
        <v>3.2397003745318353</v>
      </c>
      <c r="BC14" s="67">
        <f>IFERROR(VLOOKUP($B14,RD[#All],BC$2,0)/BC$1,"")</f>
        <v>3.2892218060757386</v>
      </c>
      <c r="BD14" s="67">
        <f>IFERROR(VLOOKUP($B14,RD[#All],BD$2,0)/BD$1,"")</f>
        <v>3.2226383687057845</v>
      </c>
      <c r="BE14" s="67">
        <f>IFERROR(VLOOKUP($B14,RD[#All],BE$2,0)/BE$1,"")</f>
        <v>3.159896283491789</v>
      </c>
      <c r="BF14" s="67">
        <f>IFERROR(VLOOKUP($B14,RD[#All],BF$2,0)/BF$1,"")</f>
        <v>3.2759051186017478</v>
      </c>
      <c r="BG14" s="67">
        <f>IFERROR(VLOOKUP($B14,RD[#All],BG$2,0)/BG$1,"")</f>
        <v>3.1826883062838118</v>
      </c>
      <c r="BH14" s="67">
        <f>IFERROR(VLOOKUP($B14,RD[#All],BH$2,0)/BH$1,"")</f>
        <v>2.9588014981273409</v>
      </c>
      <c r="BI14" s="67">
        <f>IFERROR(VLOOKUP($B14,RD[#All],BI$2,0)/BI$1,"")</f>
        <v>3.1826883062838118</v>
      </c>
      <c r="BJ14" s="67">
        <f>IFERROR(VLOOKUP($B14,RD[#All],BJ$2,0)/BJ$1,"")</f>
        <v>3.2093216812317937</v>
      </c>
      <c r="BK14" s="67">
        <f>IFERROR(VLOOKUP($B14,RD[#All],BK$2,0)/BK$1,"")</f>
        <v>3.2172284644194757</v>
      </c>
      <c r="BL14" s="67">
        <f>IFERROR(VLOOKUP($B14,RD[#All],BL$2,0)/BL$1,"")</f>
        <v>3.2251589160254266</v>
      </c>
      <c r="BM14" s="67">
        <f>IFERROR(VLOOKUP($B14,RD[#All],BM$2,0)/BM$1,"")</f>
        <v>3</v>
      </c>
      <c r="BN14" s="67">
        <f>IFERROR(VLOOKUP($B14,RD[#All],BN$2,0)/BN$1,"")</f>
        <v>3.3354231974921631</v>
      </c>
      <c r="BO14" s="67">
        <f>IFERROR(VLOOKUP($B14,RD[#All],BO$2,0)/BO$1,"")</f>
        <v>3.225583405358686</v>
      </c>
      <c r="BP14" s="67">
        <f>IFERROR(VLOOKUP($B14,RD[#All],BP$2,0)/BP$1,"")</f>
        <v>3.2497839239412274</v>
      </c>
      <c r="BQ14" s="67">
        <f>IFERROR(VLOOKUP($B14,RD[#All],BQ$2,0)/BQ$1,"")</f>
        <v>3.2566983578219535</v>
      </c>
      <c r="BR14" s="67">
        <f>IFERROR(VLOOKUP($B14,RD[#All],BR$2,0)/BR$1,"")</f>
        <v>3.132238547968885</v>
      </c>
      <c r="BS14" s="67">
        <f>IFERROR(VLOOKUP($B14,RD[#All],BS$2,0)/BS$1,"")</f>
        <v>3.2397003745318353</v>
      </c>
      <c r="BT14" s="67">
        <f>IFERROR(VLOOKUP($B14,RD[#All],BT$2,0)/BT$1,"")</f>
        <v>3.2546816479400751</v>
      </c>
      <c r="BU14" s="67">
        <f>IFERROR(VLOOKUP($B14,RD[#All],BU$2,0)/BU$1,"")</f>
        <v>3.2509363295880149</v>
      </c>
      <c r="BV14" s="67">
        <f>IFERROR(VLOOKUP($B14,RD[#All],BV$2,0)/BV$1,"")</f>
        <v>3.1797752808988764</v>
      </c>
      <c r="BW14" s="67">
        <f>IFERROR(VLOOKUP($B14,RD[#All],BW$2,0)/BW$1,"")</f>
        <v>3.1423220973782771</v>
      </c>
      <c r="BX14" s="67">
        <f>IFERROR(VLOOKUP($B14,RD[#All],BX$2,0)/BX$1,"")</f>
        <v>3.1760299625468167</v>
      </c>
      <c r="BY14" s="67">
        <f>IFERROR(VLOOKUP($B14,RD[#All],BY$2,0)/BY$1,"")</f>
        <v>3.192675821889305</v>
      </c>
      <c r="BZ14" s="67">
        <f>IFERROR(VLOOKUP($B14,RD[#All],BZ$2,0)/BZ$1,"")</f>
        <v>3.1527257594673324</v>
      </c>
      <c r="CA14" s="67">
        <f>IFERROR(VLOOKUP($B14,RD[#All],CA$2,0)/CA$1,"")</f>
        <v>3.1094465251768622</v>
      </c>
      <c r="CB14" s="67">
        <f>IFERROR(VLOOKUP($B14,RD[#All],CB$2,0)/CB$1,"")</f>
        <v>3.191011235955056</v>
      </c>
      <c r="CC14" s="67">
        <f>IFERROR(VLOOKUP($B14,RD[#All],CC$2,0)/CC$1,"")</f>
        <v>3.2397003745318353</v>
      </c>
      <c r="CD14" s="67">
        <f>IFERROR(VLOOKUP($B14,RD[#All],CD$2,0)/CD$1,"")</f>
        <v>3.1426101987899742</v>
      </c>
      <c r="CE14" s="67">
        <f>IFERROR(VLOOKUP($B14,RD[#All],CE$2,0)/CE$1,"")</f>
        <v>3.1310861423220975</v>
      </c>
      <c r="CF14" s="67">
        <f>IFERROR(VLOOKUP($B14,RD[#All],CF$2,0)/CF$1,"")</f>
        <v>3.2322097378277155</v>
      </c>
      <c r="CG14" s="67">
        <f>IFERROR(VLOOKUP($B14,RD[#All],CG$2,0)/CG$1,"")</f>
        <v>3.2397003745318353</v>
      </c>
      <c r="CH14" s="67">
        <f>IFERROR(VLOOKUP($B14,RD[#All],CH$2,0)/CH$1,"")</f>
        <v>3.2322097378277155</v>
      </c>
      <c r="CI14" s="67">
        <f>IFERROR(VLOOKUP($B14,RD[#All],CI$2,0)/CI$1,"")</f>
        <v>3.1498127340823969</v>
      </c>
      <c r="CJ14" s="67">
        <f>IFERROR(VLOOKUP($B14,RD[#All],CJ$2,0)/CJ$1,"")</f>
        <v>3.1835205992509361</v>
      </c>
      <c r="CK14" s="67">
        <f>IFERROR(VLOOKUP($B14,RD[#All],CK$2,0)/CK$1,"")</f>
        <v>3.1498127340823969</v>
      </c>
      <c r="CL14" s="67">
        <f>IFERROR(VLOOKUP($B14,RD[#All],CL$2,0)/CL$1,"")</f>
        <v>3.202247191011236</v>
      </c>
      <c r="CM14" s="67">
        <f>IFERROR(VLOOKUP($B14,RD[#All],CM$2,0)/CM$1,"")</f>
        <v>3.1423220973782771</v>
      </c>
      <c r="CN14" s="67">
        <f>IFERROR(VLOOKUP($B14,RD[#All],CN$2,0)/CN$1,"")</f>
        <v>3.1629213483146068</v>
      </c>
      <c r="CO14" s="67">
        <f>IFERROR(VLOOKUP($B14,RD[#All],CO$2,0)/CO$1,"")</f>
        <v>3.1676404494382022</v>
      </c>
      <c r="CP14" s="67">
        <f>IFERROR(VLOOKUP($B14,RD[#All],CP$2,0)/CP$1,"")</f>
        <v>3.1149524632670702</v>
      </c>
      <c r="CQ14" s="67">
        <f>IFERROR(VLOOKUP($B14,RD[#All],CQ$2,0)/CQ$1,"")</f>
        <v>3.0411985018726591</v>
      </c>
      <c r="CR14" s="67">
        <f>IFERROR(VLOOKUP($B14,RD[#All],CR$2,0)/CR$1,"")</f>
        <v>3.191011235955056</v>
      </c>
      <c r="CS14" s="67">
        <f>IFERROR(VLOOKUP($B14,RD[#All],CS$2,0)/CS$1,"")</f>
        <v>3.1893466500208074</v>
      </c>
      <c r="CT14" s="67">
        <f>IFERROR(VLOOKUP($B14,RD[#All],CT$2,0)/CT$1,"")</f>
        <v>3.2397003745318353</v>
      </c>
      <c r="CU14" s="67">
        <f>IFERROR(VLOOKUP($B14,RD[#All],CU$2,0)/CU$1,"")</f>
        <v>2.9513108614232211</v>
      </c>
      <c r="CV14" s="67">
        <f>IFERROR(VLOOKUP($B14,RD[#All],CV$2,0)/CV$1,"")</f>
        <v>3.1947565543071161</v>
      </c>
      <c r="CW14" s="67">
        <f>IFERROR(VLOOKUP($B14,RD[#All],CW$2,0)/CW$1,"")</f>
        <v>3.1685393258426968</v>
      </c>
      <c r="CX14" s="67">
        <f>IFERROR(VLOOKUP($B14,RD[#All],CX$2,0)/CX$1,"")</f>
        <v>3.1947565543071161</v>
      </c>
      <c r="CY14" s="67">
        <f>IFERROR(VLOOKUP($B14,RD[#All],CY$2,0)/CY$1,"")</f>
        <v>3.191011235955056</v>
      </c>
      <c r="CZ14" s="67">
        <f>IFERROR(VLOOKUP($B14,RD[#All],CZ$2,0)/CZ$1,"")</f>
        <v>3.2284644194756553</v>
      </c>
      <c r="DA14" s="67">
        <f>IFERROR(VLOOKUP($B14,RD[#All],DA$2,0)/DA$1,"")</f>
        <v>3.1535580524344571</v>
      </c>
      <c r="DB14" s="67">
        <f>IFERROR(VLOOKUP($B14,RD[#All],DB$2,0)/DB$1,"")</f>
        <v>3.1985018726591758</v>
      </c>
      <c r="DC14" s="67">
        <f>IFERROR(VLOOKUP($B14,RD[#All],DC$2,0)/DC$1,"")</f>
        <v>3.2059925093632957</v>
      </c>
      <c r="DD14" s="67">
        <f>IFERROR(VLOOKUP($B14,RD[#All],DD$2,0)/DD$1,"")</f>
        <v>2.9138576779026217</v>
      </c>
      <c r="DE14" s="67">
        <f>IFERROR(VLOOKUP($B14,RD[#All],DE$2,0)/DE$1,"")</f>
        <v>3.2193091968372869</v>
      </c>
      <c r="DF14" s="67">
        <f>IFERROR(VLOOKUP($B14,RD[#All],DF$2,0)/DF$1,"")</f>
        <v>3.1749749079959857</v>
      </c>
      <c r="DG14" s="67">
        <f>IFERROR(VLOOKUP($B14,RD[#All],DG$2,0)/DG$1,"")</f>
        <v>3.2771535580524342</v>
      </c>
      <c r="DH14" s="67">
        <f>IFERROR(VLOOKUP($B14,RD[#All],DH$2,0)/DH$1,"")</f>
        <v>3.2559300873907615</v>
      </c>
      <c r="DI14" s="67">
        <f>IFERROR(VLOOKUP($B14,RD[#All],DI$2,0)/DI$1,"")</f>
        <v>3.2670700086430422</v>
      </c>
      <c r="DJ14" s="67">
        <f>IFERROR(VLOOKUP($B14,RD[#All],DJ$2,0)/DJ$1,"")</f>
        <v>3.2324978392394121</v>
      </c>
      <c r="DK14" s="67">
        <f>IFERROR(VLOOKUP($B14,RD[#All],DK$2,0)/DK$1,"")</f>
        <v>3.2559300873907615</v>
      </c>
      <c r="DL14" s="67">
        <f>IFERROR(VLOOKUP($B14,RD[#All],DL$2,0)/DL$1,"")</f>
        <v>3.2592592592592591</v>
      </c>
      <c r="DM14" s="67">
        <f>IFERROR(VLOOKUP($B14,RD[#All],DM$2,0)/DM$1,"")</f>
        <v>3.292134831460674</v>
      </c>
      <c r="DN14" s="67">
        <f>IFERROR(VLOOKUP($B14,RD[#All],DN$2,0)/DN$1,"")</f>
        <v>3.1573033707865168</v>
      </c>
      <c r="DO14" s="67">
        <f>IFERROR(VLOOKUP($B14,RD[#All],DO$2,0)/DO$1,"")</f>
        <v>3.1682837069253935</v>
      </c>
      <c r="DP14" s="67">
        <f>IFERROR(VLOOKUP($B14,RD[#All],DP$2,0)/DP$1,"")</f>
        <v>3.1360799001248441</v>
      </c>
      <c r="DQ14" s="67">
        <f>IFERROR(VLOOKUP($B14,RD[#All],DQ$2,0)/DQ$1,"")</f>
        <v>3.2193091968372869</v>
      </c>
      <c r="DR14" s="67">
        <f>IFERROR(VLOOKUP($B14,RD[#All],DR$2,0)/DR$1,"")</f>
        <v>3.2434456928838951</v>
      </c>
      <c r="DS14" s="67">
        <f>IFERROR(VLOOKUP($B14,RD[#All],DS$2,0)/DS$1,"")</f>
        <v>3.2883895131086143</v>
      </c>
      <c r="DT14" s="67">
        <f>IFERROR(VLOOKUP($B14,RD[#All],DT$2,0)/DT$1,"")</f>
        <v>3.0129005409904286</v>
      </c>
      <c r="DU14" s="67">
        <f>IFERROR(VLOOKUP($B14,RD[#All],DU$2,0)/DU$1,"")</f>
        <v>3.0928006658343739</v>
      </c>
      <c r="DV14" s="67">
        <f>IFERROR(VLOOKUP($B14,RD[#All],DV$2,0)/DV$1,"")</f>
        <v>3.2471910112359552</v>
      </c>
      <c r="DW14" s="67">
        <f>IFERROR(VLOOKUP($B14,RD[#All],DW$2,0)/DW$1,"")</f>
        <v>3.2659176029962547</v>
      </c>
      <c r="DX14" s="67">
        <f>IFERROR(VLOOKUP($B14,RD[#All],DX$2,0)/DX$1,"")</f>
        <v>3.1593841032043279</v>
      </c>
      <c r="DY14" s="67">
        <f>IFERROR(VLOOKUP($B14,RD[#All],DY$2,0)/DY$1,"")</f>
        <v>3.1797752808988764</v>
      </c>
      <c r="DZ14" s="67">
        <f>IFERROR(VLOOKUP($B14,RD[#All],DZ$2,0)/DZ$1,"")</f>
        <v>3.1573033707865168</v>
      </c>
      <c r="EA14" s="67">
        <f>IFERROR(VLOOKUP($B14,RD[#All],EA$2,0)/EA$1,"")</f>
        <v>3.2093216812317937</v>
      </c>
      <c r="EB14" s="67">
        <f>IFERROR(VLOOKUP($B14,RD[#All],EB$2,0)/EB$1,"")</f>
        <v>3.1260923845193509</v>
      </c>
      <c r="EC14" s="67">
        <f>IFERROR(VLOOKUP($B14,RD[#All],EC$2,0)/EC$1,"")</f>
        <v>3.1218668971477959</v>
      </c>
      <c r="ED14" s="67">
        <f>IFERROR(VLOOKUP($B14,RD[#All],ED$2,0)/ED$1,"")</f>
        <v>3.2739844425237683</v>
      </c>
      <c r="EE14" s="67">
        <f>IFERROR(VLOOKUP($B14,RD[#All],EE$2,0)/EE$1,"")</f>
        <v>3.194468452895419</v>
      </c>
      <c r="EF14" s="67">
        <f>IFERROR(VLOOKUP($B14,RD[#All],EF$2,0)/EF$1,"")</f>
        <v>3.2604698672114401</v>
      </c>
      <c r="EG14" s="67">
        <f>IFERROR(VLOOKUP($B14,RD[#All],EG$2,0)/EG$1,"")</f>
        <v>3.1538461538461537</v>
      </c>
      <c r="EH14" s="67">
        <f>IFERROR(VLOOKUP($B14,RD[#All],EH$2,0)/EH$1,"")</f>
        <v>3.1363636363636362</v>
      </c>
      <c r="EI14" s="67">
        <f>IFERROR(VLOOKUP($B14,RD[#All],EI$2,0)/EI$1,"")</f>
        <v>3.1573426573426575</v>
      </c>
      <c r="EJ14" s="67">
        <f>IFERROR(VLOOKUP($B14,RD[#All],EJ$2,0)/EJ$1,"")</f>
        <v>3.2097902097902096</v>
      </c>
      <c r="EK14" s="67">
        <f>IFERROR(VLOOKUP($B14,RD[#All],EK$2,0)/EK$1,"")</f>
        <v>3.2503370786516852</v>
      </c>
      <c r="EL14" s="67">
        <f>IFERROR(VLOOKUP($B14,RD[#All],EL$2,0)/EL$1,"")</f>
        <v>3.2097378277153559</v>
      </c>
      <c r="EM14" s="67">
        <f>IFERROR(VLOOKUP($B14,RD[#All],EM$2,0)/EM$1,"")</f>
        <v>3.3016421780466723</v>
      </c>
      <c r="EN14" s="67">
        <f>IFERROR(VLOOKUP($B14,RD[#All],EN$2,0)/EN$1,"")</f>
        <v>3.2428694900605013</v>
      </c>
      <c r="EO14" s="67">
        <f>IFERROR(VLOOKUP($B14,RD[#All],EO$2,0)/EO$1,"")</f>
        <v>3.1797752808988764</v>
      </c>
      <c r="EP14" s="67">
        <f>IFERROR(VLOOKUP($B14,RD[#All],EP$2,0)/EP$1,"")</f>
        <v>3.191011235955056</v>
      </c>
      <c r="EQ14" s="67">
        <f>IFERROR(VLOOKUP($B14,RD[#All],EQ$2,0)/EQ$1,"")</f>
        <v>3.1647940074906367</v>
      </c>
      <c r="ER14" s="67">
        <f>IFERROR(VLOOKUP($B14,RD[#All],ER$2,0)/ER$1,"")</f>
        <v>3.2774416594641314</v>
      </c>
      <c r="ES14" s="67">
        <f>IFERROR(VLOOKUP($B14,RD[#All],ES$2,0)/ES$1,"")</f>
        <v>3.1872659176029963</v>
      </c>
      <c r="ET14" s="67">
        <f>IFERROR(VLOOKUP($B14,RD[#All],ET$2,0)/ET$1,"")</f>
        <v>3.2400408580183861</v>
      </c>
      <c r="EU14" s="67">
        <f>IFERROR(VLOOKUP($B14,RD[#All],EU$2,0)/EU$1,"")</f>
        <v>3.2636127917026792</v>
      </c>
      <c r="EV14" s="67">
        <f>IFERROR(VLOOKUP($B14,RD[#All],EV$2,0)/EV$1,"")</f>
        <v>3.2947277441659466</v>
      </c>
      <c r="EW14" s="67">
        <f>IFERROR(VLOOKUP($B14,RD[#All],EW$2,0)/EW$1,"")</f>
        <v>3.2670700086430422</v>
      </c>
      <c r="EX14" s="67">
        <f>IFERROR(VLOOKUP($B14,RD[#All],EX$2,0)/EX$1,"")</f>
        <v>3.2247191011235956</v>
      </c>
      <c r="EY14" s="67">
        <f>IFERROR(VLOOKUP($B14,RD[#All],EY$2,0)/EY$1,"")</f>
        <v>3.2326258843112776</v>
      </c>
      <c r="EZ14" s="67">
        <f>IFERROR(VLOOKUP($B14,RD[#All],EZ$2,0)/EZ$1,"")</f>
        <v>3.1985018726591758</v>
      </c>
      <c r="FA14" s="67">
        <f>IFERROR(VLOOKUP($B14,RD[#All],FA$2,0)/FA$1,"")</f>
        <v>3.1722846441947565</v>
      </c>
      <c r="FB14" s="67">
        <f>IFERROR(VLOOKUP($B14,RD[#All],FB$2,0)/FB$1,"")</f>
        <v>3.1535580524344571</v>
      </c>
      <c r="FC14" s="67">
        <f>IFERROR(VLOOKUP($B14,RD[#All],FC$2,0)/FC$1,"")</f>
        <v>3.1647940074906367</v>
      </c>
      <c r="FD14" s="67">
        <f>IFERROR(VLOOKUP($B14,RD[#All],FD$2,0)/FD$1,"")</f>
        <v>3.2696629213483148</v>
      </c>
      <c r="FE14" s="67">
        <f>IFERROR(VLOOKUP($B14,RD[#All],FE$2,0)/FE$1,"")</f>
        <v>3.2234848484848486</v>
      </c>
      <c r="FF14" s="67">
        <f>IFERROR(VLOOKUP($B14,RD[#All],FF$2,0)/FF$1,"")</f>
        <v>3.2234848484848486</v>
      </c>
      <c r="FG14" s="67">
        <f>IFERROR(VLOOKUP($B14,RD[#All],FG$2,0)/FG$1,"")</f>
        <v>3.2289562289562288</v>
      </c>
      <c r="FH14" s="67">
        <f>IFERROR(VLOOKUP($B14,RD[#All],FH$2,0)/FH$1,"")</f>
        <v>3.1818181818181817</v>
      </c>
      <c r="FI14" s="67">
        <f>IFERROR(VLOOKUP($B14,RD[#All],FI$2,0)/FI$1,"")</f>
        <v>3.1986531986531985</v>
      </c>
      <c r="FJ14" s="67">
        <f>IFERROR(VLOOKUP($B14,RD[#All],FJ$2,0)/FJ$1,"")</f>
        <v>3.1447811447811449</v>
      </c>
      <c r="FK14" s="67">
        <f>IFERROR(VLOOKUP($B14,RD[#All],FK$2,0)/FK$1,"")</f>
        <v>3.1986531986531985</v>
      </c>
      <c r="FL14" s="67">
        <f>IFERROR(VLOOKUP($B14,RD[#All],FL$2,0)/FL$1,"")</f>
        <v>3.1672727272727275</v>
      </c>
      <c r="FM14" s="67">
        <f>IFERROR(VLOOKUP($B14,RD[#All],FM$2,0)/FM$1,"")</f>
        <v>3.2045454545454546</v>
      </c>
      <c r="FN14" s="67">
        <f>IFERROR(VLOOKUP($B14,RD[#All],FN$2,0)/FN$1,"")</f>
        <v>3.2693602693602695</v>
      </c>
      <c r="FO14" s="67">
        <f>IFERROR(VLOOKUP($B14,RD[#All],FO$2,0)/FO$1,"")</f>
        <v>3.1477272727272729</v>
      </c>
      <c r="FP14" s="67">
        <f>IFERROR(VLOOKUP($B14,RD[#All],FP$2,0)/FP$1,"")</f>
        <v>3.2218181818181817</v>
      </c>
      <c r="FQ14" s="67">
        <f>IFERROR(VLOOKUP($B14,RD[#All],FQ$2,0)/FQ$1,"")</f>
        <v>3.2618181818181817</v>
      </c>
      <c r="FR14" s="67">
        <f>IFERROR(VLOOKUP($B14,RD[#All],FR$2,0)/FR$1,"")</f>
        <v>3.2072727272727271</v>
      </c>
      <c r="FS14" s="67">
        <f>IFERROR(VLOOKUP($B14,RD[#All],FS$2,0)/FS$1,"")</f>
        <v>3.2491582491582491</v>
      </c>
      <c r="FT14" s="67">
        <f>IFERROR(VLOOKUP($B14,RD[#All],FT$2,0)/FT$1,"")</f>
        <v>3.2254545454545456</v>
      </c>
      <c r="FU14" s="67">
        <f>IFERROR(VLOOKUP($B14,RD[#All],FU$2,0)/FU$1,"")</f>
        <v>3.0336700336700337</v>
      </c>
      <c r="FV14" s="67">
        <f>IFERROR(VLOOKUP($B14,RD[#All],FV$2,0)/FV$1,"")</f>
        <v>3.1590909090909092</v>
      </c>
      <c r="FW14" s="67">
        <f>IFERROR(VLOOKUP($B14,RD[#All],FW$2,0)/FW$1,"")</f>
        <v>3.2462121212121211</v>
      </c>
      <c r="FX14" s="67">
        <f>IFERROR(VLOOKUP($B14,RD[#All],FX$2,0)/FX$1,"")</f>
        <v>3.1477272727272729</v>
      </c>
      <c r="FY14" s="67">
        <f>IFERROR(VLOOKUP($B14,RD[#All],FY$2,0)/FY$1,"")</f>
        <v>3.1750841750841752</v>
      </c>
      <c r="FZ14" s="67">
        <f>IFERROR(VLOOKUP($B14,RD[#All],FZ$2,0)/FZ$1,"")</f>
        <v>3.2234848484848486</v>
      </c>
      <c r="GA14" s="67">
        <f>IFERROR(VLOOKUP($B14,RD[#All],GA$2,0)/GA$1,"")</f>
        <v>3.1713286713286712</v>
      </c>
      <c r="GB14" s="67">
        <f>IFERROR(VLOOKUP($B14,RD[#All],GB$2,0)/GB$1,"")</f>
        <v>3.1818181818181817</v>
      </c>
      <c r="GC14" s="67">
        <f>IFERROR(VLOOKUP($B14,RD[#All],GC$2,0)/GC$1,"")</f>
        <v>3.2053872053872055</v>
      </c>
      <c r="GD14" s="67">
        <f>IFERROR(VLOOKUP($B14,RD[#All],GD$2,0)/GD$1,"")</f>
        <v>3.1927272727272729</v>
      </c>
      <c r="GE14" s="67">
        <f>IFERROR(VLOOKUP($B14,RD[#All],GE$2,0)/GE$1,"")</f>
        <v>3.2797202797202796</v>
      </c>
      <c r="GF14" s="67">
        <f>IFERROR(VLOOKUP($B14,RD[#All],GF$2,0)/GF$1,"")</f>
        <v>3.2727272727272729</v>
      </c>
      <c r="GG14" s="67">
        <f>IFERROR(VLOOKUP($B14,RD[#All],GG$2,0)/GG$1,"")</f>
        <v>3.1709090909090909</v>
      </c>
      <c r="GH14" s="67">
        <f>IFERROR(VLOOKUP($B14,RD[#All],GH$2,0)/GH$1,"")</f>
        <v>3.2254545454545456</v>
      </c>
      <c r="GI14" s="67">
        <f>IFERROR(VLOOKUP($B14,RD[#All],GI$2,0)/GI$1,"")</f>
        <v>3.1527272727272728</v>
      </c>
      <c r="GJ14" s="67">
        <f>IFERROR(VLOOKUP($B14,RD[#All],GJ$2,0)/GJ$1,"")</f>
        <v>3.1853146853146854</v>
      </c>
      <c r="GK14" s="67">
        <f>IFERROR(VLOOKUP($B14,RD[#All],GK$2,0)/GK$1,"")</f>
        <v>3.1780303030303032</v>
      </c>
      <c r="GL14" s="67">
        <f>IFERROR(VLOOKUP($B14,RD[#All],GL$2,0)/GL$1,"")</f>
        <v>3.1431818181818181</v>
      </c>
      <c r="GM14" s="67">
        <f>IFERROR(VLOOKUP($B14,RD[#All],GM$2,0)/GM$1,"")</f>
        <v>2.8674242424242422</v>
      </c>
      <c r="GN14" s="67">
        <f>IFERROR(VLOOKUP($B14,RD[#All],GN$2,0)/GN$1,"")</f>
        <v>3.1477272727272729</v>
      </c>
      <c r="GO14" s="67">
        <f>IFERROR(VLOOKUP($B14,RD[#All],GO$2,0)/GO$1,"")</f>
        <v>3.1477272727272729</v>
      </c>
      <c r="GP14" s="67">
        <f>IFERROR(VLOOKUP($B14,RD[#All],GP$2,0)/GP$1,"")</f>
        <v>3.0568181818181817</v>
      </c>
      <c r="GQ14" s="67">
        <f>IFERROR(VLOOKUP($B14,RD[#All],GQ$2,0)/GQ$1,"")</f>
        <v>3.1909090909090909</v>
      </c>
      <c r="GR14" s="67">
        <f>IFERROR(VLOOKUP($B14,RD[#All],GR$2,0)/GR$1,"")</f>
        <v>3.1553030303030303</v>
      </c>
      <c r="GS14" s="67" t="str">
        <f>IFERROR(VLOOKUP($B14,RD[#All],GS$2,0)/GS$1,"")</f>
        <v/>
      </c>
      <c r="GT14" s="67" t="str">
        <f>IFERROR(VLOOKUP($B14,RD[#All],GT$2,0)/GT$1,"")</f>
        <v/>
      </c>
      <c r="GU14" s="67">
        <f>IFERROR(VLOOKUP($B14,RD[#All],GU$2,0)/GU$1,"")</f>
        <v>1.7897977132805629</v>
      </c>
      <c r="GV14" s="67">
        <f>IFERROR(VLOOKUP($B14,RD[#All],GV$2,0)/GV$1,"")</f>
        <v>3.1993695823483059</v>
      </c>
      <c r="GW14" s="67">
        <f>IFERROR(VLOOKUP($B14,RD[#All],GW$2,0)/GW$1,"")</f>
        <v>3.2113821138211378</v>
      </c>
      <c r="GX14" s="67" t="str">
        <f>IFERROR(VLOOKUP($B14,RD[#All],GX$2,0)/GX$1,"")</f>
        <v/>
      </c>
      <c r="GY14" s="67">
        <f>IFERROR(VLOOKUP($B14,RD[#All],GY$2,0)/GY$1,"")</f>
        <v>3.2023239917976758</v>
      </c>
      <c r="GZ14" s="67">
        <f>IFERROR(VLOOKUP($B14,RD[#All],GZ$2,0)/GZ$1,"")</f>
        <v>3.1685393258426968</v>
      </c>
      <c r="HA14" s="67">
        <f>IFERROR(VLOOKUP($B14,RD[#All],HA$2,0)/HA$1,"")</f>
        <v>3.1872659176029963</v>
      </c>
      <c r="HB14" s="67">
        <f>IFERROR(VLOOKUP($B14,RD[#All],HB$2,0)/HB$1,"")</f>
        <v>3.1498127340823969</v>
      </c>
      <c r="HC14" s="67">
        <f>IFERROR(VLOOKUP($B14,RD[#All],HC$2,0)/HC$1,"")</f>
        <v>3.1985018726591758</v>
      </c>
      <c r="HD14" s="67">
        <f>IFERROR(VLOOKUP($B14,RD[#All],HD$2,0)/HD$1,"")</f>
        <v>3.1535580524344571</v>
      </c>
      <c r="HE14" s="67">
        <f>IFERROR(VLOOKUP($B14,RD[#All],HE$2,0)/HE$1,"")</f>
        <v>3.1797752808988764</v>
      </c>
      <c r="HF14" s="67">
        <f>IFERROR(VLOOKUP($B14,RD[#All],HF$2,0)/HF$1,"")</f>
        <v>3.2546816479400751</v>
      </c>
      <c r="HG14" s="67">
        <f>IFERROR(VLOOKUP($B14,RD[#All],HG$2,0)/HG$1,"")</f>
        <v>3.1760299625468167</v>
      </c>
      <c r="HH14" s="67">
        <f>IFERROR(VLOOKUP($B14,RD[#All],HH$2,0)/HH$1,"")</f>
        <v>3.1985018726591758</v>
      </c>
      <c r="HI14" s="67">
        <f>IFERROR(VLOOKUP($B14,RD[#All],HI$2,0)/HI$1,"")</f>
        <v>3.1872659176029963</v>
      </c>
      <c r="HJ14" s="67">
        <f>IFERROR(VLOOKUP($B14,RD[#All],HJ$2,0)/HJ$1,"")</f>
        <v>3.2434456928838951</v>
      </c>
      <c r="HK14" s="67">
        <f>IFERROR(VLOOKUP($B14,RD[#All],HK$2,0)/HK$1,"")</f>
        <v>3.2226383687057845</v>
      </c>
      <c r="HL14" s="67">
        <f>IFERROR(VLOOKUP($B14,RD[#All],HL$2,0)/HL$1,"")</f>
        <v>3.2093216812317937</v>
      </c>
      <c r="HM14" s="67">
        <f>IFERROR(VLOOKUP($B14,RD[#All],HM$2,0)/HM$1,"")</f>
        <v>3.3452754142409313</v>
      </c>
      <c r="HN14" s="67">
        <f>IFERROR(VLOOKUP($B14,RD[#All],HN$2,0)/HN$1,"")</f>
        <v>3.4079713390058215</v>
      </c>
      <c r="HO14" s="67">
        <f>IFERROR(VLOOKUP($B14,RD[#All],HO$2,0)/HO$1,"")</f>
        <v>3.301985370950888</v>
      </c>
      <c r="HP14" s="67">
        <f>IFERROR(VLOOKUP($B14,RD[#All],HP$2,0)/HP$1,"")</f>
        <v>3.3291536050156738</v>
      </c>
      <c r="HQ14" s="67">
        <f>IFERROR(VLOOKUP($B14,RD[#All],HQ$2,0)/HQ$1,"")</f>
        <v>3.2034632034632033</v>
      </c>
      <c r="HR14" s="67">
        <f>IFERROR(VLOOKUP($B14,RD[#All],HR$2,0)/HR$1,"")</f>
        <v>3.1484570475396163</v>
      </c>
      <c r="HS14" s="67">
        <f>IFERROR(VLOOKUP($B14,RD[#All],HS$2,0)/HS$1,"")</f>
        <v>3.1748314606741572</v>
      </c>
      <c r="HT14" s="67">
        <f>IFERROR(VLOOKUP($B14,RD[#All],HT$2,0)/HT$1,"")</f>
        <v>3.1993341656263006</v>
      </c>
      <c r="HU14" s="67">
        <f>IFERROR(VLOOKUP($B14,RD[#All],HU$2,0)/HU$1,"")</f>
        <v>3.1460674157303372</v>
      </c>
      <c r="HV14" s="67">
        <f>IFERROR(VLOOKUP($B14,RD[#All],HV$2,0)/HV$1,"")</f>
        <v>3.1702679343128781</v>
      </c>
      <c r="HW14" s="67">
        <f>IFERROR(VLOOKUP($B14,RD[#All],HW$2,0)/HW$1,"")</f>
        <v>3.2431460674157302</v>
      </c>
      <c r="HX14" s="67">
        <f>IFERROR(VLOOKUP($B14,RD[#All],HX$2,0)/HX$1,"")</f>
        <v>3.1426101987899742</v>
      </c>
      <c r="HY14" s="67">
        <f>IFERROR(VLOOKUP($B14,RD[#All],HY$2,0)/HY$1,"")</f>
        <v>3.2026633374947981</v>
      </c>
      <c r="HZ14" s="67">
        <f>IFERROR(VLOOKUP($B14,RD[#All],HZ$2,0)/HZ$1,"")</f>
        <v>3.1427382438618392</v>
      </c>
      <c r="IA14" s="67">
        <f>IFERROR(VLOOKUP($B14,RD[#All],IA$2,0)/IA$1,"")</f>
        <v>3.1818181818181821</v>
      </c>
      <c r="IB14" s="67">
        <f>IFERROR(VLOOKUP($B14,RD[#All],IB$2,0)/IB$1,"")</f>
        <v>3.1565656565656566</v>
      </c>
      <c r="IC14" s="67">
        <f>IFERROR(VLOOKUP($B14,RD[#All],IC$2,0)/IC$1,"")</f>
        <v>3.1429681429681433</v>
      </c>
      <c r="ID14" s="67">
        <f>IFERROR(VLOOKUP($B14,RD[#All],ID$2,0)/ID$1,"")</f>
        <v>3.2061354283576504</v>
      </c>
      <c r="IE14" s="67">
        <f>IFERROR(VLOOKUP($B14,RD[#All],IE$2,0)/IE$1,"")</f>
        <v>3.1959595959595961</v>
      </c>
      <c r="IF14" s="67" t="str">
        <f>IFERROR(VLOOKUP($B14,RD[#All],IF$2,0)/IF$1,"")</f>
        <v/>
      </c>
      <c r="IG14" s="67">
        <f>IFERROR(VLOOKUP($B14,RD[#All],IG$2,0)/IG$1,"")</f>
        <v>3.3993772997452587</v>
      </c>
      <c r="IH14" s="67">
        <f>IFERROR(VLOOKUP($B14,RD[#All],IH$2,0)/IH$1,"")</f>
        <v>3.2079414838035527</v>
      </c>
      <c r="II14" s="67">
        <f>IFERROR(VLOOKUP($B14,RD[#All],II$2,0)/II$1,"")</f>
        <v>3.1940298507462686</v>
      </c>
      <c r="IJ14" s="67">
        <f>IFERROR(VLOOKUP($B14,RD[#All],IJ$2,0)/IJ$1,"")</f>
        <v>3.2061354283576504</v>
      </c>
      <c r="IK14" s="67">
        <f>IFERROR(VLOOKUP($B14,RD[#All],IK$2,0)/IK$1,"")</f>
        <v>3.1701631701631703</v>
      </c>
      <c r="IL14" s="67" t="str">
        <f>IFERROR(VLOOKUP($B14,RD[#All],IL$2,0)/IL$1,"")</f>
        <v/>
      </c>
      <c r="IM14" s="67" t="str">
        <f>IFERROR(VLOOKUP($B14,RD[#All],IM$2,0)/IM$1,"")</f>
        <v/>
      </c>
      <c r="IN14" s="67">
        <f>IFERROR(VLOOKUP($B14,RD[#All],IN$2,0)/IN$1,"")</f>
        <v>3.3479623824451412</v>
      </c>
      <c r="IO14" s="67">
        <f>IFERROR(VLOOKUP($B14,RD[#All],IO$2,0)/IO$1,"")</f>
        <v>3.3738244514106586</v>
      </c>
      <c r="IP14" s="67">
        <f>IFERROR(VLOOKUP($B14,RD[#All],IP$2,0)/IP$1,"")</f>
        <v>3.7497284379752336</v>
      </c>
      <c r="IQ14" s="67">
        <f>IFERROR(VLOOKUP($B14,RD[#All],IQ$2,0)/IQ$1,"")</f>
        <v>3.1429681429681433</v>
      </c>
      <c r="IR14" s="67">
        <f>IFERROR(VLOOKUP($B14,RD[#All],IR$2,0)/IR$1,"")</f>
        <v>3.1965174129353233</v>
      </c>
      <c r="IS14" s="86">
        <f>IFERROR(AVERAGEIF(Inv_SY_B[[#This Row],[BLK1_INV1]:[BLK8_INV27]],"&gt;"&amp;0.1,Inv_SY_B[[#This Row],[BLK1_INV1]:[BLK8_INV27]]),"")</f>
        <v>3.205514986852291</v>
      </c>
    </row>
    <row r="15" spans="2:253" x14ac:dyDescent="0.25">
      <c r="B15" s="85">
        <f t="shared" si="0"/>
        <v>45841</v>
      </c>
      <c r="C15" s="67">
        <f>IFERROR(VLOOKUP($B15,RD[#All],C$2,0)/C$1,"")</f>
        <v>3.5816767502160762</v>
      </c>
      <c r="D15" s="67">
        <f>IFERROR(VLOOKUP($B15,RD[#All],D$2,0)/D$1,"")</f>
        <v>3.6611927398444251</v>
      </c>
      <c r="E15" s="67">
        <f>IFERROR(VLOOKUP($B15,RD[#All],E$2,0)/E$1,"")</f>
        <v>3.6629213483146068</v>
      </c>
      <c r="F15" s="67">
        <f>IFERROR(VLOOKUP($B15,RD[#All],F$2,0)/F$1,"")</f>
        <v>3.6516853932584268</v>
      </c>
      <c r="G15" s="67">
        <f>IFERROR(VLOOKUP($B15,RD[#All],G$2,0)/G$1,"")</f>
        <v>3.6439066551426103</v>
      </c>
      <c r="H15" s="67">
        <f>IFERROR(VLOOKUP($B15,RD[#All],H$2,0)/H$1,"")</f>
        <v>3.6441947565543069</v>
      </c>
      <c r="I15" s="67">
        <f>IFERROR(VLOOKUP($B15,RD[#All],I$2,0)/I$1,"")</f>
        <v>3.5805243445692883</v>
      </c>
      <c r="J15" s="67">
        <f>IFERROR(VLOOKUP($B15,RD[#All],J$2,0)/J$1,"")</f>
        <v>3.5617977528089888</v>
      </c>
      <c r="K15" s="67">
        <f>IFERROR(VLOOKUP($B15,RD[#All],K$2,0)/K$1,"")</f>
        <v>3.4660674157303371</v>
      </c>
      <c r="L15" s="67">
        <f>IFERROR(VLOOKUP($B15,RD[#All],L$2,0)/L$1,"")</f>
        <v>3.656629213483146</v>
      </c>
      <c r="M15" s="67">
        <f>IFERROR(VLOOKUP($B15,RD[#All],M$2,0)/M$1,"")</f>
        <v>3.6029962546816479</v>
      </c>
      <c r="N15" s="67">
        <f>IFERROR(VLOOKUP($B15,RD[#All],N$2,0)/N$1,"")</f>
        <v>3.5767790262172285</v>
      </c>
      <c r="O15" s="67">
        <f>IFERROR(VLOOKUP($B15,RD[#All],O$2,0)/O$1,"")</f>
        <v>3.5018726591760299</v>
      </c>
      <c r="P15" s="67">
        <f>IFERROR(VLOOKUP($B15,RD[#All],P$2,0)/P$1,"")</f>
        <v>3.6363636363636362</v>
      </c>
      <c r="Q15" s="67">
        <f>IFERROR(VLOOKUP($B15,RD[#All],Q$2,0)/Q$1,"")</f>
        <v>3.6554307116104869</v>
      </c>
      <c r="R15" s="67">
        <f>IFERROR(VLOOKUP($B15,RD[#All],R$2,0)/R$1,"")</f>
        <v>3.6441947565543069</v>
      </c>
      <c r="S15" s="67">
        <f>IFERROR(VLOOKUP($B15,RD[#All],S$2,0)/S$1,"")</f>
        <v>3.6254681647940075</v>
      </c>
      <c r="T15" s="67">
        <f>IFERROR(VLOOKUP($B15,RD[#All],T$2,0)/T$1,"")</f>
        <v>3.6217228464419478</v>
      </c>
      <c r="U15" s="67">
        <f>IFERROR(VLOOKUP($B15,RD[#All],U$2,0)/U$1,"")</f>
        <v>3.6404494382022472</v>
      </c>
      <c r="V15" s="67">
        <f>IFERROR(VLOOKUP($B15,RD[#All],V$2,0)/V$1,"")</f>
        <v>3.6404494382022472</v>
      </c>
      <c r="W15" s="67">
        <f>IFERROR(VLOOKUP($B15,RD[#All],W$2,0)/W$1,"")</f>
        <v>3.6629213483146068</v>
      </c>
      <c r="X15" s="67">
        <f>IFERROR(VLOOKUP($B15,RD[#All],X$2,0)/X$1,"")</f>
        <v>3.6629213483146068</v>
      </c>
      <c r="Y15" s="67">
        <f>IFERROR(VLOOKUP($B15,RD[#All],Y$2,0)/Y$1,"")</f>
        <v>3.567847882454624</v>
      </c>
      <c r="Z15" s="67">
        <f>IFERROR(VLOOKUP($B15,RD[#All],Z$2,0)/Z$1,"")</f>
        <v>3.6820640865584684</v>
      </c>
      <c r="AA15" s="67">
        <f>IFERROR(VLOOKUP($B15,RD[#All],AA$2,0)/AA$1,"")</f>
        <v>3.6715643906655142</v>
      </c>
      <c r="AB15" s="67">
        <f>IFERROR(VLOOKUP($B15,RD[#All],AB$2,0)/AB$1,"")</f>
        <v>3.6369922212618842</v>
      </c>
      <c r="AC15" s="67">
        <f>IFERROR(VLOOKUP($B15,RD[#All],AC$2,0)/AC$1,"")</f>
        <v>3.6127917026793432</v>
      </c>
      <c r="AD15" s="67">
        <f>IFERROR(VLOOKUP($B15,RD[#All],AD$2,0)/AD$1,"")</f>
        <v>3.6221389929255099</v>
      </c>
      <c r="AE15" s="67">
        <f>IFERROR(VLOOKUP($B15,RD[#All],AE$2,0)/AE$1,"")</f>
        <v>3.6321265085310031</v>
      </c>
      <c r="AF15" s="67">
        <f>IFERROR(VLOOKUP($B15,RD[#All],AF$2,0)/AF$1,"")</f>
        <v>3.4623387432376198</v>
      </c>
      <c r="AG15" s="67">
        <f>IFERROR(VLOOKUP($B15,RD[#All],AG$2,0)/AG$1,"")</f>
        <v>3.4823137744486061</v>
      </c>
      <c r="AH15" s="67">
        <f>IFERROR(VLOOKUP($B15,RD[#All],AH$2,0)/AH$1,"")</f>
        <v>3.4989596337910944</v>
      </c>
      <c r="AI15" s="67">
        <f>IFERROR(VLOOKUP($B15,RD[#All],AI$2,0)/AI$1,"")</f>
        <v>3.5455974842767293</v>
      </c>
      <c r="AJ15" s="67">
        <f>IFERROR(VLOOKUP($B15,RD[#All],AJ$2,0)/AJ$1,"")</f>
        <v>3.6556568524884172</v>
      </c>
      <c r="AK15" s="67">
        <f>IFERROR(VLOOKUP($B15,RD[#All],AK$2,0)/AK$1,"")</f>
        <v>3.5842696629213484</v>
      </c>
      <c r="AL15" s="67">
        <f>IFERROR(VLOOKUP($B15,RD[#All],AL$2,0)/AL$1,"")</f>
        <v>3.5597189695550355</v>
      </c>
      <c r="AM15" s="67">
        <f>IFERROR(VLOOKUP($B15,RD[#All],AM$2,0)/AM$1,"")</f>
        <v>3.4794007490636703</v>
      </c>
      <c r="AN15" s="67">
        <f>IFERROR(VLOOKUP($B15,RD[#All],AN$2,0)/AN$1,"")</f>
        <v>3.4756554307116105</v>
      </c>
      <c r="AO15" s="67">
        <f>IFERROR(VLOOKUP($B15,RD[#All],AO$2,0)/AO$1,"")</f>
        <v>3.49438202247191</v>
      </c>
      <c r="AP15" s="67">
        <f>IFERROR(VLOOKUP($B15,RD[#All],AP$2,0)/AP$1,"")</f>
        <v>3.6104868913857677</v>
      </c>
      <c r="AQ15" s="67">
        <f>IFERROR(VLOOKUP($B15,RD[#All],AQ$2,0)/AQ$1,"")</f>
        <v>3.50561797752809</v>
      </c>
      <c r="AR15" s="67">
        <f>IFERROR(VLOOKUP($B15,RD[#All],AR$2,0)/AR$1,"")</f>
        <v>3.4962546816479403</v>
      </c>
      <c r="AS15" s="67">
        <f>IFERROR(VLOOKUP($B15,RD[#All],AS$2,0)/AS$1,"")</f>
        <v>3.5205992509363297</v>
      </c>
      <c r="AT15" s="67">
        <f>IFERROR(VLOOKUP($B15,RD[#All],AT$2,0)/AT$1,"")</f>
        <v>3.5393258426966292</v>
      </c>
      <c r="AU15" s="67">
        <f>IFERROR(VLOOKUP($B15,RD[#All],AU$2,0)/AU$1,"")</f>
        <v>3.5617977528089888</v>
      </c>
      <c r="AV15" s="67">
        <f>IFERROR(VLOOKUP($B15,RD[#All],AV$2,0)/AV$1,"")</f>
        <v>3.5842696629213484</v>
      </c>
      <c r="AW15" s="67">
        <f>IFERROR(VLOOKUP($B15,RD[#All],AW$2,0)/AW$1,"")</f>
        <v>3.5920484010371649</v>
      </c>
      <c r="AX15" s="67">
        <f>IFERROR(VLOOKUP($B15,RD[#All],AX$2,0)/AX$1,"")</f>
        <v>3.5730337078651684</v>
      </c>
      <c r="AY15" s="67">
        <f>IFERROR(VLOOKUP($B15,RD[#All],AY$2,0)/AY$1,"")</f>
        <v>3.552359550561798</v>
      </c>
      <c r="AZ15" s="67">
        <f>IFERROR(VLOOKUP($B15,RD[#All],AZ$2,0)/AZ$1,"")</f>
        <v>3.4912359550561796</v>
      </c>
      <c r="BA15" s="67">
        <f>IFERROR(VLOOKUP($B15,RD[#All],BA$2,0)/BA$1,"")</f>
        <v>3.5617977528089888</v>
      </c>
      <c r="BB15" s="67">
        <f>IFERROR(VLOOKUP($B15,RD[#All],BB$2,0)/BB$1,"")</f>
        <v>3.606741573033708</v>
      </c>
      <c r="BC15" s="67">
        <f>IFERROR(VLOOKUP($B15,RD[#All],BC$2,0)/BC$1,"")</f>
        <v>3.6820640865584684</v>
      </c>
      <c r="BD15" s="67">
        <f>IFERROR(VLOOKUP($B15,RD[#All],BD$2,0)/BD$1,"")</f>
        <v>3.6088223054515187</v>
      </c>
      <c r="BE15" s="67">
        <f>IFERROR(VLOOKUP($B15,RD[#All],BE$2,0)/BE$1,"")</f>
        <v>3.47104580812446</v>
      </c>
      <c r="BF15" s="67">
        <f>IFERROR(VLOOKUP($B15,RD[#All],BF$2,0)/BF$1,"")</f>
        <v>3.598834789846026</v>
      </c>
      <c r="BG15" s="67">
        <f>IFERROR(VLOOKUP($B15,RD[#All],BG$2,0)/BG$1,"")</f>
        <v>3.5389096962130671</v>
      </c>
      <c r="BH15" s="67">
        <f>IFERROR(VLOOKUP($B15,RD[#All],BH$2,0)/BH$1,"")</f>
        <v>3.5543071161048689</v>
      </c>
      <c r="BI15" s="67">
        <f>IFERROR(VLOOKUP($B15,RD[#All],BI$2,0)/BI$1,"")</f>
        <v>3.6354556803995006</v>
      </c>
      <c r="BJ15" s="67">
        <f>IFERROR(VLOOKUP($B15,RD[#All],BJ$2,0)/BJ$1,"")</f>
        <v>3.6820640865584684</v>
      </c>
      <c r="BK15" s="67">
        <f>IFERROR(VLOOKUP($B15,RD[#All],BK$2,0)/BK$1,"")</f>
        <v>3.6217228464419478</v>
      </c>
      <c r="BL15" s="67">
        <f>IFERROR(VLOOKUP($B15,RD[#All],BL$2,0)/BL$1,"")</f>
        <v>3.5530277684844433</v>
      </c>
      <c r="BM15" s="67">
        <f>IFERROR(VLOOKUP($B15,RD[#All],BM$2,0)/BM$1,"")</f>
        <v>3.5730337078651684</v>
      </c>
      <c r="BN15" s="67">
        <f>IFERROR(VLOOKUP($B15,RD[#All],BN$2,0)/BN$1,"")</f>
        <v>3.7659352142110762</v>
      </c>
      <c r="BO15" s="67">
        <f>IFERROR(VLOOKUP($B15,RD[#All],BO$2,0)/BO$1,"")</f>
        <v>3.567847882454624</v>
      </c>
      <c r="BP15" s="67">
        <f>IFERROR(VLOOKUP($B15,RD[#All],BP$2,0)/BP$1,"")</f>
        <v>3.6093344857389802</v>
      </c>
      <c r="BQ15" s="67">
        <f>IFERROR(VLOOKUP($B15,RD[#All],BQ$2,0)/BQ$1,"")</f>
        <v>3.6197061365600693</v>
      </c>
      <c r="BR15" s="67">
        <f>IFERROR(VLOOKUP($B15,RD[#All],BR$2,0)/BR$1,"")</f>
        <v>3.4848746758859117</v>
      </c>
      <c r="BS15" s="67">
        <f>IFERROR(VLOOKUP($B15,RD[#All],BS$2,0)/BS$1,"")</f>
        <v>3.5730337078651684</v>
      </c>
      <c r="BT15" s="67">
        <f>IFERROR(VLOOKUP($B15,RD[#All],BT$2,0)/BT$1,"")</f>
        <v>3.606741573033708</v>
      </c>
      <c r="BU15" s="67">
        <f>IFERROR(VLOOKUP($B15,RD[#All],BU$2,0)/BU$1,"")</f>
        <v>3.595505617977528</v>
      </c>
      <c r="BV15" s="67">
        <f>IFERROR(VLOOKUP($B15,RD[#All],BV$2,0)/BV$1,"")</f>
        <v>3.50561797752809</v>
      </c>
      <c r="BW15" s="67">
        <f>IFERROR(VLOOKUP($B15,RD[#All],BW$2,0)/BW$1,"")</f>
        <v>3.6329588014981273</v>
      </c>
      <c r="BX15" s="67">
        <f>IFERROR(VLOOKUP($B15,RD[#All],BX$2,0)/BX$1,"")</f>
        <v>3.5617977528089888</v>
      </c>
      <c r="BY15" s="67">
        <f>IFERROR(VLOOKUP($B15,RD[#All],BY$2,0)/BY$1,"")</f>
        <v>3.5422388680815646</v>
      </c>
      <c r="BZ15" s="67">
        <f>IFERROR(VLOOKUP($B15,RD[#All],BZ$2,0)/BZ$1,"")</f>
        <v>3.5788597586350397</v>
      </c>
      <c r="CA15" s="67">
        <f>IFERROR(VLOOKUP($B15,RD[#All],CA$2,0)/CA$1,"")</f>
        <v>3.598834789846026</v>
      </c>
      <c r="CB15" s="67">
        <f>IFERROR(VLOOKUP($B15,RD[#All],CB$2,0)/CB$1,"")</f>
        <v>3.5543071161048689</v>
      </c>
      <c r="CC15" s="67">
        <f>IFERROR(VLOOKUP($B15,RD[#All],CC$2,0)/CC$1,"")</f>
        <v>3.5730337078651684</v>
      </c>
      <c r="CD15" s="67">
        <f>IFERROR(VLOOKUP($B15,RD[#All],CD$2,0)/CD$1,"")</f>
        <v>3.6127917026793432</v>
      </c>
      <c r="CE15" s="67">
        <f>IFERROR(VLOOKUP($B15,RD[#All],CE$2,0)/CE$1,"")</f>
        <v>3.636704119850187</v>
      </c>
      <c r="CF15" s="67">
        <f>IFERROR(VLOOKUP($B15,RD[#All],CF$2,0)/CF$1,"")</f>
        <v>3.5318352059925093</v>
      </c>
      <c r="CG15" s="67">
        <f>IFERROR(VLOOKUP($B15,RD[#All],CG$2,0)/CG$1,"")</f>
        <v>3.6029962546816479</v>
      </c>
      <c r="CH15" s="67">
        <f>IFERROR(VLOOKUP($B15,RD[#All],CH$2,0)/CH$1,"")</f>
        <v>3.5580524344569286</v>
      </c>
      <c r="CI15" s="67">
        <f>IFERROR(VLOOKUP($B15,RD[#All],CI$2,0)/CI$1,"")</f>
        <v>3.4831460674157304</v>
      </c>
      <c r="CJ15" s="67">
        <f>IFERROR(VLOOKUP($B15,RD[#All],CJ$2,0)/CJ$1,"")</f>
        <v>3.5280898876404496</v>
      </c>
      <c r="CK15" s="67">
        <f>IFERROR(VLOOKUP($B15,RD[#All],CK$2,0)/CK$1,"")</f>
        <v>3.4719101123595504</v>
      </c>
      <c r="CL15" s="67">
        <f>IFERROR(VLOOKUP($B15,RD[#All],CL$2,0)/CL$1,"")</f>
        <v>3.5393258426966292</v>
      </c>
      <c r="CM15" s="67">
        <f>IFERROR(VLOOKUP($B15,RD[#All],CM$2,0)/CM$1,"")</f>
        <v>3.49438202247191</v>
      </c>
      <c r="CN15" s="67">
        <f>IFERROR(VLOOKUP($B15,RD[#All],CN$2,0)/CN$1,"")</f>
        <v>3.4794007490636703</v>
      </c>
      <c r="CO15" s="67">
        <f>IFERROR(VLOOKUP($B15,RD[#All],CO$2,0)/CO$1,"")</f>
        <v>3.4912359550561796</v>
      </c>
      <c r="CP15" s="67">
        <f>IFERROR(VLOOKUP($B15,RD[#All],CP$2,0)/CP$1,"")</f>
        <v>3.4917891097666378</v>
      </c>
      <c r="CQ15" s="67">
        <f>IFERROR(VLOOKUP($B15,RD[#All],CQ$2,0)/CQ$1,"")</f>
        <v>3.6104868913857677</v>
      </c>
      <c r="CR15" s="67">
        <f>IFERROR(VLOOKUP($B15,RD[#All],CR$2,0)/CR$1,"")</f>
        <v>3.5018726591760299</v>
      </c>
      <c r="CS15" s="67">
        <f>IFERROR(VLOOKUP($B15,RD[#All],CS$2,0)/CS$1,"")</f>
        <v>3.6188098210570119</v>
      </c>
      <c r="CT15" s="67">
        <f>IFERROR(VLOOKUP($B15,RD[#All],CT$2,0)/CT$1,"")</f>
        <v>3.5992509363295881</v>
      </c>
      <c r="CU15" s="67">
        <f>IFERROR(VLOOKUP($B15,RD[#All],CU$2,0)/CU$1,"")</f>
        <v>3.49438202247191</v>
      </c>
      <c r="CV15" s="67">
        <f>IFERROR(VLOOKUP($B15,RD[#All],CV$2,0)/CV$1,"")</f>
        <v>3.5692883895131087</v>
      </c>
      <c r="CW15" s="67">
        <f>IFERROR(VLOOKUP($B15,RD[#All],CW$2,0)/CW$1,"")</f>
        <v>3.5842696629213484</v>
      </c>
      <c r="CX15" s="67">
        <f>IFERROR(VLOOKUP($B15,RD[#All],CX$2,0)/CX$1,"")</f>
        <v>3.5543071161048689</v>
      </c>
      <c r="CY15" s="67">
        <f>IFERROR(VLOOKUP($B15,RD[#All],CY$2,0)/CY$1,"")</f>
        <v>3.5992509363295881</v>
      </c>
      <c r="CZ15" s="67">
        <f>IFERROR(VLOOKUP($B15,RD[#All],CZ$2,0)/CZ$1,"")</f>
        <v>3.5842696629213484</v>
      </c>
      <c r="DA15" s="67">
        <f>IFERROR(VLOOKUP($B15,RD[#All],DA$2,0)/DA$1,"")</f>
        <v>3.5468164794007491</v>
      </c>
      <c r="DB15" s="67">
        <f>IFERROR(VLOOKUP($B15,RD[#All],DB$2,0)/DB$1,"")</f>
        <v>3.5430711610486894</v>
      </c>
      <c r="DC15" s="67">
        <f>IFERROR(VLOOKUP($B15,RD[#All],DC$2,0)/DC$1,"")</f>
        <v>3.5522263836870578</v>
      </c>
      <c r="DD15" s="67">
        <f>IFERROR(VLOOKUP($B15,RD[#All],DD$2,0)/DD$1,"")</f>
        <v>3.5617977528089888</v>
      </c>
      <c r="DE15" s="67">
        <f>IFERROR(VLOOKUP($B15,RD[#All],DE$2,0)/DE$1,"")</f>
        <v>3.6088223054515187</v>
      </c>
      <c r="DF15" s="67">
        <f>IFERROR(VLOOKUP($B15,RD[#All],DF$2,0)/DF$1,"")</f>
        <v>3.4620274339243897</v>
      </c>
      <c r="DG15" s="67">
        <f>IFERROR(VLOOKUP($B15,RD[#All],DG$2,0)/DG$1,"")</f>
        <v>3.6254681647940075</v>
      </c>
      <c r="DH15" s="67">
        <f>IFERROR(VLOOKUP($B15,RD[#All],DH$2,0)/DH$1,"")</f>
        <v>3.6354556803995006</v>
      </c>
      <c r="DI15" s="67">
        <f>IFERROR(VLOOKUP($B15,RD[#All],DI$2,0)/DI$1,"")</f>
        <v>3.6231633535004319</v>
      </c>
      <c r="DJ15" s="67">
        <f>IFERROR(VLOOKUP($B15,RD[#All],DJ$2,0)/DJ$1,"")</f>
        <v>3.5401901469317201</v>
      </c>
      <c r="DK15" s="67">
        <f>IFERROR(VLOOKUP($B15,RD[#All],DK$2,0)/DK$1,"")</f>
        <v>3.4756554307116105</v>
      </c>
      <c r="DL15" s="67">
        <f>IFERROR(VLOOKUP($B15,RD[#All],DL$2,0)/DL$1,"")</f>
        <v>3.5122763212650852</v>
      </c>
      <c r="DM15" s="67">
        <f>IFERROR(VLOOKUP($B15,RD[#All],DM$2,0)/DM$1,"")</f>
        <v>3.5393258426966292</v>
      </c>
      <c r="DN15" s="67">
        <f>IFERROR(VLOOKUP($B15,RD[#All],DN$2,0)/DN$1,"")</f>
        <v>3.4794007490636703</v>
      </c>
      <c r="DO15" s="67">
        <f>IFERROR(VLOOKUP($B15,RD[#All],DO$2,0)/DO$1,"")</f>
        <v>3.4861157577785216</v>
      </c>
      <c r="DP15" s="67">
        <f>IFERROR(VLOOKUP($B15,RD[#All],DP$2,0)/DP$1,"")</f>
        <v>3.4756554307116105</v>
      </c>
      <c r="DQ15" s="67">
        <f>IFERROR(VLOOKUP($B15,RD[#All],DQ$2,0)/DQ$1,"")</f>
        <v>3.6387848522679982</v>
      </c>
      <c r="DR15" s="67">
        <f>IFERROR(VLOOKUP($B15,RD[#All],DR$2,0)/DR$1,"")</f>
        <v>3.6254681647940075</v>
      </c>
      <c r="DS15" s="67">
        <f>IFERROR(VLOOKUP($B15,RD[#All],DS$2,0)/DS$1,"")</f>
        <v>3.6591760299625467</v>
      </c>
      <c r="DT15" s="67">
        <f>IFERROR(VLOOKUP($B15,RD[#All],DT$2,0)/DT$1,"")</f>
        <v>3.379109446525177</v>
      </c>
      <c r="DU15" s="67">
        <f>IFERROR(VLOOKUP($B15,RD[#All],DU$2,0)/DU$1,"")</f>
        <v>3.4523512276321267</v>
      </c>
      <c r="DV15" s="67">
        <f>IFERROR(VLOOKUP($B15,RD[#All],DV$2,0)/DV$1,"")</f>
        <v>3.5842696629213484</v>
      </c>
      <c r="DW15" s="67">
        <f>IFERROR(VLOOKUP($B15,RD[#All],DW$2,0)/DW$1,"")</f>
        <v>3.6104868913857677</v>
      </c>
      <c r="DX15" s="67">
        <f>IFERROR(VLOOKUP($B15,RD[#All],DX$2,0)/DX$1,"")</f>
        <v>3.5089471493965876</v>
      </c>
      <c r="DY15" s="67">
        <f>IFERROR(VLOOKUP($B15,RD[#All],DY$2,0)/DY$1,"")</f>
        <v>3.49438202247191</v>
      </c>
      <c r="DZ15" s="67">
        <f>IFERROR(VLOOKUP($B15,RD[#All],DZ$2,0)/DZ$1,"")</f>
        <v>3.5318352059925093</v>
      </c>
      <c r="EA15" s="67">
        <f>IFERROR(VLOOKUP($B15,RD[#All],EA$2,0)/EA$1,"")</f>
        <v>3.5295880149812735</v>
      </c>
      <c r="EB15" s="67">
        <f>IFERROR(VLOOKUP($B15,RD[#All],EB$2,0)/EB$1,"")</f>
        <v>3.5645443196004996</v>
      </c>
      <c r="EC15" s="67">
        <f>IFERROR(VLOOKUP($B15,RD[#All],EC$2,0)/EC$1,"")</f>
        <v>3.536732929991357</v>
      </c>
      <c r="ED15" s="67">
        <f>IFERROR(VLOOKUP($B15,RD[#All],ED$2,0)/ED$1,"")</f>
        <v>3.5685393258426967</v>
      </c>
      <c r="EE15" s="67">
        <f>IFERROR(VLOOKUP($B15,RD[#All],EE$2,0)/EE$1,"")</f>
        <v>3.5961970613656007</v>
      </c>
      <c r="EF15" s="67">
        <f>IFERROR(VLOOKUP($B15,RD[#All],EF$2,0)/EF$1,"")</f>
        <v>3.5015321756894791</v>
      </c>
      <c r="EG15" s="67">
        <f>IFERROR(VLOOKUP($B15,RD[#All],EG$2,0)/EG$1,"")</f>
        <v>3.5</v>
      </c>
      <c r="EH15" s="67">
        <f>IFERROR(VLOOKUP($B15,RD[#All],EH$2,0)/EH$1,"")</f>
        <v>3.540909090909091</v>
      </c>
      <c r="EI15" s="67">
        <f>IFERROR(VLOOKUP($B15,RD[#All],EI$2,0)/EI$1,"")</f>
        <v>3.4755244755244754</v>
      </c>
      <c r="EJ15" s="67">
        <f>IFERROR(VLOOKUP($B15,RD[#All],EJ$2,0)/EJ$1,"")</f>
        <v>3.5944055944055946</v>
      </c>
      <c r="EK15" s="67">
        <f>IFERROR(VLOOKUP($B15,RD[#All],EK$2,0)/EK$1,"")</f>
        <v>3.5451685393258425</v>
      </c>
      <c r="EL15" s="67">
        <f>IFERROR(VLOOKUP($B15,RD[#All],EL$2,0)/EL$1,"")</f>
        <v>3.5655430711610485</v>
      </c>
      <c r="EM15" s="67">
        <f>IFERROR(VLOOKUP($B15,RD[#All],EM$2,0)/EM$1,"")</f>
        <v>3.4883318928262748</v>
      </c>
      <c r="EN15" s="67">
        <f>IFERROR(VLOOKUP($B15,RD[#All],EN$2,0)/EN$1,"")</f>
        <v>3.5388072601555747</v>
      </c>
      <c r="EO15" s="67">
        <f>IFERROR(VLOOKUP($B15,RD[#All],EO$2,0)/EO$1,"")</f>
        <v>3.5902621722846444</v>
      </c>
      <c r="EP15" s="67">
        <f>IFERROR(VLOOKUP($B15,RD[#All],EP$2,0)/EP$1,"")</f>
        <v>3.567847882454624</v>
      </c>
      <c r="EQ15" s="67">
        <f>IFERROR(VLOOKUP($B15,RD[#All],EQ$2,0)/EQ$1,"")</f>
        <v>3.4666666666666668</v>
      </c>
      <c r="ER15" s="67">
        <f>IFERROR(VLOOKUP($B15,RD[#All],ER$2,0)/ER$1,"")</f>
        <v>3.5906655142610195</v>
      </c>
      <c r="ES15" s="67">
        <f>IFERROR(VLOOKUP($B15,RD[#All],ES$2,0)/ES$1,"")</f>
        <v>3.6</v>
      </c>
      <c r="ET15" s="67">
        <f>IFERROR(VLOOKUP($B15,RD[#All],ET$2,0)/ET$1,"")</f>
        <v>3.3544433094994894</v>
      </c>
      <c r="EU15" s="67">
        <f>IFERROR(VLOOKUP($B15,RD[#All],EU$2,0)/EU$1,"")</f>
        <v>3.5339671564390667</v>
      </c>
      <c r="EV15" s="67">
        <f>IFERROR(VLOOKUP($B15,RD[#All],EV$2,0)/EV$1,"")</f>
        <v>3.5747623163353501</v>
      </c>
      <c r="EW15" s="67">
        <f>IFERROR(VLOOKUP($B15,RD[#All],EW$2,0)/EW$1,"")</f>
        <v>3.564390665514261</v>
      </c>
      <c r="EX15" s="67">
        <f>IFERROR(VLOOKUP($B15,RD[#All],EX$2,0)/EX$1,"")</f>
        <v>3.5692883895131087</v>
      </c>
      <c r="EY15" s="67">
        <f>IFERROR(VLOOKUP($B15,RD[#All],EY$2,0)/EY$1,"")</f>
        <v>3.5688722430295465</v>
      </c>
      <c r="EZ15" s="67">
        <f>IFERROR(VLOOKUP($B15,RD[#All],EZ$2,0)/EZ$1,"")</f>
        <v>3.5842696629213484</v>
      </c>
      <c r="FA15" s="67">
        <f>IFERROR(VLOOKUP($B15,RD[#All],FA$2,0)/FA$1,"")</f>
        <v>3.5617977528089888</v>
      </c>
      <c r="FB15" s="67">
        <f>IFERROR(VLOOKUP($B15,RD[#All],FB$2,0)/FB$1,"")</f>
        <v>3.5318352059925093</v>
      </c>
      <c r="FC15" s="67">
        <f>IFERROR(VLOOKUP($B15,RD[#All],FC$2,0)/FC$1,"")</f>
        <v>3.5430711610486894</v>
      </c>
      <c r="FD15" s="67">
        <f>IFERROR(VLOOKUP($B15,RD[#All],FD$2,0)/FD$1,"")</f>
        <v>3.5168539325842696</v>
      </c>
      <c r="FE15" s="67">
        <f>IFERROR(VLOOKUP($B15,RD[#All],FE$2,0)/FE$1,"")</f>
        <v>3.5719696969696968</v>
      </c>
      <c r="FF15" s="67">
        <f>IFERROR(VLOOKUP($B15,RD[#All],FF$2,0)/FF$1,"")</f>
        <v>3.5151515151515151</v>
      </c>
      <c r="FG15" s="67">
        <f>IFERROR(VLOOKUP($B15,RD[#All],FG$2,0)/FG$1,"")</f>
        <v>3.5185185185185186</v>
      </c>
      <c r="FH15" s="67">
        <f>IFERROR(VLOOKUP($B15,RD[#All],FH$2,0)/FH$1,"")</f>
        <v>3.5378787878787881</v>
      </c>
      <c r="FI15" s="67">
        <f>IFERROR(VLOOKUP($B15,RD[#All],FI$2,0)/FI$1,"")</f>
        <v>3.5555555555555554</v>
      </c>
      <c r="FJ15" s="67">
        <f>IFERROR(VLOOKUP($B15,RD[#All],FJ$2,0)/FJ$1,"")</f>
        <v>3.1616161616161618</v>
      </c>
      <c r="FK15" s="67">
        <f>IFERROR(VLOOKUP($B15,RD[#All],FK$2,0)/FK$1,"")</f>
        <v>3.5723905723905722</v>
      </c>
      <c r="FL15" s="67">
        <f>IFERROR(VLOOKUP($B15,RD[#All],FL$2,0)/FL$1,"")</f>
        <v>3.5090909090909093</v>
      </c>
      <c r="FM15" s="67">
        <f>IFERROR(VLOOKUP($B15,RD[#All],FM$2,0)/FM$1,"")</f>
        <v>3.0227272727272729</v>
      </c>
      <c r="FN15" s="67">
        <f>IFERROR(VLOOKUP($B15,RD[#All],FN$2,0)/FN$1,"")</f>
        <v>3.0235690235690234</v>
      </c>
      <c r="FO15" s="67">
        <f>IFERROR(VLOOKUP($B15,RD[#All],FO$2,0)/FO$1,"")</f>
        <v>3.4962121212121211</v>
      </c>
      <c r="FP15" s="67">
        <f>IFERROR(VLOOKUP($B15,RD[#All],FP$2,0)/FP$1,"")</f>
        <v>3.5236363636363635</v>
      </c>
      <c r="FQ15" s="67">
        <f>IFERROR(VLOOKUP($B15,RD[#All],FQ$2,0)/FQ$1,"")</f>
        <v>3.5927272727272728</v>
      </c>
      <c r="FR15" s="67">
        <f>IFERROR(VLOOKUP($B15,RD[#All],FR$2,0)/FR$1,"")</f>
        <v>3.5163636363636366</v>
      </c>
      <c r="FS15" s="67">
        <f>IFERROR(VLOOKUP($B15,RD[#All],FS$2,0)/FS$1,"")</f>
        <v>3.5185185185185186</v>
      </c>
      <c r="FT15" s="67">
        <f>IFERROR(VLOOKUP($B15,RD[#All],FT$2,0)/FT$1,"")</f>
        <v>3.4872727272727273</v>
      </c>
      <c r="FU15" s="67">
        <f>IFERROR(VLOOKUP($B15,RD[#All],FU$2,0)/FU$1,"")</f>
        <v>3.4781144781144779</v>
      </c>
      <c r="FV15" s="67">
        <f>IFERROR(VLOOKUP($B15,RD[#All],FV$2,0)/FV$1,"")</f>
        <v>3.4962121212121211</v>
      </c>
      <c r="FW15" s="67">
        <f>IFERROR(VLOOKUP($B15,RD[#All],FW$2,0)/FW$1,"")</f>
        <v>3.481060606060606</v>
      </c>
      <c r="FX15" s="67">
        <f>IFERROR(VLOOKUP($B15,RD[#All],FX$2,0)/FX$1,"")</f>
        <v>3.481060606060606</v>
      </c>
      <c r="FY15" s="67">
        <f>IFERROR(VLOOKUP($B15,RD[#All],FY$2,0)/FY$1,"")</f>
        <v>3.4814814814814814</v>
      </c>
      <c r="FZ15" s="67">
        <f>IFERROR(VLOOKUP($B15,RD[#All],FZ$2,0)/FZ$1,"")</f>
        <v>3.5</v>
      </c>
      <c r="GA15" s="67">
        <f>IFERROR(VLOOKUP($B15,RD[#All],GA$2,0)/GA$1,"")</f>
        <v>3.5314685314685317</v>
      </c>
      <c r="GB15" s="67">
        <f>IFERROR(VLOOKUP($B15,RD[#All],GB$2,0)/GB$1,"")</f>
        <v>3.4814814814814814</v>
      </c>
      <c r="GC15" s="67">
        <f>IFERROR(VLOOKUP($B15,RD[#All],GC$2,0)/GC$1,"")</f>
        <v>3.4713804713804715</v>
      </c>
      <c r="GD15" s="67">
        <f>IFERROR(VLOOKUP($B15,RD[#All],GD$2,0)/GD$1,"")</f>
        <v>3.5963636363636362</v>
      </c>
      <c r="GE15" s="67">
        <f>IFERROR(VLOOKUP($B15,RD[#All],GE$2,0)/GE$1,"")</f>
        <v>3.4895104895104896</v>
      </c>
      <c r="GF15" s="67">
        <f>IFERROR(VLOOKUP($B15,RD[#All],GF$2,0)/GF$1,"")</f>
        <v>3.4781144781144779</v>
      </c>
      <c r="GG15" s="67">
        <f>IFERROR(VLOOKUP($B15,RD[#All],GG$2,0)/GG$1,"")</f>
        <v>3.541818181818182</v>
      </c>
      <c r="GH15" s="67">
        <f>IFERROR(VLOOKUP($B15,RD[#All],GH$2,0)/GH$1,"")</f>
        <v>3.5090909090909093</v>
      </c>
      <c r="GI15" s="67">
        <f>IFERROR(VLOOKUP($B15,RD[#All],GI$2,0)/GI$1,"")</f>
        <v>3.6</v>
      </c>
      <c r="GJ15" s="67">
        <f>IFERROR(VLOOKUP($B15,RD[#All],GJ$2,0)/GJ$1,"")</f>
        <v>3.4825174825174825</v>
      </c>
      <c r="GK15" s="67">
        <f>IFERROR(VLOOKUP($B15,RD[#All],GK$2,0)/GK$1,"")</f>
        <v>3.5303030303030303</v>
      </c>
      <c r="GL15" s="67">
        <f>IFERROR(VLOOKUP($B15,RD[#All],GL$2,0)/GL$1,"")</f>
        <v>3.5378787878787881</v>
      </c>
      <c r="GM15" s="67">
        <f>IFERROR(VLOOKUP($B15,RD[#All],GM$2,0)/GM$1,"")</f>
        <v>3.5378787878787881</v>
      </c>
      <c r="GN15" s="67">
        <f>IFERROR(VLOOKUP($B15,RD[#All],GN$2,0)/GN$1,"")</f>
        <v>3.5113636363636362</v>
      </c>
      <c r="GO15" s="67">
        <f>IFERROR(VLOOKUP($B15,RD[#All],GO$2,0)/GO$1,"")</f>
        <v>3.5416666666666665</v>
      </c>
      <c r="GP15" s="67">
        <f>IFERROR(VLOOKUP($B15,RD[#All],GP$2,0)/GP$1,"")</f>
        <v>3.5795454545454546</v>
      </c>
      <c r="GQ15" s="67">
        <f>IFERROR(VLOOKUP($B15,RD[#All],GQ$2,0)/GQ$1,"")</f>
        <v>3.6045454545454545</v>
      </c>
      <c r="GR15" s="67">
        <f>IFERROR(VLOOKUP($B15,RD[#All],GR$2,0)/GR$1,"")</f>
        <v>3.5833333333333335</v>
      </c>
      <c r="GS15" s="67" t="str">
        <f>IFERROR(VLOOKUP($B15,RD[#All],GS$2,0)/GS$1,"")</f>
        <v/>
      </c>
      <c r="GT15" s="67" t="str">
        <f>IFERROR(VLOOKUP($B15,RD[#All],GT$2,0)/GT$1,"")</f>
        <v/>
      </c>
      <c r="GU15" s="67">
        <f>IFERROR(VLOOKUP($B15,RD[#All],GU$2,0)/GU$1,"")</f>
        <v>3.812664907651715</v>
      </c>
      <c r="GV15" s="67">
        <f>IFERROR(VLOOKUP($B15,RD[#All],GV$2,0)/GV$1,"")</f>
        <v>3.6091410559495669</v>
      </c>
      <c r="GW15" s="67">
        <f>IFERROR(VLOOKUP($B15,RD[#All],GW$2,0)/GW$1,"")</f>
        <v>3.5661492978566147</v>
      </c>
      <c r="GX15" s="67" t="str">
        <f>IFERROR(VLOOKUP($B15,RD[#All],GX$2,0)/GX$1,"")</f>
        <v/>
      </c>
      <c r="GY15" s="67">
        <f>IFERROR(VLOOKUP($B15,RD[#All],GY$2,0)/GY$1,"")</f>
        <v>3.5372522214627473</v>
      </c>
      <c r="GZ15" s="67">
        <f>IFERROR(VLOOKUP($B15,RD[#All],GZ$2,0)/GZ$1,"")</f>
        <v>3.4981273408239701</v>
      </c>
      <c r="HA15" s="67">
        <f>IFERROR(VLOOKUP($B15,RD[#All],HA$2,0)/HA$1,"")</f>
        <v>3.4868913857677901</v>
      </c>
      <c r="HB15" s="67">
        <f>IFERROR(VLOOKUP($B15,RD[#All],HB$2,0)/HB$1,"")</f>
        <v>3.4868913857677901</v>
      </c>
      <c r="HC15" s="67">
        <f>IFERROR(VLOOKUP($B15,RD[#All],HC$2,0)/HC$1,"")</f>
        <v>3.5430711610486894</v>
      </c>
      <c r="HD15" s="67">
        <f>IFERROR(VLOOKUP($B15,RD[#All],HD$2,0)/HD$1,"")</f>
        <v>3.5992509363295881</v>
      </c>
      <c r="HE15" s="67">
        <f>IFERROR(VLOOKUP($B15,RD[#All],HE$2,0)/HE$1,"")</f>
        <v>3.5805243445692883</v>
      </c>
      <c r="HF15" s="67">
        <f>IFERROR(VLOOKUP($B15,RD[#All],HF$2,0)/HF$1,"")</f>
        <v>3.5692883895131087</v>
      </c>
      <c r="HG15" s="67">
        <f>IFERROR(VLOOKUP($B15,RD[#All],HG$2,0)/HG$1,"")</f>
        <v>3.6104868913857677</v>
      </c>
      <c r="HH15" s="67">
        <f>IFERROR(VLOOKUP($B15,RD[#All],HH$2,0)/HH$1,"")</f>
        <v>3.5018726591760299</v>
      </c>
      <c r="HI15" s="67">
        <f>IFERROR(VLOOKUP($B15,RD[#All],HI$2,0)/HI$1,"")</f>
        <v>3.6104868913857677</v>
      </c>
      <c r="HJ15" s="67">
        <f>IFERROR(VLOOKUP($B15,RD[#All],HJ$2,0)/HJ$1,"")</f>
        <v>3.5655430711610485</v>
      </c>
      <c r="HK15" s="67">
        <f>IFERROR(VLOOKUP($B15,RD[#All],HK$2,0)/HK$1,"")</f>
        <v>3.4923012900540988</v>
      </c>
      <c r="HL15" s="67">
        <f>IFERROR(VLOOKUP($B15,RD[#All],HL$2,0)/HL$1,"")</f>
        <v>3.6188098210570119</v>
      </c>
      <c r="HM15" s="67">
        <f>IFERROR(VLOOKUP($B15,RD[#All],HM$2,0)/HM$1,"")</f>
        <v>3.7214509628302728</v>
      </c>
      <c r="HN15" s="67">
        <f>IFERROR(VLOOKUP($B15,RD[#All],HN$2,0)/HN$1,"")</f>
        <v>3.694581280788177</v>
      </c>
      <c r="HO15" s="67">
        <f>IFERROR(VLOOKUP($B15,RD[#All],HO$2,0)/HO$1,"")</f>
        <v>3.6624869383490073</v>
      </c>
      <c r="HP15" s="67">
        <f>IFERROR(VLOOKUP($B15,RD[#All],HP$2,0)/HP$1,"")</f>
        <v>3.6990595611285269</v>
      </c>
      <c r="HQ15" s="67">
        <f>IFERROR(VLOOKUP($B15,RD[#All],HQ$2,0)/HQ$1,"")</f>
        <v>3.5016835016835017</v>
      </c>
      <c r="HR15" s="67">
        <f>IFERROR(VLOOKUP($B15,RD[#All],HR$2,0)/HR$1,"")</f>
        <v>3.5654712260216845</v>
      </c>
      <c r="HS15" s="67">
        <f>IFERROR(VLOOKUP($B15,RD[#All],HS$2,0)/HS$1,"")</f>
        <v>3.6674157303370785</v>
      </c>
      <c r="HT15" s="67">
        <f>IFERROR(VLOOKUP($B15,RD[#All],HT$2,0)/HT$1,"")</f>
        <v>3.5488972118185602</v>
      </c>
      <c r="HU15" s="67">
        <f>IFERROR(VLOOKUP($B15,RD[#All],HU$2,0)/HU$1,"")</f>
        <v>3.567847882454624</v>
      </c>
      <c r="HV15" s="67">
        <f>IFERROR(VLOOKUP($B15,RD[#All],HV$2,0)/HV$1,"")</f>
        <v>3.5851339671564393</v>
      </c>
      <c r="HW15" s="67">
        <f>IFERROR(VLOOKUP($B15,RD[#All],HW$2,0)/HW$1,"")</f>
        <v>3.602696629213483</v>
      </c>
      <c r="HX15" s="67">
        <f>IFERROR(VLOOKUP($B15,RD[#All],HX$2,0)/HX$1,"")</f>
        <v>3.5436473638720831</v>
      </c>
      <c r="HY15" s="67">
        <f>IFERROR(VLOOKUP($B15,RD[#All],HY$2,0)/HY$1,"")</f>
        <v>3.5455680399500622</v>
      </c>
      <c r="HZ15" s="67">
        <f>IFERROR(VLOOKUP($B15,RD[#All],HZ$2,0)/HZ$1,"")</f>
        <v>3.6121514773200167</v>
      </c>
      <c r="IA15" s="67">
        <f>IFERROR(VLOOKUP($B15,RD[#All],IA$2,0)/IA$1,"")</f>
        <v>3.5003885003885009</v>
      </c>
      <c r="IB15" s="67">
        <f>IFERROR(VLOOKUP($B15,RD[#All],IB$2,0)/IB$1,"")</f>
        <v>3.5353535353535355</v>
      </c>
      <c r="IC15" s="67">
        <f>IFERROR(VLOOKUP($B15,RD[#All],IC$2,0)/IC$1,"")</f>
        <v>3.5003885003885009</v>
      </c>
      <c r="ID15" s="67">
        <f>IFERROR(VLOOKUP($B15,RD[#All],ID$2,0)/ID$1,"")</f>
        <v>3.4979423868312756</v>
      </c>
      <c r="IE15" s="67">
        <f>IFERROR(VLOOKUP($B15,RD[#All],IE$2,0)/IE$1,"")</f>
        <v>3.4909090909090907</v>
      </c>
      <c r="IF15" s="67" t="str">
        <f>IFERROR(VLOOKUP($B15,RD[#All],IF$2,0)/IF$1,"")</f>
        <v/>
      </c>
      <c r="IG15" s="67">
        <f>IFERROR(VLOOKUP($B15,RD[#All],IG$2,0)/IG$1,"")</f>
        <v>3.6852533257854514</v>
      </c>
      <c r="IH15" s="67">
        <f>IFERROR(VLOOKUP($B15,RD[#All],IH$2,0)/IH$1,"")</f>
        <v>3.4970393591083244</v>
      </c>
      <c r="II15" s="67">
        <f>IFERROR(VLOOKUP($B15,RD[#All],II$2,0)/II$1,"")</f>
        <v>3.5422885572139302</v>
      </c>
      <c r="IJ15" s="67">
        <f>IFERROR(VLOOKUP($B15,RD[#All],IJ$2,0)/IJ$1,"")</f>
        <v>3.4942012719790494</v>
      </c>
      <c r="IK15" s="67">
        <f>IFERROR(VLOOKUP($B15,RD[#All],IK$2,0)/IK$1,"")</f>
        <v>3.5003885003885009</v>
      </c>
      <c r="IL15" s="67" t="str">
        <f>IFERROR(VLOOKUP($B15,RD[#All],IL$2,0)/IL$1,"")</f>
        <v/>
      </c>
      <c r="IM15" s="67" t="str">
        <f>IFERROR(VLOOKUP($B15,RD[#All],IM$2,0)/IM$1,"")</f>
        <v/>
      </c>
      <c r="IN15" s="67">
        <f>IFERROR(VLOOKUP($B15,RD[#All],IN$2,0)/IN$1,"")</f>
        <v>3.6572622779519333</v>
      </c>
      <c r="IO15" s="67">
        <f>IFERROR(VLOOKUP($B15,RD[#All],IO$2,0)/IO$1,"")</f>
        <v>3.7460815047021945</v>
      </c>
      <c r="IP15" s="67">
        <f>IFERROR(VLOOKUP($B15,RD[#All],IP$2,0)/IP$1,"")</f>
        <v>4.1016728220725609</v>
      </c>
      <c r="IQ15" s="67">
        <f>IFERROR(VLOOKUP($B15,RD[#All],IQ$2,0)/IQ$1,"")</f>
        <v>3.4848484848484853</v>
      </c>
      <c r="IR15" s="67">
        <f>IFERROR(VLOOKUP($B15,RD[#All],IR$2,0)/IR$1,"")</f>
        <v>3.4908789386401327</v>
      </c>
      <c r="IS15" s="86">
        <f>IFERROR(AVERAGEIF(Inv_SY_B[[#This Row],[BLK1_INV1]:[BLK8_INV27]],"&gt;"&amp;0.1,Inv_SY_B[[#This Row],[BLK1_INV1]:[BLK8_INV27]]),"")</f>
        <v>3.5575171446891409</v>
      </c>
    </row>
    <row r="16" spans="2:253" x14ac:dyDescent="0.25">
      <c r="B16" s="85">
        <f t="shared" si="0"/>
        <v>45842</v>
      </c>
      <c r="C16" s="67">
        <f>IFERROR(VLOOKUP($B16,RD[#All],C$2,0)/C$1,"")</f>
        <v>3.2981849611063092</v>
      </c>
      <c r="D16" s="67">
        <f>IFERROR(VLOOKUP($B16,RD[#All],D$2,0)/D$1,"")</f>
        <v>3.3223854796888506</v>
      </c>
      <c r="E16" s="67">
        <f>IFERROR(VLOOKUP($B16,RD[#All],E$2,0)/E$1,"")</f>
        <v>3.2808988764044944</v>
      </c>
      <c r="F16" s="67">
        <f>IFERROR(VLOOKUP($B16,RD[#All],F$2,0)/F$1,"")</f>
        <v>3.3258426966292136</v>
      </c>
      <c r="G16" s="67">
        <f>IFERROR(VLOOKUP($B16,RD[#All],G$2,0)/G$1,"")</f>
        <v>3.2981849611063092</v>
      </c>
      <c r="H16" s="67">
        <f>IFERROR(VLOOKUP($B16,RD[#All],H$2,0)/H$1,"")</f>
        <v>3.2996254681647939</v>
      </c>
      <c r="I16" s="67">
        <f>IFERROR(VLOOKUP($B16,RD[#All],I$2,0)/I$1,"")</f>
        <v>3.3146067415730336</v>
      </c>
      <c r="J16" s="67">
        <f>IFERROR(VLOOKUP($B16,RD[#All],J$2,0)/J$1,"")</f>
        <v>3.3071161048689137</v>
      </c>
      <c r="K16" s="67">
        <f>IFERROR(VLOOKUP($B16,RD[#All],K$2,0)/K$1,"")</f>
        <v>3.2035955056179777</v>
      </c>
      <c r="L16" s="67">
        <f>IFERROR(VLOOKUP($B16,RD[#All],L$2,0)/L$1,"")</f>
        <v>3.2395505617977527</v>
      </c>
      <c r="M16" s="67">
        <f>IFERROR(VLOOKUP($B16,RD[#All],M$2,0)/M$1,"")</f>
        <v>3.2659176029962547</v>
      </c>
      <c r="N16" s="67">
        <f>IFERROR(VLOOKUP($B16,RD[#All],N$2,0)/N$1,"")</f>
        <v>3.2771535580524342</v>
      </c>
      <c r="O16" s="67">
        <f>IFERROR(VLOOKUP($B16,RD[#All],O$2,0)/O$1,"")</f>
        <v>3.2782771535580522</v>
      </c>
      <c r="P16" s="67">
        <f>IFERROR(VLOOKUP($B16,RD[#All],P$2,0)/P$1,"")</f>
        <v>3.2727272727272729</v>
      </c>
      <c r="Q16" s="67">
        <f>IFERROR(VLOOKUP($B16,RD[#All],Q$2,0)/Q$1,"")</f>
        <v>3.2209737827715355</v>
      </c>
      <c r="R16" s="67">
        <f>IFERROR(VLOOKUP($B16,RD[#All],R$2,0)/R$1,"")</f>
        <v>3.2434456928838951</v>
      </c>
      <c r="S16" s="67">
        <f>IFERROR(VLOOKUP($B16,RD[#All],S$2,0)/S$1,"")</f>
        <v>3.292134831460674</v>
      </c>
      <c r="T16" s="67">
        <f>IFERROR(VLOOKUP($B16,RD[#All],T$2,0)/T$1,"")</f>
        <v>3.3333333333333335</v>
      </c>
      <c r="U16" s="67">
        <f>IFERROR(VLOOKUP($B16,RD[#All],U$2,0)/U$1,"")</f>
        <v>3.2912705272255836</v>
      </c>
      <c r="V16" s="67">
        <f>IFERROR(VLOOKUP($B16,RD[#All],V$2,0)/V$1,"")</f>
        <v>3.2808988764044944</v>
      </c>
      <c r="W16" s="67">
        <f>IFERROR(VLOOKUP($B16,RD[#All],W$2,0)/W$1,"")</f>
        <v>3.303370786516854</v>
      </c>
      <c r="X16" s="67">
        <f>IFERROR(VLOOKUP($B16,RD[#All],X$2,0)/X$1,"")</f>
        <v>3.2734082397003745</v>
      </c>
      <c r="Y16" s="67">
        <f>IFERROR(VLOOKUP($B16,RD[#All],Y$2,0)/Y$1,"")</f>
        <v>3.3362143474503023</v>
      </c>
      <c r="Z16" s="67">
        <f>IFERROR(VLOOKUP($B16,RD[#All],Z$2,0)/Z$1,"")</f>
        <v>3.3691219309196838</v>
      </c>
      <c r="AA16" s="67">
        <f>IFERROR(VLOOKUP($B16,RD[#All],AA$2,0)/AA$1,"")</f>
        <v>3.3396715643906654</v>
      </c>
      <c r="AB16" s="67">
        <f>IFERROR(VLOOKUP($B16,RD[#All],AB$2,0)/AB$1,"")</f>
        <v>3.3811581676750215</v>
      </c>
      <c r="AC16" s="67">
        <f>IFERROR(VLOOKUP($B16,RD[#All],AC$2,0)/AC$1,"")</f>
        <v>3.3569576490924806</v>
      </c>
      <c r="AD16" s="67">
        <f>IFERROR(VLOOKUP($B16,RD[#All],AD$2,0)/AD$1,"")</f>
        <v>3.2958801498127341</v>
      </c>
      <c r="AE16" s="67">
        <f>IFERROR(VLOOKUP($B16,RD[#All],AE$2,0)/AE$1,"")</f>
        <v>3.3677902621722846</v>
      </c>
      <c r="AF16" s="67">
        <f>IFERROR(VLOOKUP($B16,RD[#All],AF$2,0)/AF$1,"")</f>
        <v>3.2236371202663334</v>
      </c>
      <c r="AG16" s="67">
        <f>IFERROR(VLOOKUP($B16,RD[#All],AG$2,0)/AG$1,"")</f>
        <v>3.3025384935497297</v>
      </c>
      <c r="AH16" s="67">
        <f>IFERROR(VLOOKUP($B16,RD[#All],AH$2,0)/AH$1,"")</f>
        <v>3.3158551810237205</v>
      </c>
      <c r="AI16" s="67">
        <f>IFERROR(VLOOKUP($B16,RD[#All],AI$2,0)/AI$1,"")</f>
        <v>3.2606132075471699</v>
      </c>
      <c r="AJ16" s="67">
        <f>IFERROR(VLOOKUP($B16,RD[#All],AJ$2,0)/AJ$1,"")</f>
        <v>3.2909878941862201</v>
      </c>
      <c r="AK16" s="67">
        <f>IFERROR(VLOOKUP($B16,RD[#All],AK$2,0)/AK$1,"")</f>
        <v>3.2168539325842698</v>
      </c>
      <c r="AL16" s="67">
        <f>IFERROR(VLOOKUP($B16,RD[#All],AL$2,0)/AL$1,"")</f>
        <v>3.1927065908330547</v>
      </c>
      <c r="AM16" s="67">
        <f>IFERROR(VLOOKUP($B16,RD[#All],AM$2,0)/AM$1,"")</f>
        <v>3</v>
      </c>
      <c r="AN16" s="67">
        <f>IFERROR(VLOOKUP($B16,RD[#All],AN$2,0)/AN$1,"")</f>
        <v>3.262172284644195</v>
      </c>
      <c r="AO16" s="67">
        <f>IFERROR(VLOOKUP($B16,RD[#All],AO$2,0)/AO$1,"")</f>
        <v>3.1876404494382022</v>
      </c>
      <c r="AP16" s="67">
        <f>IFERROR(VLOOKUP($B16,RD[#All],AP$2,0)/AP$1,"")</f>
        <v>3.3116104868913858</v>
      </c>
      <c r="AQ16" s="67">
        <f>IFERROR(VLOOKUP($B16,RD[#All],AQ$2,0)/AQ$1,"")</f>
        <v>3.2471910112359552</v>
      </c>
      <c r="AR16" s="67">
        <f>IFERROR(VLOOKUP($B16,RD[#All],AR$2,0)/AR$1,"")</f>
        <v>3.2808988764044944</v>
      </c>
      <c r="AS16" s="67">
        <f>IFERROR(VLOOKUP($B16,RD[#All],AS$2,0)/AS$1,"")</f>
        <v>3.1925093632958799</v>
      </c>
      <c r="AT16" s="67">
        <f>IFERROR(VLOOKUP($B16,RD[#All],AT$2,0)/AT$1,"")</f>
        <v>3.2056179775280897</v>
      </c>
      <c r="AU16" s="67">
        <f>IFERROR(VLOOKUP($B16,RD[#All],AU$2,0)/AU$1,"")</f>
        <v>3.2441947565543074</v>
      </c>
      <c r="AV16" s="67">
        <f>IFERROR(VLOOKUP($B16,RD[#All],AV$2,0)/AV$1,"")</f>
        <v>3.2827715355805243</v>
      </c>
      <c r="AW16" s="67">
        <f>IFERROR(VLOOKUP($B16,RD[#All],AW$2,0)/AW$1,"")</f>
        <v>3.3006050129645637</v>
      </c>
      <c r="AX16" s="67">
        <f>IFERROR(VLOOKUP($B16,RD[#All],AX$2,0)/AX$1,"")</f>
        <v>3.2689138576779024</v>
      </c>
      <c r="AY16" s="67">
        <f>IFERROR(VLOOKUP($B16,RD[#All],AY$2,0)/AY$1,"")</f>
        <v>3.2722696629213486</v>
      </c>
      <c r="AZ16" s="67">
        <f>IFERROR(VLOOKUP($B16,RD[#All],AZ$2,0)/AZ$1,"")</f>
        <v>3.2251685393258427</v>
      </c>
      <c r="BA16" s="67">
        <f>IFERROR(VLOOKUP($B16,RD[#All],BA$2,0)/BA$1,"")</f>
        <v>3.3157303370786515</v>
      </c>
      <c r="BB16" s="67">
        <f>IFERROR(VLOOKUP($B16,RD[#All],BB$2,0)/BB$1,"")</f>
        <v>3.3299625468164793</v>
      </c>
      <c r="BC16" s="67">
        <f>IFERROR(VLOOKUP($B16,RD[#All],BC$2,0)/BC$1,"")</f>
        <v>3.3058676654182273</v>
      </c>
      <c r="BD16" s="67">
        <f>IFERROR(VLOOKUP($B16,RD[#All],BD$2,0)/BD$1,"")</f>
        <v>3.3268414481897626</v>
      </c>
      <c r="BE16" s="67">
        <f>IFERROR(VLOOKUP($B16,RD[#All],BE$2,0)/BE$1,"")</f>
        <v>3.2276577355229041</v>
      </c>
      <c r="BF16" s="67">
        <f>IFERROR(VLOOKUP($B16,RD[#All],BF$2,0)/BF$1,"")</f>
        <v>3.2958801498127341</v>
      </c>
      <c r="BG16" s="67">
        <f>IFERROR(VLOOKUP($B16,RD[#All],BG$2,0)/BG$1,"")</f>
        <v>3.1826883062838118</v>
      </c>
      <c r="BH16" s="67">
        <f>IFERROR(VLOOKUP($B16,RD[#All],BH$2,0)/BH$1,"")</f>
        <v>3.2172284644194757</v>
      </c>
      <c r="BI16" s="67">
        <f>IFERROR(VLOOKUP($B16,RD[#All],BI$2,0)/BI$1,"")</f>
        <v>3.3534748231377445</v>
      </c>
      <c r="BJ16" s="67">
        <f>IFERROR(VLOOKUP($B16,RD[#All],BJ$2,0)/BJ$1,"")</f>
        <v>3.3125260091552224</v>
      </c>
      <c r="BK16" s="67">
        <f>IFERROR(VLOOKUP($B16,RD[#All],BK$2,0)/BK$1,"")</f>
        <v>3.2996254681647939</v>
      </c>
      <c r="BL16" s="67">
        <f>IFERROR(VLOOKUP($B16,RD[#All],BL$2,0)/BL$1,"")</f>
        <v>3.2285045165607227</v>
      </c>
      <c r="BM16" s="67">
        <f>IFERROR(VLOOKUP($B16,RD[#All],BM$2,0)/BM$1,"")</f>
        <v>3.2059925093632957</v>
      </c>
      <c r="BN16" s="67">
        <f>IFERROR(VLOOKUP($B16,RD[#All],BN$2,0)/BN$1,"")</f>
        <v>3.4190177638453498</v>
      </c>
      <c r="BO16" s="67">
        <f>IFERROR(VLOOKUP($B16,RD[#All],BO$2,0)/BO$1,"")</f>
        <v>3.2881590319792569</v>
      </c>
      <c r="BP16" s="67">
        <f>IFERROR(VLOOKUP($B16,RD[#All],BP$2,0)/BP$1,"")</f>
        <v>3.2712186689714779</v>
      </c>
      <c r="BQ16" s="67">
        <f>IFERROR(VLOOKUP($B16,RD[#All],BQ$2,0)/BQ$1,"")</f>
        <v>3.3050993949870353</v>
      </c>
      <c r="BR16" s="67">
        <f>IFERROR(VLOOKUP($B16,RD[#All],BR$2,0)/BR$1,"")</f>
        <v>3.1948141745894554</v>
      </c>
      <c r="BS16" s="67">
        <f>IFERROR(VLOOKUP($B16,RD[#All],BS$2,0)/BS$1,"")</f>
        <v>3.2183520599250937</v>
      </c>
      <c r="BT16" s="67">
        <f>IFERROR(VLOOKUP($B16,RD[#All],BT$2,0)/BT$1,"")</f>
        <v>3.2486891385767791</v>
      </c>
      <c r="BU16" s="67">
        <f>IFERROR(VLOOKUP($B16,RD[#All],BU$2,0)/BU$1,"")</f>
        <v>3.2666666666666671</v>
      </c>
      <c r="BV16" s="67">
        <f>IFERROR(VLOOKUP($B16,RD[#All],BV$2,0)/BV$1,"")</f>
        <v>3.20187265917603</v>
      </c>
      <c r="BW16" s="67">
        <f>IFERROR(VLOOKUP($B16,RD[#All],BW$2,0)/BW$1,"")</f>
        <v>3.2831460674157302</v>
      </c>
      <c r="BX16" s="67">
        <f>IFERROR(VLOOKUP($B16,RD[#All],BX$2,0)/BX$1,"")</f>
        <v>3.2490636704119851</v>
      </c>
      <c r="BY16" s="67">
        <f>IFERROR(VLOOKUP($B16,RD[#All],BY$2,0)/BY$1,"")</f>
        <v>3.2246358718268833</v>
      </c>
      <c r="BZ16" s="67">
        <f>IFERROR(VLOOKUP($B16,RD[#All],BZ$2,0)/BZ$1,"")</f>
        <v>3.1593841032043279</v>
      </c>
      <c r="CA16" s="67">
        <f>IFERROR(VLOOKUP($B16,RD[#All],CA$2,0)/CA$1,"")</f>
        <v>3.2412817311693716</v>
      </c>
      <c r="CB16" s="67">
        <f>IFERROR(VLOOKUP($B16,RD[#All],CB$2,0)/CB$1,"")</f>
        <v>3.2322097378277155</v>
      </c>
      <c r="CC16" s="67">
        <f>IFERROR(VLOOKUP($B16,RD[#All],CC$2,0)/CC$1,"")</f>
        <v>3.2041198501872659</v>
      </c>
      <c r="CD16" s="67">
        <f>IFERROR(VLOOKUP($B16,RD[#All],CD$2,0)/CD$1,"")</f>
        <v>3.24114088159032</v>
      </c>
      <c r="CE16" s="67">
        <f>IFERROR(VLOOKUP($B16,RD[#All],CE$2,0)/CE$1,"")</f>
        <v>3.2790262172284645</v>
      </c>
      <c r="CF16" s="67">
        <f>IFERROR(VLOOKUP($B16,RD[#All],CF$2,0)/CF$1,"")</f>
        <v>3.2247191011235956</v>
      </c>
      <c r="CG16" s="67">
        <f>IFERROR(VLOOKUP($B16,RD[#All],CG$2,0)/CG$1,"")</f>
        <v>3.2528089887640448</v>
      </c>
      <c r="CH16" s="67">
        <f>IFERROR(VLOOKUP($B16,RD[#All],CH$2,0)/CH$1,"")</f>
        <v>3.2048689138576782</v>
      </c>
      <c r="CI16" s="67">
        <f>IFERROR(VLOOKUP($B16,RD[#All],CI$2,0)/CI$1,"")</f>
        <v>3.1554307116104869</v>
      </c>
      <c r="CJ16" s="67">
        <f>IFERROR(VLOOKUP($B16,RD[#All],CJ$2,0)/CJ$1,"")</f>
        <v>3.2056179775280897</v>
      </c>
      <c r="CK16" s="67">
        <f>IFERROR(VLOOKUP($B16,RD[#All],CK$2,0)/CK$1,"")</f>
        <v>3.1629213483146068</v>
      </c>
      <c r="CL16" s="67">
        <f>IFERROR(VLOOKUP($B16,RD[#All],CL$2,0)/CL$1,"")</f>
        <v>3.2490636704119851</v>
      </c>
      <c r="CM16" s="67">
        <f>IFERROR(VLOOKUP($B16,RD[#All],CM$2,0)/CM$1,"")</f>
        <v>3.2059925093632957</v>
      </c>
      <c r="CN16" s="67">
        <f>IFERROR(VLOOKUP($B16,RD[#All],CN$2,0)/CN$1,"")</f>
        <v>3.1985018726591758</v>
      </c>
      <c r="CO16" s="67">
        <f>IFERROR(VLOOKUP($B16,RD[#All],CO$2,0)/CO$1,"")</f>
        <v>3.2683146067415731</v>
      </c>
      <c r="CP16" s="67">
        <f>IFERROR(VLOOKUP($B16,RD[#All],CP$2,0)/CP$1,"")</f>
        <v>3.1529818496110633</v>
      </c>
      <c r="CQ16" s="67">
        <f>IFERROR(VLOOKUP($B16,RD[#All],CQ$2,0)/CQ$1,"")</f>
        <v>3.2767790262172283</v>
      </c>
      <c r="CR16" s="67">
        <f>IFERROR(VLOOKUP($B16,RD[#All],CR$2,0)/CR$1,"")</f>
        <v>3.1985018726591758</v>
      </c>
      <c r="CS16" s="67">
        <f>IFERROR(VLOOKUP($B16,RD[#All],CS$2,0)/CS$1,"")</f>
        <v>3.2126508531002913</v>
      </c>
      <c r="CT16" s="67">
        <f>IFERROR(VLOOKUP($B16,RD[#All],CT$2,0)/CT$1,"")</f>
        <v>3.2164794007490634</v>
      </c>
      <c r="CU16" s="67">
        <f>IFERROR(VLOOKUP($B16,RD[#All],CU$2,0)/CU$1,"")</f>
        <v>3.1760299625468167</v>
      </c>
      <c r="CV16" s="67">
        <f>IFERROR(VLOOKUP($B16,RD[#All],CV$2,0)/CV$1,"")</f>
        <v>3.3026217228464416</v>
      </c>
      <c r="CW16" s="67">
        <f>IFERROR(VLOOKUP($B16,RD[#All],CW$2,0)/CW$1,"")</f>
        <v>3.2520599250936328</v>
      </c>
      <c r="CX16" s="67">
        <f>IFERROR(VLOOKUP($B16,RD[#All],CX$2,0)/CX$1,"")</f>
        <v>3.262172284644195</v>
      </c>
      <c r="CY16" s="67">
        <f>IFERROR(VLOOKUP($B16,RD[#All],CY$2,0)/CY$1,"")</f>
        <v>3.3052434456928839</v>
      </c>
      <c r="CZ16" s="67">
        <f>IFERROR(VLOOKUP($B16,RD[#All],CZ$2,0)/CZ$1,"")</f>
        <v>3.2430711610486891</v>
      </c>
      <c r="DA16" s="67">
        <f>IFERROR(VLOOKUP($B16,RD[#All],DA$2,0)/DA$1,"")</f>
        <v>3.2722846441947566</v>
      </c>
      <c r="DB16" s="67">
        <f>IFERROR(VLOOKUP($B16,RD[#All],DB$2,0)/DB$1,"")</f>
        <v>3.2157303370786519</v>
      </c>
      <c r="DC16" s="67">
        <f>IFERROR(VLOOKUP($B16,RD[#All],DC$2,0)/DC$1,"")</f>
        <v>3.1890137328339576</v>
      </c>
      <c r="DD16" s="67">
        <f>IFERROR(VLOOKUP($B16,RD[#All],DD$2,0)/DD$1,"")</f>
        <v>3.1872659176029963</v>
      </c>
      <c r="DE16" s="67">
        <f>IFERROR(VLOOKUP($B16,RD[#All],DE$2,0)/DE$1,"")</f>
        <v>3.2539325842696627</v>
      </c>
      <c r="DF16" s="67">
        <f>IFERROR(VLOOKUP($B16,RD[#All],DF$2,0)/DF$1,"")</f>
        <v>3.1716293074606896</v>
      </c>
      <c r="DG16" s="67">
        <f>IFERROR(VLOOKUP($B16,RD[#All],DG$2,0)/DG$1,"")</f>
        <v>3.2265917602996255</v>
      </c>
      <c r="DH16" s="67">
        <f>IFERROR(VLOOKUP($B16,RD[#All],DH$2,0)/DH$1,"")</f>
        <v>3.1893466500208074</v>
      </c>
      <c r="DI16" s="67">
        <f>IFERROR(VLOOKUP($B16,RD[#All],DI$2,0)/DI$1,"")</f>
        <v>3.1640449438202247</v>
      </c>
      <c r="DJ16" s="67">
        <f>IFERROR(VLOOKUP($B16,RD[#All],DJ$2,0)/DJ$1,"")</f>
        <v>3.2708729472774416</v>
      </c>
      <c r="DK16" s="67">
        <f>IFERROR(VLOOKUP($B16,RD[#All],DK$2,0)/DK$1,"")</f>
        <v>3.2692467748647522</v>
      </c>
      <c r="DL16" s="67">
        <f>IFERROR(VLOOKUP($B16,RD[#All],DL$2,0)/DL$1,"")</f>
        <v>3.2785684560965458</v>
      </c>
      <c r="DM16" s="67">
        <f>IFERROR(VLOOKUP($B16,RD[#All],DM$2,0)/DM$1,"")</f>
        <v>3.2827715355805243</v>
      </c>
      <c r="DN16" s="67">
        <f>IFERROR(VLOOKUP($B16,RD[#All],DN$2,0)/DN$1,"")</f>
        <v>3.1647940074906367</v>
      </c>
      <c r="DO16" s="67">
        <f>IFERROR(VLOOKUP($B16,RD[#All],DO$2,0)/DO$1,"")</f>
        <v>3.1549013047842092</v>
      </c>
      <c r="DP16" s="67">
        <f>IFERROR(VLOOKUP($B16,RD[#All],DP$2,0)/DP$1,"")</f>
        <v>3.1727007906783187</v>
      </c>
      <c r="DQ16" s="67">
        <f>IFERROR(VLOOKUP($B16,RD[#All],DQ$2,0)/DQ$1,"")</f>
        <v>3.2326258843112776</v>
      </c>
      <c r="DR16" s="67">
        <f>IFERROR(VLOOKUP($B16,RD[#All],DR$2,0)/DR$1,"")</f>
        <v>3.1883895131086142</v>
      </c>
      <c r="DS16" s="67">
        <f>IFERROR(VLOOKUP($B16,RD[#All],DS$2,0)/DS$1,"")</f>
        <v>3.2277153558052434</v>
      </c>
      <c r="DT16" s="67">
        <f>IFERROR(VLOOKUP($B16,RD[#All],DT$2,0)/DT$1,"")</f>
        <v>2.9413233458177279</v>
      </c>
      <c r="DU16" s="67">
        <f>IFERROR(VLOOKUP($B16,RD[#All],DU$2,0)/DU$1,"")</f>
        <v>3.0578443612151478</v>
      </c>
      <c r="DV16" s="67">
        <f>IFERROR(VLOOKUP($B16,RD[#All],DV$2,0)/DV$1,"")</f>
        <v>3.1516853932584268</v>
      </c>
      <c r="DW16" s="67">
        <f>IFERROR(VLOOKUP($B16,RD[#All],DW$2,0)/DW$1,"")</f>
        <v>3.1696629213483143</v>
      </c>
      <c r="DX16" s="67">
        <f>IFERROR(VLOOKUP($B16,RD[#All],DX$2,0)/DX$1,"")</f>
        <v>3.2153141905950893</v>
      </c>
      <c r="DY16" s="67">
        <f>IFERROR(VLOOKUP($B16,RD[#All],DY$2,0)/DY$1,"")</f>
        <v>3.0299625468164795</v>
      </c>
      <c r="DZ16" s="67">
        <f>IFERROR(VLOOKUP($B16,RD[#All],DZ$2,0)/DZ$1,"")</f>
        <v>3.1872659176029963</v>
      </c>
      <c r="EA16" s="67">
        <f>IFERROR(VLOOKUP($B16,RD[#All],EA$2,0)/EA$1,"")</f>
        <v>3.1467332501040368</v>
      </c>
      <c r="EB16" s="67">
        <f>IFERROR(VLOOKUP($B16,RD[#All],EB$2,0)/EB$1,"")</f>
        <v>3.1277569704535995</v>
      </c>
      <c r="EC16" s="67">
        <f>IFERROR(VLOOKUP($B16,RD[#All],EC$2,0)/EC$1,"")</f>
        <v>3.0547968885047538</v>
      </c>
      <c r="ED16" s="67">
        <f>IFERROR(VLOOKUP($B16,RD[#All],ED$2,0)/ED$1,"")</f>
        <v>3.1906655142610196</v>
      </c>
      <c r="EE16" s="67">
        <f>IFERROR(VLOOKUP($B16,RD[#All],EE$2,0)/EE$1,"")</f>
        <v>3.2280034572169405</v>
      </c>
      <c r="EF16" s="67">
        <f>IFERROR(VLOOKUP($B16,RD[#All],EF$2,0)/EF$1,"")</f>
        <v>3.2604698672114401</v>
      </c>
      <c r="EG16" s="67">
        <f>IFERROR(VLOOKUP($B16,RD[#All],EG$2,0)/EG$1,"")</f>
        <v>3.2307692307692308</v>
      </c>
      <c r="EH16" s="67">
        <f>IFERROR(VLOOKUP($B16,RD[#All],EH$2,0)/EH$1,"")</f>
        <v>3.2216783216783216</v>
      </c>
      <c r="EI16" s="67">
        <f>IFERROR(VLOOKUP($B16,RD[#All],EI$2,0)/EI$1,"")</f>
        <v>3.1503496503496504</v>
      </c>
      <c r="EJ16" s="67">
        <f>IFERROR(VLOOKUP($B16,RD[#All],EJ$2,0)/EJ$1,"")</f>
        <v>3.2657342657342658</v>
      </c>
      <c r="EK16" s="67">
        <f>IFERROR(VLOOKUP($B16,RD[#All],EK$2,0)/EK$1,"")</f>
        <v>3.2395505617977527</v>
      </c>
      <c r="EL16" s="67">
        <f>IFERROR(VLOOKUP($B16,RD[#All],EL$2,0)/EL$1,"")</f>
        <v>3.2797752808988765</v>
      </c>
      <c r="EM16" s="67">
        <f>IFERROR(VLOOKUP($B16,RD[#All],EM$2,0)/EM$1,"")</f>
        <v>3.2138288677614519</v>
      </c>
      <c r="EN16" s="67">
        <f>IFERROR(VLOOKUP($B16,RD[#All],EN$2,0)/EN$1,"")</f>
        <v>3.1782195332757128</v>
      </c>
      <c r="EO16" s="67">
        <f>IFERROR(VLOOKUP($B16,RD[#All],EO$2,0)/EO$1,"")</f>
        <v>3.2872659176029964</v>
      </c>
      <c r="EP16" s="67">
        <f>IFERROR(VLOOKUP($B16,RD[#All],EP$2,0)/EP$1,"")</f>
        <v>3.2601555747623165</v>
      </c>
      <c r="EQ16" s="67">
        <f>IFERROR(VLOOKUP($B16,RD[#All],EQ$2,0)/EQ$1,"")</f>
        <v>3.1704119850187267</v>
      </c>
      <c r="ER16" s="67">
        <f>IFERROR(VLOOKUP($B16,RD[#All],ER$2,0)/ER$1,"")</f>
        <v>3.2276577355229041</v>
      </c>
      <c r="ES16" s="67">
        <f>IFERROR(VLOOKUP($B16,RD[#All],ES$2,0)/ES$1,"")</f>
        <v>3.1947565543071161</v>
      </c>
      <c r="ET16" s="67">
        <f>IFERROR(VLOOKUP($B16,RD[#All],ET$2,0)/ET$1,"")</f>
        <v>3.2461695607763024</v>
      </c>
      <c r="EU16" s="67">
        <f>IFERROR(VLOOKUP($B16,RD[#All],EU$2,0)/EU$1,"")</f>
        <v>3.1796024200518582</v>
      </c>
      <c r="EV16" s="67">
        <f>IFERROR(VLOOKUP($B16,RD[#All],EV$2,0)/EV$1,"")</f>
        <v>3.2363007778738115</v>
      </c>
      <c r="EW16" s="67">
        <f>IFERROR(VLOOKUP($B16,RD[#All],EW$2,0)/EW$1,"")</f>
        <v>3.2636127917026792</v>
      </c>
      <c r="EX16" s="67">
        <f>IFERROR(VLOOKUP($B16,RD[#All],EX$2,0)/EX$1,"")</f>
        <v>3.2367041198501876</v>
      </c>
      <c r="EY16" s="67">
        <f>IFERROR(VLOOKUP($B16,RD[#All],EY$2,0)/EY$1,"")</f>
        <v>3.2033291718684977</v>
      </c>
      <c r="EZ16" s="67">
        <f>IFERROR(VLOOKUP($B16,RD[#All],EZ$2,0)/EZ$1,"")</f>
        <v>3.2490636704119851</v>
      </c>
      <c r="FA16" s="67">
        <f>IFERROR(VLOOKUP($B16,RD[#All],FA$2,0)/FA$1,"")</f>
        <v>3.2014981273408236</v>
      </c>
      <c r="FB16" s="67">
        <f>IFERROR(VLOOKUP($B16,RD[#All],FB$2,0)/FB$1,"")</f>
        <v>3.1704119850187267</v>
      </c>
      <c r="FC16" s="67">
        <f>IFERROR(VLOOKUP($B16,RD[#All],FC$2,0)/FC$1,"")</f>
        <v>3.2041198501872659</v>
      </c>
      <c r="FD16" s="67">
        <f>IFERROR(VLOOKUP($B16,RD[#All],FD$2,0)/FD$1,"")</f>
        <v>3.1722846441947565</v>
      </c>
      <c r="FE16" s="67">
        <f>IFERROR(VLOOKUP($B16,RD[#All],FE$2,0)/FE$1,"")</f>
        <v>3.2234848484848486</v>
      </c>
      <c r="FF16" s="67">
        <f>IFERROR(VLOOKUP($B16,RD[#All],FF$2,0)/FF$1,"")</f>
        <v>3.2159090909090908</v>
      </c>
      <c r="FG16" s="67">
        <f>IFERROR(VLOOKUP($B16,RD[#All],FG$2,0)/FG$1,"")</f>
        <v>3.2356902356902357</v>
      </c>
      <c r="FH16" s="67">
        <f>IFERROR(VLOOKUP($B16,RD[#All],FH$2,0)/FH$1,"")</f>
        <v>3.2325757575757574</v>
      </c>
      <c r="FI16" s="67">
        <f>IFERROR(VLOOKUP($B16,RD[#All],FI$2,0)/FI$1,"")</f>
        <v>3.2569023569023567</v>
      </c>
      <c r="FJ16" s="67">
        <f>IFERROR(VLOOKUP($B16,RD[#All],FJ$2,0)/FJ$1,"")</f>
        <v>3.1801346801346799</v>
      </c>
      <c r="FK16" s="67">
        <f>IFERROR(VLOOKUP($B16,RD[#All],FK$2,0)/FK$1,"")</f>
        <v>3.3949494949494947</v>
      </c>
      <c r="FL16" s="67">
        <f>IFERROR(VLOOKUP($B16,RD[#All],FL$2,0)/FL$1,"")</f>
        <v>3.2167272727272729</v>
      </c>
      <c r="FM16" s="67">
        <f>IFERROR(VLOOKUP($B16,RD[#All],FM$2,0)/FM$1,"")</f>
        <v>3.2007575757575757</v>
      </c>
      <c r="FN16" s="67">
        <f>IFERROR(VLOOKUP($B16,RD[#All],FN$2,0)/FN$1,"")</f>
        <v>3.2430976430976433</v>
      </c>
      <c r="FO16" s="67">
        <f>IFERROR(VLOOKUP($B16,RD[#All],FO$2,0)/FO$1,"")</f>
        <v>3.2617424242424242</v>
      </c>
      <c r="FP16" s="67">
        <f>IFERROR(VLOOKUP($B16,RD[#All],FP$2,0)/FP$1,"")</f>
        <v>3.2476363636363637</v>
      </c>
      <c r="FQ16" s="67">
        <f>IFERROR(VLOOKUP($B16,RD[#All],FQ$2,0)/FQ$1,"")</f>
        <v>3.2563636363636363</v>
      </c>
      <c r="FR16" s="67">
        <f>IFERROR(VLOOKUP($B16,RD[#All],FR$2,0)/FR$1,"")</f>
        <v>3.2316363636363636</v>
      </c>
      <c r="FS16" s="67">
        <f>IFERROR(VLOOKUP($B16,RD[#All],FS$2,0)/FS$1,"")</f>
        <v>3.2289562289562288</v>
      </c>
      <c r="FT16" s="67">
        <f>IFERROR(VLOOKUP($B16,RD[#All],FT$2,0)/FT$1,"")</f>
        <v>3.3421818181818184</v>
      </c>
      <c r="FU16" s="67">
        <f>IFERROR(VLOOKUP($B16,RD[#All],FU$2,0)/FU$1,"")</f>
        <v>3.1481481481481484</v>
      </c>
      <c r="FV16" s="67">
        <f>IFERROR(VLOOKUP($B16,RD[#All],FV$2,0)/FV$1,"")</f>
        <v>3.1969696969696968</v>
      </c>
      <c r="FW16" s="67">
        <f>IFERROR(VLOOKUP($B16,RD[#All],FW$2,0)/FW$1,"")</f>
        <v>3.1886363636363635</v>
      </c>
      <c r="FX16" s="67">
        <f>IFERROR(VLOOKUP($B16,RD[#All],FX$2,0)/FX$1,"")</f>
        <v>3.2234848484848486</v>
      </c>
      <c r="FY16" s="67">
        <f>IFERROR(VLOOKUP($B16,RD[#All],FY$2,0)/FY$1,"")</f>
        <v>3.1461279461279461</v>
      </c>
      <c r="FZ16" s="67">
        <f>IFERROR(VLOOKUP($B16,RD[#All],FZ$2,0)/FZ$1,"")</f>
        <v>3.1761363636363638</v>
      </c>
      <c r="GA16" s="67">
        <f>IFERROR(VLOOKUP($B16,RD[#All],GA$2,0)/GA$1,"")</f>
        <v>3.2587412587412588</v>
      </c>
      <c r="GB16" s="67">
        <f>IFERROR(VLOOKUP($B16,RD[#All],GB$2,0)/GB$1,"")</f>
        <v>3.2121212121212119</v>
      </c>
      <c r="GC16" s="67">
        <f>IFERROR(VLOOKUP($B16,RD[#All],GC$2,0)/GC$1,"")</f>
        <v>3.2259259259259259</v>
      </c>
      <c r="GD16" s="67">
        <f>IFERROR(VLOOKUP($B16,RD[#All],GD$2,0)/GD$1,"")</f>
        <v>3.1527272727272728</v>
      </c>
      <c r="GE16" s="67">
        <f>IFERROR(VLOOKUP($B16,RD[#All],GE$2,0)/GE$1,"")</f>
        <v>3.2660839160839163</v>
      </c>
      <c r="GF16" s="67">
        <f>IFERROR(VLOOKUP($B16,RD[#All],GF$2,0)/GF$1,"")</f>
        <v>3.2555555555555555</v>
      </c>
      <c r="GG16" s="67">
        <f>IFERROR(VLOOKUP($B16,RD[#All],GG$2,0)/GG$1,"")</f>
        <v>3.2625454545454549</v>
      </c>
      <c r="GH16" s="67">
        <f>IFERROR(VLOOKUP($B16,RD[#All],GH$2,0)/GH$1,"")</f>
        <v>3.2283636363636363</v>
      </c>
      <c r="GI16" s="67">
        <f>IFERROR(VLOOKUP($B16,RD[#All],GI$2,0)/GI$1,"")</f>
        <v>3.2363636363636363</v>
      </c>
      <c r="GJ16" s="67">
        <f>IFERROR(VLOOKUP($B16,RD[#All],GJ$2,0)/GJ$1,"")</f>
        <v>3.1888111888111887</v>
      </c>
      <c r="GK16" s="67">
        <f>IFERROR(VLOOKUP($B16,RD[#All],GK$2,0)/GK$1,"")</f>
        <v>3.1893939393939394</v>
      </c>
      <c r="GL16" s="67">
        <f>IFERROR(VLOOKUP($B16,RD[#All],GL$2,0)/GL$1,"")</f>
        <v>3.1856060606060606</v>
      </c>
      <c r="GM16" s="67">
        <f>IFERROR(VLOOKUP($B16,RD[#All],GM$2,0)/GM$1,"")</f>
        <v>3.1742424242424243</v>
      </c>
      <c r="GN16" s="67">
        <f>IFERROR(VLOOKUP($B16,RD[#All],GN$2,0)/GN$1,"")</f>
        <v>3.2007575757575757</v>
      </c>
      <c r="GO16" s="67">
        <f>IFERROR(VLOOKUP($B16,RD[#All],GO$2,0)/GO$1,"")</f>
        <v>3.16780303030303</v>
      </c>
      <c r="GP16" s="67">
        <f>IFERROR(VLOOKUP($B16,RD[#All],GP$2,0)/GP$1,"")</f>
        <v>3.1893939393939394</v>
      </c>
      <c r="GQ16" s="67">
        <f>IFERROR(VLOOKUP($B16,RD[#All],GQ$2,0)/GQ$1,"")</f>
        <v>3.2659090909090911</v>
      </c>
      <c r="GR16" s="67">
        <f>IFERROR(VLOOKUP($B16,RD[#All],GR$2,0)/GR$1,"")</f>
        <v>3.187878787878788</v>
      </c>
      <c r="GS16" s="67" t="str">
        <f>IFERROR(VLOOKUP($B16,RD[#All],GS$2,0)/GS$1,"")</f>
        <v/>
      </c>
      <c r="GT16" s="67" t="str">
        <f>IFERROR(VLOOKUP($B16,RD[#All],GT$2,0)/GT$1,"")</f>
        <v/>
      </c>
      <c r="GU16" s="67">
        <f>IFERROR(VLOOKUP($B16,RD[#All],GU$2,0)/GU$1,"")</f>
        <v>3.3614775725593664</v>
      </c>
      <c r="GV16" s="67">
        <f>IFERROR(VLOOKUP($B16,RD[#All],GV$2,0)/GV$1,"")</f>
        <v>3.1993695823483059</v>
      </c>
      <c r="GW16" s="67">
        <f>IFERROR(VLOOKUP($B16,RD[#All],GW$2,0)/GW$1,"")</f>
        <v>3.1892091648189207</v>
      </c>
      <c r="GX16" s="67" t="str">
        <f>IFERROR(VLOOKUP($B16,RD[#All],GX$2,0)/GX$1,"")</f>
        <v/>
      </c>
      <c r="GY16" s="67">
        <f>IFERROR(VLOOKUP($B16,RD[#All],GY$2,0)/GY$1,"")</f>
        <v>3.1920710868079287</v>
      </c>
      <c r="GZ16" s="67">
        <f>IFERROR(VLOOKUP($B16,RD[#All],GZ$2,0)/GZ$1,"")</f>
        <v>3.1647940074906367</v>
      </c>
      <c r="HA16" s="67">
        <f>IFERROR(VLOOKUP($B16,RD[#All],HA$2,0)/HA$1,"")</f>
        <v>3.1797752808988764</v>
      </c>
      <c r="HB16" s="67">
        <f>IFERROR(VLOOKUP($B16,RD[#All],HB$2,0)/HB$1,"")</f>
        <v>3.202247191011236</v>
      </c>
      <c r="HC16" s="67">
        <f>IFERROR(VLOOKUP($B16,RD[#All],HC$2,0)/HC$1,"")</f>
        <v>3.2059925093632957</v>
      </c>
      <c r="HD16" s="67">
        <f>IFERROR(VLOOKUP($B16,RD[#All],HD$2,0)/HD$1,"")</f>
        <v>3.1872659176029963</v>
      </c>
      <c r="HE16" s="67">
        <f>IFERROR(VLOOKUP($B16,RD[#All],HE$2,0)/HE$1,"")</f>
        <v>3.1722846441947565</v>
      </c>
      <c r="HF16" s="67">
        <f>IFERROR(VLOOKUP($B16,RD[#All],HF$2,0)/HF$1,"")</f>
        <v>3.2464419475655428</v>
      </c>
      <c r="HG16" s="67">
        <f>IFERROR(VLOOKUP($B16,RD[#All],HG$2,0)/HG$1,"")</f>
        <v>3.2127340823970036</v>
      </c>
      <c r="HH16" s="67">
        <f>IFERROR(VLOOKUP($B16,RD[#All],HH$2,0)/HH$1,"")</f>
        <v>3.2247191011235956</v>
      </c>
      <c r="HI16" s="67">
        <f>IFERROR(VLOOKUP($B16,RD[#All],HI$2,0)/HI$1,"")</f>
        <v>3.2352059925093632</v>
      </c>
      <c r="HJ16" s="67">
        <f>IFERROR(VLOOKUP($B16,RD[#All],HJ$2,0)/HJ$1,"")</f>
        <v>3.3131086142322097</v>
      </c>
      <c r="HK16" s="67">
        <f>IFERROR(VLOOKUP($B16,RD[#All],HK$2,0)/HK$1,"")</f>
        <v>3.2026633374947981</v>
      </c>
      <c r="HL16" s="67">
        <f>IFERROR(VLOOKUP($B16,RD[#All],HL$2,0)/HL$1,"")</f>
        <v>3.1826883062838118</v>
      </c>
      <c r="HM16" s="67">
        <f>IFERROR(VLOOKUP($B16,RD[#All],HM$2,0)/HM$1,"")</f>
        <v>3.4079713390058215</v>
      </c>
      <c r="HN16" s="67">
        <f>IFERROR(VLOOKUP($B16,RD[#All],HN$2,0)/HN$1,"")</f>
        <v>3.3631885356023283</v>
      </c>
      <c r="HO16" s="67">
        <f>IFERROR(VLOOKUP($B16,RD[#All],HO$2,0)/HO$1,"")</f>
        <v>3.4169278996865202</v>
      </c>
      <c r="HP16" s="67">
        <f>IFERROR(VLOOKUP($B16,RD[#All],HP$2,0)/HP$1,"")</f>
        <v>3.4733542319749215</v>
      </c>
      <c r="HQ16" s="67">
        <f>IFERROR(VLOOKUP($B16,RD[#All],HQ$2,0)/HQ$1,"")</f>
        <v>3.2275132275132274</v>
      </c>
      <c r="HR16" s="67">
        <f>IFERROR(VLOOKUP($B16,RD[#All],HR$2,0)/HR$1,"")</f>
        <v>3.1864053377814847</v>
      </c>
      <c r="HS16" s="67">
        <f>IFERROR(VLOOKUP($B16,RD[#All],HS$2,0)/HS$1,"")</f>
        <v>3.2801797752808985</v>
      </c>
      <c r="HT16" s="67">
        <f>IFERROR(VLOOKUP($B16,RD[#All],HT$2,0)/HT$1,"")</f>
        <v>3.249937578027466</v>
      </c>
      <c r="HU16" s="67">
        <f>IFERROR(VLOOKUP($B16,RD[#All],HU$2,0)/HU$1,"")</f>
        <v>3.1840968020743303</v>
      </c>
      <c r="HV16" s="67">
        <f>IFERROR(VLOOKUP($B16,RD[#All],HV$2,0)/HV$1,"")</f>
        <v>3.2324978392394121</v>
      </c>
      <c r="HW16" s="67">
        <f>IFERROR(VLOOKUP($B16,RD[#All],HW$2,0)/HW$1,"")</f>
        <v>3.3157752808988765</v>
      </c>
      <c r="HX16" s="67">
        <f>IFERROR(VLOOKUP($B16,RD[#All],HX$2,0)/HX$1,"")</f>
        <v>3.1996542783059638</v>
      </c>
      <c r="HY16" s="67">
        <f>IFERROR(VLOOKUP($B16,RD[#All],HY$2,0)/HY$1,"")</f>
        <v>3.237952559300874</v>
      </c>
      <c r="HZ16" s="67">
        <f>IFERROR(VLOOKUP($B16,RD[#All],HZ$2,0)/HZ$1,"")</f>
        <v>3.2126508531002913</v>
      </c>
      <c r="IA16" s="67">
        <f>IFERROR(VLOOKUP($B16,RD[#All],IA$2,0)/IA$1,"")</f>
        <v>3.1973581973581977</v>
      </c>
      <c r="IB16" s="67">
        <f>IFERROR(VLOOKUP($B16,RD[#All],IB$2,0)/IB$1,"")</f>
        <v>3.2142857142857144</v>
      </c>
      <c r="IC16" s="67">
        <f>IFERROR(VLOOKUP($B16,RD[#All],IC$2,0)/IC$1,"")</f>
        <v>3.2789432789432791</v>
      </c>
      <c r="ID16" s="67">
        <f>IFERROR(VLOOKUP($B16,RD[#All],ID$2,0)/ID$1,"")</f>
        <v>3.2510288065843622</v>
      </c>
      <c r="IE16" s="67">
        <f>IFERROR(VLOOKUP($B16,RD[#All],IE$2,0)/IE$1,"")</f>
        <v>3.2727272727272729</v>
      </c>
      <c r="IF16" s="67" t="str">
        <f>IFERROR(VLOOKUP($B16,RD[#All],IF$2,0)/IF$1,"")</f>
        <v/>
      </c>
      <c r="IG16" s="67">
        <f>IFERROR(VLOOKUP($B16,RD[#All],IG$2,0)/IG$1,"")</f>
        <v>3.3427681856778939</v>
      </c>
      <c r="IH16" s="67">
        <f>IFERROR(VLOOKUP($B16,RD[#All],IH$2,0)/IH$1,"")</f>
        <v>3.2776036224312084</v>
      </c>
      <c r="II16" s="67">
        <f>IFERROR(VLOOKUP($B16,RD[#All],II$2,0)/II$1,"")</f>
        <v>3.1940298507462686</v>
      </c>
      <c r="IJ16" s="67">
        <f>IFERROR(VLOOKUP($B16,RD[#All],IJ$2,0)/IJ$1,"")</f>
        <v>3.1949120838009724</v>
      </c>
      <c r="IK16" s="67">
        <f>IFERROR(VLOOKUP($B16,RD[#All],IK$2,0)/IK$1,"")</f>
        <v>3.2400932400932403</v>
      </c>
      <c r="IL16" s="67" t="str">
        <f>IFERROR(VLOOKUP($B16,RD[#All],IL$2,0)/IL$1,"")</f>
        <v/>
      </c>
      <c r="IM16" s="67" t="str">
        <f>IFERROR(VLOOKUP($B16,RD[#All],IM$2,0)/IM$1,"")</f>
        <v/>
      </c>
      <c r="IN16" s="67">
        <f>IFERROR(VLOOKUP($B16,RD[#All],IN$2,0)/IN$1,"")</f>
        <v>3.3479623824451412</v>
      </c>
      <c r="IO16" s="67">
        <f>IFERROR(VLOOKUP($B16,RD[#All],IO$2,0)/IO$1,"")</f>
        <v>3.4404388714733543</v>
      </c>
      <c r="IP16" s="67">
        <f>IFERROR(VLOOKUP($B16,RD[#All],IP$2,0)/IP$1,"")</f>
        <v>3.8583532478818161</v>
      </c>
      <c r="IQ16" s="67">
        <f>IFERROR(VLOOKUP($B16,RD[#All],IQ$2,0)/IQ$1,"")</f>
        <v>3.1973581973581977</v>
      </c>
      <c r="IR16" s="67">
        <f>IFERROR(VLOOKUP($B16,RD[#All],IR$2,0)/IR$1,"")</f>
        <v>3.2752902155887234</v>
      </c>
      <c r="IS16" s="86">
        <f>IFERROR(AVERAGEIF(Inv_SY_B[[#This Row],[BLK1_INV1]:[BLK8_INV27]],"&gt;"&amp;0.1,Inv_SY_B[[#This Row],[BLK1_INV1]:[BLK8_INV27]]),"")</f>
        <v>3.2412872994142323</v>
      </c>
    </row>
    <row r="17" spans="2:253" x14ac:dyDescent="0.25">
      <c r="B17" s="85">
        <f t="shared" si="0"/>
        <v>45843</v>
      </c>
      <c r="C17" s="67">
        <f>IFERROR(VLOOKUP($B17,RD[#All],C$2,0)/C$1,"")</f>
        <v>3.976145203111495</v>
      </c>
      <c r="D17" s="67">
        <f>IFERROR(VLOOKUP($B17,RD[#All],D$2,0)/D$1,"")</f>
        <v>4.0473638720829737</v>
      </c>
      <c r="E17" s="67">
        <f>IFERROR(VLOOKUP($B17,RD[#All],E$2,0)/E$1,"")</f>
        <v>4.0348314606741571</v>
      </c>
      <c r="F17" s="67">
        <f>IFERROR(VLOOKUP($B17,RD[#All],F$2,0)/F$1,"")</f>
        <v>4.0183520599250944</v>
      </c>
      <c r="G17" s="67">
        <f>IFERROR(VLOOKUP($B17,RD[#All],G$2,0)/G$1,"")</f>
        <v>4.0148660328435604</v>
      </c>
      <c r="H17" s="67">
        <f>IFERROR(VLOOKUP($B17,RD[#All],H$2,0)/H$1,"")</f>
        <v>4.0071161048689143</v>
      </c>
      <c r="I17" s="67">
        <f>IFERROR(VLOOKUP($B17,RD[#All],I$2,0)/I$1,"")</f>
        <v>4.0187265917602994</v>
      </c>
      <c r="J17" s="67">
        <f>IFERROR(VLOOKUP($B17,RD[#All],J$2,0)/J$1,"")</f>
        <v>4.035580524344569</v>
      </c>
      <c r="K17" s="67">
        <f>IFERROR(VLOOKUP($B17,RD[#All],K$2,0)/K$1,"")</f>
        <v>3.7260224719101123</v>
      </c>
      <c r="L17" s="67">
        <f>IFERROR(VLOOKUP($B17,RD[#All],L$2,0)/L$1,"")</f>
        <v>4.0266067415730342</v>
      </c>
      <c r="M17" s="67">
        <f>IFERROR(VLOOKUP($B17,RD[#All],M$2,0)/M$1,"")</f>
        <v>4.0745318352059927</v>
      </c>
      <c r="N17" s="67">
        <f>IFERROR(VLOOKUP($B17,RD[#All],N$2,0)/N$1,"")</f>
        <v>4.0644194756554306</v>
      </c>
      <c r="O17" s="67">
        <f>IFERROR(VLOOKUP($B17,RD[#All],O$2,0)/O$1,"")</f>
        <v>3.9288389513108615</v>
      </c>
      <c r="P17" s="67">
        <f>IFERROR(VLOOKUP($B17,RD[#All],P$2,0)/P$1,"")</f>
        <v>4.1397344228804904</v>
      </c>
      <c r="Q17" s="67">
        <f>IFERROR(VLOOKUP($B17,RD[#All],Q$2,0)/Q$1,"")</f>
        <v>4.0228464419475651</v>
      </c>
      <c r="R17" s="67">
        <f>IFERROR(VLOOKUP($B17,RD[#All],R$2,0)/R$1,"")</f>
        <v>4.0217228464419472</v>
      </c>
      <c r="S17" s="67">
        <f>IFERROR(VLOOKUP($B17,RD[#All],S$2,0)/S$1,"")</f>
        <v>3.9213483146067416</v>
      </c>
      <c r="T17" s="67">
        <f>IFERROR(VLOOKUP($B17,RD[#All],T$2,0)/T$1,"")</f>
        <v>3.9217228464419471</v>
      </c>
      <c r="U17" s="67">
        <f>IFERROR(VLOOKUP($B17,RD[#All],U$2,0)/U$1,"")</f>
        <v>3.9325842696629212</v>
      </c>
      <c r="V17" s="67">
        <f>IFERROR(VLOOKUP($B17,RD[#All],V$2,0)/V$1,"")</f>
        <v>3.9415730337078649</v>
      </c>
      <c r="W17" s="67">
        <f>IFERROR(VLOOKUP($B17,RD[#All],W$2,0)/W$1,"")</f>
        <v>4.0093632958801502</v>
      </c>
      <c r="X17" s="67">
        <f>IFERROR(VLOOKUP($B17,RD[#All],X$2,0)/X$1,"")</f>
        <v>4.0460674157303371</v>
      </c>
      <c r="Y17" s="67">
        <f>IFERROR(VLOOKUP($B17,RD[#All],Y$2,0)/Y$1,"")</f>
        <v>3.9557476231633535</v>
      </c>
      <c r="Z17" s="67">
        <f>IFERROR(VLOOKUP($B17,RD[#All],Z$2,0)/Z$1,"")</f>
        <v>4.0599250936329589</v>
      </c>
      <c r="AA17" s="67">
        <f>IFERROR(VLOOKUP($B17,RD[#All],AA$2,0)/AA$1,"")</f>
        <v>3.9878997407087295</v>
      </c>
      <c r="AB17" s="67">
        <f>IFERROR(VLOOKUP($B17,RD[#All],AB$2,0)/AB$1,"")</f>
        <v>3.9789109766637858</v>
      </c>
      <c r="AC17" s="67">
        <f>IFERROR(VLOOKUP($B17,RD[#All],AC$2,0)/AC$1,"")</f>
        <v>3.9751080380293864</v>
      </c>
      <c r="AD17" s="67">
        <f>IFERROR(VLOOKUP($B17,RD[#All],AD$2,0)/AD$1,"")</f>
        <v>4.0026633374947984</v>
      </c>
      <c r="AE17" s="67">
        <f>IFERROR(VLOOKUP($B17,RD[#All],AE$2,0)/AE$1,"")</f>
        <v>4.0056595921764462</v>
      </c>
      <c r="AF17" s="67">
        <f>IFERROR(VLOOKUP($B17,RD[#All],AF$2,0)/AF$1,"")</f>
        <v>3.8701622971285894</v>
      </c>
      <c r="AG17" s="67">
        <f>IFERROR(VLOOKUP($B17,RD[#All],AG$2,0)/AG$1,"")</f>
        <v>3.9800249687890137</v>
      </c>
      <c r="AH17" s="67">
        <f>IFERROR(VLOOKUP($B17,RD[#All],AH$2,0)/AH$1,"")</f>
        <v>4.007657095297545</v>
      </c>
      <c r="AI17" s="67">
        <f>IFERROR(VLOOKUP($B17,RD[#All],AI$2,0)/AI$1,"")</f>
        <v>3.9103773584905657</v>
      </c>
      <c r="AJ17" s="67">
        <f>IFERROR(VLOOKUP($B17,RD[#All],AJ$2,0)/AJ$1,"")</f>
        <v>4.0472276191899565</v>
      </c>
      <c r="AK17" s="67">
        <f>IFERROR(VLOOKUP($B17,RD[#All],AK$2,0)/AK$1,"")</f>
        <v>3.8677902621722846</v>
      </c>
      <c r="AL17" s="67">
        <f>IFERROR(VLOOKUP($B17,RD[#All],AL$2,0)/AL$1,"")</f>
        <v>3.8380729340916697</v>
      </c>
      <c r="AM17" s="67">
        <f>IFERROR(VLOOKUP($B17,RD[#All],AM$2,0)/AM$1,"")</f>
        <v>3.8202247191011236</v>
      </c>
      <c r="AN17" s="67">
        <f>IFERROR(VLOOKUP($B17,RD[#All],AN$2,0)/AN$1,"")</f>
        <v>3.8314606741573032</v>
      </c>
      <c r="AO17" s="67">
        <f>IFERROR(VLOOKUP($B17,RD[#All],AO$2,0)/AO$1,"")</f>
        <v>3.8022471910112361</v>
      </c>
      <c r="AP17" s="67">
        <f>IFERROR(VLOOKUP($B17,RD[#All],AP$2,0)/AP$1,"")</f>
        <v>3.7902621722846441</v>
      </c>
      <c r="AQ17" s="67">
        <f>IFERROR(VLOOKUP($B17,RD[#All],AQ$2,0)/AQ$1,"")</f>
        <v>3.8426966292134832</v>
      </c>
      <c r="AR17" s="67">
        <f>IFERROR(VLOOKUP($B17,RD[#All],AR$2,0)/AR$1,"")</f>
        <v>3.7902621722846441</v>
      </c>
      <c r="AS17" s="67">
        <f>IFERROR(VLOOKUP($B17,RD[#All],AS$2,0)/AS$1,"")</f>
        <v>3.8269662921348311</v>
      </c>
      <c r="AT17" s="67">
        <f>IFERROR(VLOOKUP($B17,RD[#All],AT$2,0)/AT$1,"")</f>
        <v>3.8756554307116104</v>
      </c>
      <c r="AU17" s="67">
        <f>IFERROR(VLOOKUP($B17,RD[#All],AU$2,0)/AU$1,"")</f>
        <v>3.9</v>
      </c>
      <c r="AV17" s="67">
        <f>IFERROR(VLOOKUP($B17,RD[#All],AV$2,0)/AV$1,"")</f>
        <v>3.9535580524344565</v>
      </c>
      <c r="AW17" s="67">
        <f>IFERROR(VLOOKUP($B17,RD[#All],AW$2,0)/AW$1,"")</f>
        <v>3.9512532411408818</v>
      </c>
      <c r="AX17" s="67">
        <f>IFERROR(VLOOKUP($B17,RD[#All],AX$2,0)/AX$1,"")</f>
        <v>3.8970037453183521</v>
      </c>
      <c r="AY17" s="67">
        <f>IFERROR(VLOOKUP($B17,RD[#All],AY$2,0)/AY$1,"")</f>
        <v>3.9723146067415729</v>
      </c>
      <c r="AZ17" s="67">
        <f>IFERROR(VLOOKUP($B17,RD[#All],AZ$2,0)/AZ$1,"")</f>
        <v>3.9198202247191012</v>
      </c>
      <c r="BA17" s="67">
        <f>IFERROR(VLOOKUP($B17,RD[#All],BA$2,0)/BA$1,"")</f>
        <v>3.9782771535580528</v>
      </c>
      <c r="BB17" s="67">
        <f>IFERROR(VLOOKUP($B17,RD[#All],BB$2,0)/BB$1,"")</f>
        <v>4.0048689138576776</v>
      </c>
      <c r="BC17" s="67">
        <f>IFERROR(VLOOKUP($B17,RD[#All],BC$2,0)/BC$1,"")</f>
        <v>4.0835622138992926</v>
      </c>
      <c r="BD17" s="67">
        <f>IFERROR(VLOOKUP($B17,RD[#All],BD$2,0)/BD$1,"")</f>
        <v>3.9700374531835205</v>
      </c>
      <c r="BE17" s="67">
        <f>IFERROR(VLOOKUP($B17,RD[#All],BE$2,0)/BE$1,"")</f>
        <v>3.9170267934312877</v>
      </c>
      <c r="BF17" s="67">
        <f>IFERROR(VLOOKUP($B17,RD[#All],BF$2,0)/BF$1,"")</f>
        <v>4.0878901373283396</v>
      </c>
      <c r="BG17" s="67">
        <f>IFERROR(VLOOKUP($B17,RD[#All],BG$2,0)/BG$1,"")</f>
        <v>3.7020391177694547</v>
      </c>
      <c r="BH17" s="67">
        <f>IFERROR(VLOOKUP($B17,RD[#All],BH$2,0)/BH$1,"")</f>
        <v>4.035205992509364</v>
      </c>
      <c r="BI17" s="67">
        <f>IFERROR(VLOOKUP($B17,RD[#All],BI$2,0)/BI$1,"")</f>
        <v>3.9760299625468165</v>
      </c>
      <c r="BJ17" s="67">
        <f>IFERROR(VLOOKUP($B17,RD[#All],BJ$2,0)/BJ$1,"")</f>
        <v>4.0239700374531839</v>
      </c>
      <c r="BK17" s="67">
        <f>IFERROR(VLOOKUP($B17,RD[#All],BK$2,0)/BK$1,"")</f>
        <v>3.9543071161048688</v>
      </c>
      <c r="BL17" s="67">
        <f>IFERROR(VLOOKUP($B17,RD[#All],BL$2,0)/BL$1,"")</f>
        <v>4.0378052860488465</v>
      </c>
      <c r="BM17" s="67">
        <f>IFERROR(VLOOKUP($B17,RD[#All],BM$2,0)/BM$1,"")</f>
        <v>3.9902621722846447</v>
      </c>
      <c r="BN17" s="67">
        <f>IFERROR(VLOOKUP($B17,RD[#All],BN$2,0)/BN$1,"")</f>
        <v>4.1379310344827589</v>
      </c>
      <c r="BO17" s="67">
        <f>IFERROR(VLOOKUP($B17,RD[#All],BO$2,0)/BO$1,"")</f>
        <v>4.0484010371650818</v>
      </c>
      <c r="BP17" s="67">
        <f>IFERROR(VLOOKUP($B17,RD[#All],BP$2,0)/BP$1,"")</f>
        <v>4.0656871218668975</v>
      </c>
      <c r="BQ17" s="67">
        <f>IFERROR(VLOOKUP($B17,RD[#All],BQ$2,0)/BQ$1,"")</f>
        <v>4.062229904926534</v>
      </c>
      <c r="BR17" s="67">
        <f>IFERROR(VLOOKUP($B17,RD[#All],BR$2,0)/BR$1,"")</f>
        <v>4.0414866032843557</v>
      </c>
      <c r="BS17" s="67">
        <f>IFERROR(VLOOKUP($B17,RD[#All],BS$2,0)/BS$1,"")</f>
        <v>3.9176029962546814</v>
      </c>
      <c r="BT17" s="67">
        <f>IFERROR(VLOOKUP($B17,RD[#All],BT$2,0)/BT$1,"")</f>
        <v>3.9475655430711609</v>
      </c>
      <c r="BU17" s="67">
        <f>IFERROR(VLOOKUP($B17,RD[#All],BU$2,0)/BU$1,"")</f>
        <v>3.9288389513108615</v>
      </c>
      <c r="BV17" s="67">
        <f>IFERROR(VLOOKUP($B17,RD[#All],BV$2,0)/BV$1,"")</f>
        <v>3.9063670411985019</v>
      </c>
      <c r="BW17" s="67">
        <f>IFERROR(VLOOKUP($B17,RD[#All],BW$2,0)/BW$1,"")</f>
        <v>3.9288389513108615</v>
      </c>
      <c r="BX17" s="67">
        <f>IFERROR(VLOOKUP($B17,RD[#All],BX$2,0)/BX$1,"")</f>
        <v>4.0823970037453181</v>
      </c>
      <c r="BY17" s="67">
        <f>IFERROR(VLOOKUP($B17,RD[#All],BY$2,0)/BY$1,"")</f>
        <v>3.9850187265917603</v>
      </c>
      <c r="BZ17" s="67">
        <f>IFERROR(VLOOKUP($B17,RD[#All],BZ$2,0)/BZ$1,"")</f>
        <v>3.9717020391177695</v>
      </c>
      <c r="CA17" s="67">
        <f>IFERROR(VLOOKUP($B17,RD[#All],CA$2,0)/CA$1,"")</f>
        <v>4.0682480233042027</v>
      </c>
      <c r="CB17" s="67">
        <f>IFERROR(VLOOKUP($B17,RD[#All],CB$2,0)/CB$1,"")</f>
        <v>4.0823970037453181</v>
      </c>
      <c r="CC17" s="67">
        <f>IFERROR(VLOOKUP($B17,RD[#All],CC$2,0)/CC$1,"")</f>
        <v>4.0861423220973787</v>
      </c>
      <c r="CD17" s="67">
        <f>IFERROR(VLOOKUP($B17,RD[#All],CD$2,0)/CD$1,"")</f>
        <v>4.093344857389801</v>
      </c>
      <c r="CE17" s="67">
        <f>IFERROR(VLOOKUP($B17,RD[#All],CE$2,0)/CE$1,"")</f>
        <v>4.0374531835205989</v>
      </c>
      <c r="CF17" s="67">
        <f>IFERROR(VLOOKUP($B17,RD[#All],CF$2,0)/CF$1,"")</f>
        <v>4.1235955056179776</v>
      </c>
      <c r="CG17" s="67">
        <f>IFERROR(VLOOKUP($B17,RD[#All],CG$2,0)/CG$1,"")</f>
        <v>4.0561797752808992</v>
      </c>
      <c r="CH17" s="67">
        <f>IFERROR(VLOOKUP($B17,RD[#All],CH$2,0)/CH$1,"")</f>
        <v>4.0561797752808992</v>
      </c>
      <c r="CI17" s="67">
        <f>IFERROR(VLOOKUP($B17,RD[#All],CI$2,0)/CI$1,"")</f>
        <v>4.0108614232209741</v>
      </c>
      <c r="CJ17" s="67">
        <f>IFERROR(VLOOKUP($B17,RD[#All],CJ$2,0)/CJ$1,"")</f>
        <v>4.0741573033707867</v>
      </c>
      <c r="CK17" s="67">
        <f>IFERROR(VLOOKUP($B17,RD[#All],CK$2,0)/CK$1,"")</f>
        <v>4.0220973782771541</v>
      </c>
      <c r="CL17" s="67">
        <f>IFERROR(VLOOKUP($B17,RD[#All],CL$2,0)/CL$1,"")</f>
        <v>4.0262172284644198</v>
      </c>
      <c r="CM17" s="67">
        <f>IFERROR(VLOOKUP($B17,RD[#All],CM$2,0)/CM$1,"")</f>
        <v>3.9213483146067416</v>
      </c>
      <c r="CN17" s="67">
        <f>IFERROR(VLOOKUP($B17,RD[#All],CN$2,0)/CN$1,"")</f>
        <v>3.9063670411985019</v>
      </c>
      <c r="CO17" s="67">
        <f>IFERROR(VLOOKUP($B17,RD[#All],CO$2,0)/CO$1,"")</f>
        <v>4.0999550561797751</v>
      </c>
      <c r="CP17" s="67">
        <f>IFERROR(VLOOKUP($B17,RD[#All],CP$2,0)/CP$1,"")</f>
        <v>3.8755401901469315</v>
      </c>
      <c r="CQ17" s="67">
        <f>IFERROR(VLOOKUP($B17,RD[#All],CQ$2,0)/CQ$1,"")</f>
        <v>4.1741573033707864</v>
      </c>
      <c r="CR17" s="67">
        <f>IFERROR(VLOOKUP($B17,RD[#All],CR$2,0)/CR$1,"")</f>
        <v>4.1232209737827716</v>
      </c>
      <c r="CS17" s="67">
        <f>IFERROR(VLOOKUP($B17,RD[#All],CS$2,0)/CS$1,"")</f>
        <v>4.0982105701206821</v>
      </c>
      <c r="CT17" s="67">
        <f>IFERROR(VLOOKUP($B17,RD[#All],CT$2,0)/CT$1,"")</f>
        <v>4.1659176029962541</v>
      </c>
      <c r="CU17" s="67">
        <f>IFERROR(VLOOKUP($B17,RD[#All],CU$2,0)/CU$1,"")</f>
        <v>3.9775280898876404</v>
      </c>
      <c r="CV17" s="67">
        <f>IFERROR(VLOOKUP($B17,RD[#All],CV$2,0)/CV$1,"")</f>
        <v>4.2280898876404498</v>
      </c>
      <c r="CW17" s="67">
        <f>IFERROR(VLOOKUP($B17,RD[#All],CW$2,0)/CW$1,"")</f>
        <v>4.1565543071161049</v>
      </c>
      <c r="CX17" s="67">
        <f>IFERROR(VLOOKUP($B17,RD[#All],CX$2,0)/CX$1,"")</f>
        <v>4.1771535580524342</v>
      </c>
      <c r="CY17" s="67">
        <f>IFERROR(VLOOKUP($B17,RD[#All],CY$2,0)/CY$1,"")</f>
        <v>4.2430711610486895</v>
      </c>
      <c r="CZ17" s="67">
        <f>IFERROR(VLOOKUP($B17,RD[#All],CZ$2,0)/CZ$1,"")</f>
        <v>4.1730337078651685</v>
      </c>
      <c r="DA17" s="67">
        <f>IFERROR(VLOOKUP($B17,RD[#All],DA$2,0)/DA$1,"")</f>
        <v>4.2299625468164797</v>
      </c>
      <c r="DB17" s="67">
        <f>IFERROR(VLOOKUP($B17,RD[#All],DB$2,0)/DB$1,"")</f>
        <v>4.1741573033707864</v>
      </c>
      <c r="DC17" s="67">
        <f>IFERROR(VLOOKUP($B17,RD[#All],DC$2,0)/DC$1,"")</f>
        <v>4.1198501872659179</v>
      </c>
      <c r="DD17" s="67">
        <f>IFERROR(VLOOKUP($B17,RD[#All],DD$2,0)/DD$1,"")</f>
        <v>4.1198501872659179</v>
      </c>
      <c r="DE17" s="67">
        <f>IFERROR(VLOOKUP($B17,RD[#All],DE$2,0)/DE$1,"")</f>
        <v>4.2380357885975863</v>
      </c>
      <c r="DF17" s="67">
        <f>IFERROR(VLOOKUP($B17,RD[#All],DF$2,0)/DF$1,"")</f>
        <v>4.200401472064236</v>
      </c>
      <c r="DG17" s="67">
        <f>IFERROR(VLOOKUP($B17,RD[#All],DG$2,0)/DG$1,"")</f>
        <v>4.1269662921348322</v>
      </c>
      <c r="DH17" s="67">
        <f>IFERROR(VLOOKUP($B17,RD[#All],DH$2,0)/DH$1,"")</f>
        <v>4.1684560965459836</v>
      </c>
      <c r="DI17" s="67">
        <f>IFERROR(VLOOKUP($B17,RD[#All],DI$2,0)/DI$1,"")</f>
        <v>4.1483146067415735</v>
      </c>
      <c r="DJ17" s="67">
        <f>IFERROR(VLOOKUP($B17,RD[#All],DJ$2,0)/DJ$1,"")</f>
        <v>4.1268798617113225</v>
      </c>
      <c r="DK17" s="67">
        <f>IFERROR(VLOOKUP($B17,RD[#All],DK$2,0)/DK$1,"")</f>
        <v>4.1514773200166459</v>
      </c>
      <c r="DL17" s="67">
        <f>IFERROR(VLOOKUP($B17,RD[#All],DL$2,0)/DL$1,"")</f>
        <v>4.1481481481481479</v>
      </c>
      <c r="DM17" s="67">
        <f>IFERROR(VLOOKUP($B17,RD[#All],DM$2,0)/DM$1,"")</f>
        <v>4.1940074906367037</v>
      </c>
      <c r="DN17" s="67">
        <f>IFERROR(VLOOKUP($B17,RD[#All],DN$2,0)/DN$1,"")</f>
        <v>3.9812734082397006</v>
      </c>
      <c r="DO17" s="67">
        <f>IFERROR(VLOOKUP($B17,RD[#All],DO$2,0)/DO$1,"")</f>
        <v>3.9946470391435267</v>
      </c>
      <c r="DP17" s="67">
        <f>IFERROR(VLOOKUP($B17,RD[#All],DP$2,0)/DP$1,"")</f>
        <v>4.008655846858094</v>
      </c>
      <c r="DQ17" s="67">
        <f>IFERROR(VLOOKUP($B17,RD[#All],DQ$2,0)/DQ$1,"")</f>
        <v>4.1774448605909278</v>
      </c>
      <c r="DR17" s="67">
        <f>IFERROR(VLOOKUP($B17,RD[#All],DR$2,0)/DR$1,"")</f>
        <v>4.1917602996254679</v>
      </c>
      <c r="DS17" s="67">
        <f>IFERROR(VLOOKUP($B17,RD[#All],DS$2,0)/DS$1,"")</f>
        <v>4.1707865168539326</v>
      </c>
      <c r="DT17" s="67">
        <f>IFERROR(VLOOKUP($B17,RD[#All],DT$2,0)/DT$1,"")</f>
        <v>3.8921348314606741</v>
      </c>
      <c r="DU17" s="67">
        <f>IFERROR(VLOOKUP($B17,RD[#All],DU$2,0)/DU$1,"")</f>
        <v>4.039284228048273</v>
      </c>
      <c r="DV17" s="67">
        <f>IFERROR(VLOOKUP($B17,RD[#All],DV$2,0)/DV$1,"")</f>
        <v>4.0853932584269659</v>
      </c>
      <c r="DW17" s="67">
        <f>IFERROR(VLOOKUP($B17,RD[#All],DW$2,0)/DW$1,"")</f>
        <v>4.117977528089888</v>
      </c>
      <c r="DX17" s="67">
        <f>IFERROR(VLOOKUP($B17,RD[#All],DX$2,0)/DX$1,"")</f>
        <v>4.2180607573866</v>
      </c>
      <c r="DY17" s="67">
        <f>IFERROR(VLOOKUP($B17,RD[#All],DY$2,0)/DY$1,"")</f>
        <v>3.8239700374531833</v>
      </c>
      <c r="DZ17" s="67">
        <f>IFERROR(VLOOKUP($B17,RD[#All],DZ$2,0)/DZ$1,"")</f>
        <v>3.7790262172284645</v>
      </c>
      <c r="EA17" s="67">
        <f>IFERROR(VLOOKUP($B17,RD[#All],EA$2,0)/EA$1,"")</f>
        <v>3.7812734082397004</v>
      </c>
      <c r="EB17" s="67">
        <f>IFERROR(VLOOKUP($B17,RD[#All],EB$2,0)/EB$1,"")</f>
        <v>3.7786100707449024</v>
      </c>
      <c r="EC17" s="67">
        <f>IFERROR(VLOOKUP($B17,RD[#All],EC$2,0)/EC$1,"")</f>
        <v>3.7960242005185827</v>
      </c>
      <c r="ED17" s="67">
        <f>IFERROR(VLOOKUP($B17,RD[#All],ED$2,0)/ED$1,"")</f>
        <v>3.7991356957649094</v>
      </c>
      <c r="EE17" s="67">
        <f>IFERROR(VLOOKUP($B17,RD[#All],EE$2,0)/EE$1,"")</f>
        <v>3.8478824546240276</v>
      </c>
      <c r="EF17" s="67">
        <f>IFERROR(VLOOKUP($B17,RD[#All],EF$2,0)/EF$1,"")</f>
        <v>3.8161389172625126</v>
      </c>
      <c r="EG17" s="67">
        <f>IFERROR(VLOOKUP($B17,RD[#All],EG$2,0)/EG$1,"")</f>
        <v>3.8286713286713288</v>
      </c>
      <c r="EH17" s="67">
        <f>IFERROR(VLOOKUP($B17,RD[#All],EH$2,0)/EH$1,"")</f>
        <v>3.8881118881118879</v>
      </c>
      <c r="EI17" s="67">
        <f>IFERROR(VLOOKUP($B17,RD[#All],EI$2,0)/EI$1,"")</f>
        <v>3.8356643356643358</v>
      </c>
      <c r="EJ17" s="67">
        <f>IFERROR(VLOOKUP($B17,RD[#All],EJ$2,0)/EJ$1,"")</f>
        <v>3.9325174825174827</v>
      </c>
      <c r="EK17" s="67">
        <f>IFERROR(VLOOKUP($B17,RD[#All],EK$2,0)/EK$1,"")</f>
        <v>3.8507865168539328</v>
      </c>
      <c r="EL17" s="67">
        <f>IFERROR(VLOOKUP($B17,RD[#All],EL$2,0)/EL$1,"")</f>
        <v>3.8314606741573032</v>
      </c>
      <c r="EM17" s="67">
        <f>IFERROR(VLOOKUP($B17,RD[#All],EM$2,0)/EM$1,"")</f>
        <v>3.8181503889369059</v>
      </c>
      <c r="EN17" s="67">
        <f>IFERROR(VLOOKUP($B17,RD[#All],EN$2,0)/EN$1,"")</f>
        <v>3.8686257562662059</v>
      </c>
      <c r="EO17" s="67">
        <f>IFERROR(VLOOKUP($B17,RD[#All],EO$2,0)/EO$1,"")</f>
        <v>3.874157303370787</v>
      </c>
      <c r="EP17" s="67">
        <f>IFERROR(VLOOKUP($B17,RD[#All],EP$2,0)/EP$1,"")</f>
        <v>3.8063958513396714</v>
      </c>
      <c r="EQ17" s="67">
        <f>IFERROR(VLOOKUP($B17,RD[#All],EQ$2,0)/EQ$1,"")</f>
        <v>3.7865168539325844</v>
      </c>
      <c r="ER17" s="67">
        <f>IFERROR(VLOOKUP($B17,RD[#All],ER$2,0)/ER$1,"")</f>
        <v>3.8513396715643906</v>
      </c>
      <c r="ES17" s="67">
        <f>IFERROR(VLOOKUP($B17,RD[#All],ES$2,0)/ES$1,"")</f>
        <v>3.8490636704119852</v>
      </c>
      <c r="ET17" s="67">
        <f>IFERROR(VLOOKUP($B17,RD[#All],ET$2,0)/ET$1,"")</f>
        <v>3.8038815117466802</v>
      </c>
      <c r="EU17" s="67">
        <f>IFERROR(VLOOKUP($B17,RD[#All],EU$2,0)/EU$1,"")</f>
        <v>3.8236819360414867</v>
      </c>
      <c r="EV17" s="67">
        <f>IFERROR(VLOOKUP($B17,RD[#All],EV$2,0)/EV$1,"")</f>
        <v>3.8375108038029389</v>
      </c>
      <c r="EW17" s="67">
        <f>IFERROR(VLOOKUP($B17,RD[#All],EW$2,0)/EW$1,"")</f>
        <v>3.8063958513396714</v>
      </c>
      <c r="EX17" s="67">
        <f>IFERROR(VLOOKUP($B17,RD[#All],EX$2,0)/EX$1,"")</f>
        <v>3.8689138576779025</v>
      </c>
      <c r="EY17" s="67">
        <f>IFERROR(VLOOKUP($B17,RD[#All],EY$2,0)/EY$1,"")</f>
        <v>3.8704952143154387</v>
      </c>
      <c r="EZ17" s="67">
        <f>IFERROR(VLOOKUP($B17,RD[#All],EZ$2,0)/EZ$1,"")</f>
        <v>3.8651685393258428</v>
      </c>
      <c r="FA17" s="67">
        <f>IFERROR(VLOOKUP($B17,RD[#All],FA$2,0)/FA$1,"")</f>
        <v>3.8314606741573032</v>
      </c>
      <c r="FB17" s="67">
        <f>IFERROR(VLOOKUP($B17,RD[#All],FB$2,0)/FB$1,"")</f>
        <v>3.8749063670411981</v>
      </c>
      <c r="FC17" s="67">
        <f>IFERROR(VLOOKUP($B17,RD[#All],FC$2,0)/FC$1,"")</f>
        <v>3.8164794007490639</v>
      </c>
      <c r="FD17" s="67">
        <f>IFERROR(VLOOKUP($B17,RD[#All],FD$2,0)/FD$1,"")</f>
        <v>3.8449438202247186</v>
      </c>
      <c r="FE17" s="67">
        <f>IFERROR(VLOOKUP($B17,RD[#All],FE$2,0)/FE$1,"")</f>
        <v>4.0181818181818176</v>
      </c>
      <c r="FF17" s="67">
        <f>IFERROR(VLOOKUP($B17,RD[#All],FF$2,0)/FF$1,"")</f>
        <v>3.9375</v>
      </c>
      <c r="FG17" s="67">
        <f>IFERROR(VLOOKUP($B17,RD[#All],FG$2,0)/FG$1,"")</f>
        <v>3.9474747474747476</v>
      </c>
      <c r="FH17" s="67">
        <f>IFERROR(VLOOKUP($B17,RD[#All],FH$2,0)/FH$1,"")</f>
        <v>3.9166666666666665</v>
      </c>
      <c r="FI17" s="67">
        <f>IFERROR(VLOOKUP($B17,RD[#All],FI$2,0)/FI$1,"")</f>
        <v>3.9225589225589226</v>
      </c>
      <c r="FJ17" s="67">
        <f>IFERROR(VLOOKUP($B17,RD[#All],FJ$2,0)/FJ$1,"")</f>
        <v>3.9427609427609429</v>
      </c>
      <c r="FK17" s="67">
        <f>IFERROR(VLOOKUP($B17,RD[#All],FK$2,0)/FK$1,"")</f>
        <v>4.0097643097643099</v>
      </c>
      <c r="FL17" s="67">
        <f>IFERROR(VLOOKUP($B17,RD[#All],FL$2,0)/FL$1,"")</f>
        <v>3.9054545454545453</v>
      </c>
      <c r="FM17" s="67">
        <f>IFERROR(VLOOKUP($B17,RD[#All],FM$2,0)/FM$1,"")</f>
        <v>4</v>
      </c>
      <c r="FN17" s="67">
        <f>IFERROR(VLOOKUP($B17,RD[#All],FN$2,0)/FN$1,"")</f>
        <v>3.9764309764309766</v>
      </c>
      <c r="FO17" s="67">
        <f>IFERROR(VLOOKUP($B17,RD[#All],FO$2,0)/FO$1,"")</f>
        <v>4.0037878787878789</v>
      </c>
      <c r="FP17" s="67">
        <f>IFERROR(VLOOKUP($B17,RD[#All],FP$2,0)/FP$1,"")</f>
        <v>3.908727272727273</v>
      </c>
      <c r="FQ17" s="67">
        <f>IFERROR(VLOOKUP($B17,RD[#All],FQ$2,0)/FQ$1,"")</f>
        <v>3.9054545454545453</v>
      </c>
      <c r="FR17" s="67">
        <f>IFERROR(VLOOKUP($B17,RD[#All],FR$2,0)/FR$1,"")</f>
        <v>3.9345454545454546</v>
      </c>
      <c r="FS17" s="67">
        <f>IFERROR(VLOOKUP($B17,RD[#All],FS$2,0)/FS$1,"")</f>
        <v>3.9595959595959598</v>
      </c>
      <c r="FT17" s="67">
        <f>IFERROR(VLOOKUP($B17,RD[#All],FT$2,0)/FT$1,"")</f>
        <v>3.9989090909090912</v>
      </c>
      <c r="FU17" s="67">
        <f>IFERROR(VLOOKUP($B17,RD[#All],FU$2,0)/FU$1,"")</f>
        <v>3.8484848484848486</v>
      </c>
      <c r="FV17" s="67">
        <f>IFERROR(VLOOKUP($B17,RD[#All],FV$2,0)/FV$1,"")</f>
        <v>3.8484848484848486</v>
      </c>
      <c r="FW17" s="67">
        <f>IFERROR(VLOOKUP($B17,RD[#All],FW$2,0)/FW$1,"")</f>
        <v>3.9204545454545454</v>
      </c>
      <c r="FX17" s="67">
        <f>IFERROR(VLOOKUP($B17,RD[#All],FX$2,0)/FX$1,"")</f>
        <v>3.9128787878787881</v>
      </c>
      <c r="FY17" s="67">
        <f>IFERROR(VLOOKUP($B17,RD[#All],FY$2,0)/FY$1,"")</f>
        <v>3.9225589225589226</v>
      </c>
      <c r="FZ17" s="67">
        <f>IFERROR(VLOOKUP($B17,RD[#All],FZ$2,0)/FZ$1,"")</f>
        <v>4.041666666666667</v>
      </c>
      <c r="GA17" s="67">
        <f>IFERROR(VLOOKUP($B17,RD[#All],GA$2,0)/GA$1,"")</f>
        <v>3.9580419580419579</v>
      </c>
      <c r="GB17" s="67">
        <f>IFERROR(VLOOKUP($B17,RD[#All],GB$2,0)/GB$1,"")</f>
        <v>3.9461279461279459</v>
      </c>
      <c r="GC17" s="67">
        <f>IFERROR(VLOOKUP($B17,RD[#All],GC$2,0)/GC$1,"")</f>
        <v>3.9528619528619529</v>
      </c>
      <c r="GD17" s="67">
        <f>IFERROR(VLOOKUP($B17,RD[#All],GD$2,0)/GD$1,"")</f>
        <v>4.1305454545454552</v>
      </c>
      <c r="GE17" s="67">
        <f>IFERROR(VLOOKUP($B17,RD[#All],GE$2,0)/GE$1,"")</f>
        <v>3.918181818181818</v>
      </c>
      <c r="GF17" s="67">
        <f>IFERROR(VLOOKUP($B17,RD[#All],GF$2,0)/GF$1,"")</f>
        <v>3.9326599326599325</v>
      </c>
      <c r="GG17" s="67">
        <f>IFERROR(VLOOKUP($B17,RD[#All],GG$2,0)/GG$1,"")</f>
        <v>3.9690909090909092</v>
      </c>
      <c r="GH17" s="67">
        <f>IFERROR(VLOOKUP($B17,RD[#All],GH$2,0)/GH$1,"")</f>
        <v>3.9127272727272726</v>
      </c>
      <c r="GI17" s="67">
        <f>IFERROR(VLOOKUP($B17,RD[#All],GI$2,0)/GI$1,"")</f>
        <v>3.72</v>
      </c>
      <c r="GJ17" s="67">
        <f>IFERROR(VLOOKUP($B17,RD[#All],GJ$2,0)/GJ$1,"")</f>
        <v>3.6538461538461537</v>
      </c>
      <c r="GK17" s="67">
        <f>IFERROR(VLOOKUP($B17,RD[#All],GK$2,0)/GK$1,"")</f>
        <v>4.0276515151515149</v>
      </c>
      <c r="GL17" s="67">
        <f>IFERROR(VLOOKUP($B17,RD[#All],GL$2,0)/GL$1,"")</f>
        <v>4.1363636363636367</v>
      </c>
      <c r="GM17" s="67">
        <f>IFERROR(VLOOKUP($B17,RD[#All],GM$2,0)/GM$1,"")</f>
        <v>4.0340909090909092</v>
      </c>
      <c r="GN17" s="67">
        <f>IFERROR(VLOOKUP($B17,RD[#All],GN$2,0)/GN$1,"")</f>
        <v>3.9583333333333335</v>
      </c>
      <c r="GO17" s="67">
        <f>IFERROR(VLOOKUP($B17,RD[#All],GO$2,0)/GO$1,"")</f>
        <v>4.1321969696969703</v>
      </c>
      <c r="GP17" s="67">
        <f>IFERROR(VLOOKUP($B17,RD[#All],GP$2,0)/GP$1,"")</f>
        <v>3.9583333333333335</v>
      </c>
      <c r="GQ17" s="67">
        <f>IFERROR(VLOOKUP($B17,RD[#All],GQ$2,0)/GQ$1,"")</f>
        <v>4.1654545454545451</v>
      </c>
      <c r="GR17" s="67">
        <f>IFERROR(VLOOKUP($B17,RD[#All],GR$2,0)/GR$1,"")</f>
        <v>4.1310606060606059</v>
      </c>
      <c r="GS17" s="67" t="str">
        <f>IFERROR(VLOOKUP($B17,RD[#All],GS$2,0)/GS$1,"")</f>
        <v/>
      </c>
      <c r="GT17" s="67" t="str">
        <f>IFERROR(VLOOKUP($B17,RD[#All],GT$2,0)/GT$1,"")</f>
        <v/>
      </c>
      <c r="GU17" s="67">
        <f>IFERROR(VLOOKUP($B17,RD[#All],GU$2,0)/GU$1,"")</f>
        <v>4.2339489885664028</v>
      </c>
      <c r="GV17" s="67">
        <f>IFERROR(VLOOKUP($B17,RD[#All],GV$2,0)/GV$1,"")</f>
        <v>4.0136590491200419</v>
      </c>
      <c r="GW17" s="67">
        <f>IFERROR(VLOOKUP($B17,RD[#All],GW$2,0)/GW$1,"")</f>
        <v>3.9430894308943087</v>
      </c>
      <c r="GX17" s="67" t="str">
        <f>IFERROR(VLOOKUP($B17,RD[#All],GX$2,0)/GX$1,"")</f>
        <v/>
      </c>
      <c r="GY17" s="67">
        <f>IFERROR(VLOOKUP($B17,RD[#All],GY$2,0)/GY$1,"")</f>
        <v>3.9610389610389607</v>
      </c>
      <c r="GZ17" s="67">
        <f>IFERROR(VLOOKUP($B17,RD[#All],GZ$2,0)/GZ$1,"")</f>
        <v>3.9438202247191012</v>
      </c>
      <c r="HA17" s="67">
        <f>IFERROR(VLOOKUP($B17,RD[#All],HA$2,0)/HA$1,"")</f>
        <v>3.9588014981273409</v>
      </c>
      <c r="HB17" s="67">
        <f>IFERROR(VLOOKUP($B17,RD[#All],HB$2,0)/HB$1,"")</f>
        <v>4.0453183520599252</v>
      </c>
      <c r="HC17" s="67">
        <f>IFERROR(VLOOKUP($B17,RD[#All],HC$2,0)/HC$1,"")</f>
        <v>4.0895131086142325</v>
      </c>
      <c r="HD17" s="67">
        <f>IFERROR(VLOOKUP($B17,RD[#All],HD$2,0)/HD$1,"")</f>
        <v>4.1292134831460672</v>
      </c>
      <c r="HE17" s="67">
        <f>IFERROR(VLOOKUP($B17,RD[#All],HE$2,0)/HE$1,"")</f>
        <v>4.1134831460674155</v>
      </c>
      <c r="HF17" s="67">
        <f>IFERROR(VLOOKUP($B17,RD[#All],HF$2,0)/HF$1,"")</f>
        <v>4.2573033707865173</v>
      </c>
      <c r="HG17" s="67">
        <f>IFERROR(VLOOKUP($B17,RD[#All],HG$2,0)/HG$1,"")</f>
        <v>4.1749063670411983</v>
      </c>
      <c r="HH17" s="67">
        <f>IFERROR(VLOOKUP($B17,RD[#All],HH$2,0)/HH$1,"")</f>
        <v>4.024719101123595</v>
      </c>
      <c r="HI17" s="67">
        <f>IFERROR(VLOOKUP($B17,RD[#All],HI$2,0)/HI$1,"")</f>
        <v>4.1561797752808989</v>
      </c>
      <c r="HJ17" s="67">
        <f>IFERROR(VLOOKUP($B17,RD[#All],HJ$2,0)/HJ$1,"")</f>
        <v>4.2101123595505614</v>
      </c>
      <c r="HK17" s="67">
        <f>IFERROR(VLOOKUP($B17,RD[#All],HK$2,0)/HK$1,"")</f>
        <v>3.9450686641697876</v>
      </c>
      <c r="HL17" s="67">
        <f>IFERROR(VLOOKUP($B17,RD[#All],HL$2,0)/HL$1,"")</f>
        <v>4.2453599667082811</v>
      </c>
      <c r="HM17" s="67">
        <f>IFERROR(VLOOKUP($B17,RD[#All],HM$2,0)/HM$1,"")</f>
        <v>4.2812360053739358</v>
      </c>
      <c r="HN17" s="67">
        <f>IFERROR(VLOOKUP($B17,RD[#All],HN$2,0)/HN$1,"")</f>
        <v>4.2946708463949843</v>
      </c>
      <c r="HO17" s="67">
        <f>IFERROR(VLOOKUP($B17,RD[#All],HO$2,0)/HO$1,"")</f>
        <v>4.2894461859979103</v>
      </c>
      <c r="HP17" s="67">
        <f>IFERROR(VLOOKUP($B17,RD[#All],HP$2,0)/HP$1,"")</f>
        <v>4.2758620689655169</v>
      </c>
      <c r="HQ17" s="67">
        <f>IFERROR(VLOOKUP($B17,RD[#All],HQ$2,0)/HQ$1,"")</f>
        <v>4.1135161135161136</v>
      </c>
      <c r="HR17" s="67">
        <f>IFERROR(VLOOKUP($B17,RD[#All],HR$2,0)/HR$1,"")</f>
        <v>4.2130942452043367</v>
      </c>
      <c r="HS17" s="67">
        <f>IFERROR(VLOOKUP($B17,RD[#All],HS$2,0)/HS$1,"")</f>
        <v>4.2782921348314611</v>
      </c>
      <c r="HT17" s="67">
        <f>IFERROR(VLOOKUP($B17,RD[#All],HT$2,0)/HT$1,"")</f>
        <v>4.3252600915522263</v>
      </c>
      <c r="HU17" s="67">
        <f>IFERROR(VLOOKUP($B17,RD[#All],HU$2,0)/HU$1,"")</f>
        <v>4.305272255834053</v>
      </c>
      <c r="HV17" s="67">
        <f>IFERROR(VLOOKUP($B17,RD[#All],HV$2,0)/HV$1,"")</f>
        <v>4.2337078651685394</v>
      </c>
      <c r="HW17" s="67">
        <f>IFERROR(VLOOKUP($B17,RD[#All],HW$2,0)/HW$1,"")</f>
        <v>4.3182022471910111</v>
      </c>
      <c r="HX17" s="67">
        <f>IFERROR(VLOOKUP($B17,RD[#All],HX$2,0)/HX$1,"")</f>
        <v>4.326707000864304</v>
      </c>
      <c r="HY17" s="67">
        <f>IFERROR(VLOOKUP($B17,RD[#All],HY$2,0)/HY$1,"")</f>
        <v>4.2903037869330003</v>
      </c>
      <c r="HZ17" s="67">
        <f>IFERROR(VLOOKUP($B17,RD[#All],HZ$2,0)/HZ$1,"")</f>
        <v>4.3039533915938408</v>
      </c>
      <c r="IA17" s="67">
        <f>IFERROR(VLOOKUP($B17,RD[#All],IA$2,0)/IA$1,"")</f>
        <v>4.112276612276613</v>
      </c>
      <c r="IB17" s="67">
        <f>IFERROR(VLOOKUP($B17,RD[#All],IB$2,0)/IB$1,"")</f>
        <v>4.1738816738816737</v>
      </c>
      <c r="IC17" s="67">
        <f>IFERROR(VLOOKUP($B17,RD[#All],IC$2,0)/IC$1,"")</f>
        <v>4.0571095571095572</v>
      </c>
      <c r="ID17" s="67">
        <f>IFERROR(VLOOKUP($B17,RD[#All],ID$2,0)/ID$1,"")</f>
        <v>4.1219603441825656</v>
      </c>
      <c r="IE17" s="67">
        <f>IFERROR(VLOOKUP($B17,RD[#All],IE$2,0)/IE$1,"")</f>
        <v>4.1220202020202024</v>
      </c>
      <c r="IF17" s="67" t="str">
        <f>IFERROR(VLOOKUP($B17,RD[#All],IF$2,0)/IF$1,"")</f>
        <v/>
      </c>
      <c r="IG17" s="67">
        <f>IFERROR(VLOOKUP($B17,RD[#All],IG$2,0)/IG$1,"")</f>
        <v>4.2470987829040476</v>
      </c>
      <c r="IH17" s="67">
        <f>IFERROR(VLOOKUP($B17,RD[#All],IH$2,0)/IH$1,"")</f>
        <v>4.0668756530825494</v>
      </c>
      <c r="II17" s="67">
        <f>IFERROR(VLOOKUP($B17,RD[#All],II$2,0)/II$1,"")</f>
        <v>4.0696517412935327</v>
      </c>
      <c r="IJ17" s="67">
        <f>IFERROR(VLOOKUP($B17,RD[#All],IJ$2,0)/IJ$1,"")</f>
        <v>4.1182192293303403</v>
      </c>
      <c r="IK17" s="67">
        <f>IFERROR(VLOOKUP($B17,RD[#All],IK$2,0)/IK$1,"")</f>
        <v>4.1445221445221447</v>
      </c>
      <c r="IL17" s="67" t="str">
        <f>IFERROR(VLOOKUP($B17,RD[#All],IL$2,0)/IL$1,"")</f>
        <v/>
      </c>
      <c r="IM17" s="67" t="str">
        <f>IFERROR(VLOOKUP($B17,RD[#All],IM$2,0)/IM$1,"")</f>
        <v/>
      </c>
      <c r="IN17" s="67">
        <f>IFERROR(VLOOKUP($B17,RD[#All],IN$2,0)/IN$1,"")</f>
        <v>4.1964472309299898</v>
      </c>
      <c r="IO17" s="67">
        <f>IFERROR(VLOOKUP($B17,RD[#All],IO$2,0)/IO$1,"")</f>
        <v>4.169278996865204</v>
      </c>
      <c r="IP17" s="67">
        <f>IFERROR(VLOOKUP($B17,RD[#All],IP$2,0)/IP$1,"")</f>
        <v>4.7925266130784268</v>
      </c>
      <c r="IQ17" s="67">
        <f>IFERROR(VLOOKUP($B17,RD[#All],IQ$2,0)/IQ$1,"")</f>
        <v>3.9316239316239319</v>
      </c>
      <c r="IR17" s="67">
        <f>IFERROR(VLOOKUP($B17,RD[#All],IR$2,0)/IR$1,"")</f>
        <v>3.919983416252073</v>
      </c>
      <c r="IS17" s="86">
        <f>IFERROR(AVERAGEIF(Inv_SY_B[[#This Row],[BLK1_INV1]:[BLK8_INV27]],"&gt;"&amp;0.1,Inv_SY_B[[#This Row],[BLK1_INV1]:[BLK8_INV27]]),"")</f>
        <v>4.0131005618180131</v>
      </c>
    </row>
    <row r="18" spans="2:253" x14ac:dyDescent="0.25">
      <c r="B18" s="85">
        <f t="shared" si="0"/>
        <v>45844</v>
      </c>
      <c r="C18" s="67">
        <f>IFERROR(VLOOKUP($B18,RD[#All],C$2,0)/C$1,"")</f>
        <v>3.4271391529818493</v>
      </c>
      <c r="D18" s="67">
        <f>IFERROR(VLOOKUP($B18,RD[#All],D$2,0)/D$1,"")</f>
        <v>3.5004321521175452</v>
      </c>
      <c r="E18" s="67">
        <f>IFERROR(VLOOKUP($B18,RD[#All],E$2,0)/E$1,"")</f>
        <v>3.5074906367041199</v>
      </c>
      <c r="F18" s="67">
        <f>IFERROR(VLOOKUP($B18,RD[#All],F$2,0)/F$1,"")</f>
        <v>3.5044943820224721</v>
      </c>
      <c r="G18" s="67">
        <f>IFERROR(VLOOKUP($B18,RD[#All],G$2,0)/G$1,"")</f>
        <v>3.4696629213483146</v>
      </c>
      <c r="H18" s="67">
        <f>IFERROR(VLOOKUP($B18,RD[#All],H$2,0)/H$1,"")</f>
        <v>3.4644194756554305</v>
      </c>
      <c r="I18" s="67">
        <f>IFERROR(VLOOKUP($B18,RD[#All],I$2,0)/I$1,"")</f>
        <v>3.4928838951310861</v>
      </c>
      <c r="J18" s="67">
        <f>IFERROR(VLOOKUP($B18,RD[#All],J$2,0)/J$1,"")</f>
        <v>3.5026217228464422</v>
      </c>
      <c r="K18" s="67">
        <f>IFERROR(VLOOKUP($B18,RD[#All],K$2,0)/K$1,"")</f>
        <v>3.4595955056179779</v>
      </c>
      <c r="L18" s="67">
        <f>IFERROR(VLOOKUP($B18,RD[#All],L$2,0)/L$1,"")</f>
        <v>3.4800898876404496</v>
      </c>
      <c r="M18" s="67">
        <f>IFERROR(VLOOKUP($B18,RD[#All],M$2,0)/M$1,"")</f>
        <v>3.5168539325842696</v>
      </c>
      <c r="N18" s="67">
        <f>IFERROR(VLOOKUP($B18,RD[#All],N$2,0)/N$1,"")</f>
        <v>3.5441947565543068</v>
      </c>
      <c r="O18" s="67">
        <f>IFERROR(VLOOKUP($B18,RD[#All],O$2,0)/O$1,"")</f>
        <v>3.5093632958801497</v>
      </c>
      <c r="P18" s="67">
        <f>IFERROR(VLOOKUP($B18,RD[#All],P$2,0)/P$1,"")</f>
        <v>3.5697650663942802</v>
      </c>
      <c r="Q18" s="67">
        <f>IFERROR(VLOOKUP($B18,RD[#All],Q$2,0)/Q$1,"")</f>
        <v>3.4771535580524344</v>
      </c>
      <c r="R18" s="67">
        <f>IFERROR(VLOOKUP($B18,RD[#All],R$2,0)/R$1,"")</f>
        <v>3.4580524344569286</v>
      </c>
      <c r="S18" s="67">
        <f>IFERROR(VLOOKUP($B18,RD[#All],S$2,0)/S$1,"")</f>
        <v>3.4666666666666668</v>
      </c>
      <c r="T18" s="67">
        <f>IFERROR(VLOOKUP($B18,RD[#All],T$2,0)/T$1,"")</f>
        <v>3.457677902621723</v>
      </c>
      <c r="U18" s="67">
        <f>IFERROR(VLOOKUP($B18,RD[#All],U$2,0)/U$1,"")</f>
        <v>3.4668971477960242</v>
      </c>
      <c r="V18" s="67">
        <f>IFERROR(VLOOKUP($B18,RD[#All],V$2,0)/V$1,"")</f>
        <v>3.4672428694900606</v>
      </c>
      <c r="W18" s="67">
        <f>IFERROR(VLOOKUP($B18,RD[#All],W$2,0)/W$1,"")</f>
        <v>3.4850187265917603</v>
      </c>
      <c r="X18" s="67">
        <f>IFERROR(VLOOKUP($B18,RD[#All],X$2,0)/X$1,"")</f>
        <v>3.4812734082397006</v>
      </c>
      <c r="Y18" s="67">
        <f>IFERROR(VLOOKUP($B18,RD[#All],Y$2,0)/Y$1,"")</f>
        <v>3.4261019878997407</v>
      </c>
      <c r="Z18" s="67">
        <f>IFERROR(VLOOKUP($B18,RD[#All],Z$2,0)/Z$1,"")</f>
        <v>3.4989596337910944</v>
      </c>
      <c r="AA18" s="67">
        <f>IFERROR(VLOOKUP($B18,RD[#All],AA$2,0)/AA$1,"")</f>
        <v>3.5014693171996543</v>
      </c>
      <c r="AB18" s="67">
        <f>IFERROR(VLOOKUP($B18,RD[#All],AB$2,0)/AB$1,"")</f>
        <v>3.4707000864304236</v>
      </c>
      <c r="AC18" s="67">
        <f>IFERROR(VLOOKUP($B18,RD[#All],AC$2,0)/AC$1,"")</f>
        <v>3.4461538461538459</v>
      </c>
      <c r="AD18" s="67">
        <f>IFERROR(VLOOKUP($B18,RD[#All],AD$2,0)/AD$1,"")</f>
        <v>3.4605842696629212</v>
      </c>
      <c r="AE18" s="67">
        <f>IFERROR(VLOOKUP($B18,RD[#All],AE$2,0)/AE$1,"")</f>
        <v>3.4839783603828547</v>
      </c>
      <c r="AF18" s="67">
        <f>IFERROR(VLOOKUP($B18,RD[#All],AF$2,0)/AF$1,"")</f>
        <v>3.4496878901373287</v>
      </c>
      <c r="AG18" s="67">
        <f>IFERROR(VLOOKUP($B18,RD[#All],AG$2,0)/AG$1,"")</f>
        <v>3.4473574698293801</v>
      </c>
      <c r="AH18" s="67">
        <f>IFERROR(VLOOKUP($B18,RD[#All],AH$2,0)/AH$1,"")</f>
        <v>3.4796504369538077</v>
      </c>
      <c r="AI18" s="67">
        <f>IFERROR(VLOOKUP($B18,RD[#All],AI$2,0)/AI$1,"")</f>
        <v>3.4669811320754715</v>
      </c>
      <c r="AJ18" s="67">
        <f>IFERROR(VLOOKUP($B18,RD[#All],AJ$2,0)/AJ$1,"")</f>
        <v>3.5032132715588102</v>
      </c>
      <c r="AK18" s="67">
        <f>IFERROR(VLOOKUP($B18,RD[#All],AK$2,0)/AK$1,"")</f>
        <v>3.4348314606741575</v>
      </c>
      <c r="AL18" s="67">
        <f>IFERROR(VLOOKUP($B18,RD[#All],AL$2,0)/AL$1,"")</f>
        <v>3.4084978253596523</v>
      </c>
      <c r="AM18" s="67">
        <f>IFERROR(VLOOKUP($B18,RD[#All],AM$2,0)/AM$1,"")</f>
        <v>3.4674157303370783</v>
      </c>
      <c r="AN18" s="67">
        <f>IFERROR(VLOOKUP($B18,RD[#All],AN$2,0)/AN$1,"")</f>
        <v>3.4157303370786516</v>
      </c>
      <c r="AO18" s="67">
        <f>IFERROR(VLOOKUP($B18,RD[#All],AO$2,0)/AO$1,"")</f>
        <v>3.404494382022472</v>
      </c>
      <c r="AP18" s="67">
        <f>IFERROR(VLOOKUP($B18,RD[#All],AP$2,0)/AP$1,"")</f>
        <v>3.4213483146067416</v>
      </c>
      <c r="AQ18" s="67">
        <f>IFERROR(VLOOKUP($B18,RD[#All],AQ$2,0)/AQ$1,"")</f>
        <v>3.4269662921348316</v>
      </c>
      <c r="AR18" s="67">
        <f>IFERROR(VLOOKUP($B18,RD[#All],AR$2,0)/AR$1,"")</f>
        <v>3.4494382022471912</v>
      </c>
      <c r="AS18" s="67">
        <f>IFERROR(VLOOKUP($B18,RD[#All],AS$2,0)/AS$1,"")</f>
        <v>3.4419475655430714</v>
      </c>
      <c r="AT18" s="67">
        <f>IFERROR(VLOOKUP($B18,RD[#All],AT$2,0)/AT$1,"")</f>
        <v>3.4794007490636703</v>
      </c>
      <c r="AU18" s="67">
        <f>IFERROR(VLOOKUP($B18,RD[#All],AU$2,0)/AU$1,"")</f>
        <v>3.4606741573033708</v>
      </c>
      <c r="AV18" s="67">
        <f>IFERROR(VLOOKUP($B18,RD[#All],AV$2,0)/AV$1,"")</f>
        <v>3.4063670411985019</v>
      </c>
      <c r="AW18" s="67">
        <f>IFERROR(VLOOKUP($B18,RD[#All],AW$2,0)/AW$1,"")</f>
        <v>3.4261019878997407</v>
      </c>
      <c r="AX18" s="67">
        <f>IFERROR(VLOOKUP($B18,RD[#All],AX$2,0)/AX$1,"")</f>
        <v>3.4644194756554305</v>
      </c>
      <c r="AY18" s="67">
        <f>IFERROR(VLOOKUP($B18,RD[#All],AY$2,0)/AY$1,"")</f>
        <v>3.437303370786517</v>
      </c>
      <c r="AZ18" s="67">
        <f>IFERROR(VLOOKUP($B18,RD[#All],AZ$2,0)/AZ$1,"")</f>
        <v>3.4408988764044945</v>
      </c>
      <c r="BA18" s="67">
        <f>IFERROR(VLOOKUP($B18,RD[#All],BA$2,0)/BA$1,"")</f>
        <v>3.4644194756554305</v>
      </c>
      <c r="BB18" s="67">
        <f>IFERROR(VLOOKUP($B18,RD[#All],BB$2,0)/BB$1,"")</f>
        <v>3.435580524344569</v>
      </c>
      <c r="BC18" s="67">
        <f>IFERROR(VLOOKUP($B18,RD[#All],BC$2,0)/BC$1,"")</f>
        <v>3.5232625884311277</v>
      </c>
      <c r="BD18" s="67">
        <f>IFERROR(VLOOKUP($B18,RD[#All],BD$2,0)/BD$1,"")</f>
        <v>3.4183936745734496</v>
      </c>
      <c r="BE18" s="67">
        <f>IFERROR(VLOOKUP($B18,RD[#All],BE$2,0)/BE$1,"")</f>
        <v>3.4261019878997407</v>
      </c>
      <c r="BF18" s="67">
        <f>IFERROR(VLOOKUP($B18,RD[#All],BF$2,0)/BF$1,"")</f>
        <v>3.4966292134831458</v>
      </c>
      <c r="BG18" s="67">
        <f>IFERROR(VLOOKUP($B18,RD[#All],BG$2,0)/BG$1,"")</f>
        <v>3.523595505617978</v>
      </c>
      <c r="BH18" s="67">
        <f>IFERROR(VLOOKUP($B18,RD[#All],BH$2,0)/BH$1,"")</f>
        <v>3.5280898876404496</v>
      </c>
      <c r="BI18" s="67">
        <f>IFERROR(VLOOKUP($B18,RD[#All],BI$2,0)/BI$1,"")</f>
        <v>3.4816479400749061</v>
      </c>
      <c r="BJ18" s="67">
        <f>IFERROR(VLOOKUP($B18,RD[#All],BJ$2,0)/BJ$1,"")</f>
        <v>3.5232625884311277</v>
      </c>
      <c r="BK18" s="67">
        <f>IFERROR(VLOOKUP($B18,RD[#All],BK$2,0)/BK$1,"")</f>
        <v>3.435580524344569</v>
      </c>
      <c r="BL18" s="67">
        <f>IFERROR(VLOOKUP($B18,RD[#All],BL$2,0)/BL$1,"")</f>
        <v>3.5309468049514892</v>
      </c>
      <c r="BM18" s="67">
        <f>IFERROR(VLOOKUP($B18,RD[#All],BM$2,0)/BM$1,"")</f>
        <v>3.4531835205992509</v>
      </c>
      <c r="BN18" s="67">
        <f>IFERROR(VLOOKUP($B18,RD[#All],BN$2,0)/BN$1,"")</f>
        <v>3.4733542319749215</v>
      </c>
      <c r="BO18" s="67">
        <f>IFERROR(VLOOKUP($B18,RD[#All],BO$2,0)/BO$1,"")</f>
        <v>3.5685393258426967</v>
      </c>
      <c r="BP18" s="67">
        <f>IFERROR(VLOOKUP($B18,RD[#All],BP$2,0)/BP$1,"")</f>
        <v>3.5592048401037166</v>
      </c>
      <c r="BQ18" s="67">
        <f>IFERROR(VLOOKUP($B18,RD[#All],BQ$2,0)/BQ$1,"")</f>
        <v>3.5872082973206565</v>
      </c>
      <c r="BR18" s="67">
        <f>IFERROR(VLOOKUP($B18,RD[#All],BR$2,0)/BR$1,"")</f>
        <v>3.507000864304235</v>
      </c>
      <c r="BS18" s="67">
        <f>IFERROR(VLOOKUP($B18,RD[#All],BS$2,0)/BS$1,"")</f>
        <v>3.4543071161048688</v>
      </c>
      <c r="BT18" s="67">
        <f>IFERROR(VLOOKUP($B18,RD[#All],BT$2,0)/BT$1,"")</f>
        <v>3.5292134831460671</v>
      </c>
      <c r="BU18" s="67">
        <f>IFERROR(VLOOKUP($B18,RD[#All],BU$2,0)/BU$1,"")</f>
        <v>3.5573033707865167</v>
      </c>
      <c r="BV18" s="67">
        <f>IFERROR(VLOOKUP($B18,RD[#All],BV$2,0)/BV$1,"")</f>
        <v>3.511985018726592</v>
      </c>
      <c r="BW18" s="67">
        <f>IFERROR(VLOOKUP($B18,RD[#All],BW$2,0)/BW$1,"")</f>
        <v>3.5505617977528088</v>
      </c>
      <c r="BX18" s="67">
        <f>IFERROR(VLOOKUP($B18,RD[#All],BX$2,0)/BX$1,"")</f>
        <v>3.5614232209737828</v>
      </c>
      <c r="BY18" s="67">
        <f>IFERROR(VLOOKUP($B18,RD[#All],BY$2,0)/BY$1,"")</f>
        <v>3.598168955472326</v>
      </c>
      <c r="BZ18" s="67">
        <f>IFERROR(VLOOKUP($B18,RD[#All],BZ$2,0)/BZ$1,"")</f>
        <v>3.5312526009155225</v>
      </c>
      <c r="CA18" s="67">
        <f>IFERROR(VLOOKUP($B18,RD[#All],CA$2,0)/CA$1,"")</f>
        <v>3.6174781523096127</v>
      </c>
      <c r="CB18" s="67">
        <f>IFERROR(VLOOKUP($B18,RD[#All],CB$2,0)/CB$1,"")</f>
        <v>3.5546816479400749</v>
      </c>
      <c r="CC18" s="67">
        <f>IFERROR(VLOOKUP($B18,RD[#All],CC$2,0)/CC$1,"")</f>
        <v>3.4760299625468165</v>
      </c>
      <c r="CD18" s="67">
        <f>IFERROR(VLOOKUP($B18,RD[#All],CD$2,0)/CD$1,"")</f>
        <v>3.5239412273120139</v>
      </c>
      <c r="CE18" s="67">
        <f>IFERROR(VLOOKUP($B18,RD[#All],CE$2,0)/CE$1,"")</f>
        <v>3.4494382022471912</v>
      </c>
      <c r="CF18" s="67">
        <f>IFERROR(VLOOKUP($B18,RD[#All],CF$2,0)/CF$1,"")</f>
        <v>3.5842696629213484</v>
      </c>
      <c r="CG18" s="67">
        <f>IFERROR(VLOOKUP($B18,RD[#All],CG$2,0)/CG$1,"")</f>
        <v>3.4838951310861423</v>
      </c>
      <c r="CH18" s="67">
        <f>IFERROR(VLOOKUP($B18,RD[#All],CH$2,0)/CH$1,"")</f>
        <v>3.4265917602996252</v>
      </c>
      <c r="CI18" s="67">
        <f>IFERROR(VLOOKUP($B18,RD[#All],CI$2,0)/CI$1,"")</f>
        <v>3.4681647940074907</v>
      </c>
      <c r="CJ18" s="67">
        <f>IFERROR(VLOOKUP($B18,RD[#All],CJ$2,0)/CJ$1,"")</f>
        <v>3.4906367041198503</v>
      </c>
      <c r="CK18" s="67">
        <f>IFERROR(VLOOKUP($B18,RD[#All],CK$2,0)/CK$1,"")</f>
        <v>3.5198501872659174</v>
      </c>
      <c r="CL18" s="67">
        <f>IFERROR(VLOOKUP($B18,RD[#All],CL$2,0)/CL$1,"")</f>
        <v>3.4921348314606742</v>
      </c>
      <c r="CM18" s="67">
        <f>IFERROR(VLOOKUP($B18,RD[#All],CM$2,0)/CM$1,"")</f>
        <v>3.5205992509363297</v>
      </c>
      <c r="CN18" s="67">
        <f>IFERROR(VLOOKUP($B18,RD[#All],CN$2,0)/CN$1,"")</f>
        <v>3.4827715355805244</v>
      </c>
      <c r="CO18" s="67">
        <f>IFERROR(VLOOKUP($B18,RD[#All],CO$2,0)/CO$1,"")</f>
        <v>3.5171235955056179</v>
      </c>
      <c r="CP18" s="67">
        <f>IFERROR(VLOOKUP($B18,RD[#All],CP$2,0)/CP$1,"")</f>
        <v>3.5388072601555747</v>
      </c>
      <c r="CQ18" s="67">
        <f>IFERROR(VLOOKUP($B18,RD[#All],CQ$2,0)/CQ$1,"")</f>
        <v>3.606741573033708</v>
      </c>
      <c r="CR18" s="67">
        <f>IFERROR(VLOOKUP($B18,RD[#All],CR$2,0)/CR$1,"")</f>
        <v>3.5318352059925093</v>
      </c>
      <c r="CS18" s="67">
        <f>IFERROR(VLOOKUP($B18,RD[#All],CS$2,0)/CS$1,"")</f>
        <v>3.5245942571785269</v>
      </c>
      <c r="CT18" s="67">
        <f>IFERROR(VLOOKUP($B18,RD[#All],CT$2,0)/CT$1,"")</f>
        <v>3.5333333333333332</v>
      </c>
      <c r="CU18" s="67">
        <f>IFERROR(VLOOKUP($B18,RD[#All],CU$2,0)/CU$1,"")</f>
        <v>3.4059925093632959</v>
      </c>
      <c r="CV18" s="67">
        <f>IFERROR(VLOOKUP($B18,RD[#All],CV$2,0)/CV$1,"")</f>
        <v>3.612734082397004</v>
      </c>
      <c r="CW18" s="67">
        <f>IFERROR(VLOOKUP($B18,RD[#All],CW$2,0)/CW$1,"")</f>
        <v>3.5865168539325842</v>
      </c>
      <c r="CX18" s="67">
        <f>IFERROR(VLOOKUP($B18,RD[#All],CX$2,0)/CX$1,"")</f>
        <v>3.5168539325842696</v>
      </c>
      <c r="CY18" s="67">
        <f>IFERROR(VLOOKUP($B18,RD[#All],CY$2,0)/CY$1,"")</f>
        <v>3.4868913857677901</v>
      </c>
      <c r="CZ18" s="67">
        <f>IFERROR(VLOOKUP($B18,RD[#All],CZ$2,0)/CZ$1,"")</f>
        <v>3.4906367041198503</v>
      </c>
      <c r="DA18" s="67">
        <f>IFERROR(VLOOKUP($B18,RD[#All],DA$2,0)/DA$1,"")</f>
        <v>3.5393258426966292</v>
      </c>
      <c r="DB18" s="67">
        <f>IFERROR(VLOOKUP($B18,RD[#All],DB$2,0)/DB$1,"")</f>
        <v>3.5872659176029962</v>
      </c>
      <c r="DC18" s="67">
        <f>IFERROR(VLOOKUP($B18,RD[#All],DC$2,0)/DC$1,"")</f>
        <v>3.5798585101955887</v>
      </c>
      <c r="DD18" s="67">
        <f>IFERROR(VLOOKUP($B18,RD[#All],DD$2,0)/DD$1,"")</f>
        <v>3.4119850187265919</v>
      </c>
      <c r="DE18" s="67">
        <f>IFERROR(VLOOKUP($B18,RD[#All],DE$2,0)/DE$1,"")</f>
        <v>3.5722014148980441</v>
      </c>
      <c r="DF18" s="67">
        <f>IFERROR(VLOOKUP($B18,RD[#All],DF$2,0)/DF$1,"")</f>
        <v>3.5981933757109403</v>
      </c>
      <c r="DG18" s="67">
        <f>IFERROR(VLOOKUP($B18,RD[#All],DG$2,0)/DG$1,"")</f>
        <v>3.5580524344569286</v>
      </c>
      <c r="DH18" s="67">
        <f>IFERROR(VLOOKUP($B18,RD[#All],DH$2,0)/DH$1,"")</f>
        <v>3.57752808988764</v>
      </c>
      <c r="DI18" s="67">
        <f>IFERROR(VLOOKUP($B18,RD[#All],DI$2,0)/DI$1,"")</f>
        <v>3.5526361279170264</v>
      </c>
      <c r="DJ18" s="67">
        <f>IFERROR(VLOOKUP($B18,RD[#All],DJ$2,0)/DJ$1,"")</f>
        <v>3.5733794295592047</v>
      </c>
      <c r="DK18" s="67">
        <f>IFERROR(VLOOKUP($B18,RD[#All],DK$2,0)/DK$1,"")</f>
        <v>3.5941739492301288</v>
      </c>
      <c r="DL18" s="67">
        <f>IFERROR(VLOOKUP($B18,RD[#All],DL$2,0)/DL$1,"")</f>
        <v>3.5845193508114859</v>
      </c>
      <c r="DM18" s="67">
        <f>IFERROR(VLOOKUP($B18,RD[#All],DM$2,0)/DM$1,"")</f>
        <v>3.5779026217228465</v>
      </c>
      <c r="DN18" s="67">
        <f>IFERROR(VLOOKUP($B18,RD[#All],DN$2,0)/DN$1,"")</f>
        <v>3.4569288389513106</v>
      </c>
      <c r="DO18" s="67">
        <f>IFERROR(VLOOKUP($B18,RD[#All],DO$2,0)/DO$1,"")</f>
        <v>3.429240548678488</v>
      </c>
      <c r="DP18" s="67">
        <f>IFERROR(VLOOKUP($B18,RD[#All],DP$2,0)/DP$1,"")</f>
        <v>3.4323761964211403</v>
      </c>
      <c r="DQ18" s="67">
        <f>IFERROR(VLOOKUP($B18,RD[#All],DQ$2,0)/DQ$1,"")</f>
        <v>3.5835205992509365</v>
      </c>
      <c r="DR18" s="67">
        <f>IFERROR(VLOOKUP($B18,RD[#All],DR$2,0)/DR$1,"")</f>
        <v>3.5543071161048689</v>
      </c>
      <c r="DS18" s="67">
        <f>IFERROR(VLOOKUP($B18,RD[#All],DS$2,0)/DS$1,"")</f>
        <v>3.5602996254681649</v>
      </c>
      <c r="DT18" s="67">
        <f>IFERROR(VLOOKUP($B18,RD[#All],DT$2,0)/DT$1,"")</f>
        <v>3.3814398668331256</v>
      </c>
      <c r="DU18" s="67">
        <f>IFERROR(VLOOKUP($B18,RD[#All],DU$2,0)/DU$1,"")</f>
        <v>3.4513524760715772</v>
      </c>
      <c r="DV18" s="67">
        <f>IFERROR(VLOOKUP($B18,RD[#All],DV$2,0)/DV$1,"")</f>
        <v>3.4689138576779026</v>
      </c>
      <c r="DW18" s="67">
        <f>IFERROR(VLOOKUP($B18,RD[#All],DW$2,0)/DW$1,"")</f>
        <v>3.5153558052434457</v>
      </c>
      <c r="DX18" s="67">
        <f>IFERROR(VLOOKUP($B18,RD[#All],DX$2,0)/DX$1,"")</f>
        <v>3.5322513524760715</v>
      </c>
      <c r="DY18" s="67">
        <f>IFERROR(VLOOKUP($B18,RD[#All],DY$2,0)/DY$1,"")</f>
        <v>3.4419475655430714</v>
      </c>
      <c r="DZ18" s="67">
        <f>IFERROR(VLOOKUP($B18,RD[#All],DZ$2,0)/DZ$1,"")</f>
        <v>3.4644194756554305</v>
      </c>
      <c r="EA18" s="67">
        <f>IFERROR(VLOOKUP($B18,RD[#All],EA$2,0)/EA$1,"")</f>
        <v>3.4550145651269246</v>
      </c>
      <c r="EB18" s="67">
        <f>IFERROR(VLOOKUP($B18,RD[#All],EB$2,0)/EB$1,"")</f>
        <v>3.4726591760299623</v>
      </c>
      <c r="EC18" s="67">
        <f>IFERROR(VLOOKUP($B18,RD[#All],EC$2,0)/EC$1,"")</f>
        <v>3.4261019878997407</v>
      </c>
      <c r="ED18" s="67">
        <f>IFERROR(VLOOKUP($B18,RD[#All],ED$2,0)/ED$1,"")</f>
        <v>3.533275713050994</v>
      </c>
      <c r="EE18" s="67">
        <f>IFERROR(VLOOKUP($B18,RD[#All],EE$2,0)/EE$1,"")</f>
        <v>3.50561797752809</v>
      </c>
      <c r="EF18" s="67">
        <f>IFERROR(VLOOKUP($B18,RD[#All],EF$2,0)/EF$1,"")</f>
        <v>3.5869254341164454</v>
      </c>
      <c r="EG18" s="67">
        <f>IFERROR(VLOOKUP($B18,RD[#All],EG$2,0)/EG$1,"")</f>
        <v>3.5524475524475525</v>
      </c>
      <c r="EH18" s="67">
        <f>IFERROR(VLOOKUP($B18,RD[#All],EH$2,0)/EH$1,"")</f>
        <v>3.45</v>
      </c>
      <c r="EI18" s="67">
        <f>IFERROR(VLOOKUP($B18,RD[#All],EI$2,0)/EI$1,"")</f>
        <v>3.43006993006993</v>
      </c>
      <c r="EJ18" s="67">
        <f>IFERROR(VLOOKUP($B18,RD[#All],EJ$2,0)/EJ$1,"")</f>
        <v>3.5804195804195804</v>
      </c>
      <c r="EK18" s="67">
        <f>IFERROR(VLOOKUP($B18,RD[#All],EK$2,0)/EK$1,"")</f>
        <v>3.559550561797753</v>
      </c>
      <c r="EL18" s="67">
        <f>IFERROR(VLOOKUP($B18,RD[#All],EL$2,0)/EL$1,"")</f>
        <v>3.5617977528089888</v>
      </c>
      <c r="EM18" s="67">
        <f>IFERROR(VLOOKUP($B18,RD[#All],EM$2,0)/EM$1,"")</f>
        <v>3.5156439066551424</v>
      </c>
      <c r="EN18" s="67">
        <f>IFERROR(VLOOKUP($B18,RD[#All],EN$2,0)/EN$1,"")</f>
        <v>3.4876404494382021</v>
      </c>
      <c r="EO18" s="67">
        <f>IFERROR(VLOOKUP($B18,RD[#All],EO$2,0)/EO$1,"")</f>
        <v>3.595505617977528</v>
      </c>
      <c r="EP18" s="67">
        <f>IFERROR(VLOOKUP($B18,RD[#All],EP$2,0)/EP$1,"")</f>
        <v>3.567847882454624</v>
      </c>
      <c r="EQ18" s="67">
        <f>IFERROR(VLOOKUP($B18,RD[#All],EQ$2,0)/EQ$1,"")</f>
        <v>3.5138576779026218</v>
      </c>
      <c r="ER18" s="67">
        <f>IFERROR(VLOOKUP($B18,RD[#All],ER$2,0)/ER$1,"")</f>
        <v>3.5263612791702679</v>
      </c>
      <c r="ES18" s="67">
        <f>IFERROR(VLOOKUP($B18,RD[#All],ES$2,0)/ES$1,"")</f>
        <v>3.4981273408239701</v>
      </c>
      <c r="ET18" s="67">
        <f>IFERROR(VLOOKUP($B18,RD[#All],ET$2,0)/ET$1,"")</f>
        <v>3.5587334014300307</v>
      </c>
      <c r="EU18" s="67">
        <f>IFERROR(VLOOKUP($B18,RD[#All],EU$2,0)/EU$1,"")</f>
        <v>3.4191875540190146</v>
      </c>
      <c r="EV18" s="67">
        <f>IFERROR(VLOOKUP($B18,RD[#All],EV$2,0)/EV$1,"")</f>
        <v>3.5229040622299048</v>
      </c>
      <c r="EW18" s="67">
        <f>IFERROR(VLOOKUP($B18,RD[#All],EW$2,0)/EW$1,"")</f>
        <v>3.567847882454624</v>
      </c>
      <c r="EX18" s="67">
        <f>IFERROR(VLOOKUP($B18,RD[#All],EX$2,0)/EX$1,"")</f>
        <v>3.5730337078651684</v>
      </c>
      <c r="EY18" s="67">
        <f>IFERROR(VLOOKUP($B18,RD[#All],EY$2,0)/EY$1,"")</f>
        <v>3.5968372867249276</v>
      </c>
      <c r="EZ18" s="67">
        <f>IFERROR(VLOOKUP($B18,RD[#All],EZ$2,0)/EZ$1,"")</f>
        <v>3.5917602996254683</v>
      </c>
      <c r="FA18" s="67">
        <f>IFERROR(VLOOKUP($B18,RD[#All],FA$2,0)/FA$1,"")</f>
        <v>3.5812734082397006</v>
      </c>
      <c r="FB18" s="67">
        <f>IFERROR(VLOOKUP($B18,RD[#All],FB$2,0)/FB$1,"")</f>
        <v>3.5670411985018724</v>
      </c>
      <c r="FC18" s="67">
        <f>IFERROR(VLOOKUP($B18,RD[#All],FC$2,0)/FC$1,"")</f>
        <v>3.5853932584269663</v>
      </c>
      <c r="FD18" s="67">
        <f>IFERROR(VLOOKUP($B18,RD[#All],FD$2,0)/FD$1,"")</f>
        <v>3.5112359550561796</v>
      </c>
      <c r="FE18" s="67">
        <f>IFERROR(VLOOKUP($B18,RD[#All],FE$2,0)/FE$1,"")</f>
        <v>3.5022727272727274</v>
      </c>
      <c r="FF18" s="67">
        <f>IFERROR(VLOOKUP($B18,RD[#All],FF$2,0)/FF$1,"")</f>
        <v>3.4340909090909091</v>
      </c>
      <c r="FG18" s="67">
        <f>IFERROR(VLOOKUP($B18,RD[#All],FG$2,0)/FG$1,"")</f>
        <v>3.4414141414141417</v>
      </c>
      <c r="FH18" s="67">
        <f>IFERROR(VLOOKUP($B18,RD[#All],FH$2,0)/FH$1,"")</f>
        <v>3.5037878787878789</v>
      </c>
      <c r="FI18" s="67">
        <f>IFERROR(VLOOKUP($B18,RD[#All],FI$2,0)/FI$1,"")</f>
        <v>3.4377104377104377</v>
      </c>
      <c r="FJ18" s="67">
        <f>IFERROR(VLOOKUP($B18,RD[#All],FJ$2,0)/FJ$1,"")</f>
        <v>3.4713804713804715</v>
      </c>
      <c r="FK18" s="67">
        <f>IFERROR(VLOOKUP($B18,RD[#All],FK$2,0)/FK$1,"")</f>
        <v>3.5225589225589227</v>
      </c>
      <c r="FL18" s="67">
        <f>IFERROR(VLOOKUP($B18,RD[#All],FL$2,0)/FL$1,"")</f>
        <v>3.4290909090909092</v>
      </c>
      <c r="FM18" s="67">
        <f>IFERROR(VLOOKUP($B18,RD[#All],FM$2,0)/FM$1,"")</f>
        <v>3.5795454545454546</v>
      </c>
      <c r="FN18" s="67">
        <f>IFERROR(VLOOKUP($B18,RD[#All],FN$2,0)/FN$1,"")</f>
        <v>3.4646464646464645</v>
      </c>
      <c r="FO18" s="67">
        <f>IFERROR(VLOOKUP($B18,RD[#All],FO$2,0)/FO$1,"")</f>
        <v>3.4079545454545457</v>
      </c>
      <c r="FP18" s="67">
        <f>IFERROR(VLOOKUP($B18,RD[#All],FP$2,0)/FP$1,"")</f>
        <v>3.4363636363636365</v>
      </c>
      <c r="FQ18" s="67">
        <f>IFERROR(VLOOKUP($B18,RD[#All],FQ$2,0)/FQ$1,"")</f>
        <v>3.4145454545454546</v>
      </c>
      <c r="FR18" s="67">
        <f>IFERROR(VLOOKUP($B18,RD[#All],FR$2,0)/FR$1,"")</f>
        <v>3.458181818181818</v>
      </c>
      <c r="FS18" s="67">
        <f>IFERROR(VLOOKUP($B18,RD[#All],FS$2,0)/FS$1,"")</f>
        <v>3.4717171717171715</v>
      </c>
      <c r="FT18" s="67">
        <f>IFERROR(VLOOKUP($B18,RD[#All],FT$2,0)/FT$1,"")</f>
        <v>3.4672727272727273</v>
      </c>
      <c r="FU18" s="67">
        <f>IFERROR(VLOOKUP($B18,RD[#All],FU$2,0)/FU$1,"")</f>
        <v>3.4646464646464645</v>
      </c>
      <c r="FV18" s="67">
        <f>IFERROR(VLOOKUP($B18,RD[#All],FV$2,0)/FV$1,"")</f>
        <v>3.5568181818181817</v>
      </c>
      <c r="FW18" s="67">
        <f>IFERROR(VLOOKUP($B18,RD[#All],FW$2,0)/FW$1,"")</f>
        <v>3.4924242424242422</v>
      </c>
      <c r="FX18" s="67">
        <f>IFERROR(VLOOKUP($B18,RD[#All],FX$2,0)/FX$1,"")</f>
        <v>3.4659090909090908</v>
      </c>
      <c r="FY18" s="67">
        <f>IFERROR(VLOOKUP($B18,RD[#All],FY$2,0)/FY$1,"")</f>
        <v>3.4377104377104377</v>
      </c>
      <c r="FZ18" s="67">
        <f>IFERROR(VLOOKUP($B18,RD[#All],FZ$2,0)/FZ$1,"")</f>
        <v>3.5075757575757578</v>
      </c>
      <c r="GA18" s="67">
        <f>IFERROR(VLOOKUP($B18,RD[#All],GA$2,0)/GA$1,"")</f>
        <v>3.5279720279720279</v>
      </c>
      <c r="GB18" s="67">
        <f>IFERROR(VLOOKUP($B18,RD[#All],GB$2,0)/GB$1,"")</f>
        <v>3.4074074074074074</v>
      </c>
      <c r="GC18" s="67">
        <f>IFERROR(VLOOKUP($B18,RD[#All],GC$2,0)/GC$1,"")</f>
        <v>3.4646464646464645</v>
      </c>
      <c r="GD18" s="67">
        <f>IFERROR(VLOOKUP($B18,RD[#All],GD$2,0)/GD$1,"")</f>
        <v>3.5563636363636362</v>
      </c>
      <c r="GE18" s="67">
        <f>IFERROR(VLOOKUP($B18,RD[#All],GE$2,0)/GE$1,"")</f>
        <v>3.5139860139860142</v>
      </c>
      <c r="GF18" s="67">
        <f>IFERROR(VLOOKUP($B18,RD[#All],GF$2,0)/GF$1,"")</f>
        <v>3.4646464646464645</v>
      </c>
      <c r="GG18" s="67">
        <f>IFERROR(VLOOKUP($B18,RD[#All],GG$2,0)/GG$1,"")</f>
        <v>3.4683636363636361</v>
      </c>
      <c r="GH18" s="67">
        <f>IFERROR(VLOOKUP($B18,RD[#All],GH$2,0)/GH$1,"")</f>
        <v>3.488</v>
      </c>
      <c r="GI18" s="67">
        <f>IFERROR(VLOOKUP($B18,RD[#All],GI$2,0)/GI$1,"")</f>
        <v>3.4807272727272731</v>
      </c>
      <c r="GJ18" s="67">
        <f>IFERROR(VLOOKUP($B18,RD[#All],GJ$2,0)/GJ$1,"")</f>
        <v>3.5384615384615383</v>
      </c>
      <c r="GK18" s="67">
        <f>IFERROR(VLOOKUP($B18,RD[#All],GK$2,0)/GK$1,"")</f>
        <v>3.5265151515151514</v>
      </c>
      <c r="GL18" s="67">
        <f>IFERROR(VLOOKUP($B18,RD[#All],GL$2,0)/GL$1,"")</f>
        <v>3.5492424242424243</v>
      </c>
      <c r="GM18" s="67">
        <f>IFERROR(VLOOKUP($B18,RD[#All],GM$2,0)/GM$1,"")</f>
        <v>3.2234848484848486</v>
      </c>
      <c r="GN18" s="67">
        <f>IFERROR(VLOOKUP($B18,RD[#All],GN$2,0)/GN$1,"")</f>
        <v>3.5037878787878789</v>
      </c>
      <c r="GO18" s="67">
        <f>IFERROR(VLOOKUP($B18,RD[#All],GO$2,0)/GO$1,"")</f>
        <v>3.5681818181818183</v>
      </c>
      <c r="GP18" s="67">
        <f>IFERROR(VLOOKUP($B18,RD[#All],GP$2,0)/GP$1,"")</f>
        <v>3.5113636363636362</v>
      </c>
      <c r="GQ18" s="67">
        <f>IFERROR(VLOOKUP($B18,RD[#All],GQ$2,0)/GQ$1,"")</f>
        <v>3.4890909090909092</v>
      </c>
      <c r="GR18" s="67">
        <f>IFERROR(VLOOKUP($B18,RD[#All],GR$2,0)/GR$1,"")</f>
        <v>3.4814393939393939</v>
      </c>
      <c r="GS18" s="67" t="str">
        <f>IFERROR(VLOOKUP($B18,RD[#All],GS$2,0)/GS$1,"")</f>
        <v/>
      </c>
      <c r="GT18" s="67" t="str">
        <f>IFERROR(VLOOKUP($B18,RD[#All],GT$2,0)/GT$1,"")</f>
        <v/>
      </c>
      <c r="GU18" s="67">
        <f>IFERROR(VLOOKUP($B18,RD[#All],GU$2,0)/GU$1,"")</f>
        <v>3.6851363236587509</v>
      </c>
      <c r="GV18" s="67">
        <f>IFERROR(VLOOKUP($B18,RD[#All],GV$2,0)/GV$1,"")</f>
        <v>3.4147622800105069</v>
      </c>
      <c r="GW18" s="67">
        <f>IFERROR(VLOOKUP($B18,RD[#All],GW$2,0)/GW$1,"")</f>
        <v>3.4700665188470063</v>
      </c>
      <c r="GX18" s="67" t="str">
        <f>IFERROR(VLOOKUP($B18,RD[#All],GX$2,0)/GX$1,"")</f>
        <v/>
      </c>
      <c r="GY18" s="67">
        <f>IFERROR(VLOOKUP($B18,RD[#All],GY$2,0)/GY$1,"")</f>
        <v>3.5338345864661651</v>
      </c>
      <c r="GZ18" s="67">
        <f>IFERROR(VLOOKUP($B18,RD[#All],GZ$2,0)/GZ$1,"")</f>
        <v>3.4550561797752808</v>
      </c>
      <c r="HA18" s="67">
        <f>IFERROR(VLOOKUP($B18,RD[#All],HA$2,0)/HA$1,"")</f>
        <v>3.4606741573033708</v>
      </c>
      <c r="HB18" s="67">
        <f>IFERROR(VLOOKUP($B18,RD[#All],HB$2,0)/HB$1,"")</f>
        <v>3.4340823970037451</v>
      </c>
      <c r="HC18" s="67">
        <f>IFERROR(VLOOKUP($B18,RD[#All],HC$2,0)/HC$1,"")</f>
        <v>3.4535580524344569</v>
      </c>
      <c r="HD18" s="67">
        <f>IFERROR(VLOOKUP($B18,RD[#All],HD$2,0)/HD$1,"")</f>
        <v>3.5344569288389516</v>
      </c>
      <c r="HE18" s="67">
        <f>IFERROR(VLOOKUP($B18,RD[#All],HE$2,0)/HE$1,"")</f>
        <v>3.4767790262172285</v>
      </c>
      <c r="HF18" s="67">
        <f>IFERROR(VLOOKUP($B18,RD[#All],HF$2,0)/HF$1,"")</f>
        <v>3.5168539325842696</v>
      </c>
      <c r="HG18" s="67">
        <f>IFERROR(VLOOKUP($B18,RD[#All],HG$2,0)/HG$1,"")</f>
        <v>3.5355805243445695</v>
      </c>
      <c r="HH18" s="67">
        <f>IFERROR(VLOOKUP($B18,RD[#All],HH$2,0)/HH$1,"")</f>
        <v>3.4569288389513106</v>
      </c>
      <c r="HI18" s="67">
        <f>IFERROR(VLOOKUP($B18,RD[#All],HI$2,0)/HI$1,"")</f>
        <v>3.5123595505617975</v>
      </c>
      <c r="HJ18" s="67">
        <f>IFERROR(VLOOKUP($B18,RD[#All],HJ$2,0)/HJ$1,"")</f>
        <v>3.5243445692883895</v>
      </c>
      <c r="HK18" s="67">
        <f>IFERROR(VLOOKUP($B18,RD[#All],HK$2,0)/HK$1,"")</f>
        <v>3.4590095713691218</v>
      </c>
      <c r="HL18" s="67">
        <f>IFERROR(VLOOKUP($B18,RD[#All],HL$2,0)/HL$1,"")</f>
        <v>3.6587598834789845</v>
      </c>
      <c r="HM18" s="67">
        <f>IFERROR(VLOOKUP($B18,RD[#All],HM$2,0)/HM$1,"")</f>
        <v>3.7572772055530672</v>
      </c>
      <c r="HN18" s="67">
        <f>IFERROR(VLOOKUP($B18,RD[#All],HN$2,0)/HN$1,"")</f>
        <v>3.7707120465741153</v>
      </c>
      <c r="HO18" s="67">
        <f>IFERROR(VLOOKUP($B18,RD[#All],HO$2,0)/HO$1,"")</f>
        <v>3.746081504702194</v>
      </c>
      <c r="HP18" s="67">
        <f>IFERROR(VLOOKUP($B18,RD[#All],HP$2,0)/HP$1,"")</f>
        <v>3.7366771159874608</v>
      </c>
      <c r="HQ18" s="67">
        <f>IFERROR(VLOOKUP($B18,RD[#All],HQ$2,0)/HQ$1,"")</f>
        <v>3.4391534391534391</v>
      </c>
      <c r="HR18" s="67">
        <f>IFERROR(VLOOKUP($B18,RD[#All],HR$2,0)/HR$1,"")</f>
        <v>3.4979149291075893</v>
      </c>
      <c r="HS18" s="67">
        <f>IFERROR(VLOOKUP($B18,RD[#All],HS$2,0)/HS$1,"")</f>
        <v>3.6163595505617976</v>
      </c>
      <c r="HT18" s="67">
        <f>IFERROR(VLOOKUP($B18,RD[#All],HT$2,0)/HT$1,"")</f>
        <v>3.4989596337910944</v>
      </c>
      <c r="HU18" s="67">
        <f>IFERROR(VLOOKUP($B18,RD[#All],HU$2,0)/HU$1,"")</f>
        <v>3.5633535004321524</v>
      </c>
      <c r="HV18" s="67">
        <f>IFERROR(VLOOKUP($B18,RD[#All],HV$2,0)/HV$1,"")</f>
        <v>3.5108038029386344</v>
      </c>
      <c r="HW18" s="67">
        <f>IFERROR(VLOOKUP($B18,RD[#All],HW$2,0)/HW$1,"")</f>
        <v>3.559550561797753</v>
      </c>
      <c r="HX18" s="67">
        <f>IFERROR(VLOOKUP($B18,RD[#All],HX$2,0)/HX$1,"")</f>
        <v>3.5298184961106309</v>
      </c>
      <c r="HY18" s="67">
        <f>IFERROR(VLOOKUP($B18,RD[#All],HY$2,0)/HY$1,"")</f>
        <v>3.5861839367457344</v>
      </c>
      <c r="HZ18" s="67">
        <f>IFERROR(VLOOKUP($B18,RD[#All],HZ$2,0)/HZ$1,"")</f>
        <v>3.5389096962130671</v>
      </c>
      <c r="IA18" s="67">
        <f>IFERROR(VLOOKUP($B18,RD[#All],IA$2,0)/IA$1,"")</f>
        <v>3.5003885003885009</v>
      </c>
      <c r="IB18" s="67">
        <f>IFERROR(VLOOKUP($B18,RD[#All],IB$2,0)/IB$1,"")</f>
        <v>3.4401154401154401</v>
      </c>
      <c r="IC18" s="67">
        <f>IFERROR(VLOOKUP($B18,RD[#All],IC$2,0)/IC$1,"")</f>
        <v>3.5392385392385397</v>
      </c>
      <c r="ID18" s="67">
        <f>IFERROR(VLOOKUP($B18,RD[#All],ID$2,0)/ID$1,"")</f>
        <v>3.4530490086045642</v>
      </c>
      <c r="IE18" s="67">
        <f>IFERROR(VLOOKUP($B18,RD[#All],IE$2,0)/IE$1,"")</f>
        <v>3.4222222222222221</v>
      </c>
      <c r="IF18" s="67" t="str">
        <f>IFERROR(VLOOKUP($B18,RD[#All],IF$2,0)/IF$1,"")</f>
        <v/>
      </c>
      <c r="IG18" s="67">
        <f>IFERROR(VLOOKUP($B18,RD[#All],IG$2,0)/IG$1,"")</f>
        <v>3.539484857061987</v>
      </c>
      <c r="IH18" s="67">
        <f>IFERROR(VLOOKUP($B18,RD[#All],IH$2,0)/IH$1,"")</f>
        <v>3.5144548937652385</v>
      </c>
      <c r="II18" s="67">
        <f>IFERROR(VLOOKUP($B18,RD[#All],II$2,0)/II$1,"")</f>
        <v>3.4925373134328357</v>
      </c>
      <c r="IJ18" s="67">
        <f>IFERROR(VLOOKUP($B18,RD[#All],IJ$2,0)/IJ$1,"")</f>
        <v>3.4530490086045642</v>
      </c>
      <c r="IK18" s="67">
        <f>IFERROR(VLOOKUP($B18,RD[#All],IK$2,0)/IK$1,"")</f>
        <v>3.410644910644911</v>
      </c>
      <c r="IL18" s="67" t="str">
        <f>IFERROR(VLOOKUP($B18,RD[#All],IL$2,0)/IL$1,"")</f>
        <v/>
      </c>
      <c r="IM18" s="67" t="str">
        <f>IFERROR(VLOOKUP($B18,RD[#All],IM$2,0)/IM$1,"")</f>
        <v/>
      </c>
      <c r="IN18" s="67">
        <f>IFERROR(VLOOKUP($B18,RD[#All],IN$2,0)/IN$1,"")</f>
        <v>3.6071055381400208</v>
      </c>
      <c r="IO18" s="67">
        <f>IFERROR(VLOOKUP($B18,RD[#All],IO$2,0)/IO$1,"")</f>
        <v>3.6481191222570533</v>
      </c>
      <c r="IP18" s="67">
        <f>IFERROR(VLOOKUP($B18,RD[#All],IP$2,0)/IP$1,"")</f>
        <v>4.1060178144688244</v>
      </c>
      <c r="IQ18" s="67">
        <f>IFERROR(VLOOKUP($B18,RD[#All],IQ$2,0)/IQ$1,"")</f>
        <v>3.5003885003885009</v>
      </c>
      <c r="IR18" s="67">
        <f>IFERROR(VLOOKUP($B18,RD[#All],IR$2,0)/IR$1,"")</f>
        <v>3.4452736318407964</v>
      </c>
      <c r="IS18" s="86">
        <f>IFERROR(AVERAGEIF(Inv_SY_B[[#This Row],[BLK1_INV1]:[BLK8_INV27]],"&gt;"&amp;0.1,Inv_SY_B[[#This Row],[BLK1_INV1]:[BLK8_INV27]]),"")</f>
        <v>3.5068642990007093</v>
      </c>
    </row>
    <row r="19" spans="2:253" x14ac:dyDescent="0.25">
      <c r="B19" s="85">
        <f t="shared" si="0"/>
        <v>45845</v>
      </c>
      <c r="C19" s="67">
        <f>IFERROR(VLOOKUP($B19,RD[#All],C$2,0)/C$1,"")</f>
        <v>3.564390665514261</v>
      </c>
      <c r="D19" s="67">
        <f>IFERROR(VLOOKUP($B19,RD[#All],D$2,0)/D$1,"")</f>
        <v>3.533275713050994</v>
      </c>
      <c r="E19" s="67">
        <f>IFERROR(VLOOKUP($B19,RD[#All],E$2,0)/E$1,"")</f>
        <v>3.5692883895131087</v>
      </c>
      <c r="F19" s="67">
        <f>IFERROR(VLOOKUP($B19,RD[#All],F$2,0)/F$1,"")</f>
        <v>3.5543071161048689</v>
      </c>
      <c r="G19" s="67">
        <f>IFERROR(VLOOKUP($B19,RD[#All],G$2,0)/G$1,"")</f>
        <v>3.5747623163353501</v>
      </c>
      <c r="H19" s="67">
        <f>IFERROR(VLOOKUP($B19,RD[#All],H$2,0)/H$1,"")</f>
        <v>3.5168539325842696</v>
      </c>
      <c r="I19" s="67">
        <f>IFERROR(VLOOKUP($B19,RD[#All],I$2,0)/I$1,"")</f>
        <v>3.5355805243445695</v>
      </c>
      <c r="J19" s="67">
        <f>IFERROR(VLOOKUP($B19,RD[#All],J$2,0)/J$1,"")</f>
        <v>3.5468164794007491</v>
      </c>
      <c r="K19" s="67">
        <f>IFERROR(VLOOKUP($B19,RD[#All],K$2,0)/K$1,"")</f>
        <v>3.559550561797753</v>
      </c>
      <c r="L19" s="67">
        <f>IFERROR(VLOOKUP($B19,RD[#All],L$2,0)/L$1,"")</f>
        <v>3.559550561797753</v>
      </c>
      <c r="M19" s="67">
        <f>IFERROR(VLOOKUP($B19,RD[#All],M$2,0)/M$1,"")</f>
        <v>3.5842696629213484</v>
      </c>
      <c r="N19" s="67">
        <f>IFERROR(VLOOKUP($B19,RD[#All],N$2,0)/N$1,"")</f>
        <v>3.5992509363295881</v>
      </c>
      <c r="O19" s="67">
        <f>IFERROR(VLOOKUP($B19,RD[#All],O$2,0)/O$1,"")</f>
        <v>3.5131086142322099</v>
      </c>
      <c r="P19" s="67">
        <f>IFERROR(VLOOKUP($B19,RD[#All],P$2,0)/P$1,"")</f>
        <v>3.6241062308478038</v>
      </c>
      <c r="Q19" s="67">
        <f>IFERROR(VLOOKUP($B19,RD[#All],Q$2,0)/Q$1,"")</f>
        <v>3.5131086142322099</v>
      </c>
      <c r="R19" s="67">
        <f>IFERROR(VLOOKUP($B19,RD[#All],R$2,0)/R$1,"")</f>
        <v>3.5243445692883895</v>
      </c>
      <c r="S19" s="67">
        <f>IFERROR(VLOOKUP($B19,RD[#All],S$2,0)/S$1,"")</f>
        <v>3.5131086142322099</v>
      </c>
      <c r="T19" s="67">
        <f>IFERROR(VLOOKUP($B19,RD[#All],T$2,0)/T$1,"")</f>
        <v>3.5093632958801497</v>
      </c>
      <c r="U19" s="67">
        <f>IFERROR(VLOOKUP($B19,RD[#All],U$2,0)/U$1,"")</f>
        <v>3.536732929991357</v>
      </c>
      <c r="V19" s="67">
        <f>IFERROR(VLOOKUP($B19,RD[#All],V$2,0)/V$1,"")</f>
        <v>3.5298184961106309</v>
      </c>
      <c r="W19" s="67">
        <f>IFERROR(VLOOKUP($B19,RD[#All],W$2,0)/W$1,"")</f>
        <v>3.5243445692883895</v>
      </c>
      <c r="X19" s="67">
        <f>IFERROR(VLOOKUP($B19,RD[#All],X$2,0)/X$1,"")</f>
        <v>3.5355805243445695</v>
      </c>
      <c r="Y19" s="67">
        <f>IFERROR(VLOOKUP($B19,RD[#All],Y$2,0)/Y$1,"")</f>
        <v>3.4779602420051856</v>
      </c>
      <c r="Z19" s="67">
        <f>IFERROR(VLOOKUP($B19,RD[#All],Z$2,0)/Z$1,"")</f>
        <v>3.5422388680815646</v>
      </c>
      <c r="AA19" s="67">
        <f>IFERROR(VLOOKUP($B19,RD[#All],AA$2,0)/AA$1,"")</f>
        <v>3.5401901469317201</v>
      </c>
      <c r="AB19" s="67">
        <f>IFERROR(VLOOKUP($B19,RD[#All],AB$2,0)/AB$1,"")</f>
        <v>3.536732929991357</v>
      </c>
      <c r="AC19" s="67">
        <f>IFERROR(VLOOKUP($B19,RD[#All],AC$2,0)/AC$1,"")</f>
        <v>3.4952463267070009</v>
      </c>
      <c r="AD19" s="67">
        <f>IFERROR(VLOOKUP($B19,RD[#All],AD$2,0)/AD$1,"")</f>
        <v>3.5089471493965876</v>
      </c>
      <c r="AE19" s="67">
        <f>IFERROR(VLOOKUP($B19,RD[#All],AE$2,0)/AE$1,"")</f>
        <v>3.5156054931335832</v>
      </c>
      <c r="AF19" s="67">
        <f>IFERROR(VLOOKUP($B19,RD[#All],AF$2,0)/AF$1,"")</f>
        <v>3.502288805659592</v>
      </c>
      <c r="AG19" s="67">
        <f>IFERROR(VLOOKUP($B19,RD[#All],AG$2,0)/AG$1,"")</f>
        <v>3.4889721181856013</v>
      </c>
      <c r="AH19" s="67">
        <f>IFERROR(VLOOKUP($B19,RD[#All],AH$2,0)/AH$1,"")</f>
        <v>3.5255930087390763</v>
      </c>
      <c r="AI19" s="67">
        <f>IFERROR(VLOOKUP($B19,RD[#All],AI$2,0)/AI$1,"")</f>
        <v>3.5078616352201255</v>
      </c>
      <c r="AJ19" s="67">
        <f>IFERROR(VLOOKUP($B19,RD[#All],AJ$2,0)/AJ$1,"")</f>
        <v>3.5898968764011356</v>
      </c>
      <c r="AK19" s="67">
        <f>IFERROR(VLOOKUP($B19,RD[#All],AK$2,0)/AK$1,"")</f>
        <v>3.4782771535580528</v>
      </c>
      <c r="AL19" s="67">
        <f>IFERROR(VLOOKUP($B19,RD[#All],AL$2,0)/AL$1,"")</f>
        <v>3.4827701572432255</v>
      </c>
      <c r="AM19" s="67">
        <f>IFERROR(VLOOKUP($B19,RD[#All],AM$2,0)/AM$1,"")</f>
        <v>3.5602996254681649</v>
      </c>
      <c r="AN19" s="67">
        <f>IFERROR(VLOOKUP($B19,RD[#All],AN$2,0)/AN$1,"")</f>
        <v>3.5243445692883895</v>
      </c>
      <c r="AO19" s="67">
        <f>IFERROR(VLOOKUP($B19,RD[#All],AO$2,0)/AO$1,"")</f>
        <v>3.5767790262172285</v>
      </c>
      <c r="AP19" s="67">
        <f>IFERROR(VLOOKUP($B19,RD[#All],AP$2,0)/AP$1,"")</f>
        <v>3.5161048689138577</v>
      </c>
      <c r="AQ19" s="67">
        <f>IFERROR(VLOOKUP($B19,RD[#All],AQ$2,0)/AQ$1,"")</f>
        <v>3.5243445692883895</v>
      </c>
      <c r="AR19" s="67">
        <f>IFERROR(VLOOKUP($B19,RD[#All],AR$2,0)/AR$1,"")</f>
        <v>3.5730337078651684</v>
      </c>
      <c r="AS19" s="67">
        <f>IFERROR(VLOOKUP($B19,RD[#All],AS$2,0)/AS$1,"")</f>
        <v>3.5617977528089888</v>
      </c>
      <c r="AT19" s="67">
        <f>IFERROR(VLOOKUP($B19,RD[#All],AT$2,0)/AT$1,"")</f>
        <v>3.5168539325842696</v>
      </c>
      <c r="AU19" s="67">
        <f>IFERROR(VLOOKUP($B19,RD[#All],AU$2,0)/AU$1,"")</f>
        <v>3.5430711610486894</v>
      </c>
      <c r="AV19" s="67">
        <f>IFERROR(VLOOKUP($B19,RD[#All],AV$2,0)/AV$1,"")</f>
        <v>3.5543071161048689</v>
      </c>
      <c r="AW19" s="67">
        <f>IFERROR(VLOOKUP($B19,RD[#All],AW$2,0)/AW$1,"")</f>
        <v>3.4921348314606742</v>
      </c>
      <c r="AX19" s="67">
        <f>IFERROR(VLOOKUP($B19,RD[#All],AX$2,0)/AX$1,"")</f>
        <v>3.4951310861423224</v>
      </c>
      <c r="AY19" s="67">
        <f>IFERROR(VLOOKUP($B19,RD[#All],AY$2,0)/AY$1,"")</f>
        <v>3.512808988764045</v>
      </c>
      <c r="AZ19" s="67">
        <f>IFERROR(VLOOKUP($B19,RD[#All],AZ$2,0)/AZ$1,"")</f>
        <v>3.4912359550561796</v>
      </c>
      <c r="BA19" s="67">
        <f>IFERROR(VLOOKUP($B19,RD[#All],BA$2,0)/BA$1,"")</f>
        <v>3.5505617977528088</v>
      </c>
      <c r="BB19" s="67">
        <f>IFERROR(VLOOKUP($B19,RD[#All],BB$2,0)/BB$1,"")</f>
        <v>3.5232209737827715</v>
      </c>
      <c r="BC19" s="67">
        <f>IFERROR(VLOOKUP($B19,RD[#All],BC$2,0)/BC$1,"")</f>
        <v>3.598834789846026</v>
      </c>
      <c r="BD19" s="67">
        <f>IFERROR(VLOOKUP($B19,RD[#All],BD$2,0)/BD$1,"")</f>
        <v>3.5052850603412402</v>
      </c>
      <c r="BE19" s="67">
        <f>IFERROR(VLOOKUP($B19,RD[#All],BE$2,0)/BE$1,"")</f>
        <v>3.5298184961106309</v>
      </c>
      <c r="BF19" s="67">
        <f>IFERROR(VLOOKUP($B19,RD[#All],BF$2,0)/BF$1,"")</f>
        <v>3.598834789846026</v>
      </c>
      <c r="BG19" s="67">
        <f>IFERROR(VLOOKUP($B19,RD[#All],BG$2,0)/BG$1,"")</f>
        <v>3.5622138992925509</v>
      </c>
      <c r="BH19" s="67">
        <f>IFERROR(VLOOKUP($B19,RD[#All],BH$2,0)/BH$1,"")</f>
        <v>3.5617977528089888</v>
      </c>
      <c r="BI19" s="67">
        <f>IFERROR(VLOOKUP($B19,RD[#All],BI$2,0)/BI$1,"")</f>
        <v>3.5122763212650852</v>
      </c>
      <c r="BJ19" s="67">
        <f>IFERROR(VLOOKUP($B19,RD[#All],BJ$2,0)/BJ$1,"")</f>
        <v>3.5455680399500622</v>
      </c>
      <c r="BK19" s="67">
        <f>IFERROR(VLOOKUP($B19,RD[#All],BK$2,0)/BK$1,"")</f>
        <v>3.5299625468164795</v>
      </c>
      <c r="BL19" s="67">
        <f>IFERROR(VLOOKUP($B19,RD[#All],BL$2,0)/BL$1,"")</f>
        <v>3.5496821679491473</v>
      </c>
      <c r="BM19" s="67">
        <f>IFERROR(VLOOKUP($B19,RD[#All],BM$2,0)/BM$1,"")</f>
        <v>3.5018726591760299</v>
      </c>
      <c r="BN19" s="67">
        <f>IFERROR(VLOOKUP($B19,RD[#All],BN$2,0)/BN$1,"")</f>
        <v>3.6238244514106581</v>
      </c>
      <c r="BO19" s="67">
        <f>IFERROR(VLOOKUP($B19,RD[#All],BO$2,0)/BO$1,"")</f>
        <v>3.6286949006050127</v>
      </c>
      <c r="BP19" s="67">
        <f>IFERROR(VLOOKUP($B19,RD[#All],BP$2,0)/BP$1,"")</f>
        <v>3.6076058772687984</v>
      </c>
      <c r="BQ19" s="67">
        <f>IFERROR(VLOOKUP($B19,RD[#All],BQ$2,0)/BQ$1,"")</f>
        <v>3.6532411408815904</v>
      </c>
      <c r="BR19" s="67">
        <f>IFERROR(VLOOKUP($B19,RD[#All],BR$2,0)/BR$1,"")</f>
        <v>3.5768366464995673</v>
      </c>
      <c r="BS19" s="67">
        <f>IFERROR(VLOOKUP($B19,RD[#All],BS$2,0)/BS$1,"")</f>
        <v>3.5902621722846444</v>
      </c>
      <c r="BT19" s="67">
        <f>IFERROR(VLOOKUP($B19,RD[#All],BT$2,0)/BT$1,"")</f>
        <v>3.583520599250936</v>
      </c>
      <c r="BU19" s="67">
        <f>IFERROR(VLOOKUP($B19,RD[#All],BU$2,0)/BU$1,"")</f>
        <v>3.6176029962546816</v>
      </c>
      <c r="BV19" s="67">
        <f>IFERROR(VLOOKUP($B19,RD[#All],BV$2,0)/BV$1,"")</f>
        <v>3.601123595505618</v>
      </c>
      <c r="BW19" s="67">
        <f>IFERROR(VLOOKUP($B19,RD[#All],BW$2,0)/BW$1,"")</f>
        <v>3.6438202247191009</v>
      </c>
      <c r="BX19" s="67">
        <f>IFERROR(VLOOKUP($B19,RD[#All],BX$2,0)/BX$1,"")</f>
        <v>3.6044943820224717</v>
      </c>
      <c r="BY19" s="67">
        <f>IFERROR(VLOOKUP($B19,RD[#All],BY$2,0)/BY$1,"")</f>
        <v>3.5778610070744903</v>
      </c>
      <c r="BZ19" s="67">
        <f>IFERROR(VLOOKUP($B19,RD[#All],BZ$2,0)/BZ$1,"")</f>
        <v>3.5086142322097382</v>
      </c>
      <c r="CA19" s="67">
        <f>IFERROR(VLOOKUP($B19,RD[#All],CA$2,0)/CA$1,"")</f>
        <v>3.6108198085726171</v>
      </c>
      <c r="CB19" s="67">
        <f>IFERROR(VLOOKUP($B19,RD[#All],CB$2,0)/CB$1,"")</f>
        <v>3.5558052434456928</v>
      </c>
      <c r="CC19" s="67">
        <f>IFERROR(VLOOKUP($B19,RD[#All],CC$2,0)/CC$1,"")</f>
        <v>3.493632958801498</v>
      </c>
      <c r="CD19" s="67">
        <f>IFERROR(VLOOKUP($B19,RD[#All],CD$2,0)/CD$1,"")</f>
        <v>3.6179775280898876</v>
      </c>
      <c r="CE19" s="67">
        <f>IFERROR(VLOOKUP($B19,RD[#All],CE$2,0)/CE$1,"")</f>
        <v>3.50561797752809</v>
      </c>
      <c r="CF19" s="67">
        <f>IFERROR(VLOOKUP($B19,RD[#All],CF$2,0)/CF$1,"")</f>
        <v>3.6250936329588015</v>
      </c>
      <c r="CG19" s="67">
        <f>IFERROR(VLOOKUP($B19,RD[#All],CG$2,0)/CG$1,"")</f>
        <v>3.5071161048689139</v>
      </c>
      <c r="CH19" s="67">
        <f>IFERROR(VLOOKUP($B19,RD[#All],CH$2,0)/CH$1,"")</f>
        <v>3.5355805243445695</v>
      </c>
      <c r="CI19" s="67">
        <f>IFERROR(VLOOKUP($B19,RD[#All],CI$2,0)/CI$1,"")</f>
        <v>3.5543071161048689</v>
      </c>
      <c r="CJ19" s="67">
        <f>IFERROR(VLOOKUP($B19,RD[#All],CJ$2,0)/CJ$1,"")</f>
        <v>3.5805243445692883</v>
      </c>
      <c r="CK19" s="67">
        <f>IFERROR(VLOOKUP($B19,RD[#All],CK$2,0)/CK$1,"")</f>
        <v>3.558801498127341</v>
      </c>
      <c r="CL19" s="67">
        <f>IFERROR(VLOOKUP($B19,RD[#All],CL$2,0)/CL$1,"")</f>
        <v>3.5752808988764047</v>
      </c>
      <c r="CM19" s="67">
        <f>IFERROR(VLOOKUP($B19,RD[#All],CM$2,0)/CM$1,"")</f>
        <v>3.5794007490636708</v>
      </c>
      <c r="CN19" s="67">
        <f>IFERROR(VLOOKUP($B19,RD[#All],CN$2,0)/CN$1,"")</f>
        <v>3.5651685393258425</v>
      </c>
      <c r="CO19" s="67">
        <f>IFERROR(VLOOKUP($B19,RD[#All],CO$2,0)/CO$1,"")</f>
        <v>3.5843595505617976</v>
      </c>
      <c r="CP19" s="67">
        <f>IFERROR(VLOOKUP($B19,RD[#All],CP$2,0)/CP$1,"")</f>
        <v>3.6141745894554886</v>
      </c>
      <c r="CQ19" s="67">
        <f>IFERROR(VLOOKUP($B19,RD[#All],CQ$2,0)/CQ$1,"")</f>
        <v>3.5617977528089888</v>
      </c>
      <c r="CR19" s="67">
        <f>IFERROR(VLOOKUP($B19,RD[#All],CR$2,0)/CR$1,"")</f>
        <v>3.5730337078651684</v>
      </c>
      <c r="CS19" s="67">
        <f>IFERROR(VLOOKUP($B19,RD[#All],CS$2,0)/CS$1,"")</f>
        <v>3.5961714523512276</v>
      </c>
      <c r="CT19" s="67">
        <f>IFERROR(VLOOKUP($B19,RD[#All],CT$2,0)/CT$1,"")</f>
        <v>3.5621722846441948</v>
      </c>
      <c r="CU19" s="67">
        <f>IFERROR(VLOOKUP($B19,RD[#All],CU$2,0)/CU$1,"")</f>
        <v>3.558801498127341</v>
      </c>
      <c r="CV19" s="67">
        <f>IFERROR(VLOOKUP($B19,RD[#All],CV$2,0)/CV$1,"")</f>
        <v>3.6419475655430711</v>
      </c>
      <c r="CW19" s="67">
        <f>IFERROR(VLOOKUP($B19,RD[#All],CW$2,0)/CW$1,"")</f>
        <v>3.5936329588014981</v>
      </c>
      <c r="CX19" s="67">
        <f>IFERROR(VLOOKUP($B19,RD[#All],CX$2,0)/CX$1,"")</f>
        <v>3.60749063670412</v>
      </c>
      <c r="CY19" s="67">
        <f>IFERROR(VLOOKUP($B19,RD[#All],CY$2,0)/CY$1,"")</f>
        <v>3.5692883895131087</v>
      </c>
      <c r="CZ19" s="67">
        <f>IFERROR(VLOOKUP($B19,RD[#All],CZ$2,0)/CZ$1,"")</f>
        <v>3.5981273408239702</v>
      </c>
      <c r="DA19" s="67">
        <f>IFERROR(VLOOKUP($B19,RD[#All],DA$2,0)/DA$1,"")</f>
        <v>3.5617977528089888</v>
      </c>
      <c r="DB19" s="67">
        <f>IFERROR(VLOOKUP($B19,RD[#All],DB$2,0)/DB$1,"")</f>
        <v>3.5887640449438205</v>
      </c>
      <c r="DC19" s="67">
        <f>IFERROR(VLOOKUP($B19,RD[#All],DC$2,0)/DC$1,"")</f>
        <v>3.5558884727424052</v>
      </c>
      <c r="DD19" s="67">
        <f>IFERROR(VLOOKUP($B19,RD[#All],DD$2,0)/DD$1,"")</f>
        <v>3.5805243445692883</v>
      </c>
      <c r="DE19" s="67">
        <f>IFERROR(VLOOKUP($B19,RD[#All],DE$2,0)/DE$1,"")</f>
        <v>3.628797336662505</v>
      </c>
      <c r="DF19" s="67">
        <f>IFERROR(VLOOKUP($B19,RD[#All],DF$2,0)/DF$1,"")</f>
        <v>3.4928069588491137</v>
      </c>
      <c r="DG19" s="67">
        <f>IFERROR(VLOOKUP($B19,RD[#All],DG$2,0)/DG$1,"")</f>
        <v>3.5411985018726591</v>
      </c>
      <c r="DH19" s="67">
        <f>IFERROR(VLOOKUP($B19,RD[#All],DH$2,0)/DH$1,"")</f>
        <v>3.5768622555139413</v>
      </c>
      <c r="DI19" s="67">
        <f>IFERROR(VLOOKUP($B19,RD[#All],DI$2,0)/DI$1,"")</f>
        <v>3.5398444252376837</v>
      </c>
      <c r="DJ19" s="67">
        <f>IFERROR(VLOOKUP($B19,RD[#All],DJ$2,0)/DJ$1,"")</f>
        <v>3.6038029386343995</v>
      </c>
      <c r="DK19" s="67">
        <f>IFERROR(VLOOKUP($B19,RD[#All],DK$2,0)/DK$1,"")</f>
        <v>3.648439450686642</v>
      </c>
      <c r="DL19" s="67">
        <f>IFERROR(VLOOKUP($B19,RD[#All],DL$2,0)/DL$1,"")</f>
        <v>3.6158135663753637</v>
      </c>
      <c r="DM19" s="67">
        <f>IFERROR(VLOOKUP($B19,RD[#All],DM$2,0)/DM$1,"")</f>
        <v>3.5996254681647941</v>
      </c>
      <c r="DN19" s="67">
        <f>IFERROR(VLOOKUP($B19,RD[#All],DN$2,0)/DN$1,"")</f>
        <v>3.5857677902621723</v>
      </c>
      <c r="DO19" s="67">
        <f>IFERROR(VLOOKUP($B19,RD[#All],DO$2,0)/DO$1,"")</f>
        <v>3.502843760455002</v>
      </c>
      <c r="DP19" s="67">
        <f>IFERROR(VLOOKUP($B19,RD[#All],DP$2,0)/DP$1,"")</f>
        <v>3.5322513524760715</v>
      </c>
      <c r="DQ19" s="67">
        <f>IFERROR(VLOOKUP($B19,RD[#All],DQ$2,0)/DQ$1,"")</f>
        <v>3.5898460258010818</v>
      </c>
      <c r="DR19" s="67">
        <f>IFERROR(VLOOKUP($B19,RD[#All],DR$2,0)/DR$1,"")</f>
        <v>3.547191011235955</v>
      </c>
      <c r="DS19" s="67">
        <f>IFERROR(VLOOKUP($B19,RD[#All],DS$2,0)/DS$1,"")</f>
        <v>3.536704119850187</v>
      </c>
      <c r="DT19" s="67">
        <f>IFERROR(VLOOKUP($B19,RD[#All],DT$2,0)/DT$1,"")</f>
        <v>3.50561797752809</v>
      </c>
      <c r="DU19" s="67">
        <f>IFERROR(VLOOKUP($B19,RD[#All],DU$2,0)/DU$1,"")</f>
        <v>3.5781939242613396</v>
      </c>
      <c r="DV19" s="67">
        <f>IFERROR(VLOOKUP($B19,RD[#All],DV$2,0)/DV$1,"")</f>
        <v>3.6385767790262173</v>
      </c>
      <c r="DW19" s="67">
        <f>IFERROR(VLOOKUP($B19,RD[#All],DW$2,0)/DW$1,"")</f>
        <v>3.4835205992509364</v>
      </c>
      <c r="DX19" s="67">
        <f>IFERROR(VLOOKUP($B19,RD[#All],DX$2,0)/DX$1,"")</f>
        <v>3.6517686225551396</v>
      </c>
      <c r="DY19" s="67">
        <f>IFERROR(VLOOKUP($B19,RD[#All],DY$2,0)/DY$1,"")</f>
        <v>3.5767790262172285</v>
      </c>
      <c r="DZ19" s="67">
        <f>IFERROR(VLOOKUP($B19,RD[#All],DZ$2,0)/DZ$1,"")</f>
        <v>3.5168539325842696</v>
      </c>
      <c r="EA19" s="67">
        <f>IFERROR(VLOOKUP($B19,RD[#All],EA$2,0)/EA$1,"")</f>
        <v>3.5122763212650852</v>
      </c>
      <c r="EB19" s="67">
        <f>IFERROR(VLOOKUP($B19,RD[#All],EB$2,0)/EB$1,"")</f>
        <v>3.4989596337910944</v>
      </c>
      <c r="EC19" s="67">
        <f>IFERROR(VLOOKUP($B19,RD[#All],EC$2,0)/EC$1,"")</f>
        <v>3.4987035436473639</v>
      </c>
      <c r="ED19" s="67">
        <f>IFERROR(VLOOKUP($B19,RD[#All],ED$2,0)/ED$1,"")</f>
        <v>3.5450302506482285</v>
      </c>
      <c r="EE19" s="67">
        <f>IFERROR(VLOOKUP($B19,RD[#All],EE$2,0)/EE$1,"")</f>
        <v>3.5363872082973207</v>
      </c>
      <c r="EF19" s="67">
        <f>IFERROR(VLOOKUP($B19,RD[#All],EF$2,0)/EF$1,"")</f>
        <v>3.6183861082737487</v>
      </c>
      <c r="EG19" s="67">
        <f>IFERROR(VLOOKUP($B19,RD[#All],EG$2,0)/EG$1,"")</f>
        <v>3.5664335664335662</v>
      </c>
      <c r="EH19" s="67">
        <f>IFERROR(VLOOKUP($B19,RD[#All],EH$2,0)/EH$1,"")</f>
        <v>3.5314685314685317</v>
      </c>
      <c r="EI19" s="67">
        <f>IFERROR(VLOOKUP($B19,RD[#All],EI$2,0)/EI$1,"")</f>
        <v>3.5283216783216784</v>
      </c>
      <c r="EJ19" s="67">
        <f>IFERROR(VLOOKUP($B19,RD[#All],EJ$2,0)/EJ$1,"")</f>
        <v>3.645104895104895</v>
      </c>
      <c r="EK19" s="67">
        <f>IFERROR(VLOOKUP($B19,RD[#All],EK$2,0)/EK$1,"")</f>
        <v>3.6314606741573034</v>
      </c>
      <c r="EL19" s="67">
        <f>IFERROR(VLOOKUP($B19,RD[#All],EL$2,0)/EL$1,"")</f>
        <v>3.6520599250936332</v>
      </c>
      <c r="EM19" s="67">
        <f>IFERROR(VLOOKUP($B19,RD[#All],EM$2,0)/EM$1,"")</f>
        <v>3.5401901469317201</v>
      </c>
      <c r="EN19" s="67">
        <f>IFERROR(VLOOKUP($B19,RD[#All],EN$2,0)/EN$1,"")</f>
        <v>3.4952463267070009</v>
      </c>
      <c r="EO19" s="67">
        <f>IFERROR(VLOOKUP($B19,RD[#All],EO$2,0)/EO$1,"")</f>
        <v>3.5771535580524345</v>
      </c>
      <c r="EP19" s="67">
        <f>IFERROR(VLOOKUP($B19,RD[#All],EP$2,0)/EP$1,"")</f>
        <v>3.6411408815903199</v>
      </c>
      <c r="EQ19" s="67">
        <f>IFERROR(VLOOKUP($B19,RD[#All],EQ$2,0)/EQ$1,"")</f>
        <v>3.4981273408239701</v>
      </c>
      <c r="ER19" s="67">
        <f>IFERROR(VLOOKUP($B19,RD[#All],ER$2,0)/ER$1,"")</f>
        <v>3.5789109766637859</v>
      </c>
      <c r="ES19" s="67">
        <f>IFERROR(VLOOKUP($B19,RD[#All],ES$2,0)/ES$1,"")</f>
        <v>3.5745318352059923</v>
      </c>
      <c r="ET19" s="67">
        <f>IFERROR(VLOOKUP($B19,RD[#All],ET$2,0)/ET$1,"")</f>
        <v>3.6281920326864148</v>
      </c>
      <c r="EU19" s="67">
        <f>IFERROR(VLOOKUP($B19,RD[#All],EU$2,0)/EU$1,"")</f>
        <v>3.567847882454624</v>
      </c>
      <c r="EV19" s="67">
        <f>IFERROR(VLOOKUP($B19,RD[#All],EV$2,0)/EV$1,"")</f>
        <v>3.630423509075194</v>
      </c>
      <c r="EW19" s="67">
        <f>IFERROR(VLOOKUP($B19,RD[#All],EW$2,0)/EW$1,"")</f>
        <v>3.6615384615384614</v>
      </c>
      <c r="EX19" s="67">
        <f>IFERROR(VLOOKUP($B19,RD[#All],EX$2,0)/EX$1,"")</f>
        <v>3.6411985018726591</v>
      </c>
      <c r="EY19" s="67">
        <f>IFERROR(VLOOKUP($B19,RD[#All],EY$2,0)/EY$1,"")</f>
        <v>3.5259259259259257</v>
      </c>
      <c r="EZ19" s="67">
        <f>IFERROR(VLOOKUP($B19,RD[#All],EZ$2,0)/EZ$1,"")</f>
        <v>3.6438202247191009</v>
      </c>
      <c r="FA19" s="67">
        <f>IFERROR(VLOOKUP($B19,RD[#All],FA$2,0)/FA$1,"")</f>
        <v>3.5831460674157305</v>
      </c>
      <c r="FB19" s="67">
        <f>IFERROR(VLOOKUP($B19,RD[#All],FB$2,0)/FB$1,"")</f>
        <v>3.547940074906367</v>
      </c>
      <c r="FC19" s="67">
        <f>IFERROR(VLOOKUP($B19,RD[#All],FC$2,0)/FC$1,"")</f>
        <v>3.5243445692883895</v>
      </c>
      <c r="FD19" s="67">
        <f>IFERROR(VLOOKUP($B19,RD[#All],FD$2,0)/FD$1,"")</f>
        <v>3.488014981273408</v>
      </c>
      <c r="FE19" s="67">
        <f>IFERROR(VLOOKUP($B19,RD[#All],FE$2,0)/FE$1,"")</f>
        <v>3.5950757575757577</v>
      </c>
      <c r="FF19" s="67">
        <f>IFERROR(VLOOKUP($B19,RD[#All],FF$2,0)/FF$1,"")</f>
        <v>3.5363636363636366</v>
      </c>
      <c r="FG19" s="67">
        <f>IFERROR(VLOOKUP($B19,RD[#All],FG$2,0)/FG$1,"")</f>
        <v>3.5094276094276093</v>
      </c>
      <c r="FH19" s="67">
        <f>IFERROR(VLOOKUP($B19,RD[#All],FH$2,0)/FH$1,"")</f>
        <v>3.5568181818181817</v>
      </c>
      <c r="FI19" s="67">
        <f>IFERROR(VLOOKUP($B19,RD[#All],FI$2,0)/FI$1,"")</f>
        <v>3.5185185185185186</v>
      </c>
      <c r="FJ19" s="67">
        <f>IFERROR(VLOOKUP($B19,RD[#All],FJ$2,0)/FJ$1,"")</f>
        <v>3.542087542087542</v>
      </c>
      <c r="FK19" s="67">
        <f>IFERROR(VLOOKUP($B19,RD[#All],FK$2,0)/FK$1,"")</f>
        <v>3.595286195286195</v>
      </c>
      <c r="FL19" s="67">
        <f>IFERROR(VLOOKUP($B19,RD[#All],FL$2,0)/FL$1,"")</f>
        <v>3.6436363636363636</v>
      </c>
      <c r="FM19" s="67">
        <f>IFERROR(VLOOKUP($B19,RD[#All],FM$2,0)/FM$1,"")</f>
        <v>3.5719696969696968</v>
      </c>
      <c r="FN19" s="67">
        <f>IFERROR(VLOOKUP($B19,RD[#All],FN$2,0)/FN$1,"")</f>
        <v>3.5016835016835017</v>
      </c>
      <c r="FO19" s="67">
        <f>IFERROR(VLOOKUP($B19,RD[#All],FO$2,0)/FO$1,"")</f>
        <v>3.5106060606060603</v>
      </c>
      <c r="FP19" s="67">
        <f>IFERROR(VLOOKUP($B19,RD[#All],FP$2,0)/FP$1,"")</f>
        <v>3.5167272727272727</v>
      </c>
      <c r="FQ19" s="67">
        <f>IFERROR(VLOOKUP($B19,RD[#All],FQ$2,0)/FQ$1,"")</f>
        <v>3.5381818181818181</v>
      </c>
      <c r="FR19" s="67">
        <f>IFERROR(VLOOKUP($B19,RD[#All],FR$2,0)/FR$1,"")</f>
        <v>3.4858181818181819</v>
      </c>
      <c r="FS19" s="67">
        <f>IFERROR(VLOOKUP($B19,RD[#All],FS$2,0)/FS$1,"")</f>
        <v>3.6313131313131315</v>
      </c>
      <c r="FT19" s="67">
        <f>IFERROR(VLOOKUP($B19,RD[#All],FT$2,0)/FT$1,"")</f>
        <v>3.6029090909090908</v>
      </c>
      <c r="FU19" s="67">
        <f>IFERROR(VLOOKUP($B19,RD[#All],FU$2,0)/FU$1,"")</f>
        <v>3.5185185185185186</v>
      </c>
      <c r="FV19" s="67">
        <f>IFERROR(VLOOKUP($B19,RD[#All],FV$2,0)/FV$1,"")</f>
        <v>3.5378787878787881</v>
      </c>
      <c r="FW19" s="67">
        <f>IFERROR(VLOOKUP($B19,RD[#All],FW$2,0)/FW$1,"")</f>
        <v>3.5643939393939394</v>
      </c>
      <c r="FX19" s="67">
        <f>IFERROR(VLOOKUP($B19,RD[#All],FX$2,0)/FX$1,"")</f>
        <v>3.6212121212121211</v>
      </c>
      <c r="FY19" s="67">
        <f>IFERROR(VLOOKUP($B19,RD[#All],FY$2,0)/FY$1,"")</f>
        <v>3.5387205387205389</v>
      </c>
      <c r="FZ19" s="67">
        <f>IFERROR(VLOOKUP($B19,RD[#All],FZ$2,0)/FZ$1,"")</f>
        <v>3.606060606060606</v>
      </c>
      <c r="GA19" s="67">
        <f>IFERROR(VLOOKUP($B19,RD[#All],GA$2,0)/GA$1,"")</f>
        <v>3.6503496503496504</v>
      </c>
      <c r="GB19" s="67">
        <f>IFERROR(VLOOKUP($B19,RD[#All],GB$2,0)/GB$1,"")</f>
        <v>3.531986531986532</v>
      </c>
      <c r="GC19" s="67">
        <f>IFERROR(VLOOKUP($B19,RD[#All],GC$2,0)/GC$1,"")</f>
        <v>3.4882154882154883</v>
      </c>
      <c r="GD19" s="67">
        <f>IFERROR(VLOOKUP($B19,RD[#All],GD$2,0)/GD$1,"")</f>
        <v>3.6356363636363636</v>
      </c>
      <c r="GE19" s="67">
        <f>IFERROR(VLOOKUP($B19,RD[#All],GE$2,0)/GE$1,"")</f>
        <v>3.5769230769230771</v>
      </c>
      <c r="GF19" s="67">
        <f>IFERROR(VLOOKUP($B19,RD[#All],GF$2,0)/GF$1,"")</f>
        <v>3.5151515151515151</v>
      </c>
      <c r="GG19" s="67">
        <f>IFERROR(VLOOKUP($B19,RD[#All],GG$2,0)/GG$1,"")</f>
        <v>3.5032727272727273</v>
      </c>
      <c r="GH19" s="67">
        <f>IFERROR(VLOOKUP($B19,RD[#All],GH$2,0)/GH$1,"")</f>
        <v>3.5789090909090913</v>
      </c>
      <c r="GI19" s="67">
        <f>IFERROR(VLOOKUP($B19,RD[#All],GI$2,0)/GI$1,"")</f>
        <v>3.5901818181818181</v>
      </c>
      <c r="GJ19" s="67">
        <f>IFERROR(VLOOKUP($B19,RD[#All],GJ$2,0)/GJ$1,"")</f>
        <v>3.5524475524475525</v>
      </c>
      <c r="GK19" s="67">
        <f>IFERROR(VLOOKUP($B19,RD[#All],GK$2,0)/GK$1,"")</f>
        <v>3.5681818181818183</v>
      </c>
      <c r="GL19" s="67">
        <f>IFERROR(VLOOKUP($B19,RD[#All],GL$2,0)/GL$1,"")</f>
        <v>3.5303030303030303</v>
      </c>
      <c r="GM19" s="67">
        <f>IFERROR(VLOOKUP($B19,RD[#All],GM$2,0)/GM$1,"")</f>
        <v>3.5568181818181817</v>
      </c>
      <c r="GN19" s="67">
        <f>IFERROR(VLOOKUP($B19,RD[#All],GN$2,0)/GN$1,"")</f>
        <v>3.6136363636363638</v>
      </c>
      <c r="GO19" s="67">
        <f>IFERROR(VLOOKUP($B19,RD[#All],GO$2,0)/GO$1,"")</f>
        <v>3.5303030303030303</v>
      </c>
      <c r="GP19" s="67">
        <f>IFERROR(VLOOKUP($B19,RD[#All],GP$2,0)/GP$1,"")</f>
        <v>3.5454545454545454</v>
      </c>
      <c r="GQ19" s="67">
        <f>IFERROR(VLOOKUP($B19,RD[#All],GQ$2,0)/GQ$1,"")</f>
        <v>3.55</v>
      </c>
      <c r="GR19" s="67">
        <f>IFERROR(VLOOKUP($B19,RD[#All],GR$2,0)/GR$1,"")</f>
        <v>3.5378787878787881</v>
      </c>
      <c r="GS19" s="67" t="str">
        <f>IFERROR(VLOOKUP($B19,RD[#All],GS$2,0)/GS$1,"")</f>
        <v/>
      </c>
      <c r="GT19" s="67" t="str">
        <f>IFERROR(VLOOKUP($B19,RD[#All],GT$2,0)/GT$1,"")</f>
        <v/>
      </c>
      <c r="GU19" s="67">
        <f>IFERROR(VLOOKUP($B19,RD[#All],GU$2,0)/GU$1,"")</f>
        <v>3.6059806508355319</v>
      </c>
      <c r="GV19" s="67">
        <f>IFERROR(VLOOKUP($B19,RD[#All],GV$2,0)/GV$1,"")</f>
        <v>3.5723666929340689</v>
      </c>
      <c r="GW19" s="67">
        <f>IFERROR(VLOOKUP($B19,RD[#All],GW$2,0)/GW$1,"")</f>
        <v>3.5254988913525498</v>
      </c>
      <c r="GX19" s="67" t="str">
        <f>IFERROR(VLOOKUP($B19,RD[#All],GX$2,0)/GX$1,"")</f>
        <v/>
      </c>
      <c r="GY19" s="67">
        <f>IFERROR(VLOOKUP($B19,RD[#All],GY$2,0)/GY$1,"")</f>
        <v>3.5064935064935061</v>
      </c>
      <c r="GZ19" s="67">
        <f>IFERROR(VLOOKUP($B19,RD[#All],GZ$2,0)/GZ$1,"")</f>
        <v>3.5805243445692883</v>
      </c>
      <c r="HA19" s="67">
        <f>IFERROR(VLOOKUP($B19,RD[#All],HA$2,0)/HA$1,"")</f>
        <v>3.4981273408239701</v>
      </c>
      <c r="HB19" s="67">
        <f>IFERROR(VLOOKUP($B19,RD[#All],HB$2,0)/HB$1,"")</f>
        <v>3.5543071161048689</v>
      </c>
      <c r="HC19" s="67">
        <f>IFERROR(VLOOKUP($B19,RD[#All],HC$2,0)/HC$1,"")</f>
        <v>3.5018726591760299</v>
      </c>
      <c r="HD19" s="67">
        <f>IFERROR(VLOOKUP($B19,RD[#All],HD$2,0)/HD$1,"")</f>
        <v>3.511985018726592</v>
      </c>
      <c r="HE19" s="67">
        <f>IFERROR(VLOOKUP($B19,RD[#All],HE$2,0)/HE$1,"")</f>
        <v>3.49438202247191</v>
      </c>
      <c r="HF19" s="67">
        <f>IFERROR(VLOOKUP($B19,RD[#All],HF$2,0)/HF$1,"")</f>
        <v>3.61310861423221</v>
      </c>
      <c r="HG19" s="67">
        <f>IFERROR(VLOOKUP($B19,RD[#All],HG$2,0)/HG$1,"")</f>
        <v>3.50561797752809</v>
      </c>
      <c r="HH19" s="67">
        <f>IFERROR(VLOOKUP($B19,RD[#All],HH$2,0)/HH$1,"")</f>
        <v>3.5018726591760299</v>
      </c>
      <c r="HI19" s="67">
        <f>IFERROR(VLOOKUP($B19,RD[#All],HI$2,0)/HI$1,"")</f>
        <v>3.6573033707865168</v>
      </c>
      <c r="HJ19" s="67">
        <f>IFERROR(VLOOKUP($B19,RD[#All],HJ$2,0)/HJ$1,"")</f>
        <v>3.6194756554307115</v>
      </c>
      <c r="HK19" s="67">
        <f>IFERROR(VLOOKUP($B19,RD[#All],HK$2,0)/HK$1,"")</f>
        <v>3.6654182272159801</v>
      </c>
      <c r="HL19" s="67">
        <f>IFERROR(VLOOKUP($B19,RD[#All],HL$2,0)/HL$1,"")</f>
        <v>3.6990428630878065</v>
      </c>
      <c r="HM19" s="67">
        <f>IFERROR(VLOOKUP($B19,RD[#All],HM$2,0)/HM$1,"")</f>
        <v>3.8244514106583072</v>
      </c>
      <c r="HN19" s="67">
        <f>IFERROR(VLOOKUP($B19,RD[#All],HN$2,0)/HN$1,"")</f>
        <v>3.8275862068965516</v>
      </c>
      <c r="HO19" s="67">
        <f>IFERROR(VLOOKUP($B19,RD[#All],HO$2,0)/HO$1,"")</f>
        <v>3.843782654127482</v>
      </c>
      <c r="HP19" s="67">
        <f>IFERROR(VLOOKUP($B19,RD[#All],HP$2,0)/HP$1,"")</f>
        <v>3.7680250783699059</v>
      </c>
      <c r="HQ19" s="67">
        <f>IFERROR(VLOOKUP($B19,RD[#All],HQ$2,0)/HQ$1,"")</f>
        <v>3.5305435305435307</v>
      </c>
      <c r="HR19" s="67">
        <f>IFERROR(VLOOKUP($B19,RD[#All],HR$2,0)/HR$1,"")</f>
        <v>3.5471226021684736</v>
      </c>
      <c r="HS19" s="67">
        <f>IFERROR(VLOOKUP($B19,RD[#All],HS$2,0)/HS$1,"")</f>
        <v>3.6314606741573034</v>
      </c>
      <c r="HT19" s="67">
        <f>IFERROR(VLOOKUP($B19,RD[#All],HT$2,0)/HT$1,"")</f>
        <v>3.6317935913441532</v>
      </c>
      <c r="HU19" s="67">
        <f>IFERROR(VLOOKUP($B19,RD[#All],HU$2,0)/HU$1,"")</f>
        <v>3.6252376836646496</v>
      </c>
      <c r="HV19" s="67">
        <f>IFERROR(VLOOKUP($B19,RD[#All],HV$2,0)/HV$1,"")</f>
        <v>3.5408815903197928</v>
      </c>
      <c r="HW19" s="67">
        <f>IFERROR(VLOOKUP($B19,RD[#All],HW$2,0)/HW$1,"")</f>
        <v>3.7972134831460669</v>
      </c>
      <c r="HX19" s="67">
        <f>IFERROR(VLOOKUP($B19,RD[#All],HX$2,0)/HX$1,"")</f>
        <v>3.5298184961106309</v>
      </c>
      <c r="HY19" s="67">
        <f>IFERROR(VLOOKUP($B19,RD[#All],HY$2,0)/HY$1,"")</f>
        <v>3.6214731585518103</v>
      </c>
      <c r="HZ19" s="67">
        <f>IFERROR(VLOOKUP($B19,RD[#All],HZ$2,0)/HZ$1,"")</f>
        <v>3.5898460258010818</v>
      </c>
      <c r="IA19" s="67">
        <f>IFERROR(VLOOKUP($B19,RD[#All],IA$2,0)/IA$1,"")</f>
        <v>3.5431235431235435</v>
      </c>
      <c r="IB19" s="67">
        <f>IFERROR(VLOOKUP($B19,RD[#All],IB$2,0)/IB$1,"")</f>
        <v>3.5703463203463208</v>
      </c>
      <c r="IC19" s="67">
        <f>IFERROR(VLOOKUP($B19,RD[#All],IC$2,0)/IC$1,"")</f>
        <v>3.5858585858585861</v>
      </c>
      <c r="ID19" s="67">
        <f>IFERROR(VLOOKUP($B19,RD[#All],ID$2,0)/ID$1,"")</f>
        <v>3.5091657313879536</v>
      </c>
      <c r="IE19" s="67">
        <f>IFERROR(VLOOKUP($B19,RD[#All],IE$2,0)/IE$1,"")</f>
        <v>3.6404040404040403</v>
      </c>
      <c r="IF19" s="67" t="str">
        <f>IFERROR(VLOOKUP($B19,RD[#All],IF$2,0)/IF$1,"")</f>
        <v/>
      </c>
      <c r="IG19" s="67">
        <f>IFERROR(VLOOKUP($B19,RD[#All],IG$2,0)/IG$1,"")</f>
        <v>3.6824228700820831</v>
      </c>
      <c r="IH19" s="67">
        <f>IFERROR(VLOOKUP($B19,RD[#All],IH$2,0)/IH$1,"")</f>
        <v>3.556252176941832</v>
      </c>
      <c r="II19" s="67">
        <f>IFERROR(VLOOKUP($B19,RD[#All],II$2,0)/II$1,"")</f>
        <v>3.6119402985074629</v>
      </c>
      <c r="IJ19" s="67">
        <f>IFERROR(VLOOKUP($B19,RD[#All],IJ$2,0)/IJ$1,"")</f>
        <v>3.5016835016835017</v>
      </c>
      <c r="IK19" s="67">
        <f>IFERROR(VLOOKUP($B19,RD[#All],IK$2,0)/IK$1,"")</f>
        <v>3.5058275058275061</v>
      </c>
      <c r="IL19" s="67" t="str">
        <f>IFERROR(VLOOKUP($B19,RD[#All],IL$2,0)/IL$1,"")</f>
        <v/>
      </c>
      <c r="IM19" s="67" t="str">
        <f>IFERROR(VLOOKUP($B19,RD[#All],IM$2,0)/IM$1,"")</f>
        <v/>
      </c>
      <c r="IN19" s="67">
        <f>IFERROR(VLOOKUP($B19,RD[#All],IN$2,0)/IN$1,"")</f>
        <v>3.7074190177638453</v>
      </c>
      <c r="IO19" s="67">
        <f>IFERROR(VLOOKUP($B19,RD[#All],IO$2,0)/IO$1,"")</f>
        <v>3.6833855799373043</v>
      </c>
      <c r="IP19" s="67">
        <f>IFERROR(VLOOKUP($B19,RD[#All],IP$2,0)/IP$1,"")</f>
        <v>4.1538127308277213</v>
      </c>
      <c r="IQ19" s="67">
        <f>IFERROR(VLOOKUP($B19,RD[#All],IQ$2,0)/IQ$1,"")</f>
        <v>3.5314685314685317</v>
      </c>
      <c r="IR19" s="67">
        <f>IFERROR(VLOOKUP($B19,RD[#All],IR$2,0)/IR$1,"")</f>
        <v>3.5020729684908791</v>
      </c>
      <c r="IS19" s="86">
        <f>IFERROR(AVERAGEIF(Inv_SY_B[[#This Row],[BLK1_INV1]:[BLK8_INV27]],"&gt;"&amp;0.1,Inv_SY_B[[#This Row],[BLK1_INV1]:[BLK8_INV27]]),"")</f>
        <v>3.569410882879553</v>
      </c>
    </row>
    <row r="20" spans="2:253" x14ac:dyDescent="0.25">
      <c r="B20" s="85">
        <f t="shared" si="0"/>
        <v>45846</v>
      </c>
      <c r="C20" s="67">
        <f>IFERROR(VLOOKUP($B20,RD[#All],C$2,0)/C$1,"")</f>
        <v>4.9196197061365599</v>
      </c>
      <c r="D20" s="67">
        <f>IFERROR(VLOOKUP($B20,RD[#All],D$2,0)/D$1,"")</f>
        <v>4.98876404494382</v>
      </c>
      <c r="E20" s="67">
        <f>IFERROR(VLOOKUP($B20,RD[#All],E$2,0)/E$1,"")</f>
        <v>4.9550561797752808</v>
      </c>
      <c r="F20" s="67">
        <f>IFERROR(VLOOKUP($B20,RD[#All],F$2,0)/F$1,"")</f>
        <v>5.0149812734082397</v>
      </c>
      <c r="G20" s="67">
        <f>IFERROR(VLOOKUP($B20,RD[#All],G$2,0)/G$1,"")</f>
        <v>4.9541918755401904</v>
      </c>
      <c r="H20" s="67">
        <f>IFERROR(VLOOKUP($B20,RD[#All],H$2,0)/H$1,"")</f>
        <v>4.9026217228464422</v>
      </c>
      <c r="I20" s="67">
        <f>IFERROR(VLOOKUP($B20,RD[#All],I$2,0)/I$1,"")</f>
        <v>4.9134831460674162</v>
      </c>
      <c r="J20" s="67">
        <f>IFERROR(VLOOKUP($B20,RD[#All],J$2,0)/J$1,"")</f>
        <v>4.8314606741573032</v>
      </c>
      <c r="K20" s="67">
        <f>IFERROR(VLOOKUP($B20,RD[#All],K$2,0)/K$1,"")</f>
        <v>4.9977528089887642</v>
      </c>
      <c r="L20" s="67">
        <f>IFERROR(VLOOKUP($B20,RD[#All],L$2,0)/L$1,"")</f>
        <v>5.0013483146067417</v>
      </c>
      <c r="M20" s="67">
        <f>IFERROR(VLOOKUP($B20,RD[#All],M$2,0)/M$1,"")</f>
        <v>4.9962546816479403</v>
      </c>
      <c r="N20" s="67">
        <f>IFERROR(VLOOKUP($B20,RD[#All],N$2,0)/N$1,"")</f>
        <v>4.9625468164794011</v>
      </c>
      <c r="O20" s="67">
        <f>IFERROR(VLOOKUP($B20,RD[#All],O$2,0)/O$1,"")</f>
        <v>4.9850187265917603</v>
      </c>
      <c r="P20" s="67">
        <f>IFERROR(VLOOKUP($B20,RD[#All],P$2,0)/P$1,"")</f>
        <v>4.8825331971399386</v>
      </c>
      <c r="Q20" s="67">
        <f>IFERROR(VLOOKUP($B20,RD[#All],Q$2,0)/Q$1,"")</f>
        <v>4.9700374531835205</v>
      </c>
      <c r="R20" s="67">
        <f>IFERROR(VLOOKUP($B20,RD[#All],R$2,0)/R$1,"")</f>
        <v>4.9483146067415733</v>
      </c>
      <c r="S20" s="67">
        <f>IFERROR(VLOOKUP($B20,RD[#All],S$2,0)/S$1,"")</f>
        <v>4.9400749063670411</v>
      </c>
      <c r="T20" s="67">
        <f>IFERROR(VLOOKUP($B20,RD[#All],T$2,0)/T$1,"")</f>
        <v>4.9550561797752808</v>
      </c>
      <c r="U20" s="67">
        <f>IFERROR(VLOOKUP($B20,RD[#All],U$2,0)/U$1,"")</f>
        <v>4.9161624891961972</v>
      </c>
      <c r="V20" s="67">
        <f>IFERROR(VLOOKUP($B20,RD[#All],V$2,0)/V$1,"")</f>
        <v>4.9334485738980121</v>
      </c>
      <c r="W20" s="67">
        <f>IFERROR(VLOOKUP($B20,RD[#All],W$2,0)/W$1,"")</f>
        <v>4.9063670411985019</v>
      </c>
      <c r="X20" s="67">
        <f>IFERROR(VLOOKUP($B20,RD[#All],X$2,0)/X$1,"")</f>
        <v>4.8314606741573032</v>
      </c>
      <c r="Y20" s="67">
        <f>IFERROR(VLOOKUP($B20,RD[#All],Y$2,0)/Y$1,"")</f>
        <v>4.9127052722558338</v>
      </c>
      <c r="Z20" s="67">
        <f>IFERROR(VLOOKUP($B20,RD[#All],Z$2,0)/Z$1,"")</f>
        <v>4.96046608406159</v>
      </c>
      <c r="AA20" s="67">
        <f>IFERROR(VLOOKUP($B20,RD[#All],AA$2,0)/AA$1,"")</f>
        <v>4.8055315471045805</v>
      </c>
      <c r="AB20" s="67">
        <f>IFERROR(VLOOKUP($B20,RD[#All],AB$2,0)/AB$1,"")</f>
        <v>4.7986171132238544</v>
      </c>
      <c r="AC20" s="67">
        <f>IFERROR(VLOOKUP($B20,RD[#All],AC$2,0)/AC$1,"")</f>
        <v>4.8055315471045805</v>
      </c>
      <c r="AD20" s="67">
        <f>IFERROR(VLOOKUP($B20,RD[#All],AD$2,0)/AD$1,"")</f>
        <v>4.8239700374531838</v>
      </c>
      <c r="AE20" s="67">
        <f>IFERROR(VLOOKUP($B20,RD[#All],AE$2,0)/AE$1,"")</f>
        <v>4.8306283811901789</v>
      </c>
      <c r="AF20" s="67">
        <f>IFERROR(VLOOKUP($B20,RD[#All],AF$2,0)/AF$1,"")</f>
        <v>4.8073241781106946</v>
      </c>
      <c r="AG20" s="67">
        <f>IFERROR(VLOOKUP($B20,RD[#All],AG$2,0)/AG$1,"")</f>
        <v>4.7906783187682063</v>
      </c>
      <c r="AH20" s="67">
        <f>IFERROR(VLOOKUP($B20,RD[#All],AH$2,0)/AH$1,"")</f>
        <v>4.777361631294216</v>
      </c>
      <c r="AI20" s="67">
        <f>IFERROR(VLOOKUP($B20,RD[#All],AI$2,0)/AI$1,"")</f>
        <v>4.8899371069182385</v>
      </c>
      <c r="AJ20" s="67">
        <f>IFERROR(VLOOKUP($B20,RD[#All],AJ$2,0)/AJ$1,"")</f>
        <v>4.8512927813480795</v>
      </c>
      <c r="AK20" s="67">
        <f>IFERROR(VLOOKUP($B20,RD[#All],AK$2,0)/AK$1,"")</f>
        <v>4.8539325842696632</v>
      </c>
      <c r="AL20" s="67">
        <f>IFERROR(VLOOKUP($B20,RD[#All],AL$2,0)/AL$1,"")</f>
        <v>4.7664770826363334</v>
      </c>
      <c r="AM20" s="67">
        <f>IFERROR(VLOOKUP($B20,RD[#All],AM$2,0)/AM$1,"")</f>
        <v>4.9576779026217226</v>
      </c>
      <c r="AN20" s="67">
        <f>IFERROR(VLOOKUP($B20,RD[#All],AN$2,0)/AN$1,"")</f>
        <v>4.9475655430711614</v>
      </c>
      <c r="AO20" s="67">
        <f>IFERROR(VLOOKUP($B20,RD[#All],AO$2,0)/AO$1,"")</f>
        <v>4.9101123595505616</v>
      </c>
      <c r="AP20" s="67">
        <f>IFERROR(VLOOKUP($B20,RD[#All],AP$2,0)/AP$1,"")</f>
        <v>4.8595505617977528</v>
      </c>
      <c r="AQ20" s="67">
        <f>IFERROR(VLOOKUP($B20,RD[#All],AQ$2,0)/AQ$1,"")</f>
        <v>4.8127340823970037</v>
      </c>
      <c r="AR20" s="67">
        <f>IFERROR(VLOOKUP($B20,RD[#All],AR$2,0)/AR$1,"")</f>
        <v>4.8539325842696632</v>
      </c>
      <c r="AS20" s="67">
        <f>IFERROR(VLOOKUP($B20,RD[#All],AS$2,0)/AS$1,"")</f>
        <v>4.8127340823970037</v>
      </c>
      <c r="AT20" s="67">
        <f>IFERROR(VLOOKUP($B20,RD[#All],AT$2,0)/AT$1,"")</f>
        <v>4.8318352059925092</v>
      </c>
      <c r="AU20" s="67">
        <f>IFERROR(VLOOKUP($B20,RD[#All],AU$2,0)/AU$1,"")</f>
        <v>4.797752808988764</v>
      </c>
      <c r="AV20" s="67">
        <f>IFERROR(VLOOKUP($B20,RD[#All],AV$2,0)/AV$1,"")</f>
        <v>4.8146067415730336</v>
      </c>
      <c r="AW20" s="67">
        <f>IFERROR(VLOOKUP($B20,RD[#All],AW$2,0)/AW$1,"")</f>
        <v>4.8093344857389795</v>
      </c>
      <c r="AX20" s="67">
        <f>IFERROR(VLOOKUP($B20,RD[#All],AX$2,0)/AX$1,"")</f>
        <v>4.8314606741573032</v>
      </c>
      <c r="AY20" s="67">
        <f>IFERROR(VLOOKUP($B20,RD[#All],AY$2,0)/AY$1,"")</f>
        <v>4.8179775280898873</v>
      </c>
      <c r="AZ20" s="67">
        <f>IFERROR(VLOOKUP($B20,RD[#All],AZ$2,0)/AZ$1,"")</f>
        <v>4.7568539325842698</v>
      </c>
      <c r="BA20" s="67">
        <f>IFERROR(VLOOKUP($B20,RD[#All],BA$2,0)/BA$1,"")</f>
        <v>4.797752808988764</v>
      </c>
      <c r="BB20" s="67">
        <f>IFERROR(VLOOKUP($B20,RD[#All],BB$2,0)/BB$1,"")</f>
        <v>4.8176029962546814</v>
      </c>
      <c r="BC20" s="67">
        <f>IFERROR(VLOOKUP($B20,RD[#All],BC$2,0)/BC$1,"")</f>
        <v>4.8406158967956721</v>
      </c>
      <c r="BD20" s="67">
        <f>IFERROR(VLOOKUP($B20,RD[#All],BD$2,0)/BD$1,"")</f>
        <v>4.8029962546816485</v>
      </c>
      <c r="BE20" s="67">
        <f>IFERROR(VLOOKUP($B20,RD[#All],BE$2,0)/BE$1,"")</f>
        <v>4.7643906655142603</v>
      </c>
      <c r="BF20" s="67">
        <f>IFERROR(VLOOKUP($B20,RD[#All],BF$2,0)/BF$1,"")</f>
        <v>4.7973366625052014</v>
      </c>
      <c r="BG20" s="67">
        <f>IFERROR(VLOOKUP($B20,RD[#All],BG$2,0)/BG$1,"")</f>
        <v>4.7906783187682063</v>
      </c>
      <c r="BH20" s="67">
        <f>IFERROR(VLOOKUP($B20,RD[#All],BH$2,0)/BH$1,"")</f>
        <v>4.9101123595505616</v>
      </c>
      <c r="BI20" s="67">
        <f>IFERROR(VLOOKUP($B20,RD[#All],BI$2,0)/BI$1,"")</f>
        <v>4.8506034124011652</v>
      </c>
      <c r="BJ20" s="67">
        <f>IFERROR(VLOOKUP($B20,RD[#All],BJ$2,0)/BJ$1,"")</f>
        <v>4.7973366625052014</v>
      </c>
      <c r="BK20" s="67">
        <f>IFERROR(VLOOKUP($B20,RD[#All],BK$2,0)/BK$1,"")</f>
        <v>4.904494382022472</v>
      </c>
      <c r="BL20" s="67">
        <f>IFERROR(VLOOKUP($B20,RD[#All],BL$2,0)/BL$1,"")</f>
        <v>5.0371361659417868</v>
      </c>
      <c r="BM20" s="67">
        <f>IFERROR(VLOOKUP($B20,RD[#All],BM$2,0)/BM$1,"")</f>
        <v>4.7752808988764048</v>
      </c>
      <c r="BN20" s="67">
        <f>IFERROR(VLOOKUP($B20,RD[#All],BN$2,0)/BN$1,"")</f>
        <v>5.0198537095088822</v>
      </c>
      <c r="BO20" s="67">
        <f>IFERROR(VLOOKUP($B20,RD[#All],BO$2,0)/BO$1,"")</f>
        <v>4.8055315471045805</v>
      </c>
      <c r="BP20" s="67">
        <f>IFERROR(VLOOKUP($B20,RD[#All],BP$2,0)/BP$1,"")</f>
        <v>4.7847882454624031</v>
      </c>
      <c r="BQ20" s="67">
        <f>IFERROR(VLOOKUP($B20,RD[#All],BQ$2,0)/BQ$1,"")</f>
        <v>4.8435609334485736</v>
      </c>
      <c r="BR20" s="67">
        <f>IFERROR(VLOOKUP($B20,RD[#All],BR$2,0)/BR$1,"")</f>
        <v>4.8643042350907519</v>
      </c>
      <c r="BS20" s="67">
        <f>IFERROR(VLOOKUP($B20,RD[#All],BS$2,0)/BS$1,"")</f>
        <v>4.8314606741573032</v>
      </c>
      <c r="BT20" s="67">
        <f>IFERROR(VLOOKUP($B20,RD[#All],BT$2,0)/BT$1,"")</f>
        <v>4.8501872659176026</v>
      </c>
      <c r="BU20" s="67">
        <f>IFERROR(VLOOKUP($B20,RD[#All],BU$2,0)/BU$1,"")</f>
        <v>4.8352059925093629</v>
      </c>
      <c r="BV20" s="67">
        <f>IFERROR(VLOOKUP($B20,RD[#All],BV$2,0)/BV$1,"")</f>
        <v>4.8464419475655429</v>
      </c>
      <c r="BW20" s="67">
        <f>IFERROR(VLOOKUP($B20,RD[#All],BW$2,0)/BW$1,"")</f>
        <v>4.9475655430711614</v>
      </c>
      <c r="BX20" s="67">
        <f>IFERROR(VLOOKUP($B20,RD[#All],BX$2,0)/BX$1,"")</f>
        <v>4.8314606741573032</v>
      </c>
      <c r="BY20" s="67">
        <f>IFERROR(VLOOKUP($B20,RD[#All],BY$2,0)/BY$1,"")</f>
        <v>4.8306283811901789</v>
      </c>
      <c r="BZ20" s="67">
        <f>IFERROR(VLOOKUP($B20,RD[#All],BZ$2,0)/BZ$1,"")</f>
        <v>4.8509363295880146</v>
      </c>
      <c r="CA20" s="67">
        <f>IFERROR(VLOOKUP($B20,RD[#All],CA$2,0)/CA$1,"")</f>
        <v>4.7873491468997091</v>
      </c>
      <c r="CB20" s="67">
        <f>IFERROR(VLOOKUP($B20,RD[#All],CB$2,0)/CB$1,"")</f>
        <v>4.8202247191011232</v>
      </c>
      <c r="CC20" s="67">
        <f>IFERROR(VLOOKUP($B20,RD[#All],CC$2,0)/CC$1,"")</f>
        <v>4.8868913857677905</v>
      </c>
      <c r="CD20" s="67">
        <f>IFERROR(VLOOKUP($B20,RD[#All],CD$2,0)/CD$1,"")</f>
        <v>4.840103716508211</v>
      </c>
      <c r="CE20" s="67">
        <f>IFERROR(VLOOKUP($B20,RD[#All],CE$2,0)/CE$1,"")</f>
        <v>4.7584269662921352</v>
      </c>
      <c r="CF20" s="67">
        <f>IFERROR(VLOOKUP($B20,RD[#All],CF$2,0)/CF$1,"")</f>
        <v>4.9101123595505616</v>
      </c>
      <c r="CG20" s="67">
        <f>IFERROR(VLOOKUP($B20,RD[#All],CG$2,0)/CG$1,"")</f>
        <v>4.844943820224719</v>
      </c>
      <c r="CH20" s="67">
        <f>IFERROR(VLOOKUP($B20,RD[#All],CH$2,0)/CH$1,"")</f>
        <v>4.8352059925093629</v>
      </c>
      <c r="CI20" s="67">
        <f>IFERROR(VLOOKUP($B20,RD[#All],CI$2,0)/CI$1,"")</f>
        <v>4.7453183520599254</v>
      </c>
      <c r="CJ20" s="67">
        <f>IFERROR(VLOOKUP($B20,RD[#All],CJ$2,0)/CJ$1,"")</f>
        <v>4.8539325842696632</v>
      </c>
      <c r="CK20" s="67">
        <f>IFERROR(VLOOKUP($B20,RD[#All],CK$2,0)/CK$1,"")</f>
        <v>4.8981273408239696</v>
      </c>
      <c r="CL20" s="67">
        <f>IFERROR(VLOOKUP($B20,RD[#All],CL$2,0)/CL$1,"")</f>
        <v>4.797752808988764</v>
      </c>
      <c r="CM20" s="67">
        <f>IFERROR(VLOOKUP($B20,RD[#All],CM$2,0)/CM$1,"")</f>
        <v>4.9123595505617974</v>
      </c>
      <c r="CN20" s="67">
        <f>IFERROR(VLOOKUP($B20,RD[#All],CN$2,0)/CN$1,"")</f>
        <v>4.9168539325842691</v>
      </c>
      <c r="CO20" s="67">
        <f>IFERROR(VLOOKUP($B20,RD[#All],CO$2,0)/CO$1,"")</f>
        <v>4.8916853932584266</v>
      </c>
      <c r="CP20" s="67">
        <f>IFERROR(VLOOKUP($B20,RD[#All],CP$2,0)/CP$1,"")</f>
        <v>4.8435609334485736</v>
      </c>
      <c r="CQ20" s="67">
        <f>IFERROR(VLOOKUP($B20,RD[#All],CQ$2,0)/CQ$1,"")</f>
        <v>4.9400749063670411</v>
      </c>
      <c r="CR20" s="67">
        <f>IFERROR(VLOOKUP($B20,RD[#All],CR$2,0)/CR$1,"")</f>
        <v>4.8277153558052435</v>
      </c>
      <c r="CS20" s="67">
        <f>IFERROR(VLOOKUP($B20,RD[#All],CS$2,0)/CS$1,"")</f>
        <v>4.90153974198918</v>
      </c>
      <c r="CT20" s="67">
        <f>IFERROR(VLOOKUP($B20,RD[#All],CT$2,0)/CT$1,"")</f>
        <v>4.797752808988764</v>
      </c>
      <c r="CU20" s="67">
        <f>IFERROR(VLOOKUP($B20,RD[#All],CU$2,0)/CU$1,"")</f>
        <v>4.8501872659176026</v>
      </c>
      <c r="CV20" s="67">
        <f>IFERROR(VLOOKUP($B20,RD[#All],CV$2,0)/CV$1,"")</f>
        <v>4.8314606741573032</v>
      </c>
      <c r="CW20" s="67">
        <f>IFERROR(VLOOKUP($B20,RD[#All],CW$2,0)/CW$1,"")</f>
        <v>4.8576779026217229</v>
      </c>
      <c r="CX20" s="67">
        <f>IFERROR(VLOOKUP($B20,RD[#All],CX$2,0)/CX$1,"")</f>
        <v>4.808988764044944</v>
      </c>
      <c r="CY20" s="67">
        <f>IFERROR(VLOOKUP($B20,RD[#All],CY$2,0)/CY$1,"")</f>
        <v>4.8426966292134832</v>
      </c>
      <c r="CZ20" s="67">
        <f>IFERROR(VLOOKUP($B20,RD[#All],CZ$2,0)/CZ$1,"")</f>
        <v>4.8651685393258424</v>
      </c>
      <c r="DA20" s="67">
        <f>IFERROR(VLOOKUP($B20,RD[#All],DA$2,0)/DA$1,"")</f>
        <v>4.786516853932584</v>
      </c>
      <c r="DB20" s="67">
        <f>IFERROR(VLOOKUP($B20,RD[#All],DB$2,0)/DB$1,"")</f>
        <v>4.8426966292134832</v>
      </c>
      <c r="DC20" s="67">
        <f>IFERROR(VLOOKUP($B20,RD[#All],DC$2,0)/DC$1,"")</f>
        <v>4.8565959217644608</v>
      </c>
      <c r="DD20" s="67">
        <f>IFERROR(VLOOKUP($B20,RD[#All],DD$2,0)/DD$1,"")</f>
        <v>4.8314606741573032</v>
      </c>
      <c r="DE20" s="67">
        <f>IFERROR(VLOOKUP($B20,RD[#All],DE$2,0)/DE$1,"")</f>
        <v>4.9305035372451105</v>
      </c>
      <c r="DF20" s="67">
        <f>IFERROR(VLOOKUP($B20,RD[#All],DF$2,0)/DF$1,"")</f>
        <v>4.8578119772499164</v>
      </c>
      <c r="DG20" s="67">
        <f>IFERROR(VLOOKUP($B20,RD[#All],DG$2,0)/DG$1,"")</f>
        <v>4.8674157303370782</v>
      </c>
      <c r="DH20" s="67">
        <f>IFERROR(VLOOKUP($B20,RD[#All],DH$2,0)/DH$1,"")</f>
        <v>4.9075322513524755</v>
      </c>
      <c r="DI20" s="67">
        <f>IFERROR(VLOOKUP($B20,RD[#All],DI$2,0)/DI$1,"")</f>
        <v>4.844943820224719</v>
      </c>
      <c r="DJ20" s="67">
        <f>IFERROR(VLOOKUP($B20,RD[#All],DJ$2,0)/DJ$1,"")</f>
        <v>4.9241140881590315</v>
      </c>
      <c r="DK20" s="67">
        <f>IFERROR(VLOOKUP($B20,RD[#All],DK$2,0)/DK$1,"")</f>
        <v>4.8978776529338326</v>
      </c>
      <c r="DL20" s="67">
        <f>IFERROR(VLOOKUP($B20,RD[#All],DL$2,0)/DL$1,"")</f>
        <v>4.9241781106949647</v>
      </c>
      <c r="DM20" s="67">
        <f>IFERROR(VLOOKUP($B20,RD[#All],DM$2,0)/DM$1,"")</f>
        <v>4.9494382022471912</v>
      </c>
      <c r="DN20" s="67">
        <f>IFERROR(VLOOKUP($B20,RD[#All],DN$2,0)/DN$1,"")</f>
        <v>4.9265917602996261</v>
      </c>
      <c r="DO20" s="67">
        <f>IFERROR(VLOOKUP($B20,RD[#All],DO$2,0)/DO$1,"")</f>
        <v>4.7908999665439946</v>
      </c>
      <c r="DP20" s="67">
        <f>IFERROR(VLOOKUP($B20,RD[#All],DP$2,0)/DP$1,"")</f>
        <v>4.7374115688722434</v>
      </c>
      <c r="DQ20" s="67">
        <f>IFERROR(VLOOKUP($B20,RD[#All],DQ$2,0)/DQ$1,"")</f>
        <v>4.8882230545151888</v>
      </c>
      <c r="DR20" s="67">
        <f>IFERROR(VLOOKUP($B20,RD[#All],DR$2,0)/DR$1,"")</f>
        <v>4.87003745318352</v>
      </c>
      <c r="DS20" s="67">
        <f>IFERROR(VLOOKUP($B20,RD[#All],DS$2,0)/DS$1,"")</f>
        <v>4.8348314606741578</v>
      </c>
      <c r="DT20" s="67">
        <f>IFERROR(VLOOKUP($B20,RD[#All],DT$2,0)/DT$1,"")</f>
        <v>4.7340823970037453</v>
      </c>
      <c r="DU20" s="67">
        <f>IFERROR(VLOOKUP($B20,RD[#All],DU$2,0)/DU$1,"")</f>
        <v>4.8396171452351231</v>
      </c>
      <c r="DV20" s="67">
        <f>IFERROR(VLOOKUP($B20,RD[#All],DV$2,0)/DV$1,"")</f>
        <v>4.8576779026217229</v>
      </c>
      <c r="DW20" s="67">
        <f>IFERROR(VLOOKUP($B20,RD[#All],DW$2,0)/DW$1,"")</f>
        <v>4.761797752808989</v>
      </c>
      <c r="DX20" s="67">
        <f>IFERROR(VLOOKUP($B20,RD[#All],DX$2,0)/DX$1,"")</f>
        <v>4.7374115688722434</v>
      </c>
      <c r="DY20" s="67">
        <f>IFERROR(VLOOKUP($B20,RD[#All],DY$2,0)/DY$1,"")</f>
        <v>4.8127340823970037</v>
      </c>
      <c r="DZ20" s="67">
        <f>IFERROR(VLOOKUP($B20,RD[#All],DZ$2,0)/DZ$1,"")</f>
        <v>4.7471910112359552</v>
      </c>
      <c r="EA20" s="67">
        <f>IFERROR(VLOOKUP($B20,RD[#All],EA$2,0)/EA$1,"")</f>
        <v>4.7906783187682063</v>
      </c>
      <c r="EB20" s="67">
        <f>IFERROR(VLOOKUP($B20,RD[#All],EB$2,0)/EB$1,"")</f>
        <v>4.7873491468997091</v>
      </c>
      <c r="EC20" s="67">
        <f>IFERROR(VLOOKUP($B20,RD[#All],EC$2,0)/EC$1,"")</f>
        <v>4.7647363872082975</v>
      </c>
      <c r="ED20" s="67">
        <f>IFERROR(VLOOKUP($B20,RD[#All],ED$2,0)/ED$1,"")</f>
        <v>4.9203111495246326</v>
      </c>
      <c r="EE20" s="67">
        <f>IFERROR(VLOOKUP($B20,RD[#All],EE$2,0)/EE$1,"")</f>
        <v>4.9206568712186689</v>
      </c>
      <c r="EF20" s="67">
        <f>IFERROR(VLOOKUP($B20,RD[#All],EF$2,0)/EF$1,"")</f>
        <v>5.0377936670071506</v>
      </c>
      <c r="EG20" s="67">
        <f>IFERROR(VLOOKUP($B20,RD[#All],EG$2,0)/EG$1,"")</f>
        <v>4.9685314685314683</v>
      </c>
      <c r="EH20" s="67">
        <f>IFERROR(VLOOKUP($B20,RD[#All],EH$2,0)/EH$1,"")</f>
        <v>4.8566433566433567</v>
      </c>
      <c r="EI20" s="67">
        <f>IFERROR(VLOOKUP($B20,RD[#All],EI$2,0)/EI$1,"")</f>
        <v>4.7937062937062933</v>
      </c>
      <c r="EJ20" s="67">
        <f>IFERROR(VLOOKUP($B20,RD[#All],EJ$2,0)/EJ$1,"")</f>
        <v>4.9265734265734267</v>
      </c>
      <c r="EK20" s="67">
        <f>IFERROR(VLOOKUP($B20,RD[#All],EK$2,0)/EK$1,"")</f>
        <v>4.9905617977528092</v>
      </c>
      <c r="EL20" s="67">
        <f>IFERROR(VLOOKUP($B20,RD[#All],EL$2,0)/EL$1,"")</f>
        <v>4.9910112359550558</v>
      </c>
      <c r="EM20" s="67">
        <f>IFERROR(VLOOKUP($B20,RD[#All],EM$2,0)/EM$1,"")</f>
        <v>4.9248055315471042</v>
      </c>
      <c r="EN20" s="67">
        <f>IFERROR(VLOOKUP($B20,RD[#All],EN$2,0)/EN$1,"")</f>
        <v>4.7474503025064827</v>
      </c>
      <c r="EO20" s="67">
        <f>IFERROR(VLOOKUP($B20,RD[#All],EO$2,0)/EO$1,"")</f>
        <v>4.9868913857677901</v>
      </c>
      <c r="EP20" s="67">
        <f>IFERROR(VLOOKUP($B20,RD[#All],EP$2,0)/EP$1,"")</f>
        <v>4.9507346585998269</v>
      </c>
      <c r="EQ20" s="67">
        <f>IFERROR(VLOOKUP($B20,RD[#All],EQ$2,0)/EQ$1,"")</f>
        <v>4.8550561797752811</v>
      </c>
      <c r="ER20" s="67">
        <f>IFERROR(VLOOKUP($B20,RD[#All],ER$2,0)/ER$1,"")</f>
        <v>4.9130509939498701</v>
      </c>
      <c r="ES20" s="67">
        <f>IFERROR(VLOOKUP($B20,RD[#All],ES$2,0)/ES$1,"")</f>
        <v>4.8970037453183517</v>
      </c>
      <c r="ET20" s="67">
        <f>IFERROR(VLOOKUP($B20,RD[#All],ET$2,0)/ET$1,"")</f>
        <v>4.9070480081716035</v>
      </c>
      <c r="EU20" s="67">
        <f>IFERROR(VLOOKUP($B20,RD[#All],EU$2,0)/EU$1,"")</f>
        <v>4.7640449438202248</v>
      </c>
      <c r="EV20" s="67">
        <f>IFERROR(VLOOKUP($B20,RD[#All],EV$2,0)/EV$1,"")</f>
        <v>4.9579948141745893</v>
      </c>
      <c r="EW20" s="67">
        <f>IFERROR(VLOOKUP($B20,RD[#All],EW$2,0)/EW$1,"")</f>
        <v>5.0050129645635266</v>
      </c>
      <c r="EX20" s="67">
        <f>IFERROR(VLOOKUP($B20,RD[#All],EX$2,0)/EX$1,"")</f>
        <v>4.9722846441947564</v>
      </c>
      <c r="EY20" s="67">
        <f>IFERROR(VLOOKUP($B20,RD[#All],EY$2,0)/EY$1,"")</f>
        <v>4.8259675405742817</v>
      </c>
      <c r="EZ20" s="67">
        <f>IFERROR(VLOOKUP($B20,RD[#All],EZ$2,0)/EZ$1,"")</f>
        <v>4.9730337078651683</v>
      </c>
      <c r="FA20" s="67">
        <f>IFERROR(VLOOKUP($B20,RD[#All],FA$2,0)/FA$1,"")</f>
        <v>4.9007490636704123</v>
      </c>
      <c r="FB20" s="67">
        <f>IFERROR(VLOOKUP($B20,RD[#All],FB$2,0)/FB$1,"")</f>
        <v>4.8670411985018722</v>
      </c>
      <c r="FC20" s="67">
        <f>IFERROR(VLOOKUP($B20,RD[#All],FC$2,0)/FC$1,"")</f>
        <v>4.8314606741573032</v>
      </c>
      <c r="FD20" s="67">
        <f>IFERROR(VLOOKUP($B20,RD[#All],FD$2,0)/FD$1,"")</f>
        <v>4.9265917602996261</v>
      </c>
      <c r="FE20" s="67">
        <f>IFERROR(VLOOKUP($B20,RD[#All],FE$2,0)/FE$1,"")</f>
        <v>4.9280303030303028</v>
      </c>
      <c r="FF20" s="67">
        <f>IFERROR(VLOOKUP($B20,RD[#All],FF$2,0)/FF$1,"")</f>
        <v>4.9821969696969699</v>
      </c>
      <c r="FG20" s="67">
        <f>IFERROR(VLOOKUP($B20,RD[#All],FG$2,0)/FG$1,"")</f>
        <v>4.9191919191919196</v>
      </c>
      <c r="FH20" s="67">
        <f>IFERROR(VLOOKUP($B20,RD[#All],FH$2,0)/FH$1,"")</f>
        <v>4.8121212121212125</v>
      </c>
      <c r="FI20" s="67">
        <f>IFERROR(VLOOKUP($B20,RD[#All],FI$2,0)/FI$1,"")</f>
        <v>4.7828282828282829</v>
      </c>
      <c r="FJ20" s="67">
        <f>IFERROR(VLOOKUP($B20,RD[#All],FJ$2,0)/FJ$1,"")</f>
        <v>4.8848484848484848</v>
      </c>
      <c r="FK20" s="67">
        <f>IFERROR(VLOOKUP($B20,RD[#All],FK$2,0)/FK$1,"")</f>
        <v>5.0542087542087542</v>
      </c>
      <c r="FL20" s="67">
        <f>IFERROR(VLOOKUP($B20,RD[#All],FL$2,0)/FL$1,"")</f>
        <v>4.8167272727272721</v>
      </c>
      <c r="FM20" s="67">
        <f>IFERROR(VLOOKUP($B20,RD[#All],FM$2,0)/FM$1,"")</f>
        <v>4.8143939393939394</v>
      </c>
      <c r="FN20" s="67">
        <f>IFERROR(VLOOKUP($B20,RD[#All],FN$2,0)/FN$1,"")</f>
        <v>4.8427609427609424</v>
      </c>
      <c r="FO20" s="67">
        <f>IFERROR(VLOOKUP($B20,RD[#All],FO$2,0)/FO$1,"")</f>
        <v>4.9363636363636365</v>
      </c>
      <c r="FP20" s="67">
        <f>IFERROR(VLOOKUP($B20,RD[#All],FP$2,0)/FP$1,"")</f>
        <v>4.9145454545454541</v>
      </c>
      <c r="FQ20" s="67">
        <f>IFERROR(VLOOKUP($B20,RD[#All],FQ$2,0)/FQ$1,"")</f>
        <v>4.8527272727272726</v>
      </c>
      <c r="FR20" s="67">
        <f>IFERROR(VLOOKUP($B20,RD[#All],FR$2,0)/FR$1,"")</f>
        <v>4.8694545454545448</v>
      </c>
      <c r="FS20" s="67">
        <f>IFERROR(VLOOKUP($B20,RD[#All],FS$2,0)/FS$1,"")</f>
        <v>4.9831649831649836</v>
      </c>
      <c r="FT20" s="67">
        <f>IFERROR(VLOOKUP($B20,RD[#All],FT$2,0)/FT$1,"")</f>
        <v>4.9767272727272722</v>
      </c>
      <c r="FU20" s="67">
        <f>IFERROR(VLOOKUP($B20,RD[#All],FU$2,0)/FU$1,"")</f>
        <v>4.9757575757575756</v>
      </c>
      <c r="FV20" s="67">
        <f>IFERROR(VLOOKUP($B20,RD[#All],FV$2,0)/FV$1,"")</f>
        <v>4.8174242424242424</v>
      </c>
      <c r="FW20" s="67">
        <f>IFERROR(VLOOKUP($B20,RD[#All],FW$2,0)/FW$1,"")</f>
        <v>4.7450757575757576</v>
      </c>
      <c r="FX20" s="67">
        <f>IFERROR(VLOOKUP($B20,RD[#All],FX$2,0)/FX$1,"")</f>
        <v>4.7954545454545459</v>
      </c>
      <c r="FY20" s="67">
        <f>IFERROR(VLOOKUP($B20,RD[#All],FY$2,0)/FY$1,"")</f>
        <v>4.7845117845117846</v>
      </c>
      <c r="FZ20" s="67">
        <f>IFERROR(VLOOKUP($B20,RD[#All],FZ$2,0)/FZ$1,"")</f>
        <v>4.833333333333333</v>
      </c>
      <c r="GA20" s="67">
        <f>IFERROR(VLOOKUP($B20,RD[#All],GA$2,0)/GA$1,"")</f>
        <v>4.77972027972028</v>
      </c>
      <c r="GB20" s="67">
        <f>IFERROR(VLOOKUP($B20,RD[#All],GB$2,0)/GB$1,"")</f>
        <v>4.7609427609427613</v>
      </c>
      <c r="GC20" s="67">
        <f>IFERROR(VLOOKUP($B20,RD[#All],GC$2,0)/GC$1,"")</f>
        <v>4.7771043771043766</v>
      </c>
      <c r="GD20" s="67">
        <f>IFERROR(VLOOKUP($B20,RD[#All],GD$2,0)/GD$1,"")</f>
        <v>5.2036363636363641</v>
      </c>
      <c r="GE20" s="67">
        <f>IFERROR(VLOOKUP($B20,RD[#All],GE$2,0)/GE$1,"")</f>
        <v>4.8195804195804195</v>
      </c>
      <c r="GF20" s="67">
        <f>IFERROR(VLOOKUP($B20,RD[#All],GF$2,0)/GF$1,"")</f>
        <v>4.7737373737373732</v>
      </c>
      <c r="GG20" s="67">
        <f>IFERROR(VLOOKUP($B20,RD[#All],GG$2,0)/GG$1,"")</f>
        <v>4.9149090909090907</v>
      </c>
      <c r="GH20" s="67">
        <f>IFERROR(VLOOKUP($B20,RD[#All],GH$2,0)/GH$1,"")</f>
        <v>4.9127272727272731</v>
      </c>
      <c r="GI20" s="67">
        <f>IFERROR(VLOOKUP($B20,RD[#All],GI$2,0)/GI$1,"")</f>
        <v>4.8036363636363637</v>
      </c>
      <c r="GJ20" s="67">
        <f>IFERROR(VLOOKUP($B20,RD[#All],GJ$2,0)/GJ$1,"")</f>
        <v>4.86013986013986</v>
      </c>
      <c r="GK20" s="67">
        <f>IFERROR(VLOOKUP($B20,RD[#All],GK$2,0)/GK$1,"")</f>
        <v>4.7575757575757578</v>
      </c>
      <c r="GL20" s="67">
        <f>IFERROR(VLOOKUP($B20,RD[#All],GL$2,0)/GL$1,"")</f>
        <v>4.791666666666667</v>
      </c>
      <c r="GM20" s="67">
        <f>IFERROR(VLOOKUP($B20,RD[#All],GM$2,0)/GM$1,"")</f>
        <v>4.7765151515151514</v>
      </c>
      <c r="GN20" s="67">
        <f>IFERROR(VLOOKUP($B20,RD[#All],GN$2,0)/GN$1,"")</f>
        <v>4.7954545454545459</v>
      </c>
      <c r="GO20" s="67">
        <f>IFERROR(VLOOKUP($B20,RD[#All],GO$2,0)/GO$1,"")</f>
        <v>4.7799242424242427</v>
      </c>
      <c r="GP20" s="67">
        <f>IFERROR(VLOOKUP($B20,RD[#All],GP$2,0)/GP$1,"")</f>
        <v>4.7689393939393936</v>
      </c>
      <c r="GQ20" s="67">
        <f>IFERROR(VLOOKUP($B20,RD[#All],GQ$2,0)/GQ$1,"")</f>
        <v>4.836363636363636</v>
      </c>
      <c r="GR20" s="67">
        <f>IFERROR(VLOOKUP($B20,RD[#All],GR$2,0)/GR$1,"")</f>
        <v>4.7954545454545459</v>
      </c>
      <c r="GS20" s="67" t="str">
        <f>IFERROR(VLOOKUP($B20,RD[#All],GS$2,0)/GS$1,"")</f>
        <v/>
      </c>
      <c r="GT20" s="67" t="str">
        <f>IFERROR(VLOOKUP($B20,RD[#All],GT$2,0)/GT$1,"")</f>
        <v/>
      </c>
      <c r="GU20" s="67">
        <f>IFERROR(VLOOKUP($B20,RD[#All],GU$2,0)/GU$1,"")</f>
        <v>5.0967458223394901</v>
      </c>
      <c r="GV20" s="67">
        <f>IFERROR(VLOOKUP($B20,RD[#All],GV$2,0)/GV$1,"")</f>
        <v>4.8384554767533494</v>
      </c>
      <c r="GW20" s="67">
        <f>IFERROR(VLOOKUP($B20,RD[#All],GW$2,0)/GW$1,"")</f>
        <v>4.7634885439763481</v>
      </c>
      <c r="GX20" s="67" t="str">
        <f>IFERROR(VLOOKUP($B20,RD[#All],GX$2,0)/GX$1,"")</f>
        <v/>
      </c>
      <c r="GY20" s="67">
        <f>IFERROR(VLOOKUP($B20,RD[#All],GY$2,0)/GY$1,"")</f>
        <v>4.7881066302118933</v>
      </c>
      <c r="GZ20" s="67">
        <f>IFERROR(VLOOKUP($B20,RD[#All],GZ$2,0)/GZ$1,"")</f>
        <v>4.7602996254681651</v>
      </c>
      <c r="HA20" s="67">
        <f>IFERROR(VLOOKUP($B20,RD[#All],HA$2,0)/HA$1,"")</f>
        <v>4.7790262172284645</v>
      </c>
      <c r="HB20" s="67">
        <f>IFERROR(VLOOKUP($B20,RD[#All],HB$2,0)/HB$1,"")</f>
        <v>4.786516853932584</v>
      </c>
      <c r="HC20" s="67">
        <f>IFERROR(VLOOKUP($B20,RD[#All],HC$2,0)/HC$1,"")</f>
        <v>4.797752808988764</v>
      </c>
      <c r="HD20" s="67">
        <f>IFERROR(VLOOKUP($B20,RD[#All],HD$2,0)/HD$1,"")</f>
        <v>4.786516853932584</v>
      </c>
      <c r="HE20" s="67">
        <f>IFERROR(VLOOKUP($B20,RD[#All],HE$2,0)/HE$1,"")</f>
        <v>4.7677902621722845</v>
      </c>
      <c r="HF20" s="67">
        <f>IFERROR(VLOOKUP($B20,RD[#All],HF$2,0)/HF$1,"")</f>
        <v>4.9681647940074907</v>
      </c>
      <c r="HG20" s="67">
        <f>IFERROR(VLOOKUP($B20,RD[#All],HG$2,0)/HG$1,"")</f>
        <v>4.7913857677902616</v>
      </c>
      <c r="HH20" s="67">
        <f>IFERROR(VLOOKUP($B20,RD[#All],HH$2,0)/HH$1,"")</f>
        <v>4.797752808988764</v>
      </c>
      <c r="HI20" s="67">
        <f>IFERROR(VLOOKUP($B20,RD[#All],HI$2,0)/HI$1,"")</f>
        <v>4.7951310861423222</v>
      </c>
      <c r="HJ20" s="67">
        <f>IFERROR(VLOOKUP($B20,RD[#All],HJ$2,0)/HJ$1,"")</f>
        <v>4.8352059925093629</v>
      </c>
      <c r="HK20" s="67">
        <f>IFERROR(VLOOKUP($B20,RD[#All],HK$2,0)/HK$1,"")</f>
        <v>4.7640449438202248</v>
      </c>
      <c r="HL20" s="67">
        <f>IFERROR(VLOOKUP($B20,RD[#All],HL$2,0)/HL$1,"")</f>
        <v>5.0030794839783601</v>
      </c>
      <c r="HM20" s="67">
        <f>IFERROR(VLOOKUP($B20,RD[#All],HM$2,0)/HM$1,"")</f>
        <v>5.154500671742051</v>
      </c>
      <c r="HN20" s="67">
        <f>IFERROR(VLOOKUP($B20,RD[#All],HN$2,0)/HN$1,"")</f>
        <v>5.190326914464845</v>
      </c>
      <c r="HO20" s="67">
        <f>IFERROR(VLOOKUP($B20,RD[#All],HO$2,0)/HO$1,"")</f>
        <v>5.2152560083594564</v>
      </c>
      <c r="HP20" s="67">
        <f>IFERROR(VLOOKUP($B20,RD[#All],HP$2,0)/HP$1,"")</f>
        <v>5.1473354231974922</v>
      </c>
      <c r="HQ20" s="67">
        <f>IFERROR(VLOOKUP($B20,RD[#All],HQ$2,0)/HQ$1,"")</f>
        <v>4.8148148148148149</v>
      </c>
      <c r="HR20" s="67">
        <f>IFERROR(VLOOKUP($B20,RD[#All],HR$2,0)/HR$1,"")</f>
        <v>4.821934945788156</v>
      </c>
      <c r="HS20" s="67">
        <f>IFERROR(VLOOKUP($B20,RD[#All],HS$2,0)/HS$1,"")</f>
        <v>4.9729438202247191</v>
      </c>
      <c r="HT20" s="67">
        <f>IFERROR(VLOOKUP($B20,RD[#All],HT$2,0)/HT$1,"")</f>
        <v>4.9388264669163542</v>
      </c>
      <c r="HU20" s="67">
        <f>IFERROR(VLOOKUP($B20,RD[#All],HU$2,0)/HU$1,"")</f>
        <v>4.8985306828003461</v>
      </c>
      <c r="HV20" s="67">
        <f>IFERROR(VLOOKUP($B20,RD[#All],HV$2,0)/HV$1,"")</f>
        <v>4.8286949006050133</v>
      </c>
      <c r="HW20" s="67">
        <f>IFERROR(VLOOKUP($B20,RD[#All],HW$2,0)/HW$1,"")</f>
        <v>4.9977528089887642</v>
      </c>
      <c r="HX20" s="67">
        <f>IFERROR(VLOOKUP($B20,RD[#All],HX$2,0)/HX$1,"")</f>
        <v>4.9507346585998269</v>
      </c>
      <c r="HY20" s="67">
        <f>IFERROR(VLOOKUP($B20,RD[#All],HY$2,0)/HY$1,"")</f>
        <v>4.7906783187682063</v>
      </c>
      <c r="HZ20" s="67">
        <f>IFERROR(VLOOKUP($B20,RD[#All],HZ$2,0)/HZ$1,"")</f>
        <v>4.7673741156887228</v>
      </c>
      <c r="IA20" s="67">
        <f>IFERROR(VLOOKUP($B20,RD[#All],IA$2,0)/IA$1,"")</f>
        <v>4.875679875679876</v>
      </c>
      <c r="IB20" s="67">
        <f>IFERROR(VLOOKUP($B20,RD[#All],IB$2,0)/IB$1,"")</f>
        <v>4.7763347763347763</v>
      </c>
      <c r="IC20" s="67">
        <f>IFERROR(VLOOKUP($B20,RD[#All],IC$2,0)/IC$1,"")</f>
        <v>4.9533799533799536</v>
      </c>
      <c r="ID20" s="67">
        <f>IFERROR(VLOOKUP($B20,RD[#All],ID$2,0)/ID$1,"")</f>
        <v>4.9498690609801717</v>
      </c>
      <c r="IE20" s="67">
        <f>IFERROR(VLOOKUP($B20,RD[#All],IE$2,0)/IE$1,"")</f>
        <v>4.808080808080808</v>
      </c>
      <c r="IF20" s="67" t="str">
        <f>IFERROR(VLOOKUP($B20,RD[#All],IF$2,0)/IF$1,"")</f>
        <v/>
      </c>
      <c r="IG20" s="67">
        <f>IFERROR(VLOOKUP($B20,RD[#All],IG$2,0)/IG$1,"")</f>
        <v>5.0382111519954709</v>
      </c>
      <c r="IH20" s="67">
        <f>IFERROR(VLOOKUP($B20,RD[#All],IH$2,0)/IH$1,"")</f>
        <v>4.9425287356321839</v>
      </c>
      <c r="II20" s="67">
        <f>IFERROR(VLOOKUP($B20,RD[#All],II$2,0)/II$1,"")</f>
        <v>4.8756218905472632</v>
      </c>
      <c r="IJ20" s="67">
        <f>IFERROR(VLOOKUP($B20,RD[#All],IJ$2,0)/IJ$1,"")</f>
        <v>4.9420127197904975</v>
      </c>
      <c r="IK20" s="67">
        <f>IFERROR(VLOOKUP($B20,RD[#All],IK$2,0)/IK$1,"")</f>
        <v>4.8795648795648798</v>
      </c>
      <c r="IL20" s="67" t="str">
        <f>IFERROR(VLOOKUP($B20,RD[#All],IL$2,0)/IL$1,"")</f>
        <v/>
      </c>
      <c r="IM20" s="67" t="str">
        <f>IFERROR(VLOOKUP($B20,RD[#All],IM$2,0)/IM$1,"")</f>
        <v/>
      </c>
      <c r="IN20" s="67">
        <f>IFERROR(VLOOKUP($B20,RD[#All],IN$2,0)/IN$1,"")</f>
        <v>5.0198537095088822</v>
      </c>
      <c r="IO20" s="67">
        <f>IFERROR(VLOOKUP($B20,RD[#All],IO$2,0)/IO$1,"")</f>
        <v>4.9804075235109719</v>
      </c>
      <c r="IP20" s="67">
        <f>IFERROR(VLOOKUP($B20,RD[#All],IP$2,0)/IP$1,"")</f>
        <v>5.696285031501195</v>
      </c>
      <c r="IQ20" s="67">
        <f>IFERROR(VLOOKUP($B20,RD[#All],IQ$2,0)/IQ$1,"")</f>
        <v>4.9533799533799536</v>
      </c>
      <c r="IR20" s="67">
        <f>IFERROR(VLOOKUP($B20,RD[#All],IR$2,0)/IR$1,"")</f>
        <v>4.900497512437811</v>
      </c>
      <c r="IS20" s="86">
        <f>IFERROR(AVERAGEIF(Inv_SY_B[[#This Row],[BLK1_INV1]:[BLK8_INV27]],"&gt;"&amp;0.1,Inv_SY_B[[#This Row],[BLK1_INV1]:[BLK8_INV27]]),"")</f>
        <v>4.8754491143916026</v>
      </c>
    </row>
    <row r="21" spans="2:253" x14ac:dyDescent="0.25">
      <c r="B21" s="85">
        <f t="shared" si="0"/>
        <v>45847</v>
      </c>
      <c r="C21" s="67">
        <f>IFERROR(VLOOKUP($B21,RD[#All],C$2,0)/C$1,"")</f>
        <v>3.0983578219533277</v>
      </c>
      <c r="D21" s="67">
        <f>IFERROR(VLOOKUP($B21,RD[#All],D$2,0)/D$1,"")</f>
        <v>3.1554019014693173</v>
      </c>
      <c r="E21" s="67">
        <f>IFERROR(VLOOKUP($B21,RD[#All],E$2,0)/E$1,"")</f>
        <v>3.1726591760299625</v>
      </c>
      <c r="F21" s="67">
        <f>IFERROR(VLOOKUP($B21,RD[#All],F$2,0)/F$1,"")</f>
        <v>3.0779026217228465</v>
      </c>
      <c r="G21" s="67">
        <f>IFERROR(VLOOKUP($B21,RD[#All],G$2,0)/G$1,"")</f>
        <v>3.1526361279170265</v>
      </c>
      <c r="H21" s="67">
        <f>IFERROR(VLOOKUP($B21,RD[#All],H$2,0)/H$1,"")</f>
        <v>3.1400749063670412</v>
      </c>
      <c r="I21" s="67">
        <f>IFERROR(VLOOKUP($B21,RD[#All],I$2,0)/I$1,"")</f>
        <v>3.1123595505617976</v>
      </c>
      <c r="J21" s="67">
        <f>IFERROR(VLOOKUP($B21,RD[#All],J$2,0)/J$1,"")</f>
        <v>3.1048689138576777</v>
      </c>
      <c r="K21" s="67">
        <f>IFERROR(VLOOKUP($B21,RD[#All],K$2,0)/K$1,"")</f>
        <v>3.155056179775281</v>
      </c>
      <c r="L21" s="67">
        <f>IFERROR(VLOOKUP($B21,RD[#All],L$2,0)/L$1,"")</f>
        <v>3.1755505617977531</v>
      </c>
      <c r="M21" s="67">
        <f>IFERROR(VLOOKUP($B21,RD[#All],M$2,0)/M$1,"")</f>
        <v>3.1348314606741572</v>
      </c>
      <c r="N21" s="67">
        <f>IFERROR(VLOOKUP($B21,RD[#All],N$2,0)/N$1,"")</f>
        <v>3.0936329588014981</v>
      </c>
      <c r="O21" s="67">
        <f>IFERROR(VLOOKUP($B21,RD[#All],O$2,0)/O$1,"")</f>
        <v>3.1692883895131088</v>
      </c>
      <c r="P21" s="67">
        <f>IFERROR(VLOOKUP($B21,RD[#All],P$2,0)/P$1,"")</f>
        <v>3.191011235955056</v>
      </c>
      <c r="Q21" s="67">
        <f>IFERROR(VLOOKUP($B21,RD[#All],Q$2,0)/Q$1,"")</f>
        <v>3.1816479400749063</v>
      </c>
      <c r="R21" s="67">
        <f>IFERROR(VLOOKUP($B21,RD[#All],R$2,0)/R$1,"")</f>
        <v>3.1310861423220975</v>
      </c>
      <c r="S21" s="67">
        <f>IFERROR(VLOOKUP($B21,RD[#All],S$2,0)/S$1,"")</f>
        <v>3.1528089887640447</v>
      </c>
      <c r="T21" s="67">
        <f>IFERROR(VLOOKUP($B21,RD[#All],T$2,0)/T$1,"")</f>
        <v>3.1651685393258426</v>
      </c>
      <c r="U21" s="67">
        <f>IFERROR(VLOOKUP($B21,RD[#All],U$2,0)/U$1,"")</f>
        <v>3.1761452031114956</v>
      </c>
      <c r="V21" s="67">
        <f>IFERROR(VLOOKUP($B21,RD[#All],V$2,0)/V$1,"")</f>
        <v>3.1809853068280036</v>
      </c>
      <c r="W21" s="67">
        <f>IFERROR(VLOOKUP($B21,RD[#All],W$2,0)/W$1,"")</f>
        <v>3.1198501872659175</v>
      </c>
      <c r="X21" s="67">
        <f>IFERROR(VLOOKUP($B21,RD[#All],X$2,0)/X$1,"")</f>
        <v>3.1310861423220975</v>
      </c>
      <c r="Y21" s="67">
        <f>IFERROR(VLOOKUP($B21,RD[#All],Y$2,0)/Y$1,"")</f>
        <v>3.1737251512532412</v>
      </c>
      <c r="Z21" s="67">
        <f>IFERROR(VLOOKUP($B21,RD[#All],Z$2,0)/Z$1,"")</f>
        <v>3.1094465251768622</v>
      </c>
      <c r="AA21" s="67">
        <f>IFERROR(VLOOKUP($B21,RD[#All],AA$2,0)/AA$1,"")</f>
        <v>3.1737251512532412</v>
      </c>
      <c r="AB21" s="67">
        <f>IFERROR(VLOOKUP($B21,RD[#All],AB$2,0)/AB$1,"")</f>
        <v>3.1927398444252377</v>
      </c>
      <c r="AC21" s="67">
        <f>IFERROR(VLOOKUP($B21,RD[#All],AC$2,0)/AC$1,"")</f>
        <v>3.1754537597234225</v>
      </c>
      <c r="AD21" s="67">
        <f>IFERROR(VLOOKUP($B21,RD[#All],AD$2,0)/AD$1,"")</f>
        <v>3.1796920516021641</v>
      </c>
      <c r="AE21" s="67">
        <f>IFERROR(VLOOKUP($B21,RD[#All],AE$2,0)/AE$1,"")</f>
        <v>3.1816895547232629</v>
      </c>
      <c r="AF21" s="67">
        <f>IFERROR(VLOOKUP($B21,RD[#All],AF$2,0)/AF$1,"")</f>
        <v>3.1690387016229713</v>
      </c>
      <c r="AG21" s="67">
        <f>IFERROR(VLOOKUP($B21,RD[#All],AG$2,0)/AG$1,"")</f>
        <v>3.1753641281731166</v>
      </c>
      <c r="AH21" s="67">
        <f>IFERROR(VLOOKUP($B21,RD[#All],AH$2,0)/AH$1,"")</f>
        <v>3.1810237203495633</v>
      </c>
      <c r="AI21" s="67">
        <f>IFERROR(VLOOKUP($B21,RD[#All],AI$2,0)/AI$1,"")</f>
        <v>3.0542452830188678</v>
      </c>
      <c r="AJ21" s="67">
        <f>IFERROR(VLOOKUP($B21,RD[#All],AJ$2,0)/AJ$1,"")</f>
        <v>3.1415334030787623</v>
      </c>
      <c r="AK21" s="67">
        <f>IFERROR(VLOOKUP($B21,RD[#All],AK$2,0)/AK$1,"")</f>
        <v>3.0434456928838953</v>
      </c>
      <c r="AL21" s="67">
        <f>IFERROR(VLOOKUP($B21,RD[#All],AL$2,0)/AL$1,"")</f>
        <v>3.1147540983606561</v>
      </c>
      <c r="AM21" s="67">
        <f>IFERROR(VLOOKUP($B21,RD[#All],AM$2,0)/AM$1,"")</f>
        <v>3.1235955056179776</v>
      </c>
      <c r="AN21" s="67">
        <f>IFERROR(VLOOKUP($B21,RD[#All],AN$2,0)/AN$1,"")</f>
        <v>3.101123595505618</v>
      </c>
      <c r="AO21" s="67">
        <f>IFERROR(VLOOKUP($B21,RD[#All],AO$2,0)/AO$1,"")</f>
        <v>3.1048689138576777</v>
      </c>
      <c r="AP21" s="67">
        <f>IFERROR(VLOOKUP($B21,RD[#All],AP$2,0)/AP$1,"")</f>
        <v>3.0749063670411987</v>
      </c>
      <c r="AQ21" s="67">
        <f>IFERROR(VLOOKUP($B21,RD[#All],AQ$2,0)/AQ$1,"")</f>
        <v>3.1198501872659175</v>
      </c>
      <c r="AR21" s="67">
        <f>IFERROR(VLOOKUP($B21,RD[#All],AR$2,0)/AR$1,"")</f>
        <v>3.1048689138576777</v>
      </c>
      <c r="AS21" s="67">
        <f>IFERROR(VLOOKUP($B21,RD[#All],AS$2,0)/AS$1,"")</f>
        <v>3.1498127340823969</v>
      </c>
      <c r="AT21" s="67">
        <f>IFERROR(VLOOKUP($B21,RD[#All],AT$2,0)/AT$1,"")</f>
        <v>3.0415730337078655</v>
      </c>
      <c r="AU21" s="67">
        <f>IFERROR(VLOOKUP($B21,RD[#All],AU$2,0)/AU$1,"")</f>
        <v>3.1348314606741572</v>
      </c>
      <c r="AV21" s="67">
        <f>IFERROR(VLOOKUP($B21,RD[#All],AV$2,0)/AV$1,"")</f>
        <v>3.101123595505618</v>
      </c>
      <c r="AW21" s="67">
        <f>IFERROR(VLOOKUP($B21,RD[#All],AW$2,0)/AW$1,"")</f>
        <v>3.097666378565255</v>
      </c>
      <c r="AX21" s="67">
        <f>IFERROR(VLOOKUP($B21,RD[#All],AX$2,0)/AX$1,"")</f>
        <v>3.1048689138576777</v>
      </c>
      <c r="AY21" s="67">
        <f>IFERROR(VLOOKUP($B21,RD[#All],AY$2,0)/AY$1,"")</f>
        <v>3.0597752808988763</v>
      </c>
      <c r="AZ21" s="67">
        <f>IFERROR(VLOOKUP($B21,RD[#All],AZ$2,0)/AZ$1,"")</f>
        <v>3.0885393258426967</v>
      </c>
      <c r="BA21" s="67">
        <f>IFERROR(VLOOKUP($B21,RD[#All],BA$2,0)/BA$1,"")</f>
        <v>3.1348314606741572</v>
      </c>
      <c r="BB21" s="67">
        <f>IFERROR(VLOOKUP($B21,RD[#All],BB$2,0)/BB$1,"")</f>
        <v>3.1048689138576777</v>
      </c>
      <c r="BC21" s="67">
        <f>IFERROR(VLOOKUP($B21,RD[#All],BC$2,0)/BC$1,"")</f>
        <v>3.1727007906783187</v>
      </c>
      <c r="BD21" s="67">
        <f>IFERROR(VLOOKUP($B21,RD[#All],BD$2,0)/BD$1,"")</f>
        <v>3.0595089471493968</v>
      </c>
      <c r="BE21" s="67">
        <f>IFERROR(VLOOKUP($B21,RD[#All],BE$2,0)/BE$1,"")</f>
        <v>3.0803802938634401</v>
      </c>
      <c r="BF21" s="67">
        <f>IFERROR(VLOOKUP($B21,RD[#All],BF$2,0)/BF$1,"")</f>
        <v>3.1886808156471078</v>
      </c>
      <c r="BG21" s="67">
        <f>IFERROR(VLOOKUP($B21,RD[#All],BG$2,0)/BG$1,"")</f>
        <v>3.1061173533083646</v>
      </c>
      <c r="BH21" s="67">
        <f>IFERROR(VLOOKUP($B21,RD[#All],BH$2,0)/BH$1,"")</f>
        <v>3.1498127340823969</v>
      </c>
      <c r="BI21" s="67">
        <f>IFERROR(VLOOKUP($B21,RD[#All],BI$2,0)/BI$1,"")</f>
        <v>3.1460674157303372</v>
      </c>
      <c r="BJ21" s="67">
        <f>IFERROR(VLOOKUP($B21,RD[#All],BJ$2,0)/BJ$1,"")</f>
        <v>3.132750728256346</v>
      </c>
      <c r="BK21" s="67">
        <f>IFERROR(VLOOKUP($B21,RD[#All],BK$2,0)/BK$1,"")</f>
        <v>3.0756554307116106</v>
      </c>
      <c r="BL21" s="67">
        <f>IFERROR(VLOOKUP($B21,RD[#All],BL$2,0)/BL$1,"")</f>
        <v>3.2194713951154235</v>
      </c>
      <c r="BM21" s="67">
        <f>IFERROR(VLOOKUP($B21,RD[#All],BM$2,0)/BM$1,"")</f>
        <v>3.1273408239700373</v>
      </c>
      <c r="BN21" s="67">
        <f>IFERROR(VLOOKUP($B21,RD[#All],BN$2,0)/BN$1,"")</f>
        <v>3.2225705329153604</v>
      </c>
      <c r="BO21" s="67">
        <f>IFERROR(VLOOKUP($B21,RD[#All],BO$2,0)/BO$1,"")</f>
        <v>3.1688850475367332</v>
      </c>
      <c r="BP21" s="67">
        <f>IFERROR(VLOOKUP($B21,RD[#All],BP$2,0)/BP$1,"")</f>
        <v>3.1602420051858253</v>
      </c>
      <c r="BQ21" s="67">
        <f>IFERROR(VLOOKUP($B21,RD[#All],BQ$2,0)/BQ$1,"")</f>
        <v>3.194468452895419</v>
      </c>
      <c r="BR21" s="67">
        <f>IFERROR(VLOOKUP($B21,RD[#All],BR$2,0)/BR$1,"")</f>
        <v>3.1249783923941226</v>
      </c>
      <c r="BS21" s="67">
        <f>IFERROR(VLOOKUP($B21,RD[#All],BS$2,0)/BS$1,"")</f>
        <v>3.159925093632959</v>
      </c>
      <c r="BT21" s="67">
        <f>IFERROR(VLOOKUP($B21,RD[#All],BT$2,0)/BT$1,"")</f>
        <v>3.148314606741573</v>
      </c>
      <c r="BU21" s="67">
        <f>IFERROR(VLOOKUP($B21,RD[#All],BU$2,0)/BU$1,"")</f>
        <v>3.1681647940074904</v>
      </c>
      <c r="BV21" s="67">
        <f>IFERROR(VLOOKUP($B21,RD[#All],BV$2,0)/BV$1,"")</f>
        <v>3.1554307116104869</v>
      </c>
      <c r="BW21" s="67">
        <f>IFERROR(VLOOKUP($B21,RD[#All],BW$2,0)/BW$1,"")</f>
        <v>3.0973782771535578</v>
      </c>
      <c r="BX21" s="67">
        <f>IFERROR(VLOOKUP($B21,RD[#All],BX$2,0)/BX$1,"")</f>
        <v>3.1730337078651689</v>
      </c>
      <c r="BY21" s="67">
        <f>IFERROR(VLOOKUP($B21,RD[#All],BY$2,0)/BY$1,"")</f>
        <v>3.099459009571369</v>
      </c>
      <c r="BZ21" s="67">
        <f>IFERROR(VLOOKUP($B21,RD[#All],BZ$2,0)/BZ$1,"")</f>
        <v>3.0928006658343739</v>
      </c>
      <c r="CA21" s="67">
        <f>IFERROR(VLOOKUP($B21,RD[#All],CA$2,0)/CA$1,"")</f>
        <v>3.1194340407823553</v>
      </c>
      <c r="CB21" s="67">
        <f>IFERROR(VLOOKUP($B21,RD[#All],CB$2,0)/CB$1,"")</f>
        <v>3.1235955056179776</v>
      </c>
      <c r="CC21" s="67">
        <f>IFERROR(VLOOKUP($B21,RD[#All],CC$2,0)/CC$1,"")</f>
        <v>3.1464419475655432</v>
      </c>
      <c r="CD21" s="67">
        <f>IFERROR(VLOOKUP($B21,RD[#All],CD$2,0)/CD$1,"")</f>
        <v>3.1149524632670702</v>
      </c>
      <c r="CE21" s="67">
        <f>IFERROR(VLOOKUP($B21,RD[#All],CE$2,0)/CE$1,"")</f>
        <v>3.1161048689138577</v>
      </c>
      <c r="CF21" s="67">
        <f>IFERROR(VLOOKUP($B21,RD[#All],CF$2,0)/CF$1,"")</f>
        <v>3.1123595505617976</v>
      </c>
      <c r="CG21" s="67">
        <f>IFERROR(VLOOKUP($B21,RD[#All],CG$2,0)/CG$1,"")</f>
        <v>3.1595505617977531</v>
      </c>
      <c r="CH21" s="67">
        <f>IFERROR(VLOOKUP($B21,RD[#All],CH$2,0)/CH$1,"")</f>
        <v>3.1198501872659175</v>
      </c>
      <c r="CI21" s="67">
        <f>IFERROR(VLOOKUP($B21,RD[#All],CI$2,0)/CI$1,"")</f>
        <v>3.1498127340823969</v>
      </c>
      <c r="CJ21" s="67">
        <f>IFERROR(VLOOKUP($B21,RD[#All],CJ$2,0)/CJ$1,"")</f>
        <v>3.1423220973782771</v>
      </c>
      <c r="CK21" s="67">
        <f>IFERROR(VLOOKUP($B21,RD[#All],CK$2,0)/CK$1,"")</f>
        <v>3.0992509363295881</v>
      </c>
      <c r="CL21" s="67">
        <f>IFERROR(VLOOKUP($B21,RD[#All],CL$2,0)/CL$1,"")</f>
        <v>3.1168539325842697</v>
      </c>
      <c r="CM21" s="67">
        <f>IFERROR(VLOOKUP($B21,RD[#All],CM$2,0)/CM$1,"")</f>
        <v>3.1415730337078651</v>
      </c>
      <c r="CN21" s="67">
        <f>IFERROR(VLOOKUP($B21,RD[#All],CN$2,0)/CN$1,"")</f>
        <v>3.1209737827715354</v>
      </c>
      <c r="CO21" s="67">
        <f>IFERROR(VLOOKUP($B21,RD[#All],CO$2,0)/CO$1,"")</f>
        <v>3.1313258426966293</v>
      </c>
      <c r="CP21" s="67">
        <f>IFERROR(VLOOKUP($B21,RD[#All],CP$2,0)/CP$1,"")</f>
        <v>3.1529818496110633</v>
      </c>
      <c r="CQ21" s="67">
        <f>IFERROR(VLOOKUP($B21,RD[#All],CQ$2,0)/CQ$1,"")</f>
        <v>3.1385767790262173</v>
      </c>
      <c r="CR21" s="67">
        <f>IFERROR(VLOOKUP($B21,RD[#All],CR$2,0)/CR$1,"")</f>
        <v>3.1385767790262173</v>
      </c>
      <c r="CS21" s="67">
        <f>IFERROR(VLOOKUP($B21,RD[#All],CS$2,0)/CS$1,"")</f>
        <v>3.1360799001248441</v>
      </c>
      <c r="CT21" s="67">
        <f>IFERROR(VLOOKUP($B21,RD[#All],CT$2,0)/CT$1,"")</f>
        <v>3.1430711610486894</v>
      </c>
      <c r="CU21" s="67">
        <f>IFERROR(VLOOKUP($B21,RD[#All],CU$2,0)/CU$1,"")</f>
        <v>3.1460674157303372</v>
      </c>
      <c r="CV21" s="67">
        <f>IFERROR(VLOOKUP($B21,RD[#All],CV$2,0)/CV$1,"")</f>
        <v>3.1048689138576777</v>
      </c>
      <c r="CW21" s="67">
        <f>IFERROR(VLOOKUP($B21,RD[#All],CW$2,0)/CW$1,"")</f>
        <v>3.1647940074906367</v>
      </c>
      <c r="CX21" s="67">
        <f>IFERROR(VLOOKUP($B21,RD[#All],CX$2,0)/CX$1,"")</f>
        <v>3.1666666666666665</v>
      </c>
      <c r="CY21" s="67">
        <f>IFERROR(VLOOKUP($B21,RD[#All],CY$2,0)/CY$1,"")</f>
        <v>3.1423220973782771</v>
      </c>
      <c r="CZ21" s="67">
        <f>IFERROR(VLOOKUP($B21,RD[#All],CZ$2,0)/CZ$1,"")</f>
        <v>3.1685393258426968</v>
      </c>
      <c r="DA21" s="67">
        <f>IFERROR(VLOOKUP($B21,RD[#All],DA$2,0)/DA$1,"")</f>
        <v>3.1573033707865168</v>
      </c>
      <c r="DB21" s="67">
        <f>IFERROR(VLOOKUP($B21,RD[#All],DB$2,0)/DB$1,"")</f>
        <v>3.1640449438202247</v>
      </c>
      <c r="DC21" s="67">
        <f>IFERROR(VLOOKUP($B21,RD[#All],DC$2,0)/DC$1,"")</f>
        <v>3.096795672076571</v>
      </c>
      <c r="DD21" s="67">
        <f>IFERROR(VLOOKUP($B21,RD[#All],DD$2,0)/DD$1,"")</f>
        <v>3.106741573033708</v>
      </c>
      <c r="DE21" s="67">
        <f>IFERROR(VLOOKUP($B21,RD[#All],DE$2,0)/DE$1,"")</f>
        <v>3.1717020391177697</v>
      </c>
      <c r="DF21" s="67">
        <f>IFERROR(VLOOKUP($B21,RD[#All],DF$2,0)/DF$1,"")</f>
        <v>3.0511876881900304</v>
      </c>
      <c r="DG21" s="67">
        <f>IFERROR(VLOOKUP($B21,RD[#All],DG$2,0)/DG$1,"")</f>
        <v>3.0940074906367041</v>
      </c>
      <c r="DH21" s="67">
        <f>IFERROR(VLOOKUP($B21,RD[#All],DH$2,0)/DH$1,"")</f>
        <v>3.1087806908031625</v>
      </c>
      <c r="DI21" s="67">
        <f>IFERROR(VLOOKUP($B21,RD[#All],DI$2,0)/DI$1,"")</f>
        <v>3.074848746758859</v>
      </c>
      <c r="DJ21" s="67">
        <f>IFERROR(VLOOKUP($B21,RD[#All],DJ$2,0)/DJ$1,"")</f>
        <v>3.1484874675885912</v>
      </c>
      <c r="DK21" s="67">
        <f>IFERROR(VLOOKUP($B21,RD[#All],DK$2,0)/DK$1,"")</f>
        <v>3.1820224719101122</v>
      </c>
      <c r="DL21" s="67">
        <f>IFERROR(VLOOKUP($B21,RD[#All],DL$2,0)/DL$1,"")</f>
        <v>3.1557220141489806</v>
      </c>
      <c r="DM21" s="67">
        <f>IFERROR(VLOOKUP($B21,RD[#All],DM$2,0)/DM$1,"")</f>
        <v>3.1479400749063671</v>
      </c>
      <c r="DN21" s="67">
        <f>IFERROR(VLOOKUP($B21,RD[#All],DN$2,0)/DN$1,"")</f>
        <v>3.1161048689138577</v>
      </c>
      <c r="DO21" s="67">
        <f>IFERROR(VLOOKUP($B21,RD[#All],DO$2,0)/DO$1,"")</f>
        <v>3.0511876881900304</v>
      </c>
      <c r="DP21" s="67">
        <f>IFERROR(VLOOKUP($B21,RD[#All],DP$2,0)/DP$1,"")</f>
        <v>3.0661672908863919</v>
      </c>
      <c r="DQ21" s="67">
        <f>IFERROR(VLOOKUP($B21,RD[#All],DQ$2,0)/DQ$1,"")</f>
        <v>3.1240948813982521</v>
      </c>
      <c r="DR21" s="67">
        <f>IFERROR(VLOOKUP($B21,RD[#All],DR$2,0)/DR$1,"")</f>
        <v>3.0801498127340823</v>
      </c>
      <c r="DS21" s="67">
        <f>IFERROR(VLOOKUP($B21,RD[#All],DS$2,0)/DS$1,"")</f>
        <v>3.0670411985018724</v>
      </c>
      <c r="DT21" s="67">
        <f>IFERROR(VLOOKUP($B21,RD[#All],DT$2,0)/DT$1,"")</f>
        <v>3.0595089471493968</v>
      </c>
      <c r="DU21" s="67">
        <f>IFERROR(VLOOKUP($B21,RD[#All],DU$2,0)/DU$1,"")</f>
        <v>3.109779442363712</v>
      </c>
      <c r="DV21" s="67">
        <f>IFERROR(VLOOKUP($B21,RD[#All],DV$2,0)/DV$1,"")</f>
        <v>3.1423220973782771</v>
      </c>
      <c r="DW21" s="67">
        <f>IFERROR(VLOOKUP($B21,RD[#All],DW$2,0)/DW$1,"")</f>
        <v>3.0861423220973783</v>
      </c>
      <c r="DX21" s="67">
        <f>IFERROR(VLOOKUP($B21,RD[#All],DX$2,0)/DX$1,"")</f>
        <v>3.1553890969621303</v>
      </c>
      <c r="DY21" s="67">
        <f>IFERROR(VLOOKUP($B21,RD[#All],DY$2,0)/DY$1,"")</f>
        <v>3.1048689138576777</v>
      </c>
      <c r="DZ21" s="67">
        <f>IFERROR(VLOOKUP($B21,RD[#All],DZ$2,0)/DZ$1,"")</f>
        <v>3.1198501872659175</v>
      </c>
      <c r="EA21" s="67">
        <f>IFERROR(VLOOKUP($B21,RD[#All],EA$2,0)/EA$1,"")</f>
        <v>3.0478568456096546</v>
      </c>
      <c r="EB21" s="67">
        <f>IFERROR(VLOOKUP($B21,RD[#All],EB$2,0)/EB$1,"")</f>
        <v>3.045526425301706</v>
      </c>
      <c r="EC21" s="67">
        <f>IFERROR(VLOOKUP($B21,RD[#All],EC$2,0)/EC$1,"")</f>
        <v>3.0838375108038028</v>
      </c>
      <c r="ED21" s="67">
        <f>IFERROR(VLOOKUP($B21,RD[#All],ED$2,0)/ED$1,"")</f>
        <v>3.1301642178046674</v>
      </c>
      <c r="EE21" s="67">
        <f>IFERROR(VLOOKUP($B21,RD[#All],EE$2,0)/EE$1,"")</f>
        <v>3.1339671564390668</v>
      </c>
      <c r="EF21" s="67">
        <f>IFERROR(VLOOKUP($B21,RD[#All],EF$2,0)/EF$1,"")</f>
        <v>3.2069458631256382</v>
      </c>
      <c r="EG21" s="67">
        <f>IFERROR(VLOOKUP($B21,RD[#All],EG$2,0)/EG$1,"")</f>
        <v>3.1783216783216783</v>
      </c>
      <c r="EH21" s="67">
        <f>IFERROR(VLOOKUP($B21,RD[#All],EH$2,0)/EH$1,"")</f>
        <v>3.0860139860139859</v>
      </c>
      <c r="EI21" s="67">
        <f>IFERROR(VLOOKUP($B21,RD[#All],EI$2,0)/EI$1,"")</f>
        <v>3.1153846153846154</v>
      </c>
      <c r="EJ21" s="67">
        <f>IFERROR(VLOOKUP($B21,RD[#All],EJ$2,0)/EJ$1,"")</f>
        <v>3.1503496503496504</v>
      </c>
      <c r="EK21" s="67">
        <f>IFERROR(VLOOKUP($B21,RD[#All],EK$2,0)/EK$1,"")</f>
        <v>3.2</v>
      </c>
      <c r="EL21" s="67">
        <f>IFERROR(VLOOKUP($B21,RD[#All],EL$2,0)/EL$1,"")</f>
        <v>3.2033707865168539</v>
      </c>
      <c r="EM21" s="67">
        <f>IFERROR(VLOOKUP($B21,RD[#All],EM$2,0)/EM$1,"")</f>
        <v>3.132238547968885</v>
      </c>
      <c r="EN21" s="67">
        <f>IFERROR(VLOOKUP($B21,RD[#All],EN$2,0)/EN$1,"")</f>
        <v>3.0886776145203112</v>
      </c>
      <c r="EO21" s="67">
        <f>IFERROR(VLOOKUP($B21,RD[#All],EO$2,0)/EO$1,"")</f>
        <v>3.1498127340823969</v>
      </c>
      <c r="EP21" s="67">
        <f>IFERROR(VLOOKUP($B21,RD[#All],EP$2,0)/EP$1,"")</f>
        <v>3.2214347450302503</v>
      </c>
      <c r="EQ21" s="67">
        <f>IFERROR(VLOOKUP($B21,RD[#All],EQ$2,0)/EQ$1,"")</f>
        <v>3.0805243445692883</v>
      </c>
      <c r="ER21" s="67">
        <f>IFERROR(VLOOKUP($B21,RD[#All],ER$2,0)/ER$1,"")</f>
        <v>3.1602420051858253</v>
      </c>
      <c r="ES21" s="67">
        <f>IFERROR(VLOOKUP($B21,RD[#All],ES$2,0)/ES$1,"")</f>
        <v>3.1554307116104869</v>
      </c>
      <c r="ET21" s="67">
        <f>IFERROR(VLOOKUP($B21,RD[#All],ET$2,0)/ET$1,"")</f>
        <v>3.189785495403473</v>
      </c>
      <c r="EU21" s="67">
        <f>IFERROR(VLOOKUP($B21,RD[#All],EU$2,0)/EU$1,"")</f>
        <v>3.0627484874675885</v>
      </c>
      <c r="EV21" s="67">
        <f>IFERROR(VLOOKUP($B21,RD[#All],EV$2,0)/EV$1,"")</f>
        <v>3.186171132238548</v>
      </c>
      <c r="EW21" s="67">
        <f>IFERROR(VLOOKUP($B21,RD[#All],EW$2,0)/EW$1,"")</f>
        <v>3.1840968020743303</v>
      </c>
      <c r="EX21" s="67">
        <f>IFERROR(VLOOKUP($B21,RD[#All],EX$2,0)/EX$1,"")</f>
        <v>3.1913857677902624</v>
      </c>
      <c r="EY21" s="67">
        <f>IFERROR(VLOOKUP($B21,RD[#All],EY$2,0)/EY$1,"")</f>
        <v>3.0748231377444863</v>
      </c>
      <c r="EZ21" s="67">
        <f>IFERROR(VLOOKUP($B21,RD[#All],EZ$2,0)/EZ$1,"")</f>
        <v>3.2003745318352061</v>
      </c>
      <c r="FA21" s="67">
        <f>IFERROR(VLOOKUP($B21,RD[#All],FA$2,0)/FA$1,"")</f>
        <v>3.1460674157303372</v>
      </c>
      <c r="FB21" s="67">
        <f>IFERROR(VLOOKUP($B21,RD[#All],FB$2,0)/FB$1,"")</f>
        <v>3.1254681647940075</v>
      </c>
      <c r="FC21" s="67">
        <f>IFERROR(VLOOKUP($B21,RD[#All],FC$2,0)/FC$1,"")</f>
        <v>3.1591760299625467</v>
      </c>
      <c r="FD21" s="67">
        <f>IFERROR(VLOOKUP($B21,RD[#All],FD$2,0)/FD$1,"")</f>
        <v>3.1520599250936332</v>
      </c>
      <c r="FE21" s="67">
        <f>IFERROR(VLOOKUP($B21,RD[#All],FE$2,0)/FE$1,"")</f>
        <v>3.1962121212121208</v>
      </c>
      <c r="FF21" s="67">
        <f>IFERROR(VLOOKUP($B21,RD[#All],FF$2,0)/FF$1,"")</f>
        <v>3.1450757575757575</v>
      </c>
      <c r="FG21" s="67">
        <f>IFERROR(VLOOKUP($B21,RD[#All],FG$2,0)/FG$1,"")</f>
        <v>3.0939393939393938</v>
      </c>
      <c r="FH21" s="67">
        <f>IFERROR(VLOOKUP($B21,RD[#All],FH$2,0)/FH$1,"")</f>
        <v>3.1174242424242422</v>
      </c>
      <c r="FI21" s="67">
        <f>IFERROR(VLOOKUP($B21,RD[#All],FI$2,0)/FI$1,"")</f>
        <v>3.0673400673400675</v>
      </c>
      <c r="FJ21" s="67">
        <f>IFERROR(VLOOKUP($B21,RD[#All],FJ$2,0)/FJ$1,"")</f>
        <v>3.0606060606060606</v>
      </c>
      <c r="FK21" s="67">
        <f>IFERROR(VLOOKUP($B21,RD[#All],FK$2,0)/FK$1,"")</f>
        <v>3.1942760942760944</v>
      </c>
      <c r="FL21" s="67">
        <f>IFERROR(VLOOKUP($B21,RD[#All],FL$2,0)/FL$1,"")</f>
        <v>3.0585454545454547</v>
      </c>
      <c r="FM21" s="67">
        <f>IFERROR(VLOOKUP($B21,RD[#All],FM$2,0)/FM$1,"")</f>
        <v>3.1325757575757578</v>
      </c>
      <c r="FN21" s="67">
        <f>IFERROR(VLOOKUP($B21,RD[#All],FN$2,0)/FN$1,"")</f>
        <v>3.098989898989899</v>
      </c>
      <c r="FO21" s="67">
        <f>IFERROR(VLOOKUP($B21,RD[#All],FO$2,0)/FO$1,"")</f>
        <v>3.105681818181818</v>
      </c>
      <c r="FP21" s="67">
        <f>IFERROR(VLOOKUP($B21,RD[#All],FP$2,0)/FP$1,"")</f>
        <v>3.1123636363636362</v>
      </c>
      <c r="FQ21" s="67">
        <f>IFERROR(VLOOKUP($B21,RD[#All],FQ$2,0)/FQ$1,"")</f>
        <v>3.0672727272727274</v>
      </c>
      <c r="FR21" s="67">
        <f>IFERROR(VLOOKUP($B21,RD[#All],FR$2,0)/FR$1,"")</f>
        <v>3.0789090909090913</v>
      </c>
      <c r="FS21" s="67">
        <f>IFERROR(VLOOKUP($B21,RD[#All],FS$2,0)/FS$1,"")</f>
        <v>3.1659932659932659</v>
      </c>
      <c r="FT21" s="67">
        <f>IFERROR(VLOOKUP($B21,RD[#All],FT$2,0)/FT$1,"")</f>
        <v>3.0876363636363635</v>
      </c>
      <c r="FU21" s="67">
        <f>IFERROR(VLOOKUP($B21,RD[#All],FU$2,0)/FU$1,"")</f>
        <v>3.1370370370370373</v>
      </c>
      <c r="FV21" s="67">
        <f>IFERROR(VLOOKUP($B21,RD[#All],FV$2,0)/FV$1,"")</f>
        <v>3.1401515151515151</v>
      </c>
      <c r="FW21" s="67">
        <f>IFERROR(VLOOKUP($B21,RD[#All],FW$2,0)/FW$1,"")</f>
        <v>3.0643939393939394</v>
      </c>
      <c r="FX21" s="67">
        <f>IFERROR(VLOOKUP($B21,RD[#All],FX$2,0)/FX$1,"")</f>
        <v>3.1628787878787881</v>
      </c>
      <c r="FY21" s="67">
        <f>IFERROR(VLOOKUP($B21,RD[#All],FY$2,0)/FY$1,"")</f>
        <v>3.0538720538720541</v>
      </c>
      <c r="FZ21" s="67">
        <f>IFERROR(VLOOKUP($B21,RD[#All],FZ$2,0)/FZ$1,"")</f>
        <v>3.1704545454545454</v>
      </c>
      <c r="GA21" s="67">
        <f>IFERROR(VLOOKUP($B21,RD[#All],GA$2,0)/GA$1,"")</f>
        <v>3.13986013986014</v>
      </c>
      <c r="GB21" s="67">
        <f>IFERROR(VLOOKUP($B21,RD[#All],GB$2,0)/GB$1,"")</f>
        <v>3.0673400673400675</v>
      </c>
      <c r="GC21" s="67">
        <f>IFERROR(VLOOKUP($B21,RD[#All],GC$2,0)/GC$1,"")</f>
        <v>3.0606060606060606</v>
      </c>
      <c r="GD21" s="67">
        <f>IFERROR(VLOOKUP($B21,RD[#All],GD$2,0)/GD$1,"")</f>
        <v>3.2036363636363636</v>
      </c>
      <c r="GE21" s="67">
        <f>IFERROR(VLOOKUP($B21,RD[#All],GE$2,0)/GE$1,"")</f>
        <v>3.1153846153846154</v>
      </c>
      <c r="GF21" s="67">
        <f>IFERROR(VLOOKUP($B21,RD[#All],GF$2,0)/GF$1,"")</f>
        <v>3.0707070707070705</v>
      </c>
      <c r="GG21" s="67">
        <f>IFERROR(VLOOKUP($B21,RD[#All],GG$2,0)/GG$1,"")</f>
        <v>3.0756363636363635</v>
      </c>
      <c r="GH21" s="67">
        <f>IFERROR(VLOOKUP($B21,RD[#All],GH$2,0)/GH$1,"")</f>
        <v>3.0690909090909089</v>
      </c>
      <c r="GI21" s="67">
        <f>IFERROR(VLOOKUP($B21,RD[#All],GI$2,0)/GI$1,"")</f>
        <v>3.1087272727272728</v>
      </c>
      <c r="GJ21" s="67">
        <f>IFERROR(VLOOKUP($B21,RD[#All],GJ$2,0)/GJ$1,"")</f>
        <v>3.06993006993007</v>
      </c>
      <c r="GK21" s="67">
        <f>IFERROR(VLOOKUP($B21,RD[#All],GK$2,0)/GK$1,"")</f>
        <v>3.1401515151515151</v>
      </c>
      <c r="GL21" s="67">
        <f>IFERROR(VLOOKUP($B21,RD[#All],GL$2,0)/GL$1,"")</f>
        <v>3.1098484848484849</v>
      </c>
      <c r="GM21" s="67">
        <f>IFERROR(VLOOKUP($B21,RD[#All],GM$2,0)/GM$1,"")</f>
        <v>3.1666666666666665</v>
      </c>
      <c r="GN21" s="67">
        <f>IFERROR(VLOOKUP($B21,RD[#All],GN$2,0)/GN$1,"")</f>
        <v>3.1477272727272729</v>
      </c>
      <c r="GO21" s="67">
        <f>IFERROR(VLOOKUP($B21,RD[#All],GO$2,0)/GO$1,"")</f>
        <v>3.1401515151515151</v>
      </c>
      <c r="GP21" s="67">
        <f>IFERROR(VLOOKUP($B21,RD[#All],GP$2,0)/GP$1,"")</f>
        <v>3.1780303030303032</v>
      </c>
      <c r="GQ21" s="67">
        <f>IFERROR(VLOOKUP($B21,RD[#All],GQ$2,0)/GQ$1,"")</f>
        <v>3.0954545454545452</v>
      </c>
      <c r="GR21" s="67">
        <f>IFERROR(VLOOKUP($B21,RD[#All],GR$2,0)/GR$1,"")</f>
        <v>3.0643939393939394</v>
      </c>
      <c r="GS21" s="67" t="str">
        <f>IFERROR(VLOOKUP($B21,RD[#All],GS$2,0)/GS$1,"")</f>
        <v/>
      </c>
      <c r="GT21" s="67" t="str">
        <f>IFERROR(VLOOKUP($B21,RD[#All],GT$2,0)/GT$1,"")</f>
        <v/>
      </c>
      <c r="GU21" s="67">
        <f>IFERROR(VLOOKUP($B21,RD[#All],GU$2,0)/GU$1,"")</f>
        <v>3.2849604221635884</v>
      </c>
      <c r="GV21" s="67">
        <f>IFERROR(VLOOKUP($B21,RD[#All],GV$2,0)/GV$1,"")</f>
        <v>3.0837930128710274</v>
      </c>
      <c r="GW21" s="67">
        <f>IFERROR(VLOOKUP($B21,RD[#All],GW$2,0)/GW$1,"")</f>
        <v>3.0635624538063562</v>
      </c>
      <c r="GX21" s="67" t="str">
        <f>IFERROR(VLOOKUP($B21,RD[#All],GX$2,0)/GX$1,"")</f>
        <v/>
      </c>
      <c r="GY21" s="67">
        <f>IFERROR(VLOOKUP($B21,RD[#All],GY$2,0)/GY$1,"")</f>
        <v>3.0792891319207105</v>
      </c>
      <c r="GZ21" s="67">
        <f>IFERROR(VLOOKUP($B21,RD[#All],GZ$2,0)/GZ$1,"")</f>
        <v>3.0674157303370788</v>
      </c>
      <c r="HA21" s="67">
        <f>IFERROR(VLOOKUP($B21,RD[#All],HA$2,0)/HA$1,"")</f>
        <v>3.0861423220973783</v>
      </c>
      <c r="HB21" s="67">
        <f>IFERROR(VLOOKUP($B21,RD[#All],HB$2,0)/HB$1,"")</f>
        <v>3.1198501872659175</v>
      </c>
      <c r="HC21" s="67">
        <f>IFERROR(VLOOKUP($B21,RD[#All],HC$2,0)/HC$1,"")</f>
        <v>3.1273408239700373</v>
      </c>
      <c r="HD21" s="67">
        <f>IFERROR(VLOOKUP($B21,RD[#All],HD$2,0)/HD$1,"")</f>
        <v>3.0898876404494384</v>
      </c>
      <c r="HE21" s="67">
        <f>IFERROR(VLOOKUP($B21,RD[#All],HE$2,0)/HE$1,"")</f>
        <v>3.0749063670411987</v>
      </c>
      <c r="HF21" s="67">
        <f>IFERROR(VLOOKUP($B21,RD[#All],HF$2,0)/HF$1,"")</f>
        <v>3.1445692883895133</v>
      </c>
      <c r="HG21" s="67">
        <f>IFERROR(VLOOKUP($B21,RD[#All],HG$2,0)/HG$1,"")</f>
        <v>3.0749063670411987</v>
      </c>
      <c r="HH21" s="67">
        <f>IFERROR(VLOOKUP($B21,RD[#All],HH$2,0)/HH$1,"")</f>
        <v>3.1123595505617976</v>
      </c>
      <c r="HI21" s="67">
        <f>IFERROR(VLOOKUP($B21,RD[#All],HI$2,0)/HI$1,"")</f>
        <v>3.1235955056179776</v>
      </c>
      <c r="HJ21" s="67">
        <f>IFERROR(VLOOKUP($B21,RD[#All],HJ$2,0)/HJ$1,"")</f>
        <v>3.1943820224719102</v>
      </c>
      <c r="HK21" s="67">
        <f>IFERROR(VLOOKUP($B21,RD[#All],HK$2,0)/HK$1,"")</f>
        <v>3.0595089471493968</v>
      </c>
      <c r="HL21" s="67">
        <f>IFERROR(VLOOKUP($B21,RD[#All],HL$2,0)/HL$1,"")</f>
        <v>3.2156471077819391</v>
      </c>
      <c r="HM21" s="67">
        <f>IFERROR(VLOOKUP($B21,RD[#All],HM$2,0)/HM$1,"")</f>
        <v>3.2422749664128974</v>
      </c>
      <c r="HN21" s="67">
        <f>IFERROR(VLOOKUP($B21,RD[#All],HN$2,0)/HN$1,"")</f>
        <v>3.3313927451858483</v>
      </c>
      <c r="HO21" s="67">
        <f>IFERROR(VLOOKUP($B21,RD[#All],HO$2,0)/HO$1,"")</f>
        <v>3.3338557993730409</v>
      </c>
      <c r="HP21" s="67">
        <f>IFERROR(VLOOKUP($B21,RD[#All],HP$2,0)/HP$1,"")</f>
        <v>3.2852664576802506</v>
      </c>
      <c r="HQ21" s="67">
        <f>IFERROR(VLOOKUP($B21,RD[#All],HQ$2,0)/HQ$1,"")</f>
        <v>3.0928330928330929</v>
      </c>
      <c r="HR21" s="67">
        <f>IFERROR(VLOOKUP($B21,RD[#All],HR$2,0)/HR$1,"")</f>
        <v>3.080900750625521</v>
      </c>
      <c r="HS21" s="67">
        <f>IFERROR(VLOOKUP($B21,RD[#All],HS$2,0)/HS$1,"")</f>
        <v>3.161887640449438</v>
      </c>
      <c r="HT21" s="67">
        <f>IFERROR(VLOOKUP($B21,RD[#All],HT$2,0)/HT$1,"")</f>
        <v>3.1407407407407408</v>
      </c>
      <c r="HU21" s="67">
        <f>IFERROR(VLOOKUP($B21,RD[#All],HU$2,0)/HU$1,"")</f>
        <v>3.1305099394987037</v>
      </c>
      <c r="HV21" s="67">
        <f>IFERROR(VLOOKUP($B21,RD[#All],HV$2,0)/HV$1,"")</f>
        <v>3.0534140017286084</v>
      </c>
      <c r="HW21" s="67">
        <f>IFERROR(VLOOKUP($B21,RD[#All],HW$2,0)/HW$1,"")</f>
        <v>3.1848988764044943</v>
      </c>
      <c r="HX21" s="67">
        <f>IFERROR(VLOOKUP($B21,RD[#All],HX$2,0)/HX$1,"")</f>
        <v>3.1858254105445116</v>
      </c>
      <c r="HY21" s="67">
        <f>IFERROR(VLOOKUP($B21,RD[#All],HY$2,0)/HY$1,"")</f>
        <v>3.1330836454431963</v>
      </c>
      <c r="HZ21" s="67">
        <f>IFERROR(VLOOKUP($B21,RD[#All],HZ$2,0)/HZ$1,"")</f>
        <v>3.0831460674157305</v>
      </c>
      <c r="IA21" s="67">
        <f>IFERROR(VLOOKUP($B21,RD[#All],IA$2,0)/IA$1,"")</f>
        <v>3.1002331002331007</v>
      </c>
      <c r="IB21" s="67">
        <f>IFERROR(VLOOKUP($B21,RD[#All],IB$2,0)/IB$1,"")</f>
        <v>3.0808080808080809</v>
      </c>
      <c r="IC21" s="67">
        <f>IFERROR(VLOOKUP($B21,RD[#All],IC$2,0)/IC$1,"")</f>
        <v>3.0730380730380733</v>
      </c>
      <c r="ID21" s="67">
        <f>IFERROR(VLOOKUP($B21,RD[#All],ID$2,0)/ID$1,"")</f>
        <v>3.063973063973064</v>
      </c>
      <c r="IE21" s="67">
        <f>IFERROR(VLOOKUP($B21,RD[#All],IE$2,0)/IE$1,"")</f>
        <v>3.0909090909090908</v>
      </c>
      <c r="IF21" s="67" t="str">
        <f>IFERROR(VLOOKUP($B21,RD[#All],IF$2,0)/IF$1,"")</f>
        <v/>
      </c>
      <c r="IG21" s="67">
        <f>IFERROR(VLOOKUP($B21,RD[#All],IG$2,0)/IG$1,"")</f>
        <v>3.2720067930936878</v>
      </c>
      <c r="IH21" s="67">
        <f>IFERROR(VLOOKUP($B21,RD[#All],IH$2,0)/IH$1,"")</f>
        <v>3.1034482758620685</v>
      </c>
      <c r="II21" s="67">
        <f>IFERROR(VLOOKUP($B21,RD[#All],II$2,0)/II$1,"")</f>
        <v>3.1940298507462686</v>
      </c>
      <c r="IJ21" s="67">
        <f>IFERROR(VLOOKUP($B21,RD[#All],IJ$2,0)/IJ$1,"")</f>
        <v>3.052749719416386</v>
      </c>
      <c r="IK21" s="67">
        <f>IFERROR(VLOOKUP($B21,RD[#All],IK$2,0)/IK$1,"")</f>
        <v>3.0730380730380733</v>
      </c>
      <c r="IL21" s="67" t="str">
        <f>IFERROR(VLOOKUP($B21,RD[#All],IL$2,0)/IL$1,"")</f>
        <v/>
      </c>
      <c r="IM21" s="67" t="str">
        <f>IFERROR(VLOOKUP($B21,RD[#All],IM$2,0)/IM$1,"")</f>
        <v/>
      </c>
      <c r="IN21" s="67">
        <f>IFERROR(VLOOKUP($B21,RD[#All],IN$2,0)/IN$1,"")</f>
        <v>3.2058516196447231</v>
      </c>
      <c r="IO21" s="67">
        <f>IFERROR(VLOOKUP($B21,RD[#All],IO$2,0)/IO$1,"")</f>
        <v>3.1896551724137931</v>
      </c>
      <c r="IP21" s="67">
        <f>IFERROR(VLOOKUP($B21,RD[#All],IP$2,0)/IP$1,"")</f>
        <v>3.6758635672387574</v>
      </c>
      <c r="IQ21" s="67">
        <f>IFERROR(VLOOKUP($B21,RD[#All],IQ$2,0)/IQ$1,"")</f>
        <v>3.0730380730380733</v>
      </c>
      <c r="IR21" s="67">
        <f>IFERROR(VLOOKUP($B21,RD[#All],IR$2,0)/IR$1,"")</f>
        <v>3.0684079601990053</v>
      </c>
      <c r="IS21" s="86">
        <f>IFERROR(AVERAGEIF(Inv_SY_B[[#This Row],[BLK1_INV1]:[BLK8_INV27]],"&gt;"&amp;0.1,Inv_SY_B[[#This Row],[BLK1_INV1]:[BLK8_INV27]]),"")</f>
        <v>3.1326612592748986</v>
      </c>
    </row>
    <row r="22" spans="2:253" x14ac:dyDescent="0.25">
      <c r="B22" s="85">
        <f t="shared" si="0"/>
        <v>45848</v>
      </c>
      <c r="C22" s="67">
        <f>IFERROR(VLOOKUP($B22,RD[#All],C$2,0)/C$1,"")</f>
        <v>1.727571305099395</v>
      </c>
      <c r="D22" s="67">
        <f>IFERROR(VLOOKUP($B22,RD[#All],D$2,0)/D$1,"")</f>
        <v>1.7424373379429559</v>
      </c>
      <c r="E22" s="67">
        <f>IFERROR(VLOOKUP($B22,RD[#All],E$2,0)/E$1,"")</f>
        <v>1.7629213483146067</v>
      </c>
      <c r="F22" s="67">
        <f>IFERROR(VLOOKUP($B22,RD[#All],F$2,0)/F$1,"")</f>
        <v>1.7711610486891385</v>
      </c>
      <c r="G22" s="67">
        <f>IFERROR(VLOOKUP($B22,RD[#All],G$2,0)/G$1,"")</f>
        <v>1.7289541918755402</v>
      </c>
      <c r="H22" s="67">
        <f>IFERROR(VLOOKUP($B22,RD[#All],H$2,0)/H$1,"")</f>
        <v>1.752808988764045</v>
      </c>
      <c r="I22" s="67">
        <f>IFERROR(VLOOKUP($B22,RD[#All],I$2,0)/I$1,"")</f>
        <v>1.7606741573033708</v>
      </c>
      <c r="J22" s="67">
        <f>IFERROR(VLOOKUP($B22,RD[#All],J$2,0)/J$1,"")</f>
        <v>1.7651685393258427</v>
      </c>
      <c r="K22" s="67">
        <f>IFERROR(VLOOKUP($B22,RD[#All],K$2,0)/K$1,"")</f>
        <v>1.7502921348314606</v>
      </c>
      <c r="L22" s="67">
        <f>IFERROR(VLOOKUP($B22,RD[#All],L$2,0)/L$1,"")</f>
        <v>1.7725842696629213</v>
      </c>
      <c r="M22" s="67">
        <f>IFERROR(VLOOKUP($B22,RD[#All],M$2,0)/M$1,"")</f>
        <v>1.7816479400749063</v>
      </c>
      <c r="N22" s="67">
        <f>IFERROR(VLOOKUP($B22,RD[#All],N$2,0)/N$1,"")</f>
        <v>1.7779026217228464</v>
      </c>
      <c r="O22" s="67">
        <f>IFERROR(VLOOKUP($B22,RD[#All],O$2,0)/O$1,"")</f>
        <v>1.7868913857677904</v>
      </c>
      <c r="P22" s="67">
        <f>IFERROR(VLOOKUP($B22,RD[#All],P$2,0)/P$1,"")</f>
        <v>1.8034729315628191</v>
      </c>
      <c r="Q22" s="67">
        <f>IFERROR(VLOOKUP($B22,RD[#All],Q$2,0)/Q$1,"")</f>
        <v>1.7861423220973782</v>
      </c>
      <c r="R22" s="67">
        <f>IFERROR(VLOOKUP($B22,RD[#All],R$2,0)/R$1,"")</f>
        <v>1.8014981273408239</v>
      </c>
      <c r="S22" s="67">
        <f>IFERROR(VLOOKUP($B22,RD[#All],S$2,0)/S$1,"")</f>
        <v>1.7891385767790262</v>
      </c>
      <c r="T22" s="67">
        <f>IFERROR(VLOOKUP($B22,RD[#All],T$2,0)/T$1,"")</f>
        <v>1.7958801498127341</v>
      </c>
      <c r="U22" s="67">
        <f>IFERROR(VLOOKUP($B22,RD[#All],U$2,0)/U$1,"")</f>
        <v>1.7846153846153847</v>
      </c>
      <c r="V22" s="67">
        <f>IFERROR(VLOOKUP($B22,RD[#All],V$2,0)/V$1,"")</f>
        <v>1.801210025929127</v>
      </c>
      <c r="W22" s="67">
        <f>IFERROR(VLOOKUP($B22,RD[#All],W$2,0)/W$1,"")</f>
        <v>1.7546816479400749</v>
      </c>
      <c r="X22" s="67">
        <f>IFERROR(VLOOKUP($B22,RD[#All],X$2,0)/X$1,"")</f>
        <v>1.749438202247191</v>
      </c>
      <c r="Y22" s="67">
        <f>IFERROR(VLOOKUP($B22,RD[#All],Y$2,0)/Y$1,"")</f>
        <v>1.7984442523768367</v>
      </c>
      <c r="Z22" s="67">
        <f>IFERROR(VLOOKUP($B22,RD[#All],Z$2,0)/Z$1,"")</f>
        <v>1.7175197669579692</v>
      </c>
      <c r="AA22" s="67">
        <f>IFERROR(VLOOKUP($B22,RD[#All],AA$2,0)/AA$1,"")</f>
        <v>1.7538461538461538</v>
      </c>
      <c r="AB22" s="67">
        <f>IFERROR(VLOOKUP($B22,RD[#All],AB$2,0)/AB$1,"")</f>
        <v>1.7728608470181502</v>
      </c>
      <c r="AC22" s="67">
        <f>IFERROR(VLOOKUP($B22,RD[#All],AC$2,0)/AC$1,"")</f>
        <v>1.8032843560933449</v>
      </c>
      <c r="AD22" s="67">
        <f>IFERROR(VLOOKUP($B22,RD[#All],AD$2,0)/AD$1,"")</f>
        <v>1.7241781106949645</v>
      </c>
      <c r="AE22" s="67">
        <f>IFERROR(VLOOKUP($B22,RD[#All],AE$2,0)/AE$1,"")</f>
        <v>1.7534748231377446</v>
      </c>
      <c r="AF22" s="67">
        <f>IFERROR(VLOOKUP($B22,RD[#All],AF$2,0)/AF$1,"")</f>
        <v>1.7371618809821054</v>
      </c>
      <c r="AG22" s="67">
        <f>IFERROR(VLOOKUP($B22,RD[#All],AG$2,0)/AG$1,"")</f>
        <v>1.7551394090719934</v>
      </c>
      <c r="AH22" s="67">
        <f>IFERROR(VLOOKUP($B22,RD[#All],AH$2,0)/AH$1,"")</f>
        <v>1.7611319184352892</v>
      </c>
      <c r="AI22" s="67">
        <f>IFERROR(VLOOKUP($B22,RD[#All],AI$2,0)/AI$1,"")</f>
        <v>1.7566823899371067</v>
      </c>
      <c r="AJ22" s="67">
        <f>IFERROR(VLOOKUP($B22,RD[#All],AJ$2,0)/AJ$1,"")</f>
        <v>1.7662531759079358</v>
      </c>
      <c r="AK22" s="67">
        <f>IFERROR(VLOOKUP($B22,RD[#All],AK$2,0)/AK$1,"")</f>
        <v>1.749438202247191</v>
      </c>
      <c r="AL22" s="67">
        <f>IFERROR(VLOOKUP($B22,RD[#All],AL$2,0)/AL$1,"")</f>
        <v>1.7229842756774842</v>
      </c>
      <c r="AM22" s="67">
        <f>IFERROR(VLOOKUP($B22,RD[#All],AM$2,0)/AM$1,"")</f>
        <v>1.7363295880149814</v>
      </c>
      <c r="AN22" s="67">
        <f>IFERROR(VLOOKUP($B22,RD[#All],AN$2,0)/AN$1,"")</f>
        <v>1.7516853932584269</v>
      </c>
      <c r="AO22" s="67">
        <f>IFERROR(VLOOKUP($B22,RD[#All],AO$2,0)/AO$1,"")</f>
        <v>1.7535580524344569</v>
      </c>
      <c r="AP22" s="67">
        <f>IFERROR(VLOOKUP($B22,RD[#All],AP$2,0)/AP$1,"")</f>
        <v>1.7415730337078652</v>
      </c>
      <c r="AQ22" s="67">
        <f>IFERROR(VLOOKUP($B22,RD[#All],AQ$2,0)/AQ$1,"")</f>
        <v>1.7737827715355805</v>
      </c>
      <c r="AR22" s="67">
        <f>IFERROR(VLOOKUP($B22,RD[#All],AR$2,0)/AR$1,"")</f>
        <v>1.7865168539325842</v>
      </c>
      <c r="AS22" s="67">
        <f>IFERROR(VLOOKUP($B22,RD[#All],AS$2,0)/AS$1,"")</f>
        <v>1.7715355805243447</v>
      </c>
      <c r="AT22" s="67">
        <f>IFERROR(VLOOKUP($B22,RD[#All],AT$2,0)/AT$1,"")</f>
        <v>1.7816479400749063</v>
      </c>
      <c r="AU22" s="67">
        <f>IFERROR(VLOOKUP($B22,RD[#All],AU$2,0)/AU$1,"")</f>
        <v>1.7329588014981272</v>
      </c>
      <c r="AV22" s="67">
        <f>IFERROR(VLOOKUP($B22,RD[#All],AV$2,0)/AV$1,"")</f>
        <v>1.7692883895131086</v>
      </c>
      <c r="AW22" s="67">
        <f>IFERROR(VLOOKUP($B22,RD[#All],AW$2,0)/AW$1,"")</f>
        <v>1.7223854796888505</v>
      </c>
      <c r="AX22" s="67">
        <f>IFERROR(VLOOKUP($B22,RD[#All],AX$2,0)/AX$1,"")</f>
        <v>1.7400749063670413</v>
      </c>
      <c r="AY22" s="67">
        <f>IFERROR(VLOOKUP($B22,RD[#All],AY$2,0)/AY$1,"")</f>
        <v>1.7373483146067414</v>
      </c>
      <c r="AZ22" s="67">
        <f>IFERROR(VLOOKUP($B22,RD[#All],AZ$2,0)/AZ$1,"")</f>
        <v>1.7287191011235956</v>
      </c>
      <c r="BA22" s="67">
        <f>IFERROR(VLOOKUP($B22,RD[#All],BA$2,0)/BA$1,"")</f>
        <v>1.7393258426966292</v>
      </c>
      <c r="BB22" s="67">
        <f>IFERROR(VLOOKUP($B22,RD[#All],BB$2,0)/BB$1,"")</f>
        <v>1.750561797752809</v>
      </c>
      <c r="BC22" s="67">
        <f>IFERROR(VLOOKUP($B22,RD[#All],BC$2,0)/BC$1,"")</f>
        <v>1.7331668747399085</v>
      </c>
      <c r="BD22" s="67">
        <f>IFERROR(VLOOKUP($B22,RD[#All],BD$2,0)/BD$1,"")</f>
        <v>1.7398252184769039</v>
      </c>
      <c r="BE22" s="67">
        <f>IFERROR(VLOOKUP($B22,RD[#All],BE$2,0)/BE$1,"")</f>
        <v>1.7292999135695764</v>
      </c>
      <c r="BF22" s="67">
        <f>IFERROR(VLOOKUP($B22,RD[#All],BF$2,0)/BF$1,"")</f>
        <v>1.748481065334998</v>
      </c>
      <c r="BG22" s="67">
        <f>IFERROR(VLOOKUP($B22,RD[#All],BG$2,0)/BG$1,"")</f>
        <v>1.7354972950478567</v>
      </c>
      <c r="BH22" s="67">
        <f>IFERROR(VLOOKUP($B22,RD[#All],BH$2,0)/BH$1,"")</f>
        <v>1.7610486891385768</v>
      </c>
      <c r="BI22" s="67">
        <f>IFERROR(VLOOKUP($B22,RD[#All],BI$2,0)/BI$1,"")</f>
        <v>1.7354972950478567</v>
      </c>
      <c r="BJ22" s="67">
        <f>IFERROR(VLOOKUP($B22,RD[#All],BJ$2,0)/BJ$1,"")</f>
        <v>1.7368289637952561</v>
      </c>
      <c r="BK22" s="67">
        <f>IFERROR(VLOOKUP($B22,RD[#All],BK$2,0)/BK$1,"")</f>
        <v>1.7426966292134831</v>
      </c>
      <c r="BL22" s="67">
        <f>IFERROR(VLOOKUP($B22,RD[#All],BL$2,0)/BL$1,"")</f>
        <v>1.7908999665439946</v>
      </c>
      <c r="BM22" s="67">
        <f>IFERROR(VLOOKUP($B22,RD[#All],BM$2,0)/BM$1,"")</f>
        <v>1.7662921348314609</v>
      </c>
      <c r="BN22" s="67">
        <f>IFERROR(VLOOKUP($B22,RD[#All],BN$2,0)/BN$1,"")</f>
        <v>1.7613375130616509</v>
      </c>
      <c r="BO22" s="67">
        <f>IFERROR(VLOOKUP($B22,RD[#All],BO$2,0)/BO$1,"")</f>
        <v>1.7624891961970615</v>
      </c>
      <c r="BP22" s="67">
        <f>IFERROR(VLOOKUP($B22,RD[#All],BP$2,0)/BP$1,"")</f>
        <v>1.7801210025929126</v>
      </c>
      <c r="BQ22" s="67">
        <f>IFERROR(VLOOKUP($B22,RD[#All],BQ$2,0)/BQ$1,"")</f>
        <v>1.7777009507346588</v>
      </c>
      <c r="BR22" s="67">
        <f>IFERROR(VLOOKUP($B22,RD[#All],BR$2,0)/BR$1,"")</f>
        <v>1.7818496110630941</v>
      </c>
      <c r="BS22" s="67">
        <f>IFERROR(VLOOKUP($B22,RD[#All],BS$2,0)/BS$1,"")</f>
        <v>1.7696629213483146</v>
      </c>
      <c r="BT22" s="67">
        <f>IFERROR(VLOOKUP($B22,RD[#All],BT$2,0)/BT$1,"")</f>
        <v>1.7625468164794009</v>
      </c>
      <c r="BU22" s="67">
        <f>IFERROR(VLOOKUP($B22,RD[#All],BU$2,0)/BU$1,"")</f>
        <v>1.7606741573033708</v>
      </c>
      <c r="BV22" s="67">
        <f>IFERROR(VLOOKUP($B22,RD[#All],BV$2,0)/BV$1,"")</f>
        <v>1.7632958801498129</v>
      </c>
      <c r="BW22" s="67">
        <f>IFERROR(VLOOKUP($B22,RD[#All],BW$2,0)/BW$1,"")</f>
        <v>1.7734082397003745</v>
      </c>
      <c r="BX22" s="67">
        <f>IFERROR(VLOOKUP($B22,RD[#All],BX$2,0)/BX$1,"")</f>
        <v>1.7685393258426967</v>
      </c>
      <c r="BY22" s="67">
        <f>IFERROR(VLOOKUP($B22,RD[#All],BY$2,0)/BY$1,"")</f>
        <v>1.7398252184769039</v>
      </c>
      <c r="BZ22" s="67">
        <f>IFERROR(VLOOKUP($B22,RD[#All],BZ$2,0)/BZ$1,"")</f>
        <v>1.7478152309612984</v>
      </c>
      <c r="CA22" s="67">
        <f>IFERROR(VLOOKUP($B22,RD[#All],CA$2,0)/CA$1,"")</f>
        <v>1.7538077403245942</v>
      </c>
      <c r="CB22" s="67">
        <f>IFERROR(VLOOKUP($B22,RD[#All],CB$2,0)/CB$1,"")</f>
        <v>1.750187265917603</v>
      </c>
      <c r="CC22" s="67">
        <f>IFERROR(VLOOKUP($B22,RD[#All],CC$2,0)/CC$1,"")</f>
        <v>1.7359550561797752</v>
      </c>
      <c r="CD22" s="67">
        <f>IFERROR(VLOOKUP($B22,RD[#All],CD$2,0)/CD$1,"")</f>
        <v>1.792912705272256</v>
      </c>
      <c r="CE22" s="67">
        <f>IFERROR(VLOOKUP($B22,RD[#All],CE$2,0)/CE$1,"")</f>
        <v>1.7606741573033708</v>
      </c>
      <c r="CF22" s="67">
        <f>IFERROR(VLOOKUP($B22,RD[#All],CF$2,0)/CF$1,"")</f>
        <v>1.7868913857677904</v>
      </c>
      <c r="CG22" s="67">
        <f>IFERROR(VLOOKUP($B22,RD[#All],CG$2,0)/CG$1,"")</f>
        <v>1.7726591760299626</v>
      </c>
      <c r="CH22" s="67">
        <f>IFERROR(VLOOKUP($B22,RD[#All],CH$2,0)/CH$1,"")</f>
        <v>1.7734082397003745</v>
      </c>
      <c r="CI22" s="67">
        <f>IFERROR(VLOOKUP($B22,RD[#All],CI$2,0)/CI$1,"")</f>
        <v>1.7546816479400749</v>
      </c>
      <c r="CJ22" s="67">
        <f>IFERROR(VLOOKUP($B22,RD[#All],CJ$2,0)/CJ$1,"")</f>
        <v>1.7610486891385768</v>
      </c>
      <c r="CK22" s="67">
        <f>IFERROR(VLOOKUP($B22,RD[#All],CK$2,0)/CK$1,"")</f>
        <v>1.7749063670411984</v>
      </c>
      <c r="CL22" s="67">
        <f>IFERROR(VLOOKUP($B22,RD[#All],CL$2,0)/CL$1,"")</f>
        <v>1.7835205992509362</v>
      </c>
      <c r="CM22" s="67">
        <f>IFERROR(VLOOKUP($B22,RD[#All],CM$2,0)/CM$1,"")</f>
        <v>1.7640449438202248</v>
      </c>
      <c r="CN22" s="67">
        <f>IFERROR(VLOOKUP($B22,RD[#All],CN$2,0)/CN$1,"")</f>
        <v>1.758801498127341</v>
      </c>
      <c r="CO22" s="67">
        <f>IFERROR(VLOOKUP($B22,RD[#All],CO$2,0)/CO$1,"")</f>
        <v>1.7869662921348315</v>
      </c>
      <c r="CP22" s="67">
        <f>IFERROR(VLOOKUP($B22,RD[#All],CP$2,0)/CP$1,"")</f>
        <v>1.7925669835782196</v>
      </c>
      <c r="CQ22" s="67">
        <f>IFERROR(VLOOKUP($B22,RD[#All],CQ$2,0)/CQ$1,"")</f>
        <v>1.7516853932584269</v>
      </c>
      <c r="CR22" s="67">
        <f>IFERROR(VLOOKUP($B22,RD[#All],CR$2,0)/CR$1,"")</f>
        <v>1.7985018726591759</v>
      </c>
      <c r="CS22" s="67">
        <f>IFERROR(VLOOKUP($B22,RD[#All],CS$2,0)/CS$1,"")</f>
        <v>1.8000832292967126</v>
      </c>
      <c r="CT22" s="67">
        <f>IFERROR(VLOOKUP($B22,RD[#All],CT$2,0)/CT$1,"")</f>
        <v>1.7322097378277153</v>
      </c>
      <c r="CU22" s="67">
        <f>IFERROR(VLOOKUP($B22,RD[#All],CU$2,0)/CU$1,"")</f>
        <v>1.7329588014981272</v>
      </c>
      <c r="CV22" s="67">
        <f>IFERROR(VLOOKUP($B22,RD[#All],CV$2,0)/CV$1,"")</f>
        <v>1.758801498127341</v>
      </c>
      <c r="CW22" s="67">
        <f>IFERROR(VLOOKUP($B22,RD[#All],CW$2,0)/CW$1,"")</f>
        <v>1.7550561797752811</v>
      </c>
      <c r="CX22" s="67">
        <f>IFERROR(VLOOKUP($B22,RD[#All],CX$2,0)/CX$1,"")</f>
        <v>1.7359550561797752</v>
      </c>
      <c r="CY22" s="67">
        <f>IFERROR(VLOOKUP($B22,RD[#All],CY$2,0)/CY$1,"")</f>
        <v>1.7606741573033708</v>
      </c>
      <c r="CZ22" s="67">
        <f>IFERROR(VLOOKUP($B22,RD[#All],CZ$2,0)/CZ$1,"")</f>
        <v>1.7943820224719103</v>
      </c>
      <c r="DA22" s="67">
        <f>IFERROR(VLOOKUP($B22,RD[#All],DA$2,0)/DA$1,"")</f>
        <v>1.7250936329588016</v>
      </c>
      <c r="DB22" s="67">
        <f>IFERROR(VLOOKUP($B22,RD[#All],DB$2,0)/DB$1,"")</f>
        <v>1.7662921348314609</v>
      </c>
      <c r="DC22" s="67">
        <f>IFERROR(VLOOKUP($B22,RD[#All],DC$2,0)/DC$1,"")</f>
        <v>1.7674573449854347</v>
      </c>
      <c r="DD22" s="67">
        <f>IFERROR(VLOOKUP($B22,RD[#All],DD$2,0)/DD$1,"")</f>
        <v>1.7292134831460673</v>
      </c>
      <c r="DE22" s="67">
        <f>IFERROR(VLOOKUP($B22,RD[#All],DE$2,0)/DE$1,"")</f>
        <v>1.7478152309612984</v>
      </c>
      <c r="DF22" s="67">
        <f>IFERROR(VLOOKUP($B22,RD[#All],DF$2,0)/DF$1,"")</f>
        <v>1.789896286383406</v>
      </c>
      <c r="DG22" s="67">
        <f>IFERROR(VLOOKUP($B22,RD[#All],DG$2,0)/DG$1,"")</f>
        <v>1.750187265917603</v>
      </c>
      <c r="DH22" s="67">
        <f>IFERROR(VLOOKUP($B22,RD[#All],DH$2,0)/DH$1,"")</f>
        <v>1.754140657511444</v>
      </c>
      <c r="DI22" s="67">
        <f>IFERROR(VLOOKUP($B22,RD[#All],DI$2,0)/DI$1,"")</f>
        <v>1.7683664649956785</v>
      </c>
      <c r="DJ22" s="67">
        <f>IFERROR(VLOOKUP($B22,RD[#All],DJ$2,0)/DJ$1,"")</f>
        <v>1.7638720829732066</v>
      </c>
      <c r="DK22" s="67">
        <f>IFERROR(VLOOKUP($B22,RD[#All],DK$2,0)/DK$1,"")</f>
        <v>1.7890969621306698</v>
      </c>
      <c r="DL22" s="67">
        <f>IFERROR(VLOOKUP($B22,RD[#All],DL$2,0)/DL$1,"")</f>
        <v>1.763129421556388</v>
      </c>
      <c r="DM22" s="67">
        <f>IFERROR(VLOOKUP($B22,RD[#All],DM$2,0)/DM$1,"")</f>
        <v>1.7456928838951311</v>
      </c>
      <c r="DN22" s="67">
        <f>IFERROR(VLOOKUP($B22,RD[#All],DN$2,0)/DN$1,"")</f>
        <v>1.7273408239700374</v>
      </c>
      <c r="DO22" s="67">
        <f>IFERROR(VLOOKUP($B22,RD[#All],DO$2,0)/DO$1,"")</f>
        <v>1.7437269989963202</v>
      </c>
      <c r="DP22" s="67">
        <f>IFERROR(VLOOKUP($B22,RD[#All],DP$2,0)/DP$1,"")</f>
        <v>1.752808988764045</v>
      </c>
      <c r="DQ22" s="67">
        <f>IFERROR(VLOOKUP($B22,RD[#All],DQ$2,0)/DQ$1,"")</f>
        <v>1.7444860590928006</v>
      </c>
      <c r="DR22" s="67">
        <f>IFERROR(VLOOKUP($B22,RD[#All],DR$2,0)/DR$1,"")</f>
        <v>1.7932584269662921</v>
      </c>
      <c r="DS22" s="67">
        <f>IFERROR(VLOOKUP($B22,RD[#All],DS$2,0)/DS$1,"")</f>
        <v>1.7580524344569288</v>
      </c>
      <c r="DT22" s="67">
        <f>IFERROR(VLOOKUP($B22,RD[#All],DT$2,0)/DT$1,"")</f>
        <v>1.7428214731585518</v>
      </c>
      <c r="DU22" s="67">
        <f>IFERROR(VLOOKUP($B22,RD[#All],DU$2,0)/DU$1,"")</f>
        <v>1.7588014981273408</v>
      </c>
      <c r="DV22" s="67">
        <f>IFERROR(VLOOKUP($B22,RD[#All],DV$2,0)/DV$1,"")</f>
        <v>1.7550561797752811</v>
      </c>
      <c r="DW22" s="67">
        <f>IFERROR(VLOOKUP($B22,RD[#All],DW$2,0)/DW$1,"")</f>
        <v>1.7295880149812735</v>
      </c>
      <c r="DX22" s="67">
        <f>IFERROR(VLOOKUP($B22,RD[#All],DX$2,0)/DX$1,"")</f>
        <v>1.7354972950478567</v>
      </c>
      <c r="DY22" s="67">
        <f>IFERROR(VLOOKUP($B22,RD[#All],DY$2,0)/DY$1,"")</f>
        <v>1.7273408239700374</v>
      </c>
      <c r="DZ22" s="67">
        <f>IFERROR(VLOOKUP($B22,RD[#All],DZ$2,0)/DZ$1,"")</f>
        <v>1.7857677902621722</v>
      </c>
      <c r="EA22" s="67">
        <f>IFERROR(VLOOKUP($B22,RD[#All],EA$2,0)/EA$1,"")</f>
        <v>1.7358302122347065</v>
      </c>
      <c r="EB22" s="67">
        <f>IFERROR(VLOOKUP($B22,RD[#All],EB$2,0)/EB$1,"")</f>
        <v>1.7275072825634623</v>
      </c>
      <c r="EC22" s="67">
        <f>IFERROR(VLOOKUP($B22,RD[#All],EC$2,0)/EC$1,"")</f>
        <v>1.7510803802938635</v>
      </c>
      <c r="ED22" s="67">
        <f>IFERROR(VLOOKUP($B22,RD[#All],ED$2,0)/ED$1,"")</f>
        <v>1.7621434745030251</v>
      </c>
      <c r="EE22" s="67">
        <f>IFERROR(VLOOKUP($B22,RD[#All],EE$2,0)/EE$1,"")</f>
        <v>1.7531547104580814</v>
      </c>
      <c r="EF22" s="67">
        <f>IFERROR(VLOOKUP($B22,RD[#All],EF$2,0)/EF$1,"")</f>
        <v>1.7213483146067416</v>
      </c>
      <c r="EG22" s="67">
        <f>IFERROR(VLOOKUP($B22,RD[#All],EG$2,0)/EG$1,"")</f>
        <v>1.7241258741258743</v>
      </c>
      <c r="EH22" s="67">
        <f>IFERROR(VLOOKUP($B22,RD[#All],EH$2,0)/EH$1,"")</f>
        <v>1.7255244755244756</v>
      </c>
      <c r="EI22" s="67">
        <f>IFERROR(VLOOKUP($B22,RD[#All],EI$2,0)/EI$1,"")</f>
        <v>1.7716783216783216</v>
      </c>
      <c r="EJ22" s="67">
        <f>IFERROR(VLOOKUP($B22,RD[#All],EJ$2,0)/EJ$1,"")</f>
        <v>1.7202797202797202</v>
      </c>
      <c r="EK22" s="67">
        <f>IFERROR(VLOOKUP($B22,RD[#All],EK$2,0)/EK$1,"")</f>
        <v>1.7679101123595504</v>
      </c>
      <c r="EL22" s="67">
        <f>IFERROR(VLOOKUP($B22,RD[#All],EL$2,0)/EL$1,"")</f>
        <v>1.7752808988764044</v>
      </c>
      <c r="EM22" s="67">
        <f>IFERROR(VLOOKUP($B22,RD[#All],EM$2,0)/EM$1,"")</f>
        <v>1.7375972342264479</v>
      </c>
      <c r="EN22" s="67">
        <f>IFERROR(VLOOKUP($B22,RD[#All],EN$2,0)/EN$1,"")</f>
        <v>1.766637856525497</v>
      </c>
      <c r="EO22" s="67">
        <f>IFERROR(VLOOKUP($B22,RD[#All],EO$2,0)/EO$1,"")</f>
        <v>1.749812734082397</v>
      </c>
      <c r="EP22" s="67">
        <f>IFERROR(VLOOKUP($B22,RD[#All],EP$2,0)/EP$1,"")</f>
        <v>1.7991356957649092</v>
      </c>
      <c r="EQ22" s="67">
        <f>IFERROR(VLOOKUP($B22,RD[#All],EQ$2,0)/EQ$1,"")</f>
        <v>1.749438202247191</v>
      </c>
      <c r="ER22" s="67">
        <f>IFERROR(VLOOKUP($B22,RD[#All],ER$2,0)/ER$1,"")</f>
        <v>1.8164217804667242</v>
      </c>
      <c r="ES22" s="67">
        <f>IFERROR(VLOOKUP($B22,RD[#All],ES$2,0)/ES$1,"")</f>
        <v>1.7273408239700374</v>
      </c>
      <c r="ET22" s="67">
        <f>IFERROR(VLOOKUP($B22,RD[#All],ET$2,0)/ET$1,"")</f>
        <v>1.7458631256384065</v>
      </c>
      <c r="EU22" s="67">
        <f>IFERROR(VLOOKUP($B22,RD[#All],EU$2,0)/EU$1,"")</f>
        <v>1.7586862575626621</v>
      </c>
      <c r="EV22" s="67">
        <f>IFERROR(VLOOKUP($B22,RD[#All],EV$2,0)/EV$1,"")</f>
        <v>1.7621434745030251</v>
      </c>
      <c r="EW22" s="67">
        <f>IFERROR(VLOOKUP($B22,RD[#All],EW$2,0)/EW$1,"")</f>
        <v>1.7707865168539327</v>
      </c>
      <c r="EX22" s="67">
        <f>IFERROR(VLOOKUP($B22,RD[#All],EX$2,0)/EX$1,"")</f>
        <v>1.7640449438202248</v>
      </c>
      <c r="EY22" s="67">
        <f>IFERROR(VLOOKUP($B22,RD[#All],EY$2,0)/EY$1,"")</f>
        <v>1.7344985434873075</v>
      </c>
      <c r="EZ22" s="67">
        <f>IFERROR(VLOOKUP($B22,RD[#All],EZ$2,0)/EZ$1,"")</f>
        <v>1.7805243445692882</v>
      </c>
      <c r="FA22" s="67">
        <f>IFERROR(VLOOKUP($B22,RD[#All],FA$2,0)/FA$1,"")</f>
        <v>1.7726591760299626</v>
      </c>
      <c r="FB22" s="67">
        <f>IFERROR(VLOOKUP($B22,RD[#All],FB$2,0)/FB$1,"")</f>
        <v>1.7797752808988763</v>
      </c>
      <c r="FC22" s="67">
        <f>IFERROR(VLOOKUP($B22,RD[#All],FC$2,0)/FC$1,"")</f>
        <v>1.753183520599251</v>
      </c>
      <c r="FD22" s="67">
        <f>IFERROR(VLOOKUP($B22,RD[#All],FD$2,0)/FD$1,"")</f>
        <v>1.7295880149812735</v>
      </c>
      <c r="FE22" s="67">
        <f>IFERROR(VLOOKUP($B22,RD[#All],FE$2,0)/FE$1,"")</f>
        <v>1.7545454545454544</v>
      </c>
      <c r="FF22" s="67">
        <f>IFERROR(VLOOKUP($B22,RD[#All],FF$2,0)/FF$1,"")</f>
        <v>1.7303030303030305</v>
      </c>
      <c r="FG22" s="67">
        <f>IFERROR(VLOOKUP($B22,RD[#All],FG$2,0)/FG$1,"")</f>
        <v>1.7468013468013466</v>
      </c>
      <c r="FH22" s="67">
        <f>IFERROR(VLOOKUP($B22,RD[#All],FH$2,0)/FH$1,"")</f>
        <v>1.7462121212121211</v>
      </c>
      <c r="FI22" s="67">
        <f>IFERROR(VLOOKUP($B22,RD[#All],FI$2,0)/FI$1,"")</f>
        <v>1.760942760942761</v>
      </c>
      <c r="FJ22" s="67">
        <f>IFERROR(VLOOKUP($B22,RD[#All],FJ$2,0)/FJ$1,"")</f>
        <v>1.7407407407407407</v>
      </c>
      <c r="FK22" s="67">
        <f>IFERROR(VLOOKUP($B22,RD[#All],FK$2,0)/FK$1,"")</f>
        <v>1.7781144781144782</v>
      </c>
      <c r="FL22" s="67">
        <f>IFERROR(VLOOKUP($B22,RD[#All],FL$2,0)/FL$1,"")</f>
        <v>1.7665454545454546</v>
      </c>
      <c r="FM22" s="67">
        <f>IFERROR(VLOOKUP($B22,RD[#All],FM$2,0)/FM$1,"")</f>
        <v>1.750378787878788</v>
      </c>
      <c r="FN22" s="67">
        <f>IFERROR(VLOOKUP($B22,RD[#All],FN$2,0)/FN$1,"")</f>
        <v>1.7215488215488215</v>
      </c>
      <c r="FO22" s="67">
        <f>IFERROR(VLOOKUP($B22,RD[#All],FO$2,0)/FO$1,"")</f>
        <v>1.7518939393939394</v>
      </c>
      <c r="FP22" s="67">
        <f>IFERROR(VLOOKUP($B22,RD[#All],FP$2,0)/FP$1,"")</f>
        <v>1.7465454545454546</v>
      </c>
      <c r="FQ22" s="67">
        <f>IFERROR(VLOOKUP($B22,RD[#All],FQ$2,0)/FQ$1,"")</f>
        <v>1.7967272727272727</v>
      </c>
      <c r="FR22" s="67">
        <f>IFERROR(VLOOKUP($B22,RD[#All],FR$2,0)/FR$1,"")</f>
        <v>1.7396363636363636</v>
      </c>
      <c r="FS22" s="67">
        <f>IFERROR(VLOOKUP($B22,RD[#All],FS$2,0)/FS$1,"")</f>
        <v>1.734006734006734</v>
      </c>
      <c r="FT22" s="67">
        <f>IFERROR(VLOOKUP($B22,RD[#All],FT$2,0)/FT$1,"")</f>
        <v>1.7476363636363637</v>
      </c>
      <c r="FU22" s="67">
        <f>IFERROR(VLOOKUP($B22,RD[#All],FU$2,0)/FU$1,"")</f>
        <v>1.7824915824915823</v>
      </c>
      <c r="FV22" s="67">
        <f>IFERROR(VLOOKUP($B22,RD[#All],FV$2,0)/FV$1,"")</f>
        <v>1.7367424242424243</v>
      </c>
      <c r="FW22" s="67">
        <f>IFERROR(VLOOKUP($B22,RD[#All],FW$2,0)/FW$1,"")</f>
        <v>1.731060606060606</v>
      </c>
      <c r="FX22" s="67">
        <f>IFERROR(VLOOKUP($B22,RD[#All],FX$2,0)/FX$1,"")</f>
        <v>1.7363636363636363</v>
      </c>
      <c r="FY22" s="67">
        <f>IFERROR(VLOOKUP($B22,RD[#All],FY$2,0)/FY$1,"")</f>
        <v>1.7400673400673399</v>
      </c>
      <c r="FZ22" s="67">
        <f>IFERROR(VLOOKUP($B22,RD[#All],FZ$2,0)/FZ$1,"")</f>
        <v>1.7234848484848484</v>
      </c>
      <c r="GA22" s="67">
        <f>IFERROR(VLOOKUP($B22,RD[#All],GA$2,0)/GA$1,"")</f>
        <v>1.7937062937062938</v>
      </c>
      <c r="GB22" s="67">
        <f>IFERROR(VLOOKUP($B22,RD[#All],GB$2,0)/GB$1,"")</f>
        <v>1.7427609427609427</v>
      </c>
      <c r="GC22" s="67">
        <f>IFERROR(VLOOKUP($B22,RD[#All],GC$2,0)/GC$1,"")</f>
        <v>1.7208754208754209</v>
      </c>
      <c r="GD22" s="67">
        <f>IFERROR(VLOOKUP($B22,RD[#All],GD$2,0)/GD$1,"")</f>
        <v>1.776</v>
      </c>
      <c r="GE22" s="67">
        <f>IFERROR(VLOOKUP($B22,RD[#All],GE$2,0)/GE$1,"")</f>
        <v>1.7975524475524476</v>
      </c>
      <c r="GF22" s="67">
        <f>IFERROR(VLOOKUP($B22,RD[#All],GF$2,0)/GF$1,"")</f>
        <v>1.7306397306397305</v>
      </c>
      <c r="GG22" s="67">
        <f>IFERROR(VLOOKUP($B22,RD[#All],GG$2,0)/GG$1,"")</f>
        <v>1.730909090909091</v>
      </c>
      <c r="GH22" s="67">
        <f>IFERROR(VLOOKUP($B22,RD[#All],GH$2,0)/GH$1,"")</f>
        <v>1.6181818181818182</v>
      </c>
      <c r="GI22" s="67">
        <f>IFERROR(VLOOKUP($B22,RD[#All],GI$2,0)/GI$1,"")</f>
        <v>1.7636363636363637</v>
      </c>
      <c r="GJ22" s="67">
        <f>IFERROR(VLOOKUP($B22,RD[#All],GJ$2,0)/GJ$1,"")</f>
        <v>1.7797202797202798</v>
      </c>
      <c r="GK22" s="67">
        <f>IFERROR(VLOOKUP($B22,RD[#All],GK$2,0)/GK$1,"")</f>
        <v>1.768939393939394</v>
      </c>
      <c r="GL22" s="67">
        <f>IFERROR(VLOOKUP($B22,RD[#All],GL$2,0)/GL$1,"")</f>
        <v>1.7462121212121211</v>
      </c>
      <c r="GM22" s="67">
        <f>IFERROR(VLOOKUP($B22,RD[#All],GM$2,0)/GM$1,"")</f>
        <v>1.7840909090909092</v>
      </c>
      <c r="GN22" s="67">
        <f>IFERROR(VLOOKUP($B22,RD[#All],GN$2,0)/GN$1,"")</f>
        <v>1.7348484848484849</v>
      </c>
      <c r="GO22" s="67">
        <f>IFERROR(VLOOKUP($B22,RD[#All],GO$2,0)/GO$1,"")</f>
        <v>1.7537878787878789</v>
      </c>
      <c r="GP22" s="67">
        <f>IFERROR(VLOOKUP($B22,RD[#All],GP$2,0)/GP$1,"")</f>
        <v>1.7613636363636365</v>
      </c>
      <c r="GQ22" s="67">
        <f>IFERROR(VLOOKUP($B22,RD[#All],GQ$2,0)/GQ$1,"")</f>
        <v>1.7863636363636364</v>
      </c>
      <c r="GR22" s="67">
        <f>IFERROR(VLOOKUP($B22,RD[#All],GR$2,0)/GR$1,"")</f>
        <v>1.7367424242424243</v>
      </c>
      <c r="GS22" s="67" t="str">
        <f>IFERROR(VLOOKUP($B22,RD[#All],GS$2,0)/GS$1,"")</f>
        <v/>
      </c>
      <c r="GT22" s="67" t="str">
        <f>IFERROR(VLOOKUP($B22,RD[#All],GT$2,0)/GT$1,"")</f>
        <v/>
      </c>
      <c r="GU22" s="67">
        <f>IFERROR(VLOOKUP($B22,RD[#All],GU$2,0)/GU$1,"")</f>
        <v>1.8597185576077395</v>
      </c>
      <c r="GV22" s="67">
        <f>IFERROR(VLOOKUP($B22,RD[#All],GV$2,0)/GV$1,"")</f>
        <v>1.7536117677961651</v>
      </c>
      <c r="GW22" s="67">
        <f>IFERROR(VLOOKUP($B22,RD[#All],GW$2,0)/GW$1,"")</f>
        <v>1.7509238728750922</v>
      </c>
      <c r="GX22" s="67" t="str">
        <f>IFERROR(VLOOKUP($B22,RD[#All],GX$2,0)/GX$1,"")</f>
        <v/>
      </c>
      <c r="GY22" s="67">
        <f>IFERROR(VLOOKUP($B22,RD[#All],GY$2,0)/GY$1,"")</f>
        <v>1.7498291182501708</v>
      </c>
      <c r="GZ22" s="67">
        <f>IFERROR(VLOOKUP($B22,RD[#All],GZ$2,0)/GZ$1,"")</f>
        <v>1.7490636704119851</v>
      </c>
      <c r="HA22" s="67">
        <f>IFERROR(VLOOKUP($B22,RD[#All],HA$2,0)/HA$1,"")</f>
        <v>1.7378277153558053</v>
      </c>
      <c r="HB22" s="67">
        <f>IFERROR(VLOOKUP($B22,RD[#All],HB$2,0)/HB$1,"")</f>
        <v>1.7453183520599251</v>
      </c>
      <c r="HC22" s="67">
        <f>IFERROR(VLOOKUP($B22,RD[#All],HC$2,0)/HC$1,"")</f>
        <v>1.752808988764045</v>
      </c>
      <c r="HD22" s="67">
        <f>IFERROR(VLOOKUP($B22,RD[#All],HD$2,0)/HD$1,"")</f>
        <v>1.7340823970037453</v>
      </c>
      <c r="HE22" s="67">
        <f>IFERROR(VLOOKUP($B22,RD[#All],HE$2,0)/HE$1,"")</f>
        <v>1.7415730337078652</v>
      </c>
      <c r="HF22" s="67">
        <f>IFERROR(VLOOKUP($B22,RD[#All],HF$2,0)/HF$1,"")</f>
        <v>1.7565543071161049</v>
      </c>
      <c r="HG22" s="67">
        <f>IFERROR(VLOOKUP($B22,RD[#All],HG$2,0)/HG$1,"")</f>
        <v>1.752808988764045</v>
      </c>
      <c r="HH22" s="67">
        <f>IFERROR(VLOOKUP($B22,RD[#All],HH$2,0)/HH$1,"")</f>
        <v>1.7640449438202248</v>
      </c>
      <c r="HI22" s="67">
        <f>IFERROR(VLOOKUP($B22,RD[#All],HI$2,0)/HI$1,"")</f>
        <v>1.7340823970037453</v>
      </c>
      <c r="HJ22" s="67">
        <f>IFERROR(VLOOKUP($B22,RD[#All],HJ$2,0)/HJ$1,"")</f>
        <v>1.7846441947565543</v>
      </c>
      <c r="HK22" s="67">
        <f>IFERROR(VLOOKUP($B22,RD[#All],HK$2,0)/HK$1,"")</f>
        <v>1.7478152309612984</v>
      </c>
      <c r="HL22" s="67">
        <f>IFERROR(VLOOKUP($B22,RD[#All],HL$2,0)/HL$1,"")</f>
        <v>1.8367041198501874</v>
      </c>
      <c r="HM22" s="67">
        <f>IFERROR(VLOOKUP($B22,RD[#All],HM$2,0)/HM$1,"")</f>
        <v>1.798925212718316</v>
      </c>
      <c r="HN22" s="67">
        <f>IFERROR(VLOOKUP($B22,RD[#All],HN$2,0)/HN$1,"")</f>
        <v>1.8750559785042542</v>
      </c>
      <c r="HO22" s="67">
        <f>IFERROR(VLOOKUP($B22,RD[#All],HO$2,0)/HO$1,"")</f>
        <v>1.9049111807732497</v>
      </c>
      <c r="HP22" s="67">
        <f>IFERROR(VLOOKUP($B22,RD[#All],HP$2,0)/HP$1,"")</f>
        <v>1.8539184952978056</v>
      </c>
      <c r="HQ22" s="67">
        <f>IFERROR(VLOOKUP($B22,RD[#All],HQ$2,0)/HQ$1,"")</f>
        <v>1.7493987493987493</v>
      </c>
      <c r="HR22" s="67">
        <f>IFERROR(VLOOKUP($B22,RD[#All],HR$2,0)/HR$1,"")</f>
        <v>1.7698081734778981</v>
      </c>
      <c r="HS22" s="67">
        <f>IFERROR(VLOOKUP($B22,RD[#All],HS$2,0)/HS$1,"")</f>
        <v>1.7937977528089888</v>
      </c>
      <c r="HT22" s="67">
        <f>IFERROR(VLOOKUP($B22,RD[#All],HT$2,0)/HT$1,"")</f>
        <v>1.7811069496462755</v>
      </c>
      <c r="HU22" s="67">
        <f>IFERROR(VLOOKUP($B22,RD[#All],HU$2,0)/HU$1,"")</f>
        <v>1.7327571305099394</v>
      </c>
      <c r="HV22" s="67">
        <f>IFERROR(VLOOKUP($B22,RD[#All],HV$2,0)/HV$1,"")</f>
        <v>1.7344857389801209</v>
      </c>
      <c r="HW22" s="67">
        <f>IFERROR(VLOOKUP($B22,RD[#All],HW$2,0)/HW$1,"")</f>
        <v>1.905258426966292</v>
      </c>
      <c r="HX22" s="67">
        <f>IFERROR(VLOOKUP($B22,RD[#All],HX$2,0)/HX$1,"")</f>
        <v>1.75419187554019</v>
      </c>
      <c r="HY22" s="67">
        <f>IFERROR(VLOOKUP($B22,RD[#All],HY$2,0)/HY$1,"")</f>
        <v>1.7434873075322515</v>
      </c>
      <c r="HZ22" s="67">
        <f>IFERROR(VLOOKUP($B22,RD[#All],HZ$2,0)/HZ$1,"")</f>
        <v>1.7578027465667916</v>
      </c>
      <c r="IA22" s="67">
        <f>IFERROR(VLOOKUP($B22,RD[#All],IA$2,0)/IA$1,"")</f>
        <v>1.7249417249417252</v>
      </c>
      <c r="IB22" s="67">
        <f>IFERROR(VLOOKUP($B22,RD[#All],IB$2,0)/IB$1,"")</f>
        <v>1.7712842712842713</v>
      </c>
      <c r="IC22" s="67">
        <f>IFERROR(VLOOKUP($B22,RD[#All],IC$2,0)/IC$1,"")</f>
        <v>1.7754467754467755</v>
      </c>
      <c r="ID22" s="67">
        <f>IFERROR(VLOOKUP($B22,RD[#All],ID$2,0)/ID$1,"")</f>
        <v>1.7411148522259632</v>
      </c>
      <c r="IE22" s="67">
        <f>IFERROR(VLOOKUP($B22,RD[#All],IE$2,0)/IE$1,"")</f>
        <v>1.7292929292929293</v>
      </c>
      <c r="IF22" s="67" t="str">
        <f>IFERROR(VLOOKUP($B22,RD[#All],IF$2,0)/IF$1,"")</f>
        <v/>
      </c>
      <c r="IG22" s="67">
        <f>IFERROR(VLOOKUP($B22,RD[#All],IG$2,0)/IG$1,"")</f>
        <v>1.79677328049816</v>
      </c>
      <c r="IH22" s="67">
        <f>IFERROR(VLOOKUP($B22,RD[#All],IH$2,0)/IH$1,"")</f>
        <v>1.797979797979798</v>
      </c>
      <c r="II22" s="67">
        <f>IFERROR(VLOOKUP($B22,RD[#All],II$2,0)/II$1,"")</f>
        <v>1.7203980099502487</v>
      </c>
      <c r="IJ22" s="67">
        <f>IFERROR(VLOOKUP($B22,RD[#All],IJ$2,0)/IJ$1,"")</f>
        <v>1.7818930041152263</v>
      </c>
      <c r="IK22" s="67">
        <f>IFERROR(VLOOKUP($B22,RD[#All],IK$2,0)/IK$1,"")</f>
        <v>1.7443667443667445</v>
      </c>
      <c r="IL22" s="67" t="str">
        <f>IFERROR(VLOOKUP($B22,RD[#All],IL$2,0)/IL$1,"")</f>
        <v/>
      </c>
      <c r="IM22" s="67" t="str">
        <f>IFERROR(VLOOKUP($B22,RD[#All],IM$2,0)/IM$1,"")</f>
        <v/>
      </c>
      <c r="IN22" s="67">
        <f>IFERROR(VLOOKUP($B22,RD[#All],IN$2,0)/IN$1,"")</f>
        <v>1.7972831765935213</v>
      </c>
      <c r="IO22" s="67">
        <f>IFERROR(VLOOKUP($B22,RD[#All],IO$2,0)/IO$1,"")</f>
        <v>1.786833855799373</v>
      </c>
      <c r="IP22" s="67">
        <f>IFERROR(VLOOKUP($B22,RD[#All],IP$2,0)/IP$1,"")</f>
        <v>2.0482294155985223</v>
      </c>
      <c r="IQ22" s="67">
        <f>IFERROR(VLOOKUP($B22,RD[#All],IQ$2,0)/IQ$1,"")</f>
        <v>1.7249417249417252</v>
      </c>
      <c r="IR22" s="67">
        <f>IFERROR(VLOOKUP($B22,RD[#All],IR$2,0)/IR$1,"")</f>
        <v>1.7537313432835822</v>
      </c>
      <c r="IS22" s="86">
        <f>IFERROR(AVERAGEIF(Inv_SY_B[[#This Row],[BLK1_INV1]:[BLK8_INV27]],"&gt;"&amp;0.1,Inv_SY_B[[#This Row],[BLK1_INV1]:[BLK8_INV27]]),"")</f>
        <v>1.7609627332877313</v>
      </c>
    </row>
    <row r="23" spans="2:253" x14ac:dyDescent="0.25">
      <c r="B23" s="85">
        <f t="shared" si="0"/>
        <v>45849</v>
      </c>
      <c r="C23" s="67">
        <f>IFERROR(VLOOKUP($B23,RD[#All],C$2,0)/C$1,"")</f>
        <v>4.4926534140017287</v>
      </c>
      <c r="D23" s="67">
        <f>IFERROR(VLOOKUP($B23,RD[#All],D$2,0)/D$1,"")</f>
        <v>4.5766637856525492</v>
      </c>
      <c r="E23" s="67">
        <f>IFERROR(VLOOKUP($B23,RD[#All],E$2,0)/E$1,"")</f>
        <v>4.5689138576779031</v>
      </c>
      <c r="F23" s="67">
        <f>IFERROR(VLOOKUP($B23,RD[#All],F$2,0)/F$1,"")</f>
        <v>4.5730337078651688</v>
      </c>
      <c r="G23" s="67">
        <f>IFERROR(VLOOKUP($B23,RD[#All],G$2,0)/G$1,"")</f>
        <v>4.5496974935177183</v>
      </c>
      <c r="H23" s="67">
        <f>IFERROR(VLOOKUP($B23,RD[#All],H$2,0)/H$1,"")</f>
        <v>4.5400749063670416</v>
      </c>
      <c r="I23" s="67">
        <f>IFERROR(VLOOKUP($B23,RD[#All],I$2,0)/I$1,"")</f>
        <v>4.5419475655430714</v>
      </c>
      <c r="J23" s="67">
        <f>IFERROR(VLOOKUP($B23,RD[#All],J$2,0)/J$1,"")</f>
        <v>4.5655430711610485</v>
      </c>
      <c r="K23" s="67">
        <f>IFERROR(VLOOKUP($B23,RD[#All],K$2,0)/K$1,"")</f>
        <v>4.5457977528089888</v>
      </c>
      <c r="L23" s="67">
        <f>IFERROR(VLOOKUP($B23,RD[#All],L$2,0)/L$1,"")</f>
        <v>4.4994157303370788</v>
      </c>
      <c r="M23" s="67">
        <f>IFERROR(VLOOKUP($B23,RD[#All],M$2,0)/M$1,"")</f>
        <v>4.5419475655430714</v>
      </c>
      <c r="N23" s="67">
        <f>IFERROR(VLOOKUP($B23,RD[#All],N$2,0)/N$1,"")</f>
        <v>4.5505617977528088</v>
      </c>
      <c r="O23" s="67">
        <f>IFERROR(VLOOKUP($B23,RD[#All],O$2,0)/O$1,"")</f>
        <v>4.5655430711610485</v>
      </c>
      <c r="P23" s="67">
        <f>IFERROR(VLOOKUP($B23,RD[#All],P$2,0)/P$1,"")</f>
        <v>4.5883554647599594</v>
      </c>
      <c r="Q23" s="67">
        <f>IFERROR(VLOOKUP($B23,RD[#All],Q$2,0)/Q$1,"")</f>
        <v>4.535955056179775</v>
      </c>
      <c r="R23" s="67">
        <f>IFERROR(VLOOKUP($B23,RD[#All],R$2,0)/R$1,"")</f>
        <v>4.2359550561797752</v>
      </c>
      <c r="S23" s="67">
        <f>IFERROR(VLOOKUP($B23,RD[#All],S$2,0)/S$1,"")</f>
        <v>4.5505617977528088</v>
      </c>
      <c r="T23" s="67">
        <f>IFERROR(VLOOKUP($B23,RD[#All],T$2,0)/T$1,"")</f>
        <v>4.5805243445692883</v>
      </c>
      <c r="U23" s="67">
        <f>IFERROR(VLOOKUP($B23,RD[#All],U$2,0)/U$1,"")</f>
        <v>4.5324114088159035</v>
      </c>
      <c r="V23" s="67">
        <f>IFERROR(VLOOKUP($B23,RD[#All],V$2,0)/V$1,"")</f>
        <v>4.5427830596369922</v>
      </c>
      <c r="W23" s="67">
        <f>IFERROR(VLOOKUP($B23,RD[#All],W$2,0)/W$1,"")</f>
        <v>4.5580524344569291</v>
      </c>
      <c r="X23" s="67">
        <f>IFERROR(VLOOKUP($B23,RD[#All],X$2,0)/X$1,"")</f>
        <v>4.5393258426966296</v>
      </c>
      <c r="Y23" s="67">
        <f>IFERROR(VLOOKUP($B23,RD[#All],Y$2,0)/Y$1,"")</f>
        <v>4.5600691443388071</v>
      </c>
      <c r="Z23" s="67">
        <f>IFERROR(VLOOKUP($B23,RD[#All],Z$2,0)/Z$1,"")</f>
        <v>4.4654182272159799</v>
      </c>
      <c r="AA23" s="67">
        <f>IFERROR(VLOOKUP($B23,RD[#All],AA$2,0)/AA$1,"")</f>
        <v>4.5704407951598967</v>
      </c>
      <c r="AB23" s="67">
        <f>IFERROR(VLOOKUP($B23,RD[#All],AB$2,0)/AB$1,"")</f>
        <v>4.553154710458081</v>
      </c>
      <c r="AC23" s="67">
        <f>IFERROR(VLOOKUP($B23,RD[#All],AC$2,0)/AC$1,"")</f>
        <v>4.5704407951598967</v>
      </c>
      <c r="AD23" s="67">
        <f>IFERROR(VLOOKUP($B23,RD[#All],AD$2,0)/AD$1,"")</f>
        <v>4.4511027881814398</v>
      </c>
      <c r="AE23" s="67">
        <f>IFERROR(VLOOKUP($B23,RD[#All],AE$2,0)/AE$1,"")</f>
        <v>4.4444444444444446</v>
      </c>
      <c r="AF23" s="67">
        <f>IFERROR(VLOOKUP($B23,RD[#All],AF$2,0)/AF$1,"")</f>
        <v>4.4577611319184349</v>
      </c>
      <c r="AG23" s="67">
        <f>IFERROR(VLOOKUP($B23,RD[#All],AG$2,0)/AG$1,"")</f>
        <v>4.4744069912609241</v>
      </c>
      <c r="AH23" s="67">
        <f>IFERROR(VLOOKUP($B23,RD[#All],AH$2,0)/AH$1,"")</f>
        <v>4.4544319600499378</v>
      </c>
      <c r="AI23" s="67">
        <f>IFERROR(VLOOKUP($B23,RD[#All],AI$2,0)/AI$1,"")</f>
        <v>4.492924528301887</v>
      </c>
      <c r="AJ23" s="67">
        <f>IFERROR(VLOOKUP($B23,RD[#All],AJ$2,0)/AJ$1,"")</f>
        <v>4.2732028097444328</v>
      </c>
      <c r="AK23" s="67">
        <f>IFERROR(VLOOKUP($B23,RD[#All],AK$2,0)/AK$1,"")</f>
        <v>4.476779026217228</v>
      </c>
      <c r="AL23" s="67">
        <f>IFERROR(VLOOKUP($B23,RD[#All],AL$2,0)/AL$1,"")</f>
        <v>4.4525593844095015</v>
      </c>
      <c r="AM23" s="67">
        <f>IFERROR(VLOOKUP($B23,RD[#All],AM$2,0)/AM$1,"")</f>
        <v>4.5730337078651688</v>
      </c>
      <c r="AN23" s="67">
        <f>IFERROR(VLOOKUP($B23,RD[#All],AN$2,0)/AN$1,"")</f>
        <v>4.5280898876404496</v>
      </c>
      <c r="AO23" s="67">
        <f>IFERROR(VLOOKUP($B23,RD[#All],AO$2,0)/AO$1,"")</f>
        <v>4.535580524344569</v>
      </c>
      <c r="AP23" s="67">
        <f>IFERROR(VLOOKUP($B23,RD[#All],AP$2,0)/AP$1,"")</f>
        <v>4.4790262172284647</v>
      </c>
      <c r="AQ23" s="67">
        <f>IFERROR(VLOOKUP($B23,RD[#All],AQ$2,0)/AQ$1,"")</f>
        <v>4.4816479400749056</v>
      </c>
      <c r="AR23" s="67">
        <f>IFERROR(VLOOKUP($B23,RD[#All],AR$2,0)/AR$1,"")</f>
        <v>4.5067415730337075</v>
      </c>
      <c r="AS23" s="67">
        <f>IFERROR(VLOOKUP($B23,RD[#All],AS$2,0)/AS$1,"")</f>
        <v>4.5307116104868914</v>
      </c>
      <c r="AT23" s="67">
        <f>IFERROR(VLOOKUP($B23,RD[#All],AT$2,0)/AT$1,"")</f>
        <v>4.4906367041198498</v>
      </c>
      <c r="AU23" s="67">
        <f>IFERROR(VLOOKUP($B23,RD[#All],AU$2,0)/AU$1,"")</f>
        <v>4.5617977528089888</v>
      </c>
      <c r="AV23" s="67">
        <f>IFERROR(VLOOKUP($B23,RD[#All],AV$2,0)/AV$1,"")</f>
        <v>4.5730337078651688</v>
      </c>
      <c r="AW23" s="67">
        <f>IFERROR(VLOOKUP($B23,RD[#All],AW$2,0)/AW$1,"")</f>
        <v>4.4632670700086434</v>
      </c>
      <c r="AX23" s="67">
        <f>IFERROR(VLOOKUP($B23,RD[#All],AX$2,0)/AX$1,"")</f>
        <v>4.535580524344569</v>
      </c>
      <c r="AY23" s="67">
        <f>IFERROR(VLOOKUP($B23,RD[#All],AY$2,0)/AY$1,"")</f>
        <v>4.469213483146067</v>
      </c>
      <c r="AZ23" s="67">
        <f>IFERROR(VLOOKUP($B23,RD[#All],AZ$2,0)/AZ$1,"")</f>
        <v>4.4728089887640445</v>
      </c>
      <c r="BA23" s="67">
        <f>IFERROR(VLOOKUP($B23,RD[#All],BA$2,0)/BA$1,"")</f>
        <v>4.4531835205992509</v>
      </c>
      <c r="BB23" s="67">
        <f>IFERROR(VLOOKUP($B23,RD[#All],BB$2,0)/BB$1,"")</f>
        <v>4.4756554307116101</v>
      </c>
      <c r="BC23" s="67">
        <f>IFERROR(VLOOKUP($B23,RD[#All],BC$2,0)/BC$1,"")</f>
        <v>4.5612983770287139</v>
      </c>
      <c r="BD23" s="67">
        <f>IFERROR(VLOOKUP($B23,RD[#All],BD$2,0)/BD$1,"")</f>
        <v>4.4444444444444446</v>
      </c>
      <c r="BE23" s="67">
        <f>IFERROR(VLOOKUP($B23,RD[#All],BE$2,0)/BE$1,"")</f>
        <v>4.4563526361279173</v>
      </c>
      <c r="BF23" s="67">
        <f>IFERROR(VLOOKUP($B23,RD[#All],BF$2,0)/BF$1,"")</f>
        <v>4.5343320848938831</v>
      </c>
      <c r="BG23" s="67">
        <f>IFERROR(VLOOKUP($B23,RD[#All],BG$2,0)/BG$1,"")</f>
        <v>4.5642946317103616</v>
      </c>
      <c r="BH23" s="67">
        <f>IFERROR(VLOOKUP($B23,RD[#All],BH$2,0)/BH$1,"")</f>
        <v>4.5872659176029957</v>
      </c>
      <c r="BI23" s="67">
        <f>IFERROR(VLOOKUP($B23,RD[#All],BI$2,0)/BI$1,"")</f>
        <v>4.5642946317103616</v>
      </c>
      <c r="BJ23" s="67">
        <f>IFERROR(VLOOKUP($B23,RD[#All],BJ$2,0)/BJ$1,"")</f>
        <v>4.5642946317103616</v>
      </c>
      <c r="BK23" s="67">
        <f>IFERROR(VLOOKUP($B23,RD[#All],BK$2,0)/BK$1,"")</f>
        <v>4.4988764044943821</v>
      </c>
      <c r="BL23" s="67">
        <f>IFERROR(VLOOKUP($B23,RD[#All],BL$2,0)/BL$1,"")</f>
        <v>4.5466711274673806</v>
      </c>
      <c r="BM23" s="67">
        <f>IFERROR(VLOOKUP($B23,RD[#All],BM$2,0)/BM$1,"")</f>
        <v>4.475280898876405</v>
      </c>
      <c r="BN23" s="67">
        <f>IFERROR(VLOOKUP($B23,RD[#All],BN$2,0)/BN$1,"")</f>
        <v>4.5989550679205848</v>
      </c>
      <c r="BO23" s="67">
        <f>IFERROR(VLOOKUP($B23,RD[#All],BO$2,0)/BO$1,"")</f>
        <v>4.6707000864304238</v>
      </c>
      <c r="BP23" s="67">
        <f>IFERROR(VLOOKUP($B23,RD[#All],BP$2,0)/BP$1,"")</f>
        <v>4.6810717372515125</v>
      </c>
      <c r="BQ23" s="67">
        <f>IFERROR(VLOOKUP($B23,RD[#All],BQ$2,0)/BQ$1,"")</f>
        <v>4.7052722558340534</v>
      </c>
      <c r="BR23" s="67">
        <f>IFERROR(VLOOKUP($B23,RD[#All],BR$2,0)/BR$1,"")</f>
        <v>4.6174589455488331</v>
      </c>
      <c r="BS23" s="67">
        <f>IFERROR(VLOOKUP($B23,RD[#All],BS$2,0)/BS$1,"")</f>
        <v>4.8059925093632963</v>
      </c>
      <c r="BT23" s="67">
        <f>IFERROR(VLOOKUP($B23,RD[#All],BT$2,0)/BT$1,"")</f>
        <v>4.8191011235955061</v>
      </c>
      <c r="BU23" s="67">
        <f>IFERROR(VLOOKUP($B23,RD[#All],BU$2,0)/BU$1,"")</f>
        <v>4.7966292134831461</v>
      </c>
      <c r="BV23" s="67">
        <f>IFERROR(VLOOKUP($B23,RD[#All],BV$2,0)/BV$1,"")</f>
        <v>4.7471910112359552</v>
      </c>
      <c r="BW23" s="67">
        <f>IFERROR(VLOOKUP($B23,RD[#All],BW$2,0)/BW$1,"")</f>
        <v>4.5393258426966296</v>
      </c>
      <c r="BX23" s="67">
        <f>IFERROR(VLOOKUP($B23,RD[#All],BX$2,0)/BX$1,"")</f>
        <v>4.7962546816479401</v>
      </c>
      <c r="BY23" s="67">
        <f>IFERROR(VLOOKUP($B23,RD[#All],BY$2,0)/BY$1,"")</f>
        <v>4.7850187265917601</v>
      </c>
      <c r="BZ23" s="67">
        <f>IFERROR(VLOOKUP($B23,RD[#All],BZ$2,0)/BZ$1,"")</f>
        <v>4.7440699126092385</v>
      </c>
      <c r="CA23" s="67">
        <f>IFERROR(VLOOKUP($B23,RD[#All],CA$2,0)/CA$1,"")</f>
        <v>4.8236371202663344</v>
      </c>
      <c r="CB23" s="67">
        <f>IFERROR(VLOOKUP($B23,RD[#All],CB$2,0)/CB$1,"")</f>
        <v>4.8191011235955061</v>
      </c>
      <c r="CC23" s="67">
        <f>IFERROR(VLOOKUP($B23,RD[#All],CC$2,0)/CC$1,"")</f>
        <v>4.8198501872659181</v>
      </c>
      <c r="CD23" s="67">
        <f>IFERROR(VLOOKUP($B23,RD[#All],CD$2,0)/CD$1,"")</f>
        <v>4.8376836646499566</v>
      </c>
      <c r="CE23" s="67">
        <f>IFERROR(VLOOKUP($B23,RD[#All],CE$2,0)/CE$1,"")</f>
        <v>4.7419475655430707</v>
      </c>
      <c r="CF23" s="67">
        <f>IFERROR(VLOOKUP($B23,RD[#All],CF$2,0)/CF$1,"")</f>
        <v>4.7958801498127341</v>
      </c>
      <c r="CG23" s="67">
        <f>IFERROR(VLOOKUP($B23,RD[#All],CG$2,0)/CG$1,"")</f>
        <v>4.7479400749063672</v>
      </c>
      <c r="CH23" s="67">
        <f>IFERROR(VLOOKUP($B23,RD[#All],CH$2,0)/CH$1,"")</f>
        <v>4.6329588014981278</v>
      </c>
      <c r="CI23" s="67">
        <f>IFERROR(VLOOKUP($B23,RD[#All],CI$2,0)/CI$1,"")</f>
        <v>4.7322097378277155</v>
      </c>
      <c r="CJ23" s="67">
        <f>IFERROR(VLOOKUP($B23,RD[#All],CJ$2,0)/CJ$1,"")</f>
        <v>4.7760299625468168</v>
      </c>
      <c r="CK23" s="67">
        <f>IFERROR(VLOOKUP($B23,RD[#All],CK$2,0)/CK$1,"")</f>
        <v>4.6588014981273416</v>
      </c>
      <c r="CL23" s="67">
        <f>IFERROR(VLOOKUP($B23,RD[#All],CL$2,0)/CL$1,"")</f>
        <v>4.6288389513108621</v>
      </c>
      <c r="CM23" s="67">
        <f>IFERROR(VLOOKUP($B23,RD[#All],CM$2,0)/CM$1,"")</f>
        <v>4.6779026217228461</v>
      </c>
      <c r="CN23" s="67">
        <f>IFERROR(VLOOKUP($B23,RD[#All],CN$2,0)/CN$1,"")</f>
        <v>4.6423220973782771</v>
      </c>
      <c r="CO23" s="67">
        <f>IFERROR(VLOOKUP($B23,RD[#All],CO$2,0)/CO$1,"")</f>
        <v>4.586786516853933</v>
      </c>
      <c r="CP23" s="67">
        <f>IFERROR(VLOOKUP($B23,RD[#All],CP$2,0)/CP$1,"")</f>
        <v>4.6447709593777011</v>
      </c>
      <c r="CQ23" s="67">
        <f>IFERROR(VLOOKUP($B23,RD[#All],CQ$2,0)/CQ$1,"")</f>
        <v>4.6104868913857677</v>
      </c>
      <c r="CR23" s="67">
        <f>IFERROR(VLOOKUP($B23,RD[#All],CR$2,0)/CR$1,"")</f>
        <v>4.595505617977528</v>
      </c>
      <c r="CS23" s="67">
        <f>IFERROR(VLOOKUP($B23,RD[#All],CS$2,0)/CS$1,"")</f>
        <v>4.6352059925093627</v>
      </c>
      <c r="CT23" s="67">
        <f>IFERROR(VLOOKUP($B23,RD[#All],CT$2,0)/CT$1,"")</f>
        <v>4.6029962546816483</v>
      </c>
      <c r="CU23" s="67">
        <f>IFERROR(VLOOKUP($B23,RD[#All],CU$2,0)/CU$1,"")</f>
        <v>4.6254681647940075</v>
      </c>
      <c r="CV23" s="67">
        <f>IFERROR(VLOOKUP($B23,RD[#All],CV$2,0)/CV$1,"")</f>
        <v>4.5880149812734086</v>
      </c>
      <c r="CW23" s="67">
        <f>IFERROR(VLOOKUP($B23,RD[#All],CW$2,0)/CW$1,"")</f>
        <v>4.6441947565543069</v>
      </c>
      <c r="CX23" s="67">
        <f>IFERROR(VLOOKUP($B23,RD[#All],CX$2,0)/CX$1,"")</f>
        <v>4.606741573033708</v>
      </c>
      <c r="CY23" s="67">
        <f>IFERROR(VLOOKUP($B23,RD[#All],CY$2,0)/CY$1,"")</f>
        <v>4.5992509363295877</v>
      </c>
      <c r="CZ23" s="67">
        <f>IFERROR(VLOOKUP($B23,RD[#All],CZ$2,0)/CZ$1,"")</f>
        <v>4.5655430711610485</v>
      </c>
      <c r="DA23" s="67">
        <f>IFERROR(VLOOKUP($B23,RD[#All],DA$2,0)/DA$1,"")</f>
        <v>4.5505617977528088</v>
      </c>
      <c r="DB23" s="67">
        <f>IFERROR(VLOOKUP($B23,RD[#All],DB$2,0)/DB$1,"")</f>
        <v>4.535580524344569</v>
      </c>
      <c r="DC23" s="67">
        <f>IFERROR(VLOOKUP($B23,RD[#All],DC$2,0)/DC$1,"")</f>
        <v>4.6129005409904282</v>
      </c>
      <c r="DD23" s="67">
        <f>IFERROR(VLOOKUP($B23,RD[#All],DD$2,0)/DD$1,"")</f>
        <v>4.606741573033708</v>
      </c>
      <c r="DE23" s="67">
        <f>IFERROR(VLOOKUP($B23,RD[#All],DE$2,0)/DE$1,"")</f>
        <v>4.5975863503953391</v>
      </c>
      <c r="DF23" s="67">
        <f>IFERROR(VLOOKUP($B23,RD[#All],DF$2,0)/DF$1,"")</f>
        <v>4.6186015389762467</v>
      </c>
      <c r="DG23" s="67">
        <f>IFERROR(VLOOKUP($B23,RD[#All],DG$2,0)/DG$1,"")</f>
        <v>4.7033707865168539</v>
      </c>
      <c r="DH23" s="67">
        <f>IFERROR(VLOOKUP($B23,RD[#All],DH$2,0)/DH$1,"")</f>
        <v>4.7091136079900124</v>
      </c>
      <c r="DI23" s="67">
        <f>IFERROR(VLOOKUP($B23,RD[#All],DI$2,0)/DI$1,"")</f>
        <v>4.6361279170267933</v>
      </c>
      <c r="DJ23" s="67">
        <f>IFERROR(VLOOKUP($B23,RD[#All],DJ$2,0)/DJ$1,"")</f>
        <v>4.7336214347450305</v>
      </c>
      <c r="DK23" s="67">
        <f>IFERROR(VLOOKUP($B23,RD[#All],DK$2,0)/DK$1,"")</f>
        <v>4.6818143986683314</v>
      </c>
      <c r="DL23" s="67">
        <f>IFERROR(VLOOKUP($B23,RD[#All],DL$2,0)/DL$1,"")</f>
        <v>4.7384103204327923</v>
      </c>
      <c r="DM23" s="67">
        <f>IFERROR(VLOOKUP($B23,RD[#All],DM$2,0)/DM$1,"")</f>
        <v>4.5393258426966296</v>
      </c>
      <c r="DN23" s="67">
        <f>IFERROR(VLOOKUP($B23,RD[#All],DN$2,0)/DN$1,"")</f>
        <v>4.7037453183520599</v>
      </c>
      <c r="DO23" s="67">
        <f>IFERROR(VLOOKUP($B23,RD[#All],DO$2,0)/DO$1,"")</f>
        <v>4.4553362328537975</v>
      </c>
      <c r="DP23" s="67">
        <f>IFERROR(VLOOKUP($B23,RD[#All],DP$2,0)/DP$1,"")</f>
        <v>4.4710778193924261</v>
      </c>
      <c r="DQ23" s="67">
        <f>IFERROR(VLOOKUP($B23,RD[#All],DQ$2,0)/DQ$1,"")</f>
        <v>4.6315439034540162</v>
      </c>
      <c r="DR23" s="67">
        <f>IFERROR(VLOOKUP($B23,RD[#All],DR$2,0)/DR$1,"")</f>
        <v>4.6490636704119845</v>
      </c>
      <c r="DS23" s="67">
        <f>IFERROR(VLOOKUP($B23,RD[#All],DS$2,0)/DS$1,"")</f>
        <v>4.6022471910112355</v>
      </c>
      <c r="DT23" s="67">
        <f>IFERROR(VLOOKUP($B23,RD[#All],DT$2,0)/DT$1,"")</f>
        <v>4.4677486475239281</v>
      </c>
      <c r="DU23" s="67">
        <f>IFERROR(VLOOKUP($B23,RD[#All],DU$2,0)/DU$1,"")</f>
        <v>4.5676238035788597</v>
      </c>
      <c r="DV23" s="67">
        <f>IFERROR(VLOOKUP($B23,RD[#All],DV$2,0)/DV$1,"")</f>
        <v>4.4936329588014976</v>
      </c>
      <c r="DW23" s="67">
        <f>IFERROR(VLOOKUP($B23,RD[#All],DW$2,0)/DW$1,"")</f>
        <v>4.594756554307116</v>
      </c>
      <c r="DX23" s="67">
        <f>IFERROR(VLOOKUP($B23,RD[#All],DX$2,0)/DX$1,"")</f>
        <v>4.6734914689970868</v>
      </c>
      <c r="DY23" s="67">
        <f>IFERROR(VLOOKUP($B23,RD[#All],DY$2,0)/DY$1,"")</f>
        <v>4.2808988764044944</v>
      </c>
      <c r="DZ23" s="67">
        <f>IFERROR(VLOOKUP($B23,RD[#All],DZ$2,0)/DZ$1,"")</f>
        <v>4.2636704119850188</v>
      </c>
      <c r="EA23" s="67">
        <f>IFERROR(VLOOKUP($B23,RD[#All],EA$2,0)/EA$1,"")</f>
        <v>4.2979608822305453</v>
      </c>
      <c r="EB23" s="67">
        <f>IFERROR(VLOOKUP($B23,RD[#All],EB$2,0)/EB$1,"")</f>
        <v>4.2913025384935501</v>
      </c>
      <c r="EC23" s="67">
        <f>IFERROR(VLOOKUP($B23,RD[#All],EC$2,0)/EC$1,"")</f>
        <v>4.2662057044079518</v>
      </c>
      <c r="ED23" s="67">
        <f>IFERROR(VLOOKUP($B23,RD[#All],ED$2,0)/ED$1,"")</f>
        <v>4.3284356093344858</v>
      </c>
      <c r="EE23" s="67">
        <f>IFERROR(VLOOKUP($B23,RD[#All],EE$2,0)/EE$1,"")</f>
        <v>4.342264477095938</v>
      </c>
      <c r="EF23" s="67">
        <f>IFERROR(VLOOKUP($B23,RD[#All],EF$2,0)/EF$1,"")</f>
        <v>4.2655771195097039</v>
      </c>
      <c r="EG23" s="67">
        <f>IFERROR(VLOOKUP($B23,RD[#All],EG$2,0)/EG$1,"")</f>
        <v>4.2622377622377625</v>
      </c>
      <c r="EH23" s="67">
        <f>IFERROR(VLOOKUP($B23,RD[#All],EH$2,0)/EH$1,"")</f>
        <v>4.27972027972028</v>
      </c>
      <c r="EI23" s="67">
        <f>IFERROR(VLOOKUP($B23,RD[#All],EI$2,0)/EI$1,"")</f>
        <v>4.2377622377622375</v>
      </c>
      <c r="EJ23" s="67">
        <f>IFERROR(VLOOKUP($B23,RD[#All],EJ$2,0)/EJ$1,"")</f>
        <v>4.2937062937062933</v>
      </c>
      <c r="EK23" s="67">
        <f>IFERROR(VLOOKUP($B23,RD[#All],EK$2,0)/EK$1,"")</f>
        <v>4.3110112359550561</v>
      </c>
      <c r="EL23" s="67">
        <f>IFERROR(VLOOKUP($B23,RD[#All],EL$2,0)/EL$1,"")</f>
        <v>4.2771535580524347</v>
      </c>
      <c r="EM23" s="67">
        <f>IFERROR(VLOOKUP($B23,RD[#All],EM$2,0)/EM$1,"")</f>
        <v>4.342264477095938</v>
      </c>
      <c r="EN23" s="67">
        <f>IFERROR(VLOOKUP($B23,RD[#All],EN$2,0)/EN$1,"")</f>
        <v>4.1936041486603282</v>
      </c>
      <c r="EO23" s="67">
        <f>IFERROR(VLOOKUP($B23,RD[#All],EO$2,0)/EO$1,"")</f>
        <v>4.2771535580524347</v>
      </c>
      <c r="EP23" s="67">
        <f>IFERROR(VLOOKUP($B23,RD[#All],EP$2,0)/EP$1,"")</f>
        <v>4.248919619706137</v>
      </c>
      <c r="EQ23" s="67">
        <f>IFERROR(VLOOKUP($B23,RD[#All],EQ$2,0)/EQ$1,"")</f>
        <v>4.2397003745318349</v>
      </c>
      <c r="ER23" s="67">
        <f>IFERROR(VLOOKUP($B23,RD[#All],ER$2,0)/ER$1,"")</f>
        <v>4.342264477095938</v>
      </c>
      <c r="ES23" s="67">
        <f>IFERROR(VLOOKUP($B23,RD[#All],ES$2,0)/ES$1,"")</f>
        <v>4.3295880149812733</v>
      </c>
      <c r="ET23" s="67">
        <f>IFERROR(VLOOKUP($B23,RD[#All],ET$2,0)/ET$1,"")</f>
        <v>4.3105209397344231</v>
      </c>
      <c r="EU23" s="67">
        <f>IFERROR(VLOOKUP($B23,RD[#All],EU$2,0)/EU$1,"")</f>
        <v>4.2938634399308553</v>
      </c>
      <c r="EV23" s="67">
        <f>IFERROR(VLOOKUP($B23,RD[#All],EV$2,0)/EV$1,"")</f>
        <v>4.2834917891097666</v>
      </c>
      <c r="EW23" s="67">
        <f>IFERROR(VLOOKUP($B23,RD[#All],EW$2,0)/EW$1,"")</f>
        <v>4.3007778738115814</v>
      </c>
      <c r="EX23" s="67">
        <f>IFERROR(VLOOKUP($B23,RD[#All],EX$2,0)/EX$1,"")</f>
        <v>4.1985018726591763</v>
      </c>
      <c r="EY23" s="67">
        <f>IFERROR(VLOOKUP($B23,RD[#All],EY$2,0)/EY$1,"")</f>
        <v>3.7686225551394092</v>
      </c>
      <c r="EZ23" s="67">
        <f>IFERROR(VLOOKUP($B23,RD[#All],EZ$2,0)/EZ$1,"")</f>
        <v>4.2284644194756558</v>
      </c>
      <c r="FA23" s="67">
        <f>IFERROR(VLOOKUP($B23,RD[#All],FA$2,0)/FA$1,"")</f>
        <v>4.213483146067416</v>
      </c>
      <c r="FB23" s="67">
        <f>IFERROR(VLOOKUP($B23,RD[#All],FB$2,0)/FB$1,"")</f>
        <v>4.1985018726591763</v>
      </c>
      <c r="FC23" s="67">
        <f>IFERROR(VLOOKUP($B23,RD[#All],FC$2,0)/FC$1,"")</f>
        <v>4.2471910112359552</v>
      </c>
      <c r="FD23" s="67">
        <f>IFERROR(VLOOKUP($B23,RD[#All],FD$2,0)/FD$1,"")</f>
        <v>4.2209737827715355</v>
      </c>
      <c r="FE23" s="67">
        <f>IFERROR(VLOOKUP($B23,RD[#All],FE$2,0)/FE$1,"")</f>
        <v>4.625</v>
      </c>
      <c r="FF23" s="67">
        <f>IFERROR(VLOOKUP($B23,RD[#All],FF$2,0)/FF$1,"")</f>
        <v>4.6136363636363633</v>
      </c>
      <c r="FG23" s="67">
        <f>IFERROR(VLOOKUP($B23,RD[#All],FG$2,0)/FG$1,"")</f>
        <v>4.5218855218855216</v>
      </c>
      <c r="FH23" s="67">
        <f>IFERROR(VLOOKUP($B23,RD[#All],FH$2,0)/FH$1,"")</f>
        <v>4.461363636363636</v>
      </c>
      <c r="FI23" s="67">
        <f>IFERROR(VLOOKUP($B23,RD[#All],FI$2,0)/FI$1,"")</f>
        <v>4.4478114478114481</v>
      </c>
      <c r="FJ23" s="67">
        <f>IFERROR(VLOOKUP($B23,RD[#All],FJ$2,0)/FJ$1,"")</f>
        <v>4.5212121212121215</v>
      </c>
      <c r="FK23" s="67">
        <f>IFERROR(VLOOKUP($B23,RD[#All],FK$2,0)/FK$1,"")</f>
        <v>4.5824915824915822</v>
      </c>
      <c r="FL23" s="67">
        <f>IFERROR(VLOOKUP($B23,RD[#All],FL$2,0)/FL$1,"")</f>
        <v>4.5334545454545454</v>
      </c>
      <c r="FM23" s="67">
        <f>IFERROR(VLOOKUP($B23,RD[#All],FM$2,0)/FM$1,"")</f>
        <v>4.625</v>
      </c>
      <c r="FN23" s="67">
        <f>IFERROR(VLOOKUP($B23,RD[#All],FN$2,0)/FN$1,"")</f>
        <v>4.4848484848484844</v>
      </c>
      <c r="FO23" s="67">
        <f>IFERROR(VLOOKUP($B23,RD[#All],FO$2,0)/FO$1,"")</f>
        <v>4.5946969696969697</v>
      </c>
      <c r="FP23" s="67">
        <f>IFERROR(VLOOKUP($B23,RD[#All],FP$2,0)/FP$1,"")</f>
        <v>4.6123636363636367</v>
      </c>
      <c r="FQ23" s="67">
        <f>IFERROR(VLOOKUP($B23,RD[#All],FQ$2,0)/FQ$1,"")</f>
        <v>4.5949090909090904</v>
      </c>
      <c r="FR23" s="67">
        <f>IFERROR(VLOOKUP($B23,RD[#All],FR$2,0)/FR$1,"")</f>
        <v>4.6407272727272728</v>
      </c>
      <c r="FS23" s="67">
        <f>IFERROR(VLOOKUP($B23,RD[#All],FS$2,0)/FS$1,"")</f>
        <v>4.382491582491582</v>
      </c>
      <c r="FT23" s="67">
        <f>IFERROR(VLOOKUP($B23,RD[#All],FT$2,0)/FT$1,"")</f>
        <v>4.6581818181818182</v>
      </c>
      <c r="FU23" s="67">
        <f>IFERROR(VLOOKUP($B23,RD[#All],FU$2,0)/FU$1,"")</f>
        <v>4.6498316498316496</v>
      </c>
      <c r="FV23" s="67">
        <f>IFERROR(VLOOKUP($B23,RD[#All],FV$2,0)/FV$1,"")</f>
        <v>4.5249999999999995</v>
      </c>
      <c r="FW23" s="67">
        <f>IFERROR(VLOOKUP($B23,RD[#All],FW$2,0)/FW$1,"")</f>
        <v>4.5378787878787881</v>
      </c>
      <c r="FX23" s="67">
        <f>IFERROR(VLOOKUP($B23,RD[#All],FX$2,0)/FX$1,"")</f>
        <v>4.5909090909090908</v>
      </c>
      <c r="FY23" s="67">
        <f>IFERROR(VLOOKUP($B23,RD[#All],FY$2,0)/FY$1,"")</f>
        <v>4.4915824915824913</v>
      </c>
      <c r="FZ23" s="67">
        <f>IFERROR(VLOOKUP($B23,RD[#All],FZ$2,0)/FZ$1,"")</f>
        <v>4.5303030303030303</v>
      </c>
      <c r="GA23" s="67">
        <f>IFERROR(VLOOKUP($B23,RD[#All],GA$2,0)/GA$1,"")</f>
        <v>4.4790209790209792</v>
      </c>
      <c r="GB23" s="67">
        <f>IFERROR(VLOOKUP($B23,RD[#All],GB$2,0)/GB$1,"")</f>
        <v>4.4545454545454541</v>
      </c>
      <c r="GC23" s="67">
        <f>IFERROR(VLOOKUP($B23,RD[#All],GC$2,0)/GC$1,"")</f>
        <v>4.4747474747474749</v>
      </c>
      <c r="GD23" s="67">
        <f>IFERROR(VLOOKUP($B23,RD[#All],GD$2,0)/GD$1,"")</f>
        <v>4.581818181818182</v>
      </c>
      <c r="GE23" s="67">
        <f>IFERROR(VLOOKUP($B23,RD[#All],GE$2,0)/GE$1,"")</f>
        <v>4.4895104895104891</v>
      </c>
      <c r="GF23" s="67">
        <f>IFERROR(VLOOKUP($B23,RD[#All],GF$2,0)/GF$1,"")</f>
        <v>4.4579124579124576</v>
      </c>
      <c r="GG23" s="67">
        <f>IFERROR(VLOOKUP($B23,RD[#All],GG$2,0)/GG$1,"")</f>
        <v>4.5490909090909089</v>
      </c>
      <c r="GH23" s="67">
        <f>IFERROR(VLOOKUP($B23,RD[#All],GH$2,0)/GH$1,"")</f>
        <v>4.6719999999999997</v>
      </c>
      <c r="GI23" s="67">
        <f>IFERROR(VLOOKUP($B23,RD[#All],GI$2,0)/GI$1,"")</f>
        <v>4.2581818181818178</v>
      </c>
      <c r="GJ23" s="67">
        <f>IFERROR(VLOOKUP($B23,RD[#All],GJ$2,0)/GJ$1,"")</f>
        <v>4.2377622377622375</v>
      </c>
      <c r="GK23" s="67">
        <f>IFERROR(VLOOKUP($B23,RD[#All],GK$2,0)/GK$1,"")</f>
        <v>4.5909090909090908</v>
      </c>
      <c r="GL23" s="67">
        <f>IFERROR(VLOOKUP($B23,RD[#All],GL$2,0)/GL$1,"")</f>
        <v>4.5227272727272725</v>
      </c>
      <c r="GM23" s="67">
        <f>IFERROR(VLOOKUP($B23,RD[#All],GM$2,0)/GM$1,"")</f>
        <v>4.5606060606060606</v>
      </c>
      <c r="GN23" s="67">
        <f>IFERROR(VLOOKUP($B23,RD[#All],GN$2,0)/GN$1,"")</f>
        <v>4.5340909090909092</v>
      </c>
      <c r="GO23" s="67">
        <f>IFERROR(VLOOKUP($B23,RD[#All],GO$2,0)/GO$1,"")</f>
        <v>4.5496212121212114</v>
      </c>
      <c r="GP23" s="67">
        <f>IFERROR(VLOOKUP($B23,RD[#All],GP$2,0)/GP$1,"")</f>
        <v>4.6325757575757578</v>
      </c>
      <c r="GQ23" s="67">
        <f>IFERROR(VLOOKUP($B23,RD[#All],GQ$2,0)/GQ$1,"")</f>
        <v>4.5181818181818185</v>
      </c>
      <c r="GR23" s="67">
        <f>IFERROR(VLOOKUP($B23,RD[#All],GR$2,0)/GR$1,"")</f>
        <v>4.5685606060606059</v>
      </c>
      <c r="GS23" s="67" t="str">
        <f>IFERROR(VLOOKUP($B23,RD[#All],GS$2,0)/GS$1,"")</f>
        <v/>
      </c>
      <c r="GT23" s="67" t="str">
        <f>IFERROR(VLOOKUP($B23,RD[#All],GT$2,0)/GT$1,"")</f>
        <v/>
      </c>
      <c r="GU23" s="67">
        <f>IFERROR(VLOOKUP($B23,RD[#All],GU$2,0)/GU$1,"")</f>
        <v>4.8553210202286712</v>
      </c>
      <c r="GV23" s="67">
        <f>IFERROR(VLOOKUP($B23,RD[#All],GV$2,0)/GV$1,"")</f>
        <v>4.208037825059102</v>
      </c>
      <c r="GW23" s="67">
        <f>IFERROR(VLOOKUP($B23,RD[#All],GW$2,0)/GW$1,"")</f>
        <v>4.5121951219512191</v>
      </c>
      <c r="GX23" s="67" t="str">
        <f>IFERROR(VLOOKUP($B23,RD[#All],GX$2,0)/GX$1,"")</f>
        <v/>
      </c>
      <c r="GY23" s="67">
        <f>IFERROR(VLOOKUP($B23,RD[#All],GY$2,0)/GY$1,"")</f>
        <v>4.5078605604921389</v>
      </c>
      <c r="GZ23" s="67">
        <f>IFERROR(VLOOKUP($B23,RD[#All],GZ$2,0)/GZ$1,"")</f>
        <v>4.5318352059925093</v>
      </c>
      <c r="HA23" s="67">
        <f>IFERROR(VLOOKUP($B23,RD[#All],HA$2,0)/HA$1,"")</f>
        <v>4.6071161048689131</v>
      </c>
      <c r="HB23" s="67">
        <f>IFERROR(VLOOKUP($B23,RD[#All],HB$2,0)/HB$1,"")</f>
        <v>4.4831460674157304</v>
      </c>
      <c r="HC23" s="67">
        <f>IFERROR(VLOOKUP($B23,RD[#All],HC$2,0)/HC$1,"")</f>
        <v>4.488014981273408</v>
      </c>
      <c r="HD23" s="67">
        <f>IFERROR(VLOOKUP($B23,RD[#All],HD$2,0)/HD$1,"")</f>
        <v>4.4689138576779026</v>
      </c>
      <c r="HE23" s="67">
        <f>IFERROR(VLOOKUP($B23,RD[#All],HE$2,0)/HE$1,"")</f>
        <v>4.4981273408239701</v>
      </c>
      <c r="HF23" s="67">
        <f>IFERROR(VLOOKUP($B23,RD[#All],HF$2,0)/HF$1,"")</f>
        <v>4.5730337078651688</v>
      </c>
      <c r="HG23" s="67">
        <f>IFERROR(VLOOKUP($B23,RD[#All],HG$2,0)/HG$1,"")</f>
        <v>4.2359550561797752</v>
      </c>
      <c r="HH23" s="67">
        <f>IFERROR(VLOOKUP($B23,RD[#All],HH$2,0)/HH$1,"")</f>
        <v>4.4981273408239701</v>
      </c>
      <c r="HI23" s="67">
        <f>IFERROR(VLOOKUP($B23,RD[#All],HI$2,0)/HI$1,"")</f>
        <v>4.4868913857677901</v>
      </c>
      <c r="HJ23" s="67">
        <f>IFERROR(VLOOKUP($B23,RD[#All],HJ$2,0)/HJ$1,"")</f>
        <v>4.6479400749063666</v>
      </c>
      <c r="HK23" s="67">
        <f>IFERROR(VLOOKUP($B23,RD[#All],HK$2,0)/HK$1,"")</f>
        <v>4.4627548897211815</v>
      </c>
      <c r="HL23" s="67">
        <f>IFERROR(VLOOKUP($B23,RD[#All],HL$2,0)/HL$1,"")</f>
        <v>4.7593841032043276</v>
      </c>
      <c r="HM23" s="67">
        <f>IFERROR(VLOOKUP($B23,RD[#All],HM$2,0)/HM$1,"")</f>
        <v>4.7066726377071202</v>
      </c>
      <c r="HN23" s="67">
        <f>IFERROR(VLOOKUP($B23,RD[#All],HN$2,0)/HN$1,"")</f>
        <v>4.7962382445141065</v>
      </c>
      <c r="HO23" s="67">
        <f>IFERROR(VLOOKUP($B23,RD[#All],HO$2,0)/HO$1,"")</f>
        <v>4.8537095088819227</v>
      </c>
      <c r="HP23" s="67">
        <f>IFERROR(VLOOKUP($B23,RD[#All],HP$2,0)/HP$1,"")</f>
        <v>4.8338557993730404</v>
      </c>
      <c r="HQ23" s="67">
        <f>IFERROR(VLOOKUP($B23,RD[#All],HQ$2,0)/HQ$1,"")</f>
        <v>4.5834535834535828</v>
      </c>
      <c r="HR23" s="67">
        <f>IFERROR(VLOOKUP($B23,RD[#All],HR$2,0)/HR$1,"")</f>
        <v>4.5913261050875729</v>
      </c>
      <c r="HS23" s="67">
        <f>IFERROR(VLOOKUP($B23,RD[#All],HS$2,0)/HS$1,"")</f>
        <v>4.6525842696629214</v>
      </c>
      <c r="HT23" s="67">
        <f>IFERROR(VLOOKUP($B23,RD[#All],HT$2,0)/HT$1,"")</f>
        <v>4.5975863503953391</v>
      </c>
      <c r="HU23" s="67">
        <f>IFERROR(VLOOKUP($B23,RD[#All],HU$2,0)/HU$1,"")</f>
        <v>4.6015557476231637</v>
      </c>
      <c r="HV23" s="67">
        <f>IFERROR(VLOOKUP($B23,RD[#All],HV$2,0)/HV$1,"")</f>
        <v>4.5877268798617115</v>
      </c>
      <c r="HW23" s="67">
        <f>IFERROR(VLOOKUP($B23,RD[#All],HW$2,0)/HW$1,"")</f>
        <v>4.6669662921348314</v>
      </c>
      <c r="HX23" s="67">
        <f>IFERROR(VLOOKUP($B23,RD[#All],HX$2,0)/HX$1,"")</f>
        <v>4.5808124459809854</v>
      </c>
      <c r="HY23" s="67">
        <f>IFERROR(VLOOKUP($B23,RD[#All],HY$2,0)/HY$1,"")</f>
        <v>4.5975863503953391</v>
      </c>
      <c r="HZ23" s="67">
        <f>IFERROR(VLOOKUP($B23,RD[#All],HZ$2,0)/HZ$1,"")</f>
        <v>4.5776113191843528</v>
      </c>
      <c r="IA23" s="67">
        <f>IFERROR(VLOOKUP($B23,RD[#All],IA$2,0)/IA$1,"")</f>
        <v>4.5337995337995345</v>
      </c>
      <c r="IB23" s="67">
        <f>IFERROR(VLOOKUP($B23,RD[#All],IB$2,0)/IB$1,"")</f>
        <v>4.5129870129870131</v>
      </c>
      <c r="IC23" s="67">
        <f>IFERROR(VLOOKUP($B23,RD[#All],IC$2,0)/IC$1,"")</f>
        <v>4.5337995337995345</v>
      </c>
      <c r="ID23" s="67">
        <f>IFERROR(VLOOKUP($B23,RD[#All],ID$2,0)/ID$1,"")</f>
        <v>4.5555555555555554</v>
      </c>
      <c r="IE23" s="67">
        <f>IFERROR(VLOOKUP($B23,RD[#All],IE$2,0)/IE$1,"")</f>
        <v>4.5931313131313125</v>
      </c>
      <c r="IF23" s="67" t="str">
        <f>IFERROR(VLOOKUP($B23,RD[#All],IF$2,0)/IF$1,"")</f>
        <v/>
      </c>
      <c r="IG23" s="67">
        <f>IFERROR(VLOOKUP($B23,RD[#All],IG$2,0)/IG$1,"")</f>
        <v>4.5290121709595237</v>
      </c>
      <c r="IH23" s="67">
        <f>IFERROR(VLOOKUP($B23,RD[#All],IH$2,0)/IH$1,"")</f>
        <v>4.5315221177290139</v>
      </c>
      <c r="II23" s="67">
        <f>IFERROR(VLOOKUP($B23,RD[#All],II$2,0)/II$1,"")</f>
        <v>4.5273631840796016</v>
      </c>
      <c r="IJ23" s="67">
        <f>IFERROR(VLOOKUP($B23,RD[#All],IJ$2,0)/IJ$1,"")</f>
        <v>4.5596707818930033</v>
      </c>
      <c r="IK23" s="67">
        <f>IFERROR(VLOOKUP($B23,RD[#All],IK$2,0)/IK$1,"")</f>
        <v>4.5493395493395496</v>
      </c>
      <c r="IL23" s="67" t="str">
        <f>IFERROR(VLOOKUP($B23,RD[#All],IL$2,0)/IL$1,"")</f>
        <v/>
      </c>
      <c r="IM23" s="67" t="str">
        <f>IFERROR(VLOOKUP($B23,RD[#All],IM$2,0)/IM$1,"")</f>
        <v/>
      </c>
      <c r="IN23" s="67">
        <f>IFERROR(VLOOKUP($B23,RD[#All],IN$2,0)/IN$1,"")</f>
        <v>4.6353187042842219</v>
      </c>
      <c r="IO23" s="67">
        <f>IFERROR(VLOOKUP($B23,RD[#All],IO$2,0)/IO$1,"")</f>
        <v>4.6159874608150471</v>
      </c>
      <c r="IP23" s="67">
        <f>IFERROR(VLOOKUP($B23,RD[#All],IP$2,0)/IP$1,"")</f>
        <v>5.2661307842711276</v>
      </c>
      <c r="IQ23" s="67">
        <f>IFERROR(VLOOKUP($B23,RD[#All],IQ$2,0)/IQ$1,"")</f>
        <v>4.5881895881895884</v>
      </c>
      <c r="IR23" s="67">
        <f>IFERROR(VLOOKUP($B23,RD[#All],IR$2,0)/IR$1,"")</f>
        <v>4.5978441127694865</v>
      </c>
      <c r="IS23" s="86">
        <f>IFERROR(AVERAGEIF(Inv_SY_B[[#This Row],[BLK1_INV1]:[BLK8_INV27]],"&gt;"&amp;0.1,Inv_SY_B[[#This Row],[BLK1_INV1]:[BLK8_INV27]]),"")</f>
        <v>4.5353859572948672</v>
      </c>
    </row>
    <row r="24" spans="2:253" x14ac:dyDescent="0.25">
      <c r="B24" s="85">
        <f t="shared" si="0"/>
        <v>45850</v>
      </c>
      <c r="C24" s="67">
        <f>IFERROR(VLOOKUP($B24,RD[#All],C$2,0)/C$1,"")</f>
        <v>2.979083837510804</v>
      </c>
      <c r="D24" s="67">
        <f>IFERROR(VLOOKUP($B24,RD[#All],D$2,0)/D$1,"")</f>
        <v>2.9700950734658602</v>
      </c>
      <c r="E24" s="67">
        <f>IFERROR(VLOOKUP($B24,RD[#All],E$2,0)/E$1,"")</f>
        <v>2.9887640449438204</v>
      </c>
      <c r="F24" s="67">
        <f>IFERROR(VLOOKUP($B24,RD[#All],F$2,0)/F$1,"")</f>
        <v>2.9700374531835205</v>
      </c>
      <c r="G24" s="67">
        <f>IFERROR(VLOOKUP($B24,RD[#All],G$2,0)/G$1,"")</f>
        <v>2.9628349178910978</v>
      </c>
      <c r="H24" s="67">
        <f>IFERROR(VLOOKUP($B24,RD[#All],H$2,0)/H$1,"")</f>
        <v>2.9625468164794007</v>
      </c>
      <c r="I24" s="67">
        <f>IFERROR(VLOOKUP($B24,RD[#All],I$2,0)/I$1,"")</f>
        <v>2.9513108614232211</v>
      </c>
      <c r="J24" s="67">
        <f>IFERROR(VLOOKUP($B24,RD[#All],J$2,0)/J$1,"")</f>
        <v>2.8876404494382024</v>
      </c>
      <c r="K24" s="67">
        <f>IFERROR(VLOOKUP($B24,RD[#All],K$2,0)/K$1,"")</f>
        <v>2.88</v>
      </c>
      <c r="L24" s="67">
        <f>IFERROR(VLOOKUP($B24,RD[#All],L$2,0)/L$1,"")</f>
        <v>2.9123595505617978</v>
      </c>
      <c r="M24" s="67">
        <f>IFERROR(VLOOKUP($B24,RD[#All],M$2,0)/M$1,"")</f>
        <v>2.9363295880149813</v>
      </c>
      <c r="N24" s="67">
        <f>IFERROR(VLOOKUP($B24,RD[#All],N$2,0)/N$1,"")</f>
        <v>2.9550561797752808</v>
      </c>
      <c r="O24" s="67">
        <f>IFERROR(VLOOKUP($B24,RD[#All],O$2,0)/O$1,"")</f>
        <v>2.9700374531835205</v>
      </c>
      <c r="P24" s="67">
        <f>IFERROR(VLOOKUP($B24,RD[#All],P$2,0)/P$1,"")</f>
        <v>2.9908069458631257</v>
      </c>
      <c r="Q24" s="67">
        <f>IFERROR(VLOOKUP($B24,RD[#All],Q$2,0)/Q$1,"")</f>
        <v>2.9400749063670411</v>
      </c>
      <c r="R24" s="67">
        <f>IFERROR(VLOOKUP($B24,RD[#All],R$2,0)/R$1,"")</f>
        <v>2.9430711610486888</v>
      </c>
      <c r="S24" s="67">
        <f>IFERROR(VLOOKUP($B24,RD[#All],S$2,0)/S$1,"")</f>
        <v>2.9543071161048688</v>
      </c>
      <c r="T24" s="67">
        <f>IFERROR(VLOOKUP($B24,RD[#All],T$2,0)/T$1,"")</f>
        <v>2.9363295880149813</v>
      </c>
      <c r="U24" s="67">
        <f>IFERROR(VLOOKUP($B24,RD[#All],U$2,0)/U$1,"")</f>
        <v>2.9337942955920484</v>
      </c>
      <c r="V24" s="67">
        <f>IFERROR(VLOOKUP($B24,RD[#All],V$2,0)/V$1,"")</f>
        <v>2.8764044943820224</v>
      </c>
      <c r="W24" s="67">
        <f>IFERROR(VLOOKUP($B24,RD[#All],W$2,0)/W$1,"")</f>
        <v>2.9101123595505616</v>
      </c>
      <c r="X24" s="67">
        <f>IFERROR(VLOOKUP($B24,RD[#All],X$2,0)/X$1,"")</f>
        <v>2.9513108614232211</v>
      </c>
      <c r="Y24" s="67">
        <f>IFERROR(VLOOKUP($B24,RD[#All],Y$2,0)/Y$1,"")</f>
        <v>2.9593777009507347</v>
      </c>
      <c r="Z24" s="67">
        <f>IFERROR(VLOOKUP($B24,RD[#All],Z$2,0)/Z$1,"")</f>
        <v>2.8664169787765292</v>
      </c>
      <c r="AA24" s="67">
        <f>IFERROR(VLOOKUP($B24,RD[#All],AA$2,0)/AA$1,"")</f>
        <v>2.9144338807260155</v>
      </c>
      <c r="AB24" s="67">
        <f>IFERROR(VLOOKUP($B24,RD[#All],AB$2,0)/AB$1,"")</f>
        <v>2.9006050129645637</v>
      </c>
      <c r="AC24" s="67">
        <f>IFERROR(VLOOKUP($B24,RD[#All],AC$2,0)/AC$1,"")</f>
        <v>2.8971477960242007</v>
      </c>
      <c r="AD24" s="67">
        <f>IFERROR(VLOOKUP($B24,RD[#All],AD$2,0)/AD$1,"")</f>
        <v>2.8997086974615063</v>
      </c>
      <c r="AE24" s="67">
        <f>IFERROR(VLOOKUP($B24,RD[#All],AE$2,0)/AE$1,"")</f>
        <v>2.9662921348314608</v>
      </c>
      <c r="AF24" s="67">
        <f>IFERROR(VLOOKUP($B24,RD[#All],AF$2,0)/AF$1,"")</f>
        <v>2.9496462754889721</v>
      </c>
      <c r="AG24" s="67">
        <f>IFERROR(VLOOKUP($B24,RD[#All],AG$2,0)/AG$1,"")</f>
        <v>2.9696213066999584</v>
      </c>
      <c r="AH24" s="67">
        <f>IFERROR(VLOOKUP($B24,RD[#All],AH$2,0)/AH$1,"")</f>
        <v>2.9363295880149813</v>
      </c>
      <c r="AI24" s="67">
        <f>IFERROR(VLOOKUP($B24,RD[#All],AI$2,0)/AI$1,"")</f>
        <v>2.9205974842767297</v>
      </c>
      <c r="AJ24" s="67">
        <f>IFERROR(VLOOKUP($B24,RD[#All],AJ$2,0)/AJ$1,"")</f>
        <v>2.9436556568524881</v>
      </c>
      <c r="AK24" s="67">
        <f>IFERROR(VLOOKUP($B24,RD[#All],AK$2,0)/AK$1,"")</f>
        <v>2.9250936329588013</v>
      </c>
      <c r="AL24" s="67">
        <f>IFERROR(VLOOKUP($B24,RD[#All],AL$2,0)/AL$1,"")</f>
        <v>2.8638340582134494</v>
      </c>
      <c r="AM24" s="67">
        <f>IFERROR(VLOOKUP($B24,RD[#All],AM$2,0)/AM$1,"")</f>
        <v>2.9550561797752808</v>
      </c>
      <c r="AN24" s="67">
        <f>IFERROR(VLOOKUP($B24,RD[#All],AN$2,0)/AN$1,"")</f>
        <v>2.9438202247191012</v>
      </c>
      <c r="AO24" s="67">
        <f>IFERROR(VLOOKUP($B24,RD[#All],AO$2,0)/AO$1,"")</f>
        <v>2.9550561797752808</v>
      </c>
      <c r="AP24" s="67">
        <f>IFERROR(VLOOKUP($B24,RD[#All],AP$2,0)/AP$1,"")</f>
        <v>2.9812734082397006</v>
      </c>
      <c r="AQ24" s="67">
        <f>IFERROR(VLOOKUP($B24,RD[#All],AQ$2,0)/AQ$1,"")</f>
        <v>2.9400749063670411</v>
      </c>
      <c r="AR24" s="67">
        <f>IFERROR(VLOOKUP($B24,RD[#All],AR$2,0)/AR$1,"")</f>
        <v>2.9063670411985019</v>
      </c>
      <c r="AS24" s="67">
        <f>IFERROR(VLOOKUP($B24,RD[#All],AS$2,0)/AS$1,"")</f>
        <v>2.9138576779026217</v>
      </c>
      <c r="AT24" s="67">
        <f>IFERROR(VLOOKUP($B24,RD[#All],AT$2,0)/AT$1,"")</f>
        <v>2.9625468164794007</v>
      </c>
      <c r="AU24" s="67">
        <f>IFERROR(VLOOKUP($B24,RD[#All],AU$2,0)/AU$1,"")</f>
        <v>2.8913857677902621</v>
      </c>
      <c r="AV24" s="67">
        <f>IFERROR(VLOOKUP($B24,RD[#All],AV$2,0)/AV$1,"")</f>
        <v>2.9250936329588013</v>
      </c>
      <c r="AW24" s="67">
        <f>IFERROR(VLOOKUP($B24,RD[#All],AW$2,0)/AW$1,"")</f>
        <v>2.8556611927398445</v>
      </c>
      <c r="AX24" s="67">
        <f>IFERROR(VLOOKUP($B24,RD[#All],AX$2,0)/AX$1,"")</f>
        <v>2.9363295880149813</v>
      </c>
      <c r="AY24" s="67">
        <f>IFERROR(VLOOKUP($B24,RD[#All],AY$2,0)/AY$1,"")</f>
        <v>2.88</v>
      </c>
      <c r="AZ24" s="67">
        <f>IFERROR(VLOOKUP($B24,RD[#All],AZ$2,0)/AZ$1,"")</f>
        <v>2.8961797752808991</v>
      </c>
      <c r="BA24" s="67">
        <f>IFERROR(VLOOKUP($B24,RD[#All],BA$2,0)/BA$1,"")</f>
        <v>2.9550561797752808</v>
      </c>
      <c r="BB24" s="67">
        <f>IFERROR(VLOOKUP($B24,RD[#All],BB$2,0)/BB$1,"")</f>
        <v>2.9250936329588013</v>
      </c>
      <c r="BC24" s="67">
        <f>IFERROR(VLOOKUP($B24,RD[#All],BC$2,0)/BC$1,"")</f>
        <v>2.9226799833541404</v>
      </c>
      <c r="BD24" s="67">
        <f>IFERROR(VLOOKUP($B24,RD[#All],BD$2,0)/BD$1,"")</f>
        <v>2.8664169787765292</v>
      </c>
      <c r="BE24" s="67">
        <f>IFERROR(VLOOKUP($B24,RD[#All],BE$2,0)/BE$1,"")</f>
        <v>2.9109766637856525</v>
      </c>
      <c r="BF24" s="67">
        <f>IFERROR(VLOOKUP($B24,RD[#All],BF$2,0)/BF$1,"")</f>
        <v>3.0032459425717852</v>
      </c>
      <c r="BG24" s="67">
        <f>IFERROR(VLOOKUP($B24,RD[#All],BG$2,0)/BG$1,"")</f>
        <v>2.9799417394923013</v>
      </c>
      <c r="BH24" s="67">
        <f>IFERROR(VLOOKUP($B24,RD[#All],BH$2,0)/BH$1,"")</f>
        <v>2.9887640449438204</v>
      </c>
      <c r="BI24" s="67">
        <f>IFERROR(VLOOKUP($B24,RD[#All],BI$2,0)/BI$1,"")</f>
        <v>2.912026633374948</v>
      </c>
      <c r="BJ24" s="67">
        <f>IFERROR(VLOOKUP($B24,RD[#All],BJ$2,0)/BJ$1,"")</f>
        <v>2.914689970869746</v>
      </c>
      <c r="BK24" s="67">
        <f>IFERROR(VLOOKUP($B24,RD[#All],BK$2,0)/BK$1,"")</f>
        <v>2.9550561797752808</v>
      </c>
      <c r="BL24" s="67">
        <f>IFERROR(VLOOKUP($B24,RD[#All],BL$2,0)/BL$1,"")</f>
        <v>2.8578119772499169</v>
      </c>
      <c r="BM24" s="67">
        <f>IFERROR(VLOOKUP($B24,RD[#All],BM$2,0)/BM$1,"")</f>
        <v>2.9250936329588013</v>
      </c>
      <c r="BN24" s="67">
        <f>IFERROR(VLOOKUP($B24,RD[#All],BN$2,0)/BN$1,"")</f>
        <v>2.9299895506792057</v>
      </c>
      <c r="BO24" s="67">
        <f>IFERROR(VLOOKUP($B24,RD[#All],BO$2,0)/BO$1,"")</f>
        <v>2.9317199654278308</v>
      </c>
      <c r="BP24" s="67">
        <f>IFERROR(VLOOKUP($B24,RD[#All],BP$2,0)/BP$1,"")</f>
        <v>2.9420916162489195</v>
      </c>
      <c r="BQ24" s="67">
        <f>IFERROR(VLOOKUP($B24,RD[#All],BQ$2,0)/BQ$1,"")</f>
        <v>2.9351771823681938</v>
      </c>
      <c r="BR24" s="67">
        <f>IFERROR(VLOOKUP($B24,RD[#All],BR$2,0)/BR$1,"")</f>
        <v>2.9621434745030251</v>
      </c>
      <c r="BS24" s="67">
        <f>IFERROR(VLOOKUP($B24,RD[#All],BS$2,0)/BS$1,"")</f>
        <v>3.0329588014981272</v>
      </c>
      <c r="BT24" s="67">
        <f>IFERROR(VLOOKUP($B24,RD[#All],BT$2,0)/BT$1,"")</f>
        <v>3.047191011235955</v>
      </c>
      <c r="BU24" s="67">
        <f>IFERROR(VLOOKUP($B24,RD[#All],BU$2,0)/BU$1,"")</f>
        <v>3.0213483146067417</v>
      </c>
      <c r="BV24" s="67">
        <f>IFERROR(VLOOKUP($B24,RD[#All],BV$2,0)/BV$1,"")</f>
        <v>2.9831460674157304</v>
      </c>
      <c r="BW24" s="67">
        <f>IFERROR(VLOOKUP($B24,RD[#All],BW$2,0)/BW$1,"")</f>
        <v>2.9887640449438204</v>
      </c>
      <c r="BX24" s="67">
        <f>IFERROR(VLOOKUP($B24,RD[#All],BX$2,0)/BX$1,"")</f>
        <v>3.0295880149812735</v>
      </c>
      <c r="BY24" s="67">
        <f>IFERROR(VLOOKUP($B24,RD[#All],BY$2,0)/BY$1,"")</f>
        <v>3.0275488972118185</v>
      </c>
      <c r="BZ24" s="67">
        <f>IFERROR(VLOOKUP($B24,RD[#All],BZ$2,0)/BZ$1,"")</f>
        <v>3.0178942987931752</v>
      </c>
      <c r="CA24" s="67">
        <f>IFERROR(VLOOKUP($B24,RD[#All],CA$2,0)/CA$1,"")</f>
        <v>3.0288805659592173</v>
      </c>
      <c r="CB24" s="67">
        <f>IFERROR(VLOOKUP($B24,RD[#All],CB$2,0)/CB$1,"")</f>
        <v>2.9973782771535578</v>
      </c>
      <c r="CC24" s="67">
        <f>IFERROR(VLOOKUP($B24,RD[#All],CC$2,0)/CC$1,"")</f>
        <v>2.9531835205992509</v>
      </c>
      <c r="CD24" s="67">
        <f>IFERROR(VLOOKUP($B24,RD[#All],CD$2,0)/CD$1,"")</f>
        <v>3.0095073465859983</v>
      </c>
      <c r="CE24" s="67">
        <f>IFERROR(VLOOKUP($B24,RD[#All],CE$2,0)/CE$1,"")</f>
        <v>2.9250936329588013</v>
      </c>
      <c r="CF24" s="67">
        <f>IFERROR(VLOOKUP($B24,RD[#All],CF$2,0)/CF$1,"")</f>
        <v>2.9707865168539329</v>
      </c>
      <c r="CG24" s="67">
        <f>IFERROR(VLOOKUP($B24,RD[#All],CG$2,0)/CG$1,"")</f>
        <v>2.9168539325842695</v>
      </c>
      <c r="CH24" s="67">
        <f>IFERROR(VLOOKUP($B24,RD[#All],CH$2,0)/CH$1,"")</f>
        <v>2.9857677902621726</v>
      </c>
      <c r="CI24" s="67">
        <f>IFERROR(VLOOKUP($B24,RD[#All],CI$2,0)/CI$1,"")</f>
        <v>2.9209737827715356</v>
      </c>
      <c r="CJ24" s="67">
        <f>IFERROR(VLOOKUP($B24,RD[#All],CJ$2,0)/CJ$1,"")</f>
        <v>2.9895131086142324</v>
      </c>
      <c r="CK24" s="67">
        <f>IFERROR(VLOOKUP($B24,RD[#All],CK$2,0)/CK$1,"")</f>
        <v>2.9299625468164794</v>
      </c>
      <c r="CL24" s="67">
        <f>IFERROR(VLOOKUP($B24,RD[#All],CL$2,0)/CL$1,"")</f>
        <v>2.9198501872659177</v>
      </c>
      <c r="CM24" s="67">
        <f>IFERROR(VLOOKUP($B24,RD[#All],CM$2,0)/CM$1,"")</f>
        <v>2.9973782771535578</v>
      </c>
      <c r="CN24" s="67">
        <f>IFERROR(VLOOKUP($B24,RD[#All],CN$2,0)/CN$1,"")</f>
        <v>2.9749063670411982</v>
      </c>
      <c r="CO24" s="67">
        <f>IFERROR(VLOOKUP($B24,RD[#All],CO$2,0)/CO$1,"")</f>
        <v>2.939685393258427</v>
      </c>
      <c r="CP24" s="67">
        <f>IFERROR(VLOOKUP($B24,RD[#All],CP$2,0)/CP$1,"")</f>
        <v>2.9987899740708728</v>
      </c>
      <c r="CQ24" s="67">
        <f>IFERROR(VLOOKUP($B24,RD[#All],CQ$2,0)/CQ$1,"")</f>
        <v>2.9250936329588013</v>
      </c>
      <c r="CR24" s="67">
        <f>IFERROR(VLOOKUP($B24,RD[#All],CR$2,0)/CR$1,"")</f>
        <v>3.0018726591760299</v>
      </c>
      <c r="CS24" s="67">
        <f>IFERROR(VLOOKUP($B24,RD[#All],CS$2,0)/CS$1,"")</f>
        <v>2.9712858926342074</v>
      </c>
      <c r="CT24" s="67">
        <f>IFERROR(VLOOKUP($B24,RD[#All],CT$2,0)/CT$1,"")</f>
        <v>2.9726591760299628</v>
      </c>
      <c r="CU24" s="67">
        <f>IFERROR(VLOOKUP($B24,RD[#All],CU$2,0)/CU$1,"")</f>
        <v>2.9475655430711609</v>
      </c>
      <c r="CV24" s="67">
        <f>IFERROR(VLOOKUP($B24,RD[#All],CV$2,0)/CV$1,"")</f>
        <v>2.9625468164794007</v>
      </c>
      <c r="CW24" s="67">
        <f>IFERROR(VLOOKUP($B24,RD[#All],CW$2,0)/CW$1,"")</f>
        <v>2.9513108614232211</v>
      </c>
      <c r="CX24" s="67">
        <f>IFERROR(VLOOKUP($B24,RD[#All],CX$2,0)/CX$1,"")</f>
        <v>2.9700374531835205</v>
      </c>
      <c r="CY24" s="67">
        <f>IFERROR(VLOOKUP($B24,RD[#All],CY$2,0)/CY$1,"")</f>
        <v>2.9737827715355807</v>
      </c>
      <c r="CZ24" s="67">
        <f>IFERROR(VLOOKUP($B24,RD[#All],CZ$2,0)/CZ$1,"")</f>
        <v>2.9325842696629212</v>
      </c>
      <c r="DA24" s="67">
        <f>IFERROR(VLOOKUP($B24,RD[#All],DA$2,0)/DA$1,"")</f>
        <v>2.9737827715355807</v>
      </c>
      <c r="DB24" s="67">
        <f>IFERROR(VLOOKUP($B24,RD[#All],DB$2,0)/DB$1,"")</f>
        <v>2.9737827715355807</v>
      </c>
      <c r="DC24" s="67">
        <f>IFERROR(VLOOKUP($B24,RD[#All],DC$2,0)/DC$1,"")</f>
        <v>2.8997086974615063</v>
      </c>
      <c r="DD24" s="67">
        <f>IFERROR(VLOOKUP($B24,RD[#All],DD$2,0)/DD$1,"")</f>
        <v>2.9138576779026217</v>
      </c>
      <c r="DE24" s="67">
        <f>IFERROR(VLOOKUP($B24,RD[#All],DE$2,0)/DE$1,"")</f>
        <v>2.962630045776113</v>
      </c>
      <c r="DF24" s="67">
        <f>IFERROR(VLOOKUP($B24,RD[#All],DF$2,0)/DF$1,"")</f>
        <v>2.8621612579458016</v>
      </c>
      <c r="DG24" s="67">
        <f>IFERROR(VLOOKUP($B24,RD[#All],DG$2,0)/DG$1,"")</f>
        <v>2.9475655430711609</v>
      </c>
      <c r="DH24" s="67">
        <f>IFERROR(VLOOKUP($B24,RD[#All],DH$2,0)/DH$1,"")</f>
        <v>3.0232209737827715</v>
      </c>
      <c r="DI24" s="67">
        <f>IFERROR(VLOOKUP($B24,RD[#All],DI$2,0)/DI$1,"")</f>
        <v>2.9248055315471047</v>
      </c>
      <c r="DJ24" s="67">
        <f>IFERROR(VLOOKUP($B24,RD[#All],DJ$2,0)/DJ$1,"")</f>
        <v>3.0181503889369057</v>
      </c>
      <c r="DK24" s="67">
        <f>IFERROR(VLOOKUP($B24,RD[#All],DK$2,0)/DK$1,"")</f>
        <v>2.9776113191843527</v>
      </c>
      <c r="DL24" s="67">
        <f>IFERROR(VLOOKUP($B24,RD[#All],DL$2,0)/DL$1,"")</f>
        <v>2.9706200582605073</v>
      </c>
      <c r="DM24" s="67">
        <f>IFERROR(VLOOKUP($B24,RD[#All],DM$2,0)/DM$1,"")</f>
        <v>2.9966292134831463</v>
      </c>
      <c r="DN24" s="67">
        <f>IFERROR(VLOOKUP($B24,RD[#All],DN$2,0)/DN$1,"")</f>
        <v>2.9644194756554305</v>
      </c>
      <c r="DO24" s="67">
        <f>IFERROR(VLOOKUP($B24,RD[#All],DO$2,0)/DO$1,"")</f>
        <v>2.8805620608899298</v>
      </c>
      <c r="DP24" s="67">
        <f>IFERROR(VLOOKUP($B24,RD[#All],DP$2,0)/DP$1,"")</f>
        <v>2.8597586350395341</v>
      </c>
      <c r="DQ24" s="67">
        <f>IFERROR(VLOOKUP($B24,RD[#All],DQ$2,0)/DQ$1,"")</f>
        <v>2.883062838119018</v>
      </c>
      <c r="DR24" s="67">
        <f>IFERROR(VLOOKUP($B24,RD[#All],DR$2,0)/DR$1,"")</f>
        <v>2.9063670411985019</v>
      </c>
      <c r="DS24" s="67">
        <f>IFERROR(VLOOKUP($B24,RD[#All],DS$2,0)/DS$1,"")</f>
        <v>2.8812734082397</v>
      </c>
      <c r="DT24" s="67">
        <f>IFERROR(VLOOKUP($B24,RD[#All],DT$2,0)/DT$1,"")</f>
        <v>2.8863920099875156</v>
      </c>
      <c r="DU24" s="67">
        <f>IFERROR(VLOOKUP($B24,RD[#All],DU$2,0)/DU$1,"")</f>
        <v>2.8747399084477738</v>
      </c>
      <c r="DV24" s="67">
        <f>IFERROR(VLOOKUP($B24,RD[#All],DV$2,0)/DV$1,"")</f>
        <v>2.9250936329588013</v>
      </c>
      <c r="DW24" s="67">
        <f>IFERROR(VLOOKUP($B24,RD[#All],DW$2,0)/DW$1,"")</f>
        <v>2.9363295880149813</v>
      </c>
      <c r="DX24" s="67">
        <f>IFERROR(VLOOKUP($B24,RD[#All],DX$2,0)/DX$1,"")</f>
        <v>2.9712858926342074</v>
      </c>
      <c r="DY24" s="67">
        <f>IFERROR(VLOOKUP($B24,RD[#All],DY$2,0)/DY$1,"")</f>
        <v>2.9250936329588013</v>
      </c>
      <c r="DZ24" s="67">
        <f>IFERROR(VLOOKUP($B24,RD[#All],DZ$2,0)/DZ$1,"")</f>
        <v>2.9438202247191012</v>
      </c>
      <c r="EA24" s="67">
        <f>IFERROR(VLOOKUP($B24,RD[#All],EA$2,0)/EA$1,"")</f>
        <v>2.8664169787765292</v>
      </c>
      <c r="EB24" s="67">
        <f>IFERROR(VLOOKUP($B24,RD[#All],EB$2,0)/EB$1,"")</f>
        <v>2.8863920099875156</v>
      </c>
      <c r="EC24" s="67">
        <f>IFERROR(VLOOKUP($B24,RD[#All],EC$2,0)/EC$1,"")</f>
        <v>2.8660328435609332</v>
      </c>
      <c r="ED24" s="67">
        <f>IFERROR(VLOOKUP($B24,RD[#All],ED$2,0)/ED$1,"")</f>
        <v>2.8833189282627485</v>
      </c>
      <c r="EE24" s="67">
        <f>IFERROR(VLOOKUP($B24,RD[#All],EE$2,0)/EE$1,"")</f>
        <v>2.8936905790838376</v>
      </c>
      <c r="EF24" s="67">
        <f>IFERROR(VLOOKUP($B24,RD[#All],EF$2,0)/EF$1,"")</f>
        <v>2.9103166496424921</v>
      </c>
      <c r="EG24" s="67">
        <f>IFERROR(VLOOKUP($B24,RD[#All],EG$2,0)/EG$1,"")</f>
        <v>2.9793706293706292</v>
      </c>
      <c r="EH24" s="67">
        <f>IFERROR(VLOOKUP($B24,RD[#All],EH$2,0)/EH$1,"")</f>
        <v>2.8776223776223775</v>
      </c>
      <c r="EI24" s="67">
        <f>IFERROR(VLOOKUP($B24,RD[#All],EI$2,0)/EI$1,"")</f>
        <v>2.8986013986013988</v>
      </c>
      <c r="EJ24" s="67">
        <f>IFERROR(VLOOKUP($B24,RD[#All],EJ$2,0)/EJ$1,"")</f>
        <v>2.9671328671328672</v>
      </c>
      <c r="EK24" s="67">
        <f>IFERROR(VLOOKUP($B24,RD[#All],EK$2,0)/EK$1,"")</f>
        <v>2.9015730337078653</v>
      </c>
      <c r="EL24" s="67">
        <f>IFERROR(VLOOKUP($B24,RD[#All],EL$2,0)/EL$1,"")</f>
        <v>2.9250936329588013</v>
      </c>
      <c r="EM24" s="67">
        <f>IFERROR(VLOOKUP($B24,RD[#All],EM$2,0)/EM$1,"")</f>
        <v>2.8764044943820224</v>
      </c>
      <c r="EN24" s="67">
        <f>IFERROR(VLOOKUP($B24,RD[#All],EN$2,0)/EN$1,"")</f>
        <v>2.8632670700086433</v>
      </c>
      <c r="EO24" s="67">
        <f>IFERROR(VLOOKUP($B24,RD[#All],EO$2,0)/EO$1,"")</f>
        <v>2.9138576779026217</v>
      </c>
      <c r="EP24" s="67">
        <f>IFERROR(VLOOKUP($B24,RD[#All],EP$2,0)/EP$1,"")</f>
        <v>2.8833189282627485</v>
      </c>
      <c r="EQ24" s="67">
        <f>IFERROR(VLOOKUP($B24,RD[#All],EQ$2,0)/EQ$1,"")</f>
        <v>2.957677902621723</v>
      </c>
      <c r="ER24" s="67">
        <f>IFERROR(VLOOKUP($B24,RD[#All],ER$2,0)/ER$1,"")</f>
        <v>2.8833189282627485</v>
      </c>
      <c r="ES24" s="67">
        <f>IFERROR(VLOOKUP($B24,RD[#All],ES$2,0)/ES$1,"")</f>
        <v>2.9550561797752808</v>
      </c>
      <c r="ET24" s="67">
        <f>IFERROR(VLOOKUP($B24,RD[#All],ET$2,0)/ET$1,"")</f>
        <v>2.9090909090909092</v>
      </c>
      <c r="EU24" s="67">
        <f>IFERROR(VLOOKUP($B24,RD[#All],EU$2,0)/EU$1,"")</f>
        <v>2.9524632670700086</v>
      </c>
      <c r="EV24" s="67">
        <f>IFERROR(VLOOKUP($B24,RD[#All],EV$2,0)/EV$1,"")</f>
        <v>2.9213483146067416</v>
      </c>
      <c r="EW24" s="67">
        <f>IFERROR(VLOOKUP($B24,RD[#All],EW$2,0)/EW$1,"")</f>
        <v>2.9351771823681938</v>
      </c>
      <c r="EX24" s="67">
        <f>IFERROR(VLOOKUP($B24,RD[#All],EX$2,0)/EX$1,"")</f>
        <v>2.9363295880149813</v>
      </c>
      <c r="EY24" s="67">
        <f>IFERROR(VLOOKUP($B24,RD[#All],EY$2,0)/EY$1,"")</f>
        <v>2.883062838119018</v>
      </c>
      <c r="EZ24" s="67">
        <f>IFERROR(VLOOKUP($B24,RD[#All],EZ$2,0)/EZ$1,"")</f>
        <v>2.9250936329588013</v>
      </c>
      <c r="FA24" s="67">
        <f>IFERROR(VLOOKUP($B24,RD[#All],FA$2,0)/FA$1,"")</f>
        <v>2.9625468164794007</v>
      </c>
      <c r="FB24" s="67">
        <f>IFERROR(VLOOKUP($B24,RD[#All],FB$2,0)/FB$1,"")</f>
        <v>2.9711610486891384</v>
      </c>
      <c r="FC24" s="67">
        <f>IFERROR(VLOOKUP($B24,RD[#All],FC$2,0)/FC$1,"")</f>
        <v>2.9625468164794007</v>
      </c>
      <c r="FD24" s="67">
        <f>IFERROR(VLOOKUP($B24,RD[#All],FD$2,0)/FD$1,"")</f>
        <v>2.9404494382022475</v>
      </c>
      <c r="FE24" s="67">
        <f>IFERROR(VLOOKUP($B24,RD[#All],FE$2,0)/FE$1,"")</f>
        <v>2.9878787878787878</v>
      </c>
      <c r="FF24" s="67">
        <f>IFERROR(VLOOKUP($B24,RD[#All],FF$2,0)/FF$1,"")</f>
        <v>2.9670454545454543</v>
      </c>
      <c r="FG24" s="67">
        <f>IFERROR(VLOOKUP($B24,RD[#All],FG$2,0)/FG$1,"")</f>
        <v>2.8801346801346801</v>
      </c>
      <c r="FH24" s="67">
        <f>IFERROR(VLOOKUP($B24,RD[#All],FH$2,0)/FH$1,"")</f>
        <v>2.9583333333333335</v>
      </c>
      <c r="FI24" s="67">
        <f>IFERROR(VLOOKUP($B24,RD[#All],FI$2,0)/FI$1,"")</f>
        <v>2.9158249158249157</v>
      </c>
      <c r="FJ24" s="67">
        <f>IFERROR(VLOOKUP($B24,RD[#All],FJ$2,0)/FJ$1,"")</f>
        <v>2.8814814814814813</v>
      </c>
      <c r="FK24" s="67">
        <f>IFERROR(VLOOKUP($B24,RD[#All],FK$2,0)/FK$1,"")</f>
        <v>2.8922558922558923</v>
      </c>
      <c r="FL24" s="67">
        <f>IFERROR(VLOOKUP($B24,RD[#All],FL$2,0)/FL$1,"")</f>
        <v>2.8956363636363633</v>
      </c>
      <c r="FM24" s="67">
        <f>IFERROR(VLOOKUP($B24,RD[#All],FM$2,0)/FM$1,"")</f>
        <v>2.9772727272727271</v>
      </c>
      <c r="FN24" s="67">
        <f>IFERROR(VLOOKUP($B24,RD[#All],FN$2,0)/FN$1,"")</f>
        <v>2.8956228956228958</v>
      </c>
      <c r="FO24" s="67">
        <f>IFERROR(VLOOKUP($B24,RD[#All],FO$2,0)/FO$1,"")</f>
        <v>2.9094696969696972</v>
      </c>
      <c r="FP24" s="67">
        <f>IFERROR(VLOOKUP($B24,RD[#All],FP$2,0)/FP$1,"")</f>
        <v>2.8836363636363638</v>
      </c>
      <c r="FQ24" s="67">
        <f>IFERROR(VLOOKUP($B24,RD[#All],FQ$2,0)/FQ$1,"")</f>
        <v>2.8730909090909091</v>
      </c>
      <c r="FR24" s="67">
        <f>IFERROR(VLOOKUP($B24,RD[#All],FR$2,0)/FR$1,"")</f>
        <v>2.8818181818181818</v>
      </c>
      <c r="FS24" s="67">
        <f>IFERROR(VLOOKUP($B24,RD[#All],FS$2,0)/FS$1,"")</f>
        <v>2.9090909090909092</v>
      </c>
      <c r="FT24" s="67">
        <f>IFERROR(VLOOKUP($B24,RD[#All],FT$2,0)/FT$1,"")</f>
        <v>2.8618181818181818</v>
      </c>
      <c r="FU24" s="67">
        <f>IFERROR(VLOOKUP($B24,RD[#All],FU$2,0)/FU$1,"")</f>
        <v>2.9521885521885523</v>
      </c>
      <c r="FV24" s="67">
        <f>IFERROR(VLOOKUP($B24,RD[#All],FV$2,0)/FV$1,"")</f>
        <v>2.9583333333333335</v>
      </c>
      <c r="FW24" s="67">
        <f>IFERROR(VLOOKUP($B24,RD[#All],FW$2,0)/FW$1,"")</f>
        <v>2.9886363636363638</v>
      </c>
      <c r="FX24" s="67">
        <f>IFERROR(VLOOKUP($B24,RD[#All],FX$2,0)/FX$1,"")</f>
        <v>3.0075757575757578</v>
      </c>
      <c r="FY24" s="67">
        <f>IFERROR(VLOOKUP($B24,RD[#All],FY$2,0)/FY$1,"")</f>
        <v>2.9057239057239057</v>
      </c>
      <c r="FZ24" s="67">
        <f>IFERROR(VLOOKUP($B24,RD[#All],FZ$2,0)/FZ$1,"")</f>
        <v>2.9469696969696968</v>
      </c>
      <c r="GA24" s="67">
        <f>IFERROR(VLOOKUP($B24,RD[#All],GA$2,0)/GA$1,"")</f>
        <v>2.9335664335664338</v>
      </c>
      <c r="GB24" s="67">
        <f>IFERROR(VLOOKUP($B24,RD[#All],GB$2,0)/GB$1,"")</f>
        <v>2.8821548821548824</v>
      </c>
      <c r="GC24" s="67">
        <f>IFERROR(VLOOKUP($B24,RD[#All],GC$2,0)/GC$1,"")</f>
        <v>2.9191919191919191</v>
      </c>
      <c r="GD24" s="67">
        <f>IFERROR(VLOOKUP($B24,RD[#All],GD$2,0)/GD$1,"")</f>
        <v>2.8872727272727272</v>
      </c>
      <c r="GE24" s="67">
        <f>IFERROR(VLOOKUP($B24,RD[#All],GE$2,0)/GE$1,"")</f>
        <v>2.8986013986013988</v>
      </c>
      <c r="GF24" s="67">
        <f>IFERROR(VLOOKUP($B24,RD[#All],GF$2,0)/GF$1,"")</f>
        <v>2.9023569023569022</v>
      </c>
      <c r="GG24" s="67">
        <f>IFERROR(VLOOKUP($B24,RD[#All],GG$2,0)/GG$1,"")</f>
        <v>2.898181818181818</v>
      </c>
      <c r="GH24" s="67">
        <f>IFERROR(VLOOKUP($B24,RD[#All],GH$2,0)/GH$1,"")</f>
        <v>2.92</v>
      </c>
      <c r="GI24" s="67">
        <f>IFERROR(VLOOKUP($B24,RD[#All],GI$2,0)/GI$1,"")</f>
        <v>2.900727272727273</v>
      </c>
      <c r="GJ24" s="67">
        <f>IFERROR(VLOOKUP($B24,RD[#All],GJ$2,0)/GJ$1,"")</f>
        <v>2.8636363636363638</v>
      </c>
      <c r="GK24" s="67">
        <f>IFERROR(VLOOKUP($B24,RD[#All],GK$2,0)/GK$1,"")</f>
        <v>2.9503787878787877</v>
      </c>
      <c r="GL24" s="67">
        <f>IFERROR(VLOOKUP($B24,RD[#All],GL$2,0)/GL$1,"")</f>
        <v>3.0075757575757578</v>
      </c>
      <c r="GM24" s="67">
        <f>IFERROR(VLOOKUP($B24,RD[#All],GM$2,0)/GM$1,"")</f>
        <v>2.9886363636363638</v>
      </c>
      <c r="GN24" s="67">
        <f>IFERROR(VLOOKUP($B24,RD[#All],GN$2,0)/GN$1,"")</f>
        <v>2.9696969696969697</v>
      </c>
      <c r="GO24" s="67">
        <f>IFERROR(VLOOKUP($B24,RD[#All],GO$2,0)/GO$1,"")</f>
        <v>2.9621212121212119</v>
      </c>
      <c r="GP24" s="67">
        <f>IFERROR(VLOOKUP($B24,RD[#All],GP$2,0)/GP$1,"")</f>
        <v>3.0155303030303031</v>
      </c>
      <c r="GQ24" s="67">
        <f>IFERROR(VLOOKUP($B24,RD[#All],GQ$2,0)/GQ$1,"")</f>
        <v>2.8818181818181818</v>
      </c>
      <c r="GR24" s="67">
        <f>IFERROR(VLOOKUP($B24,RD[#All],GR$2,0)/GR$1,"")</f>
        <v>2.9886363636363638</v>
      </c>
      <c r="GS24" s="67" t="str">
        <f>IFERROR(VLOOKUP($B24,RD[#All],GS$2,0)/GS$1,"")</f>
        <v/>
      </c>
      <c r="GT24" s="67" t="str">
        <f>IFERROR(VLOOKUP($B24,RD[#All],GT$2,0)/GT$1,"")</f>
        <v/>
      </c>
      <c r="GU24" s="67">
        <f>IFERROR(VLOOKUP($B24,RD[#All],GU$2,0)/GU$1,"")</f>
        <v>3.0909850483729109</v>
      </c>
      <c r="GV24" s="67">
        <f>IFERROR(VLOOKUP($B24,RD[#All],GV$2,0)/GV$1,"")</f>
        <v>2.9156816390858946</v>
      </c>
      <c r="GW24" s="67">
        <f>IFERROR(VLOOKUP($B24,RD[#All],GW$2,0)/GW$1,"")</f>
        <v>2.9305247597930522</v>
      </c>
      <c r="GX24" s="67" t="str">
        <f>IFERROR(VLOOKUP($B24,RD[#All],GX$2,0)/GX$1,"")</f>
        <v/>
      </c>
      <c r="GY24" s="67">
        <f>IFERROR(VLOOKUP($B24,RD[#All],GY$2,0)/GY$1,"")</f>
        <v>2.8981544771018455</v>
      </c>
      <c r="GZ24" s="67">
        <f>IFERROR(VLOOKUP($B24,RD[#All],GZ$2,0)/GZ$1,"")</f>
        <v>2.9625468164794007</v>
      </c>
      <c r="HA24" s="67">
        <f>IFERROR(VLOOKUP($B24,RD[#All],HA$2,0)/HA$1,"")</f>
        <v>2.946816479400749</v>
      </c>
      <c r="HB24" s="67">
        <f>IFERROR(VLOOKUP($B24,RD[#All],HB$2,0)/HB$1,"")</f>
        <v>2.9700374531835205</v>
      </c>
      <c r="HC24" s="67">
        <f>IFERROR(VLOOKUP($B24,RD[#All],HC$2,0)/HC$1,"")</f>
        <v>2.9850187265917603</v>
      </c>
      <c r="HD24" s="67">
        <f>IFERROR(VLOOKUP($B24,RD[#All],HD$2,0)/HD$1,"")</f>
        <v>2.9232209737827715</v>
      </c>
      <c r="HE24" s="67">
        <f>IFERROR(VLOOKUP($B24,RD[#All],HE$2,0)/HE$1,"")</f>
        <v>3.0037453183520597</v>
      </c>
      <c r="HF24" s="67">
        <f>IFERROR(VLOOKUP($B24,RD[#All],HF$2,0)/HF$1,"")</f>
        <v>3.0086142322097378</v>
      </c>
      <c r="HG24" s="67">
        <f>IFERROR(VLOOKUP($B24,RD[#All],HG$2,0)/HG$1,"")</f>
        <v>2.9213483146067416</v>
      </c>
      <c r="HH24" s="67">
        <f>IFERROR(VLOOKUP($B24,RD[#All],HH$2,0)/HH$1,"")</f>
        <v>2.9662921348314608</v>
      </c>
      <c r="HI24" s="67">
        <f>IFERROR(VLOOKUP($B24,RD[#All],HI$2,0)/HI$1,"")</f>
        <v>2.9850187265917603</v>
      </c>
      <c r="HJ24" s="67">
        <f>IFERROR(VLOOKUP($B24,RD[#All],HJ$2,0)/HJ$1,"")</f>
        <v>2.9400749063670411</v>
      </c>
      <c r="HK24" s="67">
        <f>IFERROR(VLOOKUP($B24,RD[#All],HK$2,0)/HK$1,"")</f>
        <v>2.9230129005409906</v>
      </c>
      <c r="HL24" s="67">
        <f>IFERROR(VLOOKUP($B24,RD[#All],HL$2,0)/HL$1,"")</f>
        <v>3.1121098626716601</v>
      </c>
      <c r="HM24" s="67">
        <f>IFERROR(VLOOKUP($B24,RD[#All],HM$2,0)/HM$1,"")</f>
        <v>3.0452306314375277</v>
      </c>
      <c r="HN24" s="67">
        <f>IFERROR(VLOOKUP($B24,RD[#All],HN$2,0)/HN$1,"")</f>
        <v>3.1258396775638153</v>
      </c>
      <c r="HO24" s="67">
        <f>IFERROR(VLOOKUP($B24,RD[#All],HO$2,0)/HO$1,"")</f>
        <v>3.1191222570532915</v>
      </c>
      <c r="HP24" s="67">
        <f>IFERROR(VLOOKUP($B24,RD[#All],HP$2,0)/HP$1,"")</f>
        <v>3.1222570532915359</v>
      </c>
      <c r="HQ24" s="67">
        <f>IFERROR(VLOOKUP($B24,RD[#All],HQ$2,0)/HQ$1,"")</f>
        <v>2.9350649350649354</v>
      </c>
      <c r="HR24" s="67">
        <f>IFERROR(VLOOKUP($B24,RD[#All],HR$2,0)/HR$1,"")</f>
        <v>2.9895746455379482</v>
      </c>
      <c r="HS24" s="67">
        <f>IFERROR(VLOOKUP($B24,RD[#All],HS$2,0)/HS$1,"")</f>
        <v>2.9914606741573033</v>
      </c>
      <c r="HT24" s="67">
        <f>IFERROR(VLOOKUP($B24,RD[#All],HT$2,0)/HT$1,"")</f>
        <v>2.9563046192259677</v>
      </c>
      <c r="HU24" s="67">
        <f>IFERROR(VLOOKUP($B24,RD[#All],HU$2,0)/HU$1,"")</f>
        <v>2.9420916162489195</v>
      </c>
      <c r="HV24" s="67">
        <f>IFERROR(VLOOKUP($B24,RD[#All],HV$2,0)/HV$1,"")</f>
        <v>2.9579948141745893</v>
      </c>
      <c r="HW24" s="67">
        <f>IFERROR(VLOOKUP($B24,RD[#All],HW$2,0)/HW$1,"")</f>
        <v>2.9986516853932583</v>
      </c>
      <c r="HX24" s="67">
        <f>IFERROR(VLOOKUP($B24,RD[#All],HX$2,0)/HX$1,"")</f>
        <v>2.9006050129645637</v>
      </c>
      <c r="HY24" s="67">
        <f>IFERROR(VLOOKUP($B24,RD[#All],HY$2,0)/HY$1,"")</f>
        <v>2.8997086974615063</v>
      </c>
      <c r="HZ24" s="67">
        <f>IFERROR(VLOOKUP($B24,RD[#All],HZ$2,0)/HZ$1,"")</f>
        <v>2.9776113191843527</v>
      </c>
      <c r="IA24" s="67">
        <f>IFERROR(VLOOKUP($B24,RD[#All],IA$2,0)/IA$1,"")</f>
        <v>2.8710178710178713</v>
      </c>
      <c r="IB24" s="67">
        <f>IFERROR(VLOOKUP($B24,RD[#All],IB$2,0)/IB$1,"")</f>
        <v>2.9567099567099571</v>
      </c>
      <c r="IC24" s="67">
        <f>IFERROR(VLOOKUP($B24,RD[#All],IC$2,0)/IC$1,"")</f>
        <v>2.9370629370629375</v>
      </c>
      <c r="ID24" s="67">
        <f>IFERROR(VLOOKUP($B24,RD[#All],ID$2,0)/ID$1,"")</f>
        <v>2.8896371118593338</v>
      </c>
      <c r="IE24" s="67">
        <f>IFERROR(VLOOKUP($B24,RD[#All],IE$2,0)/IE$1,"")</f>
        <v>2.9442424242424243</v>
      </c>
      <c r="IF24" s="67" t="str">
        <f>IFERROR(VLOOKUP($B24,RD[#All],IF$2,0)/IF$1,"")</f>
        <v/>
      </c>
      <c r="IG24" s="67">
        <f>IFERROR(VLOOKUP($B24,RD[#All],IG$2,0)/IG$1,"")</f>
        <v>2.9719784885366543</v>
      </c>
      <c r="IH24" s="67">
        <f>IFERROR(VLOOKUP($B24,RD[#All],IH$2,0)/IH$1,"")</f>
        <v>2.9014280738418665</v>
      </c>
      <c r="II24" s="67">
        <f>IFERROR(VLOOKUP($B24,RD[#All],II$2,0)/II$1,"")</f>
        <v>2.9154228855721391</v>
      </c>
      <c r="IJ24" s="67">
        <f>IFERROR(VLOOKUP($B24,RD[#All],IJ$2,0)/IJ$1,"")</f>
        <v>2.938645716423494</v>
      </c>
      <c r="IK24" s="67">
        <f>IFERROR(VLOOKUP($B24,RD[#All],IK$2,0)/IK$1,"")</f>
        <v>2.9685314685314688</v>
      </c>
      <c r="IL24" s="67" t="str">
        <f>IFERROR(VLOOKUP($B24,RD[#All],IL$2,0)/IL$1,"")</f>
        <v/>
      </c>
      <c r="IM24" s="67" t="str">
        <f>IFERROR(VLOOKUP($B24,RD[#All],IM$2,0)/IM$1,"")</f>
        <v/>
      </c>
      <c r="IN24" s="67">
        <f>IFERROR(VLOOKUP($B24,RD[#All],IN$2,0)/IN$1,"")</f>
        <v>3.0219435736677114</v>
      </c>
      <c r="IO24" s="67">
        <f>IFERROR(VLOOKUP($B24,RD[#All],IO$2,0)/IO$1,"")</f>
        <v>2.9780564263322886</v>
      </c>
      <c r="IP24" s="67">
        <f>IFERROR(VLOOKUP($B24,RD[#All],IP$2,0)/IP$1,"")</f>
        <v>3.3934390614816423</v>
      </c>
      <c r="IQ24" s="67">
        <f>IFERROR(VLOOKUP($B24,RD[#All],IQ$2,0)/IQ$1,"")</f>
        <v>2.8826728826728831</v>
      </c>
      <c r="IR24" s="67">
        <f>IFERROR(VLOOKUP($B24,RD[#All],IR$2,0)/IR$1,"")</f>
        <v>2.8689883913764511</v>
      </c>
      <c r="IS24" s="86">
        <f>IFERROR(AVERAGEIF(Inv_SY_B[[#This Row],[BLK1_INV1]:[BLK8_INV27]],"&gt;"&amp;0.1,Inv_SY_B[[#This Row],[BLK1_INV1]:[BLK8_INV27]]),"")</f>
        <v>2.94459804335182</v>
      </c>
    </row>
    <row r="25" spans="2:253" x14ac:dyDescent="0.25">
      <c r="B25" s="85">
        <f t="shared" si="0"/>
        <v>45851</v>
      </c>
      <c r="C25" s="67">
        <f>IFERROR(VLOOKUP($B25,RD[#All],C$2,0)/C$1,"")</f>
        <v>2.8003457216940362</v>
      </c>
      <c r="D25" s="67">
        <f>IFERROR(VLOOKUP($B25,RD[#All],D$2,0)/D$1,"")</f>
        <v>2.7899740708729475</v>
      </c>
      <c r="E25" s="67">
        <f>IFERROR(VLOOKUP($B25,RD[#All],E$2,0)/E$1,"")</f>
        <v>2.7640449438202248</v>
      </c>
      <c r="F25" s="67">
        <f>IFERROR(VLOOKUP($B25,RD[#All],F$2,0)/F$1,"")</f>
        <v>2.7752808988764044</v>
      </c>
      <c r="G25" s="67">
        <f>IFERROR(VLOOKUP($B25,RD[#All],G$2,0)/G$1,"")</f>
        <v>2.779256698357822</v>
      </c>
      <c r="H25" s="67">
        <f>IFERROR(VLOOKUP($B25,RD[#All],H$2,0)/H$1,"")</f>
        <v>2.7625468164794009</v>
      </c>
      <c r="I25" s="67">
        <f>IFERROR(VLOOKUP($B25,RD[#All],I$2,0)/I$1,"")</f>
        <v>2.7528089887640448</v>
      </c>
      <c r="J25" s="67">
        <f>IFERROR(VLOOKUP($B25,RD[#All],J$2,0)/J$1,"")</f>
        <v>2.7602996254681647</v>
      </c>
      <c r="K25" s="67">
        <f>IFERROR(VLOOKUP($B25,RD[#All],K$2,0)/K$1,"")</f>
        <v>2.7696179775280898</v>
      </c>
      <c r="L25" s="67">
        <f>IFERROR(VLOOKUP($B25,RD[#All],L$2,0)/L$1,"")</f>
        <v>2.7875955056179773</v>
      </c>
      <c r="M25" s="67">
        <f>IFERROR(VLOOKUP($B25,RD[#All],M$2,0)/M$1,"")</f>
        <v>2.7490636704119851</v>
      </c>
      <c r="N25" s="67">
        <f>IFERROR(VLOOKUP($B25,RD[#All],N$2,0)/N$1,"")</f>
        <v>2.7752808988764044</v>
      </c>
      <c r="O25" s="67">
        <f>IFERROR(VLOOKUP($B25,RD[#All],O$2,0)/O$1,"")</f>
        <v>2.7910112359550565</v>
      </c>
      <c r="P25" s="67">
        <f>IFERROR(VLOOKUP($B25,RD[#All],P$2,0)/P$1,"")</f>
        <v>2.7865168539325844</v>
      </c>
      <c r="Q25" s="67">
        <f>IFERROR(VLOOKUP($B25,RD[#All],Q$2,0)/Q$1,"")</f>
        <v>2.7340823970037453</v>
      </c>
      <c r="R25" s="67">
        <f>IFERROR(VLOOKUP($B25,RD[#All],R$2,0)/R$1,"")</f>
        <v>2.707865168539326</v>
      </c>
      <c r="S25" s="67">
        <f>IFERROR(VLOOKUP($B25,RD[#All],S$2,0)/S$1,"")</f>
        <v>2.7337078651685394</v>
      </c>
      <c r="T25" s="67">
        <f>IFERROR(VLOOKUP($B25,RD[#All],T$2,0)/T$1,"")</f>
        <v>2.762172284644195</v>
      </c>
      <c r="U25" s="67">
        <f>IFERROR(VLOOKUP($B25,RD[#All],U$2,0)/U$1,"")</f>
        <v>2.7675021607605879</v>
      </c>
      <c r="V25" s="67">
        <f>IFERROR(VLOOKUP($B25,RD[#All],V$2,0)/V$1,"")</f>
        <v>2.7740708729472772</v>
      </c>
      <c r="W25" s="67">
        <f>IFERROR(VLOOKUP($B25,RD[#All],W$2,0)/W$1,"")</f>
        <v>2.7490636704119851</v>
      </c>
      <c r="X25" s="67">
        <f>IFERROR(VLOOKUP($B25,RD[#All],X$2,0)/X$1,"")</f>
        <v>2.6689138576779028</v>
      </c>
      <c r="Y25" s="67">
        <f>IFERROR(VLOOKUP($B25,RD[#All],Y$2,0)/Y$1,"")</f>
        <v>2.7312013828867761</v>
      </c>
      <c r="Z25" s="67">
        <f>IFERROR(VLOOKUP($B25,RD[#All],Z$2,0)/Z$1,"")</f>
        <v>2.696629213483146</v>
      </c>
      <c r="AA25" s="67">
        <f>IFERROR(VLOOKUP($B25,RD[#All],AA$2,0)/AA$1,"")</f>
        <v>2.7312013828867761</v>
      </c>
      <c r="AB25" s="67">
        <f>IFERROR(VLOOKUP($B25,RD[#All],AB$2,0)/AB$1,"")</f>
        <v>2.7733794295592049</v>
      </c>
      <c r="AC25" s="67">
        <f>IFERROR(VLOOKUP($B25,RD[#All],AC$2,0)/AC$1,"")</f>
        <v>2.7598962834917891</v>
      </c>
      <c r="AD25" s="67">
        <f>IFERROR(VLOOKUP($B25,RD[#All],AD$2,0)/AD$1,"")</f>
        <v>2.7575530586766539</v>
      </c>
      <c r="AE25" s="67">
        <f>IFERROR(VLOOKUP($B25,RD[#All],AE$2,0)/AE$1,"")</f>
        <v>2.7525593008739073</v>
      </c>
      <c r="AF25" s="67">
        <f>IFERROR(VLOOKUP($B25,RD[#All],AF$2,0)/AF$1,"")</f>
        <v>2.7535580524344572</v>
      </c>
      <c r="AG25" s="67">
        <f>IFERROR(VLOOKUP($B25,RD[#All],AG$2,0)/AG$1,"")</f>
        <v>2.7771951727007909</v>
      </c>
      <c r="AH25" s="67">
        <f>IFERROR(VLOOKUP($B25,RD[#All],AH$2,0)/AH$1,"")</f>
        <v>2.7472326258843114</v>
      </c>
      <c r="AI25" s="67">
        <f>IFERROR(VLOOKUP($B25,RD[#All],AI$2,0)/AI$1,"")</f>
        <v>2.6615566037735849</v>
      </c>
      <c r="AJ25" s="67">
        <f>IFERROR(VLOOKUP($B25,RD[#All],AJ$2,0)/AJ$1,"")</f>
        <v>2.7499626363772229</v>
      </c>
      <c r="AK25" s="67">
        <f>IFERROR(VLOOKUP($B25,RD[#All],AK$2,0)/AK$1,"")</f>
        <v>2.7003745318352061</v>
      </c>
      <c r="AL25" s="67">
        <f>IFERROR(VLOOKUP($B25,RD[#All],AL$2,0)/AL$1,"")</f>
        <v>2.7099364335898297</v>
      </c>
      <c r="AM25" s="67">
        <f>IFERROR(VLOOKUP($B25,RD[#All],AM$2,0)/AM$1,"")</f>
        <v>2.7385767790262174</v>
      </c>
      <c r="AN25" s="67">
        <f>IFERROR(VLOOKUP($B25,RD[#All],AN$2,0)/AN$1,"")</f>
        <v>2.6591760299625467</v>
      </c>
      <c r="AO25" s="67">
        <f>IFERROR(VLOOKUP($B25,RD[#All],AO$2,0)/AO$1,"")</f>
        <v>2.7003745318352061</v>
      </c>
      <c r="AP25" s="67">
        <f>IFERROR(VLOOKUP($B25,RD[#All],AP$2,0)/AP$1,"")</f>
        <v>2.7265917602996255</v>
      </c>
      <c r="AQ25" s="67">
        <f>IFERROR(VLOOKUP($B25,RD[#All],AQ$2,0)/AQ$1,"")</f>
        <v>2.7116104868913857</v>
      </c>
      <c r="AR25" s="67">
        <f>IFERROR(VLOOKUP($B25,RD[#All],AR$2,0)/AR$1,"")</f>
        <v>2.7340823970037453</v>
      </c>
      <c r="AS25" s="67">
        <f>IFERROR(VLOOKUP($B25,RD[#All],AS$2,0)/AS$1,"")</f>
        <v>2.7003745318352061</v>
      </c>
      <c r="AT25" s="67">
        <f>IFERROR(VLOOKUP($B25,RD[#All],AT$2,0)/AT$1,"")</f>
        <v>2.6591760299625467</v>
      </c>
      <c r="AU25" s="67">
        <f>IFERROR(VLOOKUP($B25,RD[#All],AU$2,0)/AU$1,"")</f>
        <v>2.7303370786516852</v>
      </c>
      <c r="AV25" s="67">
        <f>IFERROR(VLOOKUP($B25,RD[#All],AV$2,0)/AV$1,"")</f>
        <v>2.7089887640449435</v>
      </c>
      <c r="AW25" s="67">
        <f>IFERROR(VLOOKUP($B25,RD[#All],AW$2,0)/AW$1,"")</f>
        <v>2.7381158167675022</v>
      </c>
      <c r="AX25" s="67">
        <f>IFERROR(VLOOKUP($B25,RD[#All],AX$2,0)/AX$1,"")</f>
        <v>2.6722846441947565</v>
      </c>
      <c r="AY25" s="67">
        <f>IFERROR(VLOOKUP($B25,RD[#All],AY$2,0)/AY$1,"")</f>
        <v>2.7002247191011235</v>
      </c>
      <c r="AZ25" s="67">
        <f>IFERROR(VLOOKUP($B25,RD[#All],AZ$2,0)/AZ$1,"")</f>
        <v>2.7146067415730335</v>
      </c>
      <c r="BA25" s="67">
        <f>IFERROR(VLOOKUP($B25,RD[#All],BA$2,0)/BA$1,"")</f>
        <v>2.7041198501872659</v>
      </c>
      <c r="BB25" s="67">
        <f>IFERROR(VLOOKUP($B25,RD[#All],BB$2,0)/BB$1,"")</f>
        <v>2.6947565543071161</v>
      </c>
      <c r="BC25" s="67">
        <f>IFERROR(VLOOKUP($B25,RD[#All],BC$2,0)/BC$1,"")</f>
        <v>2.7365792759051186</v>
      </c>
      <c r="BD25" s="67">
        <f>IFERROR(VLOOKUP($B25,RD[#All],BD$2,0)/BD$1,"")</f>
        <v>2.6916354556803994</v>
      </c>
      <c r="BE25" s="67">
        <f>IFERROR(VLOOKUP($B25,RD[#All],BE$2,0)/BE$1,"")</f>
        <v>2.6862575626620568</v>
      </c>
      <c r="BF25" s="67">
        <f>IFERROR(VLOOKUP($B25,RD[#All],BF$2,0)/BF$1,"")</f>
        <v>2.7332501040366211</v>
      </c>
      <c r="BG25" s="67">
        <f>IFERROR(VLOOKUP($B25,RD[#All],BG$2,0)/BG$1,"")</f>
        <v>2.7648772367873491</v>
      </c>
      <c r="BH25" s="67">
        <f>IFERROR(VLOOKUP($B25,RD[#All],BH$2,0)/BH$1,"")</f>
        <v>2.7471910112359552</v>
      </c>
      <c r="BI25" s="67">
        <f>IFERROR(VLOOKUP($B25,RD[#All],BI$2,0)/BI$1,"")</f>
        <v>2.7265917602996255</v>
      </c>
      <c r="BJ25" s="67">
        <f>IFERROR(VLOOKUP($B25,RD[#All],BJ$2,0)/BJ$1,"")</f>
        <v>2.7432376196421142</v>
      </c>
      <c r="BK25" s="67">
        <f>IFERROR(VLOOKUP($B25,RD[#All],BK$2,0)/BK$1,"")</f>
        <v>2.7097378277153559</v>
      </c>
      <c r="BL25" s="67">
        <f>IFERROR(VLOOKUP($B25,RD[#All],BL$2,0)/BL$1,"")</f>
        <v>2.7654734024757448</v>
      </c>
      <c r="BM25" s="67">
        <f>IFERROR(VLOOKUP($B25,RD[#All],BM$2,0)/BM$1,"")</f>
        <v>2.7176029962546817</v>
      </c>
      <c r="BN25" s="67">
        <f>IFERROR(VLOOKUP($B25,RD[#All],BN$2,0)/BN$1,"")</f>
        <v>2.7460815047021945</v>
      </c>
      <c r="BO25" s="67">
        <f>IFERROR(VLOOKUP($B25,RD[#All],BO$2,0)/BO$1,"")</f>
        <v>2.8311149524632668</v>
      </c>
      <c r="BP25" s="67">
        <f>IFERROR(VLOOKUP($B25,RD[#All],BP$2,0)/BP$1,"")</f>
        <v>2.8183232497839241</v>
      </c>
      <c r="BQ25" s="67">
        <f>IFERROR(VLOOKUP($B25,RD[#All],BQ$2,0)/BQ$1,"")</f>
        <v>2.8148660328435611</v>
      </c>
      <c r="BR25" s="67">
        <f>IFERROR(VLOOKUP($B25,RD[#All],BR$2,0)/BR$1,"")</f>
        <v>2.7813310285220396</v>
      </c>
      <c r="BS25" s="67">
        <f>IFERROR(VLOOKUP($B25,RD[#All],BS$2,0)/BS$1,"")</f>
        <v>2.8108614232209739</v>
      </c>
      <c r="BT25" s="67">
        <f>IFERROR(VLOOKUP($B25,RD[#All],BT$2,0)/BT$1,"")</f>
        <v>2.797752808988764</v>
      </c>
      <c r="BU25" s="67">
        <f>IFERROR(VLOOKUP($B25,RD[#All],BU$2,0)/BU$1,"")</f>
        <v>2.80936329588015</v>
      </c>
      <c r="BV25" s="67">
        <f>IFERROR(VLOOKUP($B25,RD[#All],BV$2,0)/BV$1,"")</f>
        <v>2.7962546816479401</v>
      </c>
      <c r="BW25" s="67">
        <f>IFERROR(VLOOKUP($B25,RD[#All],BW$2,0)/BW$1,"")</f>
        <v>2.8599250936329588</v>
      </c>
      <c r="BX25" s="67">
        <f>IFERROR(VLOOKUP($B25,RD[#All],BX$2,0)/BX$1,"")</f>
        <v>2.8247191011235957</v>
      </c>
      <c r="BY25" s="67">
        <f>IFERROR(VLOOKUP($B25,RD[#All],BY$2,0)/BY$1,"")</f>
        <v>2.8151477320016647</v>
      </c>
      <c r="BZ25" s="67">
        <f>IFERROR(VLOOKUP($B25,RD[#All],BZ$2,0)/BZ$1,"")</f>
        <v>2.788181439866833</v>
      </c>
      <c r="CA25" s="67">
        <f>IFERROR(VLOOKUP($B25,RD[#All],CA$2,0)/CA$1,"")</f>
        <v>2.8251352476071578</v>
      </c>
      <c r="CB25" s="67">
        <f>IFERROR(VLOOKUP($B25,RD[#All],CB$2,0)/CB$1,"")</f>
        <v>2.8000000000000003</v>
      </c>
      <c r="CC25" s="67">
        <f>IFERROR(VLOOKUP($B25,RD[#All],CC$2,0)/CC$1,"")</f>
        <v>2.7696629213483148</v>
      </c>
      <c r="CD25" s="67">
        <f>IFERROR(VLOOKUP($B25,RD[#All],CD$2,0)/CD$1,"")</f>
        <v>2.836646499567848</v>
      </c>
      <c r="CE25" s="67">
        <f>IFERROR(VLOOKUP($B25,RD[#All],CE$2,0)/CE$1,"")</f>
        <v>2.7771535580524342</v>
      </c>
      <c r="CF25" s="67">
        <f>IFERROR(VLOOKUP($B25,RD[#All],CF$2,0)/CF$1,"")</f>
        <v>2.8134831460674161</v>
      </c>
      <c r="CG25" s="67">
        <f>IFERROR(VLOOKUP($B25,RD[#All],CG$2,0)/CG$1,"")</f>
        <v>2.7303370786516852</v>
      </c>
      <c r="CH25" s="67">
        <f>IFERROR(VLOOKUP($B25,RD[#All],CH$2,0)/CH$1,"")</f>
        <v>2.8232209737827714</v>
      </c>
      <c r="CI25" s="67">
        <f>IFERROR(VLOOKUP($B25,RD[#All],CI$2,0)/CI$1,"")</f>
        <v>2.7666666666666671</v>
      </c>
      <c r="CJ25" s="67">
        <f>IFERROR(VLOOKUP($B25,RD[#All],CJ$2,0)/CJ$1,"")</f>
        <v>2.8052434456928839</v>
      </c>
      <c r="CK25" s="67">
        <f>IFERROR(VLOOKUP($B25,RD[#All],CK$2,0)/CK$1,"")</f>
        <v>2.7790262172284645</v>
      </c>
      <c r="CL25" s="67">
        <f>IFERROR(VLOOKUP($B25,RD[#All],CL$2,0)/CL$1,"")</f>
        <v>2.7614232209737826</v>
      </c>
      <c r="CM25" s="67">
        <f>IFERROR(VLOOKUP($B25,RD[#All],CM$2,0)/CM$1,"")</f>
        <v>2.803370786516854</v>
      </c>
      <c r="CN25" s="67">
        <f>IFERROR(VLOOKUP($B25,RD[#All],CN$2,0)/CN$1,"")</f>
        <v>2.7760299625468168</v>
      </c>
      <c r="CO25" s="67">
        <f>IFERROR(VLOOKUP($B25,RD[#All],CO$2,0)/CO$1,"")</f>
        <v>2.6984269662921347</v>
      </c>
      <c r="CP25" s="67">
        <f>IFERROR(VLOOKUP($B25,RD[#All],CP$2,0)/CP$1,"")</f>
        <v>2.8051858254105446</v>
      </c>
      <c r="CQ25" s="67">
        <f>IFERROR(VLOOKUP($B25,RD[#All],CQ$2,0)/CQ$1,"")</f>
        <v>2.8340823970037454</v>
      </c>
      <c r="CR25" s="67">
        <f>IFERROR(VLOOKUP($B25,RD[#All],CR$2,0)/CR$1,"")</f>
        <v>2.7397003745318353</v>
      </c>
      <c r="CS25" s="67">
        <f>IFERROR(VLOOKUP($B25,RD[#All],CS$2,0)/CS$1,"")</f>
        <v>2.8031627132750727</v>
      </c>
      <c r="CT25" s="67">
        <f>IFERROR(VLOOKUP($B25,RD[#All],CT$2,0)/CT$1,"")</f>
        <v>2.7041198501872659</v>
      </c>
      <c r="CU25" s="67">
        <f>IFERROR(VLOOKUP($B25,RD[#All],CU$2,0)/CU$1,"")</f>
        <v>2.7265917602996255</v>
      </c>
      <c r="CV25" s="67">
        <f>IFERROR(VLOOKUP($B25,RD[#All],CV$2,0)/CV$1,"")</f>
        <v>2.7003745318352061</v>
      </c>
      <c r="CW25" s="67">
        <f>IFERROR(VLOOKUP($B25,RD[#All],CW$2,0)/CW$1,"")</f>
        <v>2.7191011235955056</v>
      </c>
      <c r="CX25" s="67">
        <f>IFERROR(VLOOKUP($B25,RD[#All],CX$2,0)/CX$1,"")</f>
        <v>2.7228464419475658</v>
      </c>
      <c r="CY25" s="67">
        <f>IFERROR(VLOOKUP($B25,RD[#All],CY$2,0)/CY$1,"")</f>
        <v>2.7003745318352061</v>
      </c>
      <c r="CZ25" s="67">
        <f>IFERROR(VLOOKUP($B25,RD[#All],CZ$2,0)/CZ$1,"")</f>
        <v>2.7453183520599249</v>
      </c>
      <c r="DA25" s="67">
        <f>IFERROR(VLOOKUP($B25,RD[#All],DA$2,0)/DA$1,"")</f>
        <v>2.7415730337078652</v>
      </c>
      <c r="DB25" s="67">
        <f>IFERROR(VLOOKUP($B25,RD[#All],DB$2,0)/DB$1,"")</f>
        <v>2.6928838951310863</v>
      </c>
      <c r="DC25" s="67">
        <f>IFERROR(VLOOKUP($B25,RD[#All],DC$2,0)/DC$1,"")</f>
        <v>2.740241364960466</v>
      </c>
      <c r="DD25" s="67">
        <f>IFERROR(VLOOKUP($B25,RD[#All],DD$2,0)/DD$1,"")</f>
        <v>2.7419475655430712</v>
      </c>
      <c r="DE25" s="67">
        <f>IFERROR(VLOOKUP($B25,RD[#All],DE$2,0)/DE$1,"")</f>
        <v>2.6962962962962962</v>
      </c>
      <c r="DF25" s="67">
        <f>IFERROR(VLOOKUP($B25,RD[#All],DF$2,0)/DF$1,"")</f>
        <v>2.7751756440281032</v>
      </c>
      <c r="DG25" s="67">
        <f>IFERROR(VLOOKUP($B25,RD[#All],DG$2,0)/DG$1,"")</f>
        <v>2.7265917602996255</v>
      </c>
      <c r="DH25" s="67">
        <f>IFERROR(VLOOKUP($B25,RD[#All],DH$2,0)/DH$1,"")</f>
        <v>2.7652101539741989</v>
      </c>
      <c r="DI25" s="67">
        <f>IFERROR(VLOOKUP($B25,RD[#All],DI$2,0)/DI$1,"")</f>
        <v>2.7156439066551425</v>
      </c>
      <c r="DJ25" s="67">
        <f>IFERROR(VLOOKUP($B25,RD[#All],DJ$2,0)/DJ$1,"")</f>
        <v>2.7367329299913572</v>
      </c>
      <c r="DK25" s="67">
        <f>IFERROR(VLOOKUP($B25,RD[#All],DK$2,0)/DK$1,"")</f>
        <v>2.7365792759051186</v>
      </c>
      <c r="DL25" s="67">
        <f>IFERROR(VLOOKUP($B25,RD[#All],DL$2,0)/DL$1,"")</f>
        <v>2.7432376196421142</v>
      </c>
      <c r="DM25" s="67">
        <f>IFERROR(VLOOKUP($B25,RD[#All],DM$2,0)/DM$1,"")</f>
        <v>2.696629213483146</v>
      </c>
      <c r="DN25" s="67">
        <f>IFERROR(VLOOKUP($B25,RD[#All],DN$2,0)/DN$1,"")</f>
        <v>2.7430711610486891</v>
      </c>
      <c r="DO25" s="67">
        <f>IFERROR(VLOOKUP($B25,RD[#All],DO$2,0)/DO$1,"")</f>
        <v>2.7025761124121779</v>
      </c>
      <c r="DP25" s="67">
        <f>IFERROR(VLOOKUP($B25,RD[#All],DP$2,0)/DP$1,"")</f>
        <v>2.7032875572201416</v>
      </c>
      <c r="DQ25" s="67">
        <f>IFERROR(VLOOKUP($B25,RD[#All],DQ$2,0)/DQ$1,"")</f>
        <v>2.7732001664585932</v>
      </c>
      <c r="DR25" s="67">
        <f>IFERROR(VLOOKUP($B25,RD[#All],DR$2,0)/DR$1,"")</f>
        <v>2.7363295880149812</v>
      </c>
      <c r="DS25" s="67">
        <f>IFERROR(VLOOKUP($B25,RD[#All],DS$2,0)/DS$1,"")</f>
        <v>2.7509363295880149</v>
      </c>
      <c r="DT25" s="67">
        <f>IFERROR(VLOOKUP($B25,RD[#All],DT$2,0)/DT$1,"")</f>
        <v>2.7265917602996255</v>
      </c>
      <c r="DU25" s="67">
        <f>IFERROR(VLOOKUP($B25,RD[#All],DU$2,0)/DU$1,"")</f>
        <v>2.7432376196421142</v>
      </c>
      <c r="DV25" s="67">
        <f>IFERROR(VLOOKUP($B25,RD[#All],DV$2,0)/DV$1,"")</f>
        <v>2.7288389513108613</v>
      </c>
      <c r="DW25" s="67">
        <f>IFERROR(VLOOKUP($B25,RD[#All],DW$2,0)/DW$1,"")</f>
        <v>2.6692883895131088</v>
      </c>
      <c r="DX25" s="67">
        <f>IFERROR(VLOOKUP($B25,RD[#All],DX$2,0)/DX$1,"")</f>
        <v>2.7382438618393676</v>
      </c>
      <c r="DY25" s="67">
        <f>IFERROR(VLOOKUP($B25,RD[#All],DY$2,0)/DY$1,"")</f>
        <v>2.6951310861423221</v>
      </c>
      <c r="DZ25" s="67">
        <f>IFERROR(VLOOKUP($B25,RD[#All],DZ$2,0)/DZ$1,"")</f>
        <v>2.7041198501872659</v>
      </c>
      <c r="EA25" s="67">
        <f>IFERROR(VLOOKUP($B25,RD[#All],EA$2,0)/EA$1,"")</f>
        <v>2.6999583853516436</v>
      </c>
      <c r="EB25" s="67">
        <f>IFERROR(VLOOKUP($B25,RD[#All],EB$2,0)/EB$1,"")</f>
        <v>2.6796504369538074</v>
      </c>
      <c r="EC25" s="67">
        <f>IFERROR(VLOOKUP($B25,RD[#All],EC$2,0)/EC$1,"")</f>
        <v>2.6620570440795159</v>
      </c>
      <c r="ED25" s="67">
        <f>IFERROR(VLOOKUP($B25,RD[#All],ED$2,0)/ED$1,"")</f>
        <v>2.7554019014693174</v>
      </c>
      <c r="EE25" s="67">
        <f>IFERROR(VLOOKUP($B25,RD[#All],EE$2,0)/EE$1,"")</f>
        <v>2.7885911840968021</v>
      </c>
      <c r="EF25" s="67">
        <f>IFERROR(VLOOKUP($B25,RD[#All],EF$2,0)/EF$1,"")</f>
        <v>2.7987742594484168</v>
      </c>
      <c r="EG25" s="67">
        <f>IFERROR(VLOOKUP($B25,RD[#All],EG$2,0)/EG$1,"")</f>
        <v>2.7272727272727271</v>
      </c>
      <c r="EH25" s="67">
        <f>IFERROR(VLOOKUP($B25,RD[#All],EH$2,0)/EH$1,"")</f>
        <v>2.7087412587412589</v>
      </c>
      <c r="EI25" s="67">
        <f>IFERROR(VLOOKUP($B25,RD[#All],EI$2,0)/EI$1,"")</f>
        <v>2.6958041958041958</v>
      </c>
      <c r="EJ25" s="67">
        <f>IFERROR(VLOOKUP($B25,RD[#All],EJ$2,0)/EJ$1,"")</f>
        <v>2.7307692307692308</v>
      </c>
      <c r="EK25" s="67">
        <f>IFERROR(VLOOKUP($B25,RD[#All],EK$2,0)/EK$1,"")</f>
        <v>2.7289887640449439</v>
      </c>
      <c r="EL25" s="67">
        <f>IFERROR(VLOOKUP($B25,RD[#All],EL$2,0)/EL$1,"")</f>
        <v>2.7565543071161049</v>
      </c>
      <c r="EM25" s="67">
        <f>IFERROR(VLOOKUP($B25,RD[#All],EM$2,0)/EM$1,"")</f>
        <v>2.7401901469317202</v>
      </c>
      <c r="EN25" s="67">
        <f>IFERROR(VLOOKUP($B25,RD[#All],EN$2,0)/EN$1,"")</f>
        <v>2.7090751944684528</v>
      </c>
      <c r="EO25" s="67">
        <f>IFERROR(VLOOKUP($B25,RD[#All],EO$2,0)/EO$1,"")</f>
        <v>2.7584269662921348</v>
      </c>
      <c r="EP25" s="67">
        <f>IFERROR(VLOOKUP($B25,RD[#All],EP$2,0)/EP$1,"")</f>
        <v>2.7439930855661196</v>
      </c>
      <c r="EQ25" s="67">
        <f>IFERROR(VLOOKUP($B25,RD[#All],EQ$2,0)/EQ$1,"")</f>
        <v>2.7153558052434459</v>
      </c>
      <c r="ER25" s="67">
        <f>IFERROR(VLOOKUP($B25,RD[#All],ER$2,0)/ER$1,"")</f>
        <v>2.7733794295592049</v>
      </c>
      <c r="ES25" s="67">
        <f>IFERROR(VLOOKUP($B25,RD[#All],ES$2,0)/ES$1,"")</f>
        <v>2.7715355805243447</v>
      </c>
      <c r="ET25" s="67">
        <f>IFERROR(VLOOKUP($B25,RD[#All],ET$2,0)/ET$1,"")</f>
        <v>2.696629213483146</v>
      </c>
      <c r="EU25" s="67">
        <f>IFERROR(VLOOKUP($B25,RD[#All],EU$2,0)/EU$1,"")</f>
        <v>2.7958513396715645</v>
      </c>
      <c r="EV25" s="67">
        <f>IFERROR(VLOOKUP($B25,RD[#All],EV$2,0)/EV$1,"")</f>
        <v>2.7312013828867761</v>
      </c>
      <c r="EW25" s="67">
        <f>IFERROR(VLOOKUP($B25,RD[#All],EW$2,0)/EW$1,"")</f>
        <v>2.7346585998271391</v>
      </c>
      <c r="EX25" s="67">
        <f>IFERROR(VLOOKUP($B25,RD[#All],EX$2,0)/EX$1,"")</f>
        <v>2.7265917602996255</v>
      </c>
      <c r="EY25" s="67">
        <f>IFERROR(VLOOKUP($B25,RD[#All],EY$2,0)/EY$1,"")</f>
        <v>2.7146067415730335</v>
      </c>
      <c r="EZ25" s="67">
        <f>IFERROR(VLOOKUP($B25,RD[#All],EZ$2,0)/EZ$1,"")</f>
        <v>2.707865168539326</v>
      </c>
      <c r="FA25" s="67">
        <f>IFERROR(VLOOKUP($B25,RD[#All],FA$2,0)/FA$1,"")</f>
        <v>2.7453183520599249</v>
      </c>
      <c r="FB25" s="67">
        <f>IFERROR(VLOOKUP($B25,RD[#All],FB$2,0)/FB$1,"")</f>
        <v>2.7588014981273408</v>
      </c>
      <c r="FC25" s="67">
        <f>IFERROR(VLOOKUP($B25,RD[#All],FC$2,0)/FC$1,"")</f>
        <v>2.7468164794007488</v>
      </c>
      <c r="FD25" s="67">
        <f>IFERROR(VLOOKUP($B25,RD[#All],FD$2,0)/FD$1,"")</f>
        <v>2.7850187265917605</v>
      </c>
      <c r="FE25" s="67">
        <f>IFERROR(VLOOKUP($B25,RD[#All],FE$2,0)/FE$1,"")</f>
        <v>2.75</v>
      </c>
      <c r="FF25" s="67">
        <f>IFERROR(VLOOKUP($B25,RD[#All],FF$2,0)/FF$1,"")</f>
        <v>2.7272727272727271</v>
      </c>
      <c r="FG25" s="67">
        <f>IFERROR(VLOOKUP($B25,RD[#All],FG$2,0)/FG$1,"")</f>
        <v>2.6902356902356903</v>
      </c>
      <c r="FH25" s="67">
        <f>IFERROR(VLOOKUP($B25,RD[#All],FH$2,0)/FH$1,"")</f>
        <v>2.7386363636363638</v>
      </c>
      <c r="FI25" s="67">
        <f>IFERROR(VLOOKUP($B25,RD[#All],FI$2,0)/FI$1,"")</f>
        <v>2.7306397306397305</v>
      </c>
      <c r="FJ25" s="67">
        <f>IFERROR(VLOOKUP($B25,RD[#All],FJ$2,0)/FJ$1,"")</f>
        <v>2.6969696969696968</v>
      </c>
      <c r="FK25" s="67">
        <f>IFERROR(VLOOKUP($B25,RD[#All],FK$2,0)/FK$1,"")</f>
        <v>2.7387205387205387</v>
      </c>
      <c r="FL25" s="67">
        <f>IFERROR(VLOOKUP($B25,RD[#All],FL$2,0)/FL$1,"")</f>
        <v>2.6945454545454544</v>
      </c>
      <c r="FM25" s="67">
        <f>IFERROR(VLOOKUP($B25,RD[#All],FM$2,0)/FM$1,"")</f>
        <v>2.7992424242424243</v>
      </c>
      <c r="FN25" s="67">
        <f>IFERROR(VLOOKUP($B25,RD[#All],FN$2,0)/FN$1,"")</f>
        <v>2.65993265993266</v>
      </c>
      <c r="FO25" s="67">
        <f>IFERROR(VLOOKUP($B25,RD[#All],FO$2,0)/FO$1,"")</f>
        <v>2.709848484848485</v>
      </c>
      <c r="FP25" s="67">
        <f>IFERROR(VLOOKUP($B25,RD[#All],FP$2,0)/FP$1,"")</f>
        <v>2.6727272727272728</v>
      </c>
      <c r="FQ25" s="67">
        <f>IFERROR(VLOOKUP($B25,RD[#All],FQ$2,0)/FQ$1,"")</f>
        <v>2.7454545454545456</v>
      </c>
      <c r="FR25" s="67">
        <f>IFERROR(VLOOKUP($B25,RD[#All],FR$2,0)/FR$1,"")</f>
        <v>2.6825454545454548</v>
      </c>
      <c r="FS25" s="67">
        <f>IFERROR(VLOOKUP($B25,RD[#All],FS$2,0)/FS$1,"")</f>
        <v>2.6666666666666665</v>
      </c>
      <c r="FT25" s="67">
        <f>IFERROR(VLOOKUP($B25,RD[#All],FT$2,0)/FT$1,"")</f>
        <v>2.6872727272727275</v>
      </c>
      <c r="FU25" s="67">
        <f>IFERROR(VLOOKUP($B25,RD[#All],FU$2,0)/FU$1,"")</f>
        <v>2.6905723905723908</v>
      </c>
      <c r="FV25" s="67">
        <f>IFERROR(VLOOKUP($B25,RD[#All],FV$2,0)/FV$1,"")</f>
        <v>2.731060606060606</v>
      </c>
      <c r="FW25" s="67">
        <f>IFERROR(VLOOKUP($B25,RD[#All],FW$2,0)/FW$1,"")</f>
        <v>2.7386363636363638</v>
      </c>
      <c r="FX25" s="67">
        <f>IFERROR(VLOOKUP($B25,RD[#All],FX$2,0)/FX$1,"")</f>
        <v>2.7613636363636362</v>
      </c>
      <c r="FY25" s="67">
        <f>IFERROR(VLOOKUP($B25,RD[#All],FY$2,0)/FY$1,"")</f>
        <v>2.6969696969696968</v>
      </c>
      <c r="FZ25" s="67">
        <f>IFERROR(VLOOKUP($B25,RD[#All],FZ$2,0)/FZ$1,"")</f>
        <v>2.731060606060606</v>
      </c>
      <c r="GA25" s="67">
        <f>IFERROR(VLOOKUP($B25,RD[#All],GA$2,0)/GA$1,"")</f>
        <v>2.7097902097902096</v>
      </c>
      <c r="GB25" s="67">
        <f>IFERROR(VLOOKUP($B25,RD[#All],GB$2,0)/GB$1,"")</f>
        <v>2.6969696969696968</v>
      </c>
      <c r="GC25" s="67">
        <f>IFERROR(VLOOKUP($B25,RD[#All],GC$2,0)/GC$1,"")</f>
        <v>2.7239057239057241</v>
      </c>
      <c r="GD25" s="67">
        <f>IFERROR(VLOOKUP($B25,RD[#All],GD$2,0)/GD$1,"")</f>
        <v>2.7356363636363636</v>
      </c>
      <c r="GE25" s="67">
        <f>IFERROR(VLOOKUP($B25,RD[#All],GE$2,0)/GE$1,"")</f>
        <v>2.6958041958041958</v>
      </c>
      <c r="GF25" s="67">
        <f>IFERROR(VLOOKUP($B25,RD[#All],GF$2,0)/GF$1,"")</f>
        <v>2.6632996632996635</v>
      </c>
      <c r="GG25" s="67">
        <f>IFERROR(VLOOKUP($B25,RD[#All],GG$2,0)/GG$1,"")</f>
        <v>2.6763636363636363</v>
      </c>
      <c r="GH25" s="67">
        <f>IFERROR(VLOOKUP($B25,RD[#All],GH$2,0)/GH$1,"")</f>
        <v>2.669090909090909</v>
      </c>
      <c r="GI25" s="67">
        <f>IFERROR(VLOOKUP($B25,RD[#All],GI$2,0)/GI$1,"")</f>
        <v>2.7018181818181817</v>
      </c>
      <c r="GJ25" s="67">
        <f>IFERROR(VLOOKUP($B25,RD[#All],GJ$2,0)/GJ$1,"")</f>
        <v>2.7132867132867133</v>
      </c>
      <c r="GK25" s="67">
        <f>IFERROR(VLOOKUP($B25,RD[#All],GK$2,0)/GK$1,"")</f>
        <v>2.7140151515151514</v>
      </c>
      <c r="GL25" s="67">
        <f>IFERROR(VLOOKUP($B25,RD[#All],GL$2,0)/GL$1,"")</f>
        <v>2.7022727272727272</v>
      </c>
      <c r="GM25" s="67">
        <f>IFERROR(VLOOKUP($B25,RD[#All],GM$2,0)/GM$1,"")</f>
        <v>2.7386363636363638</v>
      </c>
      <c r="GN25" s="67">
        <f>IFERROR(VLOOKUP($B25,RD[#All],GN$2,0)/GN$1,"")</f>
        <v>2.7462121212121211</v>
      </c>
      <c r="GO25" s="67">
        <f>IFERROR(VLOOKUP($B25,RD[#All],GO$2,0)/GO$1,"")</f>
        <v>2.6844696969696971</v>
      </c>
      <c r="GP25" s="67">
        <f>IFERROR(VLOOKUP($B25,RD[#All],GP$2,0)/GP$1,"")</f>
        <v>2.7234848484848486</v>
      </c>
      <c r="GQ25" s="67">
        <f>IFERROR(VLOOKUP($B25,RD[#All],GQ$2,0)/GQ$1,"")</f>
        <v>2.7272727272727271</v>
      </c>
      <c r="GR25" s="67">
        <f>IFERROR(VLOOKUP($B25,RD[#All],GR$2,0)/GR$1,"")</f>
        <v>2.7386363636363638</v>
      </c>
      <c r="GS25" s="67" t="str">
        <f>IFERROR(VLOOKUP($B25,RD[#All],GS$2,0)/GS$1,"")</f>
        <v/>
      </c>
      <c r="GT25" s="67" t="str">
        <f>IFERROR(VLOOKUP($B25,RD[#All],GT$2,0)/GT$1,"")</f>
        <v/>
      </c>
      <c r="GU25" s="67">
        <f>IFERROR(VLOOKUP($B25,RD[#All],GU$2,0)/GU$1,"")</f>
        <v>2.8645558487247138</v>
      </c>
      <c r="GV25" s="67">
        <f>IFERROR(VLOOKUP($B25,RD[#All],GV$2,0)/GV$1,"")</f>
        <v>2.7370633044391912</v>
      </c>
      <c r="GW25" s="67">
        <f>IFERROR(VLOOKUP($B25,RD[#All],GW$2,0)/GW$1,"")</f>
        <v>2.7184035476718402</v>
      </c>
      <c r="GX25" s="67" t="str">
        <f>IFERROR(VLOOKUP($B25,RD[#All],GX$2,0)/GX$1,"")</f>
        <v/>
      </c>
      <c r="GY25" s="67">
        <f>IFERROR(VLOOKUP($B25,RD[#All],GY$2,0)/GY$1,"")</f>
        <v>2.7006151742993847</v>
      </c>
      <c r="GZ25" s="67">
        <f>IFERROR(VLOOKUP($B25,RD[#All],GZ$2,0)/GZ$1,"")</f>
        <v>2.7003745318352061</v>
      </c>
      <c r="HA25" s="67">
        <f>IFERROR(VLOOKUP($B25,RD[#All],HA$2,0)/HA$1,"")</f>
        <v>2.7584269662921348</v>
      </c>
      <c r="HB25" s="67">
        <f>IFERROR(VLOOKUP($B25,RD[#All],HB$2,0)/HB$1,"")</f>
        <v>2.7116104868913857</v>
      </c>
      <c r="HC25" s="67">
        <f>IFERROR(VLOOKUP($B25,RD[#All],HC$2,0)/HC$1,"")</f>
        <v>2.7303370786516852</v>
      </c>
      <c r="HD25" s="67">
        <f>IFERROR(VLOOKUP($B25,RD[#All],HD$2,0)/HD$1,"")</f>
        <v>2.6985018726591758</v>
      </c>
      <c r="HE25" s="67">
        <f>IFERROR(VLOOKUP($B25,RD[#All],HE$2,0)/HE$1,"")</f>
        <v>2.7153558052434459</v>
      </c>
      <c r="HF25" s="67">
        <f>IFERROR(VLOOKUP($B25,RD[#All],HF$2,0)/HF$1,"")</f>
        <v>2.737827715355805</v>
      </c>
      <c r="HG25" s="67">
        <f>IFERROR(VLOOKUP($B25,RD[#All],HG$2,0)/HG$1,"")</f>
        <v>2.7003745318352061</v>
      </c>
      <c r="HH25" s="67">
        <f>IFERROR(VLOOKUP($B25,RD[#All],HH$2,0)/HH$1,"")</f>
        <v>2.6928838951310863</v>
      </c>
      <c r="HI25" s="67">
        <f>IFERROR(VLOOKUP($B25,RD[#All],HI$2,0)/HI$1,"")</f>
        <v>2.7303370786516852</v>
      </c>
      <c r="HJ25" s="67">
        <f>IFERROR(VLOOKUP($B25,RD[#All],HJ$2,0)/HJ$1,"")</f>
        <v>2.7041198501872659</v>
      </c>
      <c r="HK25" s="67">
        <f>IFERROR(VLOOKUP($B25,RD[#All],HK$2,0)/HK$1,"")</f>
        <v>2.7032875572201416</v>
      </c>
      <c r="HL25" s="67">
        <f>IFERROR(VLOOKUP($B25,RD[#All],HL$2,0)/HL$1,"")</f>
        <v>2.8780690803162714</v>
      </c>
      <c r="HM25" s="67">
        <f>IFERROR(VLOOKUP($B25,RD[#All],HM$2,0)/HM$1,"")</f>
        <v>2.8392297357814598</v>
      </c>
      <c r="HN25" s="67">
        <f>IFERROR(VLOOKUP($B25,RD[#All],HN$2,0)/HN$1,"")</f>
        <v>2.8705776981639048</v>
      </c>
      <c r="HO25" s="67">
        <f>IFERROR(VLOOKUP($B25,RD[#All],HO$2,0)/HO$1,"")</f>
        <v>2.8735632183908044</v>
      </c>
      <c r="HP25" s="67">
        <f>IFERROR(VLOOKUP($B25,RD[#All],HP$2,0)/HP$1,"")</f>
        <v>2.9278996865203761</v>
      </c>
      <c r="HQ25" s="67">
        <f>IFERROR(VLOOKUP($B25,RD[#All],HQ$2,0)/HQ$1,"")</f>
        <v>2.7465127465127464</v>
      </c>
      <c r="HR25" s="67">
        <f>IFERROR(VLOOKUP($B25,RD[#All],HR$2,0)/HR$1,"")</f>
        <v>2.7510425354462051</v>
      </c>
      <c r="HS25" s="67">
        <f>IFERROR(VLOOKUP($B25,RD[#All],HS$2,0)/HS$1,"")</f>
        <v>2.772134831460674</v>
      </c>
      <c r="HT25" s="67">
        <f>IFERROR(VLOOKUP($B25,RD[#All],HT$2,0)/HT$1,"")</f>
        <v>2.7332501040366211</v>
      </c>
      <c r="HU25" s="67">
        <f>IFERROR(VLOOKUP($B25,RD[#All],HU$2,0)/HU$1,"")</f>
        <v>2.6897147796024199</v>
      </c>
      <c r="HV25" s="67">
        <f>IFERROR(VLOOKUP($B25,RD[#All],HV$2,0)/HV$1,"")</f>
        <v>2.7232497839239413</v>
      </c>
      <c r="HW25" s="67">
        <f>IFERROR(VLOOKUP($B25,RD[#All],HW$2,0)/HW$1,"")</f>
        <v>2.7973033707865169</v>
      </c>
      <c r="HX25" s="67">
        <f>IFERROR(VLOOKUP($B25,RD[#All],HX$2,0)/HX$1,"")</f>
        <v>2.6931719965427829</v>
      </c>
      <c r="HY25" s="67">
        <f>IFERROR(VLOOKUP($B25,RD[#All],HY$2,0)/HY$1,"")</f>
        <v>2.8004993757802747</v>
      </c>
      <c r="HZ25" s="67">
        <f>IFERROR(VLOOKUP($B25,RD[#All],HZ$2,0)/HZ$1,"")</f>
        <v>2.7598834789846025</v>
      </c>
      <c r="IA25" s="67">
        <f>IFERROR(VLOOKUP($B25,RD[#All],IA$2,0)/IA$1,"")</f>
        <v>2.7233877233877237</v>
      </c>
      <c r="IB25" s="67">
        <f>IFERROR(VLOOKUP($B25,RD[#All],IB$2,0)/IB$1,"")</f>
        <v>2.7287157287157289</v>
      </c>
      <c r="IC25" s="67">
        <f>IFERROR(VLOOKUP($B25,RD[#All],IC$2,0)/IC$1,"")</f>
        <v>2.7233877233877237</v>
      </c>
      <c r="ID25" s="67">
        <f>IFERROR(VLOOKUP($B25,RD[#All],ID$2,0)/ID$1,"")</f>
        <v>2.7272727272727271</v>
      </c>
      <c r="IE25" s="67">
        <f>IFERROR(VLOOKUP($B25,RD[#All],IE$2,0)/IE$1,"")</f>
        <v>2.694949494949495</v>
      </c>
      <c r="IF25" s="67" t="str">
        <f>IFERROR(VLOOKUP($B25,RD[#All],IF$2,0)/IF$1,"")</f>
        <v/>
      </c>
      <c r="IG25" s="67">
        <f>IFERROR(VLOOKUP($B25,RD[#All],IG$2,0)/IG$1,"")</f>
        <v>2.7993206906311916</v>
      </c>
      <c r="IH25" s="67">
        <f>IFERROR(VLOOKUP($B25,RD[#All],IH$2,0)/IH$1,"")</f>
        <v>2.6976663183559735</v>
      </c>
      <c r="II25" s="67">
        <f>IFERROR(VLOOKUP($B25,RD[#All],II$2,0)/II$1,"")</f>
        <v>2.7810945273631842</v>
      </c>
      <c r="IJ25" s="67">
        <f>IFERROR(VLOOKUP($B25,RD[#All],IJ$2,0)/IJ$1,"")</f>
        <v>2.6988402543958099</v>
      </c>
      <c r="IK25" s="67">
        <f>IFERROR(VLOOKUP($B25,RD[#All],IK$2,0)/IK$1,"")</f>
        <v>2.7039627039627043</v>
      </c>
      <c r="IL25" s="67" t="str">
        <f>IFERROR(VLOOKUP($B25,RD[#All],IL$2,0)/IL$1,"")</f>
        <v/>
      </c>
      <c r="IM25" s="67" t="str">
        <f>IFERROR(VLOOKUP($B25,RD[#All],IM$2,0)/IM$1,"")</f>
        <v/>
      </c>
      <c r="IN25" s="67">
        <f>IFERROR(VLOOKUP($B25,RD[#All],IN$2,0)/IN$1,"")</f>
        <v>2.8171368861024035</v>
      </c>
      <c r="IO25" s="67">
        <f>IFERROR(VLOOKUP($B25,RD[#All],IO$2,0)/IO$1,"")</f>
        <v>2.8252351097178683</v>
      </c>
      <c r="IP25" s="67">
        <f>IFERROR(VLOOKUP($B25,RD[#All],IP$2,0)/IP$1,"")</f>
        <v>3.1848794264610034</v>
      </c>
      <c r="IQ25" s="67">
        <f>IFERROR(VLOOKUP($B25,RD[#All],IQ$2,0)/IQ$1,"")</f>
        <v>2.7233877233877237</v>
      </c>
      <c r="IR25" s="67">
        <f>IFERROR(VLOOKUP($B25,RD[#All],IR$2,0)/IR$1,"")</f>
        <v>2.7446102819237148</v>
      </c>
      <c r="IS25" s="86">
        <f>IFERROR(AVERAGEIF(Inv_SY_B[[#This Row],[BLK1_INV1]:[BLK8_INV27]],"&gt;"&amp;0.1,Inv_SY_B[[#This Row],[BLK1_INV1]:[BLK8_INV27]]),"")</f>
        <v>2.7433000995659049</v>
      </c>
    </row>
    <row r="26" spans="2:253" x14ac:dyDescent="0.25">
      <c r="B26" s="85">
        <f t="shared" si="0"/>
        <v>45852</v>
      </c>
      <c r="C26" s="67">
        <f>IFERROR(VLOOKUP($B26,RD[#All],C$2,0)/C$1,"")</f>
        <v>3.6895419187554022</v>
      </c>
      <c r="D26" s="67">
        <f>IFERROR(VLOOKUP($B26,RD[#All],D$2,0)/D$1,"")</f>
        <v>3.7763180639585134</v>
      </c>
      <c r="E26" s="67">
        <f>IFERROR(VLOOKUP($B26,RD[#All],E$2,0)/E$1,"")</f>
        <v>3.7868913857677904</v>
      </c>
      <c r="F26" s="67">
        <f>IFERROR(VLOOKUP($B26,RD[#All],F$2,0)/F$1,"")</f>
        <v>3.7625468164794009</v>
      </c>
      <c r="G26" s="67">
        <f>IFERROR(VLOOKUP($B26,RD[#All],G$2,0)/G$1,"")</f>
        <v>3.7493517718236817</v>
      </c>
      <c r="H26" s="67">
        <f>IFERROR(VLOOKUP($B26,RD[#All],H$2,0)/H$1,"")</f>
        <v>3.7397003745318353</v>
      </c>
      <c r="I26" s="67">
        <f>IFERROR(VLOOKUP($B26,RD[#All],I$2,0)/I$1,"")</f>
        <v>3.7771535580524342</v>
      </c>
      <c r="J26" s="67">
        <f>IFERROR(VLOOKUP($B26,RD[#All],J$2,0)/J$1,"")</f>
        <v>3.8078651685393261</v>
      </c>
      <c r="K26" s="67">
        <f>IFERROR(VLOOKUP($B26,RD[#All],K$2,0)/K$1,"")</f>
        <v>3.7619775280898873</v>
      </c>
      <c r="L26" s="67">
        <f>IFERROR(VLOOKUP($B26,RD[#All],L$2,0)/L$1,"")</f>
        <v>3.7824719101123594</v>
      </c>
      <c r="M26" s="67">
        <f>IFERROR(VLOOKUP($B26,RD[#All],M$2,0)/M$1,"")</f>
        <v>3.737827715355805</v>
      </c>
      <c r="N26" s="67">
        <f>IFERROR(VLOOKUP($B26,RD[#All],N$2,0)/N$1,"")</f>
        <v>3.7228464419475658</v>
      </c>
      <c r="O26" s="67">
        <f>IFERROR(VLOOKUP($B26,RD[#All],O$2,0)/O$1,"")</f>
        <v>3.7838951310861422</v>
      </c>
      <c r="P26" s="67">
        <f>IFERROR(VLOOKUP($B26,RD[#All],P$2,0)/P$1,"")</f>
        <v>3.7466802860061286</v>
      </c>
      <c r="Q26" s="67">
        <f>IFERROR(VLOOKUP($B26,RD[#All],Q$2,0)/Q$1,"")</f>
        <v>3.7910112359550565</v>
      </c>
      <c r="R26" s="67">
        <f>IFERROR(VLOOKUP($B26,RD[#All],R$2,0)/R$1,"")</f>
        <v>3.7797752808988765</v>
      </c>
      <c r="S26" s="67">
        <f>IFERROR(VLOOKUP($B26,RD[#All],S$2,0)/S$1,"")</f>
        <v>3.7097378277153559</v>
      </c>
      <c r="T26" s="67">
        <f>IFERROR(VLOOKUP($B26,RD[#All],T$2,0)/T$1,"")</f>
        <v>3.7430711610486891</v>
      </c>
      <c r="U26" s="67">
        <f>IFERROR(VLOOKUP($B26,RD[#All],U$2,0)/U$1,"")</f>
        <v>3.7241140881590322</v>
      </c>
      <c r="V26" s="67">
        <f>IFERROR(VLOOKUP($B26,RD[#All],V$2,0)/V$1,"")</f>
        <v>3.7503889369057908</v>
      </c>
      <c r="W26" s="67">
        <f>IFERROR(VLOOKUP($B26,RD[#All],W$2,0)/W$1,"")</f>
        <v>3.7988764044943819</v>
      </c>
      <c r="X26" s="67">
        <f>IFERROR(VLOOKUP($B26,RD[#All],X$2,0)/X$1,"")</f>
        <v>3.6419475655430711</v>
      </c>
      <c r="Y26" s="67">
        <f>IFERROR(VLOOKUP($B26,RD[#All],Y$2,0)/Y$1,"")</f>
        <v>3.7683664649956783</v>
      </c>
      <c r="Z26" s="67">
        <f>IFERROR(VLOOKUP($B26,RD[#All],Z$2,0)/Z$1,"")</f>
        <v>3.7320016645859342</v>
      </c>
      <c r="AA26" s="67">
        <f>IFERROR(VLOOKUP($B26,RD[#All],AA$2,0)/AA$1,"")</f>
        <v>3.7372515125324113</v>
      </c>
      <c r="AB26" s="67">
        <f>IFERROR(VLOOKUP($B26,RD[#All],AB$2,0)/AB$1,"")</f>
        <v>3.7704407951598959</v>
      </c>
      <c r="AC26" s="67">
        <f>IFERROR(VLOOKUP($B26,RD[#All],AC$2,0)/AC$1,"")</f>
        <v>3.7531547104580811</v>
      </c>
      <c r="AD26" s="67">
        <f>IFERROR(VLOOKUP($B26,RD[#All],AD$2,0)/AD$1,"")</f>
        <v>3.7563046192259675</v>
      </c>
      <c r="AE26" s="67">
        <f>IFERROR(VLOOKUP($B26,RD[#All],AE$2,0)/AE$1,"")</f>
        <v>3.6607573866000829</v>
      </c>
      <c r="AF26" s="67">
        <f>IFERROR(VLOOKUP($B26,RD[#All],AF$2,0)/AF$1,"")</f>
        <v>3.6627548897211821</v>
      </c>
      <c r="AG26" s="67">
        <f>IFERROR(VLOOKUP($B26,RD[#All],AG$2,0)/AG$1,"")</f>
        <v>3.7469829379941739</v>
      </c>
      <c r="AH26" s="67">
        <f>IFERROR(VLOOKUP($B26,RD[#All],AH$2,0)/AH$1,"")</f>
        <v>3.780274656679151</v>
      </c>
      <c r="AI26" s="67">
        <f>IFERROR(VLOOKUP($B26,RD[#All],AI$2,0)/AI$1,"")</f>
        <v>3.695361635220126</v>
      </c>
      <c r="AJ26" s="67">
        <f>IFERROR(VLOOKUP($B26,RD[#All],AJ$2,0)/AJ$1,"")</f>
        <v>3.6843521147810487</v>
      </c>
      <c r="AK26" s="67">
        <f>IFERROR(VLOOKUP($B26,RD[#All],AK$2,0)/AK$1,"")</f>
        <v>3.6438202247191009</v>
      </c>
      <c r="AL26" s="67">
        <f>IFERROR(VLOOKUP($B26,RD[#All],AL$2,0)/AL$1,"")</f>
        <v>3.7102709936433591</v>
      </c>
      <c r="AM26" s="67">
        <f>IFERROR(VLOOKUP($B26,RD[#All],AM$2,0)/AM$1,"")</f>
        <v>3.6853932584269664</v>
      </c>
      <c r="AN26" s="67">
        <f>IFERROR(VLOOKUP($B26,RD[#All],AN$2,0)/AN$1,"")</f>
        <v>3.636704119850187</v>
      </c>
      <c r="AO26" s="67">
        <f>IFERROR(VLOOKUP($B26,RD[#All],AO$2,0)/AO$1,"")</f>
        <v>3.6629213483146068</v>
      </c>
      <c r="AP26" s="67">
        <f>IFERROR(VLOOKUP($B26,RD[#All],AP$2,0)/AP$1,"")</f>
        <v>3.69625468164794</v>
      </c>
      <c r="AQ26" s="67">
        <f>IFERROR(VLOOKUP($B26,RD[#All],AQ$2,0)/AQ$1,"")</f>
        <v>3.6516853932584268</v>
      </c>
      <c r="AR26" s="67">
        <f>IFERROR(VLOOKUP($B26,RD[#All],AR$2,0)/AR$1,"")</f>
        <v>3.6816479400749063</v>
      </c>
      <c r="AS26" s="67">
        <f>IFERROR(VLOOKUP($B26,RD[#All],AS$2,0)/AS$1,"")</f>
        <v>3.6741573033707864</v>
      </c>
      <c r="AT26" s="67">
        <f>IFERROR(VLOOKUP($B26,RD[#All],AT$2,0)/AT$1,"")</f>
        <v>3.7003745318352061</v>
      </c>
      <c r="AU26" s="67">
        <f>IFERROR(VLOOKUP($B26,RD[#All],AU$2,0)/AU$1,"")</f>
        <v>3.707865168539326</v>
      </c>
      <c r="AV26" s="67">
        <f>IFERROR(VLOOKUP($B26,RD[#All],AV$2,0)/AV$1,"")</f>
        <v>3.6779026217228465</v>
      </c>
      <c r="AW26" s="67">
        <f>IFERROR(VLOOKUP($B26,RD[#All],AW$2,0)/AW$1,"")</f>
        <v>3.6594641313742438</v>
      </c>
      <c r="AX26" s="67">
        <f>IFERROR(VLOOKUP($B26,RD[#All],AX$2,0)/AX$1,"")</f>
        <v>3.6730337078651689</v>
      </c>
      <c r="AY26" s="67">
        <f>IFERROR(VLOOKUP($B26,RD[#All],AY$2,0)/AY$1,"")</f>
        <v>3.6386516853932585</v>
      </c>
      <c r="AZ26" s="67">
        <f>IFERROR(VLOOKUP($B26,RD[#All],AZ$2,0)/AZ$1,"")</f>
        <v>3.6512359550561797</v>
      </c>
      <c r="BA26" s="67">
        <f>IFERROR(VLOOKUP($B26,RD[#All],BA$2,0)/BA$1,"")</f>
        <v>3.6853932584269664</v>
      </c>
      <c r="BB26" s="67">
        <f>IFERROR(VLOOKUP($B26,RD[#All],BB$2,0)/BB$1,"")</f>
        <v>3.6730337078651689</v>
      </c>
      <c r="BC26" s="67">
        <f>IFERROR(VLOOKUP($B26,RD[#All],BC$2,0)/BC$1,"")</f>
        <v>3.7919267582188931</v>
      </c>
      <c r="BD26" s="67">
        <f>IFERROR(VLOOKUP($B26,RD[#All],BD$2,0)/BD$1,"")</f>
        <v>3.6740740740740736</v>
      </c>
      <c r="BE26" s="67">
        <f>IFERROR(VLOOKUP($B26,RD[#All],BE$2,0)/BE$1,"")</f>
        <v>3.6957649092480551</v>
      </c>
      <c r="BF26" s="67">
        <f>IFERROR(VLOOKUP($B26,RD[#All],BF$2,0)/BF$1,"")</f>
        <v>3.7320016645859342</v>
      </c>
      <c r="BG26" s="67">
        <f>IFERROR(VLOOKUP($B26,RD[#All],BG$2,0)/BG$1,"")</f>
        <v>3.745984186433625</v>
      </c>
      <c r="BH26" s="67">
        <f>IFERROR(VLOOKUP($B26,RD[#All],BH$2,0)/BH$1,"")</f>
        <v>3.707865168539326</v>
      </c>
      <c r="BI26" s="67">
        <f>IFERROR(VLOOKUP($B26,RD[#All],BI$2,0)/BI$1,"")</f>
        <v>3.7320016645859342</v>
      </c>
      <c r="BJ26" s="67">
        <f>IFERROR(VLOOKUP($B26,RD[#All],BJ$2,0)/BJ$1,"")</f>
        <v>3.7519766957969205</v>
      </c>
      <c r="BK26" s="67">
        <f>IFERROR(VLOOKUP($B26,RD[#All],BK$2,0)/BK$1,"")</f>
        <v>3.7411985018726592</v>
      </c>
      <c r="BL26" s="67">
        <f>IFERROR(VLOOKUP($B26,RD[#All],BL$2,0)/BL$1,"")</f>
        <v>3.8022750083640018</v>
      </c>
      <c r="BM26" s="67">
        <f>IFERROR(VLOOKUP($B26,RD[#All],BM$2,0)/BM$1,"")</f>
        <v>3.6891385767790261</v>
      </c>
      <c r="BN26" s="67">
        <f>IFERROR(VLOOKUP($B26,RD[#All],BN$2,0)/BN$1,"")</f>
        <v>3.7659352142110762</v>
      </c>
      <c r="BO26" s="67">
        <f>IFERROR(VLOOKUP($B26,RD[#All],BO$2,0)/BO$1,"")</f>
        <v>3.8063958513396714</v>
      </c>
      <c r="BP26" s="67">
        <f>IFERROR(VLOOKUP($B26,RD[#All],BP$2,0)/BP$1,"")</f>
        <v>3.8703543647363872</v>
      </c>
      <c r="BQ26" s="67">
        <f>IFERROR(VLOOKUP($B26,RD[#All],BQ$2,0)/BQ$1,"")</f>
        <v>3.8340535868625758</v>
      </c>
      <c r="BR26" s="67">
        <f>IFERROR(VLOOKUP($B26,RD[#All],BR$2,0)/BR$1,"")</f>
        <v>3.8181503889369059</v>
      </c>
      <c r="BS26" s="67">
        <f>IFERROR(VLOOKUP($B26,RD[#All],BS$2,0)/BS$1,"")</f>
        <v>3.8775280898876403</v>
      </c>
      <c r="BT26" s="67">
        <f>IFERROR(VLOOKUP($B26,RD[#All],BT$2,0)/BT$1,"")</f>
        <v>3.8779026217228467</v>
      </c>
      <c r="BU26" s="67">
        <f>IFERROR(VLOOKUP($B26,RD[#All],BU$2,0)/BU$1,"")</f>
        <v>3.9029962546816477</v>
      </c>
      <c r="BV26" s="67">
        <f>IFERROR(VLOOKUP($B26,RD[#All],BV$2,0)/BV$1,"")</f>
        <v>3.8917602996254677</v>
      </c>
      <c r="BW26" s="67">
        <f>IFERROR(VLOOKUP($B26,RD[#All],BW$2,0)/BW$1,"")</f>
        <v>3.8651685393258428</v>
      </c>
      <c r="BX26" s="67">
        <f>IFERROR(VLOOKUP($B26,RD[#All],BX$2,0)/BX$1,"")</f>
        <v>3.8891385767790267</v>
      </c>
      <c r="BY26" s="67">
        <f>IFERROR(VLOOKUP($B26,RD[#All],BY$2,0)/BY$1,"")</f>
        <v>3.8904702455264251</v>
      </c>
      <c r="BZ26" s="67">
        <f>IFERROR(VLOOKUP($B26,RD[#All],BZ$2,0)/BZ$1,"")</f>
        <v>3.8322097378277151</v>
      </c>
      <c r="CA26" s="67">
        <f>IFERROR(VLOOKUP($B26,RD[#All],CA$2,0)/CA$1,"")</f>
        <v>3.9107781939242616</v>
      </c>
      <c r="CB26" s="67">
        <f>IFERROR(VLOOKUP($B26,RD[#All],CB$2,0)/CB$1,"")</f>
        <v>3.8883895131086144</v>
      </c>
      <c r="CC26" s="67">
        <f>IFERROR(VLOOKUP($B26,RD[#All],CC$2,0)/CC$1,"")</f>
        <v>3.8711610486891384</v>
      </c>
      <c r="CD26" s="67">
        <f>IFERROR(VLOOKUP($B26,RD[#All],CD$2,0)/CD$1,"")</f>
        <v>3.9101123595505616</v>
      </c>
      <c r="CE26" s="67">
        <f>IFERROR(VLOOKUP($B26,RD[#All],CE$2,0)/CE$1,"")</f>
        <v>3.8224719101123594</v>
      </c>
      <c r="CF26" s="67">
        <f>IFERROR(VLOOKUP($B26,RD[#All],CF$2,0)/CF$1,"")</f>
        <v>3.8625468164794006</v>
      </c>
      <c r="CG26" s="67">
        <f>IFERROR(VLOOKUP($B26,RD[#All],CG$2,0)/CG$1,"")</f>
        <v>3.8943820224719099</v>
      </c>
      <c r="CH26" s="67">
        <f>IFERROR(VLOOKUP($B26,RD[#All],CH$2,0)/CH$1,"")</f>
        <v>3.9433333333333329</v>
      </c>
      <c r="CI26" s="67">
        <f>IFERROR(VLOOKUP($B26,RD[#All],CI$2,0)/CI$1,"")</f>
        <v>3.8752808988764045</v>
      </c>
      <c r="CJ26" s="67">
        <f>IFERROR(VLOOKUP($B26,RD[#All],CJ$2,0)/CJ$1,"")</f>
        <v>3.9194756554307117</v>
      </c>
      <c r="CK26" s="67">
        <f>IFERROR(VLOOKUP($B26,RD[#All],CK$2,0)/CK$1,"")</f>
        <v>3.8880149812734079</v>
      </c>
      <c r="CL26" s="67">
        <f>IFERROR(VLOOKUP($B26,RD[#All],CL$2,0)/CL$1,"")</f>
        <v>3.8707865168539324</v>
      </c>
      <c r="CM26" s="67">
        <f>IFERROR(VLOOKUP($B26,RD[#All],CM$2,0)/CM$1,"")</f>
        <v>3.8913857677902621</v>
      </c>
      <c r="CN26" s="67">
        <f>IFERROR(VLOOKUP($B26,RD[#All],CN$2,0)/CN$1,"")</f>
        <v>3.8861423220973781</v>
      </c>
      <c r="CO26" s="67">
        <f>IFERROR(VLOOKUP($B26,RD[#All],CO$2,0)/CO$1,"")</f>
        <v>3.8385617977528086</v>
      </c>
      <c r="CP26" s="67">
        <f>IFERROR(VLOOKUP($B26,RD[#All],CP$2,0)/CP$1,"")</f>
        <v>3.9004321521175456</v>
      </c>
      <c r="CQ26" s="67">
        <f>IFERROR(VLOOKUP($B26,RD[#All],CQ$2,0)/CQ$1,"")</f>
        <v>3.8820224719101124</v>
      </c>
      <c r="CR26" s="67">
        <f>IFERROR(VLOOKUP($B26,RD[#All],CR$2,0)/CR$1,"")</f>
        <v>3.8539325842696628</v>
      </c>
      <c r="CS26" s="67">
        <f>IFERROR(VLOOKUP($B26,RD[#All],CS$2,0)/CS$1,"")</f>
        <v>3.8615064502704954</v>
      </c>
      <c r="CT26" s="67">
        <f>IFERROR(VLOOKUP($B26,RD[#All],CT$2,0)/CT$1,"")</f>
        <v>3.8183520599250937</v>
      </c>
      <c r="CU26" s="67">
        <f>IFERROR(VLOOKUP($B26,RD[#All],CU$2,0)/CU$1,"")</f>
        <v>3.8674157303370782</v>
      </c>
      <c r="CV26" s="67">
        <f>IFERROR(VLOOKUP($B26,RD[#All],CV$2,0)/CV$1,"")</f>
        <v>3.7041198501872659</v>
      </c>
      <c r="CW26" s="67">
        <f>IFERROR(VLOOKUP($B26,RD[#All],CW$2,0)/CW$1,"")</f>
        <v>3.7116104868913857</v>
      </c>
      <c r="CX26" s="67">
        <f>IFERROR(VLOOKUP($B26,RD[#All],CX$2,0)/CX$1,"")</f>
        <v>3.6816479400749063</v>
      </c>
      <c r="CY26" s="67">
        <f>IFERROR(VLOOKUP($B26,RD[#All],CY$2,0)/CY$1,"")</f>
        <v>3.6704119850187267</v>
      </c>
      <c r="CZ26" s="67">
        <f>IFERROR(VLOOKUP($B26,RD[#All],CZ$2,0)/CZ$1,"")</f>
        <v>3.7265917602996255</v>
      </c>
      <c r="DA26" s="67">
        <f>IFERROR(VLOOKUP($B26,RD[#All],DA$2,0)/DA$1,"")</f>
        <v>3.6853932584269664</v>
      </c>
      <c r="DB26" s="67">
        <f>IFERROR(VLOOKUP($B26,RD[#All],DB$2,0)/DB$1,"")</f>
        <v>3.8434456928838951</v>
      </c>
      <c r="DC26" s="67">
        <f>IFERROR(VLOOKUP($B26,RD[#All],DC$2,0)/DC$1,"")</f>
        <v>3.6993757802746567</v>
      </c>
      <c r="DD26" s="67">
        <f>IFERROR(VLOOKUP($B26,RD[#All],DD$2,0)/DD$1,"")</f>
        <v>3.6816479400749063</v>
      </c>
      <c r="DE26" s="67">
        <f>IFERROR(VLOOKUP($B26,RD[#All],DE$2,0)/DE$1,"")</f>
        <v>3.6960466084061592</v>
      </c>
      <c r="DF26" s="67">
        <f>IFERROR(VLOOKUP($B26,RD[#All],DF$2,0)/DF$1,"")</f>
        <v>3.6768149882903982</v>
      </c>
      <c r="DG26" s="67">
        <f>IFERROR(VLOOKUP($B26,RD[#All],DG$2,0)/DG$1,"")</f>
        <v>3.7606741573033711</v>
      </c>
      <c r="DH26" s="67">
        <f>IFERROR(VLOOKUP($B26,RD[#All],DH$2,0)/DH$1,"")</f>
        <v>3.7569704535996671</v>
      </c>
      <c r="DI26" s="67">
        <f>IFERROR(VLOOKUP($B26,RD[#All],DI$2,0)/DI$1,"")</f>
        <v>3.7030250648228171</v>
      </c>
      <c r="DJ26" s="67">
        <f>IFERROR(VLOOKUP($B26,RD[#All],DJ$2,0)/DJ$1,"")</f>
        <v>3.7790838375108033</v>
      </c>
      <c r="DK26" s="67">
        <f>IFERROR(VLOOKUP($B26,RD[#All],DK$2,0)/DK$1,"")</f>
        <v>3.7826050769870996</v>
      </c>
      <c r="DL26" s="67">
        <f>IFERROR(VLOOKUP($B26,RD[#All],DL$2,0)/DL$1,"")</f>
        <v>3.7489804411152723</v>
      </c>
      <c r="DM26" s="67">
        <f>IFERROR(VLOOKUP($B26,RD[#All],DM$2,0)/DM$1,"")</f>
        <v>3.7116104868913857</v>
      </c>
      <c r="DN26" s="67">
        <f>IFERROR(VLOOKUP($B26,RD[#All],DN$2,0)/DN$1,"")</f>
        <v>3.7632958801498124</v>
      </c>
      <c r="DO26" s="67">
        <f>IFERROR(VLOOKUP($B26,RD[#All],DO$2,0)/DO$1,"")</f>
        <v>3.6697892271662771</v>
      </c>
      <c r="DP26" s="67">
        <f>IFERROR(VLOOKUP($B26,RD[#All],DP$2,0)/DP$1,"")</f>
        <v>3.7652933832709112</v>
      </c>
      <c r="DQ26" s="67">
        <f>IFERROR(VLOOKUP($B26,RD[#All],DQ$2,0)/DQ$1,"")</f>
        <v>3.6967124427798588</v>
      </c>
      <c r="DR26" s="67">
        <f>IFERROR(VLOOKUP($B26,RD[#All],DR$2,0)/DR$1,"")</f>
        <v>3.7775280898876407</v>
      </c>
      <c r="DS26" s="67">
        <f>IFERROR(VLOOKUP($B26,RD[#All],DS$2,0)/DS$1,"")</f>
        <v>3.8000000000000003</v>
      </c>
      <c r="DT26" s="67">
        <f>IFERROR(VLOOKUP($B26,RD[#All],DT$2,0)/DT$1,"")</f>
        <v>3.6687473990844777</v>
      </c>
      <c r="DU26" s="67">
        <f>IFERROR(VLOOKUP($B26,RD[#All],DU$2,0)/DU$1,"")</f>
        <v>3.7057012068248021</v>
      </c>
      <c r="DV26" s="67">
        <f>IFERROR(VLOOKUP($B26,RD[#All],DV$2,0)/DV$1,"")</f>
        <v>3.6532209737827714</v>
      </c>
      <c r="DW26" s="67">
        <f>IFERROR(VLOOKUP($B26,RD[#All],DW$2,0)/DW$1,"")</f>
        <v>3.7168539325842698</v>
      </c>
      <c r="DX26" s="67">
        <f>IFERROR(VLOOKUP($B26,RD[#All],DX$2,0)/DX$1,"")</f>
        <v>3.7762796504369538</v>
      </c>
      <c r="DY26" s="67">
        <f>IFERROR(VLOOKUP($B26,RD[#All],DY$2,0)/DY$1,"")</f>
        <v>3.7588014981273408</v>
      </c>
      <c r="DZ26" s="67">
        <f>IFERROR(VLOOKUP($B26,RD[#All],DZ$2,0)/DZ$1,"")</f>
        <v>3.649438202247191</v>
      </c>
      <c r="EA26" s="67">
        <f>IFERROR(VLOOKUP($B26,RD[#All],EA$2,0)/EA$1,"")</f>
        <v>3.765626300457761</v>
      </c>
      <c r="EB26" s="67">
        <f>IFERROR(VLOOKUP($B26,RD[#All],EB$2,0)/EB$1,"")</f>
        <v>3.730669995838535</v>
      </c>
      <c r="EC26" s="67">
        <f>IFERROR(VLOOKUP($B26,RD[#All],EC$2,0)/EC$1,"")</f>
        <v>3.6663785652549699</v>
      </c>
      <c r="ED26" s="67">
        <f>IFERROR(VLOOKUP($B26,RD[#All],ED$2,0)/ED$1,"")</f>
        <v>3.7790838375108033</v>
      </c>
      <c r="EE26" s="67">
        <f>IFERROR(VLOOKUP($B26,RD[#All],EE$2,0)/EE$1,"")</f>
        <v>3.7704407951598959</v>
      </c>
      <c r="EF26" s="67">
        <f>IFERROR(VLOOKUP($B26,RD[#All],EF$2,0)/EF$1,"")</f>
        <v>3.6813074565883555</v>
      </c>
      <c r="EG26" s="67">
        <f>IFERROR(VLOOKUP($B26,RD[#All],EG$2,0)/EG$1,"")</f>
        <v>3.8216783216783217</v>
      </c>
      <c r="EH26" s="67">
        <f>IFERROR(VLOOKUP($B26,RD[#All],EH$2,0)/EH$1,"")</f>
        <v>3.7118881118881117</v>
      </c>
      <c r="EI26" s="67">
        <f>IFERROR(VLOOKUP($B26,RD[#All],EI$2,0)/EI$1,"")</f>
        <v>3.6727272727272728</v>
      </c>
      <c r="EJ26" s="67">
        <f>IFERROR(VLOOKUP($B26,RD[#All],EJ$2,0)/EJ$1,"")</f>
        <v>3.7097902097902096</v>
      </c>
      <c r="EK26" s="67">
        <f>IFERROR(VLOOKUP($B26,RD[#All],EK$2,0)/EK$1,"")</f>
        <v>3.7501123595505619</v>
      </c>
      <c r="EL26" s="67">
        <f>IFERROR(VLOOKUP($B26,RD[#All],EL$2,0)/EL$1,"")</f>
        <v>3.792134831460674</v>
      </c>
      <c r="EM26" s="67">
        <f>IFERROR(VLOOKUP($B26,RD[#All],EM$2,0)/EM$1,"")</f>
        <v>3.7780466724286947</v>
      </c>
      <c r="EN26" s="67">
        <f>IFERROR(VLOOKUP($B26,RD[#All],EN$2,0)/EN$1,"")</f>
        <v>3.745203111495246</v>
      </c>
      <c r="EO26" s="67">
        <f>IFERROR(VLOOKUP($B26,RD[#All],EO$2,0)/EO$1,"")</f>
        <v>3.7895131086142322</v>
      </c>
      <c r="EP26" s="67">
        <f>IFERROR(VLOOKUP($B26,RD[#All],EP$2,0)/EP$1,"")</f>
        <v>3.7846153846153849</v>
      </c>
      <c r="EQ26" s="67">
        <f>IFERROR(VLOOKUP($B26,RD[#All],EQ$2,0)/EQ$1,"")</f>
        <v>3.6992509363295882</v>
      </c>
      <c r="ER26" s="67">
        <f>IFERROR(VLOOKUP($B26,RD[#All],ER$2,0)/ER$1,"")</f>
        <v>3.7649092480553157</v>
      </c>
      <c r="ES26" s="67">
        <f>IFERROR(VLOOKUP($B26,RD[#All],ES$2,0)/ES$1,"")</f>
        <v>3.7116104868913857</v>
      </c>
      <c r="ET26" s="67">
        <f>IFERROR(VLOOKUP($B26,RD[#All],ET$2,0)/ET$1,"")</f>
        <v>3.7793667007150153</v>
      </c>
      <c r="EU26" s="67">
        <f>IFERROR(VLOOKUP($B26,RD[#All],EU$2,0)/EU$1,"")</f>
        <v>3.7683664649956783</v>
      </c>
      <c r="EV26" s="67">
        <f>IFERROR(VLOOKUP($B26,RD[#All],EV$2,0)/EV$1,"")</f>
        <v>3.8063958513396714</v>
      </c>
      <c r="EW26" s="67">
        <f>IFERROR(VLOOKUP($B26,RD[#All],EW$2,0)/EW$1,"")</f>
        <v>3.7711322385479686</v>
      </c>
      <c r="EX26" s="67">
        <f>IFERROR(VLOOKUP($B26,RD[#All],EX$2,0)/EX$1,"")</f>
        <v>3.8239700374531833</v>
      </c>
      <c r="EY26" s="67">
        <f>IFERROR(VLOOKUP($B26,RD[#All],EY$2,0)/EY$1,"")</f>
        <v>3.6840615896795668</v>
      </c>
      <c r="EZ26" s="67">
        <f>IFERROR(VLOOKUP($B26,RD[#All],EZ$2,0)/EZ$1,"")</f>
        <v>3.6741573033707864</v>
      </c>
      <c r="FA26" s="67">
        <f>IFERROR(VLOOKUP($B26,RD[#All],FA$2,0)/FA$1,"")</f>
        <v>3.6891385767790261</v>
      </c>
      <c r="FB26" s="67">
        <f>IFERROR(VLOOKUP($B26,RD[#All],FB$2,0)/FB$1,"")</f>
        <v>3.6741573033707864</v>
      </c>
      <c r="FC26" s="67">
        <f>IFERROR(VLOOKUP($B26,RD[#All],FC$2,0)/FC$1,"")</f>
        <v>3.707865168539326</v>
      </c>
      <c r="FD26" s="67">
        <f>IFERROR(VLOOKUP($B26,RD[#All],FD$2,0)/FD$1,"")</f>
        <v>3.6704119850187267</v>
      </c>
      <c r="FE26" s="67">
        <f>IFERROR(VLOOKUP($B26,RD[#All],FE$2,0)/FE$1,"")</f>
        <v>3.6969696969696968</v>
      </c>
      <c r="FF26" s="67">
        <f>IFERROR(VLOOKUP($B26,RD[#All],FF$2,0)/FF$1,"")</f>
        <v>3.7568181818181818</v>
      </c>
      <c r="FG26" s="67">
        <f>IFERROR(VLOOKUP($B26,RD[#All],FG$2,0)/FG$1,"")</f>
        <v>3.6760942760942759</v>
      </c>
      <c r="FH26" s="67">
        <f>IFERROR(VLOOKUP($B26,RD[#All],FH$2,0)/FH$1,"")</f>
        <v>3.6750000000000003</v>
      </c>
      <c r="FI26" s="67">
        <f>IFERROR(VLOOKUP($B26,RD[#All],FI$2,0)/FI$1,"")</f>
        <v>3.6632996632996635</v>
      </c>
      <c r="FJ26" s="67">
        <f>IFERROR(VLOOKUP($B26,RD[#All],FJ$2,0)/FJ$1,"")</f>
        <v>3.6717171717171717</v>
      </c>
      <c r="FK26" s="67">
        <f>IFERROR(VLOOKUP($B26,RD[#All],FK$2,0)/FK$1,"")</f>
        <v>3.7629629629629626</v>
      </c>
      <c r="FL26" s="67">
        <f>IFERROR(VLOOKUP($B26,RD[#All],FL$2,0)/FL$1,"")</f>
        <v>3.7109090909090909</v>
      </c>
      <c r="FM26" s="67">
        <f>IFERROR(VLOOKUP($B26,RD[#All],FM$2,0)/FM$1,"")</f>
        <v>3.6981060606060603</v>
      </c>
      <c r="FN26" s="67">
        <f>IFERROR(VLOOKUP($B26,RD[#All],FN$2,0)/FN$1,"")</f>
        <v>3.659259259259259</v>
      </c>
      <c r="FO26" s="67">
        <f>IFERROR(VLOOKUP($B26,RD[#All],FO$2,0)/FO$1,"")</f>
        <v>3.7140151515151514</v>
      </c>
      <c r="FP26" s="67">
        <f>IFERROR(VLOOKUP($B26,RD[#All],FP$2,0)/FP$1,"")</f>
        <v>3.6985454545454548</v>
      </c>
      <c r="FQ26" s="67">
        <f>IFERROR(VLOOKUP($B26,RD[#All],FQ$2,0)/FQ$1,"")</f>
        <v>3.6629090909090909</v>
      </c>
      <c r="FR26" s="67">
        <f>IFERROR(VLOOKUP($B26,RD[#All],FR$2,0)/FR$1,"")</f>
        <v>3.6778181818181817</v>
      </c>
      <c r="FS26" s="67">
        <f>IFERROR(VLOOKUP($B26,RD[#All],FS$2,0)/FS$1,"")</f>
        <v>3.6929292929292927</v>
      </c>
      <c r="FT26" s="67">
        <f>IFERROR(VLOOKUP($B26,RD[#All],FT$2,0)/FT$1,"")</f>
        <v>3.7719999999999998</v>
      </c>
      <c r="FU26" s="67">
        <f>IFERROR(VLOOKUP($B26,RD[#All],FU$2,0)/FU$1,"")</f>
        <v>3.7515151515151515</v>
      </c>
      <c r="FV26" s="67">
        <f>IFERROR(VLOOKUP($B26,RD[#All],FV$2,0)/FV$1,"")</f>
        <v>3.7124999999999999</v>
      </c>
      <c r="FW26" s="67">
        <f>IFERROR(VLOOKUP($B26,RD[#All],FW$2,0)/FW$1,"")</f>
        <v>3.6875</v>
      </c>
      <c r="FX26" s="67">
        <f>IFERROR(VLOOKUP($B26,RD[#All],FX$2,0)/FX$1,"")</f>
        <v>3.7037878787878786</v>
      </c>
      <c r="FY26" s="67">
        <f>IFERROR(VLOOKUP($B26,RD[#All],FY$2,0)/FY$1,"")</f>
        <v>3.734006734006734</v>
      </c>
      <c r="FZ26" s="67">
        <f>IFERROR(VLOOKUP($B26,RD[#All],FZ$2,0)/FZ$1,"")</f>
        <v>3.7159090909090908</v>
      </c>
      <c r="GA26" s="67">
        <f>IFERROR(VLOOKUP($B26,RD[#All],GA$2,0)/GA$1,"")</f>
        <v>3.6783216783216783</v>
      </c>
      <c r="GB26" s="67">
        <f>IFERROR(VLOOKUP($B26,RD[#All],GB$2,0)/GB$1,"")</f>
        <v>3.65993265993266</v>
      </c>
      <c r="GC26" s="67">
        <f>IFERROR(VLOOKUP($B26,RD[#All],GC$2,0)/GC$1,"")</f>
        <v>3.6902356902356903</v>
      </c>
      <c r="GD26" s="67">
        <f>IFERROR(VLOOKUP($B26,RD[#All],GD$2,0)/GD$1,"")</f>
        <v>3.7719999999999998</v>
      </c>
      <c r="GE26" s="67">
        <f>IFERROR(VLOOKUP($B26,RD[#All],GE$2,0)/GE$1,"")</f>
        <v>3.6751748251748251</v>
      </c>
      <c r="GF26" s="67">
        <f>IFERROR(VLOOKUP($B26,RD[#All],GF$2,0)/GF$1,"")</f>
        <v>3.6747474747474751</v>
      </c>
      <c r="GG26" s="67">
        <f>IFERROR(VLOOKUP($B26,RD[#All],GG$2,0)/GG$1,"")</f>
        <v>3.6967272727272729</v>
      </c>
      <c r="GH26" s="67">
        <f>IFERROR(VLOOKUP($B26,RD[#All],GH$2,0)/GH$1,"")</f>
        <v>3.7054545454545456</v>
      </c>
      <c r="GI26" s="67">
        <f>IFERROR(VLOOKUP($B26,RD[#All],GI$2,0)/GI$1,"")</f>
        <v>3.681090909090909</v>
      </c>
      <c r="GJ26" s="67">
        <f>IFERROR(VLOOKUP($B26,RD[#All],GJ$2,0)/GJ$1,"")</f>
        <v>3.7447552447552446</v>
      </c>
      <c r="GK26" s="67">
        <f>IFERROR(VLOOKUP($B26,RD[#All],GK$2,0)/GK$1,"")</f>
        <v>3.7844696969696972</v>
      </c>
      <c r="GL26" s="67">
        <f>IFERROR(VLOOKUP($B26,RD[#All],GL$2,0)/GL$1,"")</f>
        <v>3.7314393939393939</v>
      </c>
      <c r="GM26" s="67">
        <f>IFERROR(VLOOKUP($B26,RD[#All],GM$2,0)/GM$1,"")</f>
        <v>3.7159090909090908</v>
      </c>
      <c r="GN26" s="67">
        <f>IFERROR(VLOOKUP($B26,RD[#All],GN$2,0)/GN$1,"")</f>
        <v>3.7045454545454546</v>
      </c>
      <c r="GO26" s="67">
        <f>IFERROR(VLOOKUP($B26,RD[#All],GO$2,0)/GO$1,"")</f>
        <v>3.7329545454545454</v>
      </c>
      <c r="GP26" s="67">
        <f>IFERROR(VLOOKUP($B26,RD[#All],GP$2,0)/GP$1,"")</f>
        <v>3.6905303030303029</v>
      </c>
      <c r="GQ26" s="67">
        <f>IFERROR(VLOOKUP($B26,RD[#All],GQ$2,0)/GQ$1,"")</f>
        <v>3.7063636363636361</v>
      </c>
      <c r="GR26" s="67">
        <f>IFERROR(VLOOKUP($B26,RD[#All],GR$2,0)/GR$1,"")</f>
        <v>3.75</v>
      </c>
      <c r="GS26" s="67" t="str">
        <f>IFERROR(VLOOKUP($B26,RD[#All],GS$2,0)/GS$1,"")</f>
        <v/>
      </c>
      <c r="GT26" s="67" t="str">
        <f>IFERROR(VLOOKUP($B26,RD[#All],GT$2,0)/GT$1,"")</f>
        <v/>
      </c>
      <c r="GU26" s="67">
        <f>IFERROR(VLOOKUP($B26,RD[#All],GU$2,0)/GU$1,"")</f>
        <v>4.0105540897097622</v>
      </c>
      <c r="GV26" s="67">
        <f>IFERROR(VLOOKUP($B26,RD[#All],GV$2,0)/GV$1,"")</f>
        <v>3.7551878119254005</v>
      </c>
      <c r="GW26" s="67">
        <f>IFERROR(VLOOKUP($B26,RD[#All],GW$2,0)/GW$1,"")</f>
        <v>3.7350332594235032</v>
      </c>
      <c r="GX26" s="67" t="str">
        <f>IFERROR(VLOOKUP($B26,RD[#All],GX$2,0)/GX$1,"")</f>
        <v/>
      </c>
      <c r="GY26" s="67">
        <f>IFERROR(VLOOKUP($B26,RD[#All],GY$2,0)/GY$1,"")</f>
        <v>3.6674641148325353</v>
      </c>
      <c r="GZ26" s="67">
        <f>IFERROR(VLOOKUP($B26,RD[#All],GZ$2,0)/GZ$1,"")</f>
        <v>3.6752808988764043</v>
      </c>
      <c r="HA26" s="67">
        <f>IFERROR(VLOOKUP($B26,RD[#All],HA$2,0)/HA$1,"")</f>
        <v>3.8292134831460674</v>
      </c>
      <c r="HB26" s="67">
        <f>IFERROR(VLOOKUP($B26,RD[#All],HB$2,0)/HB$1,"")</f>
        <v>3.6801498127340824</v>
      </c>
      <c r="HC26" s="67">
        <f>IFERROR(VLOOKUP($B26,RD[#All],HC$2,0)/HC$1,"")</f>
        <v>3.6831460674157301</v>
      </c>
      <c r="HD26" s="67">
        <f>IFERROR(VLOOKUP($B26,RD[#All],HD$2,0)/HD$1,"")</f>
        <v>3.6692883895131088</v>
      </c>
      <c r="HE26" s="67">
        <f>IFERROR(VLOOKUP($B26,RD[#All],HE$2,0)/HE$1,"")</f>
        <v>3.7037453183520599</v>
      </c>
      <c r="HF26" s="67">
        <f>IFERROR(VLOOKUP($B26,RD[#All],HF$2,0)/HF$1,"")</f>
        <v>3.6741573033707864</v>
      </c>
      <c r="HG26" s="67">
        <f>IFERROR(VLOOKUP($B26,RD[#All],HG$2,0)/HG$1,"")</f>
        <v>3.691011235955056</v>
      </c>
      <c r="HH26" s="67">
        <f>IFERROR(VLOOKUP($B26,RD[#All],HH$2,0)/HH$1,"")</f>
        <v>3.6666666666666665</v>
      </c>
      <c r="HI26" s="67">
        <f>IFERROR(VLOOKUP($B26,RD[#All],HI$2,0)/HI$1,"")</f>
        <v>3.7475655430711612</v>
      </c>
      <c r="HJ26" s="67">
        <f>IFERROR(VLOOKUP($B26,RD[#All],HJ$2,0)/HJ$1,"")</f>
        <v>3.6928838951310863</v>
      </c>
      <c r="HK26" s="67">
        <f>IFERROR(VLOOKUP($B26,RD[#All],HK$2,0)/HK$1,"")</f>
        <v>3.6803995006242198</v>
      </c>
      <c r="HL26" s="67">
        <f>IFERROR(VLOOKUP($B26,RD[#All],HL$2,0)/HL$1,"")</f>
        <v>3.9577195172700788</v>
      </c>
      <c r="HM26" s="67">
        <f>IFERROR(VLOOKUP($B26,RD[#All],HM$2,0)/HM$1,"")</f>
        <v>3.7080161218092251</v>
      </c>
      <c r="HN26" s="67">
        <f>IFERROR(VLOOKUP($B26,RD[#All],HN$2,0)/HN$1,"")</f>
        <v>3.9005821764442454</v>
      </c>
      <c r="HO26" s="67">
        <f>IFERROR(VLOOKUP($B26,RD[#All],HO$2,0)/HO$1,"")</f>
        <v>3.9237199582027169</v>
      </c>
      <c r="HP26" s="67">
        <f>IFERROR(VLOOKUP($B26,RD[#All],HP$2,0)/HP$1,"")</f>
        <v>3.9435736677115987</v>
      </c>
      <c r="HQ26" s="67">
        <f>IFERROR(VLOOKUP($B26,RD[#All],HQ$2,0)/HQ$1,"")</f>
        <v>3.7133237133237134</v>
      </c>
      <c r="HR26" s="67">
        <f>IFERROR(VLOOKUP($B26,RD[#All],HR$2,0)/HR$1,"")</f>
        <v>3.764804003336113</v>
      </c>
      <c r="HS26" s="67">
        <f>IFERROR(VLOOKUP($B26,RD[#All],HS$2,0)/HS$1,"")</f>
        <v>3.8094382022471911</v>
      </c>
      <c r="HT26" s="67">
        <f>IFERROR(VLOOKUP($B26,RD[#All],HT$2,0)/HT$1,"")</f>
        <v>3.7746150645027048</v>
      </c>
      <c r="HU26" s="67">
        <f>IFERROR(VLOOKUP($B26,RD[#All],HU$2,0)/HU$1,"")</f>
        <v>3.7683664649956783</v>
      </c>
      <c r="HV26" s="67">
        <f>IFERROR(VLOOKUP($B26,RD[#All],HV$2,0)/HV$1,"")</f>
        <v>3.7507346585998276</v>
      </c>
      <c r="HW26" s="67">
        <f>IFERROR(VLOOKUP($B26,RD[#All],HW$2,0)/HW$1,"")</f>
        <v>3.7950561797752811</v>
      </c>
      <c r="HX26" s="67">
        <f>IFERROR(VLOOKUP($B26,RD[#All],HX$2,0)/HX$1,"")</f>
        <v>3.7372515125324113</v>
      </c>
      <c r="HY26" s="67">
        <f>IFERROR(VLOOKUP($B26,RD[#All],HY$2,0)/HY$1,"")</f>
        <v>3.7386600083229298</v>
      </c>
      <c r="HZ26" s="67">
        <f>IFERROR(VLOOKUP($B26,RD[#All],HZ$2,0)/HZ$1,"")</f>
        <v>3.7895963379109445</v>
      </c>
      <c r="IA26" s="67">
        <f>IFERROR(VLOOKUP($B26,RD[#All],IA$2,0)/IA$1,"")</f>
        <v>3.6713286713286717</v>
      </c>
      <c r="IB26" s="67">
        <f>IFERROR(VLOOKUP($B26,RD[#All],IB$2,0)/IB$1,"")</f>
        <v>3.7604617604617609</v>
      </c>
      <c r="IC26" s="67">
        <f>IFERROR(VLOOKUP($B26,RD[#All],IC$2,0)/IC$1,"")</f>
        <v>3.7432012432012436</v>
      </c>
      <c r="ID26" s="67">
        <f>IFERROR(VLOOKUP($B26,RD[#All],ID$2,0)/ID$1,"")</f>
        <v>3.7044519266741487</v>
      </c>
      <c r="IE26" s="67">
        <f>IFERROR(VLOOKUP($B26,RD[#All],IE$2,0)/IE$1,"")</f>
        <v>3.7183838383838381</v>
      </c>
      <c r="IF26" s="67" t="str">
        <f>IFERROR(VLOOKUP($B26,RD[#All],IF$2,0)/IF$1,"")</f>
        <v/>
      </c>
      <c r="IG26" s="67">
        <f>IFERROR(VLOOKUP($B26,RD[#All],IG$2,0)/IG$1,"")</f>
        <v>3.7645060854797623</v>
      </c>
      <c r="IH26" s="67">
        <f>IFERROR(VLOOKUP($B26,RD[#All],IH$2,0)/IH$1,"")</f>
        <v>3.6955764541971434</v>
      </c>
      <c r="II26" s="67">
        <f>IFERROR(VLOOKUP($B26,RD[#All],II$2,0)/II$1,"")</f>
        <v>3.7810945273631842</v>
      </c>
      <c r="IJ26" s="67">
        <f>IFERROR(VLOOKUP($B26,RD[#All],IJ$2,0)/IJ$1,"")</f>
        <v>3.6977179199401418</v>
      </c>
      <c r="IK26" s="67">
        <f>IFERROR(VLOOKUP($B26,RD[#All],IK$2,0)/IK$1,"")</f>
        <v>3.6480186480186485</v>
      </c>
      <c r="IL26" s="67" t="str">
        <f>IFERROR(VLOOKUP($B26,RD[#All],IL$2,0)/IL$1,"")</f>
        <v/>
      </c>
      <c r="IM26" s="67" t="str">
        <f>IFERROR(VLOOKUP($B26,RD[#All],IM$2,0)/IM$1,"")</f>
        <v/>
      </c>
      <c r="IN26" s="67">
        <f>IFERROR(VLOOKUP($B26,RD[#All],IN$2,0)/IN$1,"")</f>
        <v>3.8119122257053291</v>
      </c>
      <c r="IO26" s="67">
        <f>IFERROR(VLOOKUP($B26,RD[#All],IO$2,0)/IO$1,"")</f>
        <v>3.7264890282131664</v>
      </c>
      <c r="IP26" s="67">
        <f>IFERROR(VLOOKUP($B26,RD[#All],IP$2,0)/IP$1,"")</f>
        <v>4.3015424723006737</v>
      </c>
      <c r="IQ26" s="67">
        <f>IFERROR(VLOOKUP($B26,RD[#All],IQ$2,0)/IQ$1,"")</f>
        <v>3.6946386946386949</v>
      </c>
      <c r="IR26" s="67">
        <f>IFERROR(VLOOKUP($B26,RD[#All],IR$2,0)/IR$1,"")</f>
        <v>3.7354892205638475</v>
      </c>
      <c r="IS26" s="86">
        <f>IFERROR(AVERAGEIF(Inv_SY_B[[#This Row],[BLK1_INV1]:[BLK8_INV27]],"&gt;"&amp;0.1,Inv_SY_B[[#This Row],[BLK1_INV1]:[BLK8_INV27]]),"")</f>
        <v>3.750230620430087</v>
      </c>
    </row>
    <row r="27" spans="2:253" x14ac:dyDescent="0.25">
      <c r="B27" s="85">
        <f t="shared" si="0"/>
        <v>45853</v>
      </c>
      <c r="C27" s="67">
        <f>IFERROR(VLOOKUP($B27,RD[#All],C$2,0)/C$1,"")</f>
        <v>3.274675885911841</v>
      </c>
      <c r="D27" s="67">
        <f>IFERROR(VLOOKUP($B27,RD[#All],D$2,0)/D$1,"")</f>
        <v>3.2878133102852205</v>
      </c>
      <c r="E27" s="67">
        <f>IFERROR(VLOOKUP($B27,RD[#All],E$2,0)/E$1,"")</f>
        <v>3.2958801498127341</v>
      </c>
      <c r="F27" s="67">
        <f>IFERROR(VLOOKUP($B27,RD[#All],F$2,0)/F$1,"")</f>
        <v>3.2247191011235956</v>
      </c>
      <c r="G27" s="67">
        <f>IFERROR(VLOOKUP($B27,RD[#All],G$2,0)/G$1,"")</f>
        <v>3.3369057908383755</v>
      </c>
      <c r="H27" s="67">
        <f>IFERROR(VLOOKUP($B27,RD[#All],H$2,0)/H$1,"")</f>
        <v>3.3411985018726593</v>
      </c>
      <c r="I27" s="67">
        <f>IFERROR(VLOOKUP($B27,RD[#All],I$2,0)/I$1,"")</f>
        <v>3.2996254681647939</v>
      </c>
      <c r="J27" s="67">
        <f>IFERROR(VLOOKUP($B27,RD[#All],J$2,0)/J$1,"")</f>
        <v>3.292134831460674</v>
      </c>
      <c r="K27" s="67">
        <f>IFERROR(VLOOKUP($B27,RD[#All],K$2,0)/K$1,"")</f>
        <v>3.3452584269662919</v>
      </c>
      <c r="L27" s="67">
        <f>IFERROR(VLOOKUP($B27,RD[#All],L$2,0)/L$1,"")</f>
        <v>3.3564044943820224</v>
      </c>
      <c r="M27" s="67">
        <f>IFERROR(VLOOKUP($B27,RD[#All],M$2,0)/M$1,"")</f>
        <v>3.2734082397003745</v>
      </c>
      <c r="N27" s="67">
        <f>IFERROR(VLOOKUP($B27,RD[#All],N$2,0)/N$1,"")</f>
        <v>3.3370786516853932</v>
      </c>
      <c r="O27" s="67">
        <f>IFERROR(VLOOKUP($B27,RD[#All],O$2,0)/O$1,"")</f>
        <v>3.3483146067415732</v>
      </c>
      <c r="P27" s="67">
        <f>IFERROR(VLOOKUP($B27,RD[#All],P$2,0)/P$1,"")</f>
        <v>3.2727272727272729</v>
      </c>
      <c r="Q27" s="67">
        <f>IFERROR(VLOOKUP($B27,RD[#All],Q$2,0)/Q$1,"")</f>
        <v>3.3333333333333335</v>
      </c>
      <c r="R27" s="67">
        <f>IFERROR(VLOOKUP($B27,RD[#All],R$2,0)/R$1,"")</f>
        <v>3.3756554307116104</v>
      </c>
      <c r="S27" s="67">
        <f>IFERROR(VLOOKUP($B27,RD[#All],S$2,0)/S$1,"")</f>
        <v>3.3486891385767792</v>
      </c>
      <c r="T27" s="67">
        <f>IFERROR(VLOOKUP($B27,RD[#All],T$2,0)/T$1,"")</f>
        <v>3.262172284644195</v>
      </c>
      <c r="U27" s="67">
        <f>IFERROR(VLOOKUP($B27,RD[#All],U$2,0)/U$1,"")</f>
        <v>3.3617977528089886</v>
      </c>
      <c r="V27" s="67">
        <f>IFERROR(VLOOKUP($B27,RD[#All],V$2,0)/V$1,"")</f>
        <v>3.2878133102852205</v>
      </c>
      <c r="W27" s="67">
        <f>IFERROR(VLOOKUP($B27,RD[#All],W$2,0)/W$1,"")</f>
        <v>3.3258426966292136</v>
      </c>
      <c r="X27" s="67">
        <f>IFERROR(VLOOKUP($B27,RD[#All],X$2,0)/X$1,"")</f>
        <v>3.2625468164794009</v>
      </c>
      <c r="Y27" s="67">
        <f>IFERROR(VLOOKUP($B27,RD[#All],Y$2,0)/Y$1,"")</f>
        <v>3.3085566119273984</v>
      </c>
      <c r="Z27" s="67">
        <f>IFERROR(VLOOKUP($B27,RD[#All],Z$2,0)/Z$1,"")</f>
        <v>3.3325010403662088</v>
      </c>
      <c r="AA27" s="67">
        <f>IFERROR(VLOOKUP($B27,RD[#All],AA$2,0)/AA$1,"")</f>
        <v>3.2878133102852205</v>
      </c>
      <c r="AB27" s="67">
        <f>IFERROR(VLOOKUP($B27,RD[#All],AB$2,0)/AB$1,"")</f>
        <v>3.2981849611063092</v>
      </c>
      <c r="AC27" s="67">
        <f>IFERROR(VLOOKUP($B27,RD[#All],AC$2,0)/AC$1,"")</f>
        <v>3.2812445980985308</v>
      </c>
      <c r="AD27" s="67">
        <f>IFERROR(VLOOKUP($B27,RD[#All],AD$2,0)/AD$1,"")</f>
        <v>3.2958801498127341</v>
      </c>
      <c r="AE27" s="67">
        <f>IFERROR(VLOOKUP($B27,RD[#All],AE$2,0)/AE$1,"")</f>
        <v>3.2279650436953808</v>
      </c>
      <c r="AF27" s="67">
        <f>IFERROR(VLOOKUP($B27,RD[#All],AF$2,0)/AF$1,"")</f>
        <v>3.2659176029962547</v>
      </c>
      <c r="AG27" s="67">
        <f>IFERROR(VLOOKUP($B27,RD[#All],AG$2,0)/AG$1,"")</f>
        <v>3.3391593841032043</v>
      </c>
      <c r="AH27" s="67">
        <f>IFERROR(VLOOKUP($B27,RD[#All],AH$2,0)/AH$1,"")</f>
        <v>3.2958801498127341</v>
      </c>
      <c r="AI27" s="67">
        <f>IFERROR(VLOOKUP($B27,RD[#All],AI$2,0)/AI$1,"")</f>
        <v>3.2401729559748427</v>
      </c>
      <c r="AJ27" s="67">
        <f>IFERROR(VLOOKUP($B27,RD[#All],AJ$2,0)/AJ$1,"")</f>
        <v>3.2222388282767898</v>
      </c>
      <c r="AK27" s="67">
        <f>IFERROR(VLOOKUP($B27,RD[#All],AK$2,0)/AK$1,"")</f>
        <v>3.202621722846442</v>
      </c>
      <c r="AL27" s="67">
        <f>IFERROR(VLOOKUP($B27,RD[#All],AL$2,0)/AL$1,"")</f>
        <v>3.2519237203077953</v>
      </c>
      <c r="AM27" s="67">
        <f>IFERROR(VLOOKUP($B27,RD[#All],AM$2,0)/AM$1,"")</f>
        <v>3.2164794007490634</v>
      </c>
      <c r="AN27" s="67">
        <f>IFERROR(VLOOKUP($B27,RD[#All],AN$2,0)/AN$1,"")</f>
        <v>3.2254681647940076</v>
      </c>
      <c r="AO27" s="67">
        <f>IFERROR(VLOOKUP($B27,RD[#All],AO$2,0)/AO$1,"")</f>
        <v>3.2490636704119851</v>
      </c>
      <c r="AP27" s="67">
        <f>IFERROR(VLOOKUP($B27,RD[#All],AP$2,0)/AP$1,"")</f>
        <v>3.2280898876404494</v>
      </c>
      <c r="AQ27" s="67">
        <f>IFERROR(VLOOKUP($B27,RD[#All],AQ$2,0)/AQ$1,"")</f>
        <v>3.2535580524344572</v>
      </c>
      <c r="AR27" s="67">
        <f>IFERROR(VLOOKUP($B27,RD[#All],AR$2,0)/AR$1,"")</f>
        <v>3.2546816479400751</v>
      </c>
      <c r="AS27" s="67">
        <f>IFERROR(VLOOKUP($B27,RD[#All],AS$2,0)/AS$1,"")</f>
        <v>3.2359550561797752</v>
      </c>
      <c r="AT27" s="67">
        <f>IFERROR(VLOOKUP($B27,RD[#All],AT$2,0)/AT$1,"")</f>
        <v>3.2247191011235956</v>
      </c>
      <c r="AU27" s="67">
        <f>IFERROR(VLOOKUP($B27,RD[#All],AU$2,0)/AU$1,"")</f>
        <v>3.3629213483146065</v>
      </c>
      <c r="AV27" s="67">
        <f>IFERROR(VLOOKUP($B27,RD[#All],AV$2,0)/AV$1,"")</f>
        <v>3.3655430711610488</v>
      </c>
      <c r="AW27" s="67">
        <f>IFERROR(VLOOKUP($B27,RD[#All],AW$2,0)/AW$1,"")</f>
        <v>3.2878133102852205</v>
      </c>
      <c r="AX27" s="67">
        <f>IFERROR(VLOOKUP($B27,RD[#All],AX$2,0)/AX$1,"")</f>
        <v>3.2093632958801499</v>
      </c>
      <c r="AY27" s="67">
        <f>IFERROR(VLOOKUP($B27,RD[#All],AY$2,0)/AY$1,"")</f>
        <v>3.2352359550561798</v>
      </c>
      <c r="AZ27" s="67">
        <f>IFERROR(VLOOKUP($B27,RD[#All],AZ$2,0)/AZ$1,"")</f>
        <v>3.2309213483146069</v>
      </c>
      <c r="BA27" s="67">
        <f>IFERROR(VLOOKUP($B27,RD[#All],BA$2,0)/BA$1,"")</f>
        <v>3.2471910112359552</v>
      </c>
      <c r="BB27" s="67">
        <f>IFERROR(VLOOKUP($B27,RD[#All],BB$2,0)/BB$1,"")</f>
        <v>3.292134831460674</v>
      </c>
      <c r="BC27" s="67">
        <f>IFERROR(VLOOKUP($B27,RD[#All],BC$2,0)/BC$1,"")</f>
        <v>3.3604660840615894</v>
      </c>
      <c r="BD27" s="67">
        <f>IFERROR(VLOOKUP($B27,RD[#All],BD$2,0)/BD$1,"")</f>
        <v>3.2053266749895961</v>
      </c>
      <c r="BE27" s="67">
        <f>IFERROR(VLOOKUP($B27,RD[#All],BE$2,0)/BE$1,"")</f>
        <v>3.2107173725151257</v>
      </c>
      <c r="BF27" s="67">
        <f>IFERROR(VLOOKUP($B27,RD[#All],BF$2,0)/BF$1,"")</f>
        <v>3.3198501872659176</v>
      </c>
      <c r="BG27" s="67">
        <f>IFERROR(VLOOKUP($B27,RD[#All],BG$2,0)/BG$1,"")</f>
        <v>3.285892634207241</v>
      </c>
      <c r="BH27" s="67">
        <f>IFERROR(VLOOKUP($B27,RD[#All],BH$2,0)/BH$1,"")</f>
        <v>3.2059925093632957</v>
      </c>
      <c r="BI27" s="67">
        <f>IFERROR(VLOOKUP($B27,RD[#All],BI$2,0)/BI$1,"")</f>
        <v>3.2958801498127341</v>
      </c>
      <c r="BJ27" s="67">
        <f>IFERROR(VLOOKUP($B27,RD[#All],BJ$2,0)/BJ$1,"")</f>
        <v>3.4017478152309613</v>
      </c>
      <c r="BK27" s="67">
        <f>IFERROR(VLOOKUP($B27,RD[#All],BK$2,0)/BK$1,"")</f>
        <v>3.2651685393258427</v>
      </c>
      <c r="BL27" s="67">
        <f>IFERROR(VLOOKUP($B27,RD[#All],BL$2,0)/BL$1,"")</f>
        <v>3.3623285379725663</v>
      </c>
      <c r="BM27" s="67">
        <f>IFERROR(VLOOKUP($B27,RD[#All],BM$2,0)/BM$1,"")</f>
        <v>3.202621722846442</v>
      </c>
      <c r="BN27" s="67">
        <f>IFERROR(VLOOKUP($B27,RD[#All],BN$2,0)/BN$1,"")</f>
        <v>3.3559038662486937</v>
      </c>
      <c r="BO27" s="67">
        <f>IFERROR(VLOOKUP($B27,RD[#All],BO$2,0)/BO$1,"")</f>
        <v>3.352463267070009</v>
      </c>
      <c r="BP27" s="67">
        <f>IFERROR(VLOOKUP($B27,RD[#All],BP$2,0)/BP$1,"")</f>
        <v>3.3320656871218666</v>
      </c>
      <c r="BQ27" s="67">
        <f>IFERROR(VLOOKUP($B27,RD[#All],BQ$2,0)/BQ$1,"")</f>
        <v>3.3763180639585135</v>
      </c>
      <c r="BR27" s="67">
        <f>IFERROR(VLOOKUP($B27,RD[#All],BR$2,0)/BR$1,"")</f>
        <v>3.2943820224719103</v>
      </c>
      <c r="BS27" s="67">
        <f>IFERROR(VLOOKUP($B27,RD[#All],BS$2,0)/BS$1,"")</f>
        <v>3.3528089887640453</v>
      </c>
      <c r="BT27" s="67">
        <f>IFERROR(VLOOKUP($B27,RD[#All],BT$2,0)/BT$1,"")</f>
        <v>3.3318352059925096</v>
      </c>
      <c r="BU27" s="67">
        <f>IFERROR(VLOOKUP($B27,RD[#All],BU$2,0)/BU$1,"")</f>
        <v>3.3741573033707866</v>
      </c>
      <c r="BV27" s="67">
        <f>IFERROR(VLOOKUP($B27,RD[#All],BV$2,0)/BV$1,"")</f>
        <v>3.3595505617977528</v>
      </c>
      <c r="BW27" s="67">
        <f>IFERROR(VLOOKUP($B27,RD[#All],BW$2,0)/BW$1,"")</f>
        <v>3.2426966292134831</v>
      </c>
      <c r="BX27" s="67">
        <f>IFERROR(VLOOKUP($B27,RD[#All],BX$2,0)/BX$1,"")</f>
        <v>3.3576779026217229</v>
      </c>
      <c r="BY27" s="67">
        <f>IFERROR(VLOOKUP($B27,RD[#All],BY$2,0)/BY$1,"")</f>
        <v>3.3954223886808155</v>
      </c>
      <c r="BZ27" s="67">
        <f>IFERROR(VLOOKUP($B27,RD[#All],BZ$2,0)/BZ$1,"")</f>
        <v>3.3344985434873076</v>
      </c>
      <c r="CA27" s="67">
        <f>IFERROR(VLOOKUP($B27,RD[#All],CA$2,0)/CA$1,"")</f>
        <v>3.3994173949230131</v>
      </c>
      <c r="CB27" s="67">
        <f>IFERROR(VLOOKUP($B27,RD[#All],CB$2,0)/CB$1,"")</f>
        <v>3.3752808988764045</v>
      </c>
      <c r="CC27" s="67">
        <f>IFERROR(VLOOKUP($B27,RD[#All],CC$2,0)/CC$1,"")</f>
        <v>3.3674157303370786</v>
      </c>
      <c r="CD27" s="67">
        <f>IFERROR(VLOOKUP($B27,RD[#All],CD$2,0)/CD$1,"")</f>
        <v>3.3953327571305101</v>
      </c>
      <c r="CE27" s="67">
        <f>IFERROR(VLOOKUP($B27,RD[#All],CE$2,0)/CE$1,"")</f>
        <v>3.3973782771535581</v>
      </c>
      <c r="CF27" s="67">
        <f>IFERROR(VLOOKUP($B27,RD[#All],CF$2,0)/CF$1,"")</f>
        <v>3.249438202247191</v>
      </c>
      <c r="CG27" s="67">
        <f>IFERROR(VLOOKUP($B27,RD[#All],CG$2,0)/CG$1,"")</f>
        <v>3.3940074906367044</v>
      </c>
      <c r="CH27" s="67">
        <f>IFERROR(VLOOKUP($B27,RD[#All],CH$2,0)/CH$1,"")</f>
        <v>3.435580524344569</v>
      </c>
      <c r="CI27" s="67">
        <f>IFERROR(VLOOKUP($B27,RD[#All],CI$2,0)/CI$1,"")</f>
        <v>3.3876404494382024</v>
      </c>
      <c r="CJ27" s="67">
        <f>IFERROR(VLOOKUP($B27,RD[#All],CJ$2,0)/CJ$1,"")</f>
        <v>3.404119850187266</v>
      </c>
      <c r="CK27" s="67">
        <f>IFERROR(VLOOKUP($B27,RD[#All],CK$2,0)/CK$1,"")</f>
        <v>3.357303370786517</v>
      </c>
      <c r="CL27" s="67">
        <f>IFERROR(VLOOKUP($B27,RD[#All],CL$2,0)/CL$1,"")</f>
        <v>3.3453183520599254</v>
      </c>
      <c r="CM27" s="67">
        <f>IFERROR(VLOOKUP($B27,RD[#All],CM$2,0)/CM$1,"")</f>
        <v>3.3749063670411985</v>
      </c>
      <c r="CN27" s="67">
        <f>IFERROR(VLOOKUP($B27,RD[#All],CN$2,0)/CN$1,"")</f>
        <v>3.3591760299625468</v>
      </c>
      <c r="CO27" s="67">
        <f>IFERROR(VLOOKUP($B27,RD[#All],CO$2,0)/CO$1,"")</f>
        <v>3.3132584269662919</v>
      </c>
      <c r="CP27" s="67">
        <f>IFERROR(VLOOKUP($B27,RD[#All],CP$2,0)/CP$1,"")</f>
        <v>3.3652549697493517</v>
      </c>
      <c r="CQ27" s="67">
        <f>IFERROR(VLOOKUP($B27,RD[#All],CQ$2,0)/CQ$1,"")</f>
        <v>3.2247191011235956</v>
      </c>
      <c r="CR27" s="67">
        <f>IFERROR(VLOOKUP($B27,RD[#All],CR$2,0)/CR$1,"")</f>
        <v>3.262172284644195</v>
      </c>
      <c r="CS27" s="67">
        <f>IFERROR(VLOOKUP($B27,RD[#All],CS$2,0)/CS$1,"")</f>
        <v>3.323512276321265</v>
      </c>
      <c r="CT27" s="67">
        <f>IFERROR(VLOOKUP($B27,RD[#All],CT$2,0)/CT$1,"")</f>
        <v>3.297378277153558</v>
      </c>
      <c r="CU27" s="67">
        <f>IFERROR(VLOOKUP($B27,RD[#All],CU$2,0)/CU$1,"")</f>
        <v>3.3385767790262171</v>
      </c>
      <c r="CV27" s="67">
        <f>IFERROR(VLOOKUP($B27,RD[#All],CV$2,0)/CV$1,"")</f>
        <v>3.3591760299625468</v>
      </c>
      <c r="CW27" s="67">
        <f>IFERROR(VLOOKUP($B27,RD[#All],CW$2,0)/CW$1,"")</f>
        <v>3.3580524344569289</v>
      </c>
      <c r="CX27" s="67">
        <f>IFERROR(VLOOKUP($B27,RD[#All],CX$2,0)/CX$1,"")</f>
        <v>3.3284644194756554</v>
      </c>
      <c r="CY27" s="67">
        <f>IFERROR(VLOOKUP($B27,RD[#All],CY$2,0)/CY$1,"")</f>
        <v>3.3707865168539324</v>
      </c>
      <c r="CZ27" s="67">
        <f>IFERROR(VLOOKUP($B27,RD[#All],CZ$2,0)/CZ$1,"")</f>
        <v>3.3411985018726593</v>
      </c>
      <c r="DA27" s="67">
        <f>IFERROR(VLOOKUP($B27,RD[#All],DA$2,0)/DA$1,"")</f>
        <v>3.2546816479400751</v>
      </c>
      <c r="DB27" s="67">
        <f>IFERROR(VLOOKUP($B27,RD[#All],DB$2,0)/DB$1,"")</f>
        <v>3.3397003745318354</v>
      </c>
      <c r="DC27" s="67">
        <f>IFERROR(VLOOKUP($B27,RD[#All],DC$2,0)/DC$1,"")</f>
        <v>3.2249687890137331</v>
      </c>
      <c r="DD27" s="67">
        <f>IFERROR(VLOOKUP($B27,RD[#All],DD$2,0)/DD$1,"")</f>
        <v>3.2172284644194757</v>
      </c>
      <c r="DE27" s="67">
        <f>IFERROR(VLOOKUP($B27,RD[#All],DE$2,0)/DE$1,"")</f>
        <v>3.2659176029962547</v>
      </c>
      <c r="DF27" s="67">
        <f>IFERROR(VLOOKUP($B27,RD[#All],DF$2,0)/DF$1,"")</f>
        <v>3.2719973235195718</v>
      </c>
      <c r="DG27" s="67">
        <f>IFERROR(VLOOKUP($B27,RD[#All],DG$2,0)/DG$1,"")</f>
        <v>3.2576779026217229</v>
      </c>
      <c r="DH27" s="67">
        <f>IFERROR(VLOOKUP($B27,RD[#All],DH$2,0)/DH$1,"")</f>
        <v>3.2316271327507282</v>
      </c>
      <c r="DI27" s="67">
        <f>IFERROR(VLOOKUP($B27,RD[#All],DI$2,0)/DI$1,"")</f>
        <v>3.2463267070008643</v>
      </c>
      <c r="DJ27" s="67">
        <f>IFERROR(VLOOKUP($B27,RD[#All],DJ$2,0)/DJ$1,"")</f>
        <v>3.2895419187554018</v>
      </c>
      <c r="DK27" s="67">
        <f>IFERROR(VLOOKUP($B27,RD[#All],DK$2,0)/DK$1,"")</f>
        <v>3.2962130669995839</v>
      </c>
      <c r="DL27" s="67">
        <f>IFERROR(VLOOKUP($B27,RD[#All],DL$2,0)/DL$1,"")</f>
        <v>3.2352892218060756</v>
      </c>
      <c r="DM27" s="67">
        <f>IFERROR(VLOOKUP($B27,RD[#All],DM$2,0)/DM$1,"")</f>
        <v>3.3146067415730336</v>
      </c>
      <c r="DN27" s="67">
        <f>IFERROR(VLOOKUP($B27,RD[#All],DN$2,0)/DN$1,"")</f>
        <v>3.2535580524344572</v>
      </c>
      <c r="DO27" s="67">
        <f>IFERROR(VLOOKUP($B27,RD[#All],DO$2,0)/DO$1,"")</f>
        <v>3.2044161927065908</v>
      </c>
      <c r="DP27" s="67">
        <f>IFERROR(VLOOKUP($B27,RD[#All],DP$2,0)/DP$1,"")</f>
        <v>3.1993341656263006</v>
      </c>
      <c r="DQ27" s="67">
        <f>IFERROR(VLOOKUP($B27,RD[#All],DQ$2,0)/DQ$1,"")</f>
        <v>3.2659176029962547</v>
      </c>
      <c r="DR27" s="67">
        <f>IFERROR(VLOOKUP($B27,RD[#All],DR$2,0)/DR$1,"")</f>
        <v>3.2337078651685394</v>
      </c>
      <c r="DS27" s="67">
        <f>IFERROR(VLOOKUP($B27,RD[#All],DS$2,0)/DS$1,"")</f>
        <v>3.2756554307116104</v>
      </c>
      <c r="DT27" s="67">
        <f>IFERROR(VLOOKUP($B27,RD[#All],DT$2,0)/DT$1,"")</f>
        <v>3.2486059092800663</v>
      </c>
      <c r="DU27" s="67">
        <f>IFERROR(VLOOKUP($B27,RD[#All],DU$2,0)/DU$1,"")</f>
        <v>3.2392842280482732</v>
      </c>
      <c r="DV27" s="67">
        <f>IFERROR(VLOOKUP($B27,RD[#All],DV$2,0)/DV$1,"")</f>
        <v>3.2310861423220976</v>
      </c>
      <c r="DW27" s="67">
        <f>IFERROR(VLOOKUP($B27,RD[#All],DW$2,0)/DW$1,"")</f>
        <v>3.2359550561797752</v>
      </c>
      <c r="DX27" s="67">
        <f>IFERROR(VLOOKUP($B27,RD[#All],DX$2,0)/DX$1,"")</f>
        <v>3.2655846858094049</v>
      </c>
      <c r="DY27" s="67">
        <f>IFERROR(VLOOKUP($B27,RD[#All],DY$2,0)/DY$1,"")</f>
        <v>3.302996254681648</v>
      </c>
      <c r="DZ27" s="67">
        <f>IFERROR(VLOOKUP($B27,RD[#All],DZ$2,0)/DZ$1,"")</f>
        <v>3.292134831460674</v>
      </c>
      <c r="EA27" s="67">
        <f>IFERROR(VLOOKUP($B27,RD[#All],EA$2,0)/EA$1,"")</f>
        <v>3.3145235122763212</v>
      </c>
      <c r="EB27" s="67">
        <f>IFERROR(VLOOKUP($B27,RD[#All],EB$2,0)/EB$1,"")</f>
        <v>3.2848938826466916</v>
      </c>
      <c r="EC27" s="67">
        <f>IFERROR(VLOOKUP($B27,RD[#All],EC$2,0)/EC$1,"")</f>
        <v>3.2286949006050127</v>
      </c>
      <c r="ED27" s="67">
        <f>IFERROR(VLOOKUP($B27,RD[#All],ED$2,0)/ED$1,"")</f>
        <v>3.3272255834053586</v>
      </c>
      <c r="EE27" s="67">
        <f>IFERROR(VLOOKUP($B27,RD[#All],EE$2,0)/EE$1,"")</f>
        <v>3.3891097666378562</v>
      </c>
      <c r="EF27" s="67">
        <f>IFERROR(VLOOKUP($B27,RD[#All],EF$2,0)/EF$1,"")</f>
        <v>3.2919305413687439</v>
      </c>
      <c r="EG27" s="67">
        <f>IFERROR(VLOOKUP($B27,RD[#All],EG$2,0)/EG$1,"")</f>
        <v>3.3426573426573425</v>
      </c>
      <c r="EH27" s="67">
        <f>IFERROR(VLOOKUP($B27,RD[#All],EH$2,0)/EH$1,"")</f>
        <v>3.285664335664336</v>
      </c>
      <c r="EI27" s="67">
        <f>IFERROR(VLOOKUP($B27,RD[#All],EI$2,0)/EI$1,"")</f>
        <v>3.2325174825174825</v>
      </c>
      <c r="EJ27" s="67">
        <f>IFERROR(VLOOKUP($B27,RD[#All],EJ$2,0)/EJ$1,"")</f>
        <v>3.35</v>
      </c>
      <c r="EK27" s="67">
        <f>IFERROR(VLOOKUP($B27,RD[#All],EK$2,0)/EK$1,"")</f>
        <v>3.2395505617977527</v>
      </c>
      <c r="EL27" s="67">
        <f>IFERROR(VLOOKUP($B27,RD[#All],EL$2,0)/EL$1,"")</f>
        <v>3.3333333333333335</v>
      </c>
      <c r="EM27" s="67">
        <f>IFERROR(VLOOKUP($B27,RD[#All],EM$2,0)/EM$1,"")</f>
        <v>3.3282627484874676</v>
      </c>
      <c r="EN27" s="67">
        <f>IFERROR(VLOOKUP($B27,RD[#All],EN$2,0)/EN$1,"")</f>
        <v>3.274675885911841</v>
      </c>
      <c r="EO27" s="67">
        <f>IFERROR(VLOOKUP($B27,RD[#All],EO$2,0)/EO$1,"")</f>
        <v>3.3258426966292136</v>
      </c>
      <c r="EP27" s="67">
        <f>IFERROR(VLOOKUP($B27,RD[#All],EP$2,0)/EP$1,"")</f>
        <v>3.2867761452031115</v>
      </c>
      <c r="EQ27" s="67">
        <f>IFERROR(VLOOKUP($B27,RD[#All],EQ$2,0)/EQ$1,"")</f>
        <v>3.2471910112359552</v>
      </c>
      <c r="ER27" s="67">
        <f>IFERROR(VLOOKUP($B27,RD[#All],ER$2,0)/ER$1,"")</f>
        <v>3.3386343993085568</v>
      </c>
      <c r="ES27" s="67">
        <f>IFERROR(VLOOKUP($B27,RD[#All],ES$2,0)/ES$1,"")</f>
        <v>3.3292134831460674</v>
      </c>
      <c r="ET27" s="67">
        <f>IFERROR(VLOOKUP($B27,RD[#All],ET$2,0)/ET$1,"")</f>
        <v>3.3732379979570992</v>
      </c>
      <c r="EU27" s="67">
        <f>IFERROR(VLOOKUP($B27,RD[#All],EU$2,0)/EU$1,"")</f>
        <v>3.3206568712186688</v>
      </c>
      <c r="EV27" s="67">
        <f>IFERROR(VLOOKUP($B27,RD[#All],EV$2,0)/EV$1,"")</f>
        <v>3.3517718236819358</v>
      </c>
      <c r="EW27" s="67">
        <f>IFERROR(VLOOKUP($B27,RD[#All],EW$2,0)/EW$1,"")</f>
        <v>3.3801210025929129</v>
      </c>
      <c r="EX27" s="67">
        <f>IFERROR(VLOOKUP($B27,RD[#All],EX$2,0)/EX$1,"")</f>
        <v>3.3651685393258428</v>
      </c>
      <c r="EY27" s="67">
        <f>IFERROR(VLOOKUP($B27,RD[#All],EY$2,0)/EY$1,"")</f>
        <v>3.2326258843112776</v>
      </c>
      <c r="EZ27" s="67">
        <f>IFERROR(VLOOKUP($B27,RD[#All],EZ$2,0)/EZ$1,"")</f>
        <v>3.3666666666666667</v>
      </c>
      <c r="FA27" s="67">
        <f>IFERROR(VLOOKUP($B27,RD[#All],FA$2,0)/FA$1,"")</f>
        <v>3.3232209737827714</v>
      </c>
      <c r="FB27" s="67">
        <f>IFERROR(VLOOKUP($B27,RD[#All],FB$2,0)/FB$1,"")</f>
        <v>3.2887640449438202</v>
      </c>
      <c r="FC27" s="67">
        <f>IFERROR(VLOOKUP($B27,RD[#All],FC$2,0)/FC$1,"")</f>
        <v>3.3224719101123594</v>
      </c>
      <c r="FD27" s="67">
        <f>IFERROR(VLOOKUP($B27,RD[#All],FD$2,0)/FD$1,"")</f>
        <v>3.3014981273408242</v>
      </c>
      <c r="FE27" s="67">
        <f>IFERROR(VLOOKUP($B27,RD[#All],FE$2,0)/FE$1,"")</f>
        <v>3.3219696969696968</v>
      </c>
      <c r="FF27" s="67">
        <f>IFERROR(VLOOKUP($B27,RD[#All],FF$2,0)/FF$1,"")</f>
        <v>3.3371212121212119</v>
      </c>
      <c r="FG27" s="67">
        <f>IFERROR(VLOOKUP($B27,RD[#All],FG$2,0)/FG$1,"")</f>
        <v>3.3306397306397306</v>
      </c>
      <c r="FH27" s="67">
        <f>IFERROR(VLOOKUP($B27,RD[#All],FH$2,0)/FH$1,"")</f>
        <v>3.3068181818181817</v>
      </c>
      <c r="FI27" s="67">
        <f>IFERROR(VLOOKUP($B27,RD[#All],FI$2,0)/FI$1,"")</f>
        <v>3.2050505050505049</v>
      </c>
      <c r="FJ27" s="67">
        <f>IFERROR(VLOOKUP($B27,RD[#All],FJ$2,0)/FJ$1,"")</f>
        <v>3.3185185185185184</v>
      </c>
      <c r="FK27" s="67">
        <f>IFERROR(VLOOKUP($B27,RD[#All],FK$2,0)/FK$1,"")</f>
        <v>3.3602693602693603</v>
      </c>
      <c r="FL27" s="67">
        <f>IFERROR(VLOOKUP($B27,RD[#All],FL$2,0)/FL$1,"")</f>
        <v>3.3465454545454545</v>
      </c>
      <c r="FM27" s="67">
        <f>IFERROR(VLOOKUP($B27,RD[#All],FM$2,0)/FM$1,"")</f>
        <v>3.2992424242424243</v>
      </c>
      <c r="FN27" s="67">
        <f>IFERROR(VLOOKUP($B27,RD[#All],FN$2,0)/FN$1,"")</f>
        <v>3.2356902356902357</v>
      </c>
      <c r="FO27" s="67">
        <f>IFERROR(VLOOKUP($B27,RD[#All],FO$2,0)/FO$1,"")</f>
        <v>3.3871212121212122</v>
      </c>
      <c r="FP27" s="67">
        <f>IFERROR(VLOOKUP($B27,RD[#All],FP$2,0)/FP$1,"")</f>
        <v>3.2036363636363636</v>
      </c>
      <c r="FQ27" s="67">
        <f>IFERROR(VLOOKUP($B27,RD[#All],FQ$2,0)/FQ$1,"")</f>
        <v>3.3392727272727272</v>
      </c>
      <c r="FR27" s="67">
        <f>IFERROR(VLOOKUP($B27,RD[#All],FR$2,0)/FR$1,"")</f>
        <v>3.340727272727273</v>
      </c>
      <c r="FS27" s="67">
        <f>IFERROR(VLOOKUP($B27,RD[#All],FS$2,0)/FS$1,"")</f>
        <v>3.2895622895622894</v>
      </c>
      <c r="FT27" s="67">
        <f>IFERROR(VLOOKUP($B27,RD[#All],FT$2,0)/FT$1,"")</f>
        <v>3.2014545454545456</v>
      </c>
      <c r="FU27" s="67">
        <f>IFERROR(VLOOKUP($B27,RD[#All],FU$2,0)/FU$1,"")</f>
        <v>3.3976430976430976</v>
      </c>
      <c r="FV27" s="67">
        <f>IFERROR(VLOOKUP($B27,RD[#All],FV$2,0)/FV$1,"")</f>
        <v>3.2534090909090909</v>
      </c>
      <c r="FW27" s="67">
        <f>IFERROR(VLOOKUP($B27,RD[#All],FW$2,0)/FW$1,"")</f>
        <v>3.2640151515151516</v>
      </c>
      <c r="FX27" s="67">
        <f>IFERROR(VLOOKUP($B27,RD[#All],FX$2,0)/FX$1,"")</f>
        <v>3.2840909090909092</v>
      </c>
      <c r="FY27" s="67">
        <f>IFERROR(VLOOKUP($B27,RD[#All],FY$2,0)/FY$1,"")</f>
        <v>3.2289562289562288</v>
      </c>
      <c r="FZ27" s="67">
        <f>IFERROR(VLOOKUP($B27,RD[#All],FZ$2,0)/FZ$1,"")</f>
        <v>3.2916666666666665</v>
      </c>
      <c r="GA27" s="67">
        <f>IFERROR(VLOOKUP($B27,RD[#All],GA$2,0)/GA$1,"")</f>
        <v>3.3391608391608392</v>
      </c>
      <c r="GB27" s="67">
        <f>IFERROR(VLOOKUP($B27,RD[#All],GB$2,0)/GB$1,"")</f>
        <v>3.2491582491582491</v>
      </c>
      <c r="GC27" s="67">
        <f>IFERROR(VLOOKUP($B27,RD[#All],GC$2,0)/GC$1,"")</f>
        <v>3.2171717171717171</v>
      </c>
      <c r="GD27" s="67">
        <f>IFERROR(VLOOKUP($B27,RD[#All],GD$2,0)/GD$1,"")</f>
        <v>3.2763636363636364</v>
      </c>
      <c r="GE27" s="67">
        <f>IFERROR(VLOOKUP($B27,RD[#All],GE$2,0)/GE$1,"")</f>
        <v>3.2118881118881122</v>
      </c>
      <c r="GF27" s="67">
        <f>IFERROR(VLOOKUP($B27,RD[#All],GF$2,0)/GF$1,"")</f>
        <v>3.2255892255892258</v>
      </c>
      <c r="GG27" s="67">
        <f>IFERROR(VLOOKUP($B27,RD[#All],GG$2,0)/GG$1,"")</f>
        <v>3.296727272727273</v>
      </c>
      <c r="GH27" s="67">
        <f>IFERROR(VLOOKUP($B27,RD[#All],GH$2,0)/GH$1,"")</f>
        <v>3.2763636363636364</v>
      </c>
      <c r="GI27" s="67">
        <f>IFERROR(VLOOKUP($B27,RD[#All],GI$2,0)/GI$1,"")</f>
        <v>3.261090909090909</v>
      </c>
      <c r="GJ27" s="67">
        <f>IFERROR(VLOOKUP($B27,RD[#All],GJ$2,0)/GJ$1,"")</f>
        <v>3.2272727272727271</v>
      </c>
      <c r="GK27" s="67">
        <f>IFERROR(VLOOKUP($B27,RD[#All],GK$2,0)/GK$1,"")</f>
        <v>3.2268939393939391</v>
      </c>
      <c r="GL27" s="67">
        <f>IFERROR(VLOOKUP($B27,RD[#All],GL$2,0)/GL$1,"")</f>
        <v>3.2386363636363638</v>
      </c>
      <c r="GM27" s="67">
        <f>IFERROR(VLOOKUP($B27,RD[#All],GM$2,0)/GM$1,"")</f>
        <v>3.3219696969696968</v>
      </c>
      <c r="GN27" s="67">
        <f>IFERROR(VLOOKUP($B27,RD[#All],GN$2,0)/GN$1,"")</f>
        <v>3.25</v>
      </c>
      <c r="GO27" s="67">
        <f>IFERROR(VLOOKUP($B27,RD[#All],GO$2,0)/GO$1,"")</f>
        <v>3.2803030303030303</v>
      </c>
      <c r="GP27" s="67">
        <f>IFERROR(VLOOKUP($B27,RD[#All],GP$2,0)/GP$1,"")</f>
        <v>3.3030303030303032</v>
      </c>
      <c r="GQ27" s="67">
        <f>IFERROR(VLOOKUP($B27,RD[#All],GQ$2,0)/GQ$1,"")</f>
        <v>3.2727272727272729</v>
      </c>
      <c r="GR27" s="67">
        <f>IFERROR(VLOOKUP($B27,RD[#All],GR$2,0)/GR$1,"")</f>
        <v>3.3371212121212119</v>
      </c>
      <c r="GS27" s="67" t="str">
        <f>IFERROR(VLOOKUP($B27,RD[#All],GS$2,0)/GS$1,"")</f>
        <v/>
      </c>
      <c r="GT27" s="67" t="str">
        <f>IFERROR(VLOOKUP($B27,RD[#All],GT$2,0)/GT$1,"")</f>
        <v/>
      </c>
      <c r="GU27" s="67">
        <f>IFERROR(VLOOKUP($B27,RD[#All],GU$2,0)/GU$1,"")</f>
        <v>3.4107299912049251</v>
      </c>
      <c r="GV27" s="67">
        <f>IFERROR(VLOOKUP($B27,RD[#All],GV$2,0)/GV$1,"")</f>
        <v>3.2886787496716576</v>
      </c>
      <c r="GW27" s="67">
        <f>IFERROR(VLOOKUP($B27,RD[#All],GW$2,0)/GW$1,"")</f>
        <v>3.2926829268292681</v>
      </c>
      <c r="GX27" s="67" t="str">
        <f>IFERROR(VLOOKUP($B27,RD[#All],GX$2,0)/GX$1,"")</f>
        <v/>
      </c>
      <c r="GY27" s="67">
        <f>IFERROR(VLOOKUP($B27,RD[#All],GY$2,0)/GY$1,"")</f>
        <v>3.2433356117566641</v>
      </c>
      <c r="GZ27" s="67">
        <f>IFERROR(VLOOKUP($B27,RD[#All],GZ$2,0)/GZ$1,"")</f>
        <v>3.2471910112359552</v>
      </c>
      <c r="HA27" s="67">
        <f>IFERROR(VLOOKUP($B27,RD[#All],HA$2,0)/HA$1,"")</f>
        <v>3.2606741573033711</v>
      </c>
      <c r="HB27" s="67">
        <f>IFERROR(VLOOKUP($B27,RD[#All],HB$2,0)/HB$1,"")</f>
        <v>3.2172284644194757</v>
      </c>
      <c r="HC27" s="67">
        <f>IFERROR(VLOOKUP($B27,RD[#All],HC$2,0)/HC$1,"")</f>
        <v>3.262172284644195</v>
      </c>
      <c r="HD27" s="67">
        <f>IFERROR(VLOOKUP($B27,RD[#All],HD$2,0)/HD$1,"")</f>
        <v>3.2359550561797752</v>
      </c>
      <c r="HE27" s="67">
        <f>IFERROR(VLOOKUP($B27,RD[#All],HE$2,0)/HE$1,"")</f>
        <v>3.292134831460674</v>
      </c>
      <c r="HF27" s="67">
        <f>IFERROR(VLOOKUP($B27,RD[#All],HF$2,0)/HF$1,"")</f>
        <v>3.3333333333333335</v>
      </c>
      <c r="HG27" s="67">
        <f>IFERROR(VLOOKUP($B27,RD[#All],HG$2,0)/HG$1,"")</f>
        <v>3.2745318352059924</v>
      </c>
      <c r="HH27" s="67">
        <f>IFERROR(VLOOKUP($B27,RD[#All],HH$2,0)/HH$1,"")</f>
        <v>3.2239700374531832</v>
      </c>
      <c r="HI27" s="67">
        <f>IFERROR(VLOOKUP($B27,RD[#All],HI$2,0)/HI$1,"")</f>
        <v>3.2546816479400751</v>
      </c>
      <c r="HJ27" s="67">
        <f>IFERROR(VLOOKUP($B27,RD[#All],HJ$2,0)/HJ$1,"")</f>
        <v>3.3966292134831462</v>
      </c>
      <c r="HK27" s="67">
        <f>IFERROR(VLOOKUP($B27,RD[#All],HK$2,0)/HK$1,"")</f>
        <v>3.2625884311277571</v>
      </c>
      <c r="HL27" s="67">
        <f>IFERROR(VLOOKUP($B27,RD[#All],HL$2,0)/HL$1,"")</f>
        <v>3.3907615480649187</v>
      </c>
      <c r="HM27" s="67">
        <f>IFERROR(VLOOKUP($B27,RD[#All],HM$2,0)/HM$1,"")</f>
        <v>3.3945364979847739</v>
      </c>
      <c r="HN27" s="67">
        <f>IFERROR(VLOOKUP($B27,RD[#All],HN$2,0)/HN$1,"")</f>
        <v>3.4393193013882666</v>
      </c>
      <c r="HO27" s="67">
        <f>IFERROR(VLOOKUP($B27,RD[#All],HO$2,0)/HO$1,"")</f>
        <v>3.507836990595611</v>
      </c>
      <c r="HP27" s="67">
        <f>IFERROR(VLOOKUP($B27,RD[#All],HP$2,0)/HP$1,"")</f>
        <v>3.4752351097178682</v>
      </c>
      <c r="HQ27" s="67">
        <f>IFERROR(VLOOKUP($B27,RD[#All],HQ$2,0)/HQ$1,"")</f>
        <v>3.2419432419432419</v>
      </c>
      <c r="HR27" s="67">
        <f>IFERROR(VLOOKUP($B27,RD[#All],HR$2,0)/HR$1,"")</f>
        <v>3.24603836530442</v>
      </c>
      <c r="HS27" s="67">
        <f>IFERROR(VLOOKUP($B27,RD[#All],HS$2,0)/HS$1,"")</f>
        <v>3.3524494382022469</v>
      </c>
      <c r="HT27" s="67">
        <f>IFERROR(VLOOKUP($B27,RD[#All],HT$2,0)/HT$1,"")</f>
        <v>3.3201831044527674</v>
      </c>
      <c r="HU27" s="67">
        <f>IFERROR(VLOOKUP($B27,RD[#All],HU$2,0)/HU$1,"")</f>
        <v>3.3044079515989626</v>
      </c>
      <c r="HV27" s="67">
        <f>IFERROR(VLOOKUP($B27,RD[#All],HV$2,0)/HV$1,"")</f>
        <v>3.2152117545375973</v>
      </c>
      <c r="HW27" s="67">
        <f>IFERROR(VLOOKUP($B27,RD[#All],HW$2,0)/HW$1,"")</f>
        <v>3.3671910112359549</v>
      </c>
      <c r="HX27" s="67">
        <f>IFERROR(VLOOKUP($B27,RD[#All],HX$2,0)/HX$1,"")</f>
        <v>3.3241140881590319</v>
      </c>
      <c r="HY27" s="67">
        <f>IFERROR(VLOOKUP($B27,RD[#All],HY$2,0)/HY$1,"")</f>
        <v>3.3101955888472743</v>
      </c>
      <c r="HZ27" s="67">
        <f>IFERROR(VLOOKUP($B27,RD[#All],HZ$2,0)/HZ$1,"")</f>
        <v>3.249937578027466</v>
      </c>
      <c r="IA27" s="67">
        <f>IFERROR(VLOOKUP($B27,RD[#All],IA$2,0)/IA$1,"")</f>
        <v>3.2206682206682209</v>
      </c>
      <c r="IB27" s="67">
        <f>IFERROR(VLOOKUP($B27,RD[#All],IB$2,0)/IB$1,"")</f>
        <v>3.2543290043290045</v>
      </c>
      <c r="IC27" s="67">
        <f>IFERROR(VLOOKUP($B27,RD[#All],IC$2,0)/IC$1,"")</f>
        <v>3.2905982905982909</v>
      </c>
      <c r="ID27" s="67">
        <f>IFERROR(VLOOKUP($B27,RD[#All],ID$2,0)/ID$1,"")</f>
        <v>3.2959221848110736</v>
      </c>
      <c r="IE27" s="67">
        <f>IFERROR(VLOOKUP($B27,RD[#All],IE$2,0)/IE$1,"")</f>
        <v>3.2125252525252526</v>
      </c>
      <c r="IF27" s="67" t="str">
        <f>IFERROR(VLOOKUP($B27,RD[#All],IF$2,0)/IF$1,"")</f>
        <v/>
      </c>
      <c r="IG27" s="67">
        <f>IFERROR(VLOOKUP($B27,RD[#All],IG$2,0)/IG$1,"")</f>
        <v>3.3710727427115765</v>
      </c>
      <c r="IH27" s="67">
        <f>IFERROR(VLOOKUP($B27,RD[#All],IH$2,0)/IH$1,"")</f>
        <v>3.2532218739115288</v>
      </c>
      <c r="II27" s="67">
        <f>IFERROR(VLOOKUP($B27,RD[#All],II$2,0)/II$1,"")</f>
        <v>3.2945273631840797</v>
      </c>
      <c r="IJ27" s="67">
        <f>IFERROR(VLOOKUP($B27,RD[#All],IJ$2,0)/IJ$1,"")</f>
        <v>3.265993265993266</v>
      </c>
      <c r="IK27" s="67">
        <f>IFERROR(VLOOKUP($B27,RD[#All],IK$2,0)/IK$1,"")</f>
        <v>3.2062937062937062</v>
      </c>
      <c r="IL27" s="67" t="str">
        <f>IFERROR(VLOOKUP($B27,RD[#All],IL$2,0)/IL$1,"")</f>
        <v/>
      </c>
      <c r="IM27" s="67" t="str">
        <f>IFERROR(VLOOKUP($B27,RD[#All],IM$2,0)/IM$1,"")</f>
        <v/>
      </c>
      <c r="IN27" s="67">
        <f>IFERROR(VLOOKUP($B27,RD[#All],IN$2,0)/IN$1,"")</f>
        <v>3.3479623824451412</v>
      </c>
      <c r="IO27" s="67">
        <f>IFERROR(VLOOKUP($B27,RD[#All],IO$2,0)/IO$1,"")</f>
        <v>3.346394984326019</v>
      </c>
      <c r="IP27" s="67">
        <f>IFERROR(VLOOKUP($B27,RD[#All],IP$2,0)/IP$1,"")</f>
        <v>3.4238540082554856</v>
      </c>
      <c r="IQ27" s="67">
        <f>IFERROR(VLOOKUP($B27,RD[#All],IQ$2,0)/IQ$1,"")</f>
        <v>3.2595182595182597</v>
      </c>
      <c r="IR27" s="67">
        <f>IFERROR(VLOOKUP($B27,RD[#All],IR$2,0)/IR$1,"")</f>
        <v>3.2504145936981761</v>
      </c>
      <c r="IS27" s="86">
        <f>IFERROR(AVERAGEIF(Inv_SY_B[[#This Row],[BLK1_INV1]:[BLK8_INV27]],"&gt;"&amp;0.1,Inv_SY_B[[#This Row],[BLK1_INV1]:[BLK8_INV27]]),"")</f>
        <v>3.2988411422890742</v>
      </c>
    </row>
    <row r="28" spans="2:253" x14ac:dyDescent="0.25">
      <c r="B28" s="85">
        <f t="shared" si="0"/>
        <v>45854</v>
      </c>
      <c r="C28" s="67">
        <f>IFERROR(VLOOKUP($B28,RD[#All],C$2,0)/C$1,"")</f>
        <v>2.7574762316335351</v>
      </c>
      <c r="D28" s="67">
        <f>IFERROR(VLOOKUP($B28,RD[#All],D$2,0)/D$1,"")</f>
        <v>2.727744165946413</v>
      </c>
      <c r="E28" s="67">
        <f>IFERROR(VLOOKUP($B28,RD[#All],E$2,0)/E$1,"")</f>
        <v>2.7228464419475658</v>
      </c>
      <c r="F28" s="67">
        <f>IFERROR(VLOOKUP($B28,RD[#All],F$2,0)/F$1,"")</f>
        <v>2.7460674157303373</v>
      </c>
      <c r="G28" s="67">
        <f>IFERROR(VLOOKUP($B28,RD[#All],G$2,0)/G$1,"")</f>
        <v>2.7889369057908384</v>
      </c>
      <c r="H28" s="67">
        <f>IFERROR(VLOOKUP($B28,RD[#All],H$2,0)/H$1,"")</f>
        <v>2.7895131086142322</v>
      </c>
      <c r="I28" s="67">
        <f>IFERROR(VLOOKUP($B28,RD[#All],I$2,0)/I$1,"")</f>
        <v>2.7573033707865169</v>
      </c>
      <c r="J28" s="67">
        <f>IFERROR(VLOOKUP($B28,RD[#All],J$2,0)/J$1,"")</f>
        <v>2.7363295880149812</v>
      </c>
      <c r="K28" s="67">
        <f>IFERROR(VLOOKUP($B28,RD[#All],K$2,0)/K$1,"")</f>
        <v>2.736179775280899</v>
      </c>
      <c r="L28" s="67">
        <f>IFERROR(VLOOKUP($B28,RD[#All],L$2,0)/L$1,"")</f>
        <v>2.8149213483146065</v>
      </c>
      <c r="M28" s="67">
        <f>IFERROR(VLOOKUP($B28,RD[#All],M$2,0)/M$1,"")</f>
        <v>2.7191011235955056</v>
      </c>
      <c r="N28" s="67">
        <f>IFERROR(VLOOKUP($B28,RD[#All],N$2,0)/N$1,"")</f>
        <v>2.7865168539325844</v>
      </c>
      <c r="O28" s="67">
        <f>IFERROR(VLOOKUP($B28,RD[#All],O$2,0)/O$1,"")</f>
        <v>2.7228464419475658</v>
      </c>
      <c r="P28" s="67">
        <f>IFERROR(VLOOKUP($B28,RD[#All],P$2,0)/P$1,"")</f>
        <v>2.7415730337078652</v>
      </c>
      <c r="Q28" s="67">
        <f>IFERROR(VLOOKUP($B28,RD[#All],Q$2,0)/Q$1,"")</f>
        <v>2.7629213483146069</v>
      </c>
      <c r="R28" s="67">
        <f>IFERROR(VLOOKUP($B28,RD[#All],R$2,0)/R$1,"")</f>
        <v>2.7558052434456926</v>
      </c>
      <c r="S28" s="67">
        <f>IFERROR(VLOOKUP($B28,RD[#All],S$2,0)/S$1,"")</f>
        <v>2.7767790262172283</v>
      </c>
      <c r="T28" s="67">
        <f>IFERROR(VLOOKUP($B28,RD[#All],T$2,0)/T$1,"")</f>
        <v>2.7490636704119851</v>
      </c>
      <c r="U28" s="67">
        <f>IFERROR(VLOOKUP($B28,RD[#All],U$2,0)/U$1,"")</f>
        <v>2.7654278305963698</v>
      </c>
      <c r="V28" s="67">
        <f>IFERROR(VLOOKUP($B28,RD[#All],V$2,0)/V$1,"")</f>
        <v>2.7993085566119276</v>
      </c>
      <c r="W28" s="67">
        <f>IFERROR(VLOOKUP($B28,RD[#All],W$2,0)/W$1,"")</f>
        <v>2.749438202247191</v>
      </c>
      <c r="X28" s="67">
        <f>IFERROR(VLOOKUP($B28,RD[#All],X$2,0)/X$1,"")</f>
        <v>2.7258426966292135</v>
      </c>
      <c r="Y28" s="67">
        <f>IFERROR(VLOOKUP($B28,RD[#All],Y$2,0)/Y$1,"")</f>
        <v>2.7312013828867761</v>
      </c>
      <c r="Z28" s="67">
        <f>IFERROR(VLOOKUP($B28,RD[#All],Z$2,0)/Z$1,"")</f>
        <v>2.7265917602996255</v>
      </c>
      <c r="AA28" s="67">
        <f>IFERROR(VLOOKUP($B28,RD[#All],AA$2,0)/AA$1,"")</f>
        <v>2.7484874675885913</v>
      </c>
      <c r="AB28" s="67">
        <f>IFERROR(VLOOKUP($B28,RD[#All],AB$2,0)/AB$1,"")</f>
        <v>2.750561797752809</v>
      </c>
      <c r="AC28" s="67">
        <f>IFERROR(VLOOKUP($B28,RD[#All],AC$2,0)/AC$1,"")</f>
        <v>2.7132238547968885</v>
      </c>
      <c r="AD28" s="67">
        <f>IFERROR(VLOOKUP($B28,RD[#All],AD$2,0)/AD$1,"")</f>
        <v>2.8128173116937161</v>
      </c>
      <c r="AE28" s="67">
        <f>IFERROR(VLOOKUP($B28,RD[#All],AE$2,0)/AE$1,"")</f>
        <v>2.6859758635039532</v>
      </c>
      <c r="AF28" s="67">
        <f>IFERROR(VLOOKUP($B28,RD[#All],AF$2,0)/AF$1,"")</f>
        <v>2.7968372867249274</v>
      </c>
      <c r="AG28" s="67">
        <f>IFERROR(VLOOKUP($B28,RD[#All],AG$2,0)/AG$1,"")</f>
        <v>2.8148148148148149</v>
      </c>
      <c r="AH28" s="67">
        <f>IFERROR(VLOOKUP($B28,RD[#All],AH$2,0)/AH$1,"")</f>
        <v>2.7848522679983354</v>
      </c>
      <c r="AI28" s="67">
        <f>IFERROR(VLOOKUP($B28,RD[#All],AI$2,0)/AI$1,"")</f>
        <v>2.7044025157232703</v>
      </c>
      <c r="AJ28" s="67">
        <f>IFERROR(VLOOKUP($B28,RD[#All],AJ$2,0)/AJ$1,"")</f>
        <v>2.7469735465550738</v>
      </c>
      <c r="AK28" s="67">
        <f>IFERROR(VLOOKUP($B28,RD[#All],AK$2,0)/AK$1,"")</f>
        <v>2.7153558052434459</v>
      </c>
      <c r="AL28" s="67">
        <f>IFERROR(VLOOKUP($B28,RD[#All],AL$2,0)/AL$1,"")</f>
        <v>2.7166276346604219</v>
      </c>
      <c r="AM28" s="67">
        <f>IFERROR(VLOOKUP($B28,RD[#All],AM$2,0)/AM$1,"")</f>
        <v>2.7573033707865169</v>
      </c>
      <c r="AN28" s="67">
        <f>IFERROR(VLOOKUP($B28,RD[#All],AN$2,0)/AN$1,"")</f>
        <v>2.7752808988764044</v>
      </c>
      <c r="AO28" s="67">
        <f>IFERROR(VLOOKUP($B28,RD[#All],AO$2,0)/AO$1,"")</f>
        <v>2.7640449438202248</v>
      </c>
      <c r="AP28" s="67">
        <f>IFERROR(VLOOKUP($B28,RD[#All],AP$2,0)/AP$1,"")</f>
        <v>2.7415730337078652</v>
      </c>
      <c r="AQ28" s="67">
        <f>IFERROR(VLOOKUP($B28,RD[#All],AQ$2,0)/AQ$1,"")</f>
        <v>2.7902621722846441</v>
      </c>
      <c r="AR28" s="67">
        <f>IFERROR(VLOOKUP($B28,RD[#All],AR$2,0)/AR$1,"")</f>
        <v>2.7415730337078652</v>
      </c>
      <c r="AS28" s="67">
        <f>IFERROR(VLOOKUP($B28,RD[#All],AS$2,0)/AS$1,"")</f>
        <v>2.7303370786516852</v>
      </c>
      <c r="AT28" s="67">
        <f>IFERROR(VLOOKUP($B28,RD[#All],AT$2,0)/AT$1,"")</f>
        <v>2.6868913857677903</v>
      </c>
      <c r="AU28" s="67">
        <f>IFERROR(VLOOKUP($B28,RD[#All],AU$2,0)/AU$1,"")</f>
        <v>2.8382022471910111</v>
      </c>
      <c r="AV28" s="67">
        <f>IFERROR(VLOOKUP($B28,RD[#All],AV$2,0)/AV$1,"")</f>
        <v>2.8404494382022469</v>
      </c>
      <c r="AW28" s="67">
        <f>IFERROR(VLOOKUP($B28,RD[#All],AW$2,0)/AW$1,"")</f>
        <v>2.7346585998271391</v>
      </c>
      <c r="AX28" s="67">
        <f>IFERROR(VLOOKUP($B28,RD[#All],AX$2,0)/AX$1,"")</f>
        <v>2.6973782771535584</v>
      </c>
      <c r="AY28" s="67">
        <f>IFERROR(VLOOKUP($B28,RD[#All],AY$2,0)/AY$1,"")</f>
        <v>2.7182022471910114</v>
      </c>
      <c r="AZ28" s="67">
        <f>IFERROR(VLOOKUP($B28,RD[#All],AZ$2,0)/AZ$1,"")</f>
        <v>2.7146067415730335</v>
      </c>
      <c r="BA28" s="67">
        <f>IFERROR(VLOOKUP($B28,RD[#All],BA$2,0)/BA$1,"")</f>
        <v>2.707865168539326</v>
      </c>
      <c r="BB28" s="67">
        <f>IFERROR(VLOOKUP($B28,RD[#All],BB$2,0)/BB$1,"")</f>
        <v>2.69063670411985</v>
      </c>
      <c r="BC28" s="67">
        <f>IFERROR(VLOOKUP($B28,RD[#All],BC$2,0)/BC$1,"")</f>
        <v>2.7945068664169788</v>
      </c>
      <c r="BD28" s="67">
        <f>IFERROR(VLOOKUP($B28,RD[#All],BD$2,0)/BD$1,"")</f>
        <v>2.7399084477736162</v>
      </c>
      <c r="BE28" s="67">
        <f>IFERROR(VLOOKUP($B28,RD[#All],BE$2,0)/BE$1,"")</f>
        <v>2.7346585998271391</v>
      </c>
      <c r="BF28" s="67">
        <f>IFERROR(VLOOKUP($B28,RD[#All],BF$2,0)/BF$1,"")</f>
        <v>2.7825218476903868</v>
      </c>
      <c r="BG28" s="67">
        <f>IFERROR(VLOOKUP($B28,RD[#All],BG$2,0)/BG$1,"")</f>
        <v>2.8028297960882229</v>
      </c>
      <c r="BH28" s="67">
        <f>IFERROR(VLOOKUP($B28,RD[#All],BH$2,0)/BH$1,"")</f>
        <v>2.8385767790262171</v>
      </c>
      <c r="BI28" s="67">
        <f>IFERROR(VLOOKUP($B28,RD[#All],BI$2,0)/BI$1,"")</f>
        <v>2.779525593008739</v>
      </c>
      <c r="BJ28" s="67">
        <f>IFERROR(VLOOKUP($B28,RD[#All],BJ$2,0)/BJ$1,"")</f>
        <v>2.788847274240533</v>
      </c>
      <c r="BK28" s="67">
        <f>IFERROR(VLOOKUP($B28,RD[#All],BK$2,0)/BK$1,"")</f>
        <v>2.738951310861423</v>
      </c>
      <c r="BL28" s="67">
        <f>IFERROR(VLOOKUP($B28,RD[#All],BL$2,0)/BL$1,"")</f>
        <v>2.7738374038139848</v>
      </c>
      <c r="BM28" s="67">
        <f>IFERROR(VLOOKUP($B28,RD[#All],BM$2,0)/BM$1,"")</f>
        <v>2.7528089887640448</v>
      </c>
      <c r="BN28" s="67">
        <f>IFERROR(VLOOKUP($B28,RD[#All],BN$2,0)/BN$1,"")</f>
        <v>2.7628004179728318</v>
      </c>
      <c r="BO28" s="67">
        <f>IFERROR(VLOOKUP($B28,RD[#All],BO$2,0)/BO$1,"")</f>
        <v>2.8452895419187554</v>
      </c>
      <c r="BP28" s="67">
        <f>IFERROR(VLOOKUP($B28,RD[#All],BP$2,0)/BP$1,"")</f>
        <v>2.8349178910976662</v>
      </c>
      <c r="BQ28" s="67">
        <f>IFERROR(VLOOKUP($B28,RD[#All],BQ$2,0)/BQ$1,"")</f>
        <v>2.8352636127917026</v>
      </c>
      <c r="BR28" s="67">
        <f>IFERROR(VLOOKUP($B28,RD[#All],BR$2,0)/BR$1,"")</f>
        <v>2.7581676750216073</v>
      </c>
      <c r="BS28" s="67">
        <f>IFERROR(VLOOKUP($B28,RD[#All],BS$2,0)/BS$1,"")</f>
        <v>2.8378277153558056</v>
      </c>
      <c r="BT28" s="67">
        <f>IFERROR(VLOOKUP($B28,RD[#All],BT$2,0)/BT$1,"")</f>
        <v>2.8393258426966295</v>
      </c>
      <c r="BU28" s="67">
        <f>IFERROR(VLOOKUP($B28,RD[#All],BU$2,0)/BU$1,"")</f>
        <v>2.8303370786516857</v>
      </c>
      <c r="BV28" s="67">
        <f>IFERROR(VLOOKUP($B28,RD[#All],BV$2,0)/BV$1,"")</f>
        <v>2.8041198501872659</v>
      </c>
      <c r="BW28" s="67">
        <f>IFERROR(VLOOKUP($B28,RD[#All],BW$2,0)/BW$1,"")</f>
        <v>2.7528089887640448</v>
      </c>
      <c r="BX28" s="67">
        <f>IFERROR(VLOOKUP($B28,RD[#All],BX$2,0)/BX$1,"")</f>
        <v>2.7003745318352061</v>
      </c>
      <c r="BY28" s="67">
        <f>IFERROR(VLOOKUP($B28,RD[#All],BY$2,0)/BY$1,"")</f>
        <v>2.7698709945900957</v>
      </c>
      <c r="BZ28" s="67">
        <f>IFERROR(VLOOKUP($B28,RD[#All],BZ$2,0)/BZ$1,"")</f>
        <v>2.8201414898044113</v>
      </c>
      <c r="CA28" s="67">
        <f>IFERROR(VLOOKUP($B28,RD[#All],CA$2,0)/CA$1,"")</f>
        <v>2.8031627132750727</v>
      </c>
      <c r="CB28" s="67">
        <f>IFERROR(VLOOKUP($B28,RD[#All],CB$2,0)/CB$1,"")</f>
        <v>2.7677902621722845</v>
      </c>
      <c r="CC28" s="67">
        <f>IFERROR(VLOOKUP($B28,RD[#All],CC$2,0)/CC$1,"")</f>
        <v>2.8191011235955057</v>
      </c>
      <c r="CD28" s="67">
        <f>IFERROR(VLOOKUP($B28,RD[#All],CD$2,0)/CD$1,"")</f>
        <v>2.7968885047536731</v>
      </c>
      <c r="CE28" s="67">
        <f>IFERROR(VLOOKUP($B28,RD[#All],CE$2,0)/CE$1,"")</f>
        <v>2.8157303370786515</v>
      </c>
      <c r="CF28" s="67">
        <f>IFERROR(VLOOKUP($B28,RD[#All],CF$2,0)/CF$1,"")</f>
        <v>2.851685393258427</v>
      </c>
      <c r="CG28" s="67">
        <f>IFERROR(VLOOKUP($B28,RD[#All],CG$2,0)/CG$1,"")</f>
        <v>2.81498127340824</v>
      </c>
      <c r="CH28" s="67">
        <f>IFERROR(VLOOKUP($B28,RD[#All],CH$2,0)/CH$1,"")</f>
        <v>2.8558052434456931</v>
      </c>
      <c r="CI28" s="67">
        <f>IFERROR(VLOOKUP($B28,RD[#All],CI$2,0)/CI$1,"")</f>
        <v>2.8007490636704118</v>
      </c>
      <c r="CJ28" s="67">
        <f>IFERROR(VLOOKUP($B28,RD[#All],CJ$2,0)/CJ$1,"")</f>
        <v>2.8314606741573032</v>
      </c>
      <c r="CK28" s="67">
        <f>IFERROR(VLOOKUP($B28,RD[#All],CK$2,0)/CK$1,"")</f>
        <v>2.7775280898876407</v>
      </c>
      <c r="CL28" s="67">
        <f>IFERROR(VLOOKUP($B28,RD[#All],CL$2,0)/CL$1,"")</f>
        <v>2.7719101123595506</v>
      </c>
      <c r="CM28" s="67">
        <f>IFERROR(VLOOKUP($B28,RD[#All],CM$2,0)/CM$1,"")</f>
        <v>2.7951310861423218</v>
      </c>
      <c r="CN28" s="67">
        <f>IFERROR(VLOOKUP($B28,RD[#All],CN$2,0)/CN$1,"")</f>
        <v>2.7853932584269665</v>
      </c>
      <c r="CO28" s="67">
        <f>IFERROR(VLOOKUP($B28,RD[#All],CO$2,0)/CO$1,"")</f>
        <v>2.7548764044943823</v>
      </c>
      <c r="CP28" s="67">
        <f>IFERROR(VLOOKUP($B28,RD[#All],CP$2,0)/CP$1,"")</f>
        <v>2.8096802074330167</v>
      </c>
      <c r="CQ28" s="67">
        <f>IFERROR(VLOOKUP($B28,RD[#All],CQ$2,0)/CQ$1,"")</f>
        <v>2.7569288389513109</v>
      </c>
      <c r="CR28" s="67">
        <f>IFERROR(VLOOKUP($B28,RD[#All],CR$2,0)/CR$1,"")</f>
        <v>2.7509363295880149</v>
      </c>
      <c r="CS28" s="67">
        <f>IFERROR(VLOOKUP($B28,RD[#All],CS$2,0)/CS$1,"")</f>
        <v>2.7815230961298378</v>
      </c>
      <c r="CT28" s="67">
        <f>IFERROR(VLOOKUP($B28,RD[#All],CT$2,0)/CT$1,"")</f>
        <v>2.81498127340824</v>
      </c>
      <c r="CU28" s="67">
        <f>IFERROR(VLOOKUP($B28,RD[#All],CU$2,0)/CU$1,"")</f>
        <v>2.8262172284644196</v>
      </c>
      <c r="CV28" s="67">
        <f>IFERROR(VLOOKUP($B28,RD[#All],CV$2,0)/CV$1,"")</f>
        <v>2.7865168539325844</v>
      </c>
      <c r="CW28" s="67">
        <f>IFERROR(VLOOKUP($B28,RD[#All],CW$2,0)/CW$1,"")</f>
        <v>2.7752808988764044</v>
      </c>
      <c r="CX28" s="67">
        <f>IFERROR(VLOOKUP($B28,RD[#All],CX$2,0)/CX$1,"")</f>
        <v>2.7415730337078652</v>
      </c>
      <c r="CY28" s="67">
        <f>IFERROR(VLOOKUP($B28,RD[#All],CY$2,0)/CY$1,"")</f>
        <v>2.7153558052434459</v>
      </c>
      <c r="CZ28" s="67">
        <f>IFERROR(VLOOKUP($B28,RD[#All],CZ$2,0)/CZ$1,"")</f>
        <v>2.7677902621722845</v>
      </c>
      <c r="DA28" s="67">
        <f>IFERROR(VLOOKUP($B28,RD[#All],DA$2,0)/DA$1,"")</f>
        <v>2.7902621722846441</v>
      </c>
      <c r="DB28" s="67">
        <f>IFERROR(VLOOKUP($B28,RD[#All],DB$2,0)/DB$1,"")</f>
        <v>2.808988764044944</v>
      </c>
      <c r="DC28" s="67">
        <f>IFERROR(VLOOKUP($B28,RD[#All],DC$2,0)/DC$1,"")</f>
        <v>2.7568872243029547</v>
      </c>
      <c r="DD28" s="67">
        <f>IFERROR(VLOOKUP($B28,RD[#All],DD$2,0)/DD$1,"")</f>
        <v>2.7303370786516852</v>
      </c>
      <c r="DE28" s="67">
        <f>IFERROR(VLOOKUP($B28,RD[#All],DE$2,0)/DE$1,"")</f>
        <v>2.7032875572201416</v>
      </c>
      <c r="DF28" s="67">
        <f>IFERROR(VLOOKUP($B28,RD[#All],DF$2,0)/DF$1,"")</f>
        <v>2.7183004349280697</v>
      </c>
      <c r="DG28" s="67">
        <f>IFERROR(VLOOKUP($B28,RD[#All],DG$2,0)/DG$1,"")</f>
        <v>2.7902621722846441</v>
      </c>
      <c r="DH28" s="67">
        <f>IFERROR(VLOOKUP($B28,RD[#All],DH$2,0)/DH$1,"")</f>
        <v>2.7971702039117772</v>
      </c>
      <c r="DI28" s="67">
        <f>IFERROR(VLOOKUP($B28,RD[#All],DI$2,0)/DI$1,"")</f>
        <v>2.7356957649092477</v>
      </c>
      <c r="DJ28" s="67">
        <f>IFERROR(VLOOKUP($B28,RD[#All],DJ$2,0)/DJ$1,"")</f>
        <v>2.8086430423509072</v>
      </c>
      <c r="DK28" s="67">
        <f>IFERROR(VLOOKUP($B28,RD[#All],DK$2,0)/DK$1,"")</f>
        <v>2.8181439866833125</v>
      </c>
      <c r="DL28" s="67">
        <f>IFERROR(VLOOKUP($B28,RD[#All],DL$2,0)/DL$1,"")</f>
        <v>2.785518102372035</v>
      </c>
      <c r="DM28" s="67">
        <f>IFERROR(VLOOKUP($B28,RD[#All],DM$2,0)/DM$1,"")</f>
        <v>2.7288389513108613</v>
      </c>
      <c r="DN28" s="67">
        <f>IFERROR(VLOOKUP($B28,RD[#All],DN$2,0)/DN$1,"")</f>
        <v>2.791385767790262</v>
      </c>
      <c r="DO28" s="67">
        <f>IFERROR(VLOOKUP($B28,RD[#All],DO$2,0)/DO$1,"")</f>
        <v>2.7233188357310141</v>
      </c>
      <c r="DP28" s="67">
        <f>IFERROR(VLOOKUP($B28,RD[#All],DP$2,0)/DP$1,"")</f>
        <v>2.7765293383270913</v>
      </c>
      <c r="DQ28" s="67">
        <f>IFERROR(VLOOKUP($B28,RD[#All],DQ$2,0)/DQ$1,"")</f>
        <v>2.7585518102372037</v>
      </c>
      <c r="DR28" s="67">
        <f>IFERROR(VLOOKUP($B28,RD[#All],DR$2,0)/DR$1,"")</f>
        <v>2.8014981273408242</v>
      </c>
      <c r="DS28" s="67">
        <f>IFERROR(VLOOKUP($B28,RD[#All],DS$2,0)/DS$1,"")</f>
        <v>2.7265917602996255</v>
      </c>
      <c r="DT28" s="67">
        <f>IFERROR(VLOOKUP($B28,RD[#All],DT$2,0)/DT$1,"")</f>
        <v>2.6899708697461508</v>
      </c>
      <c r="DU28" s="67">
        <f>IFERROR(VLOOKUP($B28,RD[#All],DU$2,0)/DU$1,"")</f>
        <v>2.7492301290054098</v>
      </c>
      <c r="DV28" s="67">
        <f>IFERROR(VLOOKUP($B28,RD[#All],DV$2,0)/DV$1,"")</f>
        <v>2.707865168539326</v>
      </c>
      <c r="DW28" s="67">
        <f>IFERROR(VLOOKUP($B28,RD[#All],DW$2,0)/DW$1,"")</f>
        <v>2.714232209737828</v>
      </c>
      <c r="DX28" s="67">
        <f>IFERROR(VLOOKUP($B28,RD[#All],DX$2,0)/DX$1,"")</f>
        <v>2.8124843945068663</v>
      </c>
      <c r="DY28" s="67">
        <f>IFERROR(VLOOKUP($B28,RD[#All],DY$2,0)/DY$1,"")</f>
        <v>2.6895131086142321</v>
      </c>
      <c r="DZ28" s="67">
        <f>IFERROR(VLOOKUP($B28,RD[#All],DZ$2,0)/DZ$1,"")</f>
        <v>2.707865168539326</v>
      </c>
      <c r="EA28" s="67">
        <f>IFERROR(VLOOKUP($B28,RD[#All],EA$2,0)/EA$1,"")</f>
        <v>2.7605493133583021</v>
      </c>
      <c r="EB28" s="67">
        <f>IFERROR(VLOOKUP($B28,RD[#All],EB$2,0)/EB$1,"")</f>
        <v>2.6999583853516436</v>
      </c>
      <c r="EC28" s="67">
        <f>IFERROR(VLOOKUP($B28,RD[#All],EC$2,0)/EC$1,"")</f>
        <v>2.7101123595505618</v>
      </c>
      <c r="ED28" s="67">
        <f>IFERROR(VLOOKUP($B28,RD[#All],ED$2,0)/ED$1,"")</f>
        <v>2.7903197925669838</v>
      </c>
      <c r="EE28" s="67">
        <f>IFERROR(VLOOKUP($B28,RD[#All],EE$2,0)/EE$1,"")</f>
        <v>2.8200518582541054</v>
      </c>
      <c r="EF28" s="67">
        <f>IFERROR(VLOOKUP($B28,RD[#All],EF$2,0)/EF$1,"")</f>
        <v>2.7415730337078652</v>
      </c>
      <c r="EG28" s="67">
        <f>IFERROR(VLOOKUP($B28,RD[#All],EG$2,0)/EG$1,"")</f>
        <v>2.7622377622377621</v>
      </c>
      <c r="EH28" s="67">
        <f>IFERROR(VLOOKUP($B28,RD[#All],EH$2,0)/EH$1,"")</f>
        <v>2.7377622377622379</v>
      </c>
      <c r="EI28" s="67">
        <f>IFERROR(VLOOKUP($B28,RD[#All],EI$2,0)/EI$1,"")</f>
        <v>2.7293706293706292</v>
      </c>
      <c r="EJ28" s="67">
        <f>IFERROR(VLOOKUP($B28,RD[#All],EJ$2,0)/EJ$1,"")</f>
        <v>2.8006993006993008</v>
      </c>
      <c r="EK28" s="67">
        <f>IFERROR(VLOOKUP($B28,RD[#All],EK$2,0)/EK$1,"")</f>
        <v>2.8008988764044944</v>
      </c>
      <c r="EL28" s="67">
        <f>IFERROR(VLOOKUP($B28,RD[#All],EL$2,0)/EL$1,"")</f>
        <v>2.7827715355805243</v>
      </c>
      <c r="EM28" s="67">
        <f>IFERROR(VLOOKUP($B28,RD[#All],EM$2,0)/EM$1,"")</f>
        <v>2.785133967156439</v>
      </c>
      <c r="EN28" s="67">
        <f>IFERROR(VLOOKUP($B28,RD[#All],EN$2,0)/EN$1,"")</f>
        <v>2.7287813310285221</v>
      </c>
      <c r="EO28" s="67">
        <f>IFERROR(VLOOKUP($B28,RD[#All],EO$2,0)/EO$1,"")</f>
        <v>2.8127340823970037</v>
      </c>
      <c r="EP28" s="67">
        <f>IFERROR(VLOOKUP($B28,RD[#All],EP$2,0)/EP$1,"")</f>
        <v>2.7415730337078652</v>
      </c>
      <c r="EQ28" s="67">
        <f>IFERROR(VLOOKUP($B28,RD[#All],EQ$2,0)/EQ$1,"")</f>
        <v>2.7116104868913857</v>
      </c>
      <c r="ER28" s="67">
        <f>IFERROR(VLOOKUP($B28,RD[#All],ER$2,0)/ER$1,"")</f>
        <v>2.8041486603284356</v>
      </c>
      <c r="ES28" s="67">
        <f>IFERROR(VLOOKUP($B28,RD[#All],ES$2,0)/ES$1,"")</f>
        <v>2.802996254681648</v>
      </c>
      <c r="ET28" s="67">
        <f>IFERROR(VLOOKUP($B28,RD[#All],ET$2,0)/ET$1,"")</f>
        <v>2.770173646578141</v>
      </c>
      <c r="EU28" s="67">
        <f>IFERROR(VLOOKUP($B28,RD[#All],EU$2,0)/EU$1,"")</f>
        <v>2.8107173725151253</v>
      </c>
      <c r="EV28" s="67">
        <f>IFERROR(VLOOKUP($B28,RD[#All],EV$2,0)/EV$1,"")</f>
        <v>2.7578219533275714</v>
      </c>
      <c r="EW28" s="67">
        <f>IFERROR(VLOOKUP($B28,RD[#All],EW$2,0)/EW$1,"")</f>
        <v>2.727744165946413</v>
      </c>
      <c r="EX28" s="67">
        <f>IFERROR(VLOOKUP($B28,RD[#All],EX$2,0)/EX$1,"")</f>
        <v>2.7565543071161049</v>
      </c>
      <c r="EY28" s="67">
        <f>IFERROR(VLOOKUP($B28,RD[#All],EY$2,0)/EY$1,"")</f>
        <v>2.7116104868913857</v>
      </c>
      <c r="EZ28" s="67">
        <f>IFERROR(VLOOKUP($B28,RD[#All],EZ$2,0)/EZ$1,"")</f>
        <v>2.7827715355805243</v>
      </c>
      <c r="FA28" s="67">
        <f>IFERROR(VLOOKUP($B28,RD[#All],FA$2,0)/FA$1,"")</f>
        <v>2.7752808988764044</v>
      </c>
      <c r="FB28" s="67">
        <f>IFERROR(VLOOKUP($B28,RD[#All],FB$2,0)/FB$1,"")</f>
        <v>2.8116104868913858</v>
      </c>
      <c r="FC28" s="67">
        <f>IFERROR(VLOOKUP($B28,RD[#All],FC$2,0)/FC$1,"")</f>
        <v>2.7865168539325844</v>
      </c>
      <c r="FD28" s="67">
        <f>IFERROR(VLOOKUP($B28,RD[#All],FD$2,0)/FD$1,"")</f>
        <v>2.7640449438202248</v>
      </c>
      <c r="FE28" s="67">
        <f>IFERROR(VLOOKUP($B28,RD[#All],FE$2,0)/FE$1,"")</f>
        <v>2.768939393939394</v>
      </c>
      <c r="FF28" s="67">
        <f>IFERROR(VLOOKUP($B28,RD[#All],FF$2,0)/FF$1,"")</f>
        <v>2.7462121212121211</v>
      </c>
      <c r="FG28" s="67">
        <f>IFERROR(VLOOKUP($B28,RD[#All],FG$2,0)/FG$1,"")</f>
        <v>2.6855218855218856</v>
      </c>
      <c r="FH28" s="67">
        <f>IFERROR(VLOOKUP($B28,RD[#All],FH$2,0)/FH$1,"")</f>
        <v>2.75</v>
      </c>
      <c r="FI28" s="67">
        <f>IFERROR(VLOOKUP($B28,RD[#All],FI$2,0)/FI$1,"")</f>
        <v>2.7239057239057241</v>
      </c>
      <c r="FJ28" s="67">
        <f>IFERROR(VLOOKUP($B28,RD[#All],FJ$2,0)/FJ$1,"")</f>
        <v>2.7070707070707072</v>
      </c>
      <c r="FK28" s="67">
        <f>IFERROR(VLOOKUP($B28,RD[#All],FK$2,0)/FK$1,"")</f>
        <v>2.8313131313131312</v>
      </c>
      <c r="FL28" s="67">
        <f>IFERROR(VLOOKUP($B28,RD[#All],FL$2,0)/FL$1,"")</f>
        <v>2.725090909090909</v>
      </c>
      <c r="FM28" s="67">
        <f>IFERROR(VLOOKUP($B28,RD[#All],FM$2,0)/FM$1,"")</f>
        <v>2.793560606060606</v>
      </c>
      <c r="FN28" s="67">
        <f>IFERROR(VLOOKUP($B28,RD[#All],FN$2,0)/FN$1,"")</f>
        <v>2.7373737373737375</v>
      </c>
      <c r="FO28" s="67">
        <f>IFERROR(VLOOKUP($B28,RD[#All],FO$2,0)/FO$1,"")</f>
        <v>2.7015151515151516</v>
      </c>
      <c r="FP28" s="67">
        <f>IFERROR(VLOOKUP($B28,RD[#All],FP$2,0)/FP$1,"")</f>
        <v>2.72</v>
      </c>
      <c r="FQ28" s="67">
        <f>IFERROR(VLOOKUP($B28,RD[#All],FQ$2,0)/FQ$1,"")</f>
        <v>2.7294545454545456</v>
      </c>
      <c r="FR28" s="67">
        <f>IFERROR(VLOOKUP($B28,RD[#All],FR$2,0)/FR$1,"")</f>
        <v>2.7258181818181817</v>
      </c>
      <c r="FS28" s="67">
        <f>IFERROR(VLOOKUP($B28,RD[#All],FS$2,0)/FS$1,"")</f>
        <v>2.6969696969696968</v>
      </c>
      <c r="FT28" s="67">
        <f>IFERROR(VLOOKUP($B28,RD[#All],FT$2,0)/FT$1,"")</f>
        <v>2.7163636363636363</v>
      </c>
      <c r="FU28" s="67">
        <f>IFERROR(VLOOKUP($B28,RD[#All],FU$2,0)/FU$1,"")</f>
        <v>2.7518518518518515</v>
      </c>
      <c r="FV28" s="67">
        <f>IFERROR(VLOOKUP($B28,RD[#All],FV$2,0)/FV$1,"")</f>
        <v>2.7916666666666665</v>
      </c>
      <c r="FW28" s="67">
        <f>IFERROR(VLOOKUP($B28,RD[#All],FW$2,0)/FW$1,"")</f>
        <v>2.7571969696969698</v>
      </c>
      <c r="FX28" s="67">
        <f>IFERROR(VLOOKUP($B28,RD[#All],FX$2,0)/FX$1,"")</f>
        <v>2.7803030303030303</v>
      </c>
      <c r="FY28" s="67">
        <f>IFERROR(VLOOKUP($B28,RD[#All],FY$2,0)/FY$1,"")</f>
        <v>2.7575757575757578</v>
      </c>
      <c r="FZ28" s="67">
        <f>IFERROR(VLOOKUP($B28,RD[#All],FZ$2,0)/FZ$1,"")</f>
        <v>2.774242424242424</v>
      </c>
      <c r="GA28" s="67">
        <f>IFERROR(VLOOKUP($B28,RD[#All],GA$2,0)/GA$1,"")</f>
        <v>2.7097902097902096</v>
      </c>
      <c r="GB28" s="67">
        <f>IFERROR(VLOOKUP($B28,RD[#All],GB$2,0)/GB$1,"")</f>
        <v>2.7643097643097643</v>
      </c>
      <c r="GC28" s="67">
        <f>IFERROR(VLOOKUP($B28,RD[#All],GC$2,0)/GC$1,"")</f>
        <v>2.7171717171717171</v>
      </c>
      <c r="GD28" s="67">
        <f>IFERROR(VLOOKUP($B28,RD[#All],GD$2,0)/GD$1,"")</f>
        <v>2.8090909090909091</v>
      </c>
      <c r="GE28" s="67">
        <f>IFERROR(VLOOKUP($B28,RD[#All],GE$2,0)/GE$1,"")</f>
        <v>2.7097902097902096</v>
      </c>
      <c r="GF28" s="67">
        <f>IFERROR(VLOOKUP($B28,RD[#All],GF$2,0)/GF$1,"")</f>
        <v>2.7373737373737375</v>
      </c>
      <c r="GG28" s="67">
        <f>IFERROR(VLOOKUP($B28,RD[#All],GG$2,0)/GG$1,"")</f>
        <v>2.6952727272727275</v>
      </c>
      <c r="GH28" s="67">
        <f>IFERROR(VLOOKUP($B28,RD[#All],GH$2,0)/GH$1,"")</f>
        <v>2.7396363636363636</v>
      </c>
      <c r="GI28" s="67">
        <f>IFERROR(VLOOKUP($B28,RD[#All],GI$2,0)/GI$1,"")</f>
        <v>2.709090909090909</v>
      </c>
      <c r="GJ28" s="67">
        <f>IFERROR(VLOOKUP($B28,RD[#All],GJ$2,0)/GJ$1,"")</f>
        <v>2.7902097902097904</v>
      </c>
      <c r="GK28" s="67">
        <f>IFERROR(VLOOKUP($B28,RD[#All],GK$2,0)/GK$1,"")</f>
        <v>2.7803030303030303</v>
      </c>
      <c r="GL28" s="67">
        <f>IFERROR(VLOOKUP($B28,RD[#All],GL$2,0)/GL$1,"")</f>
        <v>2.75</v>
      </c>
      <c r="GM28" s="67">
        <f>IFERROR(VLOOKUP($B28,RD[#All],GM$2,0)/GM$1,"")</f>
        <v>2.7992424242424243</v>
      </c>
      <c r="GN28" s="67">
        <f>IFERROR(VLOOKUP($B28,RD[#All],GN$2,0)/GN$1,"")</f>
        <v>2.7840909090909092</v>
      </c>
      <c r="GO28" s="67">
        <f>IFERROR(VLOOKUP($B28,RD[#All],GO$2,0)/GO$1,"")</f>
        <v>2.7837121212121212</v>
      </c>
      <c r="GP28" s="67">
        <f>IFERROR(VLOOKUP($B28,RD[#All],GP$2,0)/GP$1,"")</f>
        <v>2.7386363636363638</v>
      </c>
      <c r="GQ28" s="67">
        <f>IFERROR(VLOOKUP($B28,RD[#All],GQ$2,0)/GQ$1,"")</f>
        <v>2.7318181818181819</v>
      </c>
      <c r="GR28" s="67">
        <f>IFERROR(VLOOKUP($B28,RD[#All],GR$2,0)/GR$1,"")</f>
        <v>2.7803030303030303</v>
      </c>
      <c r="GS28" s="67" t="str">
        <f>IFERROR(VLOOKUP($B28,RD[#All],GS$2,0)/GS$1,"")</f>
        <v/>
      </c>
      <c r="GT28" s="67" t="str">
        <f>IFERROR(VLOOKUP($B28,RD[#All],GT$2,0)/GT$1,"")</f>
        <v/>
      </c>
      <c r="GU28" s="67">
        <f>IFERROR(VLOOKUP($B28,RD[#All],GU$2,0)/GU$1,"")</f>
        <v>2.8847845206684255</v>
      </c>
      <c r="GV28" s="67">
        <f>IFERROR(VLOOKUP($B28,RD[#All],GV$2,0)/GV$1,"")</f>
        <v>2.7475702653007619</v>
      </c>
      <c r="GW28" s="67">
        <f>IFERROR(VLOOKUP($B28,RD[#All],GW$2,0)/GW$1,"")</f>
        <v>2.712490761271249</v>
      </c>
      <c r="GX28" s="67" t="str">
        <f>IFERROR(VLOOKUP($B28,RD[#All],GX$2,0)/GX$1,"")</f>
        <v/>
      </c>
      <c r="GY28" s="67">
        <f>IFERROR(VLOOKUP($B28,RD[#All],GY$2,0)/GY$1,"")</f>
        <v>2.7136021872863978</v>
      </c>
      <c r="GZ28" s="67">
        <f>IFERROR(VLOOKUP($B28,RD[#All],GZ$2,0)/GZ$1,"")</f>
        <v>2.7265917602996255</v>
      </c>
      <c r="HA28" s="67">
        <f>IFERROR(VLOOKUP($B28,RD[#All],HA$2,0)/HA$1,"")</f>
        <v>2.7955056179775282</v>
      </c>
      <c r="HB28" s="67">
        <f>IFERROR(VLOOKUP($B28,RD[#All],HB$2,0)/HB$1,"")</f>
        <v>2.7116104868913857</v>
      </c>
      <c r="HC28" s="67">
        <f>IFERROR(VLOOKUP($B28,RD[#All],HC$2,0)/HC$1,"")</f>
        <v>2.7176029962546817</v>
      </c>
      <c r="HD28" s="67">
        <f>IFERROR(VLOOKUP($B28,RD[#All],HD$2,0)/HD$1,"")</f>
        <v>2.7602996254681647</v>
      </c>
      <c r="HE28" s="67">
        <f>IFERROR(VLOOKUP($B28,RD[#All],HE$2,0)/HE$1,"")</f>
        <v>2.7153558052434459</v>
      </c>
      <c r="HF28" s="67">
        <f>IFERROR(VLOOKUP($B28,RD[#All],HF$2,0)/HF$1,"")</f>
        <v>2.7715355805243447</v>
      </c>
      <c r="HG28" s="67">
        <f>IFERROR(VLOOKUP($B28,RD[#All],HG$2,0)/HG$1,"")</f>
        <v>2.6943820224719102</v>
      </c>
      <c r="HH28" s="67">
        <f>IFERROR(VLOOKUP($B28,RD[#All],HH$2,0)/HH$1,"")</f>
        <v>2.749438202247191</v>
      </c>
      <c r="HI28" s="67">
        <f>IFERROR(VLOOKUP($B28,RD[#All],HI$2,0)/HI$1,"")</f>
        <v>2.7307116104868916</v>
      </c>
      <c r="HJ28" s="67">
        <f>IFERROR(VLOOKUP($B28,RD[#All],HJ$2,0)/HJ$1,"")</f>
        <v>2.7752808988764044</v>
      </c>
      <c r="HK28" s="67">
        <f>IFERROR(VLOOKUP($B28,RD[#All],HK$2,0)/HK$1,"")</f>
        <v>2.6972950478568456</v>
      </c>
      <c r="HL28" s="67">
        <f>IFERROR(VLOOKUP($B28,RD[#All],HL$2,0)/HL$1,"")</f>
        <v>2.8464419475655429</v>
      </c>
      <c r="HM28" s="67">
        <f>IFERROR(VLOOKUP($B28,RD[#All],HM$2,0)/HM$1,"")</f>
        <v>2.8392297357814598</v>
      </c>
      <c r="HN28" s="67">
        <f>IFERROR(VLOOKUP($B28,RD[#All],HN$2,0)/HN$1,"")</f>
        <v>2.8840125391849529</v>
      </c>
      <c r="HO28" s="67">
        <f>IFERROR(VLOOKUP($B28,RD[#All],HO$2,0)/HO$1,"")</f>
        <v>2.9336468129571576</v>
      </c>
      <c r="HP28" s="67">
        <f>IFERROR(VLOOKUP($B28,RD[#All],HP$2,0)/HP$1,"")</f>
        <v>2.8557993730407523</v>
      </c>
      <c r="HQ28" s="67">
        <f>IFERROR(VLOOKUP($B28,RD[#All],HQ$2,0)/HQ$1,"")</f>
        <v>2.7296777296777295</v>
      </c>
      <c r="HR28" s="67">
        <f>IFERROR(VLOOKUP($B28,RD[#All],HR$2,0)/HR$1,"")</f>
        <v>2.769391159299416</v>
      </c>
      <c r="HS28" s="67">
        <f>IFERROR(VLOOKUP($B28,RD[#All],HS$2,0)/HS$1,"")</f>
        <v>2.772134831460674</v>
      </c>
      <c r="HT28" s="67">
        <f>IFERROR(VLOOKUP($B28,RD[#All],HT$2,0)/HT$1,"")</f>
        <v>2.7831876820640864</v>
      </c>
      <c r="HU28" s="67">
        <f>IFERROR(VLOOKUP($B28,RD[#All],HU$2,0)/HU$1,"")</f>
        <v>2.7920484010371651</v>
      </c>
      <c r="HV28" s="67">
        <f>IFERROR(VLOOKUP($B28,RD[#All],HV$2,0)/HV$1,"")</f>
        <v>2.7159896283491789</v>
      </c>
      <c r="HW28" s="67">
        <f>IFERROR(VLOOKUP($B28,RD[#All],HW$2,0)/HW$1,"")</f>
        <v>2.7182022471910114</v>
      </c>
      <c r="HX28" s="67">
        <f>IFERROR(VLOOKUP($B28,RD[#All],HX$2,0)/HX$1,"")</f>
        <v>2.8159031979256697</v>
      </c>
      <c r="HY28" s="67">
        <f>IFERROR(VLOOKUP($B28,RD[#All],HY$2,0)/HY$1,"")</f>
        <v>2.7399084477736162</v>
      </c>
      <c r="HZ28" s="67">
        <f>IFERROR(VLOOKUP($B28,RD[#All],HZ$2,0)/HZ$1,"")</f>
        <v>2.7365792759051186</v>
      </c>
      <c r="IA28" s="67">
        <f>IFERROR(VLOOKUP($B28,RD[#All],IA$2,0)/IA$1,"")</f>
        <v>2.7738927738927743</v>
      </c>
      <c r="IB28" s="67">
        <f>IFERROR(VLOOKUP($B28,RD[#All],IB$2,0)/IB$1,"")</f>
        <v>2.7272727272727275</v>
      </c>
      <c r="IC28" s="67">
        <f>IFERROR(VLOOKUP($B28,RD[#All],IC$2,0)/IC$1,"")</f>
        <v>2.7700077700077701</v>
      </c>
      <c r="ID28" s="67">
        <f>IFERROR(VLOOKUP($B28,RD[#All],ID$2,0)/ID$1,"")</f>
        <v>2.745978301533857</v>
      </c>
      <c r="IE28" s="67">
        <f>IFERROR(VLOOKUP($B28,RD[#All],IE$2,0)/IE$1,"")</f>
        <v>2.7919191919191921</v>
      </c>
      <c r="IF28" s="67" t="str">
        <f>IFERROR(VLOOKUP($B28,RD[#All],IF$2,0)/IF$1,"")</f>
        <v/>
      </c>
      <c r="IG28" s="67">
        <f>IFERROR(VLOOKUP($B28,RD[#All],IG$2,0)/IG$1,"")</f>
        <v>2.8318709312199264</v>
      </c>
      <c r="IH28" s="67">
        <f>IFERROR(VLOOKUP($B28,RD[#All],IH$2,0)/IH$1,"")</f>
        <v>2.7516544757924066</v>
      </c>
      <c r="II28" s="67">
        <f>IFERROR(VLOOKUP($B28,RD[#All],II$2,0)/II$1,"")</f>
        <v>2.7263681592039801</v>
      </c>
      <c r="IJ28" s="67">
        <f>IFERROR(VLOOKUP($B28,RD[#All],IJ$2,0)/IJ$1,"")</f>
        <v>2.7272727272727271</v>
      </c>
      <c r="IK28" s="67">
        <f>IFERROR(VLOOKUP($B28,RD[#All],IK$2,0)/IK$1,"")</f>
        <v>2.7233877233877237</v>
      </c>
      <c r="IL28" s="67" t="str">
        <f>IFERROR(VLOOKUP($B28,RD[#All],IL$2,0)/IL$1,"")</f>
        <v/>
      </c>
      <c r="IM28" s="67" t="str">
        <f>IFERROR(VLOOKUP($B28,RD[#All],IM$2,0)/IM$1,"")</f>
        <v/>
      </c>
      <c r="IN28" s="67">
        <f>IFERROR(VLOOKUP($B28,RD[#All],IN$2,0)/IN$1,"")</f>
        <v>2.785788923719958</v>
      </c>
      <c r="IO28" s="67">
        <f>IFERROR(VLOOKUP($B28,RD[#All],IO$2,0)/IO$1,"")</f>
        <v>2.7782131661442007</v>
      </c>
      <c r="IP28" s="67">
        <f>IFERROR(VLOOKUP($B28,RD[#All],IP$2,0)/IP$1,"")</f>
        <v>2.8894199435150987</v>
      </c>
      <c r="IQ28" s="67">
        <f>IFERROR(VLOOKUP($B28,RD[#All],IQ$2,0)/IQ$1,"")</f>
        <v>2.7233877233877237</v>
      </c>
      <c r="IR28" s="67">
        <f>IFERROR(VLOOKUP($B28,RD[#All],IR$2,0)/IR$1,"")</f>
        <v>2.7197346600331676</v>
      </c>
      <c r="IS28" s="86">
        <f>IFERROR(AVERAGEIF(Inv_SY_B[[#This Row],[BLK1_INV1]:[BLK8_INV27]],"&gt;"&amp;0.1,Inv_SY_B[[#This Row],[BLK1_INV1]:[BLK8_INV27]]),"")</f>
        <v>2.7637080744719027</v>
      </c>
    </row>
    <row r="29" spans="2:253" x14ac:dyDescent="0.25">
      <c r="B29" s="85">
        <f t="shared" si="0"/>
        <v>45855</v>
      </c>
      <c r="C29" s="67">
        <f>IFERROR(VLOOKUP($B29,RD[#All],C$2,0)/C$1,"")</f>
        <v>2.7550561797752806</v>
      </c>
      <c r="D29" s="67">
        <f>IFERROR(VLOOKUP($B29,RD[#All],D$2,0)/D$1,"")</f>
        <v>2.75885911840968</v>
      </c>
      <c r="E29" s="67">
        <f>IFERROR(VLOOKUP($B29,RD[#All],E$2,0)/E$1,"")</f>
        <v>2.7528089887640448</v>
      </c>
      <c r="F29" s="67">
        <f>IFERROR(VLOOKUP($B29,RD[#All],F$2,0)/F$1,"")</f>
        <v>2.7865168539325844</v>
      </c>
      <c r="G29" s="67">
        <f>IFERROR(VLOOKUP($B29,RD[#All],G$2,0)/G$1,"")</f>
        <v>2.8065687121866896</v>
      </c>
      <c r="H29" s="67">
        <f>IFERROR(VLOOKUP($B29,RD[#All],H$2,0)/H$1,"")</f>
        <v>2.8127340823970037</v>
      </c>
      <c r="I29" s="67">
        <f>IFERROR(VLOOKUP($B29,RD[#All],I$2,0)/I$1,"")</f>
        <v>2.7865168539325844</v>
      </c>
      <c r="J29" s="67">
        <f>IFERROR(VLOOKUP($B29,RD[#All],J$2,0)/J$1,"")</f>
        <v>2.8127340823970037</v>
      </c>
      <c r="K29" s="67">
        <f>IFERROR(VLOOKUP($B29,RD[#All],K$2,0)/K$1,"")</f>
        <v>2.757752808988764</v>
      </c>
      <c r="L29" s="67">
        <f>IFERROR(VLOOKUP($B29,RD[#All],L$2,0)/L$1,"")</f>
        <v>2.8472808988764045</v>
      </c>
      <c r="M29" s="67">
        <f>IFERROR(VLOOKUP($B29,RD[#All],M$2,0)/M$1,"")</f>
        <v>2.7715355805243447</v>
      </c>
      <c r="N29" s="67">
        <f>IFERROR(VLOOKUP($B29,RD[#All],N$2,0)/N$1,"")</f>
        <v>2.8314606741573032</v>
      </c>
      <c r="O29" s="67">
        <f>IFERROR(VLOOKUP($B29,RD[#All],O$2,0)/O$1,"")</f>
        <v>2.7528089887640448</v>
      </c>
      <c r="P29" s="67">
        <f>IFERROR(VLOOKUP($B29,RD[#All],P$2,0)/P$1,"")</f>
        <v>2.8069458631256383</v>
      </c>
      <c r="Q29" s="67">
        <f>IFERROR(VLOOKUP($B29,RD[#All],Q$2,0)/Q$1,"")</f>
        <v>2.8014981273408242</v>
      </c>
      <c r="R29" s="67">
        <f>IFERROR(VLOOKUP($B29,RD[#All],R$2,0)/R$1,"")</f>
        <v>2.8277153558052435</v>
      </c>
      <c r="S29" s="67">
        <f>IFERROR(VLOOKUP($B29,RD[#All],S$2,0)/S$1,"")</f>
        <v>2.8220973782771535</v>
      </c>
      <c r="T29" s="67">
        <f>IFERROR(VLOOKUP($B29,RD[#All],T$2,0)/T$1,"")</f>
        <v>2.8164794007490639</v>
      </c>
      <c r="U29" s="67">
        <f>IFERROR(VLOOKUP($B29,RD[#All],U$2,0)/U$1,"")</f>
        <v>2.8300777873811582</v>
      </c>
      <c r="V29" s="67">
        <f>IFERROR(VLOOKUP($B29,RD[#All],V$2,0)/V$1,"")</f>
        <v>2.8615384615384616</v>
      </c>
      <c r="W29" s="67">
        <f>IFERROR(VLOOKUP($B29,RD[#All],W$2,0)/W$1,"")</f>
        <v>2.8116104868913858</v>
      </c>
      <c r="X29" s="67">
        <f>IFERROR(VLOOKUP($B29,RD[#All],X$2,0)/X$1,"")</f>
        <v>2.802996254681648</v>
      </c>
      <c r="Y29" s="67">
        <f>IFERROR(VLOOKUP($B29,RD[#All],Y$2,0)/Y$1,"")</f>
        <v>2.8490924805531548</v>
      </c>
      <c r="Z29" s="67">
        <f>IFERROR(VLOOKUP($B29,RD[#All],Z$2,0)/Z$1,"")</f>
        <v>2.8091552226383687</v>
      </c>
      <c r="AA29" s="67">
        <f>IFERROR(VLOOKUP($B29,RD[#All],AA$2,0)/AA$1,"")</f>
        <v>2.8176318063958514</v>
      </c>
      <c r="AB29" s="67">
        <f>IFERROR(VLOOKUP($B29,RD[#All],AB$2,0)/AB$1,"")</f>
        <v>2.8719101123595507</v>
      </c>
      <c r="AC29" s="67">
        <f>IFERROR(VLOOKUP($B29,RD[#All],AC$2,0)/AC$1,"")</f>
        <v>2.7647363872082975</v>
      </c>
      <c r="AD29" s="67">
        <f>IFERROR(VLOOKUP($B29,RD[#All],AD$2,0)/AD$1,"")</f>
        <v>2.8444444444444446</v>
      </c>
      <c r="AE29" s="67">
        <f>IFERROR(VLOOKUP($B29,RD[#All],AE$2,0)/AE$1,"")</f>
        <v>2.7548897211818559</v>
      </c>
      <c r="AF29" s="67">
        <f>IFERROR(VLOOKUP($B29,RD[#All],AF$2,0)/AF$1,"")</f>
        <v>2.8381190178942988</v>
      </c>
      <c r="AG29" s="67">
        <f>IFERROR(VLOOKUP($B29,RD[#All],AG$2,0)/AG$1,"")</f>
        <v>2.8218060757386603</v>
      </c>
      <c r="AH29" s="67">
        <f>IFERROR(VLOOKUP($B29,RD[#All],AH$2,0)/AH$1,"")</f>
        <v>2.8158135663753638</v>
      </c>
      <c r="AI29" s="67">
        <f>IFERROR(VLOOKUP($B29,RD[#All],AI$2,0)/AI$1,"")</f>
        <v>2.7586477987421381</v>
      </c>
      <c r="AJ29" s="67">
        <f>IFERROR(VLOOKUP($B29,RD[#All],AJ$2,0)/AJ$1,"")</f>
        <v>2.7950978926916754</v>
      </c>
      <c r="AK29" s="67">
        <f>IFERROR(VLOOKUP($B29,RD[#All],AK$2,0)/AK$1,"")</f>
        <v>2.7685393258426969</v>
      </c>
      <c r="AL29" s="67">
        <f>IFERROR(VLOOKUP($B29,RD[#All],AL$2,0)/AL$1,"")</f>
        <v>2.7601204416192711</v>
      </c>
      <c r="AM29" s="67">
        <f>IFERROR(VLOOKUP($B29,RD[#All],AM$2,0)/AM$1,"")</f>
        <v>2.8123595505617978</v>
      </c>
      <c r="AN29" s="67">
        <f>IFERROR(VLOOKUP($B29,RD[#All],AN$2,0)/AN$1,"")</f>
        <v>2.8052434456928839</v>
      </c>
      <c r="AO29" s="67">
        <f>IFERROR(VLOOKUP($B29,RD[#All],AO$2,0)/AO$1,"")</f>
        <v>2.7902621722846441</v>
      </c>
      <c r="AP29" s="67">
        <f>IFERROR(VLOOKUP($B29,RD[#All],AP$2,0)/AP$1,"")</f>
        <v>2.8026217228464416</v>
      </c>
      <c r="AQ29" s="67">
        <f>IFERROR(VLOOKUP($B29,RD[#All],AQ$2,0)/AQ$1,"")</f>
        <v>2.8277153558052435</v>
      </c>
      <c r="AR29" s="67">
        <f>IFERROR(VLOOKUP($B29,RD[#All],AR$2,0)/AR$1,"")</f>
        <v>2.7790262172284645</v>
      </c>
      <c r="AS29" s="67">
        <f>IFERROR(VLOOKUP($B29,RD[#All],AS$2,0)/AS$1,"")</f>
        <v>2.7677902621722845</v>
      </c>
      <c r="AT29" s="67">
        <f>IFERROR(VLOOKUP($B29,RD[#All],AT$2,0)/AT$1,"")</f>
        <v>2.7475655430711612</v>
      </c>
      <c r="AU29" s="67">
        <f>IFERROR(VLOOKUP($B29,RD[#All],AU$2,0)/AU$1,"")</f>
        <v>2.8823970037453184</v>
      </c>
      <c r="AV29" s="67">
        <f>IFERROR(VLOOKUP($B29,RD[#All],AV$2,0)/AV$1,"")</f>
        <v>2.8764044943820224</v>
      </c>
      <c r="AW29" s="67">
        <f>IFERROR(VLOOKUP($B29,RD[#All],AW$2,0)/AW$1,"")</f>
        <v>2.7692307692307692</v>
      </c>
      <c r="AX29" s="67">
        <f>IFERROR(VLOOKUP($B29,RD[#All],AX$2,0)/AX$1,"")</f>
        <v>2.7580524344569288</v>
      </c>
      <c r="AY29" s="67">
        <f>IFERROR(VLOOKUP($B29,RD[#All],AY$2,0)/AY$1,"")</f>
        <v>2.757752808988764</v>
      </c>
      <c r="AZ29" s="67">
        <f>IFERROR(VLOOKUP($B29,RD[#All],AZ$2,0)/AZ$1,"")</f>
        <v>2.7408539325842693</v>
      </c>
      <c r="BA29" s="67">
        <f>IFERROR(VLOOKUP($B29,RD[#All],BA$2,0)/BA$1,"")</f>
        <v>2.7528089887640448</v>
      </c>
      <c r="BB29" s="67">
        <f>IFERROR(VLOOKUP($B29,RD[#All],BB$2,0)/BB$1,"")</f>
        <v>2.7677902621722845</v>
      </c>
      <c r="BC29" s="67">
        <f>IFERROR(VLOOKUP($B29,RD[#All],BC$2,0)/BC$1,"")</f>
        <v>2.7935081148564294</v>
      </c>
      <c r="BD29" s="67">
        <f>IFERROR(VLOOKUP($B29,RD[#All],BD$2,0)/BD$1,"")</f>
        <v>2.7465667915106118</v>
      </c>
      <c r="BE29" s="67">
        <f>IFERROR(VLOOKUP($B29,RD[#All],BE$2,0)/BE$1,"")</f>
        <v>2.7692307692307692</v>
      </c>
      <c r="BF29" s="67">
        <f>IFERROR(VLOOKUP($B29,RD[#All],BF$2,0)/BF$1,"")</f>
        <v>2.7928422804827298</v>
      </c>
      <c r="BG29" s="67">
        <f>IFERROR(VLOOKUP($B29,RD[#All],BG$2,0)/BG$1,"")</f>
        <v>2.8331252600915522</v>
      </c>
      <c r="BH29" s="67">
        <f>IFERROR(VLOOKUP($B29,RD[#All],BH$2,0)/BH$1,"")</f>
        <v>2.898876404494382</v>
      </c>
      <c r="BI29" s="67">
        <f>IFERROR(VLOOKUP($B29,RD[#All],BI$2,0)/BI$1,"")</f>
        <v>2.8364544319600498</v>
      </c>
      <c r="BJ29" s="67">
        <f>IFERROR(VLOOKUP($B29,RD[#All],BJ$2,0)/BJ$1,"")</f>
        <v>2.8577611319184353</v>
      </c>
      <c r="BK29" s="67">
        <f>IFERROR(VLOOKUP($B29,RD[#All],BK$2,0)/BK$1,"")</f>
        <v>2.7707865168539323</v>
      </c>
      <c r="BL29" s="67">
        <f>IFERROR(VLOOKUP($B29,RD[#All],BL$2,0)/BL$1,"")</f>
        <v>2.8230177316828371</v>
      </c>
      <c r="BM29" s="67">
        <f>IFERROR(VLOOKUP($B29,RD[#All],BM$2,0)/BM$1,"")</f>
        <v>2.7865168539325844</v>
      </c>
      <c r="BN29" s="67">
        <f>IFERROR(VLOOKUP($B29,RD[#All],BN$2,0)/BN$1,"")</f>
        <v>2.8376175548589342</v>
      </c>
      <c r="BO29" s="67">
        <f>IFERROR(VLOOKUP($B29,RD[#All],BO$2,0)/BO$1,"")</f>
        <v>2.8477095937770098</v>
      </c>
      <c r="BP29" s="67">
        <f>IFERROR(VLOOKUP($B29,RD[#All],BP$2,0)/BP$1,"")</f>
        <v>2.8383751080380293</v>
      </c>
      <c r="BQ29" s="67">
        <f>IFERROR(VLOOKUP($B29,RD[#All],BQ$2,0)/BQ$1,"")</f>
        <v>2.8528954191875542</v>
      </c>
      <c r="BR29" s="67">
        <f>IFERROR(VLOOKUP($B29,RD[#All],BR$2,0)/BR$1,"")</f>
        <v>2.7885911840968021</v>
      </c>
      <c r="BS29" s="67">
        <f>IFERROR(VLOOKUP($B29,RD[#All],BS$2,0)/BS$1,"")</f>
        <v>2.8640449438202249</v>
      </c>
      <c r="BT29" s="67">
        <f>IFERROR(VLOOKUP($B29,RD[#All],BT$2,0)/BT$1,"")</f>
        <v>2.8674157303370786</v>
      </c>
      <c r="BU29" s="67">
        <f>IFERROR(VLOOKUP($B29,RD[#All],BU$2,0)/BU$1,"")</f>
        <v>2.8745318352059925</v>
      </c>
      <c r="BV29" s="67">
        <f>IFERROR(VLOOKUP($B29,RD[#All],BV$2,0)/BV$1,"")</f>
        <v>2.8629213483146065</v>
      </c>
      <c r="BW29" s="67">
        <f>IFERROR(VLOOKUP($B29,RD[#All],BW$2,0)/BW$1,"")</f>
        <v>2.8284644194756554</v>
      </c>
      <c r="BX29" s="67">
        <f>IFERROR(VLOOKUP($B29,RD[#All],BX$2,0)/BX$1,"")</f>
        <v>2.8441947565543071</v>
      </c>
      <c r="BY29" s="67">
        <f>IFERROR(VLOOKUP($B29,RD[#All],BY$2,0)/BY$1,"")</f>
        <v>2.8364544319600498</v>
      </c>
      <c r="BZ29" s="67">
        <f>IFERROR(VLOOKUP($B29,RD[#All],BZ$2,0)/BZ$1,"")</f>
        <v>2.8794007490636702</v>
      </c>
      <c r="CA29" s="67">
        <f>IFERROR(VLOOKUP($B29,RD[#All],CA$2,0)/CA$1,"")</f>
        <v>2.8630878069080317</v>
      </c>
      <c r="CB29" s="67">
        <f>IFERROR(VLOOKUP($B29,RD[#All],CB$2,0)/CB$1,"")</f>
        <v>2.8651685393258428</v>
      </c>
      <c r="CC29" s="67">
        <f>IFERROR(VLOOKUP($B29,RD[#All],CC$2,0)/CC$1,"")</f>
        <v>2.8846441947565546</v>
      </c>
      <c r="CD29" s="67">
        <f>IFERROR(VLOOKUP($B29,RD[#All],CD$2,0)/CD$1,"")</f>
        <v>2.9064822817631808</v>
      </c>
      <c r="CE29" s="67">
        <f>IFERROR(VLOOKUP($B29,RD[#All],CE$2,0)/CE$1,"")</f>
        <v>2.8764044943820224</v>
      </c>
      <c r="CF29" s="67">
        <f>IFERROR(VLOOKUP($B29,RD[#All],CF$2,0)/CF$1,"")</f>
        <v>2.8651685393258428</v>
      </c>
      <c r="CG29" s="67">
        <f>IFERROR(VLOOKUP($B29,RD[#All],CG$2,0)/CG$1,"")</f>
        <v>2.8891385767790263</v>
      </c>
      <c r="CH29" s="67">
        <f>IFERROR(VLOOKUP($B29,RD[#All],CH$2,0)/CH$1,"")</f>
        <v>2.8940074906367044</v>
      </c>
      <c r="CI29" s="67">
        <f>IFERROR(VLOOKUP($B29,RD[#All],CI$2,0)/CI$1,"")</f>
        <v>2.8239700374531833</v>
      </c>
      <c r="CJ29" s="67">
        <f>IFERROR(VLOOKUP($B29,RD[#All],CJ$2,0)/CJ$1,"")</f>
        <v>2.8651685393258428</v>
      </c>
      <c r="CK29" s="67">
        <f>IFERROR(VLOOKUP($B29,RD[#All],CK$2,0)/CK$1,"")</f>
        <v>2.8262172284644196</v>
      </c>
      <c r="CL29" s="67">
        <f>IFERROR(VLOOKUP($B29,RD[#All],CL$2,0)/CL$1,"")</f>
        <v>2.8146067415730336</v>
      </c>
      <c r="CM29" s="67">
        <f>IFERROR(VLOOKUP($B29,RD[#All],CM$2,0)/CM$1,"")</f>
        <v>2.8595505617977528</v>
      </c>
      <c r="CN29" s="67">
        <f>IFERROR(VLOOKUP($B29,RD[#All],CN$2,0)/CN$1,"")</f>
        <v>2.8378277153558056</v>
      </c>
      <c r="CO29" s="67">
        <f>IFERROR(VLOOKUP($B29,RD[#All],CO$2,0)/CO$1,"")</f>
        <v>2.7879550561797752</v>
      </c>
      <c r="CP29" s="67">
        <f>IFERROR(VLOOKUP($B29,RD[#All],CP$2,0)/CP$1,"")</f>
        <v>2.8407951598962837</v>
      </c>
      <c r="CQ29" s="67">
        <f>IFERROR(VLOOKUP($B29,RD[#All],CQ$2,0)/CQ$1,"")</f>
        <v>2.8546816479400752</v>
      </c>
      <c r="CR29" s="67">
        <f>IFERROR(VLOOKUP($B29,RD[#All],CR$2,0)/CR$1,"")</f>
        <v>2.7996254681647939</v>
      </c>
      <c r="CS29" s="67">
        <f>IFERROR(VLOOKUP($B29,RD[#All],CS$2,0)/CS$1,"")</f>
        <v>2.8054931335830213</v>
      </c>
      <c r="CT29" s="67">
        <f>IFERROR(VLOOKUP($B29,RD[#All],CT$2,0)/CT$1,"")</f>
        <v>2.8250936329588012</v>
      </c>
      <c r="CU29" s="67">
        <f>IFERROR(VLOOKUP($B29,RD[#All],CU$2,0)/CU$1,"")</f>
        <v>2.8636704119850189</v>
      </c>
      <c r="CV29" s="67">
        <f>IFERROR(VLOOKUP($B29,RD[#All],CV$2,0)/CV$1,"")</f>
        <v>2.8580524344569289</v>
      </c>
      <c r="CW29" s="67">
        <f>IFERROR(VLOOKUP($B29,RD[#All],CW$2,0)/CW$1,"")</f>
        <v>2.791760299625468</v>
      </c>
      <c r="CX29" s="67">
        <f>IFERROR(VLOOKUP($B29,RD[#All],CX$2,0)/CX$1,"")</f>
        <v>2.8209737827715355</v>
      </c>
      <c r="CY29" s="67">
        <f>IFERROR(VLOOKUP($B29,RD[#All],CY$2,0)/CY$1,"")</f>
        <v>2.857303370786517</v>
      </c>
      <c r="CZ29" s="67">
        <f>IFERROR(VLOOKUP($B29,RD[#All],CZ$2,0)/CZ$1,"")</f>
        <v>2.8524344569288389</v>
      </c>
      <c r="DA29" s="67">
        <f>IFERROR(VLOOKUP($B29,RD[#All],DA$2,0)/DA$1,"")</f>
        <v>2.845692883895131</v>
      </c>
      <c r="DB29" s="67">
        <f>IFERROR(VLOOKUP($B29,RD[#All],DB$2,0)/DB$1,"")</f>
        <v>2.8651685393258428</v>
      </c>
      <c r="DC29" s="67">
        <f>IFERROR(VLOOKUP($B29,RD[#All],DC$2,0)/DC$1,"")</f>
        <v>2.7971702039117772</v>
      </c>
      <c r="DD29" s="67">
        <f>IFERROR(VLOOKUP($B29,RD[#All],DD$2,0)/DD$1,"")</f>
        <v>2.7625468164794009</v>
      </c>
      <c r="DE29" s="67">
        <f>IFERROR(VLOOKUP($B29,RD[#All],DE$2,0)/DE$1,"")</f>
        <v>2.7625468164794005</v>
      </c>
      <c r="DF29" s="67">
        <f>IFERROR(VLOOKUP($B29,RD[#All],DF$2,0)/DF$1,"")</f>
        <v>2.7554366008698565</v>
      </c>
      <c r="DG29" s="67">
        <f>IFERROR(VLOOKUP($B29,RD[#All],DG$2,0)/DG$1,"")</f>
        <v>2.8292134831460674</v>
      </c>
      <c r="DH29" s="67">
        <f>IFERROR(VLOOKUP($B29,RD[#All],DH$2,0)/DH$1,"")</f>
        <v>2.8184769038701623</v>
      </c>
      <c r="DI29" s="67">
        <f>IFERROR(VLOOKUP($B29,RD[#All],DI$2,0)/DI$1,"")</f>
        <v>2.8072601555747623</v>
      </c>
      <c r="DJ29" s="67">
        <f>IFERROR(VLOOKUP($B29,RD[#All],DJ$2,0)/DJ$1,"")</f>
        <v>2.8245462402765775</v>
      </c>
      <c r="DK29" s="67">
        <f>IFERROR(VLOOKUP($B29,RD[#All],DK$2,0)/DK$1,"")</f>
        <v>2.8531002913025385</v>
      </c>
      <c r="DL29" s="67">
        <f>IFERROR(VLOOKUP($B29,RD[#All],DL$2,0)/DL$1,"")</f>
        <v>2.8098210570120683</v>
      </c>
      <c r="DM29" s="67">
        <f>IFERROR(VLOOKUP($B29,RD[#All],DM$2,0)/DM$1,"")</f>
        <v>2.8157303370786515</v>
      </c>
      <c r="DN29" s="67">
        <f>IFERROR(VLOOKUP($B29,RD[#All],DN$2,0)/DN$1,"")</f>
        <v>2.8131086142322097</v>
      </c>
      <c r="DO29" s="67">
        <f>IFERROR(VLOOKUP($B29,RD[#All],DO$2,0)/DO$1,"")</f>
        <v>2.7661425225828036</v>
      </c>
      <c r="DP29" s="67">
        <f>IFERROR(VLOOKUP($B29,RD[#All],DP$2,0)/DP$1,"")</f>
        <v>2.8284644194756554</v>
      </c>
      <c r="DQ29" s="67">
        <f>IFERROR(VLOOKUP($B29,RD[#All],DQ$2,0)/DQ$1,"")</f>
        <v>2.7921764461090306</v>
      </c>
      <c r="DR29" s="67">
        <f>IFERROR(VLOOKUP($B29,RD[#All],DR$2,0)/DR$1,"")</f>
        <v>2.8131086142322097</v>
      </c>
      <c r="DS29" s="67">
        <f>IFERROR(VLOOKUP($B29,RD[#All],DS$2,0)/DS$1,"")</f>
        <v>2.7483146067415727</v>
      </c>
      <c r="DT29" s="67">
        <f>IFERROR(VLOOKUP($B29,RD[#All],DT$2,0)/DT$1,"")</f>
        <v>2.7622138992925511</v>
      </c>
      <c r="DU29" s="67">
        <f>IFERROR(VLOOKUP($B29,RD[#All],DU$2,0)/DU$1,"")</f>
        <v>2.7618809821057013</v>
      </c>
      <c r="DV29" s="67">
        <f>IFERROR(VLOOKUP($B29,RD[#All],DV$2,0)/DV$1,"")</f>
        <v>2.762172284644195</v>
      </c>
      <c r="DW29" s="67">
        <f>IFERROR(VLOOKUP($B29,RD[#All],DW$2,0)/DW$1,"")</f>
        <v>2.7441947565543074</v>
      </c>
      <c r="DX29" s="67">
        <f>IFERROR(VLOOKUP($B29,RD[#All],DX$2,0)/DX$1,"")</f>
        <v>2.8287973366625052</v>
      </c>
      <c r="DY29" s="67">
        <f>IFERROR(VLOOKUP($B29,RD[#All],DY$2,0)/DY$1,"")</f>
        <v>2.7775280898876407</v>
      </c>
      <c r="DZ29" s="67">
        <f>IFERROR(VLOOKUP($B29,RD[#All],DZ$2,0)/DZ$1,"")</f>
        <v>2.8003745318352062</v>
      </c>
      <c r="EA29" s="67">
        <f>IFERROR(VLOOKUP($B29,RD[#All],EA$2,0)/EA$1,"")</f>
        <v>2.7808572617561378</v>
      </c>
      <c r="EB29" s="67">
        <f>IFERROR(VLOOKUP($B29,RD[#All],EB$2,0)/EB$1,"")</f>
        <v>2.7508947149396588</v>
      </c>
      <c r="EC29" s="67">
        <f>IFERROR(VLOOKUP($B29,RD[#All],EC$2,0)/EC$1,"")</f>
        <v>2.7536732929991357</v>
      </c>
      <c r="ED29" s="67">
        <f>IFERROR(VLOOKUP($B29,RD[#All],ED$2,0)/ED$1,"")</f>
        <v>2.8217804667242872</v>
      </c>
      <c r="EE29" s="67">
        <f>IFERROR(VLOOKUP($B29,RD[#All],EE$2,0)/EE$1,"")</f>
        <v>2.8667242869490064</v>
      </c>
      <c r="EF29" s="67">
        <f>IFERROR(VLOOKUP($B29,RD[#All],EF$2,0)/EF$1,"")</f>
        <v>2.768947906026558</v>
      </c>
      <c r="EG29" s="67">
        <f>IFERROR(VLOOKUP($B29,RD[#All],EG$2,0)/EG$1,"")</f>
        <v>2.7814685314685317</v>
      </c>
      <c r="EH29" s="67">
        <f>IFERROR(VLOOKUP($B29,RD[#All],EH$2,0)/EH$1,"")</f>
        <v>2.7538461538461538</v>
      </c>
      <c r="EI29" s="67">
        <f>IFERROR(VLOOKUP($B29,RD[#All],EI$2,0)/EI$1,"")</f>
        <v>2.7587412587412588</v>
      </c>
      <c r="EJ29" s="67">
        <f>IFERROR(VLOOKUP($B29,RD[#All],EJ$2,0)/EJ$1,"")</f>
        <v>2.8111888111888113</v>
      </c>
      <c r="EK29" s="67">
        <f>IFERROR(VLOOKUP($B29,RD[#All],EK$2,0)/EK$1,"")</f>
        <v>2.8440449438202249</v>
      </c>
      <c r="EL29" s="67">
        <f>IFERROR(VLOOKUP($B29,RD[#All],EL$2,0)/EL$1,"")</f>
        <v>2.8134831460674161</v>
      </c>
      <c r="EM29" s="67">
        <f>IFERROR(VLOOKUP($B29,RD[#All],EM$2,0)/EM$1,"")</f>
        <v>2.8221261884183231</v>
      </c>
      <c r="EN29" s="67">
        <f>IFERROR(VLOOKUP($B29,RD[#All],EN$2,0)/EN$1,"")</f>
        <v>2.7685393258426965</v>
      </c>
      <c r="EO29" s="67">
        <f>IFERROR(VLOOKUP($B29,RD[#All],EO$2,0)/EO$1,"")</f>
        <v>2.8329588014981271</v>
      </c>
      <c r="EP29" s="67">
        <f>IFERROR(VLOOKUP($B29,RD[#All],EP$2,0)/EP$1,"")</f>
        <v>2.7737251512532408</v>
      </c>
      <c r="EQ29" s="67">
        <f>IFERROR(VLOOKUP($B29,RD[#All],EQ$2,0)/EQ$1,"")</f>
        <v>2.7453183520599249</v>
      </c>
      <c r="ER29" s="67">
        <f>IFERROR(VLOOKUP($B29,RD[#All],ER$2,0)/ER$1,"")</f>
        <v>2.8245462402765775</v>
      </c>
      <c r="ES29" s="67">
        <f>IFERROR(VLOOKUP($B29,RD[#All],ES$2,0)/ES$1,"")</f>
        <v>2.851310861423221</v>
      </c>
      <c r="ET29" s="67">
        <f>IFERROR(VLOOKUP($B29,RD[#All],ET$2,0)/ET$1,"")</f>
        <v>2.7824310520939735</v>
      </c>
      <c r="EU29" s="67">
        <f>IFERROR(VLOOKUP($B29,RD[#All],EU$2,0)/EU$1,"")</f>
        <v>2.8349178910976662</v>
      </c>
      <c r="EV29" s="67">
        <f>IFERROR(VLOOKUP($B29,RD[#All],EV$2,0)/EV$1,"")</f>
        <v>2.7692307692307692</v>
      </c>
      <c r="EW29" s="67">
        <f>IFERROR(VLOOKUP($B29,RD[#All],EW$2,0)/EW$1,"")</f>
        <v>2.7519446845289544</v>
      </c>
      <c r="EX29" s="67">
        <f>IFERROR(VLOOKUP($B29,RD[#All],EX$2,0)/EX$1,"")</f>
        <v>2.7943820224719103</v>
      </c>
      <c r="EY29" s="67">
        <f>IFERROR(VLOOKUP($B29,RD[#All],EY$2,0)/EY$1,"")</f>
        <v>2.7442363712026632</v>
      </c>
      <c r="EZ29" s="67">
        <f>IFERROR(VLOOKUP($B29,RD[#All],EZ$2,0)/EZ$1,"")</f>
        <v>2.8318352059925096</v>
      </c>
      <c r="FA29" s="67">
        <f>IFERROR(VLOOKUP($B29,RD[#All],FA$2,0)/FA$1,"")</f>
        <v>2.8715355805243448</v>
      </c>
      <c r="FB29" s="67">
        <f>IFERROR(VLOOKUP($B29,RD[#All],FB$2,0)/FB$1,"")</f>
        <v>2.8404494382022469</v>
      </c>
      <c r="FC29" s="67">
        <f>IFERROR(VLOOKUP($B29,RD[#All],FC$2,0)/FC$1,"")</f>
        <v>2.8254681647940072</v>
      </c>
      <c r="FD29" s="67">
        <f>IFERROR(VLOOKUP($B29,RD[#All],FD$2,0)/FD$1,"")</f>
        <v>2.8415730337078653</v>
      </c>
      <c r="FE29" s="67">
        <f>IFERROR(VLOOKUP($B29,RD[#All],FE$2,0)/FE$1,"")</f>
        <v>2.831818181818182</v>
      </c>
      <c r="FF29" s="67">
        <f>IFERROR(VLOOKUP($B29,RD[#All],FF$2,0)/FF$1,"")</f>
        <v>2.790530303030303</v>
      </c>
      <c r="FG29" s="67">
        <f>IFERROR(VLOOKUP($B29,RD[#All],FG$2,0)/FG$1,"")</f>
        <v>2.7501683501683498</v>
      </c>
      <c r="FH29" s="67">
        <f>IFERROR(VLOOKUP($B29,RD[#All],FH$2,0)/FH$1,"")</f>
        <v>2.8295454545454546</v>
      </c>
      <c r="FI29" s="67">
        <f>IFERROR(VLOOKUP($B29,RD[#All],FI$2,0)/FI$1,"")</f>
        <v>2.7595959595959596</v>
      </c>
      <c r="FJ29" s="67">
        <f>IFERROR(VLOOKUP($B29,RD[#All],FJ$2,0)/FJ$1,"")</f>
        <v>2.7518518518518515</v>
      </c>
      <c r="FK29" s="67">
        <f>IFERROR(VLOOKUP($B29,RD[#All],FK$2,0)/FK$1,"")</f>
        <v>2.8784511784511784</v>
      </c>
      <c r="FL29" s="67">
        <f>IFERROR(VLOOKUP($B29,RD[#All],FL$2,0)/FL$1,"")</f>
        <v>2.8076363636363637</v>
      </c>
      <c r="FM29" s="67">
        <f>IFERROR(VLOOKUP($B29,RD[#All],FM$2,0)/FM$1,"")</f>
        <v>2.8405303030303028</v>
      </c>
      <c r="FN29" s="67">
        <f>IFERROR(VLOOKUP($B29,RD[#All],FN$2,0)/FN$1,"")</f>
        <v>2.7663299663299665</v>
      </c>
      <c r="FO29" s="67">
        <f>IFERROR(VLOOKUP($B29,RD[#All],FO$2,0)/FO$1,"")</f>
        <v>2.7640151515151516</v>
      </c>
      <c r="FP29" s="67">
        <f>IFERROR(VLOOKUP($B29,RD[#All],FP$2,0)/FP$1,"")</f>
        <v>2.7563636363636363</v>
      </c>
      <c r="FQ29" s="67">
        <f>IFERROR(VLOOKUP($B29,RD[#All],FQ$2,0)/FQ$1,"")</f>
        <v>2.8029090909090906</v>
      </c>
      <c r="FR29" s="67">
        <f>IFERROR(VLOOKUP($B29,RD[#All],FR$2,0)/FR$1,"")</f>
        <v>2.8156363636363633</v>
      </c>
      <c r="FS29" s="67">
        <f>IFERROR(VLOOKUP($B29,RD[#All],FS$2,0)/FS$1,"")</f>
        <v>2.7676767676767677</v>
      </c>
      <c r="FT29" s="67">
        <f>IFERROR(VLOOKUP($B29,RD[#All],FT$2,0)/FT$1,"")</f>
        <v>2.7527272727272729</v>
      </c>
      <c r="FU29" s="67">
        <f>IFERROR(VLOOKUP($B29,RD[#All],FU$2,0)/FU$1,"")</f>
        <v>2.8121212121212125</v>
      </c>
      <c r="FV29" s="67">
        <f>IFERROR(VLOOKUP($B29,RD[#All],FV$2,0)/FV$1,"")</f>
        <v>2.8295454545454546</v>
      </c>
      <c r="FW29" s="67">
        <f>IFERROR(VLOOKUP($B29,RD[#All],FW$2,0)/FW$1,"")</f>
        <v>2.7981060606060608</v>
      </c>
      <c r="FX29" s="67">
        <f>IFERROR(VLOOKUP($B29,RD[#All],FX$2,0)/FX$1,"")</f>
        <v>2.8219696969696968</v>
      </c>
      <c r="FY29" s="67">
        <f>IFERROR(VLOOKUP($B29,RD[#All],FY$2,0)/FY$1,"")</f>
        <v>2.8047138047138045</v>
      </c>
      <c r="FZ29" s="67">
        <f>IFERROR(VLOOKUP($B29,RD[#All],FZ$2,0)/FZ$1,"")</f>
        <v>2.8446969696969697</v>
      </c>
      <c r="GA29" s="67">
        <f>IFERROR(VLOOKUP($B29,RD[#All],GA$2,0)/GA$1,"")</f>
        <v>2.7604895104895104</v>
      </c>
      <c r="GB29" s="67">
        <f>IFERROR(VLOOKUP($B29,RD[#All],GB$2,0)/GB$1,"")</f>
        <v>2.8168350168350167</v>
      </c>
      <c r="GC29" s="67">
        <f>IFERROR(VLOOKUP($B29,RD[#All],GC$2,0)/GC$1,"")</f>
        <v>2.7845117845117846</v>
      </c>
      <c r="GD29" s="67">
        <f>IFERROR(VLOOKUP($B29,RD[#All],GD$2,0)/GD$1,"")</f>
        <v>2.8825454545454545</v>
      </c>
      <c r="GE29" s="67">
        <f>IFERROR(VLOOKUP($B29,RD[#All],GE$2,0)/GE$1,"")</f>
        <v>2.7646853146853148</v>
      </c>
      <c r="GF29" s="67">
        <f>IFERROR(VLOOKUP($B29,RD[#All],GF$2,0)/GF$1,"")</f>
        <v>2.7710437710437712</v>
      </c>
      <c r="GG29" s="67">
        <f>IFERROR(VLOOKUP($B29,RD[#All],GG$2,0)/GG$1,"")</f>
        <v>2.754909090909091</v>
      </c>
      <c r="GH29" s="67">
        <f>IFERROR(VLOOKUP($B29,RD[#All],GH$2,0)/GH$1,"")</f>
        <v>2.7963636363636364</v>
      </c>
      <c r="GI29" s="67">
        <f>IFERROR(VLOOKUP($B29,RD[#All],GI$2,0)/GI$1,"")</f>
        <v>2.7381818181818183</v>
      </c>
      <c r="GJ29" s="67">
        <f>IFERROR(VLOOKUP($B29,RD[#All],GJ$2,0)/GJ$1,"")</f>
        <v>2.8461538461538463</v>
      </c>
      <c r="GK29" s="67">
        <f>IFERROR(VLOOKUP($B29,RD[#All],GK$2,0)/GK$1,"")</f>
        <v>2.8473484848484851</v>
      </c>
      <c r="GL29" s="67">
        <f>IFERROR(VLOOKUP($B29,RD[#All],GL$2,0)/GL$1,"")</f>
        <v>2.8208333333333333</v>
      </c>
      <c r="GM29" s="67">
        <f>IFERROR(VLOOKUP($B29,RD[#All],GM$2,0)/GM$1,"")</f>
        <v>2.874242424242424</v>
      </c>
      <c r="GN29" s="67">
        <f>IFERROR(VLOOKUP($B29,RD[#All],GN$2,0)/GN$1,"")</f>
        <v>2.8655303030303032</v>
      </c>
      <c r="GO29" s="67">
        <f>IFERROR(VLOOKUP($B29,RD[#All],GO$2,0)/GO$1,"")</f>
        <v>2.913257575757576</v>
      </c>
      <c r="GP29" s="67">
        <f>IFERROR(VLOOKUP($B29,RD[#All],GP$2,0)/GP$1,"")</f>
        <v>2.8219696969696968</v>
      </c>
      <c r="GQ29" s="67">
        <f>IFERROR(VLOOKUP($B29,RD[#All],GQ$2,0)/GQ$1,"")</f>
        <v>2.8227272727272728</v>
      </c>
      <c r="GR29" s="67">
        <f>IFERROR(VLOOKUP($B29,RD[#All],GR$2,0)/GR$1,"")</f>
        <v>2.9511363636363637</v>
      </c>
      <c r="GS29" s="67" t="str">
        <f>IFERROR(VLOOKUP($B29,RD[#All],GS$2,0)/GS$1,"")</f>
        <v/>
      </c>
      <c r="GT29" s="67" t="str">
        <f>IFERROR(VLOOKUP($B29,RD[#All],GT$2,0)/GT$1,"")</f>
        <v/>
      </c>
      <c r="GU29" s="67">
        <f>IFERROR(VLOOKUP($B29,RD[#All],GU$2,0)/GU$1,"")</f>
        <v>2.9366754617414244</v>
      </c>
      <c r="GV29" s="67">
        <f>IFERROR(VLOOKUP($B29,RD[#All],GV$2,0)/GV$1,"")</f>
        <v>2.8106120304701867</v>
      </c>
      <c r="GW29" s="67">
        <f>IFERROR(VLOOKUP($B29,RD[#All],GW$2,0)/GW$1,"")</f>
        <v>2.767923133776792</v>
      </c>
      <c r="GX29" s="67" t="str">
        <f>IFERROR(VLOOKUP($B29,RD[#All],GX$2,0)/GX$1,"")</f>
        <v/>
      </c>
      <c r="GY29" s="67">
        <f>IFERROR(VLOOKUP($B29,RD[#All],GY$2,0)/GY$1,"")</f>
        <v>2.7751196172248802</v>
      </c>
      <c r="GZ29" s="67">
        <f>IFERROR(VLOOKUP($B29,RD[#All],GZ$2,0)/GZ$1,"")</f>
        <v>2.797752808988764</v>
      </c>
      <c r="HA29" s="67">
        <f>IFERROR(VLOOKUP($B29,RD[#All],HA$2,0)/HA$1,"")</f>
        <v>2.8853932584269661</v>
      </c>
      <c r="HB29" s="67">
        <f>IFERROR(VLOOKUP($B29,RD[#All],HB$2,0)/HB$1,"")</f>
        <v>2.7865168539325844</v>
      </c>
      <c r="HC29" s="67">
        <f>IFERROR(VLOOKUP($B29,RD[#All],HC$2,0)/HC$1,"")</f>
        <v>2.7752808988764044</v>
      </c>
      <c r="HD29" s="67">
        <f>IFERROR(VLOOKUP($B29,RD[#All],HD$2,0)/HD$1,"")</f>
        <v>2.8269662921348311</v>
      </c>
      <c r="HE29" s="67">
        <f>IFERROR(VLOOKUP($B29,RD[#All],HE$2,0)/HE$1,"")</f>
        <v>2.7468164794007488</v>
      </c>
      <c r="HF29" s="67">
        <f>IFERROR(VLOOKUP($B29,RD[#All],HF$2,0)/HF$1,"")</f>
        <v>2.8340823970037454</v>
      </c>
      <c r="HG29" s="67">
        <f>IFERROR(VLOOKUP($B29,RD[#All],HG$2,0)/HG$1,"")</f>
        <v>2.7670411985018726</v>
      </c>
      <c r="HH29" s="67">
        <f>IFERROR(VLOOKUP($B29,RD[#All],HH$2,0)/HH$1,"")</f>
        <v>2.8277153558052435</v>
      </c>
      <c r="HI29" s="67">
        <f>IFERROR(VLOOKUP($B29,RD[#All],HI$2,0)/HI$1,"")</f>
        <v>2.7827715355805243</v>
      </c>
      <c r="HJ29" s="67">
        <f>IFERROR(VLOOKUP($B29,RD[#All],HJ$2,0)/HJ$1,"")</f>
        <v>2.9086142322097377</v>
      </c>
      <c r="HK29" s="67">
        <f>IFERROR(VLOOKUP($B29,RD[#All],HK$2,0)/HK$1,"")</f>
        <v>2.7532251352476074</v>
      </c>
      <c r="HL29" s="67">
        <f>IFERROR(VLOOKUP($B29,RD[#All],HL$2,0)/HL$1,"")</f>
        <v>2.8777361631294216</v>
      </c>
      <c r="HM29" s="67">
        <f>IFERROR(VLOOKUP($B29,RD[#All],HM$2,0)/HM$1,"")</f>
        <v>2.9055082848186293</v>
      </c>
      <c r="HN29" s="67">
        <f>IFERROR(VLOOKUP($B29,RD[#All],HN$2,0)/HN$1,"")</f>
        <v>2.9377519032691444</v>
      </c>
      <c r="HO29" s="67">
        <f>IFERROR(VLOOKUP($B29,RD[#All],HO$2,0)/HO$1,"")</f>
        <v>2.9472309299895505</v>
      </c>
      <c r="HP29" s="67">
        <f>IFERROR(VLOOKUP($B29,RD[#All],HP$2,0)/HP$1,"")</f>
        <v>3.039498432601881</v>
      </c>
      <c r="HQ29" s="67">
        <f>IFERROR(VLOOKUP($B29,RD[#All],HQ$2,0)/HQ$1,"")</f>
        <v>2.7955747955747956</v>
      </c>
      <c r="HR29" s="67">
        <f>IFERROR(VLOOKUP($B29,RD[#All],HR$2,0)/HR$1,"")</f>
        <v>2.7698081734778981</v>
      </c>
      <c r="HS29" s="67">
        <f>IFERROR(VLOOKUP($B29,RD[#All],HS$2,0)/HS$1,"")</f>
        <v>2.8544719101123595</v>
      </c>
      <c r="HT29" s="67">
        <f>IFERROR(VLOOKUP($B29,RD[#All],HT$2,0)/HT$1,"")</f>
        <v>2.8128173116937161</v>
      </c>
      <c r="HU29" s="67">
        <f>IFERROR(VLOOKUP($B29,RD[#All],HU$2,0)/HU$1,"")</f>
        <v>2.8235090751944685</v>
      </c>
      <c r="HV29" s="67">
        <f>IFERROR(VLOOKUP($B29,RD[#All],HV$2,0)/HV$1,"")</f>
        <v>2.7695764909248055</v>
      </c>
      <c r="HW29" s="67">
        <f>IFERROR(VLOOKUP($B29,RD[#All],HW$2,0)/HW$1,"")</f>
        <v>2.8803595505617978</v>
      </c>
      <c r="HX29" s="67">
        <f>IFERROR(VLOOKUP($B29,RD[#All],HX$2,0)/HX$1,"")</f>
        <v>2.8452895419187554</v>
      </c>
      <c r="HY29" s="67">
        <f>IFERROR(VLOOKUP($B29,RD[#All],HY$2,0)/HY$1,"")</f>
        <v>2.8088223054515189</v>
      </c>
      <c r="HZ29" s="67">
        <f>IFERROR(VLOOKUP($B29,RD[#All],HZ$2,0)/HZ$1,"")</f>
        <v>2.7592176446109029</v>
      </c>
      <c r="IA29" s="67">
        <f>IFERROR(VLOOKUP($B29,RD[#All],IA$2,0)/IA$1,"")</f>
        <v>2.8488733488733491</v>
      </c>
      <c r="IB29" s="67">
        <f>IFERROR(VLOOKUP($B29,RD[#All],IB$2,0)/IB$1,"")</f>
        <v>2.7734487734487736</v>
      </c>
      <c r="IC29" s="67">
        <f>IFERROR(VLOOKUP($B29,RD[#All],IC$2,0)/IC$1,"")</f>
        <v>2.8104118104118108</v>
      </c>
      <c r="ID29" s="67">
        <f>IFERROR(VLOOKUP($B29,RD[#All],ID$2,0)/ID$1,"")</f>
        <v>2.8222970445192663</v>
      </c>
      <c r="IE29" s="67">
        <f>IFERROR(VLOOKUP($B29,RD[#All],IE$2,0)/IE$1,"")</f>
        <v>2.8646464646464644</v>
      </c>
      <c r="IF29" s="67" t="str">
        <f>IFERROR(VLOOKUP($B29,RD[#All],IF$2,0)/IF$1,"")</f>
        <v/>
      </c>
      <c r="IG29" s="67">
        <f>IFERROR(VLOOKUP($B29,RD[#All],IG$2,0)/IG$1,"")</f>
        <v>2.818001698273422</v>
      </c>
      <c r="IH29" s="67">
        <f>IFERROR(VLOOKUP($B29,RD[#All],IH$2,0)/IH$1,"")</f>
        <v>2.8216649251132009</v>
      </c>
      <c r="II29" s="67">
        <f>IFERROR(VLOOKUP($B29,RD[#All],II$2,0)/II$1,"")</f>
        <v>2.7960199004975124</v>
      </c>
      <c r="IJ29" s="67">
        <f>IFERROR(VLOOKUP($B29,RD[#All],IJ$2,0)/IJ$1,"")</f>
        <v>2.77665544332211</v>
      </c>
      <c r="IK29" s="67">
        <f>IFERROR(VLOOKUP($B29,RD[#All],IK$2,0)/IK$1,"")</f>
        <v>2.7742812742812748</v>
      </c>
      <c r="IL29" s="67" t="str">
        <f>IFERROR(VLOOKUP($B29,RD[#All],IL$2,0)/IL$1,"")</f>
        <v/>
      </c>
      <c r="IM29" s="67" t="str">
        <f>IFERROR(VLOOKUP($B29,RD[#All],IM$2,0)/IM$1,"")</f>
        <v/>
      </c>
      <c r="IN29" s="67">
        <f>IFERROR(VLOOKUP($B29,RD[#All],IN$2,0)/IN$1,"")</f>
        <v>2.8760710553814004</v>
      </c>
      <c r="IO29" s="67">
        <f>IFERROR(VLOOKUP($B29,RD[#All],IO$2,0)/IO$1,"")</f>
        <v>2.8565830721003138</v>
      </c>
      <c r="IP29" s="67">
        <f>IFERROR(VLOOKUP($B29,RD[#All],IP$2,0)/IP$1,"")</f>
        <v>2.964153812730828</v>
      </c>
      <c r="IQ29" s="67">
        <f>IFERROR(VLOOKUP($B29,RD[#All],IQ$2,0)/IQ$1,"")</f>
        <v>2.8014763014763018</v>
      </c>
      <c r="IR29" s="67">
        <f>IFERROR(VLOOKUP($B29,RD[#All],IR$2,0)/IR$1,"")</f>
        <v>2.7947761194029854</v>
      </c>
      <c r="IS29" s="86">
        <f>IFERROR(AVERAGEIF(Inv_SY_B[[#This Row],[BLK1_INV1]:[BLK8_INV27]],"&gt;"&amp;0.1,Inv_SY_B[[#This Row],[BLK1_INV1]:[BLK8_INV27]]),"")</f>
        <v>2.8150756902224434</v>
      </c>
    </row>
    <row r="30" spans="2:253" x14ac:dyDescent="0.25">
      <c r="B30" s="85">
        <f t="shared" si="0"/>
        <v>45856</v>
      </c>
      <c r="C30" s="67">
        <f>IFERROR(VLOOKUP($B30,RD[#All],C$2,0)/C$1,"")</f>
        <v>1.1581676750216077</v>
      </c>
      <c r="D30" s="67">
        <f>IFERROR(VLOOKUP($B30,RD[#All],D$2,0)/D$1,"")</f>
        <v>1.1789109766637857</v>
      </c>
      <c r="E30" s="67">
        <f>IFERROR(VLOOKUP($B30,RD[#All],E$2,0)/E$1,"")</f>
        <v>1.1782771535580525</v>
      </c>
      <c r="F30" s="67">
        <f>IFERROR(VLOOKUP($B30,RD[#All],F$2,0)/F$1,"")</f>
        <v>1.1647940074906367</v>
      </c>
      <c r="G30" s="67">
        <f>IFERROR(VLOOKUP($B30,RD[#All],G$2,0)/G$1,"")</f>
        <v>1.1719965427830596</v>
      </c>
      <c r="H30" s="67">
        <f>IFERROR(VLOOKUP($B30,RD[#All],H$2,0)/H$1,"")</f>
        <v>1.1573033707865168</v>
      </c>
      <c r="I30" s="67">
        <f>IFERROR(VLOOKUP($B30,RD[#All],I$2,0)/I$1,"")</f>
        <v>1.1677902621722847</v>
      </c>
      <c r="J30" s="67">
        <f>IFERROR(VLOOKUP($B30,RD[#All],J$2,0)/J$1,"")</f>
        <v>1.1760299625468165</v>
      </c>
      <c r="K30" s="67">
        <f>IFERROR(VLOOKUP($B30,RD[#All],K$2,0)/K$1,"")</f>
        <v>1.1649438202247191</v>
      </c>
      <c r="L30" s="67">
        <f>IFERROR(VLOOKUP($B30,RD[#All],L$2,0)/L$1,"")</f>
        <v>1.1649438202247191</v>
      </c>
      <c r="M30" s="67">
        <f>IFERROR(VLOOKUP($B30,RD[#All],M$2,0)/M$1,"")</f>
        <v>1.1910112359550562</v>
      </c>
      <c r="N30" s="67">
        <f>IFERROR(VLOOKUP($B30,RD[#All],N$2,0)/N$1,"")</f>
        <v>1.1539325842696631</v>
      </c>
      <c r="O30" s="67">
        <f>IFERROR(VLOOKUP($B30,RD[#All],O$2,0)/O$1,"")</f>
        <v>1.146067415730337</v>
      </c>
      <c r="P30" s="67">
        <f>IFERROR(VLOOKUP($B30,RD[#All],P$2,0)/P$1,"")</f>
        <v>1.1726251276813076</v>
      </c>
      <c r="Q30" s="67">
        <f>IFERROR(VLOOKUP($B30,RD[#All],Q$2,0)/Q$1,"")</f>
        <v>1.146067415730337</v>
      </c>
      <c r="R30" s="67">
        <f>IFERROR(VLOOKUP($B30,RD[#All],R$2,0)/R$1,"")</f>
        <v>1.1666666666666667</v>
      </c>
      <c r="S30" s="67">
        <f>IFERROR(VLOOKUP($B30,RD[#All],S$2,0)/S$1,"")</f>
        <v>1.146067415730337</v>
      </c>
      <c r="T30" s="67">
        <f>IFERROR(VLOOKUP($B30,RD[#All],T$2,0)/T$1,"")</f>
        <v>1.1861423220973781</v>
      </c>
      <c r="U30" s="67">
        <f>IFERROR(VLOOKUP($B30,RD[#All],U$2,0)/U$1,"")</f>
        <v>1.1443388072601555</v>
      </c>
      <c r="V30" s="67">
        <f>IFERROR(VLOOKUP($B30,RD[#All],V$2,0)/V$1,"")</f>
        <v>1.1581676750216077</v>
      </c>
      <c r="W30" s="67">
        <f>IFERROR(VLOOKUP($B30,RD[#All],W$2,0)/W$1,"")</f>
        <v>1.1573033707865168</v>
      </c>
      <c r="X30" s="67">
        <f>IFERROR(VLOOKUP($B30,RD[#All],X$2,0)/X$1,"")</f>
        <v>1.1816479400749065</v>
      </c>
      <c r="Y30" s="67">
        <f>IFERROR(VLOOKUP($B30,RD[#All],Y$2,0)/Y$1,"")</f>
        <v>1.1619706136560071</v>
      </c>
      <c r="Z30" s="67">
        <f>IFERROR(VLOOKUP($B30,RD[#All],Z$2,0)/Z$1,"")</f>
        <v>1.1818560133166875</v>
      </c>
      <c r="AA30" s="67">
        <f>IFERROR(VLOOKUP($B30,RD[#All],AA$2,0)/AA$1,"")</f>
        <v>1.1685393258426966</v>
      </c>
      <c r="AB30" s="67">
        <f>IFERROR(VLOOKUP($B30,RD[#All],AB$2,0)/AB$1,"")</f>
        <v>1.1498703543647364</v>
      </c>
      <c r="AC30" s="67">
        <f>IFERROR(VLOOKUP($B30,RD[#All],AC$2,0)/AC$1,"")</f>
        <v>1.1847882454624028</v>
      </c>
      <c r="AD30" s="67">
        <f>IFERROR(VLOOKUP($B30,RD[#All],AD$2,0)/AD$1,"")</f>
        <v>1.1439034540158137</v>
      </c>
      <c r="AE30" s="67">
        <f>IFERROR(VLOOKUP($B30,RD[#All],AE$2,0)/AE$1,"")</f>
        <v>1.1745318352059926</v>
      </c>
      <c r="AF30" s="67">
        <f>IFERROR(VLOOKUP($B30,RD[#All],AF$2,0)/AF$1,"")</f>
        <v>1.1645443196004994</v>
      </c>
      <c r="AG30" s="67">
        <f>IFERROR(VLOOKUP($B30,RD[#All],AG$2,0)/AG$1,"")</f>
        <v>1.1735330836454432</v>
      </c>
      <c r="AH30" s="67">
        <f>IFERROR(VLOOKUP($B30,RD[#All],AH$2,0)/AH$1,"")</f>
        <v>1.1888472742405327</v>
      </c>
      <c r="AI30" s="67">
        <f>IFERROR(VLOOKUP($B30,RD[#All],AI$2,0)/AI$1,"")</f>
        <v>1.1698113207547169</v>
      </c>
      <c r="AJ30" s="67">
        <f>IFERROR(VLOOKUP($B30,RD[#All],AJ$2,0)/AJ$1,"")</f>
        <v>1.1648483036915258</v>
      </c>
      <c r="AK30" s="67">
        <f>IFERROR(VLOOKUP($B30,RD[#All],AK$2,0)/AK$1,"")</f>
        <v>1.1550561797752807</v>
      </c>
      <c r="AL30" s="67">
        <f>IFERROR(VLOOKUP($B30,RD[#All],AL$2,0)/AL$1,"")</f>
        <v>1.1646035463365676</v>
      </c>
      <c r="AM30" s="67">
        <f>IFERROR(VLOOKUP($B30,RD[#All],AM$2,0)/AM$1,"")</f>
        <v>1.1524344569288389</v>
      </c>
      <c r="AN30" s="67">
        <f>IFERROR(VLOOKUP($B30,RD[#All],AN$2,0)/AN$1,"")</f>
        <v>1.1655430711610486</v>
      </c>
      <c r="AO30" s="67">
        <f>IFERROR(VLOOKUP($B30,RD[#All],AO$2,0)/AO$1,"")</f>
        <v>1.1730337078651685</v>
      </c>
      <c r="AP30" s="67">
        <f>IFERROR(VLOOKUP($B30,RD[#All],AP$2,0)/AP$1,"")</f>
        <v>1.1719101123595506</v>
      </c>
      <c r="AQ30" s="67">
        <f>IFERROR(VLOOKUP($B30,RD[#All],AQ$2,0)/AQ$1,"")</f>
        <v>1.1528089887640449</v>
      </c>
      <c r="AR30" s="67">
        <f>IFERROR(VLOOKUP($B30,RD[#All],AR$2,0)/AR$1,"")</f>
        <v>1.1805243445692883</v>
      </c>
      <c r="AS30" s="67">
        <f>IFERROR(VLOOKUP($B30,RD[#All],AS$2,0)/AS$1,"")</f>
        <v>1.154681647940075</v>
      </c>
      <c r="AT30" s="67">
        <f>IFERROR(VLOOKUP($B30,RD[#All],AT$2,0)/AT$1,"")</f>
        <v>1.1640449438202247</v>
      </c>
      <c r="AU30" s="67">
        <f>IFERROR(VLOOKUP($B30,RD[#All],AU$2,0)/AU$1,"")</f>
        <v>1.1655430711610486</v>
      </c>
      <c r="AV30" s="67">
        <f>IFERROR(VLOOKUP($B30,RD[#All],AV$2,0)/AV$1,"")</f>
        <v>1.148689138576779</v>
      </c>
      <c r="AW30" s="67">
        <f>IFERROR(VLOOKUP($B30,RD[#All],AW$2,0)/AW$1,"")</f>
        <v>1.1602420051858255</v>
      </c>
      <c r="AX30" s="67">
        <f>IFERROR(VLOOKUP($B30,RD[#All],AX$2,0)/AX$1,"")</f>
        <v>1.1591760299625469</v>
      </c>
      <c r="AY30" s="67">
        <f>IFERROR(VLOOKUP($B30,RD[#All],AY$2,0)/AY$1,"")</f>
        <v>1.1541573033707866</v>
      </c>
      <c r="AZ30" s="67">
        <f>IFERROR(VLOOKUP($B30,RD[#All],AZ$2,0)/AZ$1,"")</f>
        <v>1.1829213483146068</v>
      </c>
      <c r="BA30" s="67">
        <f>IFERROR(VLOOKUP($B30,RD[#All],BA$2,0)/BA$1,"")</f>
        <v>1.1891385767790261</v>
      </c>
      <c r="BB30" s="67">
        <f>IFERROR(VLOOKUP($B30,RD[#All],BB$2,0)/BB$1,"")</f>
        <v>1.1636704119850187</v>
      </c>
      <c r="BC30" s="67">
        <f>IFERROR(VLOOKUP($B30,RD[#All],BC$2,0)/BC$1,"")</f>
        <v>1.1685393258426966</v>
      </c>
      <c r="BD30" s="67">
        <f>IFERROR(VLOOKUP($B30,RD[#All],BD$2,0)/BD$1,"")</f>
        <v>1.1745318352059926</v>
      </c>
      <c r="BE30" s="67">
        <f>IFERROR(VLOOKUP($B30,RD[#All],BE$2,0)/BE$1,"")</f>
        <v>1.1719965427830596</v>
      </c>
      <c r="BF30" s="67">
        <f>IFERROR(VLOOKUP($B30,RD[#All],BF$2,0)/BF$1,"")</f>
        <v>1.1658759883478984</v>
      </c>
      <c r="BG30" s="67">
        <f>IFERROR(VLOOKUP($B30,RD[#All],BG$2,0)/BG$1,"")</f>
        <v>1.157553058676654</v>
      </c>
      <c r="BH30" s="67">
        <f>IFERROR(VLOOKUP($B30,RD[#All],BH$2,0)/BH$1,"")</f>
        <v>1.1617977528089887</v>
      </c>
      <c r="BI30" s="67">
        <f>IFERROR(VLOOKUP($B30,RD[#All],BI$2,0)/BI$1,"")</f>
        <v>1.1765293383270912</v>
      </c>
      <c r="BJ30" s="67">
        <f>IFERROR(VLOOKUP($B30,RD[#All],BJ$2,0)/BJ$1,"")</f>
        <v>1.1911776945484811</v>
      </c>
      <c r="BK30" s="67">
        <f>IFERROR(VLOOKUP($B30,RD[#All],BK$2,0)/BK$1,"")</f>
        <v>1.1876404494382022</v>
      </c>
      <c r="BL30" s="67">
        <f>IFERROR(VLOOKUP($B30,RD[#All],BL$2,0)/BL$1,"")</f>
        <v>1.1629307460689196</v>
      </c>
      <c r="BM30" s="67">
        <f>IFERROR(VLOOKUP($B30,RD[#All],BM$2,0)/BM$1,"")</f>
        <v>1.1655430711610486</v>
      </c>
      <c r="BN30" s="67">
        <f>IFERROR(VLOOKUP($B30,RD[#All],BN$2,0)/BN$1,"")</f>
        <v>1.1414838035527692</v>
      </c>
      <c r="BO30" s="67">
        <f>IFERROR(VLOOKUP($B30,RD[#All],BO$2,0)/BO$1,"")</f>
        <v>1.2024200518582542</v>
      </c>
      <c r="BP30" s="67">
        <f>IFERROR(VLOOKUP($B30,RD[#All],BP$2,0)/BP$1,"")</f>
        <v>1.1965427830596371</v>
      </c>
      <c r="BQ30" s="67">
        <f>IFERROR(VLOOKUP($B30,RD[#All],BQ$2,0)/BQ$1,"")</f>
        <v>1.2051858254105445</v>
      </c>
      <c r="BR30" s="67">
        <f>IFERROR(VLOOKUP($B30,RD[#All],BR$2,0)/BR$1,"")</f>
        <v>1.1764909248055315</v>
      </c>
      <c r="BS30" s="67">
        <f>IFERROR(VLOOKUP($B30,RD[#All],BS$2,0)/BS$1,"")</f>
        <v>1.1883895131086142</v>
      </c>
      <c r="BT30" s="67">
        <f>IFERROR(VLOOKUP($B30,RD[#All],BT$2,0)/BT$1,"")</f>
        <v>1.1865168539325843</v>
      </c>
      <c r="BU30" s="67">
        <f>IFERROR(VLOOKUP($B30,RD[#All],BU$2,0)/BU$1,"")</f>
        <v>1.2014981273408241</v>
      </c>
      <c r="BV30" s="67">
        <f>IFERROR(VLOOKUP($B30,RD[#All],BV$2,0)/BV$1,"")</f>
        <v>1.1895131086142323</v>
      </c>
      <c r="BW30" s="67">
        <f>IFERROR(VLOOKUP($B30,RD[#All],BW$2,0)/BW$1,"")</f>
        <v>1.2277153558052434</v>
      </c>
      <c r="BX30" s="67">
        <f>IFERROR(VLOOKUP($B30,RD[#All],BX$2,0)/BX$1,"")</f>
        <v>1.1985018726591761</v>
      </c>
      <c r="BY30" s="67">
        <f>IFERROR(VLOOKUP($B30,RD[#All],BY$2,0)/BY$1,"")</f>
        <v>1.2228048272992094</v>
      </c>
      <c r="BZ30" s="67">
        <f>IFERROR(VLOOKUP($B30,RD[#All],BZ$2,0)/BZ$1,"")</f>
        <v>1.2061589679567208</v>
      </c>
      <c r="CA30" s="67">
        <f>IFERROR(VLOOKUP($B30,RD[#All],CA$2,0)/CA$1,"")</f>
        <v>1.2224719101123596</v>
      </c>
      <c r="CB30" s="67">
        <f>IFERROR(VLOOKUP($B30,RD[#All],CB$2,0)/CB$1,"")</f>
        <v>1.2071161048689139</v>
      </c>
      <c r="CC30" s="67">
        <f>IFERROR(VLOOKUP($B30,RD[#All],CC$2,0)/CC$1,"")</f>
        <v>1.1820224719101124</v>
      </c>
      <c r="CD30" s="67">
        <f>IFERROR(VLOOKUP($B30,RD[#All],CD$2,0)/CD$1,"")</f>
        <v>1.2197061365600692</v>
      </c>
      <c r="CE30" s="67">
        <f>IFERROR(VLOOKUP($B30,RD[#All],CE$2,0)/CE$1,"")</f>
        <v>1.199625468164794</v>
      </c>
      <c r="CF30" s="67">
        <f>IFERROR(VLOOKUP($B30,RD[#All],CF$2,0)/CF$1,"")</f>
        <v>1.2198501872659175</v>
      </c>
      <c r="CG30" s="67">
        <f>IFERROR(VLOOKUP($B30,RD[#All],CG$2,0)/CG$1,"")</f>
        <v>1.1973782771535579</v>
      </c>
      <c r="CH30" s="67">
        <f>IFERROR(VLOOKUP($B30,RD[#All],CH$2,0)/CH$1,"")</f>
        <v>1.199250936329588</v>
      </c>
      <c r="CI30" s="67">
        <f>IFERROR(VLOOKUP($B30,RD[#All],CI$2,0)/CI$1,"")</f>
        <v>1.1719101123595506</v>
      </c>
      <c r="CJ30" s="67">
        <f>IFERROR(VLOOKUP($B30,RD[#All],CJ$2,0)/CJ$1,"")</f>
        <v>1.2112359550561798</v>
      </c>
      <c r="CK30" s="67">
        <f>IFERROR(VLOOKUP($B30,RD[#All],CK$2,0)/CK$1,"")</f>
        <v>1.1775280898876404</v>
      </c>
      <c r="CL30" s="67">
        <f>IFERROR(VLOOKUP($B30,RD[#All],CL$2,0)/CL$1,"")</f>
        <v>1.1805243445692883</v>
      </c>
      <c r="CM30" s="67">
        <f>IFERROR(VLOOKUP($B30,RD[#All],CM$2,0)/CM$1,"")</f>
        <v>1.1970037453183522</v>
      </c>
      <c r="CN30" s="67">
        <f>IFERROR(VLOOKUP($B30,RD[#All],CN$2,0)/CN$1,"")</f>
        <v>1.1872659176029963</v>
      </c>
      <c r="CO30" s="67">
        <f>IFERROR(VLOOKUP($B30,RD[#All],CO$2,0)/CO$1,"")</f>
        <v>1.1750112359550562</v>
      </c>
      <c r="CP30" s="67">
        <f>IFERROR(VLOOKUP($B30,RD[#All],CP$2,0)/CP$1,"")</f>
        <v>1.1982713915298187</v>
      </c>
      <c r="CQ30" s="67">
        <f>IFERROR(VLOOKUP($B30,RD[#All],CQ$2,0)/CQ$1,"")</f>
        <v>1.2202247191011237</v>
      </c>
      <c r="CR30" s="67">
        <f>IFERROR(VLOOKUP($B30,RD[#All],CR$2,0)/CR$1,"")</f>
        <v>1.208239700374532</v>
      </c>
      <c r="CS30" s="67">
        <f>IFERROR(VLOOKUP($B30,RD[#All],CS$2,0)/CS$1,"")</f>
        <v>1.1941739492301289</v>
      </c>
      <c r="CT30" s="67">
        <f>IFERROR(VLOOKUP($B30,RD[#All],CT$2,0)/CT$1,"")</f>
        <v>1.1715355805243446</v>
      </c>
      <c r="CU30" s="67">
        <f>IFERROR(VLOOKUP($B30,RD[#All],CU$2,0)/CU$1,"")</f>
        <v>1.1947565543071161</v>
      </c>
      <c r="CV30" s="67">
        <f>IFERROR(VLOOKUP($B30,RD[#All],CV$2,0)/CV$1,"")</f>
        <v>1.1940074906367042</v>
      </c>
      <c r="CW30" s="67">
        <f>IFERROR(VLOOKUP($B30,RD[#All],CW$2,0)/CW$1,"")</f>
        <v>1.2037453183520599</v>
      </c>
      <c r="CX30" s="67">
        <f>IFERROR(VLOOKUP($B30,RD[#All],CX$2,0)/CX$1,"")</f>
        <v>1.1741573033707866</v>
      </c>
      <c r="CY30" s="67">
        <f>IFERROR(VLOOKUP($B30,RD[#All],CY$2,0)/CY$1,"")</f>
        <v>1.1932584269662923</v>
      </c>
      <c r="CZ30" s="67">
        <f>IFERROR(VLOOKUP($B30,RD[#All],CZ$2,0)/CZ$1,"")</f>
        <v>1.1898876404494381</v>
      </c>
      <c r="DA30" s="67">
        <f>IFERROR(VLOOKUP($B30,RD[#All],DA$2,0)/DA$1,"")</f>
        <v>1.2097378277153559</v>
      </c>
      <c r="DB30" s="67">
        <f>IFERROR(VLOOKUP($B30,RD[#All],DB$2,0)/DB$1,"")</f>
        <v>1.1823970037453184</v>
      </c>
      <c r="DC30" s="67">
        <f>IFERROR(VLOOKUP($B30,RD[#All],DC$2,0)/DC$1,"")</f>
        <v>1.1605493133583022</v>
      </c>
      <c r="DD30" s="67">
        <f>IFERROR(VLOOKUP($B30,RD[#All],DD$2,0)/DD$1,"")</f>
        <v>1.1689138576779028</v>
      </c>
      <c r="DE30" s="67">
        <f>IFERROR(VLOOKUP($B30,RD[#All],DE$2,0)/DE$1,"")</f>
        <v>1.1685393258426966</v>
      </c>
      <c r="DF30" s="67">
        <f>IFERROR(VLOOKUP($B30,RD[#All],DF$2,0)/DF$1,"")</f>
        <v>1.1445299431247911</v>
      </c>
      <c r="DG30" s="67">
        <f>IFERROR(VLOOKUP($B30,RD[#All],DG$2,0)/DG$1,"")</f>
        <v>1.1722846441947565</v>
      </c>
      <c r="DH30" s="67">
        <f>IFERROR(VLOOKUP($B30,RD[#All],DH$2,0)/DH$1,"")</f>
        <v>1.1625468164794006</v>
      </c>
      <c r="DI30" s="67">
        <f>IFERROR(VLOOKUP($B30,RD[#All],DI$2,0)/DI$1,"")</f>
        <v>1.1592048401037165</v>
      </c>
      <c r="DJ30" s="67">
        <f>IFERROR(VLOOKUP($B30,RD[#All],DJ$2,0)/DJ$1,"")</f>
        <v>1.1830596369922213</v>
      </c>
      <c r="DK30" s="67">
        <f>IFERROR(VLOOKUP($B30,RD[#All],DK$2,0)/DK$1,"")</f>
        <v>1.1991677070328755</v>
      </c>
      <c r="DL30" s="67">
        <f>IFERROR(VLOOKUP($B30,RD[#All],DL$2,0)/DL$1,"")</f>
        <v>1.1775280898876404</v>
      </c>
      <c r="DM30" s="67">
        <f>IFERROR(VLOOKUP($B30,RD[#All],DM$2,0)/DM$1,"")</f>
        <v>1.1921348314606741</v>
      </c>
      <c r="DN30" s="67">
        <f>IFERROR(VLOOKUP($B30,RD[#All],DN$2,0)/DN$1,"")</f>
        <v>1.1509363295880151</v>
      </c>
      <c r="DO30" s="67">
        <f>IFERROR(VLOOKUP($B30,RD[#All],DO$2,0)/DO$1,"")</f>
        <v>1.1612579458012715</v>
      </c>
      <c r="DP30" s="67">
        <f>IFERROR(VLOOKUP($B30,RD[#All],DP$2,0)/DP$1,"")</f>
        <v>1.1588847274240532</v>
      </c>
      <c r="DQ30" s="67">
        <f>IFERROR(VLOOKUP($B30,RD[#All],DQ$2,0)/DQ$1,"")</f>
        <v>1.1558884727424052</v>
      </c>
      <c r="DR30" s="67">
        <f>IFERROR(VLOOKUP($B30,RD[#All],DR$2,0)/DR$1,"")</f>
        <v>1.1565543071161049</v>
      </c>
      <c r="DS30" s="67">
        <f>IFERROR(VLOOKUP($B30,RD[#All],DS$2,0)/DS$1,"")</f>
        <v>1.1404494382022472</v>
      </c>
      <c r="DT30" s="67">
        <f>IFERROR(VLOOKUP($B30,RD[#All],DT$2,0)/DT$1,"")</f>
        <v>1.1548897211818558</v>
      </c>
      <c r="DU30" s="67">
        <f>IFERROR(VLOOKUP($B30,RD[#All],DU$2,0)/DU$1,"")</f>
        <v>1.1678734914689972</v>
      </c>
      <c r="DV30" s="67">
        <f>IFERROR(VLOOKUP($B30,RD[#All],DV$2,0)/DV$1,"")</f>
        <v>1.1471910112359551</v>
      </c>
      <c r="DW30" s="67">
        <f>IFERROR(VLOOKUP($B30,RD[#All],DW$2,0)/DW$1,"")</f>
        <v>1.1647940074906367</v>
      </c>
      <c r="DX30" s="67">
        <f>IFERROR(VLOOKUP($B30,RD[#All],DX$2,0)/DX$1,"")</f>
        <v>1.166541822721598</v>
      </c>
      <c r="DY30" s="67">
        <f>IFERROR(VLOOKUP($B30,RD[#All],DY$2,0)/DY$1,"")</f>
        <v>1.1434456928838952</v>
      </c>
      <c r="DZ30" s="67">
        <f>IFERROR(VLOOKUP($B30,RD[#All],DZ$2,0)/DZ$1,"")</f>
        <v>1.1561797752808989</v>
      </c>
      <c r="EA30" s="67">
        <f>IFERROR(VLOOKUP($B30,RD[#All],EA$2,0)/EA$1,"")</f>
        <v>1.1572201414898045</v>
      </c>
      <c r="EB30" s="67">
        <f>IFERROR(VLOOKUP($B30,RD[#All],EB$2,0)/EB$1,"")</f>
        <v>1.1462338743237619</v>
      </c>
      <c r="EC30" s="67">
        <f>IFERROR(VLOOKUP($B30,RD[#All],EC$2,0)/EC$1,"")</f>
        <v>1.1948141745894556</v>
      </c>
      <c r="ED30" s="67">
        <f>IFERROR(VLOOKUP($B30,RD[#All],ED$2,0)/ED$1,"")</f>
        <v>1.160933448573898</v>
      </c>
      <c r="EE30" s="67">
        <f>IFERROR(VLOOKUP($B30,RD[#All],EE$2,0)/EE$1,"")</f>
        <v>1.1865168539325843</v>
      </c>
      <c r="EF30" s="67">
        <f>IFERROR(VLOOKUP($B30,RD[#All],EF$2,0)/EF$1,"")</f>
        <v>1.1971399387129724</v>
      </c>
      <c r="EG30" s="67">
        <f>IFERROR(VLOOKUP($B30,RD[#All],EG$2,0)/EG$1,"")</f>
        <v>1.2157342657342658</v>
      </c>
      <c r="EH30" s="67">
        <f>IFERROR(VLOOKUP($B30,RD[#All],EH$2,0)/EH$1,"")</f>
        <v>1.156993006993007</v>
      </c>
      <c r="EI30" s="67">
        <f>IFERROR(VLOOKUP($B30,RD[#All],EI$2,0)/EI$1,"")</f>
        <v>1.1520979020979021</v>
      </c>
      <c r="EJ30" s="67">
        <f>IFERROR(VLOOKUP($B30,RD[#All],EJ$2,0)/EJ$1,"")</f>
        <v>1.2104895104895104</v>
      </c>
      <c r="EK30" s="67">
        <f>IFERROR(VLOOKUP($B30,RD[#All],EK$2,0)/EK$1,"")</f>
        <v>1.2120449438202248</v>
      </c>
      <c r="EL30" s="67">
        <f>IFERROR(VLOOKUP($B30,RD[#All],EL$2,0)/EL$1,"")</f>
        <v>1.1932584269662923</v>
      </c>
      <c r="EM30" s="67">
        <f>IFERROR(VLOOKUP($B30,RD[#All],EM$2,0)/EM$1,"")</f>
        <v>1.1650821089023335</v>
      </c>
      <c r="EN30" s="67">
        <f>IFERROR(VLOOKUP($B30,RD[#All],EN$2,0)/EN$1,"")</f>
        <v>1.1481417458945549</v>
      </c>
      <c r="EO30" s="67">
        <f>IFERROR(VLOOKUP($B30,RD[#All],EO$2,0)/EO$1,"")</f>
        <v>1.1782771535580525</v>
      </c>
      <c r="EP30" s="67">
        <f>IFERROR(VLOOKUP($B30,RD[#All],EP$2,0)/EP$1,"")</f>
        <v>1.2006914433880727</v>
      </c>
      <c r="EQ30" s="67">
        <f>IFERROR(VLOOKUP($B30,RD[#All],EQ$2,0)/EQ$1,"")</f>
        <v>1.1689138576779028</v>
      </c>
      <c r="ER30" s="67">
        <f>IFERROR(VLOOKUP($B30,RD[#All],ER$2,0)/ER$1,"")</f>
        <v>1.175799481417459</v>
      </c>
      <c r="ES30" s="67">
        <f>IFERROR(VLOOKUP($B30,RD[#All],ES$2,0)/ES$1,"")</f>
        <v>1.1629213483146068</v>
      </c>
      <c r="ET30" s="67">
        <f>IFERROR(VLOOKUP($B30,RD[#All],ET$2,0)/ET$1,"")</f>
        <v>1.1730337078651687</v>
      </c>
      <c r="EU30" s="67">
        <f>IFERROR(VLOOKUP($B30,RD[#All],EU$2,0)/EU$1,"")</f>
        <v>1.1616248919619707</v>
      </c>
      <c r="EV30" s="67">
        <f>IFERROR(VLOOKUP($B30,RD[#All],EV$2,0)/EV$1,"")</f>
        <v>1.175799481417459</v>
      </c>
      <c r="EW30" s="67">
        <f>IFERROR(VLOOKUP($B30,RD[#All],EW$2,0)/EW$1,"")</f>
        <v>1.1885911840968022</v>
      </c>
      <c r="EX30" s="67">
        <f>IFERROR(VLOOKUP($B30,RD[#All],EX$2,0)/EX$1,"")</f>
        <v>1.1726591760299627</v>
      </c>
      <c r="EY30" s="67">
        <f>IFERROR(VLOOKUP($B30,RD[#All],EY$2,0)/EY$1,"")</f>
        <v>1.1588847274240532</v>
      </c>
      <c r="EZ30" s="67">
        <f>IFERROR(VLOOKUP($B30,RD[#All],EZ$2,0)/EZ$1,"")</f>
        <v>1.1692883895131085</v>
      </c>
      <c r="FA30" s="67">
        <f>IFERROR(VLOOKUP($B30,RD[#All],FA$2,0)/FA$1,"")</f>
        <v>1.1629213483146068</v>
      </c>
      <c r="FB30" s="67">
        <f>IFERROR(VLOOKUP($B30,RD[#All],FB$2,0)/FB$1,"")</f>
        <v>1.149063670411985</v>
      </c>
      <c r="FC30" s="67">
        <f>IFERROR(VLOOKUP($B30,RD[#All],FC$2,0)/FC$1,"")</f>
        <v>1.1573033707865168</v>
      </c>
      <c r="FD30" s="67">
        <f>IFERROR(VLOOKUP($B30,RD[#All],FD$2,0)/FD$1,"")</f>
        <v>1.1655430711610486</v>
      </c>
      <c r="FE30" s="67">
        <f>IFERROR(VLOOKUP($B30,RD[#All],FE$2,0)/FE$1,"")</f>
        <v>1.178409090909091</v>
      </c>
      <c r="FF30" s="67">
        <f>IFERROR(VLOOKUP($B30,RD[#All],FF$2,0)/FF$1,"")</f>
        <v>1.1621212121212121</v>
      </c>
      <c r="FG30" s="67">
        <f>IFERROR(VLOOKUP($B30,RD[#All],FG$2,0)/FG$1,"")</f>
        <v>1.1488215488215487</v>
      </c>
      <c r="FH30" s="67">
        <f>IFERROR(VLOOKUP($B30,RD[#All],FH$2,0)/FH$1,"")</f>
        <v>1.1821969696969699</v>
      </c>
      <c r="FI30" s="67">
        <f>IFERROR(VLOOKUP($B30,RD[#All],FI$2,0)/FI$1,"")</f>
        <v>1.1565656565656566</v>
      </c>
      <c r="FJ30" s="67">
        <f>IFERROR(VLOOKUP($B30,RD[#All],FJ$2,0)/FJ$1,"")</f>
        <v>1.1430976430976432</v>
      </c>
      <c r="FK30" s="67">
        <f>IFERROR(VLOOKUP($B30,RD[#All],FK$2,0)/FK$1,"")</f>
        <v>1.1838383838383839</v>
      </c>
      <c r="FL30" s="67">
        <f>IFERROR(VLOOKUP($B30,RD[#All],FL$2,0)/FL$1,"")</f>
        <v>1.1599999999999999</v>
      </c>
      <c r="FM30" s="67">
        <f>IFERROR(VLOOKUP($B30,RD[#All],FM$2,0)/FM$1,"")</f>
        <v>1.1651515151515153</v>
      </c>
      <c r="FN30" s="67">
        <f>IFERROR(VLOOKUP($B30,RD[#All],FN$2,0)/FN$1,"")</f>
        <v>1.1424242424242426</v>
      </c>
      <c r="FO30" s="67">
        <f>IFERROR(VLOOKUP($B30,RD[#All],FO$2,0)/FO$1,"")</f>
        <v>1.146590909090909</v>
      </c>
      <c r="FP30" s="67">
        <f>IFERROR(VLOOKUP($B30,RD[#All],FP$2,0)/FP$1,"")</f>
        <v>1.1440000000000001</v>
      </c>
      <c r="FQ30" s="67">
        <f>IFERROR(VLOOKUP($B30,RD[#All],FQ$2,0)/FQ$1,"")</f>
        <v>1.1745454545454546</v>
      </c>
      <c r="FR30" s="67">
        <f>IFERROR(VLOOKUP($B30,RD[#All],FR$2,0)/FR$1,"")</f>
        <v>1.1890909090909092</v>
      </c>
      <c r="FS30" s="67">
        <f>IFERROR(VLOOKUP($B30,RD[#All],FS$2,0)/FS$1,"")</f>
        <v>1.167003367003367</v>
      </c>
      <c r="FT30" s="67">
        <f>IFERROR(VLOOKUP($B30,RD[#All],FT$2,0)/FT$1,"")</f>
        <v>1.1927272727272726</v>
      </c>
      <c r="FU30" s="67">
        <f>IFERROR(VLOOKUP($B30,RD[#All],FU$2,0)/FU$1,"")</f>
        <v>1.1518518518518519</v>
      </c>
      <c r="FV30" s="67">
        <f>IFERROR(VLOOKUP($B30,RD[#All],FV$2,0)/FV$1,"")</f>
        <v>1.1787878787878787</v>
      </c>
      <c r="FW30" s="67">
        <f>IFERROR(VLOOKUP($B30,RD[#All],FW$2,0)/FW$1,"")</f>
        <v>1.1901515151515152</v>
      </c>
      <c r="FX30" s="67">
        <f>IFERROR(VLOOKUP($B30,RD[#All],FX$2,0)/FX$1,"")</f>
        <v>1.1651515151515153</v>
      </c>
      <c r="FY30" s="67">
        <f>IFERROR(VLOOKUP($B30,RD[#All],FY$2,0)/FY$1,"")</f>
        <v>1.1824915824915825</v>
      </c>
      <c r="FZ30" s="67">
        <f>IFERROR(VLOOKUP($B30,RD[#All],FZ$2,0)/FZ$1,"")</f>
        <v>1.1666666666666667</v>
      </c>
      <c r="GA30" s="67">
        <f>IFERROR(VLOOKUP($B30,RD[#All],GA$2,0)/GA$1,"")</f>
        <v>1.1818181818181819</v>
      </c>
      <c r="GB30" s="67">
        <f>IFERROR(VLOOKUP($B30,RD[#All],GB$2,0)/GB$1,"")</f>
        <v>1.1616161616161615</v>
      </c>
      <c r="GC30" s="67">
        <f>IFERROR(VLOOKUP($B30,RD[#All],GC$2,0)/GC$1,"")</f>
        <v>1.1515151515151516</v>
      </c>
      <c r="GD30" s="67">
        <f>IFERROR(VLOOKUP($B30,RD[#All],GD$2,0)/GD$1,"")</f>
        <v>1.1607272727272726</v>
      </c>
      <c r="GE30" s="67">
        <f>IFERROR(VLOOKUP($B30,RD[#All],GE$2,0)/GE$1,"")</f>
        <v>1.1678321678321679</v>
      </c>
      <c r="GF30" s="67">
        <f>IFERROR(VLOOKUP($B30,RD[#All],GF$2,0)/GF$1,"")</f>
        <v>1.164983164983165</v>
      </c>
      <c r="GG30" s="67">
        <f>IFERROR(VLOOKUP($B30,RD[#All],GG$2,0)/GG$1,"")</f>
        <v>1.1890909090909092</v>
      </c>
      <c r="GH30" s="67">
        <f>IFERROR(VLOOKUP($B30,RD[#All],GH$2,0)/GH$1,"")</f>
        <v>1.1672727272727272</v>
      </c>
      <c r="GI30" s="67">
        <f>IFERROR(VLOOKUP($B30,RD[#All],GI$2,0)/GI$1,"")</f>
        <v>1.1596363636363636</v>
      </c>
      <c r="GJ30" s="67">
        <f>IFERROR(VLOOKUP($B30,RD[#All],GJ$2,0)/GJ$1,"")</f>
        <v>1.1930069930069929</v>
      </c>
      <c r="GK30" s="67">
        <f>IFERROR(VLOOKUP($B30,RD[#All],GK$2,0)/GK$1,"")</f>
        <v>1.197348484848485</v>
      </c>
      <c r="GL30" s="67">
        <f>IFERROR(VLOOKUP($B30,RD[#All],GL$2,0)/GL$1,"")</f>
        <v>1.156439393939394</v>
      </c>
      <c r="GM30" s="67">
        <f>IFERROR(VLOOKUP($B30,RD[#All],GM$2,0)/GM$1,"")</f>
        <v>1.1901515151515152</v>
      </c>
      <c r="GN30" s="67">
        <f>IFERROR(VLOOKUP($B30,RD[#All],GN$2,0)/GN$1,"")</f>
        <v>1.2098484848484847</v>
      </c>
      <c r="GO30" s="67">
        <f>IFERROR(VLOOKUP($B30,RD[#All],GO$2,0)/GO$1,"")</f>
        <v>1.178409090909091</v>
      </c>
      <c r="GP30" s="67">
        <f>IFERROR(VLOOKUP($B30,RD[#All],GP$2,0)/GP$1,"")</f>
        <v>1.1666666666666667</v>
      </c>
      <c r="GQ30" s="67">
        <f>IFERROR(VLOOKUP($B30,RD[#All],GQ$2,0)/GQ$1,"")</f>
        <v>1.1545454545454545</v>
      </c>
      <c r="GR30" s="67">
        <f>IFERROR(VLOOKUP($B30,RD[#All],GR$2,0)/GR$1,"")</f>
        <v>1.2196969696969697</v>
      </c>
      <c r="GS30" s="67" t="str">
        <f>IFERROR(VLOOKUP($B30,RD[#All],GS$2,0)/GS$1,"")</f>
        <v/>
      </c>
      <c r="GT30" s="67" t="str">
        <f>IFERROR(VLOOKUP($B30,RD[#All],GT$2,0)/GT$1,"")</f>
        <v/>
      </c>
      <c r="GU30" s="67">
        <f>IFERROR(VLOOKUP($B30,RD[#All],GU$2,0)/GU$1,"")</f>
        <v>1.2093227792436236</v>
      </c>
      <c r="GV30" s="67">
        <f>IFERROR(VLOOKUP($B30,RD[#All],GV$2,0)/GV$1,"")</f>
        <v>1.1610191752035723</v>
      </c>
      <c r="GW30" s="67">
        <f>IFERROR(VLOOKUP($B30,RD[#All],GW$2,0)/GW$1,"")</f>
        <v>1.1670362158167036</v>
      </c>
      <c r="GX30" s="67" t="str">
        <f>IFERROR(VLOOKUP($B30,RD[#All],GX$2,0)/GX$1,"")</f>
        <v/>
      </c>
      <c r="GY30" s="67">
        <f>IFERROR(VLOOKUP($B30,RD[#All],GY$2,0)/GY$1,"")</f>
        <v>1.157552973342447</v>
      </c>
      <c r="GZ30" s="67">
        <f>IFERROR(VLOOKUP($B30,RD[#All],GZ$2,0)/GZ$1,"")</f>
        <v>1.1528089887640449</v>
      </c>
      <c r="HA30" s="67">
        <f>IFERROR(VLOOKUP($B30,RD[#All],HA$2,0)/HA$1,"")</f>
        <v>1.2011235955056179</v>
      </c>
      <c r="HB30" s="67">
        <f>IFERROR(VLOOKUP($B30,RD[#All],HB$2,0)/HB$1,"")</f>
        <v>1.149438202247191</v>
      </c>
      <c r="HC30" s="67">
        <f>IFERROR(VLOOKUP($B30,RD[#All],HC$2,0)/HC$1,"")</f>
        <v>1.1685393258426966</v>
      </c>
      <c r="HD30" s="67">
        <f>IFERROR(VLOOKUP($B30,RD[#All],HD$2,0)/HD$1,"")</f>
        <v>1.1947565543071161</v>
      </c>
      <c r="HE30" s="67">
        <f>IFERROR(VLOOKUP($B30,RD[#All],HE$2,0)/HE$1,"")</f>
        <v>1.202247191011236</v>
      </c>
      <c r="HF30" s="67">
        <f>IFERROR(VLOOKUP($B30,RD[#All],HF$2,0)/HF$1,"")</f>
        <v>1.2037453183520599</v>
      </c>
      <c r="HG30" s="67">
        <f>IFERROR(VLOOKUP($B30,RD[#All],HG$2,0)/HG$1,"")</f>
        <v>1.1985018726591761</v>
      </c>
      <c r="HH30" s="67">
        <f>IFERROR(VLOOKUP($B30,RD[#All],HH$2,0)/HH$1,"")</f>
        <v>1.2074906367041198</v>
      </c>
      <c r="HI30" s="67">
        <f>IFERROR(VLOOKUP($B30,RD[#All],HI$2,0)/HI$1,"")</f>
        <v>1.1760299625468165</v>
      </c>
      <c r="HJ30" s="67">
        <f>IFERROR(VLOOKUP($B30,RD[#All],HJ$2,0)/HJ$1,"")</f>
        <v>1.2033707865168539</v>
      </c>
      <c r="HK30" s="67">
        <f>IFERROR(VLOOKUP($B30,RD[#All],HK$2,0)/HK$1,"")</f>
        <v>1.1618809821057012</v>
      </c>
      <c r="HL30" s="67">
        <f>IFERROR(VLOOKUP($B30,RD[#All],HL$2,0)/HL$1,"")</f>
        <v>1.1705368289637954</v>
      </c>
      <c r="HM30" s="67">
        <f>IFERROR(VLOOKUP($B30,RD[#All],HM$2,0)/HM$1,"")</f>
        <v>1.1957008508732645</v>
      </c>
      <c r="HN30" s="67">
        <f>IFERROR(VLOOKUP($B30,RD[#All],HN$2,0)/HN$1,"")</f>
        <v>1.2373488580385132</v>
      </c>
      <c r="HO30" s="67">
        <f>IFERROR(VLOOKUP($B30,RD[#All],HO$2,0)/HO$1,"")</f>
        <v>1.2319749216300941</v>
      </c>
      <c r="HP30" s="67">
        <f>IFERROR(VLOOKUP($B30,RD[#All],HP$2,0)/HP$1,"")</f>
        <v>1.2457680250783698</v>
      </c>
      <c r="HQ30" s="67">
        <f>IFERROR(VLOOKUP($B30,RD[#All],HQ$2,0)/HQ$1,"")</f>
        <v>1.1784511784511784</v>
      </c>
      <c r="HR30" s="67">
        <f>IFERROR(VLOOKUP($B30,RD[#All],HR$2,0)/HR$1,"")</f>
        <v>1.1718098415346121</v>
      </c>
      <c r="HS30" s="67">
        <f>IFERROR(VLOOKUP($B30,RD[#All],HS$2,0)/HS$1,"")</f>
        <v>1.1685393258426966</v>
      </c>
      <c r="HT30" s="67">
        <f>IFERROR(VLOOKUP($B30,RD[#All],HT$2,0)/HT$1,"")</f>
        <v>1.1505617977528091</v>
      </c>
      <c r="HU30" s="67">
        <f>IFERROR(VLOOKUP($B30,RD[#All],HU$2,0)/HU$1,"")</f>
        <v>1.1588591184096801</v>
      </c>
      <c r="HV30" s="67">
        <f>IFERROR(VLOOKUP($B30,RD[#All],HV$2,0)/HV$1,"")</f>
        <v>1.1581676750216077</v>
      </c>
      <c r="HW30" s="67">
        <f>IFERROR(VLOOKUP($B30,RD[#All],HW$2,0)/HW$1,"")</f>
        <v>1.1947865168539327</v>
      </c>
      <c r="HX30" s="67">
        <f>IFERROR(VLOOKUP($B30,RD[#All],HX$2,0)/HX$1,"")</f>
        <v>1.1751080380293863</v>
      </c>
      <c r="HY30" s="67">
        <f>IFERROR(VLOOKUP($B30,RD[#All],HY$2,0)/HY$1,"")</f>
        <v>1.1515605493133583</v>
      </c>
      <c r="HZ30" s="67">
        <f>IFERROR(VLOOKUP($B30,RD[#All],HZ$2,0)/HZ$1,"")</f>
        <v>1.175530586766542</v>
      </c>
      <c r="IA30" s="67">
        <f>IFERROR(VLOOKUP($B30,RD[#All],IA$2,0)/IA$1,"")</f>
        <v>1.1600621600621603</v>
      </c>
      <c r="IB30" s="67">
        <f>IFERROR(VLOOKUP($B30,RD[#All],IB$2,0)/IB$1,"")</f>
        <v>1.1580086580086582</v>
      </c>
      <c r="IC30" s="67">
        <f>IFERROR(VLOOKUP($B30,RD[#All],IC$2,0)/IC$1,"")</f>
        <v>1.1693861693861696</v>
      </c>
      <c r="ID30" s="67">
        <f>IFERROR(VLOOKUP($B30,RD[#All],ID$2,0)/ID$1,"")</f>
        <v>1.1859334081556303</v>
      </c>
      <c r="IE30" s="67">
        <f>IFERROR(VLOOKUP($B30,RD[#All],IE$2,0)/IE$1,"")</f>
        <v>1.1676767676767676</v>
      </c>
      <c r="IF30" s="67" t="str">
        <f>IFERROR(VLOOKUP($B30,RD[#All],IF$2,0)/IF$1,"")</f>
        <v/>
      </c>
      <c r="IG30" s="67">
        <f>IFERROR(VLOOKUP($B30,RD[#All],IG$2,0)/IG$1,"")</f>
        <v>1.1746391168978205</v>
      </c>
      <c r="IH30" s="67">
        <f>IFERROR(VLOOKUP($B30,RD[#All],IH$2,0)/IH$1,"")</f>
        <v>1.1807732497387669</v>
      </c>
      <c r="II30" s="67">
        <f>IFERROR(VLOOKUP($B30,RD[#All],II$2,0)/II$1,"")</f>
        <v>1.1542288557213931</v>
      </c>
      <c r="IJ30" s="67">
        <f>IFERROR(VLOOKUP($B30,RD[#All],IJ$2,0)/IJ$1,"")</f>
        <v>1.1672278338945006</v>
      </c>
      <c r="IK30" s="67">
        <f>IFERROR(VLOOKUP($B30,RD[#All],IK$2,0)/IK$1,"")</f>
        <v>1.1926961926961928</v>
      </c>
      <c r="IL30" s="67" t="str">
        <f>IFERROR(VLOOKUP($B30,RD[#All],IL$2,0)/IL$1,"")</f>
        <v/>
      </c>
      <c r="IM30" s="67" t="str">
        <f>IFERROR(VLOOKUP($B30,RD[#All],IM$2,0)/IM$1,"")</f>
        <v/>
      </c>
      <c r="IN30" s="67">
        <f>IFERROR(VLOOKUP($B30,RD[#All],IN$2,0)/IN$1,"")</f>
        <v>1.2066875653082549</v>
      </c>
      <c r="IO30" s="67">
        <f>IFERROR(VLOOKUP($B30,RD[#All],IO$2,0)/IO$1,"")</f>
        <v>1.1794670846394986</v>
      </c>
      <c r="IP30" s="67">
        <f>IFERROR(VLOOKUP($B30,RD[#All],IP$2,0)/IP$1,"")</f>
        <v>1.2122528785574624</v>
      </c>
      <c r="IQ30" s="67">
        <f>IFERROR(VLOOKUP($B30,RD[#All],IQ$2,0)/IQ$1,"")</f>
        <v>1.1732711732711734</v>
      </c>
      <c r="IR30" s="67">
        <f>IFERROR(VLOOKUP($B30,RD[#All],IR$2,0)/IR$1,"")</f>
        <v>1.169983416252073</v>
      </c>
      <c r="IS30" s="86">
        <f>IFERROR(AVERAGEIF(Inv_SY_B[[#This Row],[BLK1_INV1]:[BLK8_INV27]],"&gt;"&amp;0.1,Inv_SY_B[[#This Row],[BLK1_INV1]:[BLK8_INV27]]),"")</f>
        <v>1.1755702993265216</v>
      </c>
    </row>
    <row r="31" spans="2:253" x14ac:dyDescent="0.25">
      <c r="B31" s="85">
        <f t="shared" si="0"/>
        <v>45857</v>
      </c>
      <c r="C31" s="67">
        <f>IFERROR(VLOOKUP($B31,RD[#All],C$2,0)/C$1,"")</f>
        <v>4.3249783923941223</v>
      </c>
      <c r="D31" s="67">
        <f>IFERROR(VLOOKUP($B31,RD[#All],D$2,0)/D$1,"")</f>
        <v>4.4114088159031981</v>
      </c>
      <c r="E31" s="67">
        <f>IFERROR(VLOOKUP($B31,RD[#All],E$2,0)/E$1,"")</f>
        <v>4.4194756554307117</v>
      </c>
      <c r="F31" s="67">
        <f>IFERROR(VLOOKUP($B31,RD[#All],F$2,0)/F$1,"")</f>
        <v>4.4007490636704123</v>
      </c>
      <c r="G31" s="67">
        <f>IFERROR(VLOOKUP($B31,RD[#All],G$2,0)/G$1,"")</f>
        <v>4.3802938634399311</v>
      </c>
      <c r="H31" s="67">
        <f>IFERROR(VLOOKUP($B31,RD[#All],H$2,0)/H$1,"")</f>
        <v>4.3857677902621726</v>
      </c>
      <c r="I31" s="67">
        <f>IFERROR(VLOOKUP($B31,RD[#All],I$2,0)/I$1,"")</f>
        <v>4.4119850187265914</v>
      </c>
      <c r="J31" s="67">
        <f>IFERROR(VLOOKUP($B31,RD[#All],J$2,0)/J$1,"")</f>
        <v>4.4269662921348312</v>
      </c>
      <c r="K31" s="67">
        <f>IFERROR(VLOOKUP($B31,RD[#All],K$2,0)/K$1,"")</f>
        <v>4.3182022471910111</v>
      </c>
      <c r="L31" s="67">
        <f>IFERROR(VLOOKUP($B31,RD[#All],L$2,0)/L$1,"")</f>
        <v>4.3577528089887636</v>
      </c>
      <c r="M31" s="67">
        <f>IFERROR(VLOOKUP($B31,RD[#All],M$2,0)/M$1,"")</f>
        <v>4.4269662921348312</v>
      </c>
      <c r="N31" s="67">
        <f>IFERROR(VLOOKUP($B31,RD[#All],N$2,0)/N$1,"")</f>
        <v>4.3782771535580522</v>
      </c>
      <c r="O31" s="67">
        <f>IFERROR(VLOOKUP($B31,RD[#All],O$2,0)/O$1,"")</f>
        <v>4.3782771535580522</v>
      </c>
      <c r="P31" s="67">
        <f>IFERROR(VLOOKUP($B31,RD[#All],P$2,0)/P$1,"")</f>
        <v>4.3758937691521957</v>
      </c>
      <c r="Q31" s="67">
        <f>IFERROR(VLOOKUP($B31,RD[#All],Q$2,0)/Q$1,"")</f>
        <v>4.3970037453183517</v>
      </c>
      <c r="R31" s="67">
        <f>IFERROR(VLOOKUP($B31,RD[#All],R$2,0)/R$1,"")</f>
        <v>4.4194756554307117</v>
      </c>
      <c r="S31" s="67">
        <f>IFERROR(VLOOKUP($B31,RD[#All],S$2,0)/S$1,"")</f>
        <v>4.393258426966292</v>
      </c>
      <c r="T31" s="67">
        <f>IFERROR(VLOOKUP($B31,RD[#All],T$2,0)/T$1,"")</f>
        <v>4.4344569288389515</v>
      </c>
      <c r="U31" s="67">
        <f>IFERROR(VLOOKUP($B31,RD[#All],U$2,0)/U$1,"")</f>
        <v>4.373379429559205</v>
      </c>
      <c r="V31" s="67">
        <f>IFERROR(VLOOKUP($B31,RD[#All],V$2,0)/V$1,"")</f>
        <v>4.3941227312013833</v>
      </c>
      <c r="W31" s="67">
        <f>IFERROR(VLOOKUP($B31,RD[#All],W$2,0)/W$1,"")</f>
        <v>4.3632958801498125</v>
      </c>
      <c r="X31" s="67">
        <f>IFERROR(VLOOKUP($B31,RD[#All],X$2,0)/X$1,"")</f>
        <v>4.3846441947565546</v>
      </c>
      <c r="Y31" s="67">
        <f>IFERROR(VLOOKUP($B31,RD[#All],Y$2,0)/Y$1,"")</f>
        <v>4.4079515989628346</v>
      </c>
      <c r="Z31" s="67">
        <f>IFERROR(VLOOKUP($B31,RD[#All],Z$2,0)/Z$1,"")</f>
        <v>4.3935081148564299</v>
      </c>
      <c r="AA31" s="67">
        <f>IFERROR(VLOOKUP($B31,RD[#All],AA$2,0)/AA$1,"")</f>
        <v>4.3872082973206572</v>
      </c>
      <c r="AB31" s="67">
        <f>IFERROR(VLOOKUP($B31,RD[#All],AB$2,0)/AB$1,"")</f>
        <v>4.3633535004321518</v>
      </c>
      <c r="AC31" s="67">
        <f>IFERROR(VLOOKUP($B31,RD[#All],AC$2,0)/AC$1,"")</f>
        <v>4.3526361279170267</v>
      </c>
      <c r="AD31" s="67">
        <f>IFERROR(VLOOKUP($B31,RD[#All],AD$2,0)/AD$1,"")</f>
        <v>4.3911776945484808</v>
      </c>
      <c r="AE31" s="67">
        <f>IFERROR(VLOOKUP($B31,RD[#All],AE$2,0)/AE$1,"")</f>
        <v>4.3672076570952978</v>
      </c>
      <c r="AF31" s="67">
        <f>IFERROR(VLOOKUP($B31,RD[#All],AF$2,0)/AF$1,"")</f>
        <v>4.3778610070744906</v>
      </c>
      <c r="AG31" s="67">
        <f>IFERROR(VLOOKUP($B31,RD[#All],AG$2,0)/AG$1,"")</f>
        <v>4.3299209321681227</v>
      </c>
      <c r="AH31" s="67">
        <f>IFERROR(VLOOKUP($B31,RD[#All],AH$2,0)/AH$1,"")</f>
        <v>4.3958385351643781</v>
      </c>
      <c r="AI31" s="67">
        <f>IFERROR(VLOOKUP($B31,RD[#All],AI$2,0)/AI$1,"")</f>
        <v>4.3278301886792452</v>
      </c>
      <c r="AJ31" s="67">
        <f>IFERROR(VLOOKUP($B31,RD[#All],AJ$2,0)/AJ$1,"")</f>
        <v>4.3371693319384246</v>
      </c>
      <c r="AK31" s="67">
        <f>IFERROR(VLOOKUP($B31,RD[#All],AK$2,0)/AK$1,"")</f>
        <v>4.3842696629213478</v>
      </c>
      <c r="AL31" s="67">
        <f>IFERROR(VLOOKUP($B31,RD[#All],AL$2,0)/AL$1,"")</f>
        <v>4.3191702910672465</v>
      </c>
      <c r="AM31" s="67">
        <f>IFERROR(VLOOKUP($B31,RD[#All],AM$2,0)/AM$1,"")</f>
        <v>4.3258426966292136</v>
      </c>
      <c r="AN31" s="67">
        <f>IFERROR(VLOOKUP($B31,RD[#All],AN$2,0)/AN$1,"")</f>
        <v>4.3595505617977528</v>
      </c>
      <c r="AO31" s="67">
        <f>IFERROR(VLOOKUP($B31,RD[#All],AO$2,0)/AO$1,"")</f>
        <v>4.3483146067415728</v>
      </c>
      <c r="AP31" s="67">
        <f>IFERROR(VLOOKUP($B31,RD[#All],AP$2,0)/AP$1,"")</f>
        <v>4.3295880149812733</v>
      </c>
      <c r="AQ31" s="67">
        <f>IFERROR(VLOOKUP($B31,RD[#All],AQ$2,0)/AQ$1,"")</f>
        <v>4.3408239700374533</v>
      </c>
      <c r="AR31" s="67">
        <f>IFERROR(VLOOKUP($B31,RD[#All],AR$2,0)/AR$1,"")</f>
        <v>4.3558052434456931</v>
      </c>
      <c r="AS31" s="67">
        <f>IFERROR(VLOOKUP($B31,RD[#All],AS$2,0)/AS$1,"")</f>
        <v>4.3438202247191011</v>
      </c>
      <c r="AT31" s="67">
        <f>IFERROR(VLOOKUP($B31,RD[#All],AT$2,0)/AT$1,"")</f>
        <v>4.3558052434456931</v>
      </c>
      <c r="AU31" s="67">
        <f>IFERROR(VLOOKUP($B31,RD[#All],AU$2,0)/AU$1,"")</f>
        <v>4.3970037453183517</v>
      </c>
      <c r="AV31" s="67">
        <f>IFERROR(VLOOKUP($B31,RD[#All],AV$2,0)/AV$1,"")</f>
        <v>4.3782771535580522</v>
      </c>
      <c r="AW31" s="67">
        <f>IFERROR(VLOOKUP($B31,RD[#All],AW$2,0)/AW$1,"")</f>
        <v>4.363699222126189</v>
      </c>
      <c r="AX31" s="67">
        <f>IFERROR(VLOOKUP($B31,RD[#All],AX$2,0)/AX$1,"")</f>
        <v>4.3408239700374533</v>
      </c>
      <c r="AY31" s="67">
        <f>IFERROR(VLOOKUP($B31,RD[#All],AY$2,0)/AY$1,"")</f>
        <v>4.3577528089887636</v>
      </c>
      <c r="AZ31" s="67">
        <f>IFERROR(VLOOKUP($B31,RD[#All],AZ$2,0)/AZ$1,"")</f>
        <v>4.3469662921348311</v>
      </c>
      <c r="BA31" s="67">
        <f>IFERROR(VLOOKUP($B31,RD[#All],BA$2,0)/BA$1,"")</f>
        <v>4.3576779026217229</v>
      </c>
      <c r="BB31" s="67">
        <f>IFERROR(VLOOKUP($B31,RD[#All],BB$2,0)/BB$1,"")</f>
        <v>4.3782771535580522</v>
      </c>
      <c r="BC31" s="67">
        <f>IFERROR(VLOOKUP($B31,RD[#All],BC$2,0)/BC$1,"")</f>
        <v>4.3978360382854769</v>
      </c>
      <c r="BD31" s="67">
        <f>IFERROR(VLOOKUP($B31,RD[#All],BD$2,0)/BD$1,"")</f>
        <v>4.3825218476903869</v>
      </c>
      <c r="BE31" s="67">
        <f>IFERROR(VLOOKUP($B31,RD[#All],BE$2,0)/BE$1,"")</f>
        <v>4.3699222126188415</v>
      </c>
      <c r="BF31" s="67">
        <f>IFERROR(VLOOKUP($B31,RD[#All],BF$2,0)/BF$1,"")</f>
        <v>4.3905118601747812</v>
      </c>
      <c r="BG31" s="67">
        <f>IFERROR(VLOOKUP($B31,RD[#All],BG$2,0)/BG$1,"")</f>
        <v>4.4144818976279652</v>
      </c>
      <c r="BH31" s="67">
        <f>IFERROR(VLOOKUP($B31,RD[#All],BH$2,0)/BH$1,"")</f>
        <v>4.3295880149812733</v>
      </c>
      <c r="BI31" s="67">
        <f>IFERROR(VLOOKUP($B31,RD[#All],BI$2,0)/BI$1,"")</f>
        <v>4.3745318352059925</v>
      </c>
      <c r="BJ31" s="67">
        <f>IFERROR(VLOOKUP($B31,RD[#All],BJ$2,0)/BJ$1,"")</f>
        <v>4.4264669163545562</v>
      </c>
      <c r="BK31" s="67">
        <f>IFERROR(VLOOKUP($B31,RD[#All],BK$2,0)/BK$1,"")</f>
        <v>4.3898876404494382</v>
      </c>
      <c r="BL31" s="67">
        <f>IFERROR(VLOOKUP($B31,RD[#All],BL$2,0)/BL$1,"")</f>
        <v>4.4228839076614257</v>
      </c>
      <c r="BM31" s="67">
        <f>IFERROR(VLOOKUP($B31,RD[#All],BM$2,0)/BM$1,"")</f>
        <v>4.3595505617977528</v>
      </c>
      <c r="BN31" s="67">
        <f>IFERROR(VLOOKUP($B31,RD[#All],BN$2,0)/BN$1,"")</f>
        <v>4.3928944618599788</v>
      </c>
      <c r="BO31" s="67">
        <f>IFERROR(VLOOKUP($B31,RD[#All],BO$2,0)/BO$1,"")</f>
        <v>4.4598098530682799</v>
      </c>
      <c r="BP31" s="67">
        <f>IFERROR(VLOOKUP($B31,RD[#All],BP$2,0)/BP$1,"")</f>
        <v>4.4909248055315469</v>
      </c>
      <c r="BQ31" s="67">
        <f>IFERROR(VLOOKUP($B31,RD[#All],BQ$2,0)/BQ$1,"")</f>
        <v>4.5082108902333617</v>
      </c>
      <c r="BR31" s="67">
        <f>IFERROR(VLOOKUP($B31,RD[#All],BR$2,0)/BR$1,"")</f>
        <v>4.5292999135695764</v>
      </c>
      <c r="BS31" s="67">
        <f>IFERROR(VLOOKUP($B31,RD[#All],BS$2,0)/BS$1,"")</f>
        <v>4.3707865168539328</v>
      </c>
      <c r="BT31" s="67">
        <f>IFERROR(VLOOKUP($B31,RD[#All],BT$2,0)/BT$1,"")</f>
        <v>4.3970037453183517</v>
      </c>
      <c r="BU31" s="67">
        <f>IFERROR(VLOOKUP($B31,RD[#All],BU$2,0)/BU$1,"")</f>
        <v>4.3782771535580522</v>
      </c>
      <c r="BV31" s="67">
        <f>IFERROR(VLOOKUP($B31,RD[#All],BV$2,0)/BV$1,"")</f>
        <v>4.404494382022472</v>
      </c>
      <c r="BW31" s="67">
        <f>IFERROR(VLOOKUP($B31,RD[#All],BW$2,0)/BW$1,"")</f>
        <v>4.4232209737827715</v>
      </c>
      <c r="BX31" s="67">
        <f>IFERROR(VLOOKUP($B31,RD[#All],BX$2,0)/BX$1,"")</f>
        <v>4.0337078651685392</v>
      </c>
      <c r="BY31" s="67">
        <f>IFERROR(VLOOKUP($B31,RD[#All],BY$2,0)/BY$1,"")</f>
        <v>4.40782355389097</v>
      </c>
      <c r="BZ31" s="67">
        <f>IFERROR(VLOOKUP($B31,RD[#All],BZ$2,0)/BZ$1,"")</f>
        <v>4.4377861007074486</v>
      </c>
      <c r="CA31" s="67">
        <f>IFERROR(VLOOKUP($B31,RD[#All],CA$2,0)/CA$1,"")</f>
        <v>4.4244694132334583</v>
      </c>
      <c r="CB31" s="67">
        <f>IFERROR(VLOOKUP($B31,RD[#All],CB$2,0)/CB$1,"")</f>
        <v>4.4569288389513106</v>
      </c>
      <c r="CC31" s="67">
        <f>IFERROR(VLOOKUP($B31,RD[#All],CC$2,0)/CC$1,"")</f>
        <v>4.4232209737827715</v>
      </c>
      <c r="CD31" s="67">
        <f>IFERROR(VLOOKUP($B31,RD[#All],CD$2,0)/CD$1,"")</f>
        <v>4.5012964563526365</v>
      </c>
      <c r="CE31" s="67">
        <f>IFERROR(VLOOKUP($B31,RD[#All],CE$2,0)/CE$1,"")</f>
        <v>4.4569288389513106</v>
      </c>
      <c r="CF31" s="67">
        <f>IFERROR(VLOOKUP($B31,RD[#All],CF$2,0)/CF$1,"")</f>
        <v>4.4943820224719104</v>
      </c>
      <c r="CG31" s="67">
        <f>IFERROR(VLOOKUP($B31,RD[#All],CG$2,0)/CG$1,"")</f>
        <v>4.4569288389513106</v>
      </c>
      <c r="CH31" s="67">
        <f>IFERROR(VLOOKUP($B31,RD[#All],CH$2,0)/CH$1,"")</f>
        <v>4.4344569288389515</v>
      </c>
      <c r="CI31" s="67">
        <f>IFERROR(VLOOKUP($B31,RD[#All],CI$2,0)/CI$1,"")</f>
        <v>4.4232209737827715</v>
      </c>
      <c r="CJ31" s="67">
        <f>IFERROR(VLOOKUP($B31,RD[#All],CJ$2,0)/CJ$1,"")</f>
        <v>4.3895131086142323</v>
      </c>
      <c r="CK31" s="67">
        <f>IFERROR(VLOOKUP($B31,RD[#All],CK$2,0)/CK$1,"")</f>
        <v>4.0823970037453181</v>
      </c>
      <c r="CL31" s="67">
        <f>IFERROR(VLOOKUP($B31,RD[#All],CL$2,0)/CL$1,"")</f>
        <v>4.3970037453183517</v>
      </c>
      <c r="CM31" s="67">
        <f>IFERROR(VLOOKUP($B31,RD[#All],CM$2,0)/CM$1,"")</f>
        <v>4.4307116104868918</v>
      </c>
      <c r="CN31" s="67">
        <f>IFERROR(VLOOKUP($B31,RD[#All],CN$2,0)/CN$1,"")</f>
        <v>4.4531835205992509</v>
      </c>
      <c r="CO31" s="67">
        <f>IFERROR(VLOOKUP($B31,RD[#All],CO$2,0)/CO$1,"")</f>
        <v>4.411685393258427</v>
      </c>
      <c r="CP31" s="67">
        <f>IFERROR(VLOOKUP($B31,RD[#All],CP$2,0)/CP$1,"")</f>
        <v>4.5427830596369922</v>
      </c>
      <c r="CQ31" s="67">
        <f>IFERROR(VLOOKUP($B31,RD[#All],CQ$2,0)/CQ$1,"")</f>
        <v>4.404494382022472</v>
      </c>
      <c r="CR31" s="67">
        <f>IFERROR(VLOOKUP($B31,RD[#All],CR$2,0)/CR$1,"")</f>
        <v>4.4456928838951315</v>
      </c>
      <c r="CS31" s="67">
        <f>IFERROR(VLOOKUP($B31,RD[#All],CS$2,0)/CS$1,"")</f>
        <v>4.4464419475655426</v>
      </c>
      <c r="CT31" s="67">
        <f>IFERROR(VLOOKUP($B31,RD[#All],CT$2,0)/CT$1,"")</f>
        <v>4.3745318352059925</v>
      </c>
      <c r="CU31" s="67">
        <f>IFERROR(VLOOKUP($B31,RD[#All],CU$2,0)/CU$1,"")</f>
        <v>4.3865168539325845</v>
      </c>
      <c r="CV31" s="67">
        <f>IFERROR(VLOOKUP($B31,RD[#All],CV$2,0)/CV$1,"")</f>
        <v>4.429213483146067</v>
      </c>
      <c r="CW31" s="67">
        <f>IFERROR(VLOOKUP($B31,RD[#All],CW$2,0)/CW$1,"")</f>
        <v>4.3617977528089886</v>
      </c>
      <c r="CX31" s="67">
        <f>IFERROR(VLOOKUP($B31,RD[#All],CX$2,0)/CX$1,"")</f>
        <v>4.3913857677902621</v>
      </c>
      <c r="CY31" s="67">
        <f>IFERROR(VLOOKUP($B31,RD[#All],CY$2,0)/CY$1,"")</f>
        <v>4.440823970037453</v>
      </c>
      <c r="CZ31" s="67">
        <f>IFERROR(VLOOKUP($B31,RD[#All],CZ$2,0)/CZ$1,"")</f>
        <v>4.3808988764044949</v>
      </c>
      <c r="DA31" s="67">
        <f>IFERROR(VLOOKUP($B31,RD[#All],DA$2,0)/DA$1,"")</f>
        <v>4.3696629213483149</v>
      </c>
      <c r="DB31" s="67">
        <f>IFERROR(VLOOKUP($B31,RD[#All],DB$2,0)/DB$1,"")</f>
        <v>4.3951310861423218</v>
      </c>
      <c r="DC31" s="67">
        <f>IFERROR(VLOOKUP($B31,RD[#All],DC$2,0)/DC$1,"")</f>
        <v>4.3225967540574288</v>
      </c>
      <c r="DD31" s="67">
        <f>IFERROR(VLOOKUP($B31,RD[#All],DD$2,0)/DD$1,"")</f>
        <v>4.3670411985018722</v>
      </c>
      <c r="DE31" s="67">
        <f>IFERROR(VLOOKUP($B31,RD[#All],DE$2,0)/DE$1,"")</f>
        <v>4.3312526009155219</v>
      </c>
      <c r="DF31" s="67">
        <f>IFERROR(VLOOKUP($B31,RD[#All],DF$2,0)/DF$1,"")</f>
        <v>4.3526262964202074</v>
      </c>
      <c r="DG31" s="67">
        <f>IFERROR(VLOOKUP($B31,RD[#All],DG$2,0)/DG$1,"")</f>
        <v>4.463295880149813</v>
      </c>
      <c r="DH31" s="67">
        <f>IFERROR(VLOOKUP($B31,RD[#All],DH$2,0)/DH$1,"")</f>
        <v>4.4301290054099045</v>
      </c>
      <c r="DI31" s="67">
        <f>IFERROR(VLOOKUP($B31,RD[#All],DI$2,0)/DI$1,"")</f>
        <v>4.3201382886776143</v>
      </c>
      <c r="DJ31" s="67">
        <f>IFERROR(VLOOKUP($B31,RD[#All],DJ$2,0)/DJ$1,"")</f>
        <v>4.4193604148660324</v>
      </c>
      <c r="DK31" s="67">
        <f>IFERROR(VLOOKUP($B31,RD[#All],DK$2,0)/DK$1,"")</f>
        <v>4.3955056179775278</v>
      </c>
      <c r="DL31" s="67">
        <f>IFERROR(VLOOKUP($B31,RD[#All],DL$2,0)/DL$1,"")</f>
        <v>4.3508947149396588</v>
      </c>
      <c r="DM31" s="67">
        <f>IFERROR(VLOOKUP($B31,RD[#All],DM$2,0)/DM$1,"")</f>
        <v>4.500374531835206</v>
      </c>
      <c r="DN31" s="67">
        <f>IFERROR(VLOOKUP($B31,RD[#All],DN$2,0)/DN$1,"")</f>
        <v>4.4722846441947564</v>
      </c>
      <c r="DO31" s="67">
        <f>IFERROR(VLOOKUP($B31,RD[#All],DO$2,0)/DO$1,"")</f>
        <v>4.3526262964202074</v>
      </c>
      <c r="DP31" s="67">
        <f>IFERROR(VLOOKUP($B31,RD[#All],DP$2,0)/DP$1,"")</f>
        <v>3.9960049937578024</v>
      </c>
      <c r="DQ31" s="67">
        <f>IFERROR(VLOOKUP($B31,RD[#All],DQ$2,0)/DQ$1,"")</f>
        <v>4.3039533915938408</v>
      </c>
      <c r="DR31" s="67">
        <f>IFERROR(VLOOKUP($B31,RD[#All],DR$2,0)/DR$1,"")</f>
        <v>4.5101123595505621</v>
      </c>
      <c r="DS31" s="67">
        <f>IFERROR(VLOOKUP($B31,RD[#All],DS$2,0)/DS$1,"")</f>
        <v>4.4850187265917603</v>
      </c>
      <c r="DT31" s="67">
        <f>IFERROR(VLOOKUP($B31,RD[#All],DT$2,0)/DT$1,"")</f>
        <v>4.3212650853100287</v>
      </c>
      <c r="DU31" s="67">
        <f>IFERROR(VLOOKUP($B31,RD[#All],DU$2,0)/DU$1,"")</f>
        <v>4.3345817727840199</v>
      </c>
      <c r="DV31" s="67">
        <f>IFERROR(VLOOKUP($B31,RD[#All],DV$2,0)/DV$1,"")</f>
        <v>4.3483146067415728</v>
      </c>
      <c r="DW31" s="67">
        <f>IFERROR(VLOOKUP($B31,RD[#All],DW$2,0)/DW$1,"")</f>
        <v>4.3516853932584274</v>
      </c>
      <c r="DX31" s="67">
        <f>IFERROR(VLOOKUP($B31,RD[#All],DX$2,0)/DX$1,"")</f>
        <v>4.3741989180191432</v>
      </c>
      <c r="DY31" s="67">
        <f>IFERROR(VLOOKUP($B31,RD[#All],DY$2,0)/DY$1,"")</f>
        <v>4.3707865168539328</v>
      </c>
      <c r="DZ31" s="67">
        <f>IFERROR(VLOOKUP($B31,RD[#All],DZ$2,0)/DZ$1,"")</f>
        <v>4.3445692883895131</v>
      </c>
      <c r="EA31" s="67">
        <f>IFERROR(VLOOKUP($B31,RD[#All],EA$2,0)/EA$1,"")</f>
        <v>4.4134831460674162</v>
      </c>
      <c r="EB31" s="67">
        <f>IFERROR(VLOOKUP($B31,RD[#All],EB$2,0)/EB$1,"")</f>
        <v>4.3602163961714524</v>
      </c>
      <c r="EC31" s="67">
        <f>IFERROR(VLOOKUP($B31,RD[#All],EC$2,0)/EC$1,"")</f>
        <v>4.3343128781331028</v>
      </c>
      <c r="ED31" s="67">
        <f>IFERROR(VLOOKUP($B31,RD[#All],ED$2,0)/ED$1,"")</f>
        <v>4.4376836646499562</v>
      </c>
      <c r="EE31" s="67">
        <f>IFERROR(VLOOKUP($B31,RD[#All],EE$2,0)/EE$1,"")</f>
        <v>4.4598098530682799</v>
      </c>
      <c r="EF31" s="67">
        <f>IFERROR(VLOOKUP($B31,RD[#All],EF$2,0)/EF$1,"")</f>
        <v>4.4984678243105209</v>
      </c>
      <c r="EG31" s="67">
        <f>IFERROR(VLOOKUP($B31,RD[#All],EG$2,0)/EG$1,"")</f>
        <v>4.5104895104895109</v>
      </c>
      <c r="EH31" s="67">
        <f>IFERROR(VLOOKUP($B31,RD[#All],EH$2,0)/EH$1,"")</f>
        <v>4.4094405594405588</v>
      </c>
      <c r="EI31" s="67">
        <f>IFERROR(VLOOKUP($B31,RD[#All],EI$2,0)/EI$1,"")</f>
        <v>4.302097902097902</v>
      </c>
      <c r="EJ31" s="67">
        <f>IFERROR(VLOOKUP($B31,RD[#All],EJ$2,0)/EJ$1,"")</f>
        <v>4.4755244755244759</v>
      </c>
      <c r="EK31" s="67">
        <f>IFERROR(VLOOKUP($B31,RD[#All],EK$2,0)/EK$1,"")</f>
        <v>4.5447191011235955</v>
      </c>
      <c r="EL31" s="67">
        <f>IFERROR(VLOOKUP($B31,RD[#All],EL$2,0)/EL$1,"")</f>
        <v>4.4569288389513106</v>
      </c>
      <c r="EM31" s="67">
        <f>IFERROR(VLOOKUP($B31,RD[#All],EM$2,0)/EM$1,"")</f>
        <v>4.4203975799481414</v>
      </c>
      <c r="EN31" s="67">
        <f>IFERROR(VLOOKUP($B31,RD[#All],EN$2,0)/EN$1,"")</f>
        <v>4.3526361279170267</v>
      </c>
      <c r="EO31" s="67">
        <f>IFERROR(VLOOKUP($B31,RD[#All],EO$2,0)/EO$1,"")</f>
        <v>4.3707865168539328</v>
      </c>
      <c r="EP31" s="67">
        <f>IFERROR(VLOOKUP($B31,RD[#All],EP$2,0)/EP$1,"")</f>
        <v>4.4632670700086434</v>
      </c>
      <c r="EQ31" s="67">
        <f>IFERROR(VLOOKUP($B31,RD[#All],EQ$2,0)/EQ$1,"")</f>
        <v>4.3303370786516853</v>
      </c>
      <c r="ER31" s="67">
        <f>IFERROR(VLOOKUP($B31,RD[#All],ER$2,0)/ER$1,"")</f>
        <v>4.4539325842696629</v>
      </c>
      <c r="ES31" s="67">
        <f>IFERROR(VLOOKUP($B31,RD[#All],ES$2,0)/ES$1,"")</f>
        <v>4.3782771535580522</v>
      </c>
      <c r="ET31" s="67">
        <f>IFERROR(VLOOKUP($B31,RD[#All],ET$2,0)/ET$1,"")</f>
        <v>4.4535240040858017</v>
      </c>
      <c r="EU31" s="67">
        <f>IFERROR(VLOOKUP($B31,RD[#All],EU$2,0)/EU$1,"")</f>
        <v>4.4439066551426105</v>
      </c>
      <c r="EV31" s="67">
        <f>IFERROR(VLOOKUP($B31,RD[#All],EV$2,0)/EV$1,"")</f>
        <v>4.3802938634399311</v>
      </c>
      <c r="EW31" s="67">
        <f>IFERROR(VLOOKUP($B31,RD[#All],EW$2,0)/EW$1,"")</f>
        <v>4.4010371650821085</v>
      </c>
      <c r="EX31" s="67">
        <f>IFERROR(VLOOKUP($B31,RD[#All],EX$2,0)/EX$1,"")</f>
        <v>4.4569288389513106</v>
      </c>
      <c r="EY31" s="67">
        <f>IFERROR(VLOOKUP($B31,RD[#All],EY$2,0)/EY$1,"")</f>
        <v>4.3269246774864758</v>
      </c>
      <c r="EZ31" s="67">
        <f>IFERROR(VLOOKUP($B31,RD[#All],EZ$2,0)/EZ$1,"")</f>
        <v>4.3782771535580522</v>
      </c>
      <c r="FA31" s="67">
        <f>IFERROR(VLOOKUP($B31,RD[#All],FA$2,0)/FA$1,"")</f>
        <v>4.3992509363295875</v>
      </c>
      <c r="FB31" s="67">
        <f>IFERROR(VLOOKUP($B31,RD[#All],FB$2,0)/FB$1,"")</f>
        <v>4.3745318352059925</v>
      </c>
      <c r="FC31" s="67">
        <f>IFERROR(VLOOKUP($B31,RD[#All],FC$2,0)/FC$1,"")</f>
        <v>4.393258426966292</v>
      </c>
      <c r="FD31" s="67">
        <f>IFERROR(VLOOKUP($B31,RD[#All],FD$2,0)/FD$1,"")</f>
        <v>4.3782771535580522</v>
      </c>
      <c r="FE31" s="67">
        <f>IFERROR(VLOOKUP($B31,RD[#All],FE$2,0)/FE$1,"")</f>
        <v>4.458333333333333</v>
      </c>
      <c r="FF31" s="67">
        <f>IFERROR(VLOOKUP($B31,RD[#All],FF$2,0)/FF$1,"")</f>
        <v>4.4401515151515154</v>
      </c>
      <c r="FG31" s="67">
        <f>IFERROR(VLOOKUP($B31,RD[#All],FG$2,0)/FG$1,"")</f>
        <v>4.4195286195286192</v>
      </c>
      <c r="FH31" s="67">
        <f>IFERROR(VLOOKUP($B31,RD[#All],FH$2,0)/FH$1,"")</f>
        <v>4.4492424242424242</v>
      </c>
      <c r="FI31" s="67">
        <f>IFERROR(VLOOKUP($B31,RD[#All],FI$2,0)/FI$1,"")</f>
        <v>4.2996632996632993</v>
      </c>
      <c r="FJ31" s="67">
        <f>IFERROR(VLOOKUP($B31,RD[#All],FJ$2,0)/FJ$1,"")</f>
        <v>4.3888888888888893</v>
      </c>
      <c r="FK31" s="67">
        <f>IFERROR(VLOOKUP($B31,RD[#All],FK$2,0)/FK$1,"")</f>
        <v>4.4545454545454541</v>
      </c>
      <c r="FL31" s="67">
        <f>IFERROR(VLOOKUP($B31,RD[#All],FL$2,0)/FL$1,"")</f>
        <v>4.4072727272727272</v>
      </c>
      <c r="FM31" s="67">
        <f>IFERROR(VLOOKUP($B31,RD[#All],FM$2,0)/FM$1,"")</f>
        <v>4.3208333333333337</v>
      </c>
      <c r="FN31" s="67">
        <f>IFERROR(VLOOKUP($B31,RD[#All],FN$2,0)/FN$1,"")</f>
        <v>4.3164983164983166</v>
      </c>
      <c r="FO31" s="67">
        <f>IFERROR(VLOOKUP($B31,RD[#All],FO$2,0)/FO$1,"")</f>
        <v>4.416666666666667</v>
      </c>
      <c r="FP31" s="67">
        <f>IFERROR(VLOOKUP($B31,RD[#All],FP$2,0)/FP$1,"")</f>
        <v>4.3018181818181818</v>
      </c>
      <c r="FQ31" s="67">
        <f>IFERROR(VLOOKUP($B31,RD[#All],FQ$2,0)/FQ$1,"")</f>
        <v>4.3963636363636365</v>
      </c>
      <c r="FR31" s="67">
        <f>IFERROR(VLOOKUP($B31,RD[#All],FR$2,0)/FR$1,"")</f>
        <v>4.4545454545454541</v>
      </c>
      <c r="FS31" s="67">
        <f>IFERROR(VLOOKUP($B31,RD[#All],FS$2,0)/FS$1,"")</f>
        <v>4.3164983164983166</v>
      </c>
      <c r="FT31" s="67">
        <f>IFERROR(VLOOKUP($B31,RD[#All],FT$2,0)/FT$1,"")</f>
        <v>4.330909090909091</v>
      </c>
      <c r="FU31" s="67">
        <f>IFERROR(VLOOKUP($B31,RD[#All],FU$2,0)/FU$1,"")</f>
        <v>4.3804713804713806</v>
      </c>
      <c r="FV31" s="67">
        <f>IFERROR(VLOOKUP($B31,RD[#All],FV$2,0)/FV$1,"")</f>
        <v>4.396590909090909</v>
      </c>
      <c r="FW31" s="67">
        <f>IFERROR(VLOOKUP($B31,RD[#All],FW$2,0)/FW$1,"")</f>
        <v>4.2954545454545459</v>
      </c>
      <c r="FX31" s="67">
        <f>IFERROR(VLOOKUP($B31,RD[#All],FX$2,0)/FX$1,"")</f>
        <v>4.333333333333333</v>
      </c>
      <c r="FY31" s="67">
        <f>IFERROR(VLOOKUP($B31,RD[#All],FY$2,0)/FY$1,"")</f>
        <v>4.2659932659932656</v>
      </c>
      <c r="FZ31" s="67">
        <f>IFERROR(VLOOKUP($B31,RD[#All],FZ$2,0)/FZ$1,"")</f>
        <v>4.2954545454545459</v>
      </c>
      <c r="GA31" s="67">
        <f>IFERROR(VLOOKUP($B31,RD[#All],GA$2,0)/GA$1,"")</f>
        <v>4.2692307692307692</v>
      </c>
      <c r="GB31" s="67">
        <f>IFERROR(VLOOKUP($B31,RD[#All],GB$2,0)/GB$1,"")</f>
        <v>4.2592592592592595</v>
      </c>
      <c r="GC31" s="67">
        <f>IFERROR(VLOOKUP($B31,RD[#All],GC$2,0)/GC$1,"")</f>
        <v>4.2727272727272725</v>
      </c>
      <c r="GD31" s="67">
        <f>IFERROR(VLOOKUP($B31,RD[#All],GD$2,0)/GD$1,"")</f>
        <v>4.4403636363636361</v>
      </c>
      <c r="GE31" s="67">
        <f>IFERROR(VLOOKUP($B31,RD[#All],GE$2,0)/GE$1,"")</f>
        <v>4.3381118881118885</v>
      </c>
      <c r="GF31" s="67">
        <f>IFERROR(VLOOKUP($B31,RD[#All],GF$2,0)/GF$1,"")</f>
        <v>4.2996632996632993</v>
      </c>
      <c r="GG31" s="67">
        <f>IFERROR(VLOOKUP($B31,RD[#All],GG$2,0)/GG$1,"")</f>
        <v>4.3661818181818184</v>
      </c>
      <c r="GH31" s="67">
        <f>IFERROR(VLOOKUP($B31,RD[#All],GH$2,0)/GH$1,"")</f>
        <v>4.3236363636363633</v>
      </c>
      <c r="GI31" s="67">
        <f>IFERROR(VLOOKUP($B31,RD[#All],GI$2,0)/GI$1,"")</f>
        <v>4.3996363636363638</v>
      </c>
      <c r="GJ31" s="67">
        <f>IFERROR(VLOOKUP($B31,RD[#All],GJ$2,0)/GJ$1,"")</f>
        <v>4.3111888111888108</v>
      </c>
      <c r="GK31" s="67">
        <f>IFERROR(VLOOKUP($B31,RD[#All],GK$2,0)/GK$1,"")</f>
        <v>4.3787878787878789</v>
      </c>
      <c r="GL31" s="67">
        <f>IFERROR(VLOOKUP($B31,RD[#All],GL$2,0)/GL$1,"")</f>
        <v>4.4060606060606062</v>
      </c>
      <c r="GM31" s="67">
        <f>IFERROR(VLOOKUP($B31,RD[#All],GM$2,0)/GM$1,"")</f>
        <v>4.3920454545454541</v>
      </c>
      <c r="GN31" s="67">
        <f>IFERROR(VLOOKUP($B31,RD[#All],GN$2,0)/GN$1,"")</f>
        <v>4.4363636363636365</v>
      </c>
      <c r="GO31" s="67">
        <f>IFERROR(VLOOKUP($B31,RD[#All],GO$2,0)/GO$1,"")</f>
        <v>4.4018939393939389</v>
      </c>
      <c r="GP31" s="67">
        <f>IFERROR(VLOOKUP($B31,RD[#All],GP$2,0)/GP$1,"")</f>
        <v>4.3670454545454547</v>
      </c>
      <c r="GQ31" s="67">
        <f>IFERROR(VLOOKUP($B31,RD[#All],GQ$2,0)/GQ$1,"")</f>
        <v>4.4095454545454542</v>
      </c>
      <c r="GR31" s="67">
        <f>IFERROR(VLOOKUP($B31,RD[#All],GR$2,0)/GR$1,"")</f>
        <v>4.3522727272727275</v>
      </c>
      <c r="GS31" s="67" t="str">
        <f>IFERROR(VLOOKUP($B31,RD[#All],GS$2,0)/GS$1,"")</f>
        <v/>
      </c>
      <c r="GT31" s="67" t="str">
        <f>IFERROR(VLOOKUP($B31,RD[#All],GT$2,0)/GT$1,"")</f>
        <v/>
      </c>
      <c r="GU31" s="67">
        <f>IFERROR(VLOOKUP($B31,RD[#All],GU$2,0)/GU$1,"")</f>
        <v>4.6174142480211078</v>
      </c>
      <c r="GV31" s="67">
        <f>IFERROR(VLOOKUP($B31,RD[#All],GV$2,0)/GV$1,"")</f>
        <v>4.4181770422905178</v>
      </c>
      <c r="GW31" s="67">
        <f>IFERROR(VLOOKUP($B31,RD[#All],GW$2,0)/GW$1,"")</f>
        <v>4.3458980044345896</v>
      </c>
      <c r="GX31" s="67" t="str">
        <f>IFERROR(VLOOKUP($B31,RD[#All],GX$2,0)/GX$1,"")</f>
        <v/>
      </c>
      <c r="GY31" s="67">
        <f>IFERROR(VLOOKUP($B31,RD[#All],GY$2,0)/GY$1,"")</f>
        <v>4.1148325358851672</v>
      </c>
      <c r="GZ31" s="67">
        <f>IFERROR(VLOOKUP($B31,RD[#All],GZ$2,0)/GZ$1,"")</f>
        <v>4.3408239700374533</v>
      </c>
      <c r="HA31" s="67">
        <f>IFERROR(VLOOKUP($B31,RD[#All],HA$2,0)/HA$1,"")</f>
        <v>4.3857677902621726</v>
      </c>
      <c r="HB31" s="67">
        <f>IFERROR(VLOOKUP($B31,RD[#All],HB$2,0)/HB$1,"")</f>
        <v>4.404494382022472</v>
      </c>
      <c r="HC31" s="67">
        <f>IFERROR(VLOOKUP($B31,RD[#All],HC$2,0)/HC$1,"")</f>
        <v>4.3745318352059925</v>
      </c>
      <c r="HD31" s="67">
        <f>IFERROR(VLOOKUP($B31,RD[#All],HD$2,0)/HD$1,"")</f>
        <v>4.4239700374531834</v>
      </c>
      <c r="HE31" s="67">
        <f>IFERROR(VLOOKUP($B31,RD[#All],HE$2,0)/HE$1,"")</f>
        <v>4.3970037453183517</v>
      </c>
      <c r="HF31" s="67">
        <f>IFERROR(VLOOKUP($B31,RD[#All],HF$2,0)/HF$1,"")</f>
        <v>4.382022471910112</v>
      </c>
      <c r="HG31" s="67">
        <f>IFERROR(VLOOKUP($B31,RD[#All],HG$2,0)/HG$1,"")</f>
        <v>4.4232209737827715</v>
      </c>
      <c r="HH31" s="67">
        <f>IFERROR(VLOOKUP($B31,RD[#All],HH$2,0)/HH$1,"")</f>
        <v>4.3513108614232205</v>
      </c>
      <c r="HI31" s="67">
        <f>IFERROR(VLOOKUP($B31,RD[#All],HI$2,0)/HI$1,"")</f>
        <v>4.3861423220973776</v>
      </c>
      <c r="HJ31" s="67">
        <f>IFERROR(VLOOKUP($B31,RD[#All],HJ$2,0)/HJ$1,"")</f>
        <v>4.4202247191011237</v>
      </c>
      <c r="HK31" s="67">
        <f>IFERROR(VLOOKUP($B31,RD[#All],HK$2,0)/HK$1,"")</f>
        <v>4.3981689554723262</v>
      </c>
      <c r="HL31" s="67">
        <f>IFERROR(VLOOKUP($B31,RD[#All],HL$2,0)/HL$1,"")</f>
        <v>4.4244694132334583</v>
      </c>
      <c r="HM31" s="67">
        <f>IFERROR(VLOOKUP($B31,RD[#All],HM$2,0)/HM$1,"")</f>
        <v>4.4782803403493059</v>
      </c>
      <c r="HN31" s="67">
        <f>IFERROR(VLOOKUP($B31,RD[#All],HN$2,0)/HN$1,"")</f>
        <v>4.5723242274966411</v>
      </c>
      <c r="HO31" s="67">
        <f>IFERROR(VLOOKUP($B31,RD[#All],HO$2,0)/HO$1,"")</f>
        <v>4.545454545454545</v>
      </c>
      <c r="HP31" s="67">
        <f>IFERROR(VLOOKUP($B31,RD[#All],HP$2,0)/HP$1,"")</f>
        <v>4.5391849529780561</v>
      </c>
      <c r="HQ31" s="67">
        <f>IFERROR(VLOOKUP($B31,RD[#All],HQ$2,0)/HQ$1,"")</f>
        <v>4.3771043771043772</v>
      </c>
      <c r="HR31" s="67">
        <f>IFERROR(VLOOKUP($B31,RD[#All],HR$2,0)/HR$1,"")</f>
        <v>4.3035863219349455</v>
      </c>
      <c r="HS31" s="67">
        <f>IFERROR(VLOOKUP($B31,RD[#All],HS$2,0)/HS$1,"")</f>
        <v>4.4008988764044945</v>
      </c>
      <c r="HT31" s="67">
        <f>IFERROR(VLOOKUP($B31,RD[#All],HT$2,0)/HT$1,"")</f>
        <v>4.401165210153974</v>
      </c>
      <c r="HU31" s="67">
        <f>IFERROR(VLOOKUP($B31,RD[#All],HU$2,0)/HU$1,"")</f>
        <v>4.3802938634399311</v>
      </c>
      <c r="HV31" s="67">
        <f>IFERROR(VLOOKUP($B31,RD[#All],HV$2,0)/HV$1,"")</f>
        <v>4.4286949006050129</v>
      </c>
      <c r="HW31" s="67">
        <f>IFERROR(VLOOKUP($B31,RD[#All],HW$2,0)/HW$1,"")</f>
        <v>4.390112359550562</v>
      </c>
      <c r="HX31" s="67">
        <f>IFERROR(VLOOKUP($B31,RD[#All],HX$2,0)/HX$1,"")</f>
        <v>4.373379429559205</v>
      </c>
      <c r="HY31" s="67">
        <f>IFERROR(VLOOKUP($B31,RD[#All],HY$2,0)/HY$1,"")</f>
        <v>4.3978360382854769</v>
      </c>
      <c r="HZ31" s="67">
        <f>IFERROR(VLOOKUP($B31,RD[#All],HZ$2,0)/HZ$1,"")</f>
        <v>4.3978360382854769</v>
      </c>
      <c r="IA31" s="67">
        <f>IFERROR(VLOOKUP($B31,RD[#All],IA$2,0)/IA$1,"")</f>
        <v>4.3006993006993008</v>
      </c>
      <c r="IB31" s="67">
        <f>IFERROR(VLOOKUP($B31,RD[#All],IB$2,0)/IB$1,"")</f>
        <v>4.3939393939393945</v>
      </c>
      <c r="IC31" s="67">
        <f>IFERROR(VLOOKUP($B31,RD[#All],IC$2,0)/IC$1,"")</f>
        <v>4.3123543123543131</v>
      </c>
      <c r="ID31" s="67">
        <f>IFERROR(VLOOKUP($B31,RD[#All],ID$2,0)/ID$1,"")</f>
        <v>4.4002992891881778</v>
      </c>
      <c r="IE31" s="67">
        <f>IFERROR(VLOOKUP($B31,RD[#All],IE$2,0)/IE$1,"")</f>
        <v>4.4080808080808085</v>
      </c>
      <c r="IF31" s="67" t="str">
        <f>IFERROR(VLOOKUP($B31,RD[#All],IF$2,0)/IF$1,"")</f>
        <v/>
      </c>
      <c r="IG31" s="67">
        <f>IFERROR(VLOOKUP($B31,RD[#All],IG$2,0)/IG$1,"")</f>
        <v>4.3985281630342481</v>
      </c>
      <c r="IH31" s="67">
        <f>IFERROR(VLOOKUP($B31,RD[#All],IH$2,0)/IH$1,"")</f>
        <v>4.3005921281783346</v>
      </c>
      <c r="II31" s="67">
        <f>IFERROR(VLOOKUP($B31,RD[#All],II$2,0)/II$1,"")</f>
        <v>4.3383084577114426</v>
      </c>
      <c r="IJ31" s="67">
        <f>IFERROR(VLOOKUP($B31,RD[#All],IJ$2,0)/IJ$1,"")</f>
        <v>4.3883277216610548</v>
      </c>
      <c r="IK31" s="67">
        <f>IFERROR(VLOOKUP($B31,RD[#All],IK$2,0)/IK$1,"")</f>
        <v>4.4491064491064494</v>
      </c>
      <c r="IL31" s="67" t="str">
        <f>IFERROR(VLOOKUP($B31,RD[#All],IL$2,0)/IL$1,"")</f>
        <v/>
      </c>
      <c r="IM31" s="67" t="str">
        <f>IFERROR(VLOOKUP($B31,RD[#All],IM$2,0)/IM$1,"")</f>
        <v/>
      </c>
      <c r="IN31" s="67">
        <f>IFERROR(VLOOKUP($B31,RD[#All],IN$2,0)/IN$1,"")</f>
        <v>4.4723092998955067</v>
      </c>
      <c r="IO31" s="67">
        <f>IFERROR(VLOOKUP($B31,RD[#All],IO$2,0)/IO$1,"")</f>
        <v>4.3965517241379315</v>
      </c>
      <c r="IP31" s="67">
        <f>IFERROR(VLOOKUP($B31,RD[#All],IP$2,0)/IP$1,"")</f>
        <v>4.4927221377362585</v>
      </c>
      <c r="IQ31" s="67">
        <f>IFERROR(VLOOKUP($B31,RD[#All],IQ$2,0)/IQ$1,"")</f>
        <v>4.2773892773892781</v>
      </c>
      <c r="IR31" s="67">
        <f>IFERROR(VLOOKUP($B31,RD[#All],IR$2,0)/IR$1,"")</f>
        <v>3.9593698175787728</v>
      </c>
      <c r="IS31" s="86">
        <f>IFERROR(AVERAGEIF(Inv_SY_B[[#This Row],[BLK1_INV1]:[BLK8_INV27]],"&gt;"&amp;0.1,Inv_SY_B[[#This Row],[BLK1_INV1]:[BLK8_INV27]]),"")</f>
        <v>4.3873844851367805</v>
      </c>
    </row>
    <row r="32" spans="2:253" x14ac:dyDescent="0.25">
      <c r="B32" s="85">
        <f>B31+1</f>
        <v>45858</v>
      </c>
      <c r="C32" s="67">
        <f>IFERROR(VLOOKUP($B32,RD[#All],C$2,0)/C$1,"")</f>
        <v>4.9127052722558338</v>
      </c>
      <c r="D32" s="67">
        <f>IFERROR(VLOOKUP($B32,RD[#All],D$2,0)/D$1,"")</f>
        <v>4.9230769230769234</v>
      </c>
      <c r="E32" s="67">
        <f>IFERROR(VLOOKUP($B32,RD[#All],E$2,0)/E$1,"")</f>
        <v>4.9138576779026213</v>
      </c>
      <c r="F32" s="67">
        <f>IFERROR(VLOOKUP($B32,RD[#All],F$2,0)/F$1,"")</f>
        <v>4.9438202247191008</v>
      </c>
      <c r="G32" s="67">
        <f>IFERROR(VLOOKUP($B32,RD[#All],G$2,0)/G$1,"")</f>
        <v>4.9583405358686257</v>
      </c>
      <c r="H32" s="67">
        <f>IFERROR(VLOOKUP($B32,RD[#All],H$2,0)/H$1,"")</f>
        <v>4.9138576779026213</v>
      </c>
      <c r="I32" s="67">
        <f>IFERROR(VLOOKUP($B32,RD[#All],I$2,0)/I$1,"")</f>
        <v>4.9550561797752808</v>
      </c>
      <c r="J32" s="67">
        <f>IFERROR(VLOOKUP($B32,RD[#All],J$2,0)/J$1,"")</f>
        <v>4.9475655430711614</v>
      </c>
      <c r="K32" s="67">
        <f>IFERROR(VLOOKUP($B32,RD[#All],K$2,0)/K$1,"")</f>
        <v>4.8330786516853932</v>
      </c>
      <c r="L32" s="67">
        <f>IFERROR(VLOOKUP($B32,RD[#All],L$2,0)/L$1,"")</f>
        <v>4.9222471910112358</v>
      </c>
      <c r="M32" s="67">
        <f>IFERROR(VLOOKUP($B32,RD[#All],M$2,0)/M$1,"")</f>
        <v>4.9138576779026213</v>
      </c>
      <c r="N32" s="67">
        <f>IFERROR(VLOOKUP($B32,RD[#All],N$2,0)/N$1,"")</f>
        <v>4.9250936329588013</v>
      </c>
      <c r="O32" s="67">
        <f>IFERROR(VLOOKUP($B32,RD[#All],O$2,0)/O$1,"")</f>
        <v>4.9700374531835205</v>
      </c>
      <c r="P32" s="67">
        <f>IFERROR(VLOOKUP($B32,RD[#All],P$2,0)/P$1,"")</f>
        <v>4.8130745658835545</v>
      </c>
      <c r="Q32" s="67">
        <f>IFERROR(VLOOKUP($B32,RD[#All],Q$2,0)/Q$1,"")</f>
        <v>4.8014981273408237</v>
      </c>
      <c r="R32" s="67">
        <f>IFERROR(VLOOKUP($B32,RD[#All],R$2,0)/R$1,"")</f>
        <v>4.8951310861423218</v>
      </c>
      <c r="S32" s="67">
        <f>IFERROR(VLOOKUP($B32,RD[#All],S$2,0)/S$1,"")</f>
        <v>4.868913857677903</v>
      </c>
      <c r="T32" s="67">
        <f>IFERROR(VLOOKUP($B32,RD[#All],T$2,0)/T$1,"")</f>
        <v>4.9475655430711614</v>
      </c>
      <c r="U32" s="67">
        <f>IFERROR(VLOOKUP($B32,RD[#All],U$2,0)/U$1,"")</f>
        <v>4.9521175453759723</v>
      </c>
      <c r="V32" s="67">
        <f>IFERROR(VLOOKUP($B32,RD[#All],V$2,0)/V$1,"")</f>
        <v>4.9507346585998269</v>
      </c>
      <c r="W32" s="67">
        <f>IFERROR(VLOOKUP($B32,RD[#All],W$2,0)/W$1,"")</f>
        <v>4.8726591760299627</v>
      </c>
      <c r="X32" s="67">
        <f>IFERROR(VLOOKUP($B32,RD[#All],X$2,0)/X$1,"")</f>
        <v>4.9191011235955058</v>
      </c>
      <c r="Y32" s="67">
        <f>IFERROR(VLOOKUP($B32,RD[#All],Y$2,0)/Y$1,"")</f>
        <v>4.840103716508211</v>
      </c>
      <c r="Z32" s="67">
        <f>IFERROR(VLOOKUP($B32,RD[#All],Z$2,0)/Z$1,"")</f>
        <v>4.9504785684560968</v>
      </c>
      <c r="AA32" s="67">
        <f>IFERROR(VLOOKUP($B32,RD[#All],AA$2,0)/AA$1,"")</f>
        <v>4.9922212618841835</v>
      </c>
      <c r="AB32" s="67">
        <f>IFERROR(VLOOKUP($B32,RD[#All],AB$2,0)/AB$1,"")</f>
        <v>4.9507346585998269</v>
      </c>
      <c r="AC32" s="67">
        <f>IFERROR(VLOOKUP($B32,RD[#All],AC$2,0)/AC$1,"")</f>
        <v>4.8598098530682803</v>
      </c>
      <c r="AD32" s="67">
        <f>IFERROR(VLOOKUP($B32,RD[#All],AD$2,0)/AD$1,"")</f>
        <v>4.9498127340823972</v>
      </c>
      <c r="AE32" s="67">
        <f>IFERROR(VLOOKUP($B32,RD[#All],AE$2,0)/AE$1,"")</f>
        <v>4.7523928422804831</v>
      </c>
      <c r="AF32" s="67">
        <f>IFERROR(VLOOKUP($B32,RD[#All],AF$2,0)/AF$1,"")</f>
        <v>4.9354972950478571</v>
      </c>
      <c r="AG32" s="67">
        <f>IFERROR(VLOOKUP($B32,RD[#All],AG$2,0)/AG$1,"")</f>
        <v>4.8838951310861427</v>
      </c>
      <c r="AH32" s="67">
        <f>IFERROR(VLOOKUP($B32,RD[#All],AH$2,0)/AH$1,"")</f>
        <v>4.9078651685393258</v>
      </c>
      <c r="AI32" s="67">
        <f>IFERROR(VLOOKUP($B32,RD[#All],AI$2,0)/AI$1,"")</f>
        <v>4.7920597484276728</v>
      </c>
      <c r="AJ32" s="67">
        <f>IFERROR(VLOOKUP($B32,RD[#All],AJ$2,0)/AJ$1,"")</f>
        <v>4.8823793154984312</v>
      </c>
      <c r="AK32" s="67">
        <f>IFERROR(VLOOKUP($B32,RD[#All],AK$2,0)/AK$1,"")</f>
        <v>4.7318352059925095</v>
      </c>
      <c r="AL32" s="67">
        <f>IFERROR(VLOOKUP($B32,RD[#All],AL$2,0)/AL$1,"")</f>
        <v>4.7540983606557381</v>
      </c>
      <c r="AM32" s="67">
        <f>IFERROR(VLOOKUP($B32,RD[#All],AM$2,0)/AM$1,"")</f>
        <v>4.9273408239700371</v>
      </c>
      <c r="AN32" s="67">
        <f>IFERROR(VLOOKUP($B32,RD[#All],AN$2,0)/AN$1,"")</f>
        <v>4.7752808988764048</v>
      </c>
      <c r="AO32" s="67">
        <f>IFERROR(VLOOKUP($B32,RD[#All],AO$2,0)/AO$1,"")</f>
        <v>4.7752808988764048</v>
      </c>
      <c r="AP32" s="67">
        <f>IFERROR(VLOOKUP($B32,RD[#All],AP$2,0)/AP$1,"")</f>
        <v>4.8041198501872664</v>
      </c>
      <c r="AQ32" s="67">
        <f>IFERROR(VLOOKUP($B32,RD[#All],AQ$2,0)/AQ$1,"")</f>
        <v>4.7640449438202248</v>
      </c>
      <c r="AR32" s="67">
        <f>IFERROR(VLOOKUP($B32,RD[#All],AR$2,0)/AR$1,"")</f>
        <v>4.8277153558052435</v>
      </c>
      <c r="AS32" s="67">
        <f>IFERROR(VLOOKUP($B32,RD[#All],AS$2,0)/AS$1,"")</f>
        <v>4.7340823970037453</v>
      </c>
      <c r="AT32" s="67">
        <f>IFERROR(VLOOKUP($B32,RD[#All],AT$2,0)/AT$1,"")</f>
        <v>4.8127340823970037</v>
      </c>
      <c r="AU32" s="67">
        <f>IFERROR(VLOOKUP($B32,RD[#All],AU$2,0)/AU$1,"")</f>
        <v>4.7940074906367043</v>
      </c>
      <c r="AV32" s="67">
        <f>IFERROR(VLOOKUP($B32,RD[#All],AV$2,0)/AV$1,"")</f>
        <v>4.8726591760299627</v>
      </c>
      <c r="AW32" s="67">
        <f>IFERROR(VLOOKUP($B32,RD[#All],AW$2,0)/AW$1,"")</f>
        <v>4.7640449438202248</v>
      </c>
      <c r="AX32" s="67">
        <f>IFERROR(VLOOKUP($B32,RD[#All],AX$2,0)/AX$1,"")</f>
        <v>4.7565543071161045</v>
      </c>
      <c r="AY32" s="67">
        <f>IFERROR(VLOOKUP($B32,RD[#All],AY$2,0)/AY$1,"")</f>
        <v>4.7532584269662923</v>
      </c>
      <c r="AZ32" s="67">
        <f>IFERROR(VLOOKUP($B32,RD[#All],AZ$2,0)/AZ$1,"")</f>
        <v>4.7460674157303373</v>
      </c>
      <c r="BA32" s="67">
        <f>IFERROR(VLOOKUP($B32,RD[#All],BA$2,0)/BA$1,"")</f>
        <v>4.7528089887640448</v>
      </c>
      <c r="BB32" s="67">
        <f>IFERROR(VLOOKUP($B32,RD[#All],BB$2,0)/BB$1,"")</f>
        <v>4.8295880149812733</v>
      </c>
      <c r="BC32" s="67">
        <f>IFERROR(VLOOKUP($B32,RD[#All],BC$2,0)/BC$1,"")</f>
        <v>4.7407407407407405</v>
      </c>
      <c r="BD32" s="67">
        <f>IFERROR(VLOOKUP($B32,RD[#All],BD$2,0)/BD$1,"")</f>
        <v>4.786017478152309</v>
      </c>
      <c r="BE32" s="67">
        <f>IFERROR(VLOOKUP($B32,RD[#All],BE$2,0)/BE$1,"")</f>
        <v>4.7744165946413135</v>
      </c>
      <c r="BF32" s="67">
        <f>IFERROR(VLOOKUP($B32,RD[#All],BF$2,0)/BF$1,"")</f>
        <v>4.9338327091136076</v>
      </c>
      <c r="BG32" s="67">
        <f>IFERROR(VLOOKUP($B32,RD[#All],BG$2,0)/BG$1,"")</f>
        <v>4.9161880982105703</v>
      </c>
      <c r="BH32" s="67">
        <f>IFERROR(VLOOKUP($B32,RD[#All],BH$2,0)/BH$1,"")</f>
        <v>4.8857677902621726</v>
      </c>
      <c r="BI32" s="67">
        <f>IFERROR(VLOOKUP($B32,RD[#All],BI$2,0)/BI$1,"")</f>
        <v>4.9388264669163542</v>
      </c>
      <c r="BJ32" s="67">
        <f>IFERROR(VLOOKUP($B32,RD[#All],BJ$2,0)/BJ$1,"")</f>
        <v>4.9548064918851438</v>
      </c>
      <c r="BK32" s="67">
        <f>IFERROR(VLOOKUP($B32,RD[#All],BK$2,0)/BK$1,"")</f>
        <v>4.8846441947565546</v>
      </c>
      <c r="BL32" s="67">
        <f>IFERROR(VLOOKUP($B32,RD[#All],BL$2,0)/BL$1,"")</f>
        <v>4.7808631649381068</v>
      </c>
      <c r="BM32" s="67">
        <f>IFERROR(VLOOKUP($B32,RD[#All],BM$2,0)/BM$1,"")</f>
        <v>4.7715355805243442</v>
      </c>
      <c r="BN32" s="67">
        <f>IFERROR(VLOOKUP($B32,RD[#All],BN$2,0)/BN$1,"")</f>
        <v>4.9237199582027165</v>
      </c>
      <c r="BO32" s="67">
        <f>IFERROR(VLOOKUP($B32,RD[#All],BO$2,0)/BO$1,"")</f>
        <v>4.9507346585998269</v>
      </c>
      <c r="BP32" s="67">
        <f>IFERROR(VLOOKUP($B32,RD[#All],BP$2,0)/BP$1,"")</f>
        <v>4.9787381158167676</v>
      </c>
      <c r="BQ32" s="67">
        <f>IFERROR(VLOOKUP($B32,RD[#All],BQ$2,0)/BQ$1,"")</f>
        <v>4.957649092480553</v>
      </c>
      <c r="BR32" s="67">
        <f>IFERROR(VLOOKUP($B32,RD[#All],BR$2,0)/BR$1,"")</f>
        <v>4.9151253241140882</v>
      </c>
      <c r="BS32" s="67">
        <f>IFERROR(VLOOKUP($B32,RD[#All],BS$2,0)/BS$1,"")</f>
        <v>4.8764044943820224</v>
      </c>
      <c r="BT32" s="67">
        <f>IFERROR(VLOOKUP($B32,RD[#All],BT$2,0)/BT$1,"")</f>
        <v>4.9026217228464422</v>
      </c>
      <c r="BU32" s="67">
        <f>IFERROR(VLOOKUP($B32,RD[#All],BU$2,0)/BU$1,"")</f>
        <v>4.8726591760299627</v>
      </c>
      <c r="BV32" s="67">
        <f>IFERROR(VLOOKUP($B32,RD[#All],BV$2,0)/BV$1,"")</f>
        <v>4.9138576779026213</v>
      </c>
      <c r="BW32" s="67">
        <f>IFERROR(VLOOKUP($B32,RD[#All],BW$2,0)/BW$1,"")</f>
        <v>4.9063670411985019</v>
      </c>
      <c r="BX32" s="67">
        <f>IFERROR(VLOOKUP($B32,RD[#All],BX$2,0)/BX$1,"")</f>
        <v>4.9513108614232211</v>
      </c>
      <c r="BY32" s="67">
        <f>IFERROR(VLOOKUP($B32,RD[#All],BY$2,0)/BY$1,"")</f>
        <v>4.9458177278401996</v>
      </c>
      <c r="BZ32" s="67">
        <f>IFERROR(VLOOKUP($B32,RD[#All],BZ$2,0)/BZ$1,"")</f>
        <v>4.9251768622555145</v>
      </c>
      <c r="CA32" s="67">
        <f>IFERROR(VLOOKUP($B32,RD[#All],CA$2,0)/CA$1,"")</f>
        <v>4.900540990428631</v>
      </c>
      <c r="CB32" s="67">
        <f>IFERROR(VLOOKUP($B32,RD[#All],CB$2,0)/CB$1,"")</f>
        <v>4.9475655430711614</v>
      </c>
      <c r="CC32" s="67">
        <f>IFERROR(VLOOKUP($B32,RD[#All],CC$2,0)/CC$1,"")</f>
        <v>4.9400749063670411</v>
      </c>
      <c r="CD32" s="67">
        <f>IFERROR(VLOOKUP($B32,RD[#All],CD$2,0)/CD$1,"")</f>
        <v>4.9507346585998269</v>
      </c>
      <c r="CE32" s="67">
        <f>IFERROR(VLOOKUP($B32,RD[#All],CE$2,0)/CE$1,"")</f>
        <v>4.9625468164794011</v>
      </c>
      <c r="CF32" s="67">
        <f>IFERROR(VLOOKUP($B32,RD[#All],CF$2,0)/CF$1,"")</f>
        <v>4.9475655430711614</v>
      </c>
      <c r="CG32" s="67">
        <f>IFERROR(VLOOKUP($B32,RD[#All],CG$2,0)/CG$1,"")</f>
        <v>4.9737827715355802</v>
      </c>
      <c r="CH32" s="67">
        <f>IFERROR(VLOOKUP($B32,RD[#All],CH$2,0)/CH$1,"")</f>
        <v>4.8801498127340821</v>
      </c>
      <c r="CI32" s="67">
        <f>IFERROR(VLOOKUP($B32,RD[#All],CI$2,0)/CI$1,"")</f>
        <v>4.8277153558052435</v>
      </c>
      <c r="CJ32" s="67">
        <f>IFERROR(VLOOKUP($B32,RD[#All],CJ$2,0)/CJ$1,"")</f>
        <v>4.8606741573033707</v>
      </c>
      <c r="CK32" s="67">
        <f>IFERROR(VLOOKUP($B32,RD[#All],CK$2,0)/CK$1,"")</f>
        <v>4.8951310861423218</v>
      </c>
      <c r="CL32" s="67">
        <f>IFERROR(VLOOKUP($B32,RD[#All],CL$2,0)/CL$1,"")</f>
        <v>4.9101123595505616</v>
      </c>
      <c r="CM32" s="67">
        <f>IFERROR(VLOOKUP($B32,RD[#All],CM$2,0)/CM$1,"")</f>
        <v>4.9737827715355802</v>
      </c>
      <c r="CN32" s="67">
        <f>IFERROR(VLOOKUP($B32,RD[#All],CN$2,0)/CN$1,"")</f>
        <v>4.9250936329588013</v>
      </c>
      <c r="CO32" s="67">
        <f>IFERROR(VLOOKUP($B32,RD[#All],CO$2,0)/CO$1,"")</f>
        <v>4.9190112359550557</v>
      </c>
      <c r="CP32" s="67">
        <f>IFERROR(VLOOKUP($B32,RD[#All],CP$2,0)/CP$1,"")</f>
        <v>4.9196197061365599</v>
      </c>
      <c r="CQ32" s="67">
        <f>IFERROR(VLOOKUP($B32,RD[#All],CQ$2,0)/CQ$1,"")</f>
        <v>4.8314606741573032</v>
      </c>
      <c r="CR32" s="67">
        <f>IFERROR(VLOOKUP($B32,RD[#All],CR$2,0)/CR$1,"")</f>
        <v>4.9063670411985019</v>
      </c>
      <c r="CS32" s="67">
        <f>IFERROR(VLOOKUP($B32,RD[#All],CS$2,0)/CS$1,"")</f>
        <v>4.9801081980857269</v>
      </c>
      <c r="CT32" s="67">
        <f>IFERROR(VLOOKUP($B32,RD[#All],CT$2,0)/CT$1,"")</f>
        <v>4.9063670411985019</v>
      </c>
      <c r="CU32" s="67">
        <f>IFERROR(VLOOKUP($B32,RD[#All],CU$2,0)/CU$1,"")</f>
        <v>4.8876404494382024</v>
      </c>
      <c r="CV32" s="67">
        <f>IFERROR(VLOOKUP($B32,RD[#All],CV$2,0)/CV$1,"")</f>
        <v>4.9138576779026213</v>
      </c>
      <c r="CW32" s="67">
        <f>IFERROR(VLOOKUP($B32,RD[#All],CW$2,0)/CW$1,"")</f>
        <v>4.8801498127340821</v>
      </c>
      <c r="CX32" s="67">
        <f>IFERROR(VLOOKUP($B32,RD[#All],CX$2,0)/CX$1,"")</f>
        <v>4.9464419475655435</v>
      </c>
      <c r="CY32" s="67">
        <f>IFERROR(VLOOKUP($B32,RD[#All],CY$2,0)/CY$1,"")</f>
        <v>4.868913857677903</v>
      </c>
      <c r="CZ32" s="67">
        <f>IFERROR(VLOOKUP($B32,RD[#All],CZ$2,0)/CZ$1,"")</f>
        <v>4.8202247191011232</v>
      </c>
      <c r="DA32" s="67">
        <f>IFERROR(VLOOKUP($B32,RD[#All],DA$2,0)/DA$1,"")</f>
        <v>4.8838951310861427</v>
      </c>
      <c r="DB32" s="67">
        <f>IFERROR(VLOOKUP($B32,RD[#All],DB$2,0)/DB$1,"")</f>
        <v>4.8539325842696632</v>
      </c>
      <c r="DC32" s="67">
        <f>IFERROR(VLOOKUP($B32,RD[#All],DC$2,0)/DC$1,"")</f>
        <v>4.7307532251352473</v>
      </c>
      <c r="DD32" s="67">
        <f>IFERROR(VLOOKUP($B32,RD[#All],DD$2,0)/DD$1,"")</f>
        <v>4.7602996254681651</v>
      </c>
      <c r="DE32" s="67">
        <f>IFERROR(VLOOKUP($B32,RD[#All],DE$2,0)/DE$1,"")</f>
        <v>4.7573866000832297</v>
      </c>
      <c r="DF32" s="67">
        <f>IFERROR(VLOOKUP($B32,RD[#All],DF$2,0)/DF$1,"")</f>
        <v>4.7206423553027772</v>
      </c>
      <c r="DG32" s="67">
        <f>IFERROR(VLOOKUP($B32,RD[#All],DG$2,0)/DG$1,"")</f>
        <v>4.8741573033707866</v>
      </c>
      <c r="DH32" s="67">
        <f>IFERROR(VLOOKUP($B32,RD[#All],DH$2,0)/DH$1,"")</f>
        <v>4.7950062421972532</v>
      </c>
      <c r="DI32" s="67">
        <f>IFERROR(VLOOKUP($B32,RD[#All],DI$2,0)/DI$1,"")</f>
        <v>4.7398444252376839</v>
      </c>
      <c r="DJ32" s="67">
        <f>IFERROR(VLOOKUP($B32,RD[#All],DJ$2,0)/DJ$1,"")</f>
        <v>4.8248919619706134</v>
      </c>
      <c r="DK32" s="67">
        <f>IFERROR(VLOOKUP($B32,RD[#All],DK$2,0)/DK$1,"")</f>
        <v>4.7570536828963794</v>
      </c>
      <c r="DL32" s="67">
        <f>IFERROR(VLOOKUP($B32,RD[#All],DL$2,0)/DL$1,"")</f>
        <v>4.7164377861007072</v>
      </c>
      <c r="DM32" s="67">
        <f>IFERROR(VLOOKUP($B32,RD[#All],DM$2,0)/DM$1,"")</f>
        <v>4.9576779026217226</v>
      </c>
      <c r="DN32" s="67">
        <f>IFERROR(VLOOKUP($B32,RD[#All],DN$2,0)/DN$1,"")</f>
        <v>4.8715355805243448</v>
      </c>
      <c r="DO32" s="67">
        <f>IFERROR(VLOOKUP($B32,RD[#All],DO$2,0)/DO$1,"")</f>
        <v>4.7172967547674816</v>
      </c>
      <c r="DP32" s="67">
        <f>IFERROR(VLOOKUP($B32,RD[#All],DP$2,0)/DP$1,"")</f>
        <v>4.7374115688722434</v>
      </c>
      <c r="DQ32" s="67">
        <f>IFERROR(VLOOKUP($B32,RD[#All],DQ$2,0)/DQ$1,"")</f>
        <v>4.774032459425718</v>
      </c>
      <c r="DR32" s="67">
        <f>IFERROR(VLOOKUP($B32,RD[#All],DR$2,0)/DR$1,"")</f>
        <v>4.9314606741573037</v>
      </c>
      <c r="DS32" s="67">
        <f>IFERROR(VLOOKUP($B32,RD[#All],DS$2,0)/DS$1,"")</f>
        <v>4.9423220973782769</v>
      </c>
      <c r="DT32" s="67">
        <f>IFERROR(VLOOKUP($B32,RD[#All],DT$2,0)/DT$1,"")</f>
        <v>4.7573866000832297</v>
      </c>
      <c r="DU32" s="67">
        <f>IFERROR(VLOOKUP($B32,RD[#All],DU$2,0)/DU$1,"")</f>
        <v>4.7906783187682063</v>
      </c>
      <c r="DV32" s="67">
        <f>IFERROR(VLOOKUP($B32,RD[#All],DV$2,0)/DV$1,"")</f>
        <v>4.7490636704119851</v>
      </c>
      <c r="DW32" s="67">
        <f>IFERROR(VLOOKUP($B32,RD[#All],DW$2,0)/DW$1,"")</f>
        <v>4.7677902621722845</v>
      </c>
      <c r="DX32" s="67">
        <f>IFERROR(VLOOKUP($B32,RD[#All],DX$2,0)/DX$1,"")</f>
        <v>4.7407407407407405</v>
      </c>
      <c r="DY32" s="67">
        <f>IFERROR(VLOOKUP($B32,RD[#All],DY$2,0)/DY$1,"")</f>
        <v>4.7602996254681651</v>
      </c>
      <c r="DZ32" s="67">
        <f>IFERROR(VLOOKUP($B32,RD[#All],DZ$2,0)/DZ$1,"")</f>
        <v>4.7827715355805243</v>
      </c>
      <c r="EA32" s="67">
        <f>IFERROR(VLOOKUP($B32,RD[#All],EA$2,0)/EA$1,"")</f>
        <v>4.7440699126092385</v>
      </c>
      <c r="EB32" s="67">
        <f>IFERROR(VLOOKUP($B32,RD[#All],EB$2,0)/EB$1,"")</f>
        <v>4.774032459425718</v>
      </c>
      <c r="EC32" s="67">
        <f>IFERROR(VLOOKUP($B32,RD[#All],EC$2,0)/EC$1,"")</f>
        <v>4.7744165946413135</v>
      </c>
      <c r="ED32" s="67">
        <f>IFERROR(VLOOKUP($B32,RD[#All],ED$2,0)/ED$1,"")</f>
        <v>4.8020743301642179</v>
      </c>
      <c r="EE32" s="67">
        <f>IFERROR(VLOOKUP($B32,RD[#All],EE$2,0)/EE$1,"")</f>
        <v>4.7640449438202248</v>
      </c>
      <c r="EF32" s="67">
        <f>IFERROR(VLOOKUP($B32,RD[#All],EF$2,0)/EF$1,"")</f>
        <v>4.8375893769152194</v>
      </c>
      <c r="EG32" s="67">
        <f>IFERROR(VLOOKUP($B32,RD[#All],EG$2,0)/EG$1,"")</f>
        <v>4.8041958041958042</v>
      </c>
      <c r="EH32" s="67">
        <f>IFERROR(VLOOKUP($B32,RD[#All],EH$2,0)/EH$1,"")</f>
        <v>4.7944055944055943</v>
      </c>
      <c r="EI32" s="67">
        <f>IFERROR(VLOOKUP($B32,RD[#All],EI$2,0)/EI$1,"")</f>
        <v>4.8279720279720282</v>
      </c>
      <c r="EJ32" s="67">
        <f>IFERROR(VLOOKUP($B32,RD[#All],EJ$2,0)/EJ$1,"")</f>
        <v>4.7762237762237758</v>
      </c>
      <c r="EK32" s="67">
        <f>IFERROR(VLOOKUP($B32,RD[#All],EK$2,0)/EK$1,"")</f>
        <v>4.7557752808988765</v>
      </c>
      <c r="EL32" s="67">
        <f>IFERROR(VLOOKUP($B32,RD[#All],EL$2,0)/EL$1,"")</f>
        <v>4.8239700374531838</v>
      </c>
      <c r="EM32" s="67">
        <f>IFERROR(VLOOKUP($B32,RD[#All],EM$2,0)/EM$1,"")</f>
        <v>4.7260155574762317</v>
      </c>
      <c r="EN32" s="67">
        <f>IFERROR(VLOOKUP($B32,RD[#All],EN$2,0)/EN$1,"")</f>
        <v>4.7398444252376839</v>
      </c>
      <c r="EO32" s="67">
        <f>IFERROR(VLOOKUP($B32,RD[#All],EO$2,0)/EO$1,"")</f>
        <v>4.797752808988764</v>
      </c>
      <c r="EP32" s="67">
        <f>IFERROR(VLOOKUP($B32,RD[#All],EP$2,0)/EP$1,"")</f>
        <v>4.7605877268798613</v>
      </c>
      <c r="EQ32" s="67">
        <f>IFERROR(VLOOKUP($B32,RD[#All],EQ$2,0)/EQ$1,"")</f>
        <v>4.7827715355805243</v>
      </c>
      <c r="ER32" s="67">
        <f>IFERROR(VLOOKUP($B32,RD[#All],ER$2,0)/ER$1,"")</f>
        <v>4.7191011235955056</v>
      </c>
      <c r="ES32" s="67">
        <f>IFERROR(VLOOKUP($B32,RD[#All],ES$2,0)/ES$1,"")</f>
        <v>4.7602996254681651</v>
      </c>
      <c r="ET32" s="67">
        <f>IFERROR(VLOOKUP($B32,RD[#All],ET$2,0)/ET$1,"")</f>
        <v>4.7885597548518897</v>
      </c>
      <c r="EU32" s="67">
        <f>IFERROR(VLOOKUP($B32,RD[#All],EU$2,0)/EU$1,"")</f>
        <v>4.7502160760587726</v>
      </c>
      <c r="EV32" s="67">
        <f>IFERROR(VLOOKUP($B32,RD[#All],EV$2,0)/EV$1,"")</f>
        <v>4.7737251512532408</v>
      </c>
      <c r="EW32" s="67">
        <f>IFERROR(VLOOKUP($B32,RD[#All],EW$2,0)/EW$1,"")</f>
        <v>4.7329299913569578</v>
      </c>
      <c r="EX32" s="67">
        <f>IFERROR(VLOOKUP($B32,RD[#All],EX$2,0)/EX$1,"")</f>
        <v>4.786516853932584</v>
      </c>
      <c r="EY32" s="67">
        <f>IFERROR(VLOOKUP($B32,RD[#All],EY$2,0)/EY$1,"")</f>
        <v>4.7374115688722434</v>
      </c>
      <c r="EZ32" s="67">
        <f>IFERROR(VLOOKUP($B32,RD[#All],EZ$2,0)/EZ$1,"")</f>
        <v>4.7827715355805243</v>
      </c>
      <c r="FA32" s="67">
        <f>IFERROR(VLOOKUP($B32,RD[#All],FA$2,0)/FA$1,"")</f>
        <v>4.7453183520599254</v>
      </c>
      <c r="FB32" s="67">
        <f>IFERROR(VLOOKUP($B32,RD[#All],FB$2,0)/FB$1,"")</f>
        <v>4.7359550561797752</v>
      </c>
      <c r="FC32" s="67">
        <f>IFERROR(VLOOKUP($B32,RD[#All],FC$2,0)/FC$1,"")</f>
        <v>4.797752808988764</v>
      </c>
      <c r="FD32" s="67">
        <f>IFERROR(VLOOKUP($B32,RD[#All],FD$2,0)/FD$1,"")</f>
        <v>4.7565543071161045</v>
      </c>
      <c r="FE32" s="67">
        <f>IFERROR(VLOOKUP($B32,RD[#All],FE$2,0)/FE$1,"")</f>
        <v>4.9280303030303028</v>
      </c>
      <c r="FF32" s="67">
        <f>IFERROR(VLOOKUP($B32,RD[#All],FF$2,0)/FF$1,"")</f>
        <v>4.9431818181818183</v>
      </c>
      <c r="FG32" s="67">
        <f>IFERROR(VLOOKUP($B32,RD[#All],FG$2,0)/FG$1,"")</f>
        <v>4.7824915824915832</v>
      </c>
      <c r="FH32" s="67">
        <f>IFERROR(VLOOKUP($B32,RD[#All],FH$2,0)/FH$1,"")</f>
        <v>4.7973484848484844</v>
      </c>
      <c r="FI32" s="67">
        <f>IFERROR(VLOOKUP($B32,RD[#All],FI$2,0)/FI$1,"")</f>
        <v>4.7744107744107742</v>
      </c>
      <c r="FJ32" s="67">
        <f>IFERROR(VLOOKUP($B32,RD[#All],FJ$2,0)/FJ$1,"")</f>
        <v>4.7299663299663299</v>
      </c>
      <c r="FK32" s="67">
        <f>IFERROR(VLOOKUP($B32,RD[#All],FK$2,0)/FK$1,"")</f>
        <v>4.9690235690235687</v>
      </c>
      <c r="FL32" s="67">
        <f>IFERROR(VLOOKUP($B32,RD[#All],FL$2,0)/FL$1,"")</f>
        <v>4.8614545454545457</v>
      </c>
      <c r="FM32" s="67">
        <f>IFERROR(VLOOKUP($B32,RD[#All],FM$2,0)/FM$1,"")</f>
        <v>4.7992424242424239</v>
      </c>
      <c r="FN32" s="67">
        <f>IFERROR(VLOOKUP($B32,RD[#All],FN$2,0)/FN$1,"")</f>
        <v>4.7441077441077439</v>
      </c>
      <c r="FO32" s="67">
        <f>IFERROR(VLOOKUP($B32,RD[#All],FO$2,0)/FO$1,"")</f>
        <v>4.8863636363636367</v>
      </c>
      <c r="FP32" s="67">
        <f>IFERROR(VLOOKUP($B32,RD[#All],FP$2,0)/FP$1,"")</f>
        <v>4.76</v>
      </c>
      <c r="FQ32" s="67">
        <f>IFERROR(VLOOKUP($B32,RD[#All],FQ$2,0)/FQ$1,"")</f>
        <v>4.9123636363636365</v>
      </c>
      <c r="FR32" s="67">
        <f>IFERROR(VLOOKUP($B32,RD[#All],FR$2,0)/FR$1,"")</f>
        <v>4.918181818181818</v>
      </c>
      <c r="FS32" s="67">
        <f>IFERROR(VLOOKUP($B32,RD[#All],FS$2,0)/FS$1,"")</f>
        <v>4.7643097643097647</v>
      </c>
      <c r="FT32" s="67">
        <f>IFERROR(VLOOKUP($B32,RD[#All],FT$2,0)/FT$1,"")</f>
        <v>4.8036363636363637</v>
      </c>
      <c r="FU32" s="67">
        <f>IFERROR(VLOOKUP($B32,RD[#All],FU$2,0)/FU$1,"")</f>
        <v>4.8902356902356905</v>
      </c>
      <c r="FV32" s="67">
        <f>IFERROR(VLOOKUP($B32,RD[#All],FV$2,0)/FV$1,"")</f>
        <v>4.8219696969696972</v>
      </c>
      <c r="FW32" s="67">
        <f>IFERROR(VLOOKUP($B32,RD[#All],FW$2,0)/FW$1,"")</f>
        <v>4.8257575757575761</v>
      </c>
      <c r="FX32" s="67">
        <f>IFERROR(VLOOKUP($B32,RD[#All],FX$2,0)/FX$1,"")</f>
        <v>4.8106060606060606</v>
      </c>
      <c r="FY32" s="67">
        <f>IFERROR(VLOOKUP($B32,RD[#All],FY$2,0)/FY$1,"")</f>
        <v>4.8114478114478114</v>
      </c>
      <c r="FZ32" s="67">
        <f>IFERROR(VLOOKUP($B32,RD[#All],FZ$2,0)/FZ$1,"")</f>
        <v>4.7537878787878789</v>
      </c>
      <c r="GA32" s="67">
        <f>IFERROR(VLOOKUP($B32,RD[#All],GA$2,0)/GA$1,"")</f>
        <v>4.7377622377622375</v>
      </c>
      <c r="GB32" s="67">
        <f>IFERROR(VLOOKUP($B32,RD[#All],GB$2,0)/GB$1,"")</f>
        <v>4.737373737373737</v>
      </c>
      <c r="GC32" s="67">
        <f>IFERROR(VLOOKUP($B32,RD[#All],GC$2,0)/GC$1,"")</f>
        <v>4.794612794612795</v>
      </c>
      <c r="GD32" s="67">
        <f>IFERROR(VLOOKUP($B32,RD[#All],GD$2,0)/GD$1,"")</f>
        <v>4.9236363636363638</v>
      </c>
      <c r="GE32" s="67">
        <f>IFERROR(VLOOKUP($B32,RD[#All],GE$2,0)/GE$1,"")</f>
        <v>4.7937062937062933</v>
      </c>
      <c r="GF32" s="67">
        <f>IFERROR(VLOOKUP($B32,RD[#All],GF$2,0)/GF$1,"")</f>
        <v>4.7542087542087543</v>
      </c>
      <c r="GG32" s="67">
        <f>IFERROR(VLOOKUP($B32,RD[#All],GG$2,0)/GG$1,"")</f>
        <v>4.7734545454545456</v>
      </c>
      <c r="GH32" s="67">
        <f>IFERROR(VLOOKUP($B32,RD[#All],GH$2,0)/GH$1,"")</f>
        <v>4.8545454545454545</v>
      </c>
      <c r="GI32" s="67">
        <f>IFERROR(VLOOKUP($B32,RD[#All],GI$2,0)/GI$1,"")</f>
        <v>4.7694545454545452</v>
      </c>
      <c r="GJ32" s="67">
        <f>IFERROR(VLOOKUP($B32,RD[#All],GJ$2,0)/GJ$1,"")</f>
        <v>4.7517482517482517</v>
      </c>
      <c r="GK32" s="67">
        <f>IFERROR(VLOOKUP($B32,RD[#All],GK$2,0)/GK$1,"")</f>
        <v>4.8560606060606064</v>
      </c>
      <c r="GL32" s="67">
        <f>IFERROR(VLOOKUP($B32,RD[#All],GL$2,0)/GL$1,"")</f>
        <v>4.9511363636363637</v>
      </c>
      <c r="GM32" s="67">
        <f>IFERROR(VLOOKUP($B32,RD[#All],GM$2,0)/GM$1,"")</f>
        <v>4.7537878787878789</v>
      </c>
      <c r="GN32" s="67">
        <f>IFERROR(VLOOKUP($B32,RD[#All],GN$2,0)/GN$1,"")</f>
        <v>4.9174242424242429</v>
      </c>
      <c r="GO32" s="67">
        <f>IFERROR(VLOOKUP($B32,RD[#All],GO$2,0)/GO$1,"")</f>
        <v>4.9280303030303028</v>
      </c>
      <c r="GP32" s="67">
        <f>IFERROR(VLOOKUP($B32,RD[#All],GP$2,0)/GP$1,"")</f>
        <v>4.7299242424242429</v>
      </c>
      <c r="GQ32" s="67">
        <f>IFERROR(VLOOKUP($B32,RD[#All],GQ$2,0)/GQ$1,"")</f>
        <v>4.7890909090909091</v>
      </c>
      <c r="GR32" s="67">
        <f>IFERROR(VLOOKUP($B32,RD[#All],GR$2,0)/GR$1,"")</f>
        <v>4.9318181818181817</v>
      </c>
      <c r="GS32" s="67" t="str">
        <f>IFERROR(VLOOKUP($B32,RD[#All],GS$2,0)/GS$1,"")</f>
        <v/>
      </c>
      <c r="GT32" s="67" t="str">
        <f>IFERROR(VLOOKUP($B32,RD[#All],GT$2,0)/GT$1,"")</f>
        <v/>
      </c>
      <c r="GU32" s="67">
        <f>IFERROR(VLOOKUP($B32,RD[#All],GU$2,0)/GU$1,"")</f>
        <v>5.0087950747581349</v>
      </c>
      <c r="GV32" s="67">
        <f>IFERROR(VLOOKUP($B32,RD[#All],GV$2,0)/GV$1,"")</f>
        <v>4.8542159180457052</v>
      </c>
      <c r="GW32" s="67">
        <f>IFERROR(VLOOKUP($B32,RD[#All],GW$2,0)/GW$1,"")</f>
        <v>4.8259423503325944</v>
      </c>
      <c r="GX32" s="67" t="str">
        <f>IFERROR(VLOOKUP($B32,RD[#All],GX$2,0)/GX$1,"")</f>
        <v/>
      </c>
      <c r="GY32" s="67">
        <f>IFERROR(VLOOKUP($B32,RD[#All],GY$2,0)/GY$1,"")</f>
        <v>4.7467532467532463</v>
      </c>
      <c r="GZ32" s="67">
        <f>IFERROR(VLOOKUP($B32,RD[#All],GZ$2,0)/GZ$1,"")</f>
        <v>4.8576779026217229</v>
      </c>
      <c r="HA32" s="67">
        <f>IFERROR(VLOOKUP($B32,RD[#All],HA$2,0)/HA$1,"")</f>
        <v>4.8749063670411985</v>
      </c>
      <c r="HB32" s="67">
        <f>IFERROR(VLOOKUP($B32,RD[#All],HB$2,0)/HB$1,"")</f>
        <v>4.8303370786516853</v>
      </c>
      <c r="HC32" s="67">
        <f>IFERROR(VLOOKUP($B32,RD[#All],HC$2,0)/HC$1,"")</f>
        <v>4.8265917602996256</v>
      </c>
      <c r="HD32" s="67">
        <f>IFERROR(VLOOKUP($B32,RD[#All],HD$2,0)/HD$1,"")</f>
        <v>4.8014981273408237</v>
      </c>
      <c r="HE32" s="67">
        <f>IFERROR(VLOOKUP($B32,RD[#All],HE$2,0)/HE$1,"")</f>
        <v>4.8277153558052435</v>
      </c>
      <c r="HF32" s="67">
        <f>IFERROR(VLOOKUP($B32,RD[#All],HF$2,0)/HF$1,"")</f>
        <v>4.786516853932584</v>
      </c>
      <c r="HG32" s="67">
        <f>IFERROR(VLOOKUP($B32,RD[#All],HG$2,0)/HG$1,"")</f>
        <v>4.8651685393258424</v>
      </c>
      <c r="HH32" s="67">
        <f>IFERROR(VLOOKUP($B32,RD[#All],HH$2,0)/HH$1,"")</f>
        <v>4.8352059925093629</v>
      </c>
      <c r="HI32" s="67">
        <f>IFERROR(VLOOKUP($B32,RD[#All],HI$2,0)/HI$1,"")</f>
        <v>4.7704119850187263</v>
      </c>
      <c r="HJ32" s="67">
        <f>IFERROR(VLOOKUP($B32,RD[#All],HJ$2,0)/HJ$1,"")</f>
        <v>4.8726591760299627</v>
      </c>
      <c r="HK32" s="67">
        <f>IFERROR(VLOOKUP($B32,RD[#All],HK$2,0)/HK$1,"")</f>
        <v>4.7723678734914694</v>
      </c>
      <c r="HL32" s="67">
        <f>IFERROR(VLOOKUP($B32,RD[#All],HL$2,0)/HL$1,"")</f>
        <v>4.9258426966292133</v>
      </c>
      <c r="HM32" s="67">
        <f>IFERROR(VLOOKUP($B32,RD[#All],HM$2,0)/HM$1,"")</f>
        <v>4.9305866547245856</v>
      </c>
      <c r="HN32" s="67">
        <f>IFERROR(VLOOKUP($B32,RD[#All],HN$2,0)/HN$1,"")</f>
        <v>5.1186744290192561</v>
      </c>
      <c r="HO32" s="67">
        <f>IFERROR(VLOOKUP($B32,RD[#All],HO$2,0)/HO$1,"")</f>
        <v>5.0522466039707421</v>
      </c>
      <c r="HP32" s="67">
        <f>IFERROR(VLOOKUP($B32,RD[#All],HP$2,0)/HP$1,"")</f>
        <v>5.0219435736677118</v>
      </c>
      <c r="HQ32" s="67">
        <f>IFERROR(VLOOKUP($B32,RD[#All],HQ$2,0)/HQ$1,"")</f>
        <v>4.7633477633477632</v>
      </c>
      <c r="HR32" s="67">
        <f>IFERROR(VLOOKUP($B32,RD[#All],HR$2,0)/HR$1,"")</f>
        <v>4.8498748957464555</v>
      </c>
      <c r="HS32" s="67">
        <f>IFERROR(VLOOKUP($B32,RD[#All],HS$2,0)/HS$1,"")</f>
        <v>4.9042696629213482</v>
      </c>
      <c r="HT32" s="67">
        <f>IFERROR(VLOOKUP($B32,RD[#All],HT$2,0)/HT$1,"")</f>
        <v>4.9225135247607152</v>
      </c>
      <c r="HU32" s="67">
        <f>IFERROR(VLOOKUP($B32,RD[#All],HU$2,0)/HU$1,"")</f>
        <v>4.8677614520311145</v>
      </c>
      <c r="HV32" s="67">
        <f>IFERROR(VLOOKUP($B32,RD[#All],HV$2,0)/HV$1,"")</f>
        <v>4.7713050993949864</v>
      </c>
      <c r="HW32" s="67">
        <f>IFERROR(VLOOKUP($B32,RD[#All],HW$2,0)/HW$1,"")</f>
        <v>5.0682247191011234</v>
      </c>
      <c r="HX32" s="67">
        <f>IFERROR(VLOOKUP($B32,RD[#All],HX$2,0)/HX$1,"")</f>
        <v>4.901296456352636</v>
      </c>
      <c r="HY32" s="67">
        <f>IFERROR(VLOOKUP($B32,RD[#All],HY$2,0)/HY$1,"")</f>
        <v>4.8942155638784852</v>
      </c>
      <c r="HZ32" s="67">
        <f>IFERROR(VLOOKUP($B32,RD[#All],HZ$2,0)/HZ$1,"")</f>
        <v>4.768705784436122</v>
      </c>
      <c r="IA32" s="67">
        <f>IFERROR(VLOOKUP($B32,RD[#All],IA$2,0)/IA$1,"")</f>
        <v>4.8449883449883453</v>
      </c>
      <c r="IB32" s="67">
        <f>IFERROR(VLOOKUP($B32,RD[#All],IB$2,0)/IB$1,"")</f>
        <v>4.7730880230880226</v>
      </c>
      <c r="IC32" s="67">
        <f>IFERROR(VLOOKUP($B32,RD[#All],IC$2,0)/IC$1,"")</f>
        <v>4.875679875679876</v>
      </c>
      <c r="ID32" s="67">
        <f>IFERROR(VLOOKUP($B32,RD[#All],ID$2,0)/ID$1,"")</f>
        <v>4.7811447811447811</v>
      </c>
      <c r="IE32" s="67">
        <f>IFERROR(VLOOKUP($B32,RD[#All],IE$2,0)/IE$1,"")</f>
        <v>4.8036363636363637</v>
      </c>
      <c r="IF32" s="67" t="str">
        <f>IFERROR(VLOOKUP($B32,RD[#All],IF$2,0)/IF$1,"")</f>
        <v/>
      </c>
      <c r="IG32" s="67">
        <f>IFERROR(VLOOKUP($B32,RD[#All],IG$2,0)/IG$1,"")</f>
        <v>4.8146051514293804</v>
      </c>
      <c r="IH32" s="67">
        <f>IFERROR(VLOOKUP($B32,RD[#All],IH$2,0)/IH$1,"")</f>
        <v>4.7857889237199576</v>
      </c>
      <c r="II32" s="67">
        <f>IFERROR(VLOOKUP($B32,RD[#All],II$2,0)/II$1,"")</f>
        <v>4.8756218905472632</v>
      </c>
      <c r="IJ32" s="67">
        <f>IFERROR(VLOOKUP($B32,RD[#All],IJ$2,0)/IJ$1,"")</f>
        <v>4.777403666292555</v>
      </c>
      <c r="IK32" s="67">
        <f>IFERROR(VLOOKUP($B32,RD[#All],IK$2,0)/IK$1,"")</f>
        <v>4.8717948717948723</v>
      </c>
      <c r="IL32" s="67" t="str">
        <f>IFERROR(VLOOKUP($B32,RD[#All],IL$2,0)/IL$1,"")</f>
        <v/>
      </c>
      <c r="IM32" s="67" t="str">
        <f>IFERROR(VLOOKUP($B32,RD[#All],IM$2,0)/IM$1,"")</f>
        <v/>
      </c>
      <c r="IN32" s="67">
        <f>IFERROR(VLOOKUP($B32,RD[#All],IN$2,0)/IN$1,"")</f>
        <v>5.0365726227795191</v>
      </c>
      <c r="IO32" s="67">
        <f>IFERROR(VLOOKUP($B32,RD[#All],IO$2,0)/IO$1,"")</f>
        <v>4.976489028213166</v>
      </c>
      <c r="IP32" s="67">
        <f>IFERROR(VLOOKUP($B32,RD[#All],IP$2,0)/IP$1,"")</f>
        <v>4.9489463393439062</v>
      </c>
      <c r="IQ32" s="67">
        <f>IFERROR(VLOOKUP($B32,RD[#All],IQ$2,0)/IQ$1,"")</f>
        <v>4.7940947940947947</v>
      </c>
      <c r="IR32" s="67">
        <f>IFERROR(VLOOKUP($B32,RD[#All],IR$2,0)/IR$1,"")</f>
        <v>4.7885572139303481</v>
      </c>
      <c r="IS32" s="86">
        <f>IFERROR(AVERAGEIF(Inv_SY_B[[#This Row],[BLK1_INV1]:[BLK8_INV27]],"&gt;"&amp;0.1,Inv_SY_B[[#This Row],[BLK1_INV1]:[BLK8_INV27]]),"")</f>
        <v>4.8475323476349246</v>
      </c>
    </row>
    <row r="33" spans="2:253" x14ac:dyDescent="0.25">
      <c r="B33" s="85">
        <f t="shared" si="0"/>
        <v>45859</v>
      </c>
      <c r="C33" s="67">
        <f>IFERROR(VLOOKUP($B33,RD[#All],C$2,0)/C$1,"")</f>
        <v>2.8003457216940362</v>
      </c>
      <c r="D33" s="67">
        <f>IFERROR(VLOOKUP($B33,RD[#All],D$2,0)/D$1,"")</f>
        <v>2.8764044943820224</v>
      </c>
      <c r="E33" s="67">
        <f>IFERROR(VLOOKUP($B33,RD[#All],E$2,0)/E$1,"")</f>
        <v>2.8614232209737827</v>
      </c>
      <c r="F33" s="67">
        <f>IFERROR(VLOOKUP($B33,RD[#All],F$2,0)/F$1,"")</f>
        <v>2.8352059925093633</v>
      </c>
      <c r="G33" s="67">
        <f>IFERROR(VLOOKUP($B33,RD[#All],G$2,0)/G$1,"")</f>
        <v>2.8383751080380293</v>
      </c>
      <c r="H33" s="67">
        <f>IFERROR(VLOOKUP($B33,RD[#All],H$2,0)/H$1,"")</f>
        <v>2.808988764044944</v>
      </c>
      <c r="I33" s="67">
        <f>IFERROR(VLOOKUP($B33,RD[#All],I$2,0)/I$1,"")</f>
        <v>2.8614232209737827</v>
      </c>
      <c r="J33" s="67">
        <f>IFERROR(VLOOKUP($B33,RD[#All],J$2,0)/J$1,"")</f>
        <v>2.8876404494382024</v>
      </c>
      <c r="K33" s="67">
        <f>IFERROR(VLOOKUP($B33,RD[#All],K$2,0)/K$1,"")</f>
        <v>2.8296629213483144</v>
      </c>
      <c r="L33" s="67">
        <f>IFERROR(VLOOKUP($B33,RD[#All],L$2,0)/L$1,"")</f>
        <v>2.8408089887640449</v>
      </c>
      <c r="M33" s="67">
        <f>IFERROR(VLOOKUP($B33,RD[#All],M$2,0)/M$1,"")</f>
        <v>2.8651685393258428</v>
      </c>
      <c r="N33" s="67">
        <f>IFERROR(VLOOKUP($B33,RD[#All],N$2,0)/N$1,"")</f>
        <v>2.797752808988764</v>
      </c>
      <c r="O33" s="67">
        <f>IFERROR(VLOOKUP($B33,RD[#All],O$2,0)/O$1,"")</f>
        <v>2.8576779026217229</v>
      </c>
      <c r="P33" s="67">
        <f>IFERROR(VLOOKUP($B33,RD[#All],P$2,0)/P$1,"")</f>
        <v>2.8192032686414707</v>
      </c>
      <c r="Q33" s="67">
        <f>IFERROR(VLOOKUP($B33,RD[#All],Q$2,0)/Q$1,"")</f>
        <v>2.8561797752808991</v>
      </c>
      <c r="R33" s="67">
        <f>IFERROR(VLOOKUP($B33,RD[#All],R$2,0)/R$1,"")</f>
        <v>2.8385767790262171</v>
      </c>
      <c r="S33" s="67">
        <f>IFERROR(VLOOKUP($B33,RD[#All],S$2,0)/S$1,"")</f>
        <v>2.7588014981273408</v>
      </c>
      <c r="T33" s="67">
        <f>IFERROR(VLOOKUP($B33,RD[#All],T$2,0)/T$1,"")</f>
        <v>2.850936329588015</v>
      </c>
      <c r="U33" s="67">
        <f>IFERROR(VLOOKUP($B33,RD[#All],U$2,0)/U$1,"")</f>
        <v>2.8183232497839241</v>
      </c>
      <c r="V33" s="67">
        <f>IFERROR(VLOOKUP($B33,RD[#All],V$2,0)/V$1,"")</f>
        <v>2.8518582541054451</v>
      </c>
      <c r="W33" s="67">
        <f>IFERROR(VLOOKUP($B33,RD[#All],W$2,0)/W$1,"")</f>
        <v>2.797752808988764</v>
      </c>
      <c r="X33" s="67">
        <f>IFERROR(VLOOKUP($B33,RD[#All],X$2,0)/X$1,"")</f>
        <v>2.838951310861423</v>
      </c>
      <c r="Y33" s="67">
        <f>IFERROR(VLOOKUP($B33,RD[#All],Y$2,0)/Y$1,"")</f>
        <v>2.7968885047536731</v>
      </c>
      <c r="Z33" s="67">
        <f>IFERROR(VLOOKUP($B33,RD[#All],Z$2,0)/Z$1,"")</f>
        <v>2.8098210570120683</v>
      </c>
      <c r="AA33" s="67">
        <f>IFERROR(VLOOKUP($B33,RD[#All],AA$2,0)/AA$1,"")</f>
        <v>2.8210890233362145</v>
      </c>
      <c r="AB33" s="67">
        <f>IFERROR(VLOOKUP($B33,RD[#All],AB$2,0)/AB$1,"")</f>
        <v>2.8141745894554884</v>
      </c>
      <c r="AC33" s="67">
        <f>IFERROR(VLOOKUP($B33,RD[#All],AC$2,0)/AC$1,"")</f>
        <v>2.7346585998271391</v>
      </c>
      <c r="AD33" s="67">
        <f>IFERROR(VLOOKUP($B33,RD[#All],AD$2,0)/AD$1,"")</f>
        <v>2.8457761131918433</v>
      </c>
      <c r="AE33" s="67">
        <f>IFERROR(VLOOKUP($B33,RD[#All],AE$2,0)/AE$1,"")</f>
        <v>2.7249271743653765</v>
      </c>
      <c r="AF33" s="67">
        <f>IFERROR(VLOOKUP($B33,RD[#All],AF$2,0)/AF$1,"")</f>
        <v>2.8484394506866417</v>
      </c>
      <c r="AG33" s="67">
        <f>IFERROR(VLOOKUP($B33,RD[#All],AG$2,0)/AG$1,"")</f>
        <v>2.7265917602996255</v>
      </c>
      <c r="AH33" s="67">
        <f>IFERROR(VLOOKUP($B33,RD[#All],AH$2,0)/AH$1,"")</f>
        <v>2.8064918851435707</v>
      </c>
      <c r="AI33" s="67">
        <f>IFERROR(VLOOKUP($B33,RD[#All],AI$2,0)/AI$1,"")</f>
        <v>2.757075471698113</v>
      </c>
      <c r="AJ33" s="67">
        <f>IFERROR(VLOOKUP($B33,RD[#All],AJ$2,0)/AJ$1,"")</f>
        <v>2.7888208040651619</v>
      </c>
      <c r="AK33" s="67">
        <f>IFERROR(VLOOKUP($B33,RD[#All],AK$2,0)/AK$1,"")</f>
        <v>2.7955056179775282</v>
      </c>
      <c r="AL33" s="67">
        <f>IFERROR(VLOOKUP($B33,RD[#All],AL$2,0)/AL$1,"")</f>
        <v>2.7835396453663437</v>
      </c>
      <c r="AM33" s="67">
        <f>IFERROR(VLOOKUP($B33,RD[#All],AM$2,0)/AM$1,"")</f>
        <v>2.7749063670411984</v>
      </c>
      <c r="AN33" s="67">
        <f>IFERROR(VLOOKUP($B33,RD[#All],AN$2,0)/AN$1,"")</f>
        <v>2.7490636704119851</v>
      </c>
      <c r="AO33" s="67">
        <f>IFERROR(VLOOKUP($B33,RD[#All],AO$2,0)/AO$1,"")</f>
        <v>2.7340823970037453</v>
      </c>
      <c r="AP33" s="67">
        <f>IFERROR(VLOOKUP($B33,RD[#All],AP$2,0)/AP$1,"")</f>
        <v>2.7797752808988765</v>
      </c>
      <c r="AQ33" s="67">
        <f>IFERROR(VLOOKUP($B33,RD[#All],AQ$2,0)/AQ$1,"")</f>
        <v>2.737827715355805</v>
      </c>
      <c r="AR33" s="67">
        <f>IFERROR(VLOOKUP($B33,RD[#All],AR$2,0)/AR$1,"")</f>
        <v>2.8183520599250937</v>
      </c>
      <c r="AS33" s="67">
        <f>IFERROR(VLOOKUP($B33,RD[#All],AS$2,0)/AS$1,"")</f>
        <v>2.7677902621722845</v>
      </c>
      <c r="AT33" s="67">
        <f>IFERROR(VLOOKUP($B33,RD[#All],AT$2,0)/AT$1,"")</f>
        <v>2.8172284644194758</v>
      </c>
      <c r="AU33" s="67">
        <f>IFERROR(VLOOKUP($B33,RD[#All],AU$2,0)/AU$1,"")</f>
        <v>2.7865168539325844</v>
      </c>
      <c r="AV33" s="67">
        <f>IFERROR(VLOOKUP($B33,RD[#All],AV$2,0)/AV$1,"")</f>
        <v>2.8052434456928839</v>
      </c>
      <c r="AW33" s="67">
        <f>IFERROR(VLOOKUP($B33,RD[#All],AW$2,0)/AW$1,"")</f>
        <v>2.75885911840968</v>
      </c>
      <c r="AX33" s="67">
        <f>IFERROR(VLOOKUP($B33,RD[#All],AX$2,0)/AX$1,"")</f>
        <v>2.7490636704119851</v>
      </c>
      <c r="AY33" s="67">
        <f>IFERROR(VLOOKUP($B33,RD[#All],AY$2,0)/AY$1,"")</f>
        <v>2.757752808988764</v>
      </c>
      <c r="AZ33" s="67">
        <f>IFERROR(VLOOKUP($B33,RD[#All],AZ$2,0)/AZ$1,"")</f>
        <v>2.772134831460674</v>
      </c>
      <c r="BA33" s="67">
        <f>IFERROR(VLOOKUP($B33,RD[#All],BA$2,0)/BA$1,"")</f>
        <v>2.7228464419475658</v>
      </c>
      <c r="BB33" s="67">
        <f>IFERROR(VLOOKUP($B33,RD[#All],BB$2,0)/BB$1,"")</f>
        <v>2.7303370786516852</v>
      </c>
      <c r="BC33" s="67">
        <f>IFERROR(VLOOKUP($B33,RD[#All],BC$2,0)/BC$1,"")</f>
        <v>2.7998335414065751</v>
      </c>
      <c r="BD33" s="67">
        <f>IFERROR(VLOOKUP($B33,RD[#All],BD$2,0)/BD$1,"")</f>
        <v>2.7229296712442781</v>
      </c>
      <c r="BE33" s="67">
        <f>IFERROR(VLOOKUP($B33,RD[#All],BE$2,0)/BE$1,"")</f>
        <v>2.75885911840968</v>
      </c>
      <c r="BF33" s="67">
        <f>IFERROR(VLOOKUP($B33,RD[#All],BF$2,0)/BF$1,"")</f>
        <v>2.829130253849355</v>
      </c>
      <c r="BG33" s="67">
        <f>IFERROR(VLOOKUP($B33,RD[#All],BG$2,0)/BG$1,"")</f>
        <v>2.8294631710362048</v>
      </c>
      <c r="BH33" s="67">
        <f>IFERROR(VLOOKUP($B33,RD[#All],BH$2,0)/BH$1,"")</f>
        <v>2.7677902621722845</v>
      </c>
      <c r="BI33" s="67">
        <f>IFERROR(VLOOKUP($B33,RD[#All],BI$2,0)/BI$1,"")</f>
        <v>2.8064918851435707</v>
      </c>
      <c r="BJ33" s="67">
        <f>IFERROR(VLOOKUP($B33,RD[#All],BJ$2,0)/BJ$1,"")</f>
        <v>2.7931751976695796</v>
      </c>
      <c r="BK33" s="67">
        <f>IFERROR(VLOOKUP($B33,RD[#All],BK$2,0)/BK$1,"")</f>
        <v>2.7449438202247189</v>
      </c>
      <c r="BL33" s="67">
        <f>IFERROR(VLOOKUP($B33,RD[#All],BL$2,0)/BL$1,"")</f>
        <v>2.813650050184008</v>
      </c>
      <c r="BM33" s="67">
        <f>IFERROR(VLOOKUP($B33,RD[#All],BM$2,0)/BM$1,"")</f>
        <v>2.8202247191011236</v>
      </c>
      <c r="BN33" s="67">
        <f>IFERROR(VLOOKUP($B33,RD[#All],BN$2,0)/BN$1,"")</f>
        <v>2.8840125391849529</v>
      </c>
      <c r="BO33" s="67">
        <f>IFERROR(VLOOKUP($B33,RD[#All],BO$2,0)/BO$1,"")</f>
        <v>2.8798617113223854</v>
      </c>
      <c r="BP33" s="67">
        <f>IFERROR(VLOOKUP($B33,RD[#All],BP$2,0)/BP$1,"")</f>
        <v>2.8674157303370786</v>
      </c>
      <c r="BQ33" s="67">
        <f>IFERROR(VLOOKUP($B33,RD[#All],BQ$2,0)/BQ$1,"")</f>
        <v>2.894036300777874</v>
      </c>
      <c r="BR33" s="67">
        <f>IFERROR(VLOOKUP($B33,RD[#All],BR$2,0)/BR$1,"")</f>
        <v>2.8345721694036299</v>
      </c>
      <c r="BS33" s="67">
        <f>IFERROR(VLOOKUP($B33,RD[#All],BS$2,0)/BS$1,"")</f>
        <v>2.8659176029962548</v>
      </c>
      <c r="BT33" s="67">
        <f>IFERROR(VLOOKUP($B33,RD[#All],BT$2,0)/BT$1,"")</f>
        <v>2.857303370786517</v>
      </c>
      <c r="BU33" s="67">
        <f>IFERROR(VLOOKUP($B33,RD[#All],BU$2,0)/BU$1,"")</f>
        <v>2.8685393258426966</v>
      </c>
      <c r="BV33" s="67">
        <f>IFERROR(VLOOKUP($B33,RD[#All],BV$2,0)/BV$1,"")</f>
        <v>2.8614232209737827</v>
      </c>
      <c r="BW33" s="67">
        <f>IFERROR(VLOOKUP($B33,RD[#All],BW$2,0)/BW$1,"")</f>
        <v>2.9213483146067416</v>
      </c>
      <c r="BX33" s="67">
        <f>IFERROR(VLOOKUP($B33,RD[#All],BX$2,0)/BX$1,"")</f>
        <v>2.8891385767790263</v>
      </c>
      <c r="BY33" s="67">
        <f>IFERROR(VLOOKUP($B33,RD[#All],BY$2,0)/BY$1,"")</f>
        <v>2.8990428630878067</v>
      </c>
      <c r="BZ33" s="67">
        <f>IFERROR(VLOOKUP($B33,RD[#All],BZ$2,0)/BZ$1,"")</f>
        <v>2.8634207240948815</v>
      </c>
      <c r="CA33" s="67">
        <f>IFERROR(VLOOKUP($B33,RD[#All],CA$2,0)/CA$1,"")</f>
        <v>2.9000416146483561</v>
      </c>
      <c r="CB33" s="67">
        <f>IFERROR(VLOOKUP($B33,RD[#All],CB$2,0)/CB$1,"")</f>
        <v>2.8726591760299627</v>
      </c>
      <c r="CC33" s="67">
        <f>IFERROR(VLOOKUP($B33,RD[#All],CC$2,0)/CC$1,"")</f>
        <v>2.8494382022471907</v>
      </c>
      <c r="CD33" s="67">
        <f>IFERROR(VLOOKUP($B33,RD[#All],CD$2,0)/CD$1,"")</f>
        <v>2.8345721694036299</v>
      </c>
      <c r="CE33" s="67">
        <f>IFERROR(VLOOKUP($B33,RD[#All],CE$2,0)/CE$1,"")</f>
        <v>2.845692883895131</v>
      </c>
      <c r="CF33" s="67">
        <f>IFERROR(VLOOKUP($B33,RD[#All],CF$2,0)/CF$1,"")</f>
        <v>2.7940074906367043</v>
      </c>
      <c r="CG33" s="67">
        <f>IFERROR(VLOOKUP($B33,RD[#All],CG$2,0)/CG$1,"")</f>
        <v>2.8689138576779025</v>
      </c>
      <c r="CH33" s="67">
        <f>IFERROR(VLOOKUP($B33,RD[#All],CH$2,0)/CH$1,"")</f>
        <v>2.7925093632958804</v>
      </c>
      <c r="CI33" s="67">
        <f>IFERROR(VLOOKUP($B33,RD[#All],CI$2,0)/CI$1,"")</f>
        <v>2.850561797752809</v>
      </c>
      <c r="CJ33" s="67">
        <f>IFERROR(VLOOKUP($B33,RD[#All],CJ$2,0)/CJ$1,"")</f>
        <v>2.7677902621722845</v>
      </c>
      <c r="CK33" s="67">
        <f>IFERROR(VLOOKUP($B33,RD[#All],CK$2,0)/CK$1,"")</f>
        <v>2.8131086142322097</v>
      </c>
      <c r="CL33" s="67">
        <f>IFERROR(VLOOKUP($B33,RD[#All],CL$2,0)/CL$1,"")</f>
        <v>2.8011235955056177</v>
      </c>
      <c r="CM33" s="67">
        <f>IFERROR(VLOOKUP($B33,RD[#All],CM$2,0)/CM$1,"")</f>
        <v>2.8599250936329588</v>
      </c>
      <c r="CN33" s="67">
        <f>IFERROR(VLOOKUP($B33,RD[#All],CN$2,0)/CN$1,"")</f>
        <v>2.8419475655430708</v>
      </c>
      <c r="CO33" s="67">
        <f>IFERROR(VLOOKUP($B33,RD[#All],CO$2,0)/CO$1,"")</f>
        <v>2.8275056179775282</v>
      </c>
      <c r="CP33" s="67">
        <f>IFERROR(VLOOKUP($B33,RD[#All],CP$2,0)/CP$1,"")</f>
        <v>2.8684528954191877</v>
      </c>
      <c r="CQ33" s="67">
        <f>IFERROR(VLOOKUP($B33,RD[#All],CQ$2,0)/CQ$1,"")</f>
        <v>2.7415730337078652</v>
      </c>
      <c r="CR33" s="67">
        <f>IFERROR(VLOOKUP($B33,RD[#All],CR$2,0)/CR$1,"")</f>
        <v>2.7865168539325844</v>
      </c>
      <c r="CS33" s="67">
        <f>IFERROR(VLOOKUP($B33,RD[#All],CS$2,0)/CS$1,"")</f>
        <v>2.8447773616312944</v>
      </c>
      <c r="CT33" s="67">
        <f>IFERROR(VLOOKUP($B33,RD[#All],CT$2,0)/CT$1,"")</f>
        <v>2.8490636704119852</v>
      </c>
      <c r="CU33" s="67">
        <f>IFERROR(VLOOKUP($B33,RD[#All],CU$2,0)/CU$1,"")</f>
        <v>2.8438202247191011</v>
      </c>
      <c r="CV33" s="67">
        <f>IFERROR(VLOOKUP($B33,RD[#All],CV$2,0)/CV$1,"")</f>
        <v>2.8119850187265918</v>
      </c>
      <c r="CW33" s="67">
        <f>IFERROR(VLOOKUP($B33,RD[#All],CW$2,0)/CW$1,"")</f>
        <v>2.8625468164794006</v>
      </c>
      <c r="CX33" s="67">
        <f>IFERROR(VLOOKUP($B33,RD[#All],CX$2,0)/CX$1,"")</f>
        <v>2.8258426966292136</v>
      </c>
      <c r="CY33" s="67">
        <f>IFERROR(VLOOKUP($B33,RD[#All],CY$2,0)/CY$1,"")</f>
        <v>2.8677902621722846</v>
      </c>
      <c r="CZ33" s="67">
        <f>IFERROR(VLOOKUP($B33,RD[#All],CZ$2,0)/CZ$1,"")</f>
        <v>2.8722846441947563</v>
      </c>
      <c r="DA33" s="67">
        <f>IFERROR(VLOOKUP($B33,RD[#All],DA$2,0)/DA$1,"")</f>
        <v>2.8112359550561798</v>
      </c>
      <c r="DB33" s="67">
        <f>IFERROR(VLOOKUP($B33,RD[#All],DB$2,0)/DB$1,"")</f>
        <v>2.8644194756554304</v>
      </c>
      <c r="DC33" s="67">
        <f>IFERROR(VLOOKUP($B33,RD[#All],DC$2,0)/DC$1,"")</f>
        <v>2.7588847274240536</v>
      </c>
      <c r="DD33" s="67">
        <f>IFERROR(VLOOKUP($B33,RD[#All],DD$2,0)/DD$1,"")</f>
        <v>2.8172284644194758</v>
      </c>
      <c r="DE33" s="67">
        <f>IFERROR(VLOOKUP($B33,RD[#All],DE$2,0)/DE$1,"")</f>
        <v>2.7345817727840198</v>
      </c>
      <c r="DF33" s="67">
        <f>IFERROR(VLOOKUP($B33,RD[#All],DF$2,0)/DF$1,"")</f>
        <v>2.7801940448310476</v>
      </c>
      <c r="DG33" s="67">
        <f>IFERROR(VLOOKUP($B33,RD[#All],DG$2,0)/DG$1,"")</f>
        <v>2.7516853932584273</v>
      </c>
      <c r="DH33" s="67">
        <f>IFERROR(VLOOKUP($B33,RD[#All],DH$2,0)/DH$1,"")</f>
        <v>2.7482313774448608</v>
      </c>
      <c r="DI33" s="67">
        <f>IFERROR(VLOOKUP($B33,RD[#All],DI$2,0)/DI$1,"")</f>
        <v>2.7305099394987034</v>
      </c>
      <c r="DJ33" s="67">
        <f>IFERROR(VLOOKUP($B33,RD[#All],DJ$2,0)/DJ$1,"")</f>
        <v>2.8176318063958514</v>
      </c>
      <c r="DK33" s="67">
        <f>IFERROR(VLOOKUP($B33,RD[#All],DK$2,0)/DK$1,"")</f>
        <v>2.8331252600915522</v>
      </c>
      <c r="DL33" s="67">
        <f>IFERROR(VLOOKUP($B33,RD[#All],DL$2,0)/DL$1,"")</f>
        <v>2.8384519350811486</v>
      </c>
      <c r="DM33" s="67">
        <f>IFERROR(VLOOKUP($B33,RD[#All],DM$2,0)/DM$1,"")</f>
        <v>2.8408239700374533</v>
      </c>
      <c r="DN33" s="67">
        <f>IFERROR(VLOOKUP($B33,RD[#All],DN$2,0)/DN$1,"")</f>
        <v>2.8460674157303369</v>
      </c>
      <c r="DO33" s="67">
        <f>IFERROR(VLOOKUP($B33,RD[#All],DO$2,0)/DO$1,"")</f>
        <v>2.7340247574439616</v>
      </c>
      <c r="DP33" s="67">
        <f>IFERROR(VLOOKUP($B33,RD[#All],DP$2,0)/DP$1,"")</f>
        <v>2.7798585101955888</v>
      </c>
      <c r="DQ33" s="67">
        <f>IFERROR(VLOOKUP($B33,RD[#All],DQ$2,0)/DQ$1,"")</f>
        <v>2.7865168539325844</v>
      </c>
      <c r="DR33" s="67">
        <f>IFERROR(VLOOKUP($B33,RD[#All],DR$2,0)/DR$1,"")</f>
        <v>2.8213483146067415</v>
      </c>
      <c r="DS33" s="67">
        <f>IFERROR(VLOOKUP($B33,RD[#All],DS$2,0)/DS$1,"")</f>
        <v>2.7842696629213481</v>
      </c>
      <c r="DT33" s="67">
        <f>IFERROR(VLOOKUP($B33,RD[#All],DT$2,0)/DT$1,"")</f>
        <v>2.8670828131502288</v>
      </c>
      <c r="DU33" s="67">
        <f>IFERROR(VLOOKUP($B33,RD[#All],DU$2,0)/DU$1,"")</f>
        <v>2.8357885975863502</v>
      </c>
      <c r="DV33" s="67">
        <f>IFERROR(VLOOKUP($B33,RD[#All],DV$2,0)/DV$1,"")</f>
        <v>2.7865168539325844</v>
      </c>
      <c r="DW33" s="67">
        <f>IFERROR(VLOOKUP($B33,RD[#All],DW$2,0)/DW$1,"")</f>
        <v>2.7677902621722845</v>
      </c>
      <c r="DX33" s="67">
        <f>IFERROR(VLOOKUP($B33,RD[#All],DX$2,0)/DX$1,"")</f>
        <v>2.8364544319600498</v>
      </c>
      <c r="DY33" s="67">
        <f>IFERROR(VLOOKUP($B33,RD[#All],DY$2,0)/DY$1,"")</f>
        <v>2.8127340823970037</v>
      </c>
      <c r="DZ33" s="67">
        <f>IFERROR(VLOOKUP($B33,RD[#All],DZ$2,0)/DZ$1,"")</f>
        <v>2.797752808988764</v>
      </c>
      <c r="EA33" s="67">
        <f>IFERROR(VLOOKUP($B33,RD[#All],EA$2,0)/EA$1,"")</f>
        <v>2.8131502288805659</v>
      </c>
      <c r="EB33" s="67">
        <f>IFERROR(VLOOKUP($B33,RD[#All],EB$2,0)/EB$1,"")</f>
        <v>2.7332501040366211</v>
      </c>
      <c r="EC33" s="67">
        <f>IFERROR(VLOOKUP($B33,RD[#All],EC$2,0)/EC$1,"")</f>
        <v>2.7363872082973208</v>
      </c>
      <c r="ED33" s="67">
        <f>IFERROR(VLOOKUP($B33,RD[#All],ED$2,0)/ED$1,"")</f>
        <v>2.8200518582541054</v>
      </c>
      <c r="EE33" s="67">
        <f>IFERROR(VLOOKUP($B33,RD[#All],EE$2,0)/EE$1,"")</f>
        <v>2.8013828867761452</v>
      </c>
      <c r="EF33" s="67">
        <f>IFERROR(VLOOKUP($B33,RD[#All],EF$2,0)/EF$1,"")</f>
        <v>2.7783452502553625</v>
      </c>
      <c r="EG33" s="67">
        <f>IFERROR(VLOOKUP($B33,RD[#All],EG$2,0)/EG$1,"")</f>
        <v>2.7622377622377621</v>
      </c>
      <c r="EH33" s="67">
        <f>IFERROR(VLOOKUP($B33,RD[#All],EH$2,0)/EH$1,"")</f>
        <v>2.7646853146853148</v>
      </c>
      <c r="EI33" s="67">
        <f>IFERROR(VLOOKUP($B33,RD[#All],EI$2,0)/EI$1,"")</f>
        <v>2.8286713286713288</v>
      </c>
      <c r="EJ33" s="67">
        <f>IFERROR(VLOOKUP($B33,RD[#All],EJ$2,0)/EJ$1,"")</f>
        <v>2.7702797202797202</v>
      </c>
      <c r="EK33" s="67">
        <f>IFERROR(VLOOKUP($B33,RD[#All],EK$2,0)/EK$1,"")</f>
        <v>2.8368539325842699</v>
      </c>
      <c r="EL33" s="67">
        <f>IFERROR(VLOOKUP($B33,RD[#All],EL$2,0)/EL$1,"")</f>
        <v>2.7827715355805243</v>
      </c>
      <c r="EM33" s="67">
        <f>IFERROR(VLOOKUP($B33,RD[#All],EM$2,0)/EM$1,"")</f>
        <v>2.8203975799481418</v>
      </c>
      <c r="EN33" s="67">
        <f>IFERROR(VLOOKUP($B33,RD[#All],EN$2,0)/EN$1,"")</f>
        <v>2.7664649956784788</v>
      </c>
      <c r="EO33" s="67">
        <f>IFERROR(VLOOKUP($B33,RD[#All],EO$2,0)/EO$1,"")</f>
        <v>2.8382022471910111</v>
      </c>
      <c r="EP33" s="67">
        <f>IFERROR(VLOOKUP($B33,RD[#All],EP$2,0)/EP$1,"")</f>
        <v>2.72428694900605</v>
      </c>
      <c r="EQ33" s="67">
        <f>IFERROR(VLOOKUP($B33,RD[#All],EQ$2,0)/EQ$1,"")</f>
        <v>2.7453183520599249</v>
      </c>
      <c r="ER33" s="67">
        <f>IFERROR(VLOOKUP($B33,RD[#All],ER$2,0)/ER$1,"")</f>
        <v>2.8380293863439929</v>
      </c>
      <c r="ES33" s="67">
        <f>IFERROR(VLOOKUP($B33,RD[#All],ES$2,0)/ES$1,"")</f>
        <v>2.8172284644194758</v>
      </c>
      <c r="ET33" s="67">
        <f>IFERROR(VLOOKUP($B33,RD[#All],ET$2,0)/ET$1,"")</f>
        <v>2.8461695607763025</v>
      </c>
      <c r="EU33" s="67">
        <f>IFERROR(VLOOKUP($B33,RD[#All],EU$2,0)/EU$1,"")</f>
        <v>2.8480553154710457</v>
      </c>
      <c r="EV33" s="67">
        <f>IFERROR(VLOOKUP($B33,RD[#All],EV$2,0)/EV$1,"")</f>
        <v>2.8017286084701816</v>
      </c>
      <c r="EW33" s="67">
        <f>IFERROR(VLOOKUP($B33,RD[#All],EW$2,0)/EW$1,"")</f>
        <v>2.7968885047536731</v>
      </c>
      <c r="EX33" s="67">
        <f>IFERROR(VLOOKUP($B33,RD[#All],EX$2,0)/EX$1,"")</f>
        <v>2.8314606741573032</v>
      </c>
      <c r="EY33" s="67">
        <f>IFERROR(VLOOKUP($B33,RD[#All],EY$2,0)/EY$1,"")</f>
        <v>2.7289221806075741</v>
      </c>
      <c r="EZ33" s="67">
        <f>IFERROR(VLOOKUP($B33,RD[#All],EZ$2,0)/EZ$1,"")</f>
        <v>2.8426966292134832</v>
      </c>
      <c r="FA33" s="67">
        <f>IFERROR(VLOOKUP($B33,RD[#All],FA$2,0)/FA$1,"")</f>
        <v>2.8591760299625468</v>
      </c>
      <c r="FB33" s="67">
        <f>IFERROR(VLOOKUP($B33,RD[#All],FB$2,0)/FB$1,"")</f>
        <v>2.8131086142322097</v>
      </c>
      <c r="FC33" s="67">
        <f>IFERROR(VLOOKUP($B33,RD[#All],FC$2,0)/FC$1,"")</f>
        <v>2.8595505617977528</v>
      </c>
      <c r="FD33" s="67">
        <f>IFERROR(VLOOKUP($B33,RD[#All],FD$2,0)/FD$1,"")</f>
        <v>2.8569288389513106</v>
      </c>
      <c r="FE33" s="67">
        <f>IFERROR(VLOOKUP($B33,RD[#All],FE$2,0)/FE$1,"")</f>
        <v>2.7981060606060608</v>
      </c>
      <c r="FF33" s="67">
        <f>IFERROR(VLOOKUP($B33,RD[#All],FF$2,0)/FF$1,"")</f>
        <v>2.8106060606060606</v>
      </c>
      <c r="FG33" s="67">
        <f>IFERROR(VLOOKUP($B33,RD[#All],FG$2,0)/FG$1,"")</f>
        <v>2.7461279461279462</v>
      </c>
      <c r="FH33" s="67">
        <f>IFERROR(VLOOKUP($B33,RD[#All],FH$2,0)/FH$1,"")</f>
        <v>2.7234848484848486</v>
      </c>
      <c r="FI33" s="67">
        <f>IFERROR(VLOOKUP($B33,RD[#All],FI$2,0)/FI$1,"")</f>
        <v>2.7373737373737375</v>
      </c>
      <c r="FJ33" s="67">
        <f>IFERROR(VLOOKUP($B33,RD[#All],FJ$2,0)/FJ$1,"")</f>
        <v>2.7272727272727271</v>
      </c>
      <c r="FK33" s="67">
        <f>IFERROR(VLOOKUP($B33,RD[#All],FK$2,0)/FK$1,"")</f>
        <v>2.8417508417508417</v>
      </c>
      <c r="FL33" s="67">
        <f>IFERROR(VLOOKUP($B33,RD[#All],FL$2,0)/FL$1,"")</f>
        <v>2.7672727272727271</v>
      </c>
      <c r="FM33" s="67">
        <f>IFERROR(VLOOKUP($B33,RD[#All],FM$2,0)/FM$1,"")</f>
        <v>2.731060606060606</v>
      </c>
      <c r="FN33" s="67">
        <f>IFERROR(VLOOKUP($B33,RD[#All],FN$2,0)/FN$1,"")</f>
        <v>2.7239057239057241</v>
      </c>
      <c r="FO33" s="67">
        <f>IFERROR(VLOOKUP($B33,RD[#All],FO$2,0)/FO$1,"")</f>
        <v>2.8018939393939397</v>
      </c>
      <c r="FP33" s="67">
        <f>IFERROR(VLOOKUP($B33,RD[#All],FP$2,0)/FP$1,"")</f>
        <v>2.7418181818181817</v>
      </c>
      <c r="FQ33" s="67">
        <f>IFERROR(VLOOKUP($B33,RD[#All],FQ$2,0)/FQ$1,"")</f>
        <v>2.7763636363636364</v>
      </c>
      <c r="FR33" s="67">
        <f>IFERROR(VLOOKUP($B33,RD[#All],FR$2,0)/FR$1,"")</f>
        <v>2.7854545454545456</v>
      </c>
      <c r="FS33" s="67">
        <f>IFERROR(VLOOKUP($B33,RD[#All],FS$2,0)/FS$1,"")</f>
        <v>2.7239057239057241</v>
      </c>
      <c r="FT33" s="67">
        <f>IFERROR(VLOOKUP($B33,RD[#All],FT$2,0)/FT$1,"")</f>
        <v>2.7527272727272729</v>
      </c>
      <c r="FU33" s="67">
        <f>IFERROR(VLOOKUP($B33,RD[#All],FU$2,0)/FU$1,"")</f>
        <v>2.8336700336700336</v>
      </c>
      <c r="FV33" s="67">
        <f>IFERROR(VLOOKUP($B33,RD[#All],FV$2,0)/FV$1,"")</f>
        <v>2.7424242424242422</v>
      </c>
      <c r="FW33" s="67">
        <f>IFERROR(VLOOKUP($B33,RD[#All],FW$2,0)/FW$1,"")</f>
        <v>2.7462121212121211</v>
      </c>
      <c r="FX33" s="67">
        <f>IFERROR(VLOOKUP($B33,RD[#All],FX$2,0)/FX$1,"")</f>
        <v>2.731060606060606</v>
      </c>
      <c r="FY33" s="67">
        <f>IFERROR(VLOOKUP($B33,RD[#All],FY$2,0)/FY$1,"")</f>
        <v>2.7239057239057241</v>
      </c>
      <c r="FZ33" s="67">
        <f>IFERROR(VLOOKUP($B33,RD[#All],FZ$2,0)/FZ$1,"")</f>
        <v>2.7424242424242422</v>
      </c>
      <c r="GA33" s="67">
        <f>IFERROR(VLOOKUP($B33,RD[#All],GA$2,0)/GA$1,"")</f>
        <v>2.7622377622377621</v>
      </c>
      <c r="GB33" s="67">
        <f>IFERROR(VLOOKUP($B33,RD[#All],GB$2,0)/GB$1,"")</f>
        <v>2.7912457912457911</v>
      </c>
      <c r="GC33" s="67">
        <f>IFERROR(VLOOKUP($B33,RD[#All],GC$2,0)/GC$1,"")</f>
        <v>2.8316498316498318</v>
      </c>
      <c r="GD33" s="67">
        <f>IFERROR(VLOOKUP($B33,RD[#All],GD$2,0)/GD$1,"")</f>
        <v>2.8465454545454545</v>
      </c>
      <c r="GE33" s="67">
        <f>IFERROR(VLOOKUP($B33,RD[#All],GE$2,0)/GE$1,"")</f>
        <v>2.7276223776223776</v>
      </c>
      <c r="GF33" s="67">
        <f>IFERROR(VLOOKUP($B33,RD[#All],GF$2,0)/GF$1,"")</f>
        <v>2.7272727272727271</v>
      </c>
      <c r="GG33" s="67">
        <f>IFERROR(VLOOKUP($B33,RD[#All],GG$2,0)/GG$1,"")</f>
        <v>2.7636363636363637</v>
      </c>
      <c r="GH33" s="67">
        <f>IFERROR(VLOOKUP($B33,RD[#All],GH$2,0)/GH$1,"")</f>
        <v>2.7418181818181817</v>
      </c>
      <c r="GI33" s="67">
        <f>IFERROR(VLOOKUP($B33,RD[#All],GI$2,0)/GI$1,"")</f>
        <v>2.7614545454545452</v>
      </c>
      <c r="GJ33" s="67">
        <f>IFERROR(VLOOKUP($B33,RD[#All],GJ$2,0)/GJ$1,"")</f>
        <v>2.8286713286713288</v>
      </c>
      <c r="GK33" s="67">
        <f>IFERROR(VLOOKUP($B33,RD[#All],GK$2,0)/GK$1,"")</f>
        <v>2.8329545454545455</v>
      </c>
      <c r="GL33" s="67">
        <f>IFERROR(VLOOKUP($B33,RD[#All],GL$2,0)/GL$1,"")</f>
        <v>2.8537878787878785</v>
      </c>
      <c r="GM33" s="67">
        <f>IFERROR(VLOOKUP($B33,RD[#All],GM$2,0)/GM$1,"")</f>
        <v>2.7890151515151516</v>
      </c>
      <c r="GN33" s="67">
        <f>IFERROR(VLOOKUP($B33,RD[#All],GN$2,0)/GN$1,"")</f>
        <v>2.8481060606060606</v>
      </c>
      <c r="GO33" s="67">
        <f>IFERROR(VLOOKUP($B33,RD[#All],GO$2,0)/GO$1,"")</f>
        <v>2.8598484848484849</v>
      </c>
      <c r="GP33" s="67">
        <f>IFERROR(VLOOKUP($B33,RD[#All],GP$2,0)/GP$1,"")</f>
        <v>2.7840909090909092</v>
      </c>
      <c r="GQ33" s="67">
        <f>IFERROR(VLOOKUP($B33,RD[#All],GQ$2,0)/GQ$1,"")</f>
        <v>2.7654545454545452</v>
      </c>
      <c r="GR33" s="67">
        <f>IFERROR(VLOOKUP($B33,RD[#All],GR$2,0)/GR$1,"")</f>
        <v>2.8106060606060606</v>
      </c>
      <c r="GS33" s="67" t="str">
        <f>IFERROR(VLOOKUP($B33,RD[#All],GS$2,0)/GS$1,"")</f>
        <v/>
      </c>
      <c r="GT33" s="67" t="str">
        <f>IFERROR(VLOOKUP($B33,RD[#All],GT$2,0)/GT$1,"")</f>
        <v/>
      </c>
      <c r="GU33" s="67">
        <f>IFERROR(VLOOKUP($B33,RD[#All],GU$2,0)/GU$1,"")</f>
        <v>2.8456464379947231</v>
      </c>
      <c r="GV33" s="67">
        <f>IFERROR(VLOOKUP($B33,RD[#All],GV$2,0)/GV$1,"")</f>
        <v>2.7790911478854743</v>
      </c>
      <c r="GW33" s="67">
        <f>IFERROR(VLOOKUP($B33,RD[#All],GW$2,0)/GW$1,"")</f>
        <v>2.7642276422764227</v>
      </c>
      <c r="GX33" s="67" t="str">
        <f>IFERROR(VLOOKUP($B33,RD[#All],GX$2,0)/GX$1,"")</f>
        <v/>
      </c>
      <c r="GY33" s="67">
        <f>IFERROR(VLOOKUP($B33,RD[#All],GY$2,0)/GY$1,"")</f>
        <v>2.7375256322624741</v>
      </c>
      <c r="GZ33" s="67">
        <f>IFERROR(VLOOKUP($B33,RD[#All],GZ$2,0)/GZ$1,"")</f>
        <v>2.7752808988764044</v>
      </c>
      <c r="HA33" s="67">
        <f>IFERROR(VLOOKUP($B33,RD[#All],HA$2,0)/HA$1,"")</f>
        <v>2.8404494382022469</v>
      </c>
      <c r="HB33" s="67">
        <f>IFERROR(VLOOKUP($B33,RD[#All],HB$2,0)/HB$1,"")</f>
        <v>2.8535580524344568</v>
      </c>
      <c r="HC33" s="67">
        <f>IFERROR(VLOOKUP($B33,RD[#All],HC$2,0)/HC$1,"")</f>
        <v>2.8764044943820224</v>
      </c>
      <c r="HD33" s="67">
        <f>IFERROR(VLOOKUP($B33,RD[#All],HD$2,0)/HD$1,"")</f>
        <v>2.8295880149812733</v>
      </c>
      <c r="HE33" s="67">
        <f>IFERROR(VLOOKUP($B33,RD[#All],HE$2,0)/HE$1,"")</f>
        <v>2.8610486891385767</v>
      </c>
      <c r="HF33" s="67">
        <f>IFERROR(VLOOKUP($B33,RD[#All],HF$2,0)/HF$1,"")</f>
        <v>2.9074906367041198</v>
      </c>
      <c r="HG33" s="67">
        <f>IFERROR(VLOOKUP($B33,RD[#All],HG$2,0)/HG$1,"")</f>
        <v>2.898501872659176</v>
      </c>
      <c r="HH33" s="67">
        <f>IFERROR(VLOOKUP($B33,RD[#All],HH$2,0)/HH$1,"")</f>
        <v>2.7850187265917605</v>
      </c>
      <c r="HI33" s="67">
        <f>IFERROR(VLOOKUP($B33,RD[#All],HI$2,0)/HI$1,"")</f>
        <v>2.7865168539325844</v>
      </c>
      <c r="HJ33" s="67">
        <f>IFERROR(VLOOKUP($B33,RD[#All],HJ$2,0)/HJ$1,"")</f>
        <v>2.898501872659176</v>
      </c>
      <c r="HK33" s="67">
        <f>IFERROR(VLOOKUP($B33,RD[#All],HK$2,0)/HK$1,"")</f>
        <v>2.7845193508114856</v>
      </c>
      <c r="HL33" s="67">
        <f>IFERROR(VLOOKUP($B33,RD[#All],HL$2,0)/HL$1,"")</f>
        <v>2.8078235538909695</v>
      </c>
      <c r="HM33" s="67">
        <f>IFERROR(VLOOKUP($B33,RD[#All],HM$2,0)/HM$1,"")</f>
        <v>2.8929690998656516</v>
      </c>
      <c r="HN33" s="67">
        <f>IFERROR(VLOOKUP($B33,RD[#All],HN$2,0)/HN$1,"")</f>
        <v>2.9646215853112405</v>
      </c>
      <c r="HO33" s="67">
        <f>IFERROR(VLOOKUP($B33,RD[#All],HO$2,0)/HO$1,"")</f>
        <v>2.9059561128526648</v>
      </c>
      <c r="HP33" s="67">
        <f>IFERROR(VLOOKUP($B33,RD[#All],HP$2,0)/HP$1,"")</f>
        <v>2.9028213166144199</v>
      </c>
      <c r="HQ33" s="67">
        <f>IFERROR(VLOOKUP($B33,RD[#All],HQ$2,0)/HQ$1,"")</f>
        <v>2.7946127946127945</v>
      </c>
      <c r="HR33" s="67">
        <f>IFERROR(VLOOKUP($B33,RD[#All],HR$2,0)/HR$1,"")</f>
        <v>2.7627189324437031</v>
      </c>
      <c r="HS33" s="67">
        <f>IFERROR(VLOOKUP($B33,RD[#All],HS$2,0)/HS$1,"")</f>
        <v>2.8192359550561799</v>
      </c>
      <c r="HT33" s="67">
        <f>IFERROR(VLOOKUP($B33,RD[#All],HT$2,0)/HT$1,"")</f>
        <v>2.8081564710778193</v>
      </c>
      <c r="HU33" s="67">
        <f>IFERROR(VLOOKUP($B33,RD[#All],HU$2,0)/HU$1,"")</f>
        <v>2.8352636127917026</v>
      </c>
      <c r="HV33" s="67">
        <f>IFERROR(VLOOKUP($B33,RD[#All],HV$2,0)/HV$1,"")</f>
        <v>2.780293863439931</v>
      </c>
      <c r="HW33" s="67">
        <f>IFERROR(VLOOKUP($B33,RD[#All],HW$2,0)/HW$1,"")</f>
        <v>2.7685393258426965</v>
      </c>
      <c r="HX33" s="67">
        <f>IFERROR(VLOOKUP($B33,RD[#All],HX$2,0)/HX$1,"")</f>
        <v>2.8006914433880725</v>
      </c>
      <c r="HY33" s="67">
        <f>IFERROR(VLOOKUP($B33,RD[#All],HY$2,0)/HY$1,"")</f>
        <v>2.8081564710778193</v>
      </c>
      <c r="HZ33" s="67">
        <f>IFERROR(VLOOKUP($B33,RD[#All],HZ$2,0)/HZ$1,"")</f>
        <v>2.7452351227632126</v>
      </c>
      <c r="IA33" s="67">
        <f>IFERROR(VLOOKUP($B33,RD[#All],IA$2,0)/IA$1,"")</f>
        <v>2.8123543123543127</v>
      </c>
      <c r="IB33" s="67">
        <f>IFERROR(VLOOKUP($B33,RD[#All],IB$2,0)/IB$1,"")</f>
        <v>2.7348484848484849</v>
      </c>
      <c r="IC33" s="67">
        <f>IFERROR(VLOOKUP($B33,RD[#All],IC$2,0)/IC$1,"")</f>
        <v>2.7960372960372966</v>
      </c>
      <c r="ID33" s="67">
        <f>IFERROR(VLOOKUP($B33,RD[#All],ID$2,0)/ID$1,"")</f>
        <v>2.7422371866816309</v>
      </c>
      <c r="IE33" s="67">
        <f>IFERROR(VLOOKUP($B33,RD[#All],IE$2,0)/IE$1,"")</f>
        <v>2.8064646464646468</v>
      </c>
      <c r="IF33" s="67" t="str">
        <f>IFERROR(VLOOKUP($B33,RD[#All],IF$2,0)/IF$1,"")</f>
        <v/>
      </c>
      <c r="IG33" s="67">
        <f>IFERROR(VLOOKUP($B33,RD[#All],IG$2,0)/IG$1,"")</f>
        <v>2.8446079818850833</v>
      </c>
      <c r="IH33" s="67">
        <f>IFERROR(VLOOKUP($B33,RD[#All],IH$2,0)/IH$1,"")</f>
        <v>2.7899686520376172</v>
      </c>
      <c r="II33" s="67">
        <f>IFERROR(VLOOKUP($B33,RD[#All],II$2,0)/II$1,"")</f>
        <v>2.855721393034826</v>
      </c>
      <c r="IJ33" s="67">
        <f>IFERROR(VLOOKUP($B33,RD[#All],IJ$2,0)/IJ$1,"")</f>
        <v>2.764683875794987</v>
      </c>
      <c r="IK33" s="67">
        <f>IFERROR(VLOOKUP($B33,RD[#All],IK$2,0)/IK$1,"")</f>
        <v>2.8282828282828287</v>
      </c>
      <c r="IL33" s="67" t="str">
        <f>IFERROR(VLOOKUP($B33,RD[#All],IL$2,0)/IL$1,"")</f>
        <v/>
      </c>
      <c r="IM33" s="67" t="str">
        <f>IFERROR(VLOOKUP($B33,RD[#All],IM$2,0)/IM$1,"")</f>
        <v/>
      </c>
      <c r="IN33" s="67">
        <f>IFERROR(VLOOKUP($B33,RD[#All],IN$2,0)/IN$1,"")</f>
        <v>2.8840125391849529</v>
      </c>
      <c r="IO33" s="67">
        <f>IFERROR(VLOOKUP($B33,RD[#All],IO$2,0)/IO$1,"")</f>
        <v>2.8644200626959249</v>
      </c>
      <c r="IP33" s="67">
        <f>IFERROR(VLOOKUP($B33,RD[#All],IP$2,0)/IP$1,"")</f>
        <v>2.8416250271562022</v>
      </c>
      <c r="IQ33" s="67">
        <f>IFERROR(VLOOKUP($B33,RD[#All],IQ$2,0)/IQ$1,"")</f>
        <v>2.7544677544677545</v>
      </c>
      <c r="IR33" s="67">
        <f>IFERROR(VLOOKUP($B33,RD[#All],IR$2,0)/IR$1,"")</f>
        <v>2.8511608623548925</v>
      </c>
      <c r="IS33" s="86">
        <f>IFERROR(AVERAGEIF(Inv_SY_B[[#This Row],[BLK1_INV1]:[BLK8_INV27]],"&gt;"&amp;0.1,Inv_SY_B[[#This Row],[BLK1_INV1]:[BLK8_INV27]]),"")</f>
        <v>2.8077981218863481</v>
      </c>
    </row>
    <row r="34" spans="2:253" x14ac:dyDescent="0.25">
      <c r="B34" s="85">
        <f t="shared" si="0"/>
        <v>45860</v>
      </c>
      <c r="C34" s="67">
        <f>IFERROR(VLOOKUP($B34,RD[#All],C$2,0)/C$1,"")</f>
        <v>4.4632670700086434</v>
      </c>
      <c r="D34" s="67">
        <f>IFERROR(VLOOKUP($B34,RD[#All],D$2,0)/D$1,"")</f>
        <v>4.4535868625756265</v>
      </c>
      <c r="E34" s="67">
        <f>IFERROR(VLOOKUP($B34,RD[#All],E$2,0)/E$1,"")</f>
        <v>4.4438202247191008</v>
      </c>
      <c r="F34" s="67">
        <f>IFERROR(VLOOKUP($B34,RD[#All],F$2,0)/F$1,"")</f>
        <v>4.4606741573033704</v>
      </c>
      <c r="G34" s="67">
        <f>IFERROR(VLOOKUP($B34,RD[#All],G$2,0)/G$1,"")</f>
        <v>4.4770959377700947</v>
      </c>
      <c r="H34" s="67">
        <f>IFERROR(VLOOKUP($B34,RD[#All],H$2,0)/H$1,"")</f>
        <v>4.4681647940074907</v>
      </c>
      <c r="I34" s="67">
        <f>IFERROR(VLOOKUP($B34,RD[#All],I$2,0)/I$1,"")</f>
        <v>4.6029962546816483</v>
      </c>
      <c r="J34" s="67">
        <f>IFERROR(VLOOKUP($B34,RD[#All],J$2,0)/J$1,"")</f>
        <v>4.5880149812734086</v>
      </c>
      <c r="K34" s="67">
        <f>IFERROR(VLOOKUP($B34,RD[#All],K$2,0)/K$1,"")</f>
        <v>4.469213483146067</v>
      </c>
      <c r="L34" s="67">
        <f>IFERROR(VLOOKUP($B34,RD[#All],L$2,0)/L$1,"")</f>
        <v>4.4296629213483145</v>
      </c>
      <c r="M34" s="67">
        <f>IFERROR(VLOOKUP($B34,RD[#All],M$2,0)/M$1,"")</f>
        <v>4.6591760299625467</v>
      </c>
      <c r="N34" s="67">
        <f>IFERROR(VLOOKUP($B34,RD[#All],N$2,0)/N$1,"")</f>
        <v>4.499625468164794</v>
      </c>
      <c r="O34" s="67">
        <f>IFERROR(VLOOKUP($B34,RD[#All],O$2,0)/O$1,"")</f>
        <v>4.584269662921348</v>
      </c>
      <c r="P34" s="67">
        <f>IFERROR(VLOOKUP($B34,RD[#All],P$2,0)/P$1,"")</f>
        <v>4.6046986721144023</v>
      </c>
      <c r="Q34" s="67">
        <f>IFERROR(VLOOKUP($B34,RD[#All],Q$2,0)/Q$1,"")</f>
        <v>4.584269662921348</v>
      </c>
      <c r="R34" s="67">
        <f>IFERROR(VLOOKUP($B34,RD[#All],R$2,0)/R$1,"")</f>
        <v>4.5498127340823968</v>
      </c>
      <c r="S34" s="67">
        <f>IFERROR(VLOOKUP($B34,RD[#All],S$2,0)/S$1,"")</f>
        <v>4.5393258426966296</v>
      </c>
      <c r="T34" s="67">
        <f>IFERROR(VLOOKUP($B34,RD[#All],T$2,0)/T$1,"")</f>
        <v>4.617977528089888</v>
      </c>
      <c r="U34" s="67">
        <f>IFERROR(VLOOKUP($B34,RD[#All],U$2,0)/U$1,"")</f>
        <v>4.5704407951598967</v>
      </c>
      <c r="V34" s="67">
        <f>IFERROR(VLOOKUP($B34,RD[#All],V$2,0)/V$1,"")</f>
        <v>4.5566119273984445</v>
      </c>
      <c r="W34" s="67">
        <f>IFERROR(VLOOKUP($B34,RD[#All],W$2,0)/W$1,"")</f>
        <v>4.5917602996254683</v>
      </c>
      <c r="X34" s="67">
        <f>IFERROR(VLOOKUP($B34,RD[#All],X$2,0)/X$1,"")</f>
        <v>4.4831460674157304</v>
      </c>
      <c r="Y34" s="67">
        <f>IFERROR(VLOOKUP($B34,RD[#All],Y$2,0)/Y$1,"")</f>
        <v>4.6015557476231637</v>
      </c>
      <c r="Z34" s="67">
        <f>IFERROR(VLOOKUP($B34,RD[#All],Z$2,0)/Z$1,"")</f>
        <v>4.6042446941323343</v>
      </c>
      <c r="AA34" s="67">
        <f>IFERROR(VLOOKUP($B34,RD[#All],AA$2,0)/AA$1,"")</f>
        <v>4.5877268798617115</v>
      </c>
      <c r="AB34" s="67">
        <f>IFERROR(VLOOKUP($B34,RD[#All],AB$2,0)/AB$1,"")</f>
        <v>4.6292134831460672</v>
      </c>
      <c r="AC34" s="67">
        <f>IFERROR(VLOOKUP($B34,RD[#All],AC$2,0)/AC$1,"")</f>
        <v>4.4587726879861709</v>
      </c>
      <c r="AD34" s="67">
        <f>IFERROR(VLOOKUP($B34,RD[#All],AD$2,0)/AD$1,"")</f>
        <v>4.6178942987931748</v>
      </c>
      <c r="AE34" s="67">
        <f>IFERROR(VLOOKUP($B34,RD[#All],AE$2,0)/AE$1,"")</f>
        <v>4.4544319600499378</v>
      </c>
      <c r="AF34" s="67">
        <f>IFERROR(VLOOKUP($B34,RD[#All],AF$2,0)/AF$1,"")</f>
        <v>4.5476487723678733</v>
      </c>
      <c r="AG34" s="67">
        <f>IFERROR(VLOOKUP($B34,RD[#All],AG$2,0)/AG$1,"")</f>
        <v>4.4577611319184349</v>
      </c>
      <c r="AH34" s="67">
        <f>IFERROR(VLOOKUP($B34,RD[#All],AH$2,0)/AH$1,"")</f>
        <v>4.5010403662089056</v>
      </c>
      <c r="AI34" s="67">
        <f>IFERROR(VLOOKUP($B34,RD[#All],AI$2,0)/AI$1,"")</f>
        <v>4.4654088050314469</v>
      </c>
      <c r="AJ34" s="67">
        <f>IFERROR(VLOOKUP($B34,RD[#All],AJ$2,0)/AJ$1,"")</f>
        <v>4.5792856075325066</v>
      </c>
      <c r="AK34" s="67">
        <f>IFERROR(VLOOKUP($B34,RD[#All],AK$2,0)/AK$1,"")</f>
        <v>4.4719101123595504</v>
      </c>
      <c r="AL34" s="67">
        <f>IFERROR(VLOOKUP($B34,RD[#All],AL$2,0)/AL$1,"")</f>
        <v>4.4931415189026431</v>
      </c>
      <c r="AM34" s="67">
        <f>IFERROR(VLOOKUP($B34,RD[#All],AM$2,0)/AM$1,"")</f>
        <v>4.5730337078651688</v>
      </c>
      <c r="AN34" s="67">
        <f>IFERROR(VLOOKUP($B34,RD[#All],AN$2,0)/AN$1,"")</f>
        <v>4.4981273408239701</v>
      </c>
      <c r="AO34" s="67">
        <f>IFERROR(VLOOKUP($B34,RD[#All],AO$2,0)/AO$1,"")</f>
        <v>4.4794007490636707</v>
      </c>
      <c r="AP34" s="67">
        <f>IFERROR(VLOOKUP($B34,RD[#All],AP$2,0)/AP$1,"")</f>
        <v>4.4981273408239701</v>
      </c>
      <c r="AQ34" s="67">
        <f>IFERROR(VLOOKUP($B34,RD[#All],AQ$2,0)/AQ$1,"")</f>
        <v>4.5131086142322099</v>
      </c>
      <c r="AR34" s="67">
        <f>IFERROR(VLOOKUP($B34,RD[#All],AR$2,0)/AR$1,"")</f>
        <v>4.5168539325842696</v>
      </c>
      <c r="AS34" s="67">
        <f>IFERROR(VLOOKUP($B34,RD[#All],AS$2,0)/AS$1,"")</f>
        <v>4.4981273408239701</v>
      </c>
      <c r="AT34" s="67">
        <f>IFERROR(VLOOKUP($B34,RD[#All],AT$2,0)/AT$1,"")</f>
        <v>4.5056179775280896</v>
      </c>
      <c r="AU34" s="67">
        <f>IFERROR(VLOOKUP($B34,RD[#All],AU$2,0)/AU$1,"")</f>
        <v>4.4868913857677901</v>
      </c>
      <c r="AV34" s="67">
        <f>IFERROR(VLOOKUP($B34,RD[#All],AV$2,0)/AV$1,"")</f>
        <v>4.5468164794007491</v>
      </c>
      <c r="AW34" s="67">
        <f>IFERROR(VLOOKUP($B34,RD[#All],AW$2,0)/AW$1,"")</f>
        <v>4.497839239412273</v>
      </c>
      <c r="AX34" s="67">
        <f>IFERROR(VLOOKUP($B34,RD[#All],AX$2,0)/AX$1,"")</f>
        <v>4.5730337078651688</v>
      </c>
      <c r="AY34" s="67">
        <f>IFERROR(VLOOKUP($B34,RD[#All],AY$2,0)/AY$1,"")</f>
        <v>4.4835955056179779</v>
      </c>
      <c r="AZ34" s="67">
        <f>IFERROR(VLOOKUP($B34,RD[#All],AZ$2,0)/AZ$1,"")</f>
        <v>4.4512359550561795</v>
      </c>
      <c r="BA34" s="67">
        <f>IFERROR(VLOOKUP($B34,RD[#All],BA$2,0)/BA$1,"")</f>
        <v>4.4580524344569286</v>
      </c>
      <c r="BB34" s="67">
        <f>IFERROR(VLOOKUP($B34,RD[#All],BB$2,0)/BB$1,"")</f>
        <v>4.5280898876404496</v>
      </c>
      <c r="BC34" s="67">
        <f>IFERROR(VLOOKUP($B34,RD[#All],BC$2,0)/BC$1,"")</f>
        <v>4.623553890969621</v>
      </c>
      <c r="BD34" s="67">
        <f>IFERROR(VLOOKUP($B34,RD[#All],BD$2,0)/BD$1,"")</f>
        <v>4.4560965459841864</v>
      </c>
      <c r="BE34" s="67">
        <f>IFERROR(VLOOKUP($B34,RD[#All],BE$2,0)/BE$1,"")</f>
        <v>4.4632670700086434</v>
      </c>
      <c r="BF34" s="67">
        <f>IFERROR(VLOOKUP($B34,RD[#All],BF$2,0)/BF$1,"")</f>
        <v>4.4870578443612148</v>
      </c>
      <c r="BG34" s="67">
        <f>IFERROR(VLOOKUP($B34,RD[#All],BG$2,0)/BG$1,"")</f>
        <v>4.531002913025385</v>
      </c>
      <c r="BH34" s="67">
        <f>IFERROR(VLOOKUP($B34,RD[#All],BH$2,0)/BH$1,"")</f>
        <v>4.5393258426966296</v>
      </c>
      <c r="BI34" s="67">
        <f>IFERROR(VLOOKUP($B34,RD[#All],BI$2,0)/BI$1,"")</f>
        <v>4.464419475655431</v>
      </c>
      <c r="BJ34" s="67">
        <f>IFERROR(VLOOKUP($B34,RD[#All],BJ$2,0)/BJ$1,"")</f>
        <v>4.5110278818143987</v>
      </c>
      <c r="BK34" s="67">
        <f>IFERROR(VLOOKUP($B34,RD[#All],BK$2,0)/BK$1,"")</f>
        <v>4.4906367041198498</v>
      </c>
      <c r="BL34" s="67">
        <f>IFERROR(VLOOKUP($B34,RD[#All],BL$2,0)/BL$1,"")</f>
        <v>4.5332887253261962</v>
      </c>
      <c r="BM34" s="67">
        <f>IFERROR(VLOOKUP($B34,RD[#All],BM$2,0)/BM$1,"")</f>
        <v>4.4794007490636707</v>
      </c>
      <c r="BN34" s="67">
        <f>IFERROR(VLOOKUP($B34,RD[#All],BN$2,0)/BN$1,"")</f>
        <v>4.6018808777429463</v>
      </c>
      <c r="BO34" s="67">
        <f>IFERROR(VLOOKUP($B34,RD[#All],BO$2,0)/BO$1,"")</f>
        <v>4.610544511668107</v>
      </c>
      <c r="BP34" s="67">
        <f>IFERROR(VLOOKUP($B34,RD[#All],BP$2,0)/BP$1,"")</f>
        <v>4.600864304235091</v>
      </c>
      <c r="BQ34" s="67">
        <f>IFERROR(VLOOKUP($B34,RD[#All],BQ$2,0)/BQ$1,"")</f>
        <v>4.6395851339671568</v>
      </c>
      <c r="BR34" s="67">
        <f>IFERROR(VLOOKUP($B34,RD[#All],BR$2,0)/BR$1,"")</f>
        <v>4.5642178046672433</v>
      </c>
      <c r="BS34" s="67">
        <f>IFERROR(VLOOKUP($B34,RD[#All],BS$2,0)/BS$1,"")</f>
        <v>4.6217228464419478</v>
      </c>
      <c r="BT34" s="67">
        <f>IFERROR(VLOOKUP($B34,RD[#All],BT$2,0)/BT$1,"")</f>
        <v>4.5992509363295877</v>
      </c>
      <c r="BU34" s="67">
        <f>IFERROR(VLOOKUP($B34,RD[#All],BU$2,0)/BU$1,"")</f>
        <v>4.6404494382022472</v>
      </c>
      <c r="BV34" s="67">
        <f>IFERROR(VLOOKUP($B34,RD[#All],BV$2,0)/BV$1,"")</f>
        <v>4.6104868913857677</v>
      </c>
      <c r="BW34" s="67">
        <f>IFERROR(VLOOKUP($B34,RD[#All],BW$2,0)/BW$1,"")</f>
        <v>4.6217228464419478</v>
      </c>
      <c r="BX34" s="67">
        <f>IFERROR(VLOOKUP($B34,RD[#All],BX$2,0)/BX$1,"")</f>
        <v>4.6479400749063666</v>
      </c>
      <c r="BY34" s="67">
        <f>IFERROR(VLOOKUP($B34,RD[#All],BY$2,0)/BY$1,"")</f>
        <v>4.6475239284228049</v>
      </c>
      <c r="BZ34" s="67">
        <f>IFERROR(VLOOKUP($B34,RD[#All],BZ$2,0)/BZ$1,"")</f>
        <v>4.6009155222638372</v>
      </c>
      <c r="CA34" s="67">
        <f>IFERROR(VLOOKUP($B34,RD[#All],CA$2,0)/CA$1,"")</f>
        <v>4.6345401581356631</v>
      </c>
      <c r="CB34" s="67">
        <f>IFERROR(VLOOKUP($B34,RD[#All],CB$2,0)/CB$1,"")</f>
        <v>4.6591760299625467</v>
      </c>
      <c r="CC34" s="67">
        <f>IFERROR(VLOOKUP($B34,RD[#All],CC$2,0)/CC$1,"")</f>
        <v>4.6479400749063666</v>
      </c>
      <c r="CD34" s="67">
        <f>IFERROR(VLOOKUP($B34,RD[#All],CD$2,0)/CD$1,"")</f>
        <v>4.6050129645635263</v>
      </c>
      <c r="CE34" s="67">
        <f>IFERROR(VLOOKUP($B34,RD[#All],CE$2,0)/CE$1,"")</f>
        <v>4.584269662921348</v>
      </c>
      <c r="CF34" s="67">
        <f>IFERROR(VLOOKUP($B34,RD[#All],CF$2,0)/CF$1,"")</f>
        <v>4.617977528089888</v>
      </c>
      <c r="CG34" s="67">
        <f>IFERROR(VLOOKUP($B34,RD[#All],CG$2,0)/CG$1,"")</f>
        <v>4.5805243445692883</v>
      </c>
      <c r="CH34" s="67">
        <f>IFERROR(VLOOKUP($B34,RD[#All],CH$2,0)/CH$1,"")</f>
        <v>4.6367041198501875</v>
      </c>
      <c r="CI34" s="67">
        <f>IFERROR(VLOOKUP($B34,RD[#All],CI$2,0)/CI$1,"")</f>
        <v>4.6516853932584272</v>
      </c>
      <c r="CJ34" s="67">
        <f>IFERROR(VLOOKUP($B34,RD[#All],CJ$2,0)/CJ$1,"")</f>
        <v>4.5880149812734086</v>
      </c>
      <c r="CK34" s="67">
        <f>IFERROR(VLOOKUP($B34,RD[#All],CK$2,0)/CK$1,"")</f>
        <v>4.6250936329588015</v>
      </c>
      <c r="CL34" s="67">
        <f>IFERROR(VLOOKUP($B34,RD[#All],CL$2,0)/CL$1,"")</f>
        <v>4.6232209737827716</v>
      </c>
      <c r="CM34" s="67">
        <f>IFERROR(VLOOKUP($B34,RD[#All],CM$2,0)/CM$1,"")</f>
        <v>4.6104868913857677</v>
      </c>
      <c r="CN34" s="67">
        <f>IFERROR(VLOOKUP($B34,RD[#All],CN$2,0)/CN$1,"")</f>
        <v>4.6348314606741576</v>
      </c>
      <c r="CO34" s="67">
        <f>IFERROR(VLOOKUP($B34,RD[#All],CO$2,0)/CO$1,"")</f>
        <v>4.5400449438202246</v>
      </c>
      <c r="CP34" s="67">
        <f>IFERROR(VLOOKUP($B34,RD[#All],CP$2,0)/CP$1,"")</f>
        <v>4.5438202247191013</v>
      </c>
      <c r="CQ34" s="67">
        <f>IFERROR(VLOOKUP($B34,RD[#All],CQ$2,0)/CQ$1,"")</f>
        <v>4.5655430711610485</v>
      </c>
      <c r="CR34" s="67">
        <f>IFERROR(VLOOKUP($B34,RD[#All],CR$2,0)/CR$1,"")</f>
        <v>4.5468164794007491</v>
      </c>
      <c r="CS34" s="67">
        <f>IFERROR(VLOOKUP($B34,RD[#All],CS$2,0)/CS$1,"")</f>
        <v>4.4893882646691639</v>
      </c>
      <c r="CT34" s="67">
        <f>IFERROR(VLOOKUP($B34,RD[#All],CT$2,0)/CT$1,"")</f>
        <v>4.5093632958801502</v>
      </c>
      <c r="CU34" s="67">
        <f>IFERROR(VLOOKUP($B34,RD[#All],CU$2,0)/CU$1,"")</f>
        <v>4.5318352059925093</v>
      </c>
      <c r="CV34" s="67">
        <f>IFERROR(VLOOKUP($B34,RD[#All],CV$2,0)/CV$1,"")</f>
        <v>4.4831460674157304</v>
      </c>
      <c r="CW34" s="67">
        <f>IFERROR(VLOOKUP($B34,RD[#All],CW$2,0)/CW$1,"")</f>
        <v>4.4981273408239701</v>
      </c>
      <c r="CX34" s="67">
        <f>IFERROR(VLOOKUP($B34,RD[#All],CX$2,0)/CX$1,"")</f>
        <v>4.5505617977528088</v>
      </c>
      <c r="CY34" s="67">
        <f>IFERROR(VLOOKUP($B34,RD[#All],CY$2,0)/CY$1,"")</f>
        <v>4.5018726591760299</v>
      </c>
      <c r="CZ34" s="67">
        <f>IFERROR(VLOOKUP($B34,RD[#All],CZ$2,0)/CZ$1,"")</f>
        <v>4.4794007490636707</v>
      </c>
      <c r="DA34" s="67">
        <f>IFERROR(VLOOKUP($B34,RD[#All],DA$2,0)/DA$1,"")</f>
        <v>4.5243445692883899</v>
      </c>
      <c r="DB34" s="67">
        <f>IFERROR(VLOOKUP($B34,RD[#All],DB$2,0)/DB$1,"")</f>
        <v>4.535580524344569</v>
      </c>
      <c r="DC34" s="67">
        <f>IFERROR(VLOOKUP($B34,RD[#All],DC$2,0)/DC$1,"")</f>
        <v>4.5236787349146894</v>
      </c>
      <c r="DD34" s="67">
        <f>IFERROR(VLOOKUP($B34,RD[#All],DD$2,0)/DD$1,"")</f>
        <v>4.4831460674157304</v>
      </c>
      <c r="DE34" s="67">
        <f>IFERROR(VLOOKUP($B34,RD[#All],DE$2,0)/DE$1,"")</f>
        <v>4.531002913025385</v>
      </c>
      <c r="DF34" s="67">
        <f>IFERROR(VLOOKUP($B34,RD[#All],DF$2,0)/DF$1,"")</f>
        <v>4.4345935095349622</v>
      </c>
      <c r="DG34" s="67">
        <f>IFERROR(VLOOKUP($B34,RD[#All],DG$2,0)/DG$1,"")</f>
        <v>4.5269662921348317</v>
      </c>
      <c r="DH34" s="67">
        <f>IFERROR(VLOOKUP($B34,RD[#All],DH$2,0)/DH$1,"")</f>
        <v>4.4544319600499378</v>
      </c>
      <c r="DI34" s="67">
        <f>IFERROR(VLOOKUP($B34,RD[#All],DI$2,0)/DI$1,"")</f>
        <v>4.4459809853068277</v>
      </c>
      <c r="DJ34" s="67">
        <f>IFERROR(VLOOKUP($B34,RD[#All],DJ$2,0)/DJ$1,"")</f>
        <v>4.5738980121002593</v>
      </c>
      <c r="DK34" s="67">
        <f>IFERROR(VLOOKUP($B34,RD[#All],DK$2,0)/DK$1,"")</f>
        <v>4.4977111943404076</v>
      </c>
      <c r="DL34" s="67">
        <f>IFERROR(VLOOKUP($B34,RD[#All],DL$2,0)/DL$1,"")</f>
        <v>4.5243445692883899</v>
      </c>
      <c r="DM34" s="67">
        <f>IFERROR(VLOOKUP($B34,RD[#All],DM$2,0)/DM$1,"")</f>
        <v>4.6217228464419478</v>
      </c>
      <c r="DN34" s="67">
        <f>IFERROR(VLOOKUP($B34,RD[#All],DN$2,0)/DN$1,"")</f>
        <v>4.5022471910112358</v>
      </c>
      <c r="DO34" s="67">
        <f>IFERROR(VLOOKUP($B34,RD[#All],DO$2,0)/DO$1,"")</f>
        <v>4.4596855135496822</v>
      </c>
      <c r="DP34" s="67">
        <f>IFERROR(VLOOKUP($B34,RD[#All],DP$2,0)/DP$1,"")</f>
        <v>4.4377861007074486</v>
      </c>
      <c r="DQ34" s="67">
        <f>IFERROR(VLOOKUP($B34,RD[#All],DQ$2,0)/DQ$1,"")</f>
        <v>4.4178110694964632</v>
      </c>
      <c r="DR34" s="67">
        <f>IFERROR(VLOOKUP($B34,RD[#All],DR$2,0)/DR$1,"")</f>
        <v>4.5205992509363293</v>
      </c>
      <c r="DS34" s="67">
        <f>IFERROR(VLOOKUP($B34,RD[#All],DS$2,0)/DS$1,"")</f>
        <v>4.5056179775280896</v>
      </c>
      <c r="DT34" s="67">
        <f>IFERROR(VLOOKUP($B34,RD[#All],DT$2,0)/DT$1,"")</f>
        <v>4.5013732833957549</v>
      </c>
      <c r="DU34" s="67">
        <f>IFERROR(VLOOKUP($B34,RD[#All],DU$2,0)/DU$1,"")</f>
        <v>4.5419891801914272</v>
      </c>
      <c r="DV34" s="67">
        <f>IFERROR(VLOOKUP($B34,RD[#All],DV$2,0)/DV$1,"")</f>
        <v>4.5243445692883899</v>
      </c>
      <c r="DW34" s="67">
        <f>IFERROR(VLOOKUP($B34,RD[#All],DW$2,0)/DW$1,"")</f>
        <v>4.5580524344569291</v>
      </c>
      <c r="DX34" s="67">
        <f>IFERROR(VLOOKUP($B34,RD[#All],DX$2,0)/DX$1,"")</f>
        <v>4.5479816895547227</v>
      </c>
      <c r="DY34" s="67">
        <f>IFERROR(VLOOKUP($B34,RD[#All],DY$2,0)/DY$1,"")</f>
        <v>4.5363295880149819</v>
      </c>
      <c r="DZ34" s="67">
        <f>IFERROR(VLOOKUP($B34,RD[#All],DZ$2,0)/DZ$1,"")</f>
        <v>4.5393258426966296</v>
      </c>
      <c r="EA34" s="67">
        <f>IFERROR(VLOOKUP($B34,RD[#All],EA$2,0)/EA$1,"")</f>
        <v>4.4577611319184349</v>
      </c>
      <c r="EB34" s="67">
        <f>IFERROR(VLOOKUP($B34,RD[#All],EB$2,0)/EB$1,"")</f>
        <v>4.4777361631294212</v>
      </c>
      <c r="EC34" s="67">
        <f>IFERROR(VLOOKUP($B34,RD[#All],EC$2,0)/EC$1,"")</f>
        <v>4.5462402765773549</v>
      </c>
      <c r="ED34" s="67">
        <f>IFERROR(VLOOKUP($B34,RD[#All],ED$2,0)/ED$1,"")</f>
        <v>4.5358686257562661</v>
      </c>
      <c r="EE34" s="67">
        <f>IFERROR(VLOOKUP($B34,RD[#All],EE$2,0)/EE$1,"")</f>
        <v>4.497839239412273</v>
      </c>
      <c r="EF34" s="67">
        <f>IFERROR(VLOOKUP($B34,RD[#All],EF$2,0)/EF$1,"")</f>
        <v>4.5556690500510726</v>
      </c>
      <c r="EG34" s="67">
        <f>IFERROR(VLOOKUP($B34,RD[#All],EG$2,0)/EG$1,"")</f>
        <v>4.5489510489510492</v>
      </c>
      <c r="EH34" s="67">
        <f>IFERROR(VLOOKUP($B34,RD[#All],EH$2,0)/EH$1,"")</f>
        <v>4.4755244755244759</v>
      </c>
      <c r="EI34" s="67">
        <f>IFERROR(VLOOKUP($B34,RD[#All],EI$2,0)/EI$1,"")</f>
        <v>4.4930069930069934</v>
      </c>
      <c r="EJ34" s="67">
        <f>IFERROR(VLOOKUP($B34,RD[#All],EJ$2,0)/EJ$1,"")</f>
        <v>4.4580419580419584</v>
      </c>
      <c r="EK34" s="67">
        <f>IFERROR(VLOOKUP($B34,RD[#All],EK$2,0)/EK$1,"")</f>
        <v>4.476404494382022</v>
      </c>
      <c r="EL34" s="67">
        <f>IFERROR(VLOOKUP($B34,RD[#All],EL$2,0)/EL$1,"")</f>
        <v>4.4981273408239701</v>
      </c>
      <c r="EM34" s="67">
        <f>IFERROR(VLOOKUP($B34,RD[#All],EM$2,0)/EM$1,"")</f>
        <v>4.5012964563526365</v>
      </c>
      <c r="EN34" s="67">
        <f>IFERROR(VLOOKUP($B34,RD[#All],EN$2,0)/EN$1,"")</f>
        <v>4.4632670700086434</v>
      </c>
      <c r="EO34" s="67">
        <f>IFERROR(VLOOKUP($B34,RD[#All],EO$2,0)/EO$1,"")</f>
        <v>4.5543071161048685</v>
      </c>
      <c r="EP34" s="67">
        <f>IFERROR(VLOOKUP($B34,RD[#All],EP$2,0)/EP$1,"")</f>
        <v>4.5773552290406219</v>
      </c>
      <c r="EQ34" s="67">
        <f>IFERROR(VLOOKUP($B34,RD[#All],EQ$2,0)/EQ$1,"")</f>
        <v>4.4617977528089883</v>
      </c>
      <c r="ER34" s="67">
        <f>IFERROR(VLOOKUP($B34,RD[#All],ER$2,0)/ER$1,"")</f>
        <v>4.5773552290406219</v>
      </c>
      <c r="ES34" s="67">
        <f>IFERROR(VLOOKUP($B34,RD[#All],ES$2,0)/ES$1,"")</f>
        <v>4.5430711610486894</v>
      </c>
      <c r="ET34" s="67">
        <f>IFERROR(VLOOKUP($B34,RD[#All],ET$2,0)/ET$1,"")</f>
        <v>4.5760980592441269</v>
      </c>
      <c r="EU34" s="67">
        <f>IFERROR(VLOOKUP($B34,RD[#All],EU$2,0)/EU$1,"")</f>
        <v>4.5946413137424376</v>
      </c>
      <c r="EV34" s="67">
        <f>IFERROR(VLOOKUP($B34,RD[#All],EV$2,0)/EV$1,"")</f>
        <v>4.5808124459809854</v>
      </c>
      <c r="EW34" s="67">
        <f>IFERROR(VLOOKUP($B34,RD[#All],EW$2,0)/EW$1,"")</f>
        <v>4.584269662921348</v>
      </c>
      <c r="EX34" s="67">
        <f>IFERROR(VLOOKUP($B34,RD[#All],EX$2,0)/EX$1,"")</f>
        <v>4.4943820224719104</v>
      </c>
      <c r="EY34" s="67">
        <f>IFERROR(VLOOKUP($B34,RD[#All],EY$2,0)/EY$1,"")</f>
        <v>4.5609654598418645</v>
      </c>
      <c r="EZ34" s="67">
        <f>IFERROR(VLOOKUP($B34,RD[#All],EZ$2,0)/EZ$1,"")</f>
        <v>4.5992509363295877</v>
      </c>
      <c r="FA34" s="67">
        <f>IFERROR(VLOOKUP($B34,RD[#All],FA$2,0)/FA$1,"")</f>
        <v>4.5168539325842696</v>
      </c>
      <c r="FB34" s="67">
        <f>IFERROR(VLOOKUP($B34,RD[#All],FB$2,0)/FB$1,"")</f>
        <v>4.5280898876404496</v>
      </c>
      <c r="FC34" s="67">
        <f>IFERROR(VLOOKUP($B34,RD[#All],FC$2,0)/FC$1,"")</f>
        <v>4.4981273408239701</v>
      </c>
      <c r="FD34" s="67">
        <f>IFERROR(VLOOKUP($B34,RD[#All],FD$2,0)/FD$1,"")</f>
        <v>4.4719101123595504</v>
      </c>
      <c r="FE34" s="67">
        <f>IFERROR(VLOOKUP($B34,RD[#All],FE$2,0)/FE$1,"")</f>
        <v>4.5075757575757578</v>
      </c>
      <c r="FF34" s="67">
        <f>IFERROR(VLOOKUP($B34,RD[#All],FF$2,0)/FF$1,"")</f>
        <v>4.4772727272727275</v>
      </c>
      <c r="FG34" s="67">
        <f>IFERROR(VLOOKUP($B34,RD[#All],FG$2,0)/FG$1,"")</f>
        <v>4.4343434343434343</v>
      </c>
      <c r="FH34" s="67">
        <f>IFERROR(VLOOKUP($B34,RD[#All],FH$2,0)/FH$1,"")</f>
        <v>4.4772727272727275</v>
      </c>
      <c r="FI34" s="67">
        <f>IFERROR(VLOOKUP($B34,RD[#All],FI$2,0)/FI$1,"")</f>
        <v>4.4612794612794611</v>
      </c>
      <c r="FJ34" s="67">
        <f>IFERROR(VLOOKUP($B34,RD[#All],FJ$2,0)/FJ$1,"")</f>
        <v>4.4208754208754213</v>
      </c>
      <c r="FK34" s="67">
        <f>IFERROR(VLOOKUP($B34,RD[#All],FK$2,0)/FK$1,"")</f>
        <v>4.5824915824915822</v>
      </c>
      <c r="FL34" s="67">
        <f>IFERROR(VLOOKUP($B34,RD[#All],FL$2,0)/FL$1,"")</f>
        <v>4.4872727272727273</v>
      </c>
      <c r="FM34" s="67">
        <f>IFERROR(VLOOKUP($B34,RD[#All],FM$2,0)/FM$1,"")</f>
        <v>4.5681818181818183</v>
      </c>
      <c r="FN34" s="67">
        <f>IFERROR(VLOOKUP($B34,RD[#All],FN$2,0)/FN$1,"")</f>
        <v>4.4478114478114481</v>
      </c>
      <c r="FO34" s="67">
        <f>IFERROR(VLOOKUP($B34,RD[#All],FO$2,0)/FO$1,"")</f>
        <v>4.5113636363636367</v>
      </c>
      <c r="FP34" s="67">
        <f>IFERROR(VLOOKUP($B34,RD[#All],FP$2,0)/FP$1,"")</f>
        <v>4.4629090909090907</v>
      </c>
      <c r="FQ34" s="67">
        <f>IFERROR(VLOOKUP($B34,RD[#All],FQ$2,0)/FQ$1,"")</f>
        <v>4.4763636363636365</v>
      </c>
      <c r="FR34" s="67">
        <f>IFERROR(VLOOKUP($B34,RD[#All],FR$2,0)/FR$1,"")</f>
        <v>4.4800000000000004</v>
      </c>
      <c r="FS34" s="67">
        <f>IFERROR(VLOOKUP($B34,RD[#All],FS$2,0)/FS$1,"")</f>
        <v>4.4915824915824913</v>
      </c>
      <c r="FT34" s="67">
        <f>IFERROR(VLOOKUP($B34,RD[#All],FT$2,0)/FT$1,"")</f>
        <v>4.4327272727272726</v>
      </c>
      <c r="FU34" s="67">
        <f>IFERROR(VLOOKUP($B34,RD[#All],FU$2,0)/FU$1,"")</f>
        <v>4.5488215488215484</v>
      </c>
      <c r="FV34" s="67">
        <f>IFERROR(VLOOKUP($B34,RD[#All],FV$2,0)/FV$1,"")</f>
        <v>4.4734848484848486</v>
      </c>
      <c r="FW34" s="67">
        <f>IFERROR(VLOOKUP($B34,RD[#All],FW$2,0)/FW$1,"")</f>
        <v>4.4621212121212119</v>
      </c>
      <c r="FX34" s="67">
        <f>IFERROR(VLOOKUP($B34,RD[#All],FX$2,0)/FX$1,"")</f>
        <v>4.4696969696969697</v>
      </c>
      <c r="FY34" s="67">
        <f>IFERROR(VLOOKUP($B34,RD[#All],FY$2,0)/FY$1,"")</f>
        <v>4.4545454545454541</v>
      </c>
      <c r="FZ34" s="67">
        <f>IFERROR(VLOOKUP($B34,RD[#All],FZ$2,0)/FZ$1,"")</f>
        <v>4.4356060606060606</v>
      </c>
      <c r="GA34" s="67">
        <f>IFERROR(VLOOKUP($B34,RD[#All],GA$2,0)/GA$1,"")</f>
        <v>4.43006993006993</v>
      </c>
      <c r="GB34" s="67">
        <f>IFERROR(VLOOKUP($B34,RD[#All],GB$2,0)/GB$1,"")</f>
        <v>4.4175084175084178</v>
      </c>
      <c r="GC34" s="67">
        <f>IFERROR(VLOOKUP($B34,RD[#All],GC$2,0)/GC$1,"")</f>
        <v>4.4478114478114481</v>
      </c>
      <c r="GD34" s="67">
        <f>IFERROR(VLOOKUP($B34,RD[#All],GD$2,0)/GD$1,"")</f>
        <v>4.621818181818182</v>
      </c>
      <c r="GE34" s="67">
        <f>IFERROR(VLOOKUP($B34,RD[#All],GE$2,0)/GE$1,"")</f>
        <v>4.4755244755244759</v>
      </c>
      <c r="GF34" s="67">
        <f>IFERROR(VLOOKUP($B34,RD[#All],GF$2,0)/GF$1,"")</f>
        <v>4.1111111111111107</v>
      </c>
      <c r="GG34" s="67">
        <f>IFERROR(VLOOKUP($B34,RD[#All],GG$2,0)/GG$1,"")</f>
        <v>4.4345454545454546</v>
      </c>
      <c r="GH34" s="67">
        <f>IFERROR(VLOOKUP($B34,RD[#All],GH$2,0)/GH$1,"")</f>
        <v>4.4363636363636365</v>
      </c>
      <c r="GI34" s="67">
        <f>IFERROR(VLOOKUP($B34,RD[#All],GI$2,0)/GI$1,"")</f>
        <v>4.4509090909090911</v>
      </c>
      <c r="GJ34" s="67">
        <f>IFERROR(VLOOKUP($B34,RD[#All],GJ$2,0)/GJ$1,"")</f>
        <v>4.5209790209790208</v>
      </c>
      <c r="GK34" s="67">
        <f>IFERROR(VLOOKUP($B34,RD[#All],GK$2,0)/GK$1,"")</f>
        <v>4.5113636363636367</v>
      </c>
      <c r="GL34" s="67">
        <f>IFERROR(VLOOKUP($B34,RD[#All],GL$2,0)/GL$1,"")</f>
        <v>4.5992424242424246</v>
      </c>
      <c r="GM34" s="67">
        <f>IFERROR(VLOOKUP($B34,RD[#All],GM$2,0)/GM$1,"")</f>
        <v>4.5568181818181817</v>
      </c>
      <c r="GN34" s="67">
        <f>IFERROR(VLOOKUP($B34,RD[#All],GN$2,0)/GN$1,"")</f>
        <v>4.6022727272727275</v>
      </c>
      <c r="GO34" s="67">
        <f>IFERROR(VLOOKUP($B34,RD[#All],GO$2,0)/GO$1,"")</f>
        <v>4.625</v>
      </c>
      <c r="GP34" s="67">
        <f>IFERROR(VLOOKUP($B34,RD[#All],GP$2,0)/GP$1,"")</f>
        <v>4.5795454545454541</v>
      </c>
      <c r="GQ34" s="67">
        <f>IFERROR(VLOOKUP($B34,RD[#All],GQ$2,0)/GQ$1,"")</f>
        <v>4.6409090909090907</v>
      </c>
      <c r="GR34" s="67">
        <f>IFERROR(VLOOKUP($B34,RD[#All],GR$2,0)/GR$1,"")</f>
        <v>4.6022727272727275</v>
      </c>
      <c r="GS34" s="67" t="str">
        <f>IFERROR(VLOOKUP($B34,RD[#All],GS$2,0)/GS$1,"")</f>
        <v/>
      </c>
      <c r="GT34" s="67" t="str">
        <f>IFERROR(VLOOKUP($B34,RD[#All],GT$2,0)/GT$1,"")</f>
        <v/>
      </c>
      <c r="GU34" s="67">
        <f>IFERROR(VLOOKUP($B34,RD[#All],GU$2,0)/GU$1,"")</f>
        <v>4.6143359718557608</v>
      </c>
      <c r="GV34" s="67">
        <f>IFERROR(VLOOKUP($B34,RD[#All],GV$2,0)/GV$1,"")</f>
        <v>4.4864722878907282</v>
      </c>
      <c r="GW34" s="67">
        <f>IFERROR(VLOOKUP($B34,RD[#All],GW$2,0)/GW$1,"")</f>
        <v>4.5048041389504796</v>
      </c>
      <c r="GX34" s="67" t="str">
        <f>IFERROR(VLOOKUP($B34,RD[#All],GX$2,0)/GX$1,"")</f>
        <v/>
      </c>
      <c r="GY34" s="67">
        <f>IFERROR(VLOOKUP($B34,RD[#All],GY$2,0)/GY$1,"")</f>
        <v>4.5146958304853042</v>
      </c>
      <c r="GZ34" s="67">
        <f>IFERROR(VLOOKUP($B34,RD[#All],GZ$2,0)/GZ$1,"")</f>
        <v>4.5468164794007491</v>
      </c>
      <c r="HA34" s="67">
        <f>IFERROR(VLOOKUP($B34,RD[#All],HA$2,0)/HA$1,"")</f>
        <v>4.5543071161048685</v>
      </c>
      <c r="HB34" s="67">
        <f>IFERROR(VLOOKUP($B34,RD[#All],HB$2,0)/HB$1,"")</f>
        <v>4.5704119850187261</v>
      </c>
      <c r="HC34" s="67">
        <f>IFERROR(VLOOKUP($B34,RD[#All],HC$2,0)/HC$1,"")</f>
        <v>4.5018726591760299</v>
      </c>
      <c r="HD34" s="67">
        <f>IFERROR(VLOOKUP($B34,RD[#All],HD$2,0)/HD$1,"")</f>
        <v>4.6367041198501875</v>
      </c>
      <c r="HE34" s="67">
        <f>IFERROR(VLOOKUP($B34,RD[#All],HE$2,0)/HE$1,"")</f>
        <v>4.5430711610486894</v>
      </c>
      <c r="HF34" s="67">
        <f>IFERROR(VLOOKUP($B34,RD[#All],HF$2,0)/HF$1,"")</f>
        <v>4.6367041198501875</v>
      </c>
      <c r="HG34" s="67">
        <f>IFERROR(VLOOKUP($B34,RD[#All],HG$2,0)/HG$1,"")</f>
        <v>4.6104868913857677</v>
      </c>
      <c r="HH34" s="67">
        <f>IFERROR(VLOOKUP($B34,RD[#All],HH$2,0)/HH$1,"")</f>
        <v>4.5205992509363293</v>
      </c>
      <c r="HI34" s="67">
        <f>IFERROR(VLOOKUP($B34,RD[#All],HI$2,0)/HI$1,"")</f>
        <v>4.5651685393258434</v>
      </c>
      <c r="HJ34" s="67">
        <f>IFERROR(VLOOKUP($B34,RD[#All],HJ$2,0)/HJ$1,"")</f>
        <v>4.6329588014981278</v>
      </c>
      <c r="HK34" s="67">
        <f>IFERROR(VLOOKUP($B34,RD[#All],HK$2,0)/HK$1,"")</f>
        <v>4.4377861007074486</v>
      </c>
      <c r="HL34" s="67">
        <f>IFERROR(VLOOKUP($B34,RD[#All],HL$2,0)/HL$1,"")</f>
        <v>4.5912609238451934</v>
      </c>
      <c r="HM34" s="67">
        <f>IFERROR(VLOOKUP($B34,RD[#All],HM$2,0)/HM$1,"")</f>
        <v>4.6753246753246751</v>
      </c>
      <c r="HN34" s="67">
        <f>IFERROR(VLOOKUP($B34,RD[#All],HN$2,0)/HN$1,"")</f>
        <v>4.7872816838334078</v>
      </c>
      <c r="HO34" s="67">
        <f>IFERROR(VLOOKUP($B34,RD[#All],HO$2,0)/HO$1,"")</f>
        <v>4.7074190177638453</v>
      </c>
      <c r="HP34" s="67">
        <f>IFERROR(VLOOKUP($B34,RD[#All],HP$2,0)/HP$1,"")</f>
        <v>4.7648902821316614</v>
      </c>
      <c r="HQ34" s="67">
        <f>IFERROR(VLOOKUP($B34,RD[#All],HQ$2,0)/HQ$1,"")</f>
        <v>4.4829244829244832</v>
      </c>
      <c r="HR34" s="67">
        <f>IFERROR(VLOOKUP($B34,RD[#All],HR$2,0)/HR$1,"")</f>
        <v>4.4716430358632193</v>
      </c>
      <c r="HS34" s="67">
        <f>IFERROR(VLOOKUP($B34,RD[#All],HS$2,0)/HS$1,"")</f>
        <v>4.5026516853932579</v>
      </c>
      <c r="HT34" s="67">
        <f>IFERROR(VLOOKUP($B34,RD[#All],HT$2,0)/HT$1,"")</f>
        <v>4.58227215980025</v>
      </c>
      <c r="HU34" s="67">
        <f>IFERROR(VLOOKUP($B34,RD[#All],HU$2,0)/HU$1,"")</f>
        <v>4.5690579083837504</v>
      </c>
      <c r="HV34" s="67">
        <f>IFERROR(VLOOKUP($B34,RD[#All],HV$2,0)/HV$1,"")</f>
        <v>4.4632670700086434</v>
      </c>
      <c r="HW34" s="67">
        <f>IFERROR(VLOOKUP($B34,RD[#All],HW$2,0)/HW$1,"")</f>
        <v>4.6346067415730339</v>
      </c>
      <c r="HX34" s="67">
        <f>IFERROR(VLOOKUP($B34,RD[#All],HX$2,0)/HX$1,"")</f>
        <v>4.5825410544511671</v>
      </c>
      <c r="HY34" s="67">
        <f>IFERROR(VLOOKUP($B34,RD[#All],HY$2,0)/HY$1,"")</f>
        <v>4.5862671660424468</v>
      </c>
      <c r="HZ34" s="67">
        <f>IFERROR(VLOOKUP($B34,RD[#All],HZ$2,0)/HZ$1,"")</f>
        <v>4.4397836038285474</v>
      </c>
      <c r="IA34" s="67">
        <f>IFERROR(VLOOKUP($B34,RD[#All],IA$2,0)/IA$1,"")</f>
        <v>4.4910644910644919</v>
      </c>
      <c r="IB34" s="67">
        <f>IFERROR(VLOOKUP($B34,RD[#All],IB$2,0)/IB$1,"")</f>
        <v>4.4426406926406932</v>
      </c>
      <c r="IC34" s="67">
        <f>IFERROR(VLOOKUP($B34,RD[#All],IC$2,0)/IC$1,"")</f>
        <v>4.4405594405594409</v>
      </c>
      <c r="ID34" s="67">
        <f>IFERROR(VLOOKUP($B34,RD[#All],ID$2,0)/ID$1,"")</f>
        <v>4.4519266741488961</v>
      </c>
      <c r="IE34" s="67">
        <f>IFERROR(VLOOKUP($B34,RD[#All],IE$2,0)/IE$1,"")</f>
        <v>4.4420606060606067</v>
      </c>
      <c r="IF34" s="67" t="str">
        <f>IFERROR(VLOOKUP($B34,RD[#All],IF$2,0)/IF$1,"")</f>
        <v/>
      </c>
      <c r="IG34" s="67">
        <f>IFERROR(VLOOKUP($B34,RD[#All],IG$2,0)/IG$1,"")</f>
        <v>4.531559581092556</v>
      </c>
      <c r="IH34" s="67">
        <f>IFERROR(VLOOKUP($B34,RD[#All],IH$2,0)/IH$1,"")</f>
        <v>4.4444444444444438</v>
      </c>
      <c r="II34" s="67">
        <f>IFERROR(VLOOKUP($B34,RD[#All],II$2,0)/II$1,"")</f>
        <v>4.5373134328358207</v>
      </c>
      <c r="IJ34" s="67">
        <f>IFERROR(VLOOKUP($B34,RD[#All],IJ$2,0)/IJ$1,"")</f>
        <v>4.5342312008978674</v>
      </c>
      <c r="IK34" s="67">
        <f>IFERROR(VLOOKUP($B34,RD[#All],IK$2,0)/IK$1,"")</f>
        <v>4.4405594405594409</v>
      </c>
      <c r="IL34" s="67" t="str">
        <f>IFERROR(VLOOKUP($B34,RD[#All],IL$2,0)/IL$1,"")</f>
        <v/>
      </c>
      <c r="IM34" s="67" t="str">
        <f>IFERROR(VLOOKUP($B34,RD[#All],IM$2,0)/IM$1,"")</f>
        <v/>
      </c>
      <c r="IN34" s="67">
        <f>IFERROR(VLOOKUP($B34,RD[#All],IN$2,0)/IN$1,"")</f>
        <v>4.698014629049112</v>
      </c>
      <c r="IO34" s="67">
        <f>IFERROR(VLOOKUP($B34,RD[#All],IO$2,0)/IO$1,"")</f>
        <v>4.6277429467084641</v>
      </c>
      <c r="IP34" s="67">
        <f>IFERROR(VLOOKUP($B34,RD[#All],IP$2,0)/IP$1,"")</f>
        <v>4.6274169020204212</v>
      </c>
      <c r="IQ34" s="67">
        <f>IFERROR(VLOOKUP($B34,RD[#All],IQ$2,0)/IQ$1,"")</f>
        <v>4.5337995337995345</v>
      </c>
      <c r="IR34" s="67">
        <f>IFERROR(VLOOKUP($B34,RD[#All],IR$2,0)/IR$1,"")</f>
        <v>4.4402985074626864</v>
      </c>
      <c r="IS34" s="86">
        <f>IFERROR(AVERAGEIF(Inv_SY_B[[#This Row],[BLK1_INV1]:[BLK8_INV27]],"&gt;"&amp;0.1,Inv_SY_B[[#This Row],[BLK1_INV1]:[BLK8_INV27]]),"")</f>
        <v>4.5323709188037231</v>
      </c>
    </row>
    <row r="35" spans="2:253" x14ac:dyDescent="0.25">
      <c r="B35" s="87">
        <f>B34+1</f>
        <v>45861</v>
      </c>
      <c r="C35" s="69">
        <f>IFERROR(VLOOKUP($B35,RD[#All],C$2,0)/C$1,"")</f>
        <v>1.6629213483146068</v>
      </c>
      <c r="D35" s="67">
        <f>IFERROR(VLOOKUP($B35,RD[#All],D$2,0)/D$1,"")</f>
        <v>1.6802074330164218</v>
      </c>
      <c r="E35" s="67">
        <f>IFERROR(VLOOKUP($B35,RD[#All],E$2,0)/E$1,"")</f>
        <v>1.6629213483146068</v>
      </c>
      <c r="F35" s="67">
        <f>IFERROR(VLOOKUP($B35,RD[#All],F$2,0)/F$1,"")</f>
        <v>1.651685393258427</v>
      </c>
      <c r="G35" s="67">
        <f>IFERROR(VLOOKUP($B35,RD[#All],G$2,0)/G$1,"")</f>
        <v>1.6822817631806397</v>
      </c>
      <c r="H35" s="67">
        <f>IFERROR(VLOOKUP($B35,RD[#All],H$2,0)/H$1,"")</f>
        <v>1.6891385767790261</v>
      </c>
      <c r="I35" s="67">
        <f>IFERROR(VLOOKUP($B35,RD[#All],I$2,0)/I$1,"")</f>
        <v>1.6955056179775281</v>
      </c>
      <c r="J35" s="67">
        <f>IFERROR(VLOOKUP($B35,RD[#All],J$2,0)/J$1,"")</f>
        <v>1.6779026217228465</v>
      </c>
      <c r="K35" s="67">
        <f>IFERROR(VLOOKUP($B35,RD[#All],K$2,0)/K$1,"")</f>
        <v>1.6539325842696628</v>
      </c>
      <c r="L35" s="67">
        <f>IFERROR(VLOOKUP($B35,RD[#All],L$2,0)/L$1,"")</f>
        <v>1.7006741573033708</v>
      </c>
      <c r="M35" s="67">
        <f>IFERROR(VLOOKUP($B35,RD[#All],M$2,0)/M$1,"")</f>
        <v>1.6853932584269662</v>
      </c>
      <c r="N35" s="67">
        <f>IFERROR(VLOOKUP($B35,RD[#All],N$2,0)/N$1,"")</f>
        <v>1.6816479400749065</v>
      </c>
      <c r="O35" s="67">
        <f>IFERROR(VLOOKUP($B35,RD[#All],O$2,0)/O$1,"")</f>
        <v>1.7134831460674158</v>
      </c>
      <c r="P35" s="67">
        <f>IFERROR(VLOOKUP($B35,RD[#All],P$2,0)/P$1,"")</f>
        <v>1.6506639427987742</v>
      </c>
      <c r="Q35" s="67">
        <f>IFERROR(VLOOKUP($B35,RD[#All],Q$2,0)/Q$1,"")</f>
        <v>1.6820224719101124</v>
      </c>
      <c r="R35" s="67">
        <f>IFERROR(VLOOKUP($B35,RD[#All],R$2,0)/R$1,"")</f>
        <v>1.6891385767790261</v>
      </c>
      <c r="S35" s="67">
        <f>IFERROR(VLOOKUP($B35,RD[#All],S$2,0)/S$1,"")</f>
        <v>1.7003745318352059</v>
      </c>
      <c r="T35" s="67">
        <f>IFERROR(VLOOKUP($B35,RD[#All],T$2,0)/T$1,"")</f>
        <v>1.6838951310861423</v>
      </c>
      <c r="U35" s="67">
        <f>IFERROR(VLOOKUP($B35,RD[#All],U$2,0)/U$1,"")</f>
        <v>1.7078651685393258</v>
      </c>
      <c r="V35" s="67">
        <f>IFERROR(VLOOKUP($B35,RD[#All],V$2,0)/V$1,"")</f>
        <v>1.6840103716508212</v>
      </c>
      <c r="W35" s="67">
        <f>IFERROR(VLOOKUP($B35,RD[#All],W$2,0)/W$1,"")</f>
        <v>1.698876404494382</v>
      </c>
      <c r="X35" s="67">
        <f>IFERROR(VLOOKUP($B35,RD[#All],X$2,0)/X$1,"")</f>
        <v>1.7078651685393258</v>
      </c>
      <c r="Y35" s="67">
        <f>IFERROR(VLOOKUP($B35,RD[#All],Y$2,0)/Y$1,"")</f>
        <v>1.7064822817631806</v>
      </c>
      <c r="Z35" s="67">
        <f>IFERROR(VLOOKUP($B35,RD[#All],Z$2,0)/Z$1,"")</f>
        <v>1.70187265917603</v>
      </c>
      <c r="AA35" s="67">
        <f>IFERROR(VLOOKUP($B35,RD[#All],AA$2,0)/AA$1,"")</f>
        <v>1.7040622299049264</v>
      </c>
      <c r="AB35" s="67">
        <f>IFERROR(VLOOKUP($B35,RD[#All],AB$2,0)/AB$1,"")</f>
        <v>1.6860847018150389</v>
      </c>
      <c r="AC35" s="67">
        <f>IFERROR(VLOOKUP($B35,RD[#All],AC$2,0)/AC$1,"")</f>
        <v>1.6940363007778738</v>
      </c>
      <c r="AD35" s="67">
        <f>IFERROR(VLOOKUP($B35,RD[#All],AD$2,0)/AD$1,"")</f>
        <v>1.6745734498543488</v>
      </c>
      <c r="AE35" s="67">
        <f>IFERROR(VLOOKUP($B35,RD[#All],AE$2,0)/AE$1,"")</f>
        <v>1.6679151061173534</v>
      </c>
      <c r="AF35" s="67">
        <f>IFERROR(VLOOKUP($B35,RD[#All],AF$2,0)/AF$1,"")</f>
        <v>1.7052018310445278</v>
      </c>
      <c r="AG35" s="67">
        <f>IFERROR(VLOOKUP($B35,RD[#All],AG$2,0)/AG$1,"")</f>
        <v>1.6812317935913441</v>
      </c>
      <c r="AH35" s="67">
        <f>IFERROR(VLOOKUP($B35,RD[#All],AH$2,0)/AH$1,"")</f>
        <v>1.6878901373283395</v>
      </c>
      <c r="AI35" s="67">
        <f>IFERROR(VLOOKUP($B35,RD[#All],AI$2,0)/AI$1,"")</f>
        <v>1.654874213836478</v>
      </c>
      <c r="AJ35" s="67">
        <f>IFERROR(VLOOKUP($B35,RD[#All],AJ$2,0)/AJ$1,"")</f>
        <v>1.6619339411149305</v>
      </c>
      <c r="AK35" s="67">
        <f>IFERROR(VLOOKUP($B35,RD[#All],AK$2,0)/AK$1,"")</f>
        <v>1.6891385767790261</v>
      </c>
      <c r="AL35" s="67">
        <f>IFERROR(VLOOKUP($B35,RD[#All],AL$2,0)/AL$1,"")</f>
        <v>1.7029106724657077</v>
      </c>
      <c r="AM35" s="67">
        <f>IFERROR(VLOOKUP($B35,RD[#All],AM$2,0)/AM$1,"")</f>
        <v>1.6853932584269662</v>
      </c>
      <c r="AN35" s="67">
        <f>IFERROR(VLOOKUP($B35,RD[#All],AN$2,0)/AN$1,"")</f>
        <v>1.6779026217228465</v>
      </c>
      <c r="AO35" s="67">
        <f>IFERROR(VLOOKUP($B35,RD[#All],AO$2,0)/AO$1,"")</f>
        <v>1.7153558052434457</v>
      </c>
      <c r="AP35" s="67">
        <f>IFERROR(VLOOKUP($B35,RD[#All],AP$2,0)/AP$1,"")</f>
        <v>1.7191011235955056</v>
      </c>
      <c r="AQ35" s="67">
        <f>IFERROR(VLOOKUP($B35,RD[#All],AQ$2,0)/AQ$1,"")</f>
        <v>1.6591760299625469</v>
      </c>
      <c r="AR35" s="67">
        <f>IFERROR(VLOOKUP($B35,RD[#All],AR$2,0)/AR$1,"")</f>
        <v>1.7116104868913857</v>
      </c>
      <c r="AS35" s="67">
        <f>IFERROR(VLOOKUP($B35,RD[#All],AS$2,0)/AS$1,"")</f>
        <v>1.6891385767790261</v>
      </c>
      <c r="AT35" s="67">
        <f>IFERROR(VLOOKUP($B35,RD[#All],AT$2,0)/AT$1,"")</f>
        <v>1.6704119850187267</v>
      </c>
      <c r="AU35" s="67">
        <f>IFERROR(VLOOKUP($B35,RD[#All],AU$2,0)/AU$1,"")</f>
        <v>1.6779026217228465</v>
      </c>
      <c r="AV35" s="67">
        <f>IFERROR(VLOOKUP($B35,RD[#All],AV$2,0)/AV$1,"")</f>
        <v>1.6928838951310861</v>
      </c>
      <c r="AW35" s="67">
        <f>IFERROR(VLOOKUP($B35,RD[#All],AW$2,0)/AW$1,"")</f>
        <v>1.6629213483146068</v>
      </c>
      <c r="AX35" s="67">
        <f>IFERROR(VLOOKUP($B35,RD[#All],AX$2,0)/AX$1,"")</f>
        <v>1.6779026217228465</v>
      </c>
      <c r="AY35" s="67">
        <f>IFERROR(VLOOKUP($B35,RD[#All],AY$2,0)/AY$1,"")</f>
        <v>1.6647191011235956</v>
      </c>
      <c r="AZ35" s="67">
        <f>IFERROR(VLOOKUP($B35,RD[#All],AZ$2,0)/AZ$1,"")</f>
        <v>1.6826966292134831</v>
      </c>
      <c r="BA35" s="67">
        <f>IFERROR(VLOOKUP($B35,RD[#All],BA$2,0)/BA$1,"")</f>
        <v>1.705243445692884</v>
      </c>
      <c r="BB35" s="67">
        <f>IFERROR(VLOOKUP($B35,RD[#All],BB$2,0)/BB$1,"")</f>
        <v>1.6928838951310861</v>
      </c>
      <c r="BC35" s="67">
        <f>IFERROR(VLOOKUP($B35,RD[#All],BC$2,0)/BC$1,"")</f>
        <v>1.7058676654182272</v>
      </c>
      <c r="BD35" s="67">
        <f>IFERROR(VLOOKUP($B35,RD[#All],BD$2,0)/BD$1,"")</f>
        <v>1.6745734498543488</v>
      </c>
      <c r="BE35" s="67">
        <f>IFERROR(VLOOKUP($B35,RD[#All],BE$2,0)/BE$1,"")</f>
        <v>1.6802074330164218</v>
      </c>
      <c r="BF35" s="67">
        <f>IFERROR(VLOOKUP($B35,RD[#All],BF$2,0)/BF$1,"")</f>
        <v>1.6649188514357054</v>
      </c>
      <c r="BG35" s="67">
        <f>IFERROR(VLOOKUP($B35,RD[#All],BG$2,0)/BG$1,"")</f>
        <v>1.7025384935497294</v>
      </c>
      <c r="BH35" s="67">
        <f>IFERROR(VLOOKUP($B35,RD[#All],BH$2,0)/BH$1,"")</f>
        <v>1.6816479400749065</v>
      </c>
      <c r="BI35" s="67">
        <f>IFERROR(VLOOKUP($B35,RD[#All],BI$2,0)/BI$1,"")</f>
        <v>1.7012068248023304</v>
      </c>
      <c r="BJ35" s="67">
        <f>IFERROR(VLOOKUP($B35,RD[#All],BJ$2,0)/BJ$1,"")</f>
        <v>1.6878901373283395</v>
      </c>
      <c r="BK35" s="67">
        <f>IFERROR(VLOOKUP($B35,RD[#All],BK$2,0)/BK$1,"")</f>
        <v>1.6891385767790261</v>
      </c>
      <c r="BL35" s="67">
        <f>IFERROR(VLOOKUP($B35,RD[#All],BL$2,0)/BL$1,"")</f>
        <v>1.6661090665774507</v>
      </c>
      <c r="BM35" s="67">
        <f>IFERROR(VLOOKUP($B35,RD[#All],BM$2,0)/BM$1,"")</f>
        <v>1.6741573033707866</v>
      </c>
      <c r="BN35" s="67">
        <f>IFERROR(VLOOKUP($B35,RD[#All],BN$2,0)/BN$1,"")</f>
        <v>1.6760710553814002</v>
      </c>
      <c r="BO35" s="67">
        <f>IFERROR(VLOOKUP($B35,RD[#All],BO$2,0)/BO$1,"")</f>
        <v>1.6974935177182369</v>
      </c>
      <c r="BP35" s="67">
        <f>IFERROR(VLOOKUP($B35,RD[#All],BP$2,0)/BP$1,"")</f>
        <v>1.7196197061365599</v>
      </c>
      <c r="BQ35" s="67">
        <f>IFERROR(VLOOKUP($B35,RD[#All],BQ$2,0)/BQ$1,"")</f>
        <v>1.7289541918755402</v>
      </c>
      <c r="BR35" s="67">
        <f>IFERROR(VLOOKUP($B35,RD[#All],BR$2,0)/BR$1,"")</f>
        <v>1.6885047536732929</v>
      </c>
      <c r="BS35" s="67">
        <f>IFERROR(VLOOKUP($B35,RD[#All],BS$2,0)/BS$1,"")</f>
        <v>1.7127340823970039</v>
      </c>
      <c r="BT35" s="67">
        <f>IFERROR(VLOOKUP($B35,RD[#All],BT$2,0)/BT$1,"")</f>
        <v>1.7168539325842695</v>
      </c>
      <c r="BU35" s="67">
        <f>IFERROR(VLOOKUP($B35,RD[#All],BU$2,0)/BU$1,"")</f>
        <v>1.7269662921348314</v>
      </c>
      <c r="BV35" s="67">
        <f>IFERROR(VLOOKUP($B35,RD[#All],BV$2,0)/BV$1,"")</f>
        <v>1.7063670411985019</v>
      </c>
      <c r="BW35" s="67">
        <f>IFERROR(VLOOKUP($B35,RD[#All],BW$2,0)/BW$1,"")</f>
        <v>1.6741573033707866</v>
      </c>
      <c r="BX35" s="67">
        <f>IFERROR(VLOOKUP($B35,RD[#All],BX$2,0)/BX$1,"")</f>
        <v>1.7284644194756553</v>
      </c>
      <c r="BY35" s="67">
        <f>IFERROR(VLOOKUP($B35,RD[#All],BY$2,0)/BY$1,"")</f>
        <v>1.7065334997919268</v>
      </c>
      <c r="BZ35" s="67">
        <f>IFERROR(VLOOKUP($B35,RD[#All],BZ$2,0)/BZ$1,"")</f>
        <v>1.6545984186433624</v>
      </c>
      <c r="CA35" s="67">
        <f>IFERROR(VLOOKUP($B35,RD[#All],CA$2,0)/CA$1,"")</f>
        <v>1.7091968372867248</v>
      </c>
      <c r="CB35" s="67">
        <f>IFERROR(VLOOKUP($B35,RD[#All],CB$2,0)/CB$1,"")</f>
        <v>1.7108614232209738</v>
      </c>
      <c r="CC35" s="67">
        <f>IFERROR(VLOOKUP($B35,RD[#All],CC$2,0)/CC$1,"")</f>
        <v>1.6831460674157304</v>
      </c>
      <c r="CD35" s="67">
        <f>IFERROR(VLOOKUP($B35,RD[#All],CD$2,0)/CD$1,"")</f>
        <v>1.6802074330164218</v>
      </c>
      <c r="CE35" s="67">
        <f>IFERROR(VLOOKUP($B35,RD[#All],CE$2,0)/CE$1,"")</f>
        <v>1.693632958801498</v>
      </c>
      <c r="CF35" s="67">
        <f>IFERROR(VLOOKUP($B35,RD[#All],CF$2,0)/CF$1,"")</f>
        <v>1.7153558052434457</v>
      </c>
      <c r="CG35" s="67">
        <f>IFERROR(VLOOKUP($B35,RD[#All],CG$2,0)/CG$1,"")</f>
        <v>1.7074906367041198</v>
      </c>
      <c r="CH35" s="67">
        <f>IFERROR(VLOOKUP($B35,RD[#All],CH$2,0)/CH$1,"")</f>
        <v>1.7116104868913857</v>
      </c>
      <c r="CI35" s="67">
        <f>IFERROR(VLOOKUP($B35,RD[#All],CI$2,0)/CI$1,"")</f>
        <v>1.6734082397003747</v>
      </c>
      <c r="CJ35" s="67">
        <f>IFERROR(VLOOKUP($B35,RD[#All],CJ$2,0)/CJ$1,"")</f>
        <v>1.6891385767790261</v>
      </c>
      <c r="CK35" s="67">
        <f>IFERROR(VLOOKUP($B35,RD[#All],CK$2,0)/CK$1,"")</f>
        <v>1.6670411985018727</v>
      </c>
      <c r="CL35" s="67">
        <f>IFERROR(VLOOKUP($B35,RD[#All],CL$2,0)/CL$1,"")</f>
        <v>1.6677902621722847</v>
      </c>
      <c r="CM35" s="67">
        <f>IFERROR(VLOOKUP($B35,RD[#All],CM$2,0)/CM$1,"")</f>
        <v>1.7033707865168539</v>
      </c>
      <c r="CN35" s="67">
        <f>IFERROR(VLOOKUP($B35,RD[#All],CN$2,0)/CN$1,"")</f>
        <v>1.6928838951310861</v>
      </c>
      <c r="CO35" s="67">
        <f>IFERROR(VLOOKUP($B35,RD[#All],CO$2,0)/CO$1,"")</f>
        <v>1.6729887640449439</v>
      </c>
      <c r="CP35" s="67">
        <f>IFERROR(VLOOKUP($B35,RD[#All],CP$2,0)/CP$1,"")</f>
        <v>1.7030250648228178</v>
      </c>
      <c r="CQ35" s="67">
        <f>IFERROR(VLOOKUP($B35,RD[#All],CQ$2,0)/CQ$1,"")</f>
        <v>1.6741573033707866</v>
      </c>
      <c r="CR35" s="67">
        <f>IFERROR(VLOOKUP($B35,RD[#All],CR$2,0)/CR$1,"")</f>
        <v>1.7003745318352059</v>
      </c>
      <c r="CS35" s="67">
        <f>IFERROR(VLOOKUP($B35,RD[#All],CS$2,0)/CS$1,"")</f>
        <v>1.6878901373283395</v>
      </c>
      <c r="CT35" s="67">
        <f>IFERROR(VLOOKUP($B35,RD[#All],CT$2,0)/CT$1,"")</f>
        <v>1.6917602996254681</v>
      </c>
      <c r="CU35" s="67">
        <f>IFERROR(VLOOKUP($B35,RD[#All],CU$2,0)/CU$1,"")</f>
        <v>1.6741573033707866</v>
      </c>
      <c r="CV35" s="67">
        <f>IFERROR(VLOOKUP($B35,RD[#All],CV$2,0)/CV$1,"")</f>
        <v>1.6891385767790261</v>
      </c>
      <c r="CW35" s="67">
        <f>IFERROR(VLOOKUP($B35,RD[#All],CW$2,0)/CW$1,"")</f>
        <v>1.6816479400749065</v>
      </c>
      <c r="CX35" s="67">
        <f>IFERROR(VLOOKUP($B35,RD[#All],CX$2,0)/CX$1,"")</f>
        <v>1.6816479400749065</v>
      </c>
      <c r="CY35" s="67">
        <f>IFERROR(VLOOKUP($B35,RD[#All],CY$2,0)/CY$1,"")</f>
        <v>1.6973782771535579</v>
      </c>
      <c r="CZ35" s="67">
        <f>IFERROR(VLOOKUP($B35,RD[#All],CZ$2,0)/CZ$1,"")</f>
        <v>1.7104868913857678</v>
      </c>
      <c r="DA35" s="67">
        <f>IFERROR(VLOOKUP($B35,RD[#All],DA$2,0)/DA$1,"")</f>
        <v>1.6891385767790261</v>
      </c>
      <c r="DB35" s="67">
        <f>IFERROR(VLOOKUP($B35,RD[#All],DB$2,0)/DB$1,"")</f>
        <v>1.6925093632958801</v>
      </c>
      <c r="DC35" s="67">
        <f>IFERROR(VLOOKUP($B35,RD[#All],DC$2,0)/DC$1,"")</f>
        <v>1.6679151061173534</v>
      </c>
      <c r="DD35" s="67">
        <f>IFERROR(VLOOKUP($B35,RD[#All],DD$2,0)/DD$1,"")</f>
        <v>1.6816479400749065</v>
      </c>
      <c r="DE35" s="67">
        <f>IFERROR(VLOOKUP($B35,RD[#All],DE$2,0)/DE$1,"")</f>
        <v>1.6579275905118602</v>
      </c>
      <c r="DF35" s="67">
        <f>IFERROR(VLOOKUP($B35,RD[#All],DF$2,0)/DF$1,"")</f>
        <v>1.6627634660421546</v>
      </c>
      <c r="DG35" s="67">
        <f>IFERROR(VLOOKUP($B35,RD[#All],DG$2,0)/DG$1,"")</f>
        <v>1.6666666666666667</v>
      </c>
      <c r="DH35" s="67">
        <f>IFERROR(VLOOKUP($B35,RD[#All],DH$2,0)/DH$1,"")</f>
        <v>1.6679151061173534</v>
      </c>
      <c r="DI35" s="67">
        <f>IFERROR(VLOOKUP($B35,RD[#All],DI$2,0)/DI$1,"")</f>
        <v>1.6456352636127918</v>
      </c>
      <c r="DJ35" s="67">
        <f>IFERROR(VLOOKUP($B35,RD[#All],DJ$2,0)/DJ$1,"")</f>
        <v>1.7085566119273985</v>
      </c>
      <c r="DK35" s="67">
        <f>IFERROR(VLOOKUP($B35,RD[#All],DK$2,0)/DK$1,"")</f>
        <v>1.6512692467748649</v>
      </c>
      <c r="DL35" s="67">
        <f>IFERROR(VLOOKUP($B35,RD[#All],DL$2,0)/DL$1,"")</f>
        <v>1.6882230545151895</v>
      </c>
      <c r="DM35" s="67">
        <f>IFERROR(VLOOKUP($B35,RD[#All],DM$2,0)/DM$1,"")</f>
        <v>1.6943820224719099</v>
      </c>
      <c r="DN35" s="67">
        <f>IFERROR(VLOOKUP($B35,RD[#All],DN$2,0)/DN$1,"")</f>
        <v>1.6550561797752807</v>
      </c>
      <c r="DO35" s="67">
        <f>IFERROR(VLOOKUP($B35,RD[#All],DO$2,0)/DO$1,"")</f>
        <v>1.6828370692539312</v>
      </c>
      <c r="DP35" s="67">
        <f>IFERROR(VLOOKUP($B35,RD[#All],DP$2,0)/DP$1,"")</f>
        <v>1.6912193091968373</v>
      </c>
      <c r="DQ35" s="67">
        <f>IFERROR(VLOOKUP($B35,RD[#All],DQ$2,0)/DQ$1,"")</f>
        <v>1.6549313358302122</v>
      </c>
      <c r="DR35" s="67">
        <f>IFERROR(VLOOKUP($B35,RD[#All],DR$2,0)/DR$1,"")</f>
        <v>1.6704119850187267</v>
      </c>
      <c r="DS35" s="67">
        <f>IFERROR(VLOOKUP($B35,RD[#All],DS$2,0)/DS$1,"")</f>
        <v>1.696629213483146</v>
      </c>
      <c r="DT35" s="67">
        <f>IFERROR(VLOOKUP($B35,RD[#All],DT$2,0)/DT$1,"")</f>
        <v>1.6679151061173534</v>
      </c>
      <c r="DU35" s="67">
        <f>IFERROR(VLOOKUP($B35,RD[#All],DU$2,0)/DU$1,"")</f>
        <v>1.6745734498543488</v>
      </c>
      <c r="DV35" s="67">
        <f>IFERROR(VLOOKUP($B35,RD[#All],DV$2,0)/DV$1,"")</f>
        <v>1.6891385767790261</v>
      </c>
      <c r="DW35" s="67">
        <f>IFERROR(VLOOKUP($B35,RD[#All],DW$2,0)/DW$1,"")</f>
        <v>1.696629213483146</v>
      </c>
      <c r="DX35" s="67">
        <f>IFERROR(VLOOKUP($B35,RD[#All],DX$2,0)/DX$1,"")</f>
        <v>1.6679151061173534</v>
      </c>
      <c r="DY35" s="67">
        <f>IFERROR(VLOOKUP($B35,RD[#All],DY$2,0)/DY$1,"")</f>
        <v>1.6779026217228465</v>
      </c>
      <c r="DZ35" s="67">
        <f>IFERROR(VLOOKUP($B35,RD[#All],DZ$2,0)/DZ$1,"")</f>
        <v>1.696629213483146</v>
      </c>
      <c r="EA35" s="67">
        <f>IFERROR(VLOOKUP($B35,RD[#All],EA$2,0)/EA$1,"")</f>
        <v>1.6555971702039118</v>
      </c>
      <c r="EB35" s="67">
        <f>IFERROR(VLOOKUP($B35,RD[#All],EB$2,0)/EB$1,"")</f>
        <v>1.6379525593008739</v>
      </c>
      <c r="EC35" s="67">
        <f>IFERROR(VLOOKUP($B35,RD[#All],EC$2,0)/EC$1,"")</f>
        <v>1.6546240276577355</v>
      </c>
      <c r="ED35" s="67">
        <f>IFERROR(VLOOKUP($B35,RD[#All],ED$2,0)/ED$1,"")</f>
        <v>1.6504753673292998</v>
      </c>
      <c r="EE35" s="67">
        <f>IFERROR(VLOOKUP($B35,RD[#All],EE$2,0)/EE$1,"")</f>
        <v>1.6726015557476233</v>
      </c>
      <c r="EF35" s="67">
        <f>IFERROR(VLOOKUP($B35,RD[#All],EF$2,0)/EF$1,"")</f>
        <v>1.684167517875383</v>
      </c>
      <c r="EG35" s="67">
        <f>IFERROR(VLOOKUP($B35,RD[#All],EG$2,0)/EG$1,"")</f>
        <v>1.6468531468531469</v>
      </c>
      <c r="EH35" s="67">
        <f>IFERROR(VLOOKUP($B35,RD[#All],EH$2,0)/EH$1,"")</f>
        <v>1.6573426573426573</v>
      </c>
      <c r="EI35" s="67">
        <f>IFERROR(VLOOKUP($B35,RD[#All],EI$2,0)/EI$1,"")</f>
        <v>1.6503496503496504</v>
      </c>
      <c r="EJ35" s="67">
        <f>IFERROR(VLOOKUP($B35,RD[#All],EJ$2,0)/EJ$1,"")</f>
        <v>1.694055944055944</v>
      </c>
      <c r="EK35" s="67">
        <f>IFERROR(VLOOKUP($B35,RD[#All],EK$2,0)/EK$1,"")</f>
        <v>1.6934831460674158</v>
      </c>
      <c r="EL35" s="67">
        <f>IFERROR(VLOOKUP($B35,RD[#All],EL$2,0)/EL$1,"")</f>
        <v>1.651685393258427</v>
      </c>
      <c r="EM35" s="67">
        <f>IFERROR(VLOOKUP($B35,RD[#All],EM$2,0)/EM$1,"")</f>
        <v>1.6546240276577355</v>
      </c>
      <c r="EN35" s="67">
        <f>IFERROR(VLOOKUP($B35,RD[#All],EN$2,0)/EN$1,"")</f>
        <v>1.6905790838375108</v>
      </c>
      <c r="EO35" s="67">
        <f>IFERROR(VLOOKUP($B35,RD[#All],EO$2,0)/EO$1,"")</f>
        <v>1.7003745318352059</v>
      </c>
      <c r="EP35" s="67">
        <f>IFERROR(VLOOKUP($B35,RD[#All],EP$2,0)/EP$1,"")</f>
        <v>1.7116681071737252</v>
      </c>
      <c r="EQ35" s="67">
        <f>IFERROR(VLOOKUP($B35,RD[#All],EQ$2,0)/EQ$1,"")</f>
        <v>1.7041198501872659</v>
      </c>
      <c r="ER35" s="67">
        <f>IFERROR(VLOOKUP($B35,RD[#All],ER$2,0)/ER$1,"")</f>
        <v>1.6456352636127918</v>
      </c>
      <c r="ES35" s="67">
        <f>IFERROR(VLOOKUP($B35,RD[#All],ES$2,0)/ES$1,"")</f>
        <v>1.6674157303370787</v>
      </c>
      <c r="ET35" s="67">
        <f>IFERROR(VLOOKUP($B35,RD[#All],ET$2,0)/ET$1,"")</f>
        <v>1.6923391215526047</v>
      </c>
      <c r="EU35" s="67">
        <f>IFERROR(VLOOKUP($B35,RD[#All],EU$2,0)/EU$1,"")</f>
        <v>1.6885047536732929</v>
      </c>
      <c r="EV35" s="67">
        <f>IFERROR(VLOOKUP($B35,RD[#All],EV$2,0)/EV$1,"")</f>
        <v>1.6999135695764909</v>
      </c>
      <c r="EW35" s="67">
        <f>IFERROR(VLOOKUP($B35,RD[#All],EW$2,0)/EW$1,"")</f>
        <v>1.6352636127917026</v>
      </c>
      <c r="EX35" s="67">
        <f>IFERROR(VLOOKUP($B35,RD[#All],EX$2,0)/EX$1,"")</f>
        <v>1.6704119850187267</v>
      </c>
      <c r="EY35" s="67">
        <f>IFERROR(VLOOKUP($B35,RD[#All],EY$2,0)/EY$1,"")</f>
        <v>1.6545984186433624</v>
      </c>
      <c r="EZ35" s="67">
        <f>IFERROR(VLOOKUP($B35,RD[#All],EZ$2,0)/EZ$1,"")</f>
        <v>1.696629213483146</v>
      </c>
      <c r="FA35" s="67">
        <f>IFERROR(VLOOKUP($B35,RD[#All],FA$2,0)/FA$1,"")</f>
        <v>1.698876404494382</v>
      </c>
      <c r="FB35" s="67">
        <f>IFERROR(VLOOKUP($B35,RD[#All],FB$2,0)/FB$1,"")</f>
        <v>1.6689138576779028</v>
      </c>
      <c r="FC35" s="67">
        <f>IFERROR(VLOOKUP($B35,RD[#All],FC$2,0)/FC$1,"")</f>
        <v>1.7018726591760298</v>
      </c>
      <c r="FD35" s="67">
        <f>IFERROR(VLOOKUP($B35,RD[#All],FD$2,0)/FD$1,"")</f>
        <v>1.6956554307116105</v>
      </c>
      <c r="FE35" s="67">
        <f>IFERROR(VLOOKUP($B35,RD[#All],FE$2,0)/FE$1,"")</f>
        <v>1.678030303030303</v>
      </c>
      <c r="FF35" s="67">
        <f>IFERROR(VLOOKUP($B35,RD[#All],FF$2,0)/FF$1,"")</f>
        <v>1.6848484848484848</v>
      </c>
      <c r="FG35" s="67">
        <f>IFERROR(VLOOKUP($B35,RD[#All],FG$2,0)/FG$1,"")</f>
        <v>1.6734006734006734</v>
      </c>
      <c r="FH35" s="67">
        <f>IFERROR(VLOOKUP($B35,RD[#All],FH$2,0)/FH$1,"")</f>
        <v>1.696969696969697</v>
      </c>
      <c r="FI35" s="67">
        <f>IFERROR(VLOOKUP($B35,RD[#All],FI$2,0)/FI$1,"")</f>
        <v>1.6565656565656566</v>
      </c>
      <c r="FJ35" s="67">
        <f>IFERROR(VLOOKUP($B35,RD[#All],FJ$2,0)/FJ$1,"")</f>
        <v>1.6632996632996633</v>
      </c>
      <c r="FK35" s="67">
        <f>IFERROR(VLOOKUP($B35,RD[#All],FK$2,0)/FK$1,"")</f>
        <v>1.6902356902356903</v>
      </c>
      <c r="FL35" s="67">
        <f>IFERROR(VLOOKUP($B35,RD[#All],FL$2,0)/FL$1,"")</f>
        <v>1.6436363636363636</v>
      </c>
      <c r="FM35" s="67">
        <f>IFERROR(VLOOKUP($B35,RD[#All],FM$2,0)/FM$1,"")</f>
        <v>1.6704545454545454</v>
      </c>
      <c r="FN35" s="67">
        <f>IFERROR(VLOOKUP($B35,RD[#All],FN$2,0)/FN$1,"")</f>
        <v>1.6498316498316499</v>
      </c>
      <c r="FO35" s="67">
        <f>IFERROR(VLOOKUP($B35,RD[#All],FO$2,0)/FO$1,"")</f>
        <v>1.6856060606060606</v>
      </c>
      <c r="FP35" s="67">
        <f>IFERROR(VLOOKUP($B35,RD[#All],FP$2,0)/FP$1,"")</f>
        <v>1.6945454545454546</v>
      </c>
      <c r="FQ35" s="67">
        <f>IFERROR(VLOOKUP($B35,RD[#All],FQ$2,0)/FQ$1,"")</f>
        <v>1.6472727272727272</v>
      </c>
      <c r="FR35" s="67">
        <f>IFERROR(VLOOKUP($B35,RD[#All],FR$2,0)/FR$1,"")</f>
        <v>1.6872727272727273</v>
      </c>
      <c r="FS35" s="67">
        <f>IFERROR(VLOOKUP($B35,RD[#All],FS$2,0)/FS$1,"")</f>
        <v>1.6868686868686869</v>
      </c>
      <c r="FT35" s="67">
        <f>IFERROR(VLOOKUP($B35,RD[#All],FT$2,0)/FT$1,"")</f>
        <v>1.6763636363636363</v>
      </c>
      <c r="FU35" s="67">
        <f>IFERROR(VLOOKUP($B35,RD[#All],FU$2,0)/FU$1,"")</f>
        <v>1.6757575757575758</v>
      </c>
      <c r="FV35" s="67">
        <f>IFERROR(VLOOKUP($B35,RD[#All],FV$2,0)/FV$1,"")</f>
        <v>1.6628787878787878</v>
      </c>
      <c r="FW35" s="67">
        <f>IFERROR(VLOOKUP($B35,RD[#All],FW$2,0)/FW$1,"")</f>
        <v>1.6818181818181819</v>
      </c>
      <c r="FX35" s="67">
        <f>IFERROR(VLOOKUP($B35,RD[#All],FX$2,0)/FX$1,"")</f>
        <v>1.6931818181818181</v>
      </c>
      <c r="FY35" s="67">
        <f>IFERROR(VLOOKUP($B35,RD[#All],FY$2,0)/FY$1,"")</f>
        <v>1.6936026936026936</v>
      </c>
      <c r="FZ35" s="67">
        <f>IFERROR(VLOOKUP($B35,RD[#All],FZ$2,0)/FZ$1,"")</f>
        <v>1.6742424242424243</v>
      </c>
      <c r="GA35" s="67">
        <f>IFERROR(VLOOKUP($B35,RD[#All],GA$2,0)/GA$1,"")</f>
        <v>1.6923076923076923</v>
      </c>
      <c r="GB35" s="67">
        <f>IFERROR(VLOOKUP($B35,RD[#All],GB$2,0)/GB$1,"")</f>
        <v>1.6666666666666667</v>
      </c>
      <c r="GC35" s="67">
        <f>IFERROR(VLOOKUP($B35,RD[#All],GC$2,0)/GC$1,"")</f>
        <v>1.6430976430976432</v>
      </c>
      <c r="GD35" s="67">
        <f>IFERROR(VLOOKUP($B35,RD[#All],GD$2,0)/GD$1,"")</f>
        <v>1.6785454545454546</v>
      </c>
      <c r="GE35" s="67">
        <f>IFERROR(VLOOKUP($B35,RD[#All],GE$2,0)/GE$1,"")</f>
        <v>1.6643356643356644</v>
      </c>
      <c r="GF35" s="67">
        <f>IFERROR(VLOOKUP($B35,RD[#All],GF$2,0)/GF$1,"")</f>
        <v>1.6397306397306397</v>
      </c>
      <c r="GG35" s="67">
        <f>IFERROR(VLOOKUP($B35,RD[#All],GG$2,0)/GG$1,"")</f>
        <v>1.6763636363636363</v>
      </c>
      <c r="GH35" s="67">
        <f>IFERROR(VLOOKUP($B35,RD[#All],GH$2,0)/GH$1,"")</f>
        <v>1.64</v>
      </c>
      <c r="GI35" s="67">
        <f>IFERROR(VLOOKUP($B35,RD[#All],GI$2,0)/GI$1,"")</f>
        <v>1.6552727272727272</v>
      </c>
      <c r="GJ35" s="67">
        <f>IFERROR(VLOOKUP($B35,RD[#All],GJ$2,0)/GJ$1,"")</f>
        <v>1.6573426573426573</v>
      </c>
      <c r="GK35" s="67">
        <f>IFERROR(VLOOKUP($B35,RD[#All],GK$2,0)/GK$1,"")</f>
        <v>1.7234848484848484</v>
      </c>
      <c r="GL35" s="67">
        <f>IFERROR(VLOOKUP($B35,RD[#All],GL$2,0)/GL$1,"")</f>
        <v>1.6939393939393939</v>
      </c>
      <c r="GM35" s="67">
        <f>IFERROR(VLOOKUP($B35,RD[#All],GM$2,0)/GM$1,"")</f>
        <v>1.6931818181818181</v>
      </c>
      <c r="GN35" s="67">
        <f>IFERROR(VLOOKUP($B35,RD[#All],GN$2,0)/GN$1,"")</f>
        <v>1.7083333333333333</v>
      </c>
      <c r="GO35" s="67">
        <f>IFERROR(VLOOKUP($B35,RD[#All],GO$2,0)/GO$1,"")</f>
        <v>1.696969696969697</v>
      </c>
      <c r="GP35" s="67">
        <f>IFERROR(VLOOKUP($B35,RD[#All],GP$2,0)/GP$1,"")</f>
        <v>1.6818181818181819</v>
      </c>
      <c r="GQ35" s="67">
        <f>IFERROR(VLOOKUP($B35,RD[#All],GQ$2,0)/GQ$1,"")</f>
        <v>1.7318181818181819</v>
      </c>
      <c r="GR35" s="67">
        <f>IFERROR(VLOOKUP($B35,RD[#All],GR$2,0)/GR$1,"")</f>
        <v>1.7083333333333333</v>
      </c>
      <c r="GS35" s="67" t="str">
        <f>IFERROR(VLOOKUP($B35,RD[#All],GS$2,0)/GS$1,"")</f>
        <v/>
      </c>
      <c r="GT35" s="67" t="str">
        <f>IFERROR(VLOOKUP($B35,RD[#All],GT$2,0)/GT$1,"")</f>
        <v/>
      </c>
      <c r="GU35" s="67">
        <f>IFERROR(VLOOKUP($B35,RD[#All],GU$2,0)/GU$1,"")</f>
        <v>1.6596306068601581</v>
      </c>
      <c r="GV35" s="67">
        <f>IFERROR(VLOOKUP($B35,RD[#All],GV$2,0)/GV$1,"")</f>
        <v>1.6548463356973995</v>
      </c>
      <c r="GW35" s="67">
        <f>IFERROR(VLOOKUP($B35,RD[#All],GW$2,0)/GW$1,"")</f>
        <v>1.7036215816703619</v>
      </c>
      <c r="GX35" s="67" t="str">
        <f>IFERROR(VLOOKUP($B35,RD[#All],GX$2,0)/GX$1,"")</f>
        <v/>
      </c>
      <c r="GY35" s="67">
        <f>IFERROR(VLOOKUP($B35,RD[#All],GY$2,0)/GY$1,"")</f>
        <v>1.6985645933014353</v>
      </c>
      <c r="GZ35" s="67">
        <f>IFERROR(VLOOKUP($B35,RD[#All],GZ$2,0)/GZ$1,"")</f>
        <v>1.6629213483146068</v>
      </c>
      <c r="HA35" s="67">
        <f>IFERROR(VLOOKUP($B35,RD[#All],HA$2,0)/HA$1,"")</f>
        <v>1.6779026217228465</v>
      </c>
      <c r="HB35" s="67">
        <f>IFERROR(VLOOKUP($B35,RD[#All],HB$2,0)/HB$1,"")</f>
        <v>1.7059925093632959</v>
      </c>
      <c r="HC35" s="67">
        <f>IFERROR(VLOOKUP($B35,RD[#All],HC$2,0)/HC$1,"")</f>
        <v>1.7153558052434457</v>
      </c>
      <c r="HD35" s="67">
        <f>IFERROR(VLOOKUP($B35,RD[#All],HD$2,0)/HD$1,"")</f>
        <v>1.6816479400749065</v>
      </c>
      <c r="HE35" s="67">
        <f>IFERROR(VLOOKUP($B35,RD[#All],HE$2,0)/HE$1,"")</f>
        <v>1.6898876404494381</v>
      </c>
      <c r="HF35" s="67">
        <f>IFERROR(VLOOKUP($B35,RD[#All],HF$2,0)/HF$1,"")</f>
        <v>1.6928838951310861</v>
      </c>
      <c r="HG35" s="67">
        <f>IFERROR(VLOOKUP($B35,RD[#All],HG$2,0)/HG$1,"")</f>
        <v>1.7434456928838951</v>
      </c>
      <c r="HH35" s="67">
        <f>IFERROR(VLOOKUP($B35,RD[#All],HH$2,0)/HH$1,"")</f>
        <v>1.7078651685393258</v>
      </c>
      <c r="HI35" s="67">
        <f>IFERROR(VLOOKUP($B35,RD[#All],HI$2,0)/HI$1,"")</f>
        <v>1.6816479400749065</v>
      </c>
      <c r="HJ35" s="67">
        <f>IFERROR(VLOOKUP($B35,RD[#All],HJ$2,0)/HJ$1,"")</f>
        <v>1.7322097378277153</v>
      </c>
      <c r="HK35" s="67">
        <f>IFERROR(VLOOKUP($B35,RD[#All],HK$2,0)/HK$1,"")</f>
        <v>1.6745734498543488</v>
      </c>
      <c r="HL35" s="67">
        <f>IFERROR(VLOOKUP($B35,RD[#All],HL$2,0)/HL$1,"")</f>
        <v>1.7155222638368703</v>
      </c>
      <c r="HM35" s="67">
        <f>IFERROR(VLOOKUP($B35,RD[#All],HM$2,0)/HM$1,"")</f>
        <v>1.7510076130765786</v>
      </c>
      <c r="HN35" s="67">
        <f>IFERROR(VLOOKUP($B35,RD[#All],HN$2,0)/HN$1,"")</f>
        <v>1.7330944917151814</v>
      </c>
      <c r="HO35" s="67">
        <f>IFERROR(VLOOKUP($B35,RD[#All],HO$2,0)/HO$1,"")</f>
        <v>1.7351097178683386</v>
      </c>
      <c r="HP35" s="67">
        <f>IFERROR(VLOOKUP($B35,RD[#All],HP$2,0)/HP$1,"")</f>
        <v>1.780564263322884</v>
      </c>
      <c r="HQ35" s="67">
        <f>IFERROR(VLOOKUP($B35,RD[#All],HQ$2,0)/HQ$1,"")</f>
        <v>1.6835016835016834</v>
      </c>
      <c r="HR35" s="67">
        <f>IFERROR(VLOOKUP($B35,RD[#All],HR$2,0)/HR$1,"")</f>
        <v>1.6563803169307756</v>
      </c>
      <c r="HS35" s="67">
        <f>IFERROR(VLOOKUP($B35,RD[#All],HS$2,0)/HS$1,"")</f>
        <v>1.6956404494382022</v>
      </c>
      <c r="HT35" s="67">
        <f>IFERROR(VLOOKUP($B35,RD[#All],HT$2,0)/HT$1,"")</f>
        <v>1.7115272575946734</v>
      </c>
      <c r="HU35" s="67">
        <f>IFERROR(VLOOKUP($B35,RD[#All],HU$2,0)/HU$1,"")</f>
        <v>1.6867761452031114</v>
      </c>
      <c r="HV35" s="67">
        <f>IFERROR(VLOOKUP($B35,RD[#All],HV$2,0)/HV$1,"")</f>
        <v>1.6663785652549699</v>
      </c>
      <c r="HW35" s="67">
        <f>IFERROR(VLOOKUP($B35,RD[#All],HW$2,0)/HW$1,"")</f>
        <v>1.7096629213483145</v>
      </c>
      <c r="HX35" s="67">
        <f>IFERROR(VLOOKUP($B35,RD[#All],HX$2,0)/HX$1,"")</f>
        <v>1.6767502160760588</v>
      </c>
      <c r="HY35" s="67">
        <f>IFERROR(VLOOKUP($B35,RD[#All],HY$2,0)/HY$1,"")</f>
        <v>1.6679151061173534</v>
      </c>
      <c r="HZ35" s="67">
        <f>IFERROR(VLOOKUP($B35,RD[#All],HZ$2,0)/HZ$1,"")</f>
        <v>1.6545984186433624</v>
      </c>
      <c r="IA35" s="67">
        <f>IFERROR(VLOOKUP($B35,RD[#All],IA$2,0)/IA$1,"")</f>
        <v>1.6472416472416473</v>
      </c>
      <c r="IB35" s="67">
        <f>IFERROR(VLOOKUP($B35,RD[#All],IB$2,0)/IB$1,"")</f>
        <v>1.6630591630591631</v>
      </c>
      <c r="IC35" s="67">
        <f>IFERROR(VLOOKUP($B35,RD[#All],IC$2,0)/IC$1,"")</f>
        <v>1.7055167055167058</v>
      </c>
      <c r="ID35" s="67">
        <f>IFERROR(VLOOKUP($B35,RD[#All],ID$2,0)/ID$1,"")</f>
        <v>1.6685372240927796</v>
      </c>
      <c r="IE35" s="67">
        <f>IFERROR(VLOOKUP($B35,RD[#All],IE$2,0)/IE$1,"")</f>
        <v>1.662222222222222</v>
      </c>
      <c r="IF35" s="67" t="str">
        <f>IFERROR(VLOOKUP($B35,RD[#All],IF$2,0)/IF$1,"")</f>
        <v/>
      </c>
      <c r="IG35" s="67">
        <f>IFERROR(VLOOKUP($B35,RD[#All],IG$2,0)/IG$1,"")</f>
        <v>1.7322388904613641</v>
      </c>
      <c r="IH35" s="67">
        <f>IFERROR(VLOOKUP($B35,RD[#All],IH$2,0)/IH$1,"")</f>
        <v>1.6753744339951235</v>
      </c>
      <c r="II35" s="67">
        <f>IFERROR(VLOOKUP($B35,RD[#All],II$2,0)/II$1,"")</f>
        <v>1.6616915422885572</v>
      </c>
      <c r="IJ35" s="67">
        <f>IFERROR(VLOOKUP($B35,RD[#All],IJ$2,0)/IJ$1,"")</f>
        <v>1.6909839132061353</v>
      </c>
      <c r="IK35" s="67">
        <f>IFERROR(VLOOKUP($B35,RD[#All],IK$2,0)/IK$1,"")</f>
        <v>1.6783216783216786</v>
      </c>
      <c r="IL35" s="67" t="str">
        <f>IFERROR(VLOOKUP($B35,RD[#All],IL$2,0)/IL$1,"")</f>
        <v/>
      </c>
      <c r="IM35" s="67" t="str">
        <f>IFERROR(VLOOKUP($B35,RD[#All],IM$2,0)/IM$1,"")</f>
        <v/>
      </c>
      <c r="IN35" s="67">
        <f>IFERROR(VLOOKUP($B35,RD[#All],IN$2,0)/IN$1,"")</f>
        <v>1.7387669801462904</v>
      </c>
      <c r="IO35" s="67">
        <f>IFERROR(VLOOKUP($B35,RD[#All],IO$2,0)/IO$1,"")</f>
        <v>1.7437304075235109</v>
      </c>
      <c r="IP35" s="67">
        <f>IFERROR(VLOOKUP($B35,RD[#All],IP$2,0)/IP$1,"")</f>
        <v>1.7162719965240061</v>
      </c>
      <c r="IQ35" s="67">
        <f>IFERROR(VLOOKUP($B35,RD[#All],IQ$2,0)/IQ$1,"")</f>
        <v>1.6783216783216786</v>
      </c>
      <c r="IR35" s="67">
        <f>IFERROR(VLOOKUP($B35,RD[#All],IR$2,0)/IR$1,"")</f>
        <v>1.7101990049751246</v>
      </c>
      <c r="IS35" s="86">
        <f>IFERROR(AVERAGEIF(Inv_SY_B[[#This Row],[BLK1_INV1]:[BLK8_INV27]],"&gt;"&amp;0.1,Inv_SY_B[[#This Row],[BLK1_INV1]:[BLK8_INV27]]),"")</f>
        <v>1.6851525592387955</v>
      </c>
    </row>
    <row r="36" spans="2:253" x14ac:dyDescent="0.25">
      <c r="B36" s="87">
        <f t="shared" ref="B36:B53" si="1">B35+1</f>
        <v>45862</v>
      </c>
      <c r="C36" s="67">
        <f>IFERROR(VLOOKUP($B36,RD[#All],C$2,0)/C$1,"")</f>
        <v>0</v>
      </c>
      <c r="D36" s="67">
        <f>IFERROR(VLOOKUP($B36,RD[#All],D$2,0)/D$1,"")</f>
        <v>0</v>
      </c>
      <c r="E36" s="67">
        <f>IFERROR(VLOOKUP($B36,RD[#All],E$2,0)/E$1,"")</f>
        <v>0</v>
      </c>
      <c r="F36" s="67">
        <f>IFERROR(VLOOKUP($B36,RD[#All],F$2,0)/F$1,"")</f>
        <v>0</v>
      </c>
      <c r="G36" s="67">
        <f>IFERROR(VLOOKUP($B36,RD[#All],G$2,0)/G$1,"")</f>
        <v>0</v>
      </c>
      <c r="H36" s="67">
        <f>IFERROR(VLOOKUP($B36,RD[#All],H$2,0)/H$1,"")</f>
        <v>0</v>
      </c>
      <c r="I36" s="67">
        <f>IFERROR(VLOOKUP($B36,RD[#All],I$2,0)/I$1,"")</f>
        <v>0</v>
      </c>
      <c r="J36" s="67">
        <f>IFERROR(VLOOKUP($B36,RD[#All],J$2,0)/J$1,"")</f>
        <v>0</v>
      </c>
      <c r="K36" s="67">
        <f>IFERROR(VLOOKUP($B36,RD[#All],K$2,0)/K$1,"")</f>
        <v>0</v>
      </c>
      <c r="L36" s="67">
        <f>IFERROR(VLOOKUP($B36,RD[#All],L$2,0)/L$1,"")</f>
        <v>0</v>
      </c>
      <c r="M36" s="67">
        <f>IFERROR(VLOOKUP($B36,RD[#All],M$2,0)/M$1,"")</f>
        <v>0</v>
      </c>
      <c r="N36" s="67">
        <f>IFERROR(VLOOKUP($B36,RD[#All],N$2,0)/N$1,"")</f>
        <v>0</v>
      </c>
      <c r="O36" s="67">
        <f>IFERROR(VLOOKUP($B36,RD[#All],O$2,0)/O$1,"")</f>
        <v>0</v>
      </c>
      <c r="P36" s="67">
        <f>IFERROR(VLOOKUP($B36,RD[#All],P$2,0)/P$1,"")</f>
        <v>0</v>
      </c>
      <c r="Q36" s="67">
        <f>IFERROR(VLOOKUP($B36,RD[#All],Q$2,0)/Q$1,"")</f>
        <v>0</v>
      </c>
      <c r="R36" s="67">
        <f>IFERROR(VLOOKUP($B36,RD[#All],R$2,0)/R$1,"")</f>
        <v>0</v>
      </c>
      <c r="S36" s="67">
        <f>IFERROR(VLOOKUP($B36,RD[#All],S$2,0)/S$1,"")</f>
        <v>0</v>
      </c>
      <c r="T36" s="67">
        <f>IFERROR(VLOOKUP($B36,RD[#All],T$2,0)/T$1,"")</f>
        <v>0</v>
      </c>
      <c r="U36" s="67">
        <f>IFERROR(VLOOKUP($B36,RD[#All],U$2,0)/U$1,"")</f>
        <v>0</v>
      </c>
      <c r="V36" s="67">
        <f>IFERROR(VLOOKUP($B36,RD[#All],V$2,0)/V$1,"")</f>
        <v>0</v>
      </c>
      <c r="W36" s="67">
        <f>IFERROR(VLOOKUP($B36,RD[#All],W$2,0)/W$1,"")</f>
        <v>0</v>
      </c>
      <c r="X36" s="67">
        <f>IFERROR(VLOOKUP($B36,RD[#All],X$2,0)/X$1,"")</f>
        <v>0</v>
      </c>
      <c r="Y36" s="67">
        <f>IFERROR(VLOOKUP($B36,RD[#All],Y$2,0)/Y$1,"")</f>
        <v>0</v>
      </c>
      <c r="Z36" s="67">
        <f>IFERROR(VLOOKUP($B36,RD[#All],Z$2,0)/Z$1,"")</f>
        <v>0</v>
      </c>
      <c r="AA36" s="67">
        <f>IFERROR(VLOOKUP($B36,RD[#All],AA$2,0)/AA$1,"")</f>
        <v>0</v>
      </c>
      <c r="AB36" s="67">
        <f>IFERROR(VLOOKUP($B36,RD[#All],AB$2,0)/AB$1,"")</f>
        <v>0</v>
      </c>
      <c r="AC36" s="67">
        <f>IFERROR(VLOOKUP($B36,RD[#All],AC$2,0)/AC$1,"")</f>
        <v>0</v>
      </c>
      <c r="AD36" s="67">
        <f>IFERROR(VLOOKUP($B36,RD[#All],AD$2,0)/AD$1,"")</f>
        <v>0</v>
      </c>
      <c r="AE36" s="67">
        <f>IFERROR(VLOOKUP($B36,RD[#All],AE$2,0)/AE$1,"")</f>
        <v>0</v>
      </c>
      <c r="AF36" s="67">
        <f>IFERROR(VLOOKUP($B36,RD[#All],AF$2,0)/AF$1,"")</f>
        <v>0</v>
      </c>
      <c r="AG36" s="67">
        <f>IFERROR(VLOOKUP($B36,RD[#All],AG$2,0)/AG$1,"")</f>
        <v>0</v>
      </c>
      <c r="AH36" s="67">
        <f>IFERROR(VLOOKUP($B36,RD[#All],AH$2,0)/AH$1,"")</f>
        <v>0</v>
      </c>
      <c r="AI36" s="67">
        <f>IFERROR(VLOOKUP($B36,RD[#All],AI$2,0)/AI$1,"")</f>
        <v>0</v>
      </c>
      <c r="AJ36" s="67">
        <f>IFERROR(VLOOKUP($B36,RD[#All],AJ$2,0)/AJ$1,"")</f>
        <v>0</v>
      </c>
      <c r="AK36" s="67">
        <f>IFERROR(VLOOKUP($B36,RD[#All],AK$2,0)/AK$1,"")</f>
        <v>0</v>
      </c>
      <c r="AL36" s="67">
        <f>IFERROR(VLOOKUP($B36,RD[#All],AL$2,0)/AL$1,"")</f>
        <v>0</v>
      </c>
      <c r="AM36" s="67">
        <f>IFERROR(VLOOKUP($B36,RD[#All],AM$2,0)/AM$1,"")</f>
        <v>0</v>
      </c>
      <c r="AN36" s="67">
        <f>IFERROR(VLOOKUP($B36,RD[#All],AN$2,0)/AN$1,"")</f>
        <v>0</v>
      </c>
      <c r="AO36" s="67">
        <f>IFERROR(VLOOKUP($B36,RD[#All],AO$2,0)/AO$1,"")</f>
        <v>0</v>
      </c>
      <c r="AP36" s="67">
        <f>IFERROR(VLOOKUP($B36,RD[#All],AP$2,0)/AP$1,"")</f>
        <v>0</v>
      </c>
      <c r="AQ36" s="67">
        <f>IFERROR(VLOOKUP($B36,RD[#All],AQ$2,0)/AQ$1,"")</f>
        <v>0</v>
      </c>
      <c r="AR36" s="67">
        <f>IFERROR(VLOOKUP($B36,RD[#All],AR$2,0)/AR$1,"")</f>
        <v>0</v>
      </c>
      <c r="AS36" s="67">
        <f>IFERROR(VLOOKUP($B36,RD[#All],AS$2,0)/AS$1,"")</f>
        <v>0</v>
      </c>
      <c r="AT36" s="67">
        <f>IFERROR(VLOOKUP($B36,RD[#All],AT$2,0)/AT$1,"")</f>
        <v>0</v>
      </c>
      <c r="AU36" s="67">
        <f>IFERROR(VLOOKUP($B36,RD[#All],AU$2,0)/AU$1,"")</f>
        <v>0</v>
      </c>
      <c r="AV36" s="67">
        <f>IFERROR(VLOOKUP($B36,RD[#All],AV$2,0)/AV$1,"")</f>
        <v>0</v>
      </c>
      <c r="AW36" s="67">
        <f>IFERROR(VLOOKUP($B36,RD[#All],AW$2,0)/AW$1,"")</f>
        <v>0</v>
      </c>
      <c r="AX36" s="67">
        <f>IFERROR(VLOOKUP($B36,RD[#All],AX$2,0)/AX$1,"")</f>
        <v>0</v>
      </c>
      <c r="AY36" s="67">
        <f>IFERROR(VLOOKUP($B36,RD[#All],AY$2,0)/AY$1,"")</f>
        <v>0</v>
      </c>
      <c r="AZ36" s="67">
        <f>IFERROR(VLOOKUP($B36,RD[#All],AZ$2,0)/AZ$1,"")</f>
        <v>0</v>
      </c>
      <c r="BA36" s="67">
        <f>IFERROR(VLOOKUP($B36,RD[#All],BA$2,0)/BA$1,"")</f>
        <v>0</v>
      </c>
      <c r="BB36" s="67">
        <f>IFERROR(VLOOKUP($B36,RD[#All],BB$2,0)/BB$1,"")</f>
        <v>0</v>
      </c>
      <c r="BC36" s="67">
        <f>IFERROR(VLOOKUP($B36,RD[#All],BC$2,0)/BC$1,"")</f>
        <v>0</v>
      </c>
      <c r="BD36" s="67">
        <f>IFERROR(VLOOKUP($B36,RD[#All],BD$2,0)/BD$1,"")</f>
        <v>0</v>
      </c>
      <c r="BE36" s="67">
        <f>IFERROR(VLOOKUP($B36,RD[#All],BE$2,0)/BE$1,"")</f>
        <v>0</v>
      </c>
      <c r="BF36" s="67">
        <f>IFERROR(VLOOKUP($B36,RD[#All],BF$2,0)/BF$1,"")</f>
        <v>0</v>
      </c>
      <c r="BG36" s="67">
        <f>IFERROR(VLOOKUP($B36,RD[#All],BG$2,0)/BG$1,"")</f>
        <v>0</v>
      </c>
      <c r="BH36" s="67">
        <f>IFERROR(VLOOKUP($B36,RD[#All],BH$2,0)/BH$1,"")</f>
        <v>0</v>
      </c>
      <c r="BI36" s="67">
        <f>IFERROR(VLOOKUP($B36,RD[#All],BI$2,0)/BI$1,"")</f>
        <v>0</v>
      </c>
      <c r="BJ36" s="67">
        <f>IFERROR(VLOOKUP($B36,RD[#All],BJ$2,0)/BJ$1,"")</f>
        <v>0</v>
      </c>
      <c r="BK36" s="67">
        <f>IFERROR(VLOOKUP($B36,RD[#All],BK$2,0)/BK$1,"")</f>
        <v>0</v>
      </c>
      <c r="BL36" s="67">
        <f>IFERROR(VLOOKUP($B36,RD[#All],BL$2,0)/BL$1,"")</f>
        <v>0</v>
      </c>
      <c r="BM36" s="67">
        <f>IFERROR(VLOOKUP($B36,RD[#All],BM$2,0)/BM$1,"")</f>
        <v>0</v>
      </c>
      <c r="BN36" s="67">
        <f>IFERROR(VLOOKUP($B36,RD[#All],BN$2,0)/BN$1,"")</f>
        <v>0</v>
      </c>
      <c r="BO36" s="67">
        <f>IFERROR(VLOOKUP($B36,RD[#All],BO$2,0)/BO$1,"")</f>
        <v>0</v>
      </c>
      <c r="BP36" s="67">
        <f>IFERROR(VLOOKUP($B36,RD[#All],BP$2,0)/BP$1,"")</f>
        <v>0</v>
      </c>
      <c r="BQ36" s="67">
        <f>IFERROR(VLOOKUP($B36,RD[#All],BQ$2,0)/BQ$1,"")</f>
        <v>0</v>
      </c>
      <c r="BR36" s="67">
        <f>IFERROR(VLOOKUP($B36,RD[#All],BR$2,0)/BR$1,"")</f>
        <v>0</v>
      </c>
      <c r="BS36" s="67">
        <f>IFERROR(VLOOKUP($B36,RD[#All],BS$2,0)/BS$1,"")</f>
        <v>0</v>
      </c>
      <c r="BT36" s="67">
        <f>IFERROR(VLOOKUP($B36,RD[#All],BT$2,0)/BT$1,"")</f>
        <v>0</v>
      </c>
      <c r="BU36" s="67">
        <f>IFERROR(VLOOKUP($B36,RD[#All],BU$2,0)/BU$1,"")</f>
        <v>0</v>
      </c>
      <c r="BV36" s="67">
        <f>IFERROR(VLOOKUP($B36,RD[#All],BV$2,0)/BV$1,"")</f>
        <v>0</v>
      </c>
      <c r="BW36" s="67">
        <f>IFERROR(VLOOKUP($B36,RD[#All],BW$2,0)/BW$1,"")</f>
        <v>0</v>
      </c>
      <c r="BX36" s="67">
        <f>IFERROR(VLOOKUP($B36,RD[#All],BX$2,0)/BX$1,"")</f>
        <v>0</v>
      </c>
      <c r="BY36" s="67">
        <f>IFERROR(VLOOKUP($B36,RD[#All],BY$2,0)/BY$1,"")</f>
        <v>0</v>
      </c>
      <c r="BZ36" s="67">
        <f>IFERROR(VLOOKUP($B36,RD[#All],BZ$2,0)/BZ$1,"")</f>
        <v>0</v>
      </c>
      <c r="CA36" s="67">
        <f>IFERROR(VLOOKUP($B36,RD[#All],CA$2,0)/CA$1,"")</f>
        <v>0</v>
      </c>
      <c r="CB36" s="67">
        <f>IFERROR(VLOOKUP($B36,RD[#All],CB$2,0)/CB$1,"")</f>
        <v>0</v>
      </c>
      <c r="CC36" s="67">
        <f>IFERROR(VLOOKUP($B36,RD[#All],CC$2,0)/CC$1,"")</f>
        <v>0</v>
      </c>
      <c r="CD36" s="67">
        <f>IFERROR(VLOOKUP($B36,RD[#All],CD$2,0)/CD$1,"")</f>
        <v>0</v>
      </c>
      <c r="CE36" s="67">
        <f>IFERROR(VLOOKUP($B36,RD[#All],CE$2,0)/CE$1,"")</f>
        <v>0</v>
      </c>
      <c r="CF36" s="67">
        <f>IFERROR(VLOOKUP($B36,RD[#All],CF$2,0)/CF$1,"")</f>
        <v>0</v>
      </c>
      <c r="CG36" s="67">
        <f>IFERROR(VLOOKUP($B36,RD[#All],CG$2,0)/CG$1,"")</f>
        <v>0</v>
      </c>
      <c r="CH36" s="67">
        <f>IFERROR(VLOOKUP($B36,RD[#All],CH$2,0)/CH$1,"")</f>
        <v>0</v>
      </c>
      <c r="CI36" s="67">
        <f>IFERROR(VLOOKUP($B36,RD[#All],CI$2,0)/CI$1,"")</f>
        <v>0</v>
      </c>
      <c r="CJ36" s="67">
        <f>IFERROR(VLOOKUP($B36,RD[#All],CJ$2,0)/CJ$1,"")</f>
        <v>0</v>
      </c>
      <c r="CK36" s="67">
        <f>IFERROR(VLOOKUP($B36,RD[#All],CK$2,0)/CK$1,"")</f>
        <v>0</v>
      </c>
      <c r="CL36" s="67">
        <f>IFERROR(VLOOKUP($B36,RD[#All],CL$2,0)/CL$1,"")</f>
        <v>0</v>
      </c>
      <c r="CM36" s="67">
        <f>IFERROR(VLOOKUP($B36,RD[#All],CM$2,0)/CM$1,"")</f>
        <v>0</v>
      </c>
      <c r="CN36" s="67">
        <f>IFERROR(VLOOKUP($B36,RD[#All],CN$2,0)/CN$1,"")</f>
        <v>0</v>
      </c>
      <c r="CO36" s="67">
        <f>IFERROR(VLOOKUP($B36,RD[#All],CO$2,0)/CO$1,"")</f>
        <v>0</v>
      </c>
      <c r="CP36" s="67">
        <f>IFERROR(VLOOKUP($B36,RD[#All],CP$2,0)/CP$1,"")</f>
        <v>0</v>
      </c>
      <c r="CQ36" s="67">
        <f>IFERROR(VLOOKUP($B36,RD[#All],CQ$2,0)/CQ$1,"")</f>
        <v>0</v>
      </c>
      <c r="CR36" s="67">
        <f>IFERROR(VLOOKUP($B36,RD[#All],CR$2,0)/CR$1,"")</f>
        <v>0</v>
      </c>
      <c r="CS36" s="67">
        <f>IFERROR(VLOOKUP($B36,RD[#All],CS$2,0)/CS$1,"")</f>
        <v>0</v>
      </c>
      <c r="CT36" s="67">
        <f>IFERROR(VLOOKUP($B36,RD[#All],CT$2,0)/CT$1,"")</f>
        <v>0</v>
      </c>
      <c r="CU36" s="67">
        <f>IFERROR(VLOOKUP($B36,RD[#All],CU$2,0)/CU$1,"")</f>
        <v>0</v>
      </c>
      <c r="CV36" s="67">
        <f>IFERROR(VLOOKUP($B36,RD[#All],CV$2,0)/CV$1,"")</f>
        <v>0</v>
      </c>
      <c r="CW36" s="67">
        <f>IFERROR(VLOOKUP($B36,RD[#All],CW$2,0)/CW$1,"")</f>
        <v>0</v>
      </c>
      <c r="CX36" s="67">
        <f>IFERROR(VLOOKUP($B36,RD[#All],CX$2,0)/CX$1,"")</f>
        <v>0</v>
      </c>
      <c r="CY36" s="67">
        <f>IFERROR(VLOOKUP($B36,RD[#All],CY$2,0)/CY$1,"")</f>
        <v>0</v>
      </c>
      <c r="CZ36" s="67">
        <f>IFERROR(VLOOKUP($B36,RD[#All],CZ$2,0)/CZ$1,"")</f>
        <v>0</v>
      </c>
      <c r="DA36" s="67">
        <f>IFERROR(VLOOKUP($B36,RD[#All],DA$2,0)/DA$1,"")</f>
        <v>0</v>
      </c>
      <c r="DB36" s="67">
        <f>IFERROR(VLOOKUP($B36,RD[#All],DB$2,0)/DB$1,"")</f>
        <v>0</v>
      </c>
      <c r="DC36" s="67">
        <f>IFERROR(VLOOKUP($B36,RD[#All],DC$2,0)/DC$1,"")</f>
        <v>0</v>
      </c>
      <c r="DD36" s="67">
        <f>IFERROR(VLOOKUP($B36,RD[#All],DD$2,0)/DD$1,"")</f>
        <v>0</v>
      </c>
      <c r="DE36" s="67">
        <f>IFERROR(VLOOKUP($B36,RD[#All],DE$2,0)/DE$1,"")</f>
        <v>0</v>
      </c>
      <c r="DF36" s="67">
        <f>IFERROR(VLOOKUP($B36,RD[#All],DF$2,0)/DF$1,"")</f>
        <v>0</v>
      </c>
      <c r="DG36" s="67">
        <f>IFERROR(VLOOKUP($B36,RD[#All],DG$2,0)/DG$1,"")</f>
        <v>0</v>
      </c>
      <c r="DH36" s="67">
        <f>IFERROR(VLOOKUP($B36,RD[#All],DH$2,0)/DH$1,"")</f>
        <v>0</v>
      </c>
      <c r="DI36" s="67">
        <f>IFERROR(VLOOKUP($B36,RD[#All],DI$2,0)/DI$1,"")</f>
        <v>0</v>
      </c>
      <c r="DJ36" s="67">
        <f>IFERROR(VLOOKUP($B36,RD[#All],DJ$2,0)/DJ$1,"")</f>
        <v>0</v>
      </c>
      <c r="DK36" s="67">
        <f>IFERROR(VLOOKUP($B36,RD[#All],DK$2,0)/DK$1,"")</f>
        <v>0</v>
      </c>
      <c r="DL36" s="67">
        <f>IFERROR(VLOOKUP($B36,RD[#All],DL$2,0)/DL$1,"")</f>
        <v>0</v>
      </c>
      <c r="DM36" s="67">
        <f>IFERROR(VLOOKUP($B36,RD[#All],DM$2,0)/DM$1,"")</f>
        <v>0</v>
      </c>
      <c r="DN36" s="67">
        <f>IFERROR(VLOOKUP($B36,RD[#All],DN$2,0)/DN$1,"")</f>
        <v>0</v>
      </c>
      <c r="DO36" s="67">
        <f>IFERROR(VLOOKUP($B36,RD[#All],DO$2,0)/DO$1,"")</f>
        <v>0</v>
      </c>
      <c r="DP36" s="67">
        <f>IFERROR(VLOOKUP($B36,RD[#All],DP$2,0)/DP$1,"")</f>
        <v>0</v>
      </c>
      <c r="DQ36" s="67">
        <f>IFERROR(VLOOKUP($B36,RD[#All],DQ$2,0)/DQ$1,"")</f>
        <v>0</v>
      </c>
      <c r="DR36" s="67">
        <f>IFERROR(VLOOKUP($B36,RD[#All],DR$2,0)/DR$1,"")</f>
        <v>0</v>
      </c>
      <c r="DS36" s="67">
        <f>IFERROR(VLOOKUP($B36,RD[#All],DS$2,0)/DS$1,"")</f>
        <v>0</v>
      </c>
      <c r="DT36" s="67">
        <f>IFERROR(VLOOKUP($B36,RD[#All],DT$2,0)/DT$1,"")</f>
        <v>0</v>
      </c>
      <c r="DU36" s="67">
        <f>IFERROR(VLOOKUP($B36,RD[#All],DU$2,0)/DU$1,"")</f>
        <v>0</v>
      </c>
      <c r="DV36" s="67">
        <f>IFERROR(VLOOKUP($B36,RD[#All],DV$2,0)/DV$1,"")</f>
        <v>0</v>
      </c>
      <c r="DW36" s="67">
        <f>IFERROR(VLOOKUP($B36,RD[#All],DW$2,0)/DW$1,"")</f>
        <v>0</v>
      </c>
      <c r="DX36" s="67">
        <f>IFERROR(VLOOKUP($B36,RD[#All],DX$2,0)/DX$1,"")</f>
        <v>0</v>
      </c>
      <c r="DY36" s="67">
        <f>IFERROR(VLOOKUP($B36,RD[#All],DY$2,0)/DY$1,"")</f>
        <v>0</v>
      </c>
      <c r="DZ36" s="67">
        <f>IFERROR(VLOOKUP($B36,RD[#All],DZ$2,0)/DZ$1,"")</f>
        <v>0</v>
      </c>
      <c r="EA36" s="67">
        <f>IFERROR(VLOOKUP($B36,RD[#All],EA$2,0)/EA$1,"")</f>
        <v>0</v>
      </c>
      <c r="EB36" s="67">
        <f>IFERROR(VLOOKUP($B36,RD[#All],EB$2,0)/EB$1,"")</f>
        <v>0</v>
      </c>
      <c r="EC36" s="67">
        <f>IFERROR(VLOOKUP($B36,RD[#All],EC$2,0)/EC$1,"")</f>
        <v>0</v>
      </c>
      <c r="ED36" s="67">
        <f>IFERROR(VLOOKUP($B36,RD[#All],ED$2,0)/ED$1,"")</f>
        <v>0</v>
      </c>
      <c r="EE36" s="67">
        <f>IFERROR(VLOOKUP($B36,RD[#All],EE$2,0)/EE$1,"")</f>
        <v>0</v>
      </c>
      <c r="EF36" s="67">
        <f>IFERROR(VLOOKUP($B36,RD[#All],EF$2,0)/EF$1,"")</f>
        <v>0</v>
      </c>
      <c r="EG36" s="67">
        <f>IFERROR(VLOOKUP($B36,RD[#All],EG$2,0)/EG$1,"")</f>
        <v>0</v>
      </c>
      <c r="EH36" s="67">
        <f>IFERROR(VLOOKUP($B36,RD[#All],EH$2,0)/EH$1,"")</f>
        <v>0</v>
      </c>
      <c r="EI36" s="67">
        <f>IFERROR(VLOOKUP($B36,RD[#All],EI$2,0)/EI$1,"")</f>
        <v>0</v>
      </c>
      <c r="EJ36" s="67">
        <f>IFERROR(VLOOKUP($B36,RD[#All],EJ$2,0)/EJ$1,"")</f>
        <v>0</v>
      </c>
      <c r="EK36" s="67">
        <f>IFERROR(VLOOKUP($B36,RD[#All],EK$2,0)/EK$1,"")</f>
        <v>0</v>
      </c>
      <c r="EL36" s="67">
        <f>IFERROR(VLOOKUP($B36,RD[#All],EL$2,0)/EL$1,"")</f>
        <v>0</v>
      </c>
      <c r="EM36" s="67">
        <f>IFERROR(VLOOKUP($B36,RD[#All],EM$2,0)/EM$1,"")</f>
        <v>0</v>
      </c>
      <c r="EN36" s="67">
        <f>IFERROR(VLOOKUP($B36,RD[#All],EN$2,0)/EN$1,"")</f>
        <v>0</v>
      </c>
      <c r="EO36" s="67">
        <f>IFERROR(VLOOKUP($B36,RD[#All],EO$2,0)/EO$1,"")</f>
        <v>0</v>
      </c>
      <c r="EP36" s="67">
        <f>IFERROR(VLOOKUP($B36,RD[#All],EP$2,0)/EP$1,"")</f>
        <v>0</v>
      </c>
      <c r="EQ36" s="67">
        <f>IFERROR(VLOOKUP($B36,RD[#All],EQ$2,0)/EQ$1,"")</f>
        <v>0</v>
      </c>
      <c r="ER36" s="67">
        <f>IFERROR(VLOOKUP($B36,RD[#All],ER$2,0)/ER$1,"")</f>
        <v>0</v>
      </c>
      <c r="ES36" s="67">
        <f>IFERROR(VLOOKUP($B36,RD[#All],ES$2,0)/ES$1,"")</f>
        <v>0</v>
      </c>
      <c r="ET36" s="67">
        <f>IFERROR(VLOOKUP($B36,RD[#All],ET$2,0)/ET$1,"")</f>
        <v>0</v>
      </c>
      <c r="EU36" s="67">
        <f>IFERROR(VLOOKUP($B36,RD[#All],EU$2,0)/EU$1,"")</f>
        <v>0</v>
      </c>
      <c r="EV36" s="67">
        <f>IFERROR(VLOOKUP($B36,RD[#All],EV$2,0)/EV$1,"")</f>
        <v>0</v>
      </c>
      <c r="EW36" s="67">
        <f>IFERROR(VLOOKUP($B36,RD[#All],EW$2,0)/EW$1,"")</f>
        <v>0</v>
      </c>
      <c r="EX36" s="67">
        <f>IFERROR(VLOOKUP($B36,RD[#All],EX$2,0)/EX$1,"")</f>
        <v>0</v>
      </c>
      <c r="EY36" s="67">
        <f>IFERROR(VLOOKUP($B36,RD[#All],EY$2,0)/EY$1,"")</f>
        <v>0</v>
      </c>
      <c r="EZ36" s="67">
        <f>IFERROR(VLOOKUP($B36,RD[#All],EZ$2,0)/EZ$1,"")</f>
        <v>0</v>
      </c>
      <c r="FA36" s="67">
        <f>IFERROR(VLOOKUP($B36,RD[#All],FA$2,0)/FA$1,"")</f>
        <v>0</v>
      </c>
      <c r="FB36" s="67">
        <f>IFERROR(VLOOKUP($B36,RD[#All],FB$2,0)/FB$1,"")</f>
        <v>0</v>
      </c>
      <c r="FC36" s="67">
        <f>IFERROR(VLOOKUP($B36,RD[#All],FC$2,0)/FC$1,"")</f>
        <v>0</v>
      </c>
      <c r="FD36" s="67">
        <f>IFERROR(VLOOKUP($B36,RD[#All],FD$2,0)/FD$1,"")</f>
        <v>0</v>
      </c>
      <c r="FE36" s="67">
        <f>IFERROR(VLOOKUP($B36,RD[#All],FE$2,0)/FE$1,"")</f>
        <v>0</v>
      </c>
      <c r="FF36" s="67">
        <f>IFERROR(VLOOKUP($B36,RD[#All],FF$2,0)/FF$1,"")</f>
        <v>0</v>
      </c>
      <c r="FG36" s="67">
        <f>IFERROR(VLOOKUP($B36,RD[#All],FG$2,0)/FG$1,"")</f>
        <v>0</v>
      </c>
      <c r="FH36" s="67">
        <f>IFERROR(VLOOKUP($B36,RD[#All],FH$2,0)/FH$1,"")</f>
        <v>0</v>
      </c>
      <c r="FI36" s="67">
        <f>IFERROR(VLOOKUP($B36,RD[#All],FI$2,0)/FI$1,"")</f>
        <v>0</v>
      </c>
      <c r="FJ36" s="67">
        <f>IFERROR(VLOOKUP($B36,RD[#All],FJ$2,0)/FJ$1,"")</f>
        <v>0</v>
      </c>
      <c r="FK36" s="67">
        <f>IFERROR(VLOOKUP($B36,RD[#All],FK$2,0)/FK$1,"")</f>
        <v>0</v>
      </c>
      <c r="FL36" s="67">
        <f>IFERROR(VLOOKUP($B36,RD[#All],FL$2,0)/FL$1,"")</f>
        <v>0</v>
      </c>
      <c r="FM36" s="67">
        <f>IFERROR(VLOOKUP($B36,RD[#All],FM$2,0)/FM$1,"")</f>
        <v>0</v>
      </c>
      <c r="FN36" s="67">
        <f>IFERROR(VLOOKUP($B36,RD[#All],FN$2,0)/FN$1,"")</f>
        <v>0</v>
      </c>
      <c r="FO36" s="67">
        <f>IFERROR(VLOOKUP($B36,RD[#All],FO$2,0)/FO$1,"")</f>
        <v>0</v>
      </c>
      <c r="FP36" s="67">
        <f>IFERROR(VLOOKUP($B36,RD[#All],FP$2,0)/FP$1,"")</f>
        <v>0</v>
      </c>
      <c r="FQ36" s="67">
        <f>IFERROR(VLOOKUP($B36,RD[#All],FQ$2,0)/FQ$1,"")</f>
        <v>0</v>
      </c>
      <c r="FR36" s="67">
        <f>IFERROR(VLOOKUP($B36,RD[#All],FR$2,0)/FR$1,"")</f>
        <v>0</v>
      </c>
      <c r="FS36" s="67">
        <f>IFERROR(VLOOKUP($B36,RD[#All],FS$2,0)/FS$1,"")</f>
        <v>0</v>
      </c>
      <c r="FT36" s="67">
        <f>IFERROR(VLOOKUP($B36,RD[#All],FT$2,0)/FT$1,"")</f>
        <v>0</v>
      </c>
      <c r="FU36" s="67">
        <f>IFERROR(VLOOKUP($B36,RD[#All],FU$2,0)/FU$1,"")</f>
        <v>0</v>
      </c>
      <c r="FV36" s="67">
        <f>IFERROR(VLOOKUP($B36,RD[#All],FV$2,0)/FV$1,"")</f>
        <v>0</v>
      </c>
      <c r="FW36" s="67">
        <f>IFERROR(VLOOKUP($B36,RD[#All],FW$2,0)/FW$1,"")</f>
        <v>0</v>
      </c>
      <c r="FX36" s="67">
        <f>IFERROR(VLOOKUP($B36,RD[#All],FX$2,0)/FX$1,"")</f>
        <v>0</v>
      </c>
      <c r="FY36" s="67">
        <f>IFERROR(VLOOKUP($B36,RD[#All],FY$2,0)/FY$1,"")</f>
        <v>0</v>
      </c>
      <c r="FZ36" s="67">
        <f>IFERROR(VLOOKUP($B36,RD[#All],FZ$2,0)/FZ$1,"")</f>
        <v>0</v>
      </c>
      <c r="GA36" s="67">
        <f>IFERROR(VLOOKUP($B36,RD[#All],GA$2,0)/GA$1,"")</f>
        <v>0</v>
      </c>
      <c r="GB36" s="67">
        <f>IFERROR(VLOOKUP($B36,RD[#All],GB$2,0)/GB$1,"")</f>
        <v>0</v>
      </c>
      <c r="GC36" s="67">
        <f>IFERROR(VLOOKUP($B36,RD[#All],GC$2,0)/GC$1,"")</f>
        <v>0</v>
      </c>
      <c r="GD36" s="67">
        <f>IFERROR(VLOOKUP($B36,RD[#All],GD$2,0)/GD$1,"")</f>
        <v>0</v>
      </c>
      <c r="GE36" s="67">
        <f>IFERROR(VLOOKUP($B36,RD[#All],GE$2,0)/GE$1,"")</f>
        <v>0</v>
      </c>
      <c r="GF36" s="67">
        <f>IFERROR(VLOOKUP($B36,RD[#All],GF$2,0)/GF$1,"")</f>
        <v>0</v>
      </c>
      <c r="GG36" s="67">
        <f>IFERROR(VLOOKUP($B36,RD[#All],GG$2,0)/GG$1,"")</f>
        <v>0</v>
      </c>
      <c r="GH36" s="67">
        <f>IFERROR(VLOOKUP($B36,RD[#All],GH$2,0)/GH$1,"")</f>
        <v>0</v>
      </c>
      <c r="GI36" s="67">
        <f>IFERROR(VLOOKUP($B36,RD[#All],GI$2,0)/GI$1,"")</f>
        <v>0</v>
      </c>
      <c r="GJ36" s="67">
        <f>IFERROR(VLOOKUP($B36,RD[#All],GJ$2,0)/GJ$1,"")</f>
        <v>0</v>
      </c>
      <c r="GK36" s="67">
        <f>IFERROR(VLOOKUP($B36,RD[#All],GK$2,0)/GK$1,"")</f>
        <v>0</v>
      </c>
      <c r="GL36" s="67">
        <f>IFERROR(VLOOKUP($B36,RD[#All],GL$2,0)/GL$1,"")</f>
        <v>0</v>
      </c>
      <c r="GM36" s="67">
        <f>IFERROR(VLOOKUP($B36,RD[#All],GM$2,0)/GM$1,"")</f>
        <v>0</v>
      </c>
      <c r="GN36" s="67">
        <f>IFERROR(VLOOKUP($B36,RD[#All],GN$2,0)/GN$1,"")</f>
        <v>0</v>
      </c>
      <c r="GO36" s="67">
        <f>IFERROR(VLOOKUP($B36,RD[#All],GO$2,0)/GO$1,"")</f>
        <v>0</v>
      </c>
      <c r="GP36" s="67">
        <f>IFERROR(VLOOKUP($B36,RD[#All],GP$2,0)/GP$1,"")</f>
        <v>0</v>
      </c>
      <c r="GQ36" s="67">
        <f>IFERROR(VLOOKUP($B36,RD[#All],GQ$2,0)/GQ$1,"")</f>
        <v>0</v>
      </c>
      <c r="GR36" s="67">
        <f>IFERROR(VLOOKUP($B36,RD[#All],GR$2,0)/GR$1,"")</f>
        <v>0</v>
      </c>
      <c r="GS36" s="67" t="str">
        <f>IFERROR(VLOOKUP($B36,RD[#All],GS$2,0)/GS$1,"")</f>
        <v/>
      </c>
      <c r="GT36" s="67" t="str">
        <f>IFERROR(VLOOKUP($B36,RD[#All],GT$2,0)/GT$1,"")</f>
        <v/>
      </c>
      <c r="GU36" s="67">
        <f>IFERROR(VLOOKUP($B36,RD[#All],GU$2,0)/GU$1,"")</f>
        <v>0</v>
      </c>
      <c r="GV36" s="67">
        <f>IFERROR(VLOOKUP($B36,RD[#All],GV$2,0)/GV$1,"")</f>
        <v>0</v>
      </c>
      <c r="GW36" s="67">
        <f>IFERROR(VLOOKUP($B36,RD[#All],GW$2,0)/GW$1,"")</f>
        <v>0</v>
      </c>
      <c r="GX36" s="67" t="str">
        <f>IFERROR(VLOOKUP($B36,RD[#All],GX$2,0)/GX$1,"")</f>
        <v/>
      </c>
      <c r="GY36" s="67">
        <f>IFERROR(VLOOKUP($B36,RD[#All],GY$2,0)/GY$1,"")</f>
        <v>0</v>
      </c>
      <c r="GZ36" s="67">
        <f>IFERROR(VLOOKUP($B36,RD[#All],GZ$2,0)/GZ$1,"")</f>
        <v>0</v>
      </c>
      <c r="HA36" s="67">
        <f>IFERROR(VLOOKUP($B36,RD[#All],HA$2,0)/HA$1,"")</f>
        <v>0</v>
      </c>
      <c r="HB36" s="67">
        <f>IFERROR(VLOOKUP($B36,RD[#All],HB$2,0)/HB$1,"")</f>
        <v>0</v>
      </c>
      <c r="HC36" s="67">
        <f>IFERROR(VLOOKUP($B36,RD[#All],HC$2,0)/HC$1,"")</f>
        <v>0</v>
      </c>
      <c r="HD36" s="67">
        <f>IFERROR(VLOOKUP($B36,RD[#All],HD$2,0)/HD$1,"")</f>
        <v>0</v>
      </c>
      <c r="HE36" s="67">
        <f>IFERROR(VLOOKUP($B36,RD[#All],HE$2,0)/HE$1,"")</f>
        <v>0</v>
      </c>
      <c r="HF36" s="67">
        <f>IFERROR(VLOOKUP($B36,RD[#All],HF$2,0)/HF$1,"")</f>
        <v>0</v>
      </c>
      <c r="HG36" s="67">
        <f>IFERROR(VLOOKUP($B36,RD[#All],HG$2,0)/HG$1,"")</f>
        <v>0</v>
      </c>
      <c r="HH36" s="67">
        <f>IFERROR(VLOOKUP($B36,RD[#All],HH$2,0)/HH$1,"")</f>
        <v>0</v>
      </c>
      <c r="HI36" s="67">
        <f>IFERROR(VLOOKUP($B36,RD[#All],HI$2,0)/HI$1,"")</f>
        <v>0</v>
      </c>
      <c r="HJ36" s="67">
        <f>IFERROR(VLOOKUP($B36,RD[#All],HJ$2,0)/HJ$1,"")</f>
        <v>0</v>
      </c>
      <c r="HK36" s="67">
        <f>IFERROR(VLOOKUP($B36,RD[#All],HK$2,0)/HK$1,"")</f>
        <v>0</v>
      </c>
      <c r="HL36" s="67">
        <f>IFERROR(VLOOKUP($B36,RD[#All],HL$2,0)/HL$1,"")</f>
        <v>0</v>
      </c>
      <c r="HM36" s="67">
        <f>IFERROR(VLOOKUP($B36,RD[#All],HM$2,0)/HM$1,"")</f>
        <v>0</v>
      </c>
      <c r="HN36" s="67">
        <f>IFERROR(VLOOKUP($B36,RD[#All],HN$2,0)/HN$1,"")</f>
        <v>0</v>
      </c>
      <c r="HO36" s="67">
        <f>IFERROR(VLOOKUP($B36,RD[#All],HO$2,0)/HO$1,"")</f>
        <v>0</v>
      </c>
      <c r="HP36" s="67">
        <f>IFERROR(VLOOKUP($B36,RD[#All],HP$2,0)/HP$1,"")</f>
        <v>0</v>
      </c>
      <c r="HQ36" s="67">
        <f>IFERROR(VLOOKUP($B36,RD[#All],HQ$2,0)/HQ$1,"")</f>
        <v>0</v>
      </c>
      <c r="HR36" s="67">
        <f>IFERROR(VLOOKUP($B36,RD[#All],HR$2,0)/HR$1,"")</f>
        <v>0</v>
      </c>
      <c r="HS36" s="67">
        <f>IFERROR(VLOOKUP($B36,RD[#All],HS$2,0)/HS$1,"")</f>
        <v>0</v>
      </c>
      <c r="HT36" s="67">
        <f>IFERROR(VLOOKUP($B36,RD[#All],HT$2,0)/HT$1,"")</f>
        <v>0</v>
      </c>
      <c r="HU36" s="67">
        <f>IFERROR(VLOOKUP($B36,RD[#All],HU$2,0)/HU$1,"")</f>
        <v>0</v>
      </c>
      <c r="HV36" s="67">
        <f>IFERROR(VLOOKUP($B36,RD[#All],HV$2,0)/HV$1,"")</f>
        <v>0</v>
      </c>
      <c r="HW36" s="67">
        <f>IFERROR(VLOOKUP($B36,RD[#All],HW$2,0)/HW$1,"")</f>
        <v>0</v>
      </c>
      <c r="HX36" s="67">
        <f>IFERROR(VLOOKUP($B36,RD[#All],HX$2,0)/HX$1,"")</f>
        <v>0</v>
      </c>
      <c r="HY36" s="67">
        <f>IFERROR(VLOOKUP($B36,RD[#All],HY$2,0)/HY$1,"")</f>
        <v>0</v>
      </c>
      <c r="HZ36" s="67">
        <f>IFERROR(VLOOKUP($B36,RD[#All],HZ$2,0)/HZ$1,"")</f>
        <v>0</v>
      </c>
      <c r="IA36" s="67">
        <f>IFERROR(VLOOKUP($B36,RD[#All],IA$2,0)/IA$1,"")</f>
        <v>0</v>
      </c>
      <c r="IB36" s="67">
        <f>IFERROR(VLOOKUP($B36,RD[#All],IB$2,0)/IB$1,"")</f>
        <v>0</v>
      </c>
      <c r="IC36" s="67">
        <f>IFERROR(VLOOKUP($B36,RD[#All],IC$2,0)/IC$1,"")</f>
        <v>0</v>
      </c>
      <c r="ID36" s="67">
        <f>IFERROR(VLOOKUP($B36,RD[#All],ID$2,0)/ID$1,"")</f>
        <v>0</v>
      </c>
      <c r="IE36" s="67">
        <f>IFERROR(VLOOKUP($B36,RD[#All],IE$2,0)/IE$1,"")</f>
        <v>0</v>
      </c>
      <c r="IF36" s="67" t="str">
        <f>IFERROR(VLOOKUP($B36,RD[#All],IF$2,0)/IF$1,"")</f>
        <v/>
      </c>
      <c r="IG36" s="67">
        <f>IFERROR(VLOOKUP($B36,RD[#All],IG$2,0)/IG$1,"")</f>
        <v>0</v>
      </c>
      <c r="IH36" s="67">
        <f>IFERROR(VLOOKUP($B36,RD[#All],IH$2,0)/IH$1,"")</f>
        <v>0</v>
      </c>
      <c r="II36" s="67">
        <f>IFERROR(VLOOKUP($B36,RD[#All],II$2,0)/II$1,"")</f>
        <v>0</v>
      </c>
      <c r="IJ36" s="67">
        <f>IFERROR(VLOOKUP($B36,RD[#All],IJ$2,0)/IJ$1,"")</f>
        <v>0</v>
      </c>
      <c r="IK36" s="67">
        <f>IFERROR(VLOOKUP($B36,RD[#All],IK$2,0)/IK$1,"")</f>
        <v>0</v>
      </c>
      <c r="IL36" s="67" t="str">
        <f>IFERROR(VLOOKUP($B36,RD[#All],IL$2,0)/IL$1,"")</f>
        <v/>
      </c>
      <c r="IM36" s="67" t="str">
        <f>IFERROR(VLOOKUP($B36,RD[#All],IM$2,0)/IM$1,"")</f>
        <v/>
      </c>
      <c r="IN36" s="67">
        <f>IFERROR(VLOOKUP($B36,RD[#All],IN$2,0)/IN$1,"")</f>
        <v>0</v>
      </c>
      <c r="IO36" s="67">
        <f>IFERROR(VLOOKUP($B36,RD[#All],IO$2,0)/IO$1,"")</f>
        <v>0</v>
      </c>
      <c r="IP36" s="67">
        <f>IFERROR(VLOOKUP($B36,RD[#All],IP$2,0)/IP$1,"")</f>
        <v>0</v>
      </c>
      <c r="IQ36" s="67">
        <f>IFERROR(VLOOKUP($B36,RD[#All],IQ$2,0)/IQ$1,"")</f>
        <v>0</v>
      </c>
      <c r="IR36" s="67">
        <f>IFERROR(VLOOKUP($B36,RD[#All],IR$2,0)/IR$1,"")</f>
        <v>0</v>
      </c>
      <c r="IS36" s="86" t="str">
        <f>IFERROR(AVERAGEIF(Inv_SY_B[[#This Row],[BLK1_INV1]:[BLK8_INV27]],"&gt;"&amp;0.1,Inv_SY_B[[#This Row],[BLK1_INV1]:[BLK8_INV27]]),"")</f>
        <v/>
      </c>
    </row>
    <row r="37" spans="2:253" x14ac:dyDescent="0.25">
      <c r="B37" s="87">
        <f t="shared" si="1"/>
        <v>45863</v>
      </c>
      <c r="C37" s="67">
        <f>IFERROR(VLOOKUP($B37,RD[#All],C$2,0)/C$1,"")</f>
        <v>0</v>
      </c>
      <c r="D37" s="67">
        <f>IFERROR(VLOOKUP($B37,RD[#All],D$2,0)/D$1,"")</f>
        <v>0</v>
      </c>
      <c r="E37" s="67">
        <f>IFERROR(VLOOKUP($B37,RD[#All],E$2,0)/E$1,"")</f>
        <v>0</v>
      </c>
      <c r="F37" s="67">
        <f>IFERROR(VLOOKUP($B37,RD[#All],F$2,0)/F$1,"")</f>
        <v>0</v>
      </c>
      <c r="G37" s="67">
        <f>IFERROR(VLOOKUP($B37,RD[#All],G$2,0)/G$1,"")</f>
        <v>0</v>
      </c>
      <c r="H37" s="67">
        <f>IFERROR(VLOOKUP($B37,RD[#All],H$2,0)/H$1,"")</f>
        <v>0</v>
      </c>
      <c r="I37" s="67">
        <f>IFERROR(VLOOKUP($B37,RD[#All],I$2,0)/I$1,"")</f>
        <v>0</v>
      </c>
      <c r="J37" s="67">
        <f>IFERROR(VLOOKUP($B37,RD[#All],J$2,0)/J$1,"")</f>
        <v>0</v>
      </c>
      <c r="K37" s="67">
        <f>IFERROR(VLOOKUP($B37,RD[#All],K$2,0)/K$1,"")</f>
        <v>0</v>
      </c>
      <c r="L37" s="67">
        <f>IFERROR(VLOOKUP($B37,RD[#All],L$2,0)/L$1,"")</f>
        <v>0</v>
      </c>
      <c r="M37" s="67">
        <f>IFERROR(VLOOKUP($B37,RD[#All],M$2,0)/M$1,"")</f>
        <v>0</v>
      </c>
      <c r="N37" s="67">
        <f>IFERROR(VLOOKUP($B37,RD[#All],N$2,0)/N$1,"")</f>
        <v>0</v>
      </c>
      <c r="O37" s="67">
        <f>IFERROR(VLOOKUP($B37,RD[#All],O$2,0)/O$1,"")</f>
        <v>0</v>
      </c>
      <c r="P37" s="67">
        <f>IFERROR(VLOOKUP($B37,RD[#All],P$2,0)/P$1,"")</f>
        <v>0</v>
      </c>
      <c r="Q37" s="67">
        <f>IFERROR(VLOOKUP($B37,RD[#All],Q$2,0)/Q$1,"")</f>
        <v>0</v>
      </c>
      <c r="R37" s="67">
        <f>IFERROR(VLOOKUP($B37,RD[#All],R$2,0)/R$1,"")</f>
        <v>0</v>
      </c>
      <c r="S37" s="67">
        <f>IFERROR(VLOOKUP($B37,RD[#All],S$2,0)/S$1,"")</f>
        <v>0</v>
      </c>
      <c r="T37" s="67">
        <f>IFERROR(VLOOKUP($B37,RD[#All],T$2,0)/T$1,"")</f>
        <v>0</v>
      </c>
      <c r="U37" s="67">
        <f>IFERROR(VLOOKUP($B37,RD[#All],U$2,0)/U$1,"")</f>
        <v>0</v>
      </c>
      <c r="V37" s="67">
        <f>IFERROR(VLOOKUP($B37,RD[#All],V$2,0)/V$1,"")</f>
        <v>0</v>
      </c>
      <c r="W37" s="67">
        <f>IFERROR(VLOOKUP($B37,RD[#All],W$2,0)/W$1,"")</f>
        <v>0</v>
      </c>
      <c r="X37" s="67">
        <f>IFERROR(VLOOKUP($B37,RD[#All],X$2,0)/X$1,"")</f>
        <v>0</v>
      </c>
      <c r="Y37" s="67">
        <f>IFERROR(VLOOKUP($B37,RD[#All],Y$2,0)/Y$1,"")</f>
        <v>0</v>
      </c>
      <c r="Z37" s="67">
        <f>IFERROR(VLOOKUP($B37,RD[#All],Z$2,0)/Z$1,"")</f>
        <v>0</v>
      </c>
      <c r="AA37" s="67">
        <f>IFERROR(VLOOKUP($B37,RD[#All],AA$2,0)/AA$1,"")</f>
        <v>0</v>
      </c>
      <c r="AB37" s="67">
        <f>IFERROR(VLOOKUP($B37,RD[#All],AB$2,0)/AB$1,"")</f>
        <v>0</v>
      </c>
      <c r="AC37" s="67">
        <f>IFERROR(VLOOKUP($B37,RD[#All],AC$2,0)/AC$1,"")</f>
        <v>0</v>
      </c>
      <c r="AD37" s="67">
        <f>IFERROR(VLOOKUP($B37,RD[#All],AD$2,0)/AD$1,"")</f>
        <v>0</v>
      </c>
      <c r="AE37" s="67">
        <f>IFERROR(VLOOKUP($B37,RD[#All],AE$2,0)/AE$1,"")</f>
        <v>0</v>
      </c>
      <c r="AF37" s="67">
        <f>IFERROR(VLOOKUP($B37,RD[#All],AF$2,0)/AF$1,"")</f>
        <v>0</v>
      </c>
      <c r="AG37" s="67">
        <f>IFERROR(VLOOKUP($B37,RD[#All],AG$2,0)/AG$1,"")</f>
        <v>0</v>
      </c>
      <c r="AH37" s="67">
        <f>IFERROR(VLOOKUP($B37,RD[#All],AH$2,0)/AH$1,"")</f>
        <v>0</v>
      </c>
      <c r="AI37" s="67">
        <f>IFERROR(VLOOKUP($B37,RD[#All],AI$2,0)/AI$1,"")</f>
        <v>0</v>
      </c>
      <c r="AJ37" s="67">
        <f>IFERROR(VLOOKUP($B37,RD[#All],AJ$2,0)/AJ$1,"")</f>
        <v>0</v>
      </c>
      <c r="AK37" s="67">
        <f>IFERROR(VLOOKUP($B37,RD[#All],AK$2,0)/AK$1,"")</f>
        <v>0</v>
      </c>
      <c r="AL37" s="67">
        <f>IFERROR(VLOOKUP($B37,RD[#All],AL$2,0)/AL$1,"")</f>
        <v>0</v>
      </c>
      <c r="AM37" s="67">
        <f>IFERROR(VLOOKUP($B37,RD[#All],AM$2,0)/AM$1,"")</f>
        <v>0</v>
      </c>
      <c r="AN37" s="67">
        <f>IFERROR(VLOOKUP($B37,RD[#All],AN$2,0)/AN$1,"")</f>
        <v>0</v>
      </c>
      <c r="AO37" s="67">
        <f>IFERROR(VLOOKUP($B37,RD[#All],AO$2,0)/AO$1,"")</f>
        <v>0</v>
      </c>
      <c r="AP37" s="67">
        <f>IFERROR(VLOOKUP($B37,RD[#All],AP$2,0)/AP$1,"")</f>
        <v>0</v>
      </c>
      <c r="AQ37" s="67">
        <f>IFERROR(VLOOKUP($B37,RD[#All],AQ$2,0)/AQ$1,"")</f>
        <v>0</v>
      </c>
      <c r="AR37" s="67">
        <f>IFERROR(VLOOKUP($B37,RD[#All],AR$2,0)/AR$1,"")</f>
        <v>0</v>
      </c>
      <c r="AS37" s="67">
        <f>IFERROR(VLOOKUP($B37,RD[#All],AS$2,0)/AS$1,"")</f>
        <v>0</v>
      </c>
      <c r="AT37" s="67">
        <f>IFERROR(VLOOKUP($B37,RD[#All],AT$2,0)/AT$1,"")</f>
        <v>0</v>
      </c>
      <c r="AU37" s="67">
        <f>IFERROR(VLOOKUP($B37,RD[#All],AU$2,0)/AU$1,"")</f>
        <v>0</v>
      </c>
      <c r="AV37" s="67">
        <f>IFERROR(VLOOKUP($B37,RD[#All],AV$2,0)/AV$1,"")</f>
        <v>0</v>
      </c>
      <c r="AW37" s="67">
        <f>IFERROR(VLOOKUP($B37,RD[#All],AW$2,0)/AW$1,"")</f>
        <v>0</v>
      </c>
      <c r="AX37" s="67">
        <f>IFERROR(VLOOKUP($B37,RD[#All],AX$2,0)/AX$1,"")</f>
        <v>0</v>
      </c>
      <c r="AY37" s="67">
        <f>IFERROR(VLOOKUP($B37,RD[#All],AY$2,0)/AY$1,"")</f>
        <v>0</v>
      </c>
      <c r="AZ37" s="67">
        <f>IFERROR(VLOOKUP($B37,RD[#All],AZ$2,0)/AZ$1,"")</f>
        <v>0</v>
      </c>
      <c r="BA37" s="67">
        <f>IFERROR(VLOOKUP($B37,RD[#All],BA$2,0)/BA$1,"")</f>
        <v>0</v>
      </c>
      <c r="BB37" s="67">
        <f>IFERROR(VLOOKUP($B37,RD[#All],BB$2,0)/BB$1,"")</f>
        <v>0</v>
      </c>
      <c r="BC37" s="67">
        <f>IFERROR(VLOOKUP($B37,RD[#All],BC$2,0)/BC$1,"")</f>
        <v>0</v>
      </c>
      <c r="BD37" s="67">
        <f>IFERROR(VLOOKUP($B37,RD[#All],BD$2,0)/BD$1,"")</f>
        <v>0</v>
      </c>
      <c r="BE37" s="67">
        <f>IFERROR(VLOOKUP($B37,RD[#All],BE$2,0)/BE$1,"")</f>
        <v>0</v>
      </c>
      <c r="BF37" s="67">
        <f>IFERROR(VLOOKUP($B37,RD[#All],BF$2,0)/BF$1,"")</f>
        <v>0</v>
      </c>
      <c r="BG37" s="67">
        <f>IFERROR(VLOOKUP($B37,RD[#All],BG$2,0)/BG$1,"")</f>
        <v>0</v>
      </c>
      <c r="BH37" s="67">
        <f>IFERROR(VLOOKUP($B37,RD[#All],BH$2,0)/BH$1,"")</f>
        <v>0</v>
      </c>
      <c r="BI37" s="67">
        <f>IFERROR(VLOOKUP($B37,RD[#All],BI$2,0)/BI$1,"")</f>
        <v>0</v>
      </c>
      <c r="BJ37" s="67">
        <f>IFERROR(VLOOKUP($B37,RD[#All],BJ$2,0)/BJ$1,"")</f>
        <v>0</v>
      </c>
      <c r="BK37" s="67">
        <f>IFERROR(VLOOKUP($B37,RD[#All],BK$2,0)/BK$1,"")</f>
        <v>0</v>
      </c>
      <c r="BL37" s="67">
        <f>IFERROR(VLOOKUP($B37,RD[#All],BL$2,0)/BL$1,"")</f>
        <v>0</v>
      </c>
      <c r="BM37" s="67">
        <f>IFERROR(VLOOKUP($B37,RD[#All],BM$2,0)/BM$1,"")</f>
        <v>0</v>
      </c>
      <c r="BN37" s="67">
        <f>IFERROR(VLOOKUP($B37,RD[#All],BN$2,0)/BN$1,"")</f>
        <v>0</v>
      </c>
      <c r="BO37" s="67">
        <f>IFERROR(VLOOKUP($B37,RD[#All],BO$2,0)/BO$1,"")</f>
        <v>0</v>
      </c>
      <c r="BP37" s="67">
        <f>IFERROR(VLOOKUP($B37,RD[#All],BP$2,0)/BP$1,"")</f>
        <v>0</v>
      </c>
      <c r="BQ37" s="67">
        <f>IFERROR(VLOOKUP($B37,RD[#All],BQ$2,0)/BQ$1,"")</f>
        <v>0</v>
      </c>
      <c r="BR37" s="67">
        <f>IFERROR(VLOOKUP($B37,RD[#All],BR$2,0)/BR$1,"")</f>
        <v>0</v>
      </c>
      <c r="BS37" s="67">
        <f>IFERROR(VLOOKUP($B37,RD[#All],BS$2,0)/BS$1,"")</f>
        <v>0</v>
      </c>
      <c r="BT37" s="67">
        <f>IFERROR(VLOOKUP($B37,RD[#All],BT$2,0)/BT$1,"")</f>
        <v>0</v>
      </c>
      <c r="BU37" s="67">
        <f>IFERROR(VLOOKUP($B37,RD[#All],BU$2,0)/BU$1,"")</f>
        <v>0</v>
      </c>
      <c r="BV37" s="67">
        <f>IFERROR(VLOOKUP($B37,RD[#All],BV$2,0)/BV$1,"")</f>
        <v>0</v>
      </c>
      <c r="BW37" s="67">
        <f>IFERROR(VLOOKUP($B37,RD[#All],BW$2,0)/BW$1,"")</f>
        <v>0</v>
      </c>
      <c r="BX37" s="67">
        <f>IFERROR(VLOOKUP($B37,RD[#All],BX$2,0)/BX$1,"")</f>
        <v>0</v>
      </c>
      <c r="BY37" s="67">
        <f>IFERROR(VLOOKUP($B37,RD[#All],BY$2,0)/BY$1,"")</f>
        <v>0</v>
      </c>
      <c r="BZ37" s="67">
        <f>IFERROR(VLOOKUP($B37,RD[#All],BZ$2,0)/BZ$1,"")</f>
        <v>0</v>
      </c>
      <c r="CA37" s="67">
        <f>IFERROR(VLOOKUP($B37,RD[#All],CA$2,0)/CA$1,"")</f>
        <v>0</v>
      </c>
      <c r="CB37" s="67">
        <f>IFERROR(VLOOKUP($B37,RD[#All],CB$2,0)/CB$1,"")</f>
        <v>0</v>
      </c>
      <c r="CC37" s="67">
        <f>IFERROR(VLOOKUP($B37,RD[#All],CC$2,0)/CC$1,"")</f>
        <v>0</v>
      </c>
      <c r="CD37" s="67">
        <f>IFERROR(VLOOKUP($B37,RD[#All],CD$2,0)/CD$1,"")</f>
        <v>0</v>
      </c>
      <c r="CE37" s="67">
        <f>IFERROR(VLOOKUP($B37,RD[#All],CE$2,0)/CE$1,"")</f>
        <v>0</v>
      </c>
      <c r="CF37" s="67">
        <f>IFERROR(VLOOKUP($B37,RD[#All],CF$2,0)/CF$1,"")</f>
        <v>0</v>
      </c>
      <c r="CG37" s="67">
        <f>IFERROR(VLOOKUP($B37,RD[#All],CG$2,0)/CG$1,"")</f>
        <v>0</v>
      </c>
      <c r="CH37" s="67">
        <f>IFERROR(VLOOKUP($B37,RD[#All],CH$2,0)/CH$1,"")</f>
        <v>0</v>
      </c>
      <c r="CI37" s="67">
        <f>IFERROR(VLOOKUP($B37,RD[#All],CI$2,0)/CI$1,"")</f>
        <v>0</v>
      </c>
      <c r="CJ37" s="67">
        <f>IFERROR(VLOOKUP($B37,RD[#All],CJ$2,0)/CJ$1,"")</f>
        <v>0</v>
      </c>
      <c r="CK37" s="67">
        <f>IFERROR(VLOOKUP($B37,RD[#All],CK$2,0)/CK$1,"")</f>
        <v>0</v>
      </c>
      <c r="CL37" s="67">
        <f>IFERROR(VLOOKUP($B37,RD[#All],CL$2,0)/CL$1,"")</f>
        <v>0</v>
      </c>
      <c r="CM37" s="67">
        <f>IFERROR(VLOOKUP($B37,RD[#All],CM$2,0)/CM$1,"")</f>
        <v>0</v>
      </c>
      <c r="CN37" s="67">
        <f>IFERROR(VLOOKUP($B37,RD[#All],CN$2,0)/CN$1,"")</f>
        <v>0</v>
      </c>
      <c r="CO37" s="67">
        <f>IFERROR(VLOOKUP($B37,RD[#All],CO$2,0)/CO$1,"")</f>
        <v>0</v>
      </c>
      <c r="CP37" s="67">
        <f>IFERROR(VLOOKUP($B37,RD[#All],CP$2,0)/CP$1,"")</f>
        <v>0</v>
      </c>
      <c r="CQ37" s="67">
        <f>IFERROR(VLOOKUP($B37,RD[#All],CQ$2,0)/CQ$1,"")</f>
        <v>0</v>
      </c>
      <c r="CR37" s="67">
        <f>IFERROR(VLOOKUP($B37,RD[#All],CR$2,0)/CR$1,"")</f>
        <v>0</v>
      </c>
      <c r="CS37" s="67">
        <f>IFERROR(VLOOKUP($B37,RD[#All],CS$2,0)/CS$1,"")</f>
        <v>0</v>
      </c>
      <c r="CT37" s="67">
        <f>IFERROR(VLOOKUP($B37,RD[#All],CT$2,0)/CT$1,"")</f>
        <v>0</v>
      </c>
      <c r="CU37" s="67">
        <f>IFERROR(VLOOKUP($B37,RD[#All],CU$2,0)/CU$1,"")</f>
        <v>0</v>
      </c>
      <c r="CV37" s="67">
        <f>IFERROR(VLOOKUP($B37,RD[#All],CV$2,0)/CV$1,"")</f>
        <v>0</v>
      </c>
      <c r="CW37" s="67">
        <f>IFERROR(VLOOKUP($B37,RD[#All],CW$2,0)/CW$1,"")</f>
        <v>0</v>
      </c>
      <c r="CX37" s="67">
        <f>IFERROR(VLOOKUP($B37,RD[#All],CX$2,0)/CX$1,"")</f>
        <v>0</v>
      </c>
      <c r="CY37" s="67">
        <f>IFERROR(VLOOKUP($B37,RD[#All],CY$2,0)/CY$1,"")</f>
        <v>0</v>
      </c>
      <c r="CZ37" s="67">
        <f>IFERROR(VLOOKUP($B37,RD[#All],CZ$2,0)/CZ$1,"")</f>
        <v>0</v>
      </c>
      <c r="DA37" s="67">
        <f>IFERROR(VLOOKUP($B37,RD[#All],DA$2,0)/DA$1,"")</f>
        <v>0</v>
      </c>
      <c r="DB37" s="67">
        <f>IFERROR(VLOOKUP($B37,RD[#All],DB$2,0)/DB$1,"")</f>
        <v>0</v>
      </c>
      <c r="DC37" s="67">
        <f>IFERROR(VLOOKUP($B37,RD[#All],DC$2,0)/DC$1,"")</f>
        <v>0</v>
      </c>
      <c r="DD37" s="67">
        <f>IFERROR(VLOOKUP($B37,RD[#All],DD$2,0)/DD$1,"")</f>
        <v>0</v>
      </c>
      <c r="DE37" s="67">
        <f>IFERROR(VLOOKUP($B37,RD[#All],DE$2,0)/DE$1,"")</f>
        <v>0</v>
      </c>
      <c r="DF37" s="67">
        <f>IFERROR(VLOOKUP($B37,RD[#All],DF$2,0)/DF$1,"")</f>
        <v>0</v>
      </c>
      <c r="DG37" s="67">
        <f>IFERROR(VLOOKUP($B37,RD[#All],DG$2,0)/DG$1,"")</f>
        <v>0</v>
      </c>
      <c r="DH37" s="67">
        <f>IFERROR(VLOOKUP($B37,RD[#All],DH$2,0)/DH$1,"")</f>
        <v>0</v>
      </c>
      <c r="DI37" s="67">
        <f>IFERROR(VLOOKUP($B37,RD[#All],DI$2,0)/DI$1,"")</f>
        <v>0</v>
      </c>
      <c r="DJ37" s="67">
        <f>IFERROR(VLOOKUP($B37,RD[#All],DJ$2,0)/DJ$1,"")</f>
        <v>0</v>
      </c>
      <c r="DK37" s="67">
        <f>IFERROR(VLOOKUP($B37,RD[#All],DK$2,0)/DK$1,"")</f>
        <v>0</v>
      </c>
      <c r="DL37" s="67">
        <f>IFERROR(VLOOKUP($B37,RD[#All],DL$2,0)/DL$1,"")</f>
        <v>0</v>
      </c>
      <c r="DM37" s="67">
        <f>IFERROR(VLOOKUP($B37,RD[#All],DM$2,0)/DM$1,"")</f>
        <v>0</v>
      </c>
      <c r="DN37" s="67">
        <f>IFERROR(VLOOKUP($B37,RD[#All],DN$2,0)/DN$1,"")</f>
        <v>0</v>
      </c>
      <c r="DO37" s="67">
        <f>IFERROR(VLOOKUP($B37,RD[#All],DO$2,0)/DO$1,"")</f>
        <v>0</v>
      </c>
      <c r="DP37" s="67">
        <f>IFERROR(VLOOKUP($B37,RD[#All],DP$2,0)/DP$1,"")</f>
        <v>0</v>
      </c>
      <c r="DQ37" s="67">
        <f>IFERROR(VLOOKUP($B37,RD[#All],DQ$2,0)/DQ$1,"")</f>
        <v>0</v>
      </c>
      <c r="DR37" s="67">
        <f>IFERROR(VLOOKUP($B37,RD[#All],DR$2,0)/DR$1,"")</f>
        <v>0</v>
      </c>
      <c r="DS37" s="67">
        <f>IFERROR(VLOOKUP($B37,RD[#All],DS$2,0)/DS$1,"")</f>
        <v>0</v>
      </c>
      <c r="DT37" s="67">
        <f>IFERROR(VLOOKUP($B37,RD[#All],DT$2,0)/DT$1,"")</f>
        <v>0</v>
      </c>
      <c r="DU37" s="67">
        <f>IFERROR(VLOOKUP($B37,RD[#All],DU$2,0)/DU$1,"")</f>
        <v>0</v>
      </c>
      <c r="DV37" s="67">
        <f>IFERROR(VLOOKUP($B37,RD[#All],DV$2,0)/DV$1,"")</f>
        <v>0</v>
      </c>
      <c r="DW37" s="67">
        <f>IFERROR(VLOOKUP($B37,RD[#All],DW$2,0)/DW$1,"")</f>
        <v>0</v>
      </c>
      <c r="DX37" s="67">
        <f>IFERROR(VLOOKUP($B37,RD[#All],DX$2,0)/DX$1,"")</f>
        <v>0</v>
      </c>
      <c r="DY37" s="67">
        <f>IFERROR(VLOOKUP($B37,RD[#All],DY$2,0)/DY$1,"")</f>
        <v>0</v>
      </c>
      <c r="DZ37" s="67">
        <f>IFERROR(VLOOKUP($B37,RD[#All],DZ$2,0)/DZ$1,"")</f>
        <v>0</v>
      </c>
      <c r="EA37" s="67">
        <f>IFERROR(VLOOKUP($B37,RD[#All],EA$2,0)/EA$1,"")</f>
        <v>0</v>
      </c>
      <c r="EB37" s="67">
        <f>IFERROR(VLOOKUP($B37,RD[#All],EB$2,0)/EB$1,"")</f>
        <v>0</v>
      </c>
      <c r="EC37" s="67">
        <f>IFERROR(VLOOKUP($B37,RD[#All],EC$2,0)/EC$1,"")</f>
        <v>0</v>
      </c>
      <c r="ED37" s="67">
        <f>IFERROR(VLOOKUP($B37,RD[#All],ED$2,0)/ED$1,"")</f>
        <v>0</v>
      </c>
      <c r="EE37" s="67">
        <f>IFERROR(VLOOKUP($B37,RD[#All],EE$2,0)/EE$1,"")</f>
        <v>0</v>
      </c>
      <c r="EF37" s="67">
        <f>IFERROR(VLOOKUP($B37,RD[#All],EF$2,0)/EF$1,"")</f>
        <v>0</v>
      </c>
      <c r="EG37" s="67">
        <f>IFERROR(VLOOKUP($B37,RD[#All],EG$2,0)/EG$1,"")</f>
        <v>0</v>
      </c>
      <c r="EH37" s="67">
        <f>IFERROR(VLOOKUP($B37,RD[#All],EH$2,0)/EH$1,"")</f>
        <v>0</v>
      </c>
      <c r="EI37" s="67">
        <f>IFERROR(VLOOKUP($B37,RD[#All],EI$2,0)/EI$1,"")</f>
        <v>0</v>
      </c>
      <c r="EJ37" s="67">
        <f>IFERROR(VLOOKUP($B37,RD[#All],EJ$2,0)/EJ$1,"")</f>
        <v>0</v>
      </c>
      <c r="EK37" s="67">
        <f>IFERROR(VLOOKUP($B37,RD[#All],EK$2,0)/EK$1,"")</f>
        <v>0</v>
      </c>
      <c r="EL37" s="67">
        <f>IFERROR(VLOOKUP($B37,RD[#All],EL$2,0)/EL$1,"")</f>
        <v>0</v>
      </c>
      <c r="EM37" s="67">
        <f>IFERROR(VLOOKUP($B37,RD[#All],EM$2,0)/EM$1,"")</f>
        <v>0</v>
      </c>
      <c r="EN37" s="67">
        <f>IFERROR(VLOOKUP($B37,RD[#All],EN$2,0)/EN$1,"")</f>
        <v>0</v>
      </c>
      <c r="EO37" s="67">
        <f>IFERROR(VLOOKUP($B37,RD[#All],EO$2,0)/EO$1,"")</f>
        <v>0</v>
      </c>
      <c r="EP37" s="67">
        <f>IFERROR(VLOOKUP($B37,RD[#All],EP$2,0)/EP$1,"")</f>
        <v>0</v>
      </c>
      <c r="EQ37" s="67">
        <f>IFERROR(VLOOKUP($B37,RD[#All],EQ$2,0)/EQ$1,"")</f>
        <v>0</v>
      </c>
      <c r="ER37" s="67">
        <f>IFERROR(VLOOKUP($B37,RD[#All],ER$2,0)/ER$1,"")</f>
        <v>0</v>
      </c>
      <c r="ES37" s="67">
        <f>IFERROR(VLOOKUP($B37,RD[#All],ES$2,0)/ES$1,"")</f>
        <v>0</v>
      </c>
      <c r="ET37" s="67">
        <f>IFERROR(VLOOKUP($B37,RD[#All],ET$2,0)/ET$1,"")</f>
        <v>0</v>
      </c>
      <c r="EU37" s="67">
        <f>IFERROR(VLOOKUP($B37,RD[#All],EU$2,0)/EU$1,"")</f>
        <v>0</v>
      </c>
      <c r="EV37" s="67">
        <f>IFERROR(VLOOKUP($B37,RD[#All],EV$2,0)/EV$1,"")</f>
        <v>0</v>
      </c>
      <c r="EW37" s="67">
        <f>IFERROR(VLOOKUP($B37,RD[#All],EW$2,0)/EW$1,"")</f>
        <v>0</v>
      </c>
      <c r="EX37" s="67">
        <f>IFERROR(VLOOKUP($B37,RD[#All],EX$2,0)/EX$1,"")</f>
        <v>0</v>
      </c>
      <c r="EY37" s="67">
        <f>IFERROR(VLOOKUP($B37,RD[#All],EY$2,0)/EY$1,"")</f>
        <v>0</v>
      </c>
      <c r="EZ37" s="67">
        <f>IFERROR(VLOOKUP($B37,RD[#All],EZ$2,0)/EZ$1,"")</f>
        <v>0</v>
      </c>
      <c r="FA37" s="67">
        <f>IFERROR(VLOOKUP($B37,RD[#All],FA$2,0)/FA$1,"")</f>
        <v>0</v>
      </c>
      <c r="FB37" s="67">
        <f>IFERROR(VLOOKUP($B37,RD[#All],FB$2,0)/FB$1,"")</f>
        <v>0</v>
      </c>
      <c r="FC37" s="67">
        <f>IFERROR(VLOOKUP($B37,RD[#All],FC$2,0)/FC$1,"")</f>
        <v>0</v>
      </c>
      <c r="FD37" s="67">
        <f>IFERROR(VLOOKUP($B37,RD[#All],FD$2,0)/FD$1,"")</f>
        <v>0</v>
      </c>
      <c r="FE37" s="67">
        <f>IFERROR(VLOOKUP($B37,RD[#All],FE$2,0)/FE$1,"")</f>
        <v>0</v>
      </c>
      <c r="FF37" s="67">
        <f>IFERROR(VLOOKUP($B37,RD[#All],FF$2,0)/FF$1,"")</f>
        <v>0</v>
      </c>
      <c r="FG37" s="67">
        <f>IFERROR(VLOOKUP($B37,RD[#All],FG$2,0)/FG$1,"")</f>
        <v>0</v>
      </c>
      <c r="FH37" s="67">
        <f>IFERROR(VLOOKUP($B37,RD[#All],FH$2,0)/FH$1,"")</f>
        <v>0</v>
      </c>
      <c r="FI37" s="67">
        <f>IFERROR(VLOOKUP($B37,RD[#All],FI$2,0)/FI$1,"")</f>
        <v>0</v>
      </c>
      <c r="FJ37" s="67">
        <f>IFERROR(VLOOKUP($B37,RD[#All],FJ$2,0)/FJ$1,"")</f>
        <v>0</v>
      </c>
      <c r="FK37" s="67">
        <f>IFERROR(VLOOKUP($B37,RD[#All],FK$2,0)/FK$1,"")</f>
        <v>0</v>
      </c>
      <c r="FL37" s="67">
        <f>IFERROR(VLOOKUP($B37,RD[#All],FL$2,0)/FL$1,"")</f>
        <v>0</v>
      </c>
      <c r="FM37" s="67">
        <f>IFERROR(VLOOKUP($B37,RD[#All],FM$2,0)/FM$1,"")</f>
        <v>0</v>
      </c>
      <c r="FN37" s="67">
        <f>IFERROR(VLOOKUP($B37,RD[#All],FN$2,0)/FN$1,"")</f>
        <v>0</v>
      </c>
      <c r="FO37" s="67">
        <f>IFERROR(VLOOKUP($B37,RD[#All],FO$2,0)/FO$1,"")</f>
        <v>0</v>
      </c>
      <c r="FP37" s="67">
        <f>IFERROR(VLOOKUP($B37,RD[#All],FP$2,0)/FP$1,"")</f>
        <v>0</v>
      </c>
      <c r="FQ37" s="67">
        <f>IFERROR(VLOOKUP($B37,RD[#All],FQ$2,0)/FQ$1,"")</f>
        <v>0</v>
      </c>
      <c r="FR37" s="67">
        <f>IFERROR(VLOOKUP($B37,RD[#All],FR$2,0)/FR$1,"")</f>
        <v>0</v>
      </c>
      <c r="FS37" s="67">
        <f>IFERROR(VLOOKUP($B37,RD[#All],FS$2,0)/FS$1,"")</f>
        <v>0</v>
      </c>
      <c r="FT37" s="67">
        <f>IFERROR(VLOOKUP($B37,RD[#All],FT$2,0)/FT$1,"")</f>
        <v>0</v>
      </c>
      <c r="FU37" s="67">
        <f>IFERROR(VLOOKUP($B37,RD[#All],FU$2,0)/FU$1,"")</f>
        <v>0</v>
      </c>
      <c r="FV37" s="67">
        <f>IFERROR(VLOOKUP($B37,RD[#All],FV$2,0)/FV$1,"")</f>
        <v>0</v>
      </c>
      <c r="FW37" s="67">
        <f>IFERROR(VLOOKUP($B37,RD[#All],FW$2,0)/FW$1,"")</f>
        <v>0</v>
      </c>
      <c r="FX37" s="67">
        <f>IFERROR(VLOOKUP($B37,RD[#All],FX$2,0)/FX$1,"")</f>
        <v>0</v>
      </c>
      <c r="FY37" s="67">
        <f>IFERROR(VLOOKUP($B37,RD[#All],FY$2,0)/FY$1,"")</f>
        <v>0</v>
      </c>
      <c r="FZ37" s="67">
        <f>IFERROR(VLOOKUP($B37,RD[#All],FZ$2,0)/FZ$1,"")</f>
        <v>0</v>
      </c>
      <c r="GA37" s="67">
        <f>IFERROR(VLOOKUP($B37,RD[#All],GA$2,0)/GA$1,"")</f>
        <v>0</v>
      </c>
      <c r="GB37" s="67">
        <f>IFERROR(VLOOKUP($B37,RD[#All],GB$2,0)/GB$1,"")</f>
        <v>0</v>
      </c>
      <c r="GC37" s="67">
        <f>IFERROR(VLOOKUP($B37,RD[#All],GC$2,0)/GC$1,"")</f>
        <v>0</v>
      </c>
      <c r="GD37" s="67">
        <f>IFERROR(VLOOKUP($B37,RD[#All],GD$2,0)/GD$1,"")</f>
        <v>0</v>
      </c>
      <c r="GE37" s="67">
        <f>IFERROR(VLOOKUP($B37,RD[#All],GE$2,0)/GE$1,"")</f>
        <v>0</v>
      </c>
      <c r="GF37" s="67">
        <f>IFERROR(VLOOKUP($B37,RD[#All],GF$2,0)/GF$1,"")</f>
        <v>0</v>
      </c>
      <c r="GG37" s="67">
        <f>IFERROR(VLOOKUP($B37,RD[#All],GG$2,0)/GG$1,"")</f>
        <v>0</v>
      </c>
      <c r="GH37" s="67">
        <f>IFERROR(VLOOKUP($B37,RD[#All],GH$2,0)/GH$1,"")</f>
        <v>0</v>
      </c>
      <c r="GI37" s="67">
        <f>IFERROR(VLOOKUP($B37,RD[#All],GI$2,0)/GI$1,"")</f>
        <v>0</v>
      </c>
      <c r="GJ37" s="67">
        <f>IFERROR(VLOOKUP($B37,RD[#All],GJ$2,0)/GJ$1,"")</f>
        <v>0</v>
      </c>
      <c r="GK37" s="67">
        <f>IFERROR(VLOOKUP($B37,RD[#All],GK$2,0)/GK$1,"")</f>
        <v>0</v>
      </c>
      <c r="GL37" s="67">
        <f>IFERROR(VLOOKUP($B37,RD[#All],GL$2,0)/GL$1,"")</f>
        <v>0</v>
      </c>
      <c r="GM37" s="67">
        <f>IFERROR(VLOOKUP($B37,RD[#All],GM$2,0)/GM$1,"")</f>
        <v>0</v>
      </c>
      <c r="GN37" s="67">
        <f>IFERROR(VLOOKUP($B37,RD[#All],GN$2,0)/GN$1,"")</f>
        <v>0</v>
      </c>
      <c r="GO37" s="67">
        <f>IFERROR(VLOOKUP($B37,RD[#All],GO$2,0)/GO$1,"")</f>
        <v>0</v>
      </c>
      <c r="GP37" s="67">
        <f>IFERROR(VLOOKUP($B37,RD[#All],GP$2,0)/GP$1,"")</f>
        <v>0</v>
      </c>
      <c r="GQ37" s="67">
        <f>IFERROR(VLOOKUP($B37,RD[#All],GQ$2,0)/GQ$1,"")</f>
        <v>0</v>
      </c>
      <c r="GR37" s="67">
        <f>IFERROR(VLOOKUP($B37,RD[#All],GR$2,0)/GR$1,"")</f>
        <v>0</v>
      </c>
      <c r="GS37" s="67" t="str">
        <f>IFERROR(VLOOKUP($B37,RD[#All],GS$2,0)/GS$1,"")</f>
        <v/>
      </c>
      <c r="GT37" s="67" t="str">
        <f>IFERROR(VLOOKUP($B37,RD[#All],GT$2,0)/GT$1,"")</f>
        <v/>
      </c>
      <c r="GU37" s="67">
        <f>IFERROR(VLOOKUP($B37,RD[#All],GU$2,0)/GU$1,"")</f>
        <v>0</v>
      </c>
      <c r="GV37" s="67">
        <f>IFERROR(VLOOKUP($B37,RD[#All],GV$2,0)/GV$1,"")</f>
        <v>0</v>
      </c>
      <c r="GW37" s="67">
        <f>IFERROR(VLOOKUP($B37,RD[#All],GW$2,0)/GW$1,"")</f>
        <v>0</v>
      </c>
      <c r="GX37" s="67" t="str">
        <f>IFERROR(VLOOKUP($B37,RD[#All],GX$2,0)/GX$1,"")</f>
        <v/>
      </c>
      <c r="GY37" s="67">
        <f>IFERROR(VLOOKUP($B37,RD[#All],GY$2,0)/GY$1,"")</f>
        <v>0</v>
      </c>
      <c r="GZ37" s="67">
        <f>IFERROR(VLOOKUP($B37,RD[#All],GZ$2,0)/GZ$1,"")</f>
        <v>0</v>
      </c>
      <c r="HA37" s="67">
        <f>IFERROR(VLOOKUP($B37,RD[#All],HA$2,0)/HA$1,"")</f>
        <v>0</v>
      </c>
      <c r="HB37" s="67">
        <f>IFERROR(VLOOKUP($B37,RD[#All],HB$2,0)/HB$1,"")</f>
        <v>0</v>
      </c>
      <c r="HC37" s="67">
        <f>IFERROR(VLOOKUP($B37,RD[#All],HC$2,0)/HC$1,"")</f>
        <v>0</v>
      </c>
      <c r="HD37" s="67">
        <f>IFERROR(VLOOKUP($B37,RD[#All],HD$2,0)/HD$1,"")</f>
        <v>0</v>
      </c>
      <c r="HE37" s="67">
        <f>IFERROR(VLOOKUP($B37,RD[#All],HE$2,0)/HE$1,"")</f>
        <v>0</v>
      </c>
      <c r="HF37" s="67">
        <f>IFERROR(VLOOKUP($B37,RD[#All],HF$2,0)/HF$1,"")</f>
        <v>0</v>
      </c>
      <c r="HG37" s="67">
        <f>IFERROR(VLOOKUP($B37,RD[#All],HG$2,0)/HG$1,"")</f>
        <v>0</v>
      </c>
      <c r="HH37" s="67">
        <f>IFERROR(VLOOKUP($B37,RD[#All],HH$2,0)/HH$1,"")</f>
        <v>0</v>
      </c>
      <c r="HI37" s="67">
        <f>IFERROR(VLOOKUP($B37,RD[#All],HI$2,0)/HI$1,"")</f>
        <v>0</v>
      </c>
      <c r="HJ37" s="67">
        <f>IFERROR(VLOOKUP($B37,RD[#All],HJ$2,0)/HJ$1,"")</f>
        <v>0</v>
      </c>
      <c r="HK37" s="67">
        <f>IFERROR(VLOOKUP($B37,RD[#All],HK$2,0)/HK$1,"")</f>
        <v>0</v>
      </c>
      <c r="HL37" s="67">
        <f>IFERROR(VLOOKUP($B37,RD[#All],HL$2,0)/HL$1,"")</f>
        <v>0</v>
      </c>
      <c r="HM37" s="67">
        <f>IFERROR(VLOOKUP($B37,RD[#All],HM$2,0)/HM$1,"")</f>
        <v>0</v>
      </c>
      <c r="HN37" s="67">
        <f>IFERROR(VLOOKUP($B37,RD[#All],HN$2,0)/HN$1,"")</f>
        <v>0</v>
      </c>
      <c r="HO37" s="67">
        <f>IFERROR(VLOOKUP($B37,RD[#All],HO$2,0)/HO$1,"")</f>
        <v>0</v>
      </c>
      <c r="HP37" s="67">
        <f>IFERROR(VLOOKUP($B37,RD[#All],HP$2,0)/HP$1,"")</f>
        <v>0</v>
      </c>
      <c r="HQ37" s="67">
        <f>IFERROR(VLOOKUP($B37,RD[#All],HQ$2,0)/HQ$1,"")</f>
        <v>0</v>
      </c>
      <c r="HR37" s="67">
        <f>IFERROR(VLOOKUP($B37,RD[#All],HR$2,0)/HR$1,"")</f>
        <v>0</v>
      </c>
      <c r="HS37" s="67">
        <f>IFERROR(VLOOKUP($B37,RD[#All],HS$2,0)/HS$1,"")</f>
        <v>0</v>
      </c>
      <c r="HT37" s="67">
        <f>IFERROR(VLOOKUP($B37,RD[#All],HT$2,0)/HT$1,"")</f>
        <v>0</v>
      </c>
      <c r="HU37" s="67">
        <f>IFERROR(VLOOKUP($B37,RD[#All],HU$2,0)/HU$1,"")</f>
        <v>0</v>
      </c>
      <c r="HV37" s="67">
        <f>IFERROR(VLOOKUP($B37,RD[#All],HV$2,0)/HV$1,"")</f>
        <v>0</v>
      </c>
      <c r="HW37" s="67">
        <f>IFERROR(VLOOKUP($B37,RD[#All],HW$2,0)/HW$1,"")</f>
        <v>0</v>
      </c>
      <c r="HX37" s="67">
        <f>IFERROR(VLOOKUP($B37,RD[#All],HX$2,0)/HX$1,"")</f>
        <v>0</v>
      </c>
      <c r="HY37" s="67">
        <f>IFERROR(VLOOKUP($B37,RD[#All],HY$2,0)/HY$1,"")</f>
        <v>0</v>
      </c>
      <c r="HZ37" s="67">
        <f>IFERROR(VLOOKUP($B37,RD[#All],HZ$2,0)/HZ$1,"")</f>
        <v>0</v>
      </c>
      <c r="IA37" s="67">
        <f>IFERROR(VLOOKUP($B37,RD[#All],IA$2,0)/IA$1,"")</f>
        <v>0</v>
      </c>
      <c r="IB37" s="67">
        <f>IFERROR(VLOOKUP($B37,RD[#All],IB$2,0)/IB$1,"")</f>
        <v>0</v>
      </c>
      <c r="IC37" s="67">
        <f>IFERROR(VLOOKUP($B37,RD[#All],IC$2,0)/IC$1,"")</f>
        <v>0</v>
      </c>
      <c r="ID37" s="67">
        <f>IFERROR(VLOOKUP($B37,RD[#All],ID$2,0)/ID$1,"")</f>
        <v>0</v>
      </c>
      <c r="IE37" s="67">
        <f>IFERROR(VLOOKUP($B37,RD[#All],IE$2,0)/IE$1,"")</f>
        <v>0</v>
      </c>
      <c r="IF37" s="67" t="str">
        <f>IFERROR(VLOOKUP($B37,RD[#All],IF$2,0)/IF$1,"")</f>
        <v/>
      </c>
      <c r="IG37" s="67">
        <f>IFERROR(VLOOKUP($B37,RD[#All],IG$2,0)/IG$1,"")</f>
        <v>0</v>
      </c>
      <c r="IH37" s="67">
        <f>IFERROR(VLOOKUP($B37,RD[#All],IH$2,0)/IH$1,"")</f>
        <v>0</v>
      </c>
      <c r="II37" s="67">
        <f>IFERROR(VLOOKUP($B37,RD[#All],II$2,0)/II$1,"")</f>
        <v>0</v>
      </c>
      <c r="IJ37" s="67">
        <f>IFERROR(VLOOKUP($B37,RD[#All],IJ$2,0)/IJ$1,"")</f>
        <v>0</v>
      </c>
      <c r="IK37" s="67">
        <f>IFERROR(VLOOKUP($B37,RD[#All],IK$2,0)/IK$1,"")</f>
        <v>0</v>
      </c>
      <c r="IL37" s="67" t="str">
        <f>IFERROR(VLOOKUP($B37,RD[#All],IL$2,0)/IL$1,"")</f>
        <v/>
      </c>
      <c r="IM37" s="67" t="str">
        <f>IFERROR(VLOOKUP($B37,RD[#All],IM$2,0)/IM$1,"")</f>
        <v/>
      </c>
      <c r="IN37" s="67">
        <f>IFERROR(VLOOKUP($B37,RD[#All],IN$2,0)/IN$1,"")</f>
        <v>0</v>
      </c>
      <c r="IO37" s="67">
        <f>IFERROR(VLOOKUP($B37,RD[#All],IO$2,0)/IO$1,"")</f>
        <v>0</v>
      </c>
      <c r="IP37" s="67">
        <f>IFERROR(VLOOKUP($B37,RD[#All],IP$2,0)/IP$1,"")</f>
        <v>0</v>
      </c>
      <c r="IQ37" s="67">
        <f>IFERROR(VLOOKUP($B37,RD[#All],IQ$2,0)/IQ$1,"")</f>
        <v>0</v>
      </c>
      <c r="IR37" s="67">
        <f>IFERROR(VLOOKUP($B37,RD[#All],IR$2,0)/IR$1,"")</f>
        <v>0</v>
      </c>
      <c r="IS37" s="86" t="str">
        <f>IFERROR(AVERAGEIF(Inv_SY_B[[#This Row],[BLK1_INV1]:[BLK8_INV27]],"&gt;"&amp;0.1,Inv_SY_B[[#This Row],[BLK1_INV1]:[BLK8_INV27]]),"")</f>
        <v/>
      </c>
    </row>
    <row r="38" spans="2:253" x14ac:dyDescent="0.25">
      <c r="B38" s="87">
        <f t="shared" si="1"/>
        <v>45864</v>
      </c>
      <c r="C38" s="67">
        <f>IFERROR(VLOOKUP($B38,RD[#All],C$2,0)/C$1,"")</f>
        <v>0</v>
      </c>
      <c r="D38" s="67">
        <f>IFERROR(VLOOKUP($B38,RD[#All],D$2,0)/D$1,"")</f>
        <v>0</v>
      </c>
      <c r="E38" s="67">
        <f>IFERROR(VLOOKUP($B38,RD[#All],E$2,0)/E$1,"")</f>
        <v>0</v>
      </c>
      <c r="F38" s="67">
        <f>IFERROR(VLOOKUP($B38,RD[#All],F$2,0)/F$1,"")</f>
        <v>0</v>
      </c>
      <c r="G38" s="67">
        <f>IFERROR(VLOOKUP($B38,RD[#All],G$2,0)/G$1,"")</f>
        <v>0</v>
      </c>
      <c r="H38" s="67">
        <f>IFERROR(VLOOKUP($B38,RD[#All],H$2,0)/H$1,"")</f>
        <v>0</v>
      </c>
      <c r="I38" s="67">
        <f>IFERROR(VLOOKUP($B38,RD[#All],I$2,0)/I$1,"")</f>
        <v>0</v>
      </c>
      <c r="J38" s="67">
        <f>IFERROR(VLOOKUP($B38,RD[#All],J$2,0)/J$1,"")</f>
        <v>0</v>
      </c>
      <c r="K38" s="67">
        <f>IFERROR(VLOOKUP($B38,RD[#All],K$2,0)/K$1,"")</f>
        <v>0</v>
      </c>
      <c r="L38" s="67">
        <f>IFERROR(VLOOKUP($B38,RD[#All],L$2,0)/L$1,"")</f>
        <v>0</v>
      </c>
      <c r="M38" s="67">
        <f>IFERROR(VLOOKUP($B38,RD[#All],M$2,0)/M$1,"")</f>
        <v>0</v>
      </c>
      <c r="N38" s="67">
        <f>IFERROR(VLOOKUP($B38,RD[#All],N$2,0)/N$1,"")</f>
        <v>0</v>
      </c>
      <c r="O38" s="67">
        <f>IFERROR(VLOOKUP($B38,RD[#All],O$2,0)/O$1,"")</f>
        <v>0</v>
      </c>
      <c r="P38" s="67">
        <f>IFERROR(VLOOKUP($B38,RD[#All],P$2,0)/P$1,"")</f>
        <v>0</v>
      </c>
      <c r="Q38" s="67">
        <f>IFERROR(VLOOKUP($B38,RD[#All],Q$2,0)/Q$1,"")</f>
        <v>0</v>
      </c>
      <c r="R38" s="67">
        <f>IFERROR(VLOOKUP($B38,RD[#All],R$2,0)/R$1,"")</f>
        <v>0</v>
      </c>
      <c r="S38" s="67">
        <f>IFERROR(VLOOKUP($B38,RD[#All],S$2,0)/S$1,"")</f>
        <v>0</v>
      </c>
      <c r="T38" s="67">
        <f>IFERROR(VLOOKUP($B38,RD[#All],T$2,0)/T$1,"")</f>
        <v>0</v>
      </c>
      <c r="U38" s="67">
        <f>IFERROR(VLOOKUP($B38,RD[#All],U$2,0)/U$1,"")</f>
        <v>0</v>
      </c>
      <c r="V38" s="67">
        <f>IFERROR(VLOOKUP($B38,RD[#All],V$2,0)/V$1,"")</f>
        <v>0</v>
      </c>
      <c r="W38" s="67">
        <f>IFERROR(VLOOKUP($B38,RD[#All],W$2,0)/W$1,"")</f>
        <v>0</v>
      </c>
      <c r="X38" s="67">
        <f>IFERROR(VLOOKUP($B38,RD[#All],X$2,0)/X$1,"")</f>
        <v>0</v>
      </c>
      <c r="Y38" s="67">
        <f>IFERROR(VLOOKUP($B38,RD[#All],Y$2,0)/Y$1,"")</f>
        <v>0</v>
      </c>
      <c r="Z38" s="67">
        <f>IFERROR(VLOOKUP($B38,RD[#All],Z$2,0)/Z$1,"")</f>
        <v>0</v>
      </c>
      <c r="AA38" s="67">
        <f>IFERROR(VLOOKUP($B38,RD[#All],AA$2,0)/AA$1,"")</f>
        <v>0</v>
      </c>
      <c r="AB38" s="67">
        <f>IFERROR(VLOOKUP($B38,RD[#All],AB$2,0)/AB$1,"")</f>
        <v>0</v>
      </c>
      <c r="AC38" s="67">
        <f>IFERROR(VLOOKUP($B38,RD[#All],AC$2,0)/AC$1,"")</f>
        <v>0</v>
      </c>
      <c r="AD38" s="67">
        <f>IFERROR(VLOOKUP($B38,RD[#All],AD$2,0)/AD$1,"")</f>
        <v>0</v>
      </c>
      <c r="AE38" s="67">
        <f>IFERROR(VLOOKUP($B38,RD[#All],AE$2,0)/AE$1,"")</f>
        <v>0</v>
      </c>
      <c r="AF38" s="67">
        <f>IFERROR(VLOOKUP($B38,RD[#All],AF$2,0)/AF$1,"")</f>
        <v>0</v>
      </c>
      <c r="AG38" s="67">
        <f>IFERROR(VLOOKUP($B38,RD[#All],AG$2,0)/AG$1,"")</f>
        <v>0</v>
      </c>
      <c r="AH38" s="67">
        <f>IFERROR(VLOOKUP($B38,RD[#All],AH$2,0)/AH$1,"")</f>
        <v>0</v>
      </c>
      <c r="AI38" s="67">
        <f>IFERROR(VLOOKUP($B38,RD[#All],AI$2,0)/AI$1,"")</f>
        <v>0</v>
      </c>
      <c r="AJ38" s="67">
        <f>IFERROR(VLOOKUP($B38,RD[#All],AJ$2,0)/AJ$1,"")</f>
        <v>0</v>
      </c>
      <c r="AK38" s="67">
        <f>IFERROR(VLOOKUP($B38,RD[#All],AK$2,0)/AK$1,"")</f>
        <v>0</v>
      </c>
      <c r="AL38" s="67">
        <f>IFERROR(VLOOKUP($B38,RD[#All],AL$2,0)/AL$1,"")</f>
        <v>0</v>
      </c>
      <c r="AM38" s="67">
        <f>IFERROR(VLOOKUP($B38,RD[#All],AM$2,0)/AM$1,"")</f>
        <v>0</v>
      </c>
      <c r="AN38" s="67">
        <f>IFERROR(VLOOKUP($B38,RD[#All],AN$2,0)/AN$1,"")</f>
        <v>0</v>
      </c>
      <c r="AO38" s="67">
        <f>IFERROR(VLOOKUP($B38,RD[#All],AO$2,0)/AO$1,"")</f>
        <v>0</v>
      </c>
      <c r="AP38" s="67">
        <f>IFERROR(VLOOKUP($B38,RD[#All],AP$2,0)/AP$1,"")</f>
        <v>0</v>
      </c>
      <c r="AQ38" s="67">
        <f>IFERROR(VLOOKUP($B38,RD[#All],AQ$2,0)/AQ$1,"")</f>
        <v>0</v>
      </c>
      <c r="AR38" s="67">
        <f>IFERROR(VLOOKUP($B38,RD[#All],AR$2,0)/AR$1,"")</f>
        <v>0</v>
      </c>
      <c r="AS38" s="67">
        <f>IFERROR(VLOOKUP($B38,RD[#All],AS$2,0)/AS$1,"")</f>
        <v>0</v>
      </c>
      <c r="AT38" s="67">
        <f>IFERROR(VLOOKUP($B38,RD[#All],AT$2,0)/AT$1,"")</f>
        <v>0</v>
      </c>
      <c r="AU38" s="67">
        <f>IFERROR(VLOOKUP($B38,RD[#All],AU$2,0)/AU$1,"")</f>
        <v>0</v>
      </c>
      <c r="AV38" s="67">
        <f>IFERROR(VLOOKUP($B38,RD[#All],AV$2,0)/AV$1,"")</f>
        <v>0</v>
      </c>
      <c r="AW38" s="67">
        <f>IFERROR(VLOOKUP($B38,RD[#All],AW$2,0)/AW$1,"")</f>
        <v>0</v>
      </c>
      <c r="AX38" s="67">
        <f>IFERROR(VLOOKUP($B38,RD[#All],AX$2,0)/AX$1,"")</f>
        <v>0</v>
      </c>
      <c r="AY38" s="67">
        <f>IFERROR(VLOOKUP($B38,RD[#All],AY$2,0)/AY$1,"")</f>
        <v>0</v>
      </c>
      <c r="AZ38" s="67">
        <f>IFERROR(VLOOKUP($B38,RD[#All],AZ$2,0)/AZ$1,"")</f>
        <v>0</v>
      </c>
      <c r="BA38" s="67">
        <f>IFERROR(VLOOKUP($B38,RD[#All],BA$2,0)/BA$1,"")</f>
        <v>0</v>
      </c>
      <c r="BB38" s="67">
        <f>IFERROR(VLOOKUP($B38,RD[#All],BB$2,0)/BB$1,"")</f>
        <v>0</v>
      </c>
      <c r="BC38" s="67">
        <f>IFERROR(VLOOKUP($B38,RD[#All],BC$2,0)/BC$1,"")</f>
        <v>0</v>
      </c>
      <c r="BD38" s="67">
        <f>IFERROR(VLOOKUP($B38,RD[#All],BD$2,0)/BD$1,"")</f>
        <v>0</v>
      </c>
      <c r="BE38" s="67">
        <f>IFERROR(VLOOKUP($B38,RD[#All],BE$2,0)/BE$1,"")</f>
        <v>0</v>
      </c>
      <c r="BF38" s="67">
        <f>IFERROR(VLOOKUP($B38,RD[#All],BF$2,0)/BF$1,"")</f>
        <v>0</v>
      </c>
      <c r="BG38" s="67">
        <f>IFERROR(VLOOKUP($B38,RD[#All],BG$2,0)/BG$1,"")</f>
        <v>0</v>
      </c>
      <c r="BH38" s="67">
        <f>IFERROR(VLOOKUP($B38,RD[#All],BH$2,0)/BH$1,"")</f>
        <v>0</v>
      </c>
      <c r="BI38" s="67">
        <f>IFERROR(VLOOKUP($B38,RD[#All],BI$2,0)/BI$1,"")</f>
        <v>0</v>
      </c>
      <c r="BJ38" s="67">
        <f>IFERROR(VLOOKUP($B38,RD[#All],BJ$2,0)/BJ$1,"")</f>
        <v>0</v>
      </c>
      <c r="BK38" s="67">
        <f>IFERROR(VLOOKUP($B38,RD[#All],BK$2,0)/BK$1,"")</f>
        <v>0</v>
      </c>
      <c r="BL38" s="67">
        <f>IFERROR(VLOOKUP($B38,RD[#All],BL$2,0)/BL$1,"")</f>
        <v>0</v>
      </c>
      <c r="BM38" s="67">
        <f>IFERROR(VLOOKUP($B38,RD[#All],BM$2,0)/BM$1,"")</f>
        <v>0</v>
      </c>
      <c r="BN38" s="67">
        <f>IFERROR(VLOOKUP($B38,RD[#All],BN$2,0)/BN$1,"")</f>
        <v>0</v>
      </c>
      <c r="BO38" s="67">
        <f>IFERROR(VLOOKUP($B38,RD[#All],BO$2,0)/BO$1,"")</f>
        <v>0</v>
      </c>
      <c r="BP38" s="67">
        <f>IFERROR(VLOOKUP($B38,RD[#All],BP$2,0)/BP$1,"")</f>
        <v>0</v>
      </c>
      <c r="BQ38" s="67">
        <f>IFERROR(VLOOKUP($B38,RD[#All],BQ$2,0)/BQ$1,"")</f>
        <v>0</v>
      </c>
      <c r="BR38" s="67">
        <f>IFERROR(VLOOKUP($B38,RD[#All],BR$2,0)/BR$1,"")</f>
        <v>0</v>
      </c>
      <c r="BS38" s="67">
        <f>IFERROR(VLOOKUP($B38,RD[#All],BS$2,0)/BS$1,"")</f>
        <v>0</v>
      </c>
      <c r="BT38" s="67">
        <f>IFERROR(VLOOKUP($B38,RD[#All],BT$2,0)/BT$1,"")</f>
        <v>0</v>
      </c>
      <c r="BU38" s="67">
        <f>IFERROR(VLOOKUP($B38,RD[#All],BU$2,0)/BU$1,"")</f>
        <v>0</v>
      </c>
      <c r="BV38" s="67">
        <f>IFERROR(VLOOKUP($B38,RD[#All],BV$2,0)/BV$1,"")</f>
        <v>0</v>
      </c>
      <c r="BW38" s="67">
        <f>IFERROR(VLOOKUP($B38,RD[#All],BW$2,0)/BW$1,"")</f>
        <v>0</v>
      </c>
      <c r="BX38" s="67">
        <f>IFERROR(VLOOKUP($B38,RD[#All],BX$2,0)/BX$1,"")</f>
        <v>0</v>
      </c>
      <c r="BY38" s="67">
        <f>IFERROR(VLOOKUP($B38,RD[#All],BY$2,0)/BY$1,"")</f>
        <v>0</v>
      </c>
      <c r="BZ38" s="67">
        <f>IFERROR(VLOOKUP($B38,RD[#All],BZ$2,0)/BZ$1,"")</f>
        <v>0</v>
      </c>
      <c r="CA38" s="67">
        <f>IFERROR(VLOOKUP($B38,RD[#All],CA$2,0)/CA$1,"")</f>
        <v>0</v>
      </c>
      <c r="CB38" s="67">
        <f>IFERROR(VLOOKUP($B38,RD[#All],CB$2,0)/CB$1,"")</f>
        <v>0</v>
      </c>
      <c r="CC38" s="67">
        <f>IFERROR(VLOOKUP($B38,RD[#All],CC$2,0)/CC$1,"")</f>
        <v>0</v>
      </c>
      <c r="CD38" s="67">
        <f>IFERROR(VLOOKUP($B38,RD[#All],CD$2,0)/CD$1,"")</f>
        <v>0</v>
      </c>
      <c r="CE38" s="67">
        <f>IFERROR(VLOOKUP($B38,RD[#All],CE$2,0)/CE$1,"")</f>
        <v>0</v>
      </c>
      <c r="CF38" s="67">
        <f>IFERROR(VLOOKUP($B38,RD[#All],CF$2,0)/CF$1,"")</f>
        <v>0</v>
      </c>
      <c r="CG38" s="67">
        <f>IFERROR(VLOOKUP($B38,RD[#All],CG$2,0)/CG$1,"")</f>
        <v>0</v>
      </c>
      <c r="CH38" s="67">
        <f>IFERROR(VLOOKUP($B38,RD[#All],CH$2,0)/CH$1,"")</f>
        <v>0</v>
      </c>
      <c r="CI38" s="67">
        <f>IFERROR(VLOOKUP($B38,RD[#All],CI$2,0)/CI$1,"")</f>
        <v>0</v>
      </c>
      <c r="CJ38" s="67">
        <f>IFERROR(VLOOKUP($B38,RD[#All],CJ$2,0)/CJ$1,"")</f>
        <v>0</v>
      </c>
      <c r="CK38" s="67">
        <f>IFERROR(VLOOKUP($B38,RD[#All],CK$2,0)/CK$1,"")</f>
        <v>0</v>
      </c>
      <c r="CL38" s="67">
        <f>IFERROR(VLOOKUP($B38,RD[#All],CL$2,0)/CL$1,"")</f>
        <v>0</v>
      </c>
      <c r="CM38" s="67">
        <f>IFERROR(VLOOKUP($B38,RD[#All],CM$2,0)/CM$1,"")</f>
        <v>0</v>
      </c>
      <c r="CN38" s="67">
        <f>IFERROR(VLOOKUP($B38,RD[#All],CN$2,0)/CN$1,"")</f>
        <v>0</v>
      </c>
      <c r="CO38" s="67">
        <f>IFERROR(VLOOKUP($B38,RD[#All],CO$2,0)/CO$1,"")</f>
        <v>0</v>
      </c>
      <c r="CP38" s="67">
        <f>IFERROR(VLOOKUP($B38,RD[#All],CP$2,0)/CP$1,"")</f>
        <v>0</v>
      </c>
      <c r="CQ38" s="67">
        <f>IFERROR(VLOOKUP($B38,RD[#All],CQ$2,0)/CQ$1,"")</f>
        <v>0</v>
      </c>
      <c r="CR38" s="67">
        <f>IFERROR(VLOOKUP($B38,RD[#All],CR$2,0)/CR$1,"")</f>
        <v>0</v>
      </c>
      <c r="CS38" s="67">
        <f>IFERROR(VLOOKUP($B38,RD[#All],CS$2,0)/CS$1,"")</f>
        <v>0</v>
      </c>
      <c r="CT38" s="67">
        <f>IFERROR(VLOOKUP($B38,RD[#All],CT$2,0)/CT$1,"")</f>
        <v>0</v>
      </c>
      <c r="CU38" s="67">
        <f>IFERROR(VLOOKUP($B38,RD[#All],CU$2,0)/CU$1,"")</f>
        <v>0</v>
      </c>
      <c r="CV38" s="67">
        <f>IFERROR(VLOOKUP($B38,RD[#All],CV$2,0)/CV$1,"")</f>
        <v>0</v>
      </c>
      <c r="CW38" s="67">
        <f>IFERROR(VLOOKUP($B38,RD[#All],CW$2,0)/CW$1,"")</f>
        <v>0</v>
      </c>
      <c r="CX38" s="67">
        <f>IFERROR(VLOOKUP($B38,RD[#All],CX$2,0)/CX$1,"")</f>
        <v>0</v>
      </c>
      <c r="CY38" s="67">
        <f>IFERROR(VLOOKUP($B38,RD[#All],CY$2,0)/CY$1,"")</f>
        <v>0</v>
      </c>
      <c r="CZ38" s="67">
        <f>IFERROR(VLOOKUP($B38,RD[#All],CZ$2,0)/CZ$1,"")</f>
        <v>0</v>
      </c>
      <c r="DA38" s="67">
        <f>IFERROR(VLOOKUP($B38,RD[#All],DA$2,0)/DA$1,"")</f>
        <v>0</v>
      </c>
      <c r="DB38" s="67">
        <f>IFERROR(VLOOKUP($B38,RD[#All],DB$2,0)/DB$1,"")</f>
        <v>0</v>
      </c>
      <c r="DC38" s="67">
        <f>IFERROR(VLOOKUP($B38,RD[#All],DC$2,0)/DC$1,"")</f>
        <v>0</v>
      </c>
      <c r="DD38" s="67">
        <f>IFERROR(VLOOKUP($B38,RD[#All],DD$2,0)/DD$1,"")</f>
        <v>0</v>
      </c>
      <c r="DE38" s="67">
        <f>IFERROR(VLOOKUP($B38,RD[#All],DE$2,0)/DE$1,"")</f>
        <v>0</v>
      </c>
      <c r="DF38" s="67">
        <f>IFERROR(VLOOKUP($B38,RD[#All],DF$2,0)/DF$1,"")</f>
        <v>0</v>
      </c>
      <c r="DG38" s="67">
        <f>IFERROR(VLOOKUP($B38,RD[#All],DG$2,0)/DG$1,"")</f>
        <v>0</v>
      </c>
      <c r="DH38" s="67">
        <f>IFERROR(VLOOKUP($B38,RD[#All],DH$2,0)/DH$1,"")</f>
        <v>0</v>
      </c>
      <c r="DI38" s="67">
        <f>IFERROR(VLOOKUP($B38,RD[#All],DI$2,0)/DI$1,"")</f>
        <v>0</v>
      </c>
      <c r="DJ38" s="67">
        <f>IFERROR(VLOOKUP($B38,RD[#All],DJ$2,0)/DJ$1,"")</f>
        <v>0</v>
      </c>
      <c r="DK38" s="67">
        <f>IFERROR(VLOOKUP($B38,RD[#All],DK$2,0)/DK$1,"")</f>
        <v>0</v>
      </c>
      <c r="DL38" s="67">
        <f>IFERROR(VLOOKUP($B38,RD[#All],DL$2,0)/DL$1,"")</f>
        <v>0</v>
      </c>
      <c r="DM38" s="67">
        <f>IFERROR(VLOOKUP($B38,RD[#All],DM$2,0)/DM$1,"")</f>
        <v>0</v>
      </c>
      <c r="DN38" s="67">
        <f>IFERROR(VLOOKUP($B38,RD[#All],DN$2,0)/DN$1,"")</f>
        <v>0</v>
      </c>
      <c r="DO38" s="67">
        <f>IFERROR(VLOOKUP($B38,RD[#All],DO$2,0)/DO$1,"")</f>
        <v>0</v>
      </c>
      <c r="DP38" s="67">
        <f>IFERROR(VLOOKUP($B38,RD[#All],DP$2,0)/DP$1,"")</f>
        <v>0</v>
      </c>
      <c r="DQ38" s="67">
        <f>IFERROR(VLOOKUP($B38,RD[#All],DQ$2,0)/DQ$1,"")</f>
        <v>0</v>
      </c>
      <c r="DR38" s="67">
        <f>IFERROR(VLOOKUP($B38,RD[#All],DR$2,0)/DR$1,"")</f>
        <v>0</v>
      </c>
      <c r="DS38" s="67">
        <f>IFERROR(VLOOKUP($B38,RD[#All],DS$2,0)/DS$1,"")</f>
        <v>0</v>
      </c>
      <c r="DT38" s="67">
        <f>IFERROR(VLOOKUP($B38,RD[#All],DT$2,0)/DT$1,"")</f>
        <v>0</v>
      </c>
      <c r="DU38" s="67">
        <f>IFERROR(VLOOKUP($B38,RD[#All],DU$2,0)/DU$1,"")</f>
        <v>0</v>
      </c>
      <c r="DV38" s="67">
        <f>IFERROR(VLOOKUP($B38,RD[#All],DV$2,0)/DV$1,"")</f>
        <v>0</v>
      </c>
      <c r="DW38" s="67">
        <f>IFERROR(VLOOKUP($B38,RD[#All],DW$2,0)/DW$1,"")</f>
        <v>0</v>
      </c>
      <c r="DX38" s="67">
        <f>IFERROR(VLOOKUP($B38,RD[#All],DX$2,0)/DX$1,"")</f>
        <v>0</v>
      </c>
      <c r="DY38" s="67">
        <f>IFERROR(VLOOKUP($B38,RD[#All],DY$2,0)/DY$1,"")</f>
        <v>0</v>
      </c>
      <c r="DZ38" s="67">
        <f>IFERROR(VLOOKUP($B38,RD[#All],DZ$2,0)/DZ$1,"")</f>
        <v>0</v>
      </c>
      <c r="EA38" s="67">
        <f>IFERROR(VLOOKUP($B38,RD[#All],EA$2,0)/EA$1,"")</f>
        <v>0</v>
      </c>
      <c r="EB38" s="67">
        <f>IFERROR(VLOOKUP($B38,RD[#All],EB$2,0)/EB$1,"")</f>
        <v>0</v>
      </c>
      <c r="EC38" s="67">
        <f>IFERROR(VLOOKUP($B38,RD[#All],EC$2,0)/EC$1,"")</f>
        <v>0</v>
      </c>
      <c r="ED38" s="67">
        <f>IFERROR(VLOOKUP($B38,RD[#All],ED$2,0)/ED$1,"")</f>
        <v>0</v>
      </c>
      <c r="EE38" s="67">
        <f>IFERROR(VLOOKUP($B38,RD[#All],EE$2,0)/EE$1,"")</f>
        <v>0</v>
      </c>
      <c r="EF38" s="67">
        <f>IFERROR(VLOOKUP($B38,RD[#All],EF$2,0)/EF$1,"")</f>
        <v>0</v>
      </c>
      <c r="EG38" s="67">
        <f>IFERROR(VLOOKUP($B38,RD[#All],EG$2,0)/EG$1,"")</f>
        <v>0</v>
      </c>
      <c r="EH38" s="67">
        <f>IFERROR(VLOOKUP($B38,RD[#All],EH$2,0)/EH$1,"")</f>
        <v>0</v>
      </c>
      <c r="EI38" s="67">
        <f>IFERROR(VLOOKUP($B38,RD[#All],EI$2,0)/EI$1,"")</f>
        <v>0</v>
      </c>
      <c r="EJ38" s="67">
        <f>IFERROR(VLOOKUP($B38,RD[#All],EJ$2,0)/EJ$1,"")</f>
        <v>0</v>
      </c>
      <c r="EK38" s="67">
        <f>IFERROR(VLOOKUP($B38,RD[#All],EK$2,0)/EK$1,"")</f>
        <v>0</v>
      </c>
      <c r="EL38" s="67">
        <f>IFERROR(VLOOKUP($B38,RD[#All],EL$2,0)/EL$1,"")</f>
        <v>0</v>
      </c>
      <c r="EM38" s="67">
        <f>IFERROR(VLOOKUP($B38,RD[#All],EM$2,0)/EM$1,"")</f>
        <v>0</v>
      </c>
      <c r="EN38" s="67">
        <f>IFERROR(VLOOKUP($B38,RD[#All],EN$2,0)/EN$1,"")</f>
        <v>0</v>
      </c>
      <c r="EO38" s="67">
        <f>IFERROR(VLOOKUP($B38,RD[#All],EO$2,0)/EO$1,"")</f>
        <v>0</v>
      </c>
      <c r="EP38" s="67">
        <f>IFERROR(VLOOKUP($B38,RD[#All],EP$2,0)/EP$1,"")</f>
        <v>0</v>
      </c>
      <c r="EQ38" s="67">
        <f>IFERROR(VLOOKUP($B38,RD[#All],EQ$2,0)/EQ$1,"")</f>
        <v>0</v>
      </c>
      <c r="ER38" s="67">
        <f>IFERROR(VLOOKUP($B38,RD[#All],ER$2,0)/ER$1,"")</f>
        <v>0</v>
      </c>
      <c r="ES38" s="67">
        <f>IFERROR(VLOOKUP($B38,RD[#All],ES$2,0)/ES$1,"")</f>
        <v>0</v>
      </c>
      <c r="ET38" s="67">
        <f>IFERROR(VLOOKUP($B38,RD[#All],ET$2,0)/ET$1,"")</f>
        <v>0</v>
      </c>
      <c r="EU38" s="67">
        <f>IFERROR(VLOOKUP($B38,RD[#All],EU$2,0)/EU$1,"")</f>
        <v>0</v>
      </c>
      <c r="EV38" s="67">
        <f>IFERROR(VLOOKUP($B38,RD[#All],EV$2,0)/EV$1,"")</f>
        <v>0</v>
      </c>
      <c r="EW38" s="67">
        <f>IFERROR(VLOOKUP($B38,RD[#All],EW$2,0)/EW$1,"")</f>
        <v>0</v>
      </c>
      <c r="EX38" s="67">
        <f>IFERROR(VLOOKUP($B38,RD[#All],EX$2,0)/EX$1,"")</f>
        <v>0</v>
      </c>
      <c r="EY38" s="67">
        <f>IFERROR(VLOOKUP($B38,RD[#All],EY$2,0)/EY$1,"")</f>
        <v>0</v>
      </c>
      <c r="EZ38" s="67">
        <f>IFERROR(VLOOKUP($B38,RD[#All],EZ$2,0)/EZ$1,"")</f>
        <v>0</v>
      </c>
      <c r="FA38" s="67">
        <f>IFERROR(VLOOKUP($B38,RD[#All],FA$2,0)/FA$1,"")</f>
        <v>0</v>
      </c>
      <c r="FB38" s="67">
        <f>IFERROR(VLOOKUP($B38,RD[#All],FB$2,0)/FB$1,"")</f>
        <v>0</v>
      </c>
      <c r="FC38" s="67">
        <f>IFERROR(VLOOKUP($B38,RD[#All],FC$2,0)/FC$1,"")</f>
        <v>0</v>
      </c>
      <c r="FD38" s="67">
        <f>IFERROR(VLOOKUP($B38,RD[#All],FD$2,0)/FD$1,"")</f>
        <v>0</v>
      </c>
      <c r="FE38" s="67">
        <f>IFERROR(VLOOKUP($B38,RD[#All],FE$2,0)/FE$1,"")</f>
        <v>0</v>
      </c>
      <c r="FF38" s="67">
        <f>IFERROR(VLOOKUP($B38,RD[#All],FF$2,0)/FF$1,"")</f>
        <v>0</v>
      </c>
      <c r="FG38" s="67">
        <f>IFERROR(VLOOKUP($B38,RD[#All],FG$2,0)/FG$1,"")</f>
        <v>0</v>
      </c>
      <c r="FH38" s="67">
        <f>IFERROR(VLOOKUP($B38,RD[#All],FH$2,0)/FH$1,"")</f>
        <v>0</v>
      </c>
      <c r="FI38" s="67">
        <f>IFERROR(VLOOKUP($B38,RD[#All],FI$2,0)/FI$1,"")</f>
        <v>0</v>
      </c>
      <c r="FJ38" s="67">
        <f>IFERROR(VLOOKUP($B38,RD[#All],FJ$2,0)/FJ$1,"")</f>
        <v>0</v>
      </c>
      <c r="FK38" s="67">
        <f>IFERROR(VLOOKUP($B38,RD[#All],FK$2,0)/FK$1,"")</f>
        <v>0</v>
      </c>
      <c r="FL38" s="67">
        <f>IFERROR(VLOOKUP($B38,RD[#All],FL$2,0)/FL$1,"")</f>
        <v>0</v>
      </c>
      <c r="FM38" s="67">
        <f>IFERROR(VLOOKUP($B38,RD[#All],FM$2,0)/FM$1,"")</f>
        <v>0</v>
      </c>
      <c r="FN38" s="67">
        <f>IFERROR(VLOOKUP($B38,RD[#All],FN$2,0)/FN$1,"")</f>
        <v>0</v>
      </c>
      <c r="FO38" s="67">
        <f>IFERROR(VLOOKUP($B38,RD[#All],FO$2,0)/FO$1,"")</f>
        <v>0</v>
      </c>
      <c r="FP38" s="67">
        <f>IFERROR(VLOOKUP($B38,RD[#All],FP$2,0)/FP$1,"")</f>
        <v>0</v>
      </c>
      <c r="FQ38" s="67">
        <f>IFERROR(VLOOKUP($B38,RD[#All],FQ$2,0)/FQ$1,"")</f>
        <v>0</v>
      </c>
      <c r="FR38" s="67">
        <f>IFERROR(VLOOKUP($B38,RD[#All],FR$2,0)/FR$1,"")</f>
        <v>0</v>
      </c>
      <c r="FS38" s="67">
        <f>IFERROR(VLOOKUP($B38,RD[#All],FS$2,0)/FS$1,"")</f>
        <v>0</v>
      </c>
      <c r="FT38" s="67">
        <f>IFERROR(VLOOKUP($B38,RD[#All],FT$2,0)/FT$1,"")</f>
        <v>0</v>
      </c>
      <c r="FU38" s="67">
        <f>IFERROR(VLOOKUP($B38,RD[#All],FU$2,0)/FU$1,"")</f>
        <v>0</v>
      </c>
      <c r="FV38" s="67">
        <f>IFERROR(VLOOKUP($B38,RD[#All],FV$2,0)/FV$1,"")</f>
        <v>0</v>
      </c>
      <c r="FW38" s="67">
        <f>IFERROR(VLOOKUP($B38,RD[#All],FW$2,0)/FW$1,"")</f>
        <v>0</v>
      </c>
      <c r="FX38" s="67">
        <f>IFERROR(VLOOKUP($B38,RD[#All],FX$2,0)/FX$1,"")</f>
        <v>0</v>
      </c>
      <c r="FY38" s="67">
        <f>IFERROR(VLOOKUP($B38,RD[#All],FY$2,0)/FY$1,"")</f>
        <v>0</v>
      </c>
      <c r="FZ38" s="67">
        <f>IFERROR(VLOOKUP($B38,RD[#All],FZ$2,0)/FZ$1,"")</f>
        <v>0</v>
      </c>
      <c r="GA38" s="67">
        <f>IFERROR(VLOOKUP($B38,RD[#All],GA$2,0)/GA$1,"")</f>
        <v>0</v>
      </c>
      <c r="GB38" s="67">
        <f>IFERROR(VLOOKUP($B38,RD[#All],GB$2,0)/GB$1,"")</f>
        <v>0</v>
      </c>
      <c r="GC38" s="67">
        <f>IFERROR(VLOOKUP($B38,RD[#All],GC$2,0)/GC$1,"")</f>
        <v>0</v>
      </c>
      <c r="GD38" s="67">
        <f>IFERROR(VLOOKUP($B38,RD[#All],GD$2,0)/GD$1,"")</f>
        <v>0</v>
      </c>
      <c r="GE38" s="67">
        <f>IFERROR(VLOOKUP($B38,RD[#All],GE$2,0)/GE$1,"")</f>
        <v>0</v>
      </c>
      <c r="GF38" s="67">
        <f>IFERROR(VLOOKUP($B38,RD[#All],GF$2,0)/GF$1,"")</f>
        <v>0</v>
      </c>
      <c r="GG38" s="67">
        <f>IFERROR(VLOOKUP($B38,RD[#All],GG$2,0)/GG$1,"")</f>
        <v>0</v>
      </c>
      <c r="GH38" s="67">
        <f>IFERROR(VLOOKUP($B38,RD[#All],GH$2,0)/GH$1,"")</f>
        <v>0</v>
      </c>
      <c r="GI38" s="67">
        <f>IFERROR(VLOOKUP($B38,RD[#All],GI$2,0)/GI$1,"")</f>
        <v>0</v>
      </c>
      <c r="GJ38" s="67">
        <f>IFERROR(VLOOKUP($B38,RD[#All],GJ$2,0)/GJ$1,"")</f>
        <v>0</v>
      </c>
      <c r="GK38" s="67">
        <f>IFERROR(VLOOKUP($B38,RD[#All],GK$2,0)/GK$1,"")</f>
        <v>0</v>
      </c>
      <c r="GL38" s="67">
        <f>IFERROR(VLOOKUP($B38,RD[#All],GL$2,0)/GL$1,"")</f>
        <v>0</v>
      </c>
      <c r="GM38" s="67">
        <f>IFERROR(VLOOKUP($B38,RD[#All],GM$2,0)/GM$1,"")</f>
        <v>0</v>
      </c>
      <c r="GN38" s="67">
        <f>IFERROR(VLOOKUP($B38,RD[#All],GN$2,0)/GN$1,"")</f>
        <v>0</v>
      </c>
      <c r="GO38" s="67">
        <f>IFERROR(VLOOKUP($B38,RD[#All],GO$2,0)/GO$1,"")</f>
        <v>0</v>
      </c>
      <c r="GP38" s="67">
        <f>IFERROR(VLOOKUP($B38,RD[#All],GP$2,0)/GP$1,"")</f>
        <v>0</v>
      </c>
      <c r="GQ38" s="67">
        <f>IFERROR(VLOOKUP($B38,RD[#All],GQ$2,0)/GQ$1,"")</f>
        <v>0</v>
      </c>
      <c r="GR38" s="67">
        <f>IFERROR(VLOOKUP($B38,RD[#All],GR$2,0)/GR$1,"")</f>
        <v>0</v>
      </c>
      <c r="GS38" s="67" t="str">
        <f>IFERROR(VLOOKUP($B38,RD[#All],GS$2,0)/GS$1,"")</f>
        <v/>
      </c>
      <c r="GT38" s="67" t="str">
        <f>IFERROR(VLOOKUP($B38,RD[#All],GT$2,0)/GT$1,"")</f>
        <v/>
      </c>
      <c r="GU38" s="67">
        <f>IFERROR(VLOOKUP($B38,RD[#All],GU$2,0)/GU$1,"")</f>
        <v>0</v>
      </c>
      <c r="GV38" s="67">
        <f>IFERROR(VLOOKUP($B38,RD[#All],GV$2,0)/GV$1,"")</f>
        <v>0</v>
      </c>
      <c r="GW38" s="67">
        <f>IFERROR(VLOOKUP($B38,RD[#All],GW$2,0)/GW$1,"")</f>
        <v>0</v>
      </c>
      <c r="GX38" s="67" t="str">
        <f>IFERROR(VLOOKUP($B38,RD[#All],GX$2,0)/GX$1,"")</f>
        <v/>
      </c>
      <c r="GY38" s="67">
        <f>IFERROR(VLOOKUP($B38,RD[#All],GY$2,0)/GY$1,"")</f>
        <v>0</v>
      </c>
      <c r="GZ38" s="67">
        <f>IFERROR(VLOOKUP($B38,RD[#All],GZ$2,0)/GZ$1,"")</f>
        <v>0</v>
      </c>
      <c r="HA38" s="67">
        <f>IFERROR(VLOOKUP($B38,RD[#All],HA$2,0)/HA$1,"")</f>
        <v>0</v>
      </c>
      <c r="HB38" s="67">
        <f>IFERROR(VLOOKUP($B38,RD[#All],HB$2,0)/HB$1,"")</f>
        <v>0</v>
      </c>
      <c r="HC38" s="67">
        <f>IFERROR(VLOOKUP($B38,RD[#All],HC$2,0)/HC$1,"")</f>
        <v>0</v>
      </c>
      <c r="HD38" s="67">
        <f>IFERROR(VLOOKUP($B38,RD[#All],HD$2,0)/HD$1,"")</f>
        <v>0</v>
      </c>
      <c r="HE38" s="67">
        <f>IFERROR(VLOOKUP($B38,RD[#All],HE$2,0)/HE$1,"")</f>
        <v>0</v>
      </c>
      <c r="HF38" s="67">
        <f>IFERROR(VLOOKUP($B38,RD[#All],HF$2,0)/HF$1,"")</f>
        <v>0</v>
      </c>
      <c r="HG38" s="67">
        <f>IFERROR(VLOOKUP($B38,RD[#All],HG$2,0)/HG$1,"")</f>
        <v>0</v>
      </c>
      <c r="HH38" s="67">
        <f>IFERROR(VLOOKUP($B38,RD[#All],HH$2,0)/HH$1,"")</f>
        <v>0</v>
      </c>
      <c r="HI38" s="67">
        <f>IFERROR(VLOOKUP($B38,RD[#All],HI$2,0)/HI$1,"")</f>
        <v>0</v>
      </c>
      <c r="HJ38" s="67">
        <f>IFERROR(VLOOKUP($B38,RD[#All],HJ$2,0)/HJ$1,"")</f>
        <v>0</v>
      </c>
      <c r="HK38" s="67">
        <f>IFERROR(VLOOKUP($B38,RD[#All],HK$2,0)/HK$1,"")</f>
        <v>0</v>
      </c>
      <c r="HL38" s="67">
        <f>IFERROR(VLOOKUP($B38,RD[#All],HL$2,0)/HL$1,"")</f>
        <v>0</v>
      </c>
      <c r="HM38" s="67">
        <f>IFERROR(VLOOKUP($B38,RD[#All],HM$2,0)/HM$1,"")</f>
        <v>0</v>
      </c>
      <c r="HN38" s="67">
        <f>IFERROR(VLOOKUP($B38,RD[#All],HN$2,0)/HN$1,"")</f>
        <v>0</v>
      </c>
      <c r="HO38" s="67">
        <f>IFERROR(VLOOKUP($B38,RD[#All],HO$2,0)/HO$1,"")</f>
        <v>0</v>
      </c>
      <c r="HP38" s="67">
        <f>IFERROR(VLOOKUP($B38,RD[#All],HP$2,0)/HP$1,"")</f>
        <v>0</v>
      </c>
      <c r="HQ38" s="67">
        <f>IFERROR(VLOOKUP($B38,RD[#All],HQ$2,0)/HQ$1,"")</f>
        <v>0</v>
      </c>
      <c r="HR38" s="67">
        <f>IFERROR(VLOOKUP($B38,RD[#All],HR$2,0)/HR$1,"")</f>
        <v>0</v>
      </c>
      <c r="HS38" s="67">
        <f>IFERROR(VLOOKUP($B38,RD[#All],HS$2,0)/HS$1,"")</f>
        <v>0</v>
      </c>
      <c r="HT38" s="67">
        <f>IFERROR(VLOOKUP($B38,RD[#All],HT$2,0)/HT$1,"")</f>
        <v>0</v>
      </c>
      <c r="HU38" s="67">
        <f>IFERROR(VLOOKUP($B38,RD[#All],HU$2,0)/HU$1,"")</f>
        <v>0</v>
      </c>
      <c r="HV38" s="67">
        <f>IFERROR(VLOOKUP($B38,RD[#All],HV$2,0)/HV$1,"")</f>
        <v>0</v>
      </c>
      <c r="HW38" s="67">
        <f>IFERROR(VLOOKUP($B38,RD[#All],HW$2,0)/HW$1,"")</f>
        <v>0</v>
      </c>
      <c r="HX38" s="67">
        <f>IFERROR(VLOOKUP($B38,RD[#All],HX$2,0)/HX$1,"")</f>
        <v>0</v>
      </c>
      <c r="HY38" s="67">
        <f>IFERROR(VLOOKUP($B38,RD[#All],HY$2,0)/HY$1,"")</f>
        <v>0</v>
      </c>
      <c r="HZ38" s="67">
        <f>IFERROR(VLOOKUP($B38,RD[#All],HZ$2,0)/HZ$1,"")</f>
        <v>0</v>
      </c>
      <c r="IA38" s="67">
        <f>IFERROR(VLOOKUP($B38,RD[#All],IA$2,0)/IA$1,"")</f>
        <v>0</v>
      </c>
      <c r="IB38" s="67">
        <f>IFERROR(VLOOKUP($B38,RD[#All],IB$2,0)/IB$1,"")</f>
        <v>0</v>
      </c>
      <c r="IC38" s="67">
        <f>IFERROR(VLOOKUP($B38,RD[#All],IC$2,0)/IC$1,"")</f>
        <v>0</v>
      </c>
      <c r="ID38" s="67">
        <f>IFERROR(VLOOKUP($B38,RD[#All],ID$2,0)/ID$1,"")</f>
        <v>0</v>
      </c>
      <c r="IE38" s="67">
        <f>IFERROR(VLOOKUP($B38,RD[#All],IE$2,0)/IE$1,"")</f>
        <v>0</v>
      </c>
      <c r="IF38" s="67" t="str">
        <f>IFERROR(VLOOKUP($B38,RD[#All],IF$2,0)/IF$1,"")</f>
        <v/>
      </c>
      <c r="IG38" s="67">
        <f>IFERROR(VLOOKUP($B38,RD[#All],IG$2,0)/IG$1,"")</f>
        <v>0</v>
      </c>
      <c r="IH38" s="67">
        <f>IFERROR(VLOOKUP($B38,RD[#All],IH$2,0)/IH$1,"")</f>
        <v>0</v>
      </c>
      <c r="II38" s="67">
        <f>IFERROR(VLOOKUP($B38,RD[#All],II$2,0)/II$1,"")</f>
        <v>0</v>
      </c>
      <c r="IJ38" s="67">
        <f>IFERROR(VLOOKUP($B38,RD[#All],IJ$2,0)/IJ$1,"")</f>
        <v>0</v>
      </c>
      <c r="IK38" s="67">
        <f>IFERROR(VLOOKUP($B38,RD[#All],IK$2,0)/IK$1,"")</f>
        <v>0</v>
      </c>
      <c r="IL38" s="67" t="str">
        <f>IFERROR(VLOOKUP($B38,RD[#All],IL$2,0)/IL$1,"")</f>
        <v/>
      </c>
      <c r="IM38" s="67" t="str">
        <f>IFERROR(VLOOKUP($B38,RD[#All],IM$2,0)/IM$1,"")</f>
        <v/>
      </c>
      <c r="IN38" s="67">
        <f>IFERROR(VLOOKUP($B38,RD[#All],IN$2,0)/IN$1,"")</f>
        <v>0</v>
      </c>
      <c r="IO38" s="67">
        <f>IFERROR(VLOOKUP($B38,RD[#All],IO$2,0)/IO$1,"")</f>
        <v>0</v>
      </c>
      <c r="IP38" s="67">
        <f>IFERROR(VLOOKUP($B38,RD[#All],IP$2,0)/IP$1,"")</f>
        <v>0</v>
      </c>
      <c r="IQ38" s="67">
        <f>IFERROR(VLOOKUP($B38,RD[#All],IQ$2,0)/IQ$1,"")</f>
        <v>0</v>
      </c>
      <c r="IR38" s="67">
        <f>IFERROR(VLOOKUP($B38,RD[#All],IR$2,0)/IR$1,"")</f>
        <v>0</v>
      </c>
      <c r="IS38" s="86" t="str">
        <f>IFERROR(AVERAGEIF(Inv_SY_B[[#This Row],[BLK1_INV1]:[BLK8_INV27]],"&gt;"&amp;0.1,Inv_SY_B[[#This Row],[BLK1_INV1]:[BLK8_INV27]]),"")</f>
        <v/>
      </c>
    </row>
    <row r="39" spans="2:253" x14ac:dyDescent="0.25">
      <c r="B39" s="87">
        <f t="shared" si="1"/>
        <v>45865</v>
      </c>
      <c r="C39" s="67">
        <f>IFERROR(VLOOKUP($B39,RD[#All],C$2,0)/C$1,"")</f>
        <v>0</v>
      </c>
      <c r="D39" s="67">
        <f>IFERROR(VLOOKUP($B39,RD[#All],D$2,0)/D$1,"")</f>
        <v>0</v>
      </c>
      <c r="E39" s="67">
        <f>IFERROR(VLOOKUP($B39,RD[#All],E$2,0)/E$1,"")</f>
        <v>0</v>
      </c>
      <c r="F39" s="67">
        <f>IFERROR(VLOOKUP($B39,RD[#All],F$2,0)/F$1,"")</f>
        <v>0</v>
      </c>
      <c r="G39" s="67">
        <f>IFERROR(VLOOKUP($B39,RD[#All],G$2,0)/G$1,"")</f>
        <v>0</v>
      </c>
      <c r="H39" s="67">
        <f>IFERROR(VLOOKUP($B39,RD[#All],H$2,0)/H$1,"")</f>
        <v>0</v>
      </c>
      <c r="I39" s="67">
        <f>IFERROR(VLOOKUP($B39,RD[#All],I$2,0)/I$1,"")</f>
        <v>0</v>
      </c>
      <c r="J39" s="67">
        <f>IFERROR(VLOOKUP($B39,RD[#All],J$2,0)/J$1,"")</f>
        <v>0</v>
      </c>
      <c r="K39" s="67">
        <f>IFERROR(VLOOKUP($B39,RD[#All],K$2,0)/K$1,"")</f>
        <v>0</v>
      </c>
      <c r="L39" s="67">
        <f>IFERROR(VLOOKUP($B39,RD[#All],L$2,0)/L$1,"")</f>
        <v>0</v>
      </c>
      <c r="M39" s="67">
        <f>IFERROR(VLOOKUP($B39,RD[#All],M$2,0)/M$1,"")</f>
        <v>0</v>
      </c>
      <c r="N39" s="67">
        <f>IFERROR(VLOOKUP($B39,RD[#All],N$2,0)/N$1,"")</f>
        <v>0</v>
      </c>
      <c r="O39" s="67">
        <f>IFERROR(VLOOKUP($B39,RD[#All],O$2,0)/O$1,"")</f>
        <v>0</v>
      </c>
      <c r="P39" s="67">
        <f>IFERROR(VLOOKUP($B39,RD[#All],P$2,0)/P$1,"")</f>
        <v>0</v>
      </c>
      <c r="Q39" s="67">
        <f>IFERROR(VLOOKUP($B39,RD[#All],Q$2,0)/Q$1,"")</f>
        <v>0</v>
      </c>
      <c r="R39" s="67">
        <f>IFERROR(VLOOKUP($B39,RD[#All],R$2,0)/R$1,"")</f>
        <v>0</v>
      </c>
      <c r="S39" s="67">
        <f>IFERROR(VLOOKUP($B39,RD[#All],S$2,0)/S$1,"")</f>
        <v>0</v>
      </c>
      <c r="T39" s="67">
        <f>IFERROR(VLOOKUP($B39,RD[#All],T$2,0)/T$1,"")</f>
        <v>0</v>
      </c>
      <c r="U39" s="67">
        <f>IFERROR(VLOOKUP($B39,RD[#All],U$2,0)/U$1,"")</f>
        <v>0</v>
      </c>
      <c r="V39" s="67">
        <f>IFERROR(VLOOKUP($B39,RD[#All],V$2,0)/V$1,"")</f>
        <v>0</v>
      </c>
      <c r="W39" s="67">
        <f>IFERROR(VLOOKUP($B39,RD[#All],W$2,0)/W$1,"")</f>
        <v>0</v>
      </c>
      <c r="X39" s="67">
        <f>IFERROR(VLOOKUP($B39,RD[#All],X$2,0)/X$1,"")</f>
        <v>0</v>
      </c>
      <c r="Y39" s="67">
        <f>IFERROR(VLOOKUP($B39,RD[#All],Y$2,0)/Y$1,"")</f>
        <v>0</v>
      </c>
      <c r="Z39" s="67">
        <f>IFERROR(VLOOKUP($B39,RD[#All],Z$2,0)/Z$1,"")</f>
        <v>0</v>
      </c>
      <c r="AA39" s="67">
        <f>IFERROR(VLOOKUP($B39,RD[#All],AA$2,0)/AA$1,"")</f>
        <v>0</v>
      </c>
      <c r="AB39" s="67">
        <f>IFERROR(VLOOKUP($B39,RD[#All],AB$2,0)/AB$1,"")</f>
        <v>0</v>
      </c>
      <c r="AC39" s="67">
        <f>IFERROR(VLOOKUP($B39,RD[#All],AC$2,0)/AC$1,"")</f>
        <v>0</v>
      </c>
      <c r="AD39" s="67">
        <f>IFERROR(VLOOKUP($B39,RD[#All],AD$2,0)/AD$1,"")</f>
        <v>0</v>
      </c>
      <c r="AE39" s="67">
        <f>IFERROR(VLOOKUP($B39,RD[#All],AE$2,0)/AE$1,"")</f>
        <v>0</v>
      </c>
      <c r="AF39" s="67">
        <f>IFERROR(VLOOKUP($B39,RD[#All],AF$2,0)/AF$1,"")</f>
        <v>0</v>
      </c>
      <c r="AG39" s="67">
        <f>IFERROR(VLOOKUP($B39,RD[#All],AG$2,0)/AG$1,"")</f>
        <v>0</v>
      </c>
      <c r="AH39" s="67">
        <f>IFERROR(VLOOKUP($B39,RD[#All],AH$2,0)/AH$1,"")</f>
        <v>0</v>
      </c>
      <c r="AI39" s="67">
        <f>IFERROR(VLOOKUP($B39,RD[#All],AI$2,0)/AI$1,"")</f>
        <v>0</v>
      </c>
      <c r="AJ39" s="67">
        <f>IFERROR(VLOOKUP($B39,RD[#All],AJ$2,0)/AJ$1,"")</f>
        <v>0</v>
      </c>
      <c r="AK39" s="67">
        <f>IFERROR(VLOOKUP($B39,RD[#All],AK$2,0)/AK$1,"")</f>
        <v>0</v>
      </c>
      <c r="AL39" s="67">
        <f>IFERROR(VLOOKUP($B39,RD[#All],AL$2,0)/AL$1,"")</f>
        <v>0</v>
      </c>
      <c r="AM39" s="67">
        <f>IFERROR(VLOOKUP($B39,RD[#All],AM$2,0)/AM$1,"")</f>
        <v>0</v>
      </c>
      <c r="AN39" s="67">
        <f>IFERROR(VLOOKUP($B39,RD[#All],AN$2,0)/AN$1,"")</f>
        <v>0</v>
      </c>
      <c r="AO39" s="67">
        <f>IFERROR(VLOOKUP($B39,RD[#All],AO$2,0)/AO$1,"")</f>
        <v>0</v>
      </c>
      <c r="AP39" s="67">
        <f>IFERROR(VLOOKUP($B39,RD[#All],AP$2,0)/AP$1,"")</f>
        <v>0</v>
      </c>
      <c r="AQ39" s="67">
        <f>IFERROR(VLOOKUP($B39,RD[#All],AQ$2,0)/AQ$1,"")</f>
        <v>0</v>
      </c>
      <c r="AR39" s="67">
        <f>IFERROR(VLOOKUP($B39,RD[#All],AR$2,0)/AR$1,"")</f>
        <v>0</v>
      </c>
      <c r="AS39" s="67">
        <f>IFERROR(VLOOKUP($B39,RD[#All],AS$2,0)/AS$1,"")</f>
        <v>0</v>
      </c>
      <c r="AT39" s="67">
        <f>IFERROR(VLOOKUP($B39,RD[#All],AT$2,0)/AT$1,"")</f>
        <v>0</v>
      </c>
      <c r="AU39" s="67">
        <f>IFERROR(VLOOKUP($B39,RD[#All],AU$2,0)/AU$1,"")</f>
        <v>0</v>
      </c>
      <c r="AV39" s="67">
        <f>IFERROR(VLOOKUP($B39,RD[#All],AV$2,0)/AV$1,"")</f>
        <v>0</v>
      </c>
      <c r="AW39" s="67">
        <f>IFERROR(VLOOKUP($B39,RD[#All],AW$2,0)/AW$1,"")</f>
        <v>0</v>
      </c>
      <c r="AX39" s="67">
        <f>IFERROR(VLOOKUP($B39,RD[#All],AX$2,0)/AX$1,"")</f>
        <v>0</v>
      </c>
      <c r="AY39" s="67">
        <f>IFERROR(VLOOKUP($B39,RD[#All],AY$2,0)/AY$1,"")</f>
        <v>0</v>
      </c>
      <c r="AZ39" s="67">
        <f>IFERROR(VLOOKUP($B39,RD[#All],AZ$2,0)/AZ$1,"")</f>
        <v>0</v>
      </c>
      <c r="BA39" s="67">
        <f>IFERROR(VLOOKUP($B39,RD[#All],BA$2,0)/BA$1,"")</f>
        <v>0</v>
      </c>
      <c r="BB39" s="67">
        <f>IFERROR(VLOOKUP($B39,RD[#All],BB$2,0)/BB$1,"")</f>
        <v>0</v>
      </c>
      <c r="BC39" s="67">
        <f>IFERROR(VLOOKUP($B39,RD[#All],BC$2,0)/BC$1,"")</f>
        <v>0</v>
      </c>
      <c r="BD39" s="67">
        <f>IFERROR(VLOOKUP($B39,RD[#All],BD$2,0)/BD$1,"")</f>
        <v>0</v>
      </c>
      <c r="BE39" s="67">
        <f>IFERROR(VLOOKUP($B39,RD[#All],BE$2,0)/BE$1,"")</f>
        <v>0</v>
      </c>
      <c r="BF39" s="67">
        <f>IFERROR(VLOOKUP($B39,RD[#All],BF$2,0)/BF$1,"")</f>
        <v>0</v>
      </c>
      <c r="BG39" s="67">
        <f>IFERROR(VLOOKUP($B39,RD[#All],BG$2,0)/BG$1,"")</f>
        <v>0</v>
      </c>
      <c r="BH39" s="67">
        <f>IFERROR(VLOOKUP($B39,RD[#All],BH$2,0)/BH$1,"")</f>
        <v>0</v>
      </c>
      <c r="BI39" s="67">
        <f>IFERROR(VLOOKUP($B39,RD[#All],BI$2,0)/BI$1,"")</f>
        <v>0</v>
      </c>
      <c r="BJ39" s="67">
        <f>IFERROR(VLOOKUP($B39,RD[#All],BJ$2,0)/BJ$1,"")</f>
        <v>0</v>
      </c>
      <c r="BK39" s="67">
        <f>IFERROR(VLOOKUP($B39,RD[#All],BK$2,0)/BK$1,"")</f>
        <v>0</v>
      </c>
      <c r="BL39" s="67">
        <f>IFERROR(VLOOKUP($B39,RD[#All],BL$2,0)/BL$1,"")</f>
        <v>0</v>
      </c>
      <c r="BM39" s="67">
        <f>IFERROR(VLOOKUP($B39,RD[#All],BM$2,0)/BM$1,"")</f>
        <v>0</v>
      </c>
      <c r="BN39" s="67">
        <f>IFERROR(VLOOKUP($B39,RD[#All],BN$2,0)/BN$1,"")</f>
        <v>0</v>
      </c>
      <c r="BO39" s="67">
        <f>IFERROR(VLOOKUP($B39,RD[#All],BO$2,0)/BO$1,"")</f>
        <v>0</v>
      </c>
      <c r="BP39" s="67">
        <f>IFERROR(VLOOKUP($B39,RD[#All],BP$2,0)/BP$1,"")</f>
        <v>0</v>
      </c>
      <c r="BQ39" s="67">
        <f>IFERROR(VLOOKUP($B39,RD[#All],BQ$2,0)/BQ$1,"")</f>
        <v>0</v>
      </c>
      <c r="BR39" s="67">
        <f>IFERROR(VLOOKUP($B39,RD[#All],BR$2,0)/BR$1,"")</f>
        <v>0</v>
      </c>
      <c r="BS39" s="67">
        <f>IFERROR(VLOOKUP($B39,RD[#All],BS$2,0)/BS$1,"")</f>
        <v>0</v>
      </c>
      <c r="BT39" s="67">
        <f>IFERROR(VLOOKUP($B39,RD[#All],BT$2,0)/BT$1,"")</f>
        <v>0</v>
      </c>
      <c r="BU39" s="67">
        <f>IFERROR(VLOOKUP($B39,RD[#All],BU$2,0)/BU$1,"")</f>
        <v>0</v>
      </c>
      <c r="BV39" s="67">
        <f>IFERROR(VLOOKUP($B39,RD[#All],BV$2,0)/BV$1,"")</f>
        <v>0</v>
      </c>
      <c r="BW39" s="67">
        <f>IFERROR(VLOOKUP($B39,RD[#All],BW$2,0)/BW$1,"")</f>
        <v>0</v>
      </c>
      <c r="BX39" s="67">
        <f>IFERROR(VLOOKUP($B39,RD[#All],BX$2,0)/BX$1,"")</f>
        <v>0</v>
      </c>
      <c r="BY39" s="67">
        <f>IFERROR(VLOOKUP($B39,RD[#All],BY$2,0)/BY$1,"")</f>
        <v>0</v>
      </c>
      <c r="BZ39" s="67">
        <f>IFERROR(VLOOKUP($B39,RD[#All],BZ$2,0)/BZ$1,"")</f>
        <v>0</v>
      </c>
      <c r="CA39" s="67">
        <f>IFERROR(VLOOKUP($B39,RD[#All],CA$2,0)/CA$1,"")</f>
        <v>0</v>
      </c>
      <c r="CB39" s="67">
        <f>IFERROR(VLOOKUP($B39,RD[#All],CB$2,0)/CB$1,"")</f>
        <v>0</v>
      </c>
      <c r="CC39" s="67">
        <f>IFERROR(VLOOKUP($B39,RD[#All],CC$2,0)/CC$1,"")</f>
        <v>0</v>
      </c>
      <c r="CD39" s="67">
        <f>IFERROR(VLOOKUP($B39,RD[#All],CD$2,0)/CD$1,"")</f>
        <v>0</v>
      </c>
      <c r="CE39" s="67">
        <f>IFERROR(VLOOKUP($B39,RD[#All],CE$2,0)/CE$1,"")</f>
        <v>0</v>
      </c>
      <c r="CF39" s="67">
        <f>IFERROR(VLOOKUP($B39,RD[#All],CF$2,0)/CF$1,"")</f>
        <v>0</v>
      </c>
      <c r="CG39" s="67">
        <f>IFERROR(VLOOKUP($B39,RD[#All],CG$2,0)/CG$1,"")</f>
        <v>0</v>
      </c>
      <c r="CH39" s="67">
        <f>IFERROR(VLOOKUP($B39,RD[#All],CH$2,0)/CH$1,"")</f>
        <v>0</v>
      </c>
      <c r="CI39" s="67">
        <f>IFERROR(VLOOKUP($B39,RD[#All],CI$2,0)/CI$1,"")</f>
        <v>0</v>
      </c>
      <c r="CJ39" s="67">
        <f>IFERROR(VLOOKUP($B39,RD[#All],CJ$2,0)/CJ$1,"")</f>
        <v>0</v>
      </c>
      <c r="CK39" s="67">
        <f>IFERROR(VLOOKUP($B39,RD[#All],CK$2,0)/CK$1,"")</f>
        <v>0</v>
      </c>
      <c r="CL39" s="67">
        <f>IFERROR(VLOOKUP($B39,RD[#All],CL$2,0)/CL$1,"")</f>
        <v>0</v>
      </c>
      <c r="CM39" s="67">
        <f>IFERROR(VLOOKUP($B39,RD[#All],CM$2,0)/CM$1,"")</f>
        <v>0</v>
      </c>
      <c r="CN39" s="67">
        <f>IFERROR(VLOOKUP($B39,RD[#All],CN$2,0)/CN$1,"")</f>
        <v>0</v>
      </c>
      <c r="CO39" s="67">
        <f>IFERROR(VLOOKUP($B39,RD[#All],CO$2,0)/CO$1,"")</f>
        <v>0</v>
      </c>
      <c r="CP39" s="67">
        <f>IFERROR(VLOOKUP($B39,RD[#All],CP$2,0)/CP$1,"")</f>
        <v>0</v>
      </c>
      <c r="CQ39" s="67">
        <f>IFERROR(VLOOKUP($B39,RD[#All],CQ$2,0)/CQ$1,"")</f>
        <v>0</v>
      </c>
      <c r="CR39" s="67">
        <f>IFERROR(VLOOKUP($B39,RD[#All],CR$2,0)/CR$1,"")</f>
        <v>0</v>
      </c>
      <c r="CS39" s="67">
        <f>IFERROR(VLOOKUP($B39,RD[#All],CS$2,0)/CS$1,"")</f>
        <v>0</v>
      </c>
      <c r="CT39" s="67">
        <f>IFERROR(VLOOKUP($B39,RD[#All],CT$2,0)/CT$1,"")</f>
        <v>0</v>
      </c>
      <c r="CU39" s="67">
        <f>IFERROR(VLOOKUP($B39,RD[#All],CU$2,0)/CU$1,"")</f>
        <v>0</v>
      </c>
      <c r="CV39" s="67">
        <f>IFERROR(VLOOKUP($B39,RD[#All],CV$2,0)/CV$1,"")</f>
        <v>0</v>
      </c>
      <c r="CW39" s="67">
        <f>IFERROR(VLOOKUP($B39,RD[#All],CW$2,0)/CW$1,"")</f>
        <v>0</v>
      </c>
      <c r="CX39" s="67">
        <f>IFERROR(VLOOKUP($B39,RD[#All],CX$2,0)/CX$1,"")</f>
        <v>0</v>
      </c>
      <c r="CY39" s="67">
        <f>IFERROR(VLOOKUP($B39,RD[#All],CY$2,0)/CY$1,"")</f>
        <v>0</v>
      </c>
      <c r="CZ39" s="67">
        <f>IFERROR(VLOOKUP($B39,RD[#All],CZ$2,0)/CZ$1,"")</f>
        <v>0</v>
      </c>
      <c r="DA39" s="67">
        <f>IFERROR(VLOOKUP($B39,RD[#All],DA$2,0)/DA$1,"")</f>
        <v>0</v>
      </c>
      <c r="DB39" s="67">
        <f>IFERROR(VLOOKUP($B39,RD[#All],DB$2,0)/DB$1,"")</f>
        <v>0</v>
      </c>
      <c r="DC39" s="67">
        <f>IFERROR(VLOOKUP($B39,RD[#All],DC$2,0)/DC$1,"")</f>
        <v>0</v>
      </c>
      <c r="DD39" s="67">
        <f>IFERROR(VLOOKUP($B39,RD[#All],DD$2,0)/DD$1,"")</f>
        <v>0</v>
      </c>
      <c r="DE39" s="67">
        <f>IFERROR(VLOOKUP($B39,RD[#All],DE$2,0)/DE$1,"")</f>
        <v>0</v>
      </c>
      <c r="DF39" s="67">
        <f>IFERROR(VLOOKUP($B39,RD[#All],DF$2,0)/DF$1,"")</f>
        <v>0</v>
      </c>
      <c r="DG39" s="67">
        <f>IFERROR(VLOOKUP($B39,RD[#All],DG$2,0)/DG$1,"")</f>
        <v>0</v>
      </c>
      <c r="DH39" s="67">
        <f>IFERROR(VLOOKUP($B39,RD[#All],DH$2,0)/DH$1,"")</f>
        <v>0</v>
      </c>
      <c r="DI39" s="67">
        <f>IFERROR(VLOOKUP($B39,RD[#All],DI$2,0)/DI$1,"")</f>
        <v>0</v>
      </c>
      <c r="DJ39" s="67">
        <f>IFERROR(VLOOKUP($B39,RD[#All],DJ$2,0)/DJ$1,"")</f>
        <v>0</v>
      </c>
      <c r="DK39" s="67">
        <f>IFERROR(VLOOKUP($B39,RD[#All],DK$2,0)/DK$1,"")</f>
        <v>0</v>
      </c>
      <c r="DL39" s="67">
        <f>IFERROR(VLOOKUP($B39,RD[#All],DL$2,0)/DL$1,"")</f>
        <v>0</v>
      </c>
      <c r="DM39" s="67">
        <f>IFERROR(VLOOKUP($B39,RD[#All],DM$2,0)/DM$1,"")</f>
        <v>0</v>
      </c>
      <c r="DN39" s="67">
        <f>IFERROR(VLOOKUP($B39,RD[#All],DN$2,0)/DN$1,"")</f>
        <v>0</v>
      </c>
      <c r="DO39" s="67">
        <f>IFERROR(VLOOKUP($B39,RD[#All],DO$2,0)/DO$1,"")</f>
        <v>0</v>
      </c>
      <c r="DP39" s="67">
        <f>IFERROR(VLOOKUP($B39,RD[#All],DP$2,0)/DP$1,"")</f>
        <v>0</v>
      </c>
      <c r="DQ39" s="67">
        <f>IFERROR(VLOOKUP($B39,RD[#All],DQ$2,0)/DQ$1,"")</f>
        <v>0</v>
      </c>
      <c r="DR39" s="67">
        <f>IFERROR(VLOOKUP($B39,RD[#All],DR$2,0)/DR$1,"")</f>
        <v>0</v>
      </c>
      <c r="DS39" s="67">
        <f>IFERROR(VLOOKUP($B39,RD[#All],DS$2,0)/DS$1,"")</f>
        <v>0</v>
      </c>
      <c r="DT39" s="67">
        <f>IFERROR(VLOOKUP($B39,RD[#All],DT$2,0)/DT$1,"")</f>
        <v>0</v>
      </c>
      <c r="DU39" s="67">
        <f>IFERROR(VLOOKUP($B39,RD[#All],DU$2,0)/DU$1,"")</f>
        <v>0</v>
      </c>
      <c r="DV39" s="67">
        <f>IFERROR(VLOOKUP($B39,RD[#All],DV$2,0)/DV$1,"")</f>
        <v>0</v>
      </c>
      <c r="DW39" s="67">
        <f>IFERROR(VLOOKUP($B39,RD[#All],DW$2,0)/DW$1,"")</f>
        <v>0</v>
      </c>
      <c r="DX39" s="67">
        <f>IFERROR(VLOOKUP($B39,RD[#All],DX$2,0)/DX$1,"")</f>
        <v>0</v>
      </c>
      <c r="DY39" s="67">
        <f>IFERROR(VLOOKUP($B39,RD[#All],DY$2,0)/DY$1,"")</f>
        <v>0</v>
      </c>
      <c r="DZ39" s="67">
        <f>IFERROR(VLOOKUP($B39,RD[#All],DZ$2,0)/DZ$1,"")</f>
        <v>0</v>
      </c>
      <c r="EA39" s="67">
        <f>IFERROR(VLOOKUP($B39,RD[#All],EA$2,0)/EA$1,"")</f>
        <v>0</v>
      </c>
      <c r="EB39" s="67">
        <f>IFERROR(VLOOKUP($B39,RD[#All],EB$2,0)/EB$1,"")</f>
        <v>0</v>
      </c>
      <c r="EC39" s="67">
        <f>IFERROR(VLOOKUP($B39,RD[#All],EC$2,0)/EC$1,"")</f>
        <v>0</v>
      </c>
      <c r="ED39" s="67">
        <f>IFERROR(VLOOKUP($B39,RD[#All],ED$2,0)/ED$1,"")</f>
        <v>0</v>
      </c>
      <c r="EE39" s="67">
        <f>IFERROR(VLOOKUP($B39,RD[#All],EE$2,0)/EE$1,"")</f>
        <v>0</v>
      </c>
      <c r="EF39" s="67">
        <f>IFERROR(VLOOKUP($B39,RD[#All],EF$2,0)/EF$1,"")</f>
        <v>0</v>
      </c>
      <c r="EG39" s="67">
        <f>IFERROR(VLOOKUP($B39,RD[#All],EG$2,0)/EG$1,"")</f>
        <v>0</v>
      </c>
      <c r="EH39" s="67">
        <f>IFERROR(VLOOKUP($B39,RD[#All],EH$2,0)/EH$1,"")</f>
        <v>0</v>
      </c>
      <c r="EI39" s="67">
        <f>IFERROR(VLOOKUP($B39,RD[#All],EI$2,0)/EI$1,"")</f>
        <v>0</v>
      </c>
      <c r="EJ39" s="67">
        <f>IFERROR(VLOOKUP($B39,RD[#All],EJ$2,0)/EJ$1,"")</f>
        <v>0</v>
      </c>
      <c r="EK39" s="67">
        <f>IFERROR(VLOOKUP($B39,RD[#All],EK$2,0)/EK$1,"")</f>
        <v>0</v>
      </c>
      <c r="EL39" s="67">
        <f>IFERROR(VLOOKUP($B39,RD[#All],EL$2,0)/EL$1,"")</f>
        <v>0</v>
      </c>
      <c r="EM39" s="67">
        <f>IFERROR(VLOOKUP($B39,RD[#All],EM$2,0)/EM$1,"")</f>
        <v>0</v>
      </c>
      <c r="EN39" s="67">
        <f>IFERROR(VLOOKUP($B39,RD[#All],EN$2,0)/EN$1,"")</f>
        <v>0</v>
      </c>
      <c r="EO39" s="67">
        <f>IFERROR(VLOOKUP($B39,RD[#All],EO$2,0)/EO$1,"")</f>
        <v>0</v>
      </c>
      <c r="EP39" s="67">
        <f>IFERROR(VLOOKUP($B39,RD[#All],EP$2,0)/EP$1,"")</f>
        <v>0</v>
      </c>
      <c r="EQ39" s="67">
        <f>IFERROR(VLOOKUP($B39,RD[#All],EQ$2,0)/EQ$1,"")</f>
        <v>0</v>
      </c>
      <c r="ER39" s="67">
        <f>IFERROR(VLOOKUP($B39,RD[#All],ER$2,0)/ER$1,"")</f>
        <v>0</v>
      </c>
      <c r="ES39" s="67">
        <f>IFERROR(VLOOKUP($B39,RD[#All],ES$2,0)/ES$1,"")</f>
        <v>0</v>
      </c>
      <c r="ET39" s="67">
        <f>IFERROR(VLOOKUP($B39,RD[#All],ET$2,0)/ET$1,"")</f>
        <v>0</v>
      </c>
      <c r="EU39" s="67">
        <f>IFERROR(VLOOKUP($B39,RD[#All],EU$2,0)/EU$1,"")</f>
        <v>0</v>
      </c>
      <c r="EV39" s="67">
        <f>IFERROR(VLOOKUP($B39,RD[#All],EV$2,0)/EV$1,"")</f>
        <v>0</v>
      </c>
      <c r="EW39" s="67">
        <f>IFERROR(VLOOKUP($B39,RD[#All],EW$2,0)/EW$1,"")</f>
        <v>0</v>
      </c>
      <c r="EX39" s="67">
        <f>IFERROR(VLOOKUP($B39,RD[#All],EX$2,0)/EX$1,"")</f>
        <v>0</v>
      </c>
      <c r="EY39" s="67">
        <f>IFERROR(VLOOKUP($B39,RD[#All],EY$2,0)/EY$1,"")</f>
        <v>0</v>
      </c>
      <c r="EZ39" s="67">
        <f>IFERROR(VLOOKUP($B39,RD[#All],EZ$2,0)/EZ$1,"")</f>
        <v>0</v>
      </c>
      <c r="FA39" s="67">
        <f>IFERROR(VLOOKUP($B39,RD[#All],FA$2,0)/FA$1,"")</f>
        <v>0</v>
      </c>
      <c r="FB39" s="67">
        <f>IFERROR(VLOOKUP($B39,RD[#All],FB$2,0)/FB$1,"")</f>
        <v>0</v>
      </c>
      <c r="FC39" s="67">
        <f>IFERROR(VLOOKUP($B39,RD[#All],FC$2,0)/FC$1,"")</f>
        <v>0</v>
      </c>
      <c r="FD39" s="67">
        <f>IFERROR(VLOOKUP($B39,RD[#All],FD$2,0)/FD$1,"")</f>
        <v>0</v>
      </c>
      <c r="FE39" s="67">
        <f>IFERROR(VLOOKUP($B39,RD[#All],FE$2,0)/FE$1,"")</f>
        <v>0</v>
      </c>
      <c r="FF39" s="67">
        <f>IFERROR(VLOOKUP($B39,RD[#All],FF$2,0)/FF$1,"")</f>
        <v>0</v>
      </c>
      <c r="FG39" s="67">
        <f>IFERROR(VLOOKUP($B39,RD[#All],FG$2,0)/FG$1,"")</f>
        <v>0</v>
      </c>
      <c r="FH39" s="67">
        <f>IFERROR(VLOOKUP($B39,RD[#All],FH$2,0)/FH$1,"")</f>
        <v>0</v>
      </c>
      <c r="FI39" s="67">
        <f>IFERROR(VLOOKUP($B39,RD[#All],FI$2,0)/FI$1,"")</f>
        <v>0</v>
      </c>
      <c r="FJ39" s="67">
        <f>IFERROR(VLOOKUP($B39,RD[#All],FJ$2,0)/FJ$1,"")</f>
        <v>0</v>
      </c>
      <c r="FK39" s="67">
        <f>IFERROR(VLOOKUP($B39,RD[#All],FK$2,0)/FK$1,"")</f>
        <v>0</v>
      </c>
      <c r="FL39" s="67">
        <f>IFERROR(VLOOKUP($B39,RD[#All],FL$2,0)/FL$1,"")</f>
        <v>0</v>
      </c>
      <c r="FM39" s="67">
        <f>IFERROR(VLOOKUP($B39,RD[#All],FM$2,0)/FM$1,"")</f>
        <v>0</v>
      </c>
      <c r="FN39" s="67">
        <f>IFERROR(VLOOKUP($B39,RD[#All],FN$2,0)/FN$1,"")</f>
        <v>0</v>
      </c>
      <c r="FO39" s="67">
        <f>IFERROR(VLOOKUP($B39,RD[#All],FO$2,0)/FO$1,"")</f>
        <v>0</v>
      </c>
      <c r="FP39" s="67">
        <f>IFERROR(VLOOKUP($B39,RD[#All],FP$2,0)/FP$1,"")</f>
        <v>0</v>
      </c>
      <c r="FQ39" s="67">
        <f>IFERROR(VLOOKUP($B39,RD[#All],FQ$2,0)/FQ$1,"")</f>
        <v>0</v>
      </c>
      <c r="FR39" s="67">
        <f>IFERROR(VLOOKUP($B39,RD[#All],FR$2,0)/FR$1,"")</f>
        <v>0</v>
      </c>
      <c r="FS39" s="67">
        <f>IFERROR(VLOOKUP($B39,RD[#All],FS$2,0)/FS$1,"")</f>
        <v>0</v>
      </c>
      <c r="FT39" s="67">
        <f>IFERROR(VLOOKUP($B39,RD[#All],FT$2,0)/FT$1,"")</f>
        <v>0</v>
      </c>
      <c r="FU39" s="67">
        <f>IFERROR(VLOOKUP($B39,RD[#All],FU$2,0)/FU$1,"")</f>
        <v>0</v>
      </c>
      <c r="FV39" s="67">
        <f>IFERROR(VLOOKUP($B39,RD[#All],FV$2,0)/FV$1,"")</f>
        <v>0</v>
      </c>
      <c r="FW39" s="67">
        <f>IFERROR(VLOOKUP($B39,RD[#All],FW$2,0)/FW$1,"")</f>
        <v>0</v>
      </c>
      <c r="FX39" s="67">
        <f>IFERROR(VLOOKUP($B39,RD[#All],FX$2,0)/FX$1,"")</f>
        <v>0</v>
      </c>
      <c r="FY39" s="67">
        <f>IFERROR(VLOOKUP($B39,RD[#All],FY$2,0)/FY$1,"")</f>
        <v>0</v>
      </c>
      <c r="FZ39" s="67">
        <f>IFERROR(VLOOKUP($B39,RD[#All],FZ$2,0)/FZ$1,"")</f>
        <v>0</v>
      </c>
      <c r="GA39" s="67">
        <f>IFERROR(VLOOKUP($B39,RD[#All],GA$2,0)/GA$1,"")</f>
        <v>0</v>
      </c>
      <c r="GB39" s="67">
        <f>IFERROR(VLOOKUP($B39,RD[#All],GB$2,0)/GB$1,"")</f>
        <v>0</v>
      </c>
      <c r="GC39" s="67">
        <f>IFERROR(VLOOKUP($B39,RD[#All],GC$2,0)/GC$1,"")</f>
        <v>0</v>
      </c>
      <c r="GD39" s="67">
        <f>IFERROR(VLOOKUP($B39,RD[#All],GD$2,0)/GD$1,"")</f>
        <v>0</v>
      </c>
      <c r="GE39" s="67">
        <f>IFERROR(VLOOKUP($B39,RD[#All],GE$2,0)/GE$1,"")</f>
        <v>0</v>
      </c>
      <c r="GF39" s="67">
        <f>IFERROR(VLOOKUP($B39,RD[#All],GF$2,0)/GF$1,"")</f>
        <v>0</v>
      </c>
      <c r="GG39" s="67">
        <f>IFERROR(VLOOKUP($B39,RD[#All],GG$2,0)/GG$1,"")</f>
        <v>0</v>
      </c>
      <c r="GH39" s="67">
        <f>IFERROR(VLOOKUP($B39,RD[#All],GH$2,0)/GH$1,"")</f>
        <v>0</v>
      </c>
      <c r="GI39" s="67">
        <f>IFERROR(VLOOKUP($B39,RD[#All],GI$2,0)/GI$1,"")</f>
        <v>0</v>
      </c>
      <c r="GJ39" s="67">
        <f>IFERROR(VLOOKUP($B39,RD[#All],GJ$2,0)/GJ$1,"")</f>
        <v>0</v>
      </c>
      <c r="GK39" s="67">
        <f>IFERROR(VLOOKUP($B39,RD[#All],GK$2,0)/GK$1,"")</f>
        <v>0</v>
      </c>
      <c r="GL39" s="67">
        <f>IFERROR(VLOOKUP($B39,RD[#All],GL$2,0)/GL$1,"")</f>
        <v>0</v>
      </c>
      <c r="GM39" s="67">
        <f>IFERROR(VLOOKUP($B39,RD[#All],GM$2,0)/GM$1,"")</f>
        <v>0</v>
      </c>
      <c r="GN39" s="67">
        <f>IFERROR(VLOOKUP($B39,RD[#All],GN$2,0)/GN$1,"")</f>
        <v>0</v>
      </c>
      <c r="GO39" s="67">
        <f>IFERROR(VLOOKUP($B39,RD[#All],GO$2,0)/GO$1,"")</f>
        <v>0</v>
      </c>
      <c r="GP39" s="67">
        <f>IFERROR(VLOOKUP($B39,RD[#All],GP$2,0)/GP$1,"")</f>
        <v>0</v>
      </c>
      <c r="GQ39" s="67">
        <f>IFERROR(VLOOKUP($B39,RD[#All],GQ$2,0)/GQ$1,"")</f>
        <v>0</v>
      </c>
      <c r="GR39" s="67">
        <f>IFERROR(VLOOKUP($B39,RD[#All],GR$2,0)/GR$1,"")</f>
        <v>0</v>
      </c>
      <c r="GS39" s="67" t="str">
        <f>IFERROR(VLOOKUP($B39,RD[#All],GS$2,0)/GS$1,"")</f>
        <v/>
      </c>
      <c r="GT39" s="67" t="str">
        <f>IFERROR(VLOOKUP($B39,RD[#All],GT$2,0)/GT$1,"")</f>
        <v/>
      </c>
      <c r="GU39" s="67">
        <f>IFERROR(VLOOKUP($B39,RD[#All],GU$2,0)/GU$1,"")</f>
        <v>0</v>
      </c>
      <c r="GV39" s="67">
        <f>IFERROR(VLOOKUP($B39,RD[#All],GV$2,0)/GV$1,"")</f>
        <v>0</v>
      </c>
      <c r="GW39" s="67">
        <f>IFERROR(VLOOKUP($B39,RD[#All],GW$2,0)/GW$1,"")</f>
        <v>0</v>
      </c>
      <c r="GX39" s="67" t="str">
        <f>IFERROR(VLOOKUP($B39,RD[#All],GX$2,0)/GX$1,"")</f>
        <v/>
      </c>
      <c r="GY39" s="67">
        <f>IFERROR(VLOOKUP($B39,RD[#All],GY$2,0)/GY$1,"")</f>
        <v>0</v>
      </c>
      <c r="GZ39" s="67">
        <f>IFERROR(VLOOKUP($B39,RD[#All],GZ$2,0)/GZ$1,"")</f>
        <v>0</v>
      </c>
      <c r="HA39" s="67">
        <f>IFERROR(VLOOKUP($B39,RD[#All],HA$2,0)/HA$1,"")</f>
        <v>0</v>
      </c>
      <c r="HB39" s="67">
        <f>IFERROR(VLOOKUP($B39,RD[#All],HB$2,0)/HB$1,"")</f>
        <v>0</v>
      </c>
      <c r="HC39" s="67">
        <f>IFERROR(VLOOKUP($B39,RD[#All],HC$2,0)/HC$1,"")</f>
        <v>0</v>
      </c>
      <c r="HD39" s="67">
        <f>IFERROR(VLOOKUP($B39,RD[#All],HD$2,0)/HD$1,"")</f>
        <v>0</v>
      </c>
      <c r="HE39" s="67">
        <f>IFERROR(VLOOKUP($B39,RD[#All],HE$2,0)/HE$1,"")</f>
        <v>0</v>
      </c>
      <c r="HF39" s="67">
        <f>IFERROR(VLOOKUP($B39,RD[#All],HF$2,0)/HF$1,"")</f>
        <v>0</v>
      </c>
      <c r="HG39" s="67">
        <f>IFERROR(VLOOKUP($B39,RD[#All],HG$2,0)/HG$1,"")</f>
        <v>0</v>
      </c>
      <c r="HH39" s="67">
        <f>IFERROR(VLOOKUP($B39,RD[#All],HH$2,0)/HH$1,"")</f>
        <v>0</v>
      </c>
      <c r="HI39" s="67">
        <f>IFERROR(VLOOKUP($B39,RD[#All],HI$2,0)/HI$1,"")</f>
        <v>0</v>
      </c>
      <c r="HJ39" s="67">
        <f>IFERROR(VLOOKUP($B39,RD[#All],HJ$2,0)/HJ$1,"")</f>
        <v>0</v>
      </c>
      <c r="HK39" s="67">
        <f>IFERROR(VLOOKUP($B39,RD[#All],HK$2,0)/HK$1,"")</f>
        <v>0</v>
      </c>
      <c r="HL39" s="67">
        <f>IFERROR(VLOOKUP($B39,RD[#All],HL$2,0)/HL$1,"")</f>
        <v>0</v>
      </c>
      <c r="HM39" s="67">
        <f>IFERROR(VLOOKUP($B39,RD[#All],HM$2,0)/HM$1,"")</f>
        <v>0</v>
      </c>
      <c r="HN39" s="67">
        <f>IFERROR(VLOOKUP($B39,RD[#All],HN$2,0)/HN$1,"")</f>
        <v>0</v>
      </c>
      <c r="HO39" s="67">
        <f>IFERROR(VLOOKUP($B39,RD[#All],HO$2,0)/HO$1,"")</f>
        <v>0</v>
      </c>
      <c r="HP39" s="67">
        <f>IFERROR(VLOOKUP($B39,RD[#All],HP$2,0)/HP$1,"")</f>
        <v>0</v>
      </c>
      <c r="HQ39" s="67">
        <f>IFERROR(VLOOKUP($B39,RD[#All],HQ$2,0)/HQ$1,"")</f>
        <v>0</v>
      </c>
      <c r="HR39" s="67">
        <f>IFERROR(VLOOKUP($B39,RD[#All],HR$2,0)/HR$1,"")</f>
        <v>0</v>
      </c>
      <c r="HS39" s="67">
        <f>IFERROR(VLOOKUP($B39,RD[#All],HS$2,0)/HS$1,"")</f>
        <v>0</v>
      </c>
      <c r="HT39" s="67">
        <f>IFERROR(VLOOKUP($B39,RD[#All],HT$2,0)/HT$1,"")</f>
        <v>0</v>
      </c>
      <c r="HU39" s="67">
        <f>IFERROR(VLOOKUP($B39,RD[#All],HU$2,0)/HU$1,"")</f>
        <v>0</v>
      </c>
      <c r="HV39" s="67">
        <f>IFERROR(VLOOKUP($B39,RD[#All],HV$2,0)/HV$1,"")</f>
        <v>0</v>
      </c>
      <c r="HW39" s="67">
        <f>IFERROR(VLOOKUP($B39,RD[#All],HW$2,0)/HW$1,"")</f>
        <v>0</v>
      </c>
      <c r="HX39" s="67">
        <f>IFERROR(VLOOKUP($B39,RD[#All],HX$2,0)/HX$1,"")</f>
        <v>0</v>
      </c>
      <c r="HY39" s="67">
        <f>IFERROR(VLOOKUP($B39,RD[#All],HY$2,0)/HY$1,"")</f>
        <v>0</v>
      </c>
      <c r="HZ39" s="67">
        <f>IFERROR(VLOOKUP($B39,RD[#All],HZ$2,0)/HZ$1,"")</f>
        <v>0</v>
      </c>
      <c r="IA39" s="67">
        <f>IFERROR(VLOOKUP($B39,RD[#All],IA$2,0)/IA$1,"")</f>
        <v>0</v>
      </c>
      <c r="IB39" s="67">
        <f>IFERROR(VLOOKUP($B39,RD[#All],IB$2,0)/IB$1,"")</f>
        <v>0</v>
      </c>
      <c r="IC39" s="67">
        <f>IFERROR(VLOOKUP($B39,RD[#All],IC$2,0)/IC$1,"")</f>
        <v>0</v>
      </c>
      <c r="ID39" s="67">
        <f>IFERROR(VLOOKUP($B39,RD[#All],ID$2,0)/ID$1,"")</f>
        <v>0</v>
      </c>
      <c r="IE39" s="67">
        <f>IFERROR(VLOOKUP($B39,RD[#All],IE$2,0)/IE$1,"")</f>
        <v>0</v>
      </c>
      <c r="IF39" s="67" t="str">
        <f>IFERROR(VLOOKUP($B39,RD[#All],IF$2,0)/IF$1,"")</f>
        <v/>
      </c>
      <c r="IG39" s="67">
        <f>IFERROR(VLOOKUP($B39,RD[#All],IG$2,0)/IG$1,"")</f>
        <v>0</v>
      </c>
      <c r="IH39" s="67">
        <f>IFERROR(VLOOKUP($B39,RD[#All],IH$2,0)/IH$1,"")</f>
        <v>0</v>
      </c>
      <c r="II39" s="67">
        <f>IFERROR(VLOOKUP($B39,RD[#All],II$2,0)/II$1,"")</f>
        <v>0</v>
      </c>
      <c r="IJ39" s="67">
        <f>IFERROR(VLOOKUP($B39,RD[#All],IJ$2,0)/IJ$1,"")</f>
        <v>0</v>
      </c>
      <c r="IK39" s="67">
        <f>IFERROR(VLOOKUP($B39,RD[#All],IK$2,0)/IK$1,"")</f>
        <v>0</v>
      </c>
      <c r="IL39" s="67" t="str">
        <f>IFERROR(VLOOKUP($B39,RD[#All],IL$2,0)/IL$1,"")</f>
        <v/>
      </c>
      <c r="IM39" s="67" t="str">
        <f>IFERROR(VLOOKUP($B39,RD[#All],IM$2,0)/IM$1,"")</f>
        <v/>
      </c>
      <c r="IN39" s="67">
        <f>IFERROR(VLOOKUP($B39,RD[#All],IN$2,0)/IN$1,"")</f>
        <v>0</v>
      </c>
      <c r="IO39" s="67">
        <f>IFERROR(VLOOKUP($B39,RD[#All],IO$2,0)/IO$1,"")</f>
        <v>0</v>
      </c>
      <c r="IP39" s="67">
        <f>IFERROR(VLOOKUP($B39,RD[#All],IP$2,0)/IP$1,"")</f>
        <v>0</v>
      </c>
      <c r="IQ39" s="67">
        <f>IFERROR(VLOOKUP($B39,RD[#All],IQ$2,0)/IQ$1,"")</f>
        <v>0</v>
      </c>
      <c r="IR39" s="67">
        <f>IFERROR(VLOOKUP($B39,RD[#All],IR$2,0)/IR$1,"")</f>
        <v>0</v>
      </c>
      <c r="IS39" s="86" t="str">
        <f>IFERROR(AVERAGEIF(Inv_SY_B[[#This Row],[BLK1_INV1]:[BLK8_INV27]],"&gt;"&amp;0.1,Inv_SY_B[[#This Row],[BLK1_INV1]:[BLK8_INV27]]),"")</f>
        <v/>
      </c>
    </row>
    <row r="40" spans="2:253" x14ac:dyDescent="0.25">
      <c r="B40" s="87">
        <f t="shared" si="1"/>
        <v>45866</v>
      </c>
      <c r="C40" s="67">
        <f>IFERROR(VLOOKUP($B40,RD[#All],C$2,0)/C$1,"")</f>
        <v>0</v>
      </c>
      <c r="D40" s="67">
        <f>IFERROR(VLOOKUP($B40,RD[#All],D$2,0)/D$1,"")</f>
        <v>0</v>
      </c>
      <c r="E40" s="67">
        <f>IFERROR(VLOOKUP($B40,RD[#All],E$2,0)/E$1,"")</f>
        <v>0</v>
      </c>
      <c r="F40" s="67">
        <f>IFERROR(VLOOKUP($B40,RD[#All],F$2,0)/F$1,"")</f>
        <v>0</v>
      </c>
      <c r="G40" s="67">
        <f>IFERROR(VLOOKUP($B40,RD[#All],G$2,0)/G$1,"")</f>
        <v>0</v>
      </c>
      <c r="H40" s="67">
        <f>IFERROR(VLOOKUP($B40,RD[#All],H$2,0)/H$1,"")</f>
        <v>0</v>
      </c>
      <c r="I40" s="67">
        <f>IFERROR(VLOOKUP($B40,RD[#All],I$2,0)/I$1,"")</f>
        <v>0</v>
      </c>
      <c r="J40" s="67">
        <f>IFERROR(VLOOKUP($B40,RD[#All],J$2,0)/J$1,"")</f>
        <v>0</v>
      </c>
      <c r="K40" s="67">
        <f>IFERROR(VLOOKUP($B40,RD[#All],K$2,0)/K$1,"")</f>
        <v>0</v>
      </c>
      <c r="L40" s="67">
        <f>IFERROR(VLOOKUP($B40,RD[#All],L$2,0)/L$1,"")</f>
        <v>0</v>
      </c>
      <c r="M40" s="67">
        <f>IFERROR(VLOOKUP($B40,RD[#All],M$2,0)/M$1,"")</f>
        <v>0</v>
      </c>
      <c r="N40" s="67">
        <f>IFERROR(VLOOKUP($B40,RD[#All],N$2,0)/N$1,"")</f>
        <v>0</v>
      </c>
      <c r="O40" s="67">
        <f>IFERROR(VLOOKUP($B40,RD[#All],O$2,0)/O$1,"")</f>
        <v>0</v>
      </c>
      <c r="P40" s="67">
        <f>IFERROR(VLOOKUP($B40,RD[#All],P$2,0)/P$1,"")</f>
        <v>0</v>
      </c>
      <c r="Q40" s="67">
        <f>IFERROR(VLOOKUP($B40,RD[#All],Q$2,0)/Q$1,"")</f>
        <v>0</v>
      </c>
      <c r="R40" s="67">
        <f>IFERROR(VLOOKUP($B40,RD[#All],R$2,0)/R$1,"")</f>
        <v>0</v>
      </c>
      <c r="S40" s="67">
        <f>IFERROR(VLOOKUP($B40,RD[#All],S$2,0)/S$1,"")</f>
        <v>0</v>
      </c>
      <c r="T40" s="67">
        <f>IFERROR(VLOOKUP($B40,RD[#All],T$2,0)/T$1,"")</f>
        <v>0</v>
      </c>
      <c r="U40" s="67">
        <f>IFERROR(VLOOKUP($B40,RD[#All],U$2,0)/U$1,"")</f>
        <v>0</v>
      </c>
      <c r="V40" s="67">
        <f>IFERROR(VLOOKUP($B40,RD[#All],V$2,0)/V$1,"")</f>
        <v>0</v>
      </c>
      <c r="W40" s="67">
        <f>IFERROR(VLOOKUP($B40,RD[#All],W$2,0)/W$1,"")</f>
        <v>0</v>
      </c>
      <c r="X40" s="67">
        <f>IFERROR(VLOOKUP($B40,RD[#All],X$2,0)/X$1,"")</f>
        <v>0</v>
      </c>
      <c r="Y40" s="67">
        <f>IFERROR(VLOOKUP($B40,RD[#All],Y$2,0)/Y$1,"")</f>
        <v>0</v>
      </c>
      <c r="Z40" s="67">
        <f>IFERROR(VLOOKUP($B40,RD[#All],Z$2,0)/Z$1,"")</f>
        <v>0</v>
      </c>
      <c r="AA40" s="67">
        <f>IFERROR(VLOOKUP($B40,RD[#All],AA$2,0)/AA$1,"")</f>
        <v>0</v>
      </c>
      <c r="AB40" s="67">
        <f>IFERROR(VLOOKUP($B40,RD[#All],AB$2,0)/AB$1,"")</f>
        <v>0</v>
      </c>
      <c r="AC40" s="67">
        <f>IFERROR(VLOOKUP($B40,RD[#All],AC$2,0)/AC$1,"")</f>
        <v>0</v>
      </c>
      <c r="AD40" s="67">
        <f>IFERROR(VLOOKUP($B40,RD[#All],AD$2,0)/AD$1,"")</f>
        <v>0</v>
      </c>
      <c r="AE40" s="67">
        <f>IFERROR(VLOOKUP($B40,RD[#All],AE$2,0)/AE$1,"")</f>
        <v>0</v>
      </c>
      <c r="AF40" s="67">
        <f>IFERROR(VLOOKUP($B40,RD[#All],AF$2,0)/AF$1,"")</f>
        <v>0</v>
      </c>
      <c r="AG40" s="67">
        <f>IFERROR(VLOOKUP($B40,RD[#All],AG$2,0)/AG$1,"")</f>
        <v>0</v>
      </c>
      <c r="AH40" s="67">
        <f>IFERROR(VLOOKUP($B40,RD[#All],AH$2,0)/AH$1,"")</f>
        <v>0</v>
      </c>
      <c r="AI40" s="67">
        <f>IFERROR(VLOOKUP($B40,RD[#All],AI$2,0)/AI$1,"")</f>
        <v>0</v>
      </c>
      <c r="AJ40" s="67">
        <f>IFERROR(VLOOKUP($B40,RD[#All],AJ$2,0)/AJ$1,"")</f>
        <v>0</v>
      </c>
      <c r="AK40" s="67">
        <f>IFERROR(VLOOKUP($B40,RD[#All],AK$2,0)/AK$1,"")</f>
        <v>0</v>
      </c>
      <c r="AL40" s="67">
        <f>IFERROR(VLOOKUP($B40,RD[#All],AL$2,0)/AL$1,"")</f>
        <v>0</v>
      </c>
      <c r="AM40" s="67">
        <f>IFERROR(VLOOKUP($B40,RD[#All],AM$2,0)/AM$1,"")</f>
        <v>0</v>
      </c>
      <c r="AN40" s="67">
        <f>IFERROR(VLOOKUP($B40,RD[#All],AN$2,0)/AN$1,"")</f>
        <v>0</v>
      </c>
      <c r="AO40" s="67">
        <f>IFERROR(VLOOKUP($B40,RD[#All],AO$2,0)/AO$1,"")</f>
        <v>0</v>
      </c>
      <c r="AP40" s="67">
        <f>IFERROR(VLOOKUP($B40,RD[#All],AP$2,0)/AP$1,"")</f>
        <v>0</v>
      </c>
      <c r="AQ40" s="67">
        <f>IFERROR(VLOOKUP($B40,RD[#All],AQ$2,0)/AQ$1,"")</f>
        <v>0</v>
      </c>
      <c r="AR40" s="67">
        <f>IFERROR(VLOOKUP($B40,RD[#All],AR$2,0)/AR$1,"")</f>
        <v>0</v>
      </c>
      <c r="AS40" s="67">
        <f>IFERROR(VLOOKUP($B40,RD[#All],AS$2,0)/AS$1,"")</f>
        <v>0</v>
      </c>
      <c r="AT40" s="67">
        <f>IFERROR(VLOOKUP($B40,RD[#All],AT$2,0)/AT$1,"")</f>
        <v>0</v>
      </c>
      <c r="AU40" s="67">
        <f>IFERROR(VLOOKUP($B40,RD[#All],AU$2,0)/AU$1,"")</f>
        <v>0</v>
      </c>
      <c r="AV40" s="67">
        <f>IFERROR(VLOOKUP($B40,RD[#All],AV$2,0)/AV$1,"")</f>
        <v>0</v>
      </c>
      <c r="AW40" s="67">
        <f>IFERROR(VLOOKUP($B40,RD[#All],AW$2,0)/AW$1,"")</f>
        <v>0</v>
      </c>
      <c r="AX40" s="67">
        <f>IFERROR(VLOOKUP($B40,RD[#All],AX$2,0)/AX$1,"")</f>
        <v>0</v>
      </c>
      <c r="AY40" s="67">
        <f>IFERROR(VLOOKUP($B40,RD[#All],AY$2,0)/AY$1,"")</f>
        <v>0</v>
      </c>
      <c r="AZ40" s="67">
        <f>IFERROR(VLOOKUP($B40,RD[#All],AZ$2,0)/AZ$1,"")</f>
        <v>0</v>
      </c>
      <c r="BA40" s="67">
        <f>IFERROR(VLOOKUP($B40,RD[#All],BA$2,0)/BA$1,"")</f>
        <v>0</v>
      </c>
      <c r="BB40" s="67">
        <f>IFERROR(VLOOKUP($B40,RD[#All],BB$2,0)/BB$1,"")</f>
        <v>0</v>
      </c>
      <c r="BC40" s="67">
        <f>IFERROR(VLOOKUP($B40,RD[#All],BC$2,0)/BC$1,"")</f>
        <v>0</v>
      </c>
      <c r="BD40" s="67">
        <f>IFERROR(VLOOKUP($B40,RD[#All],BD$2,0)/BD$1,"")</f>
        <v>0</v>
      </c>
      <c r="BE40" s="67">
        <f>IFERROR(VLOOKUP($B40,RD[#All],BE$2,0)/BE$1,"")</f>
        <v>0</v>
      </c>
      <c r="BF40" s="67">
        <f>IFERROR(VLOOKUP($B40,RD[#All],BF$2,0)/BF$1,"")</f>
        <v>0</v>
      </c>
      <c r="BG40" s="67">
        <f>IFERROR(VLOOKUP($B40,RD[#All],BG$2,0)/BG$1,"")</f>
        <v>0</v>
      </c>
      <c r="BH40" s="67">
        <f>IFERROR(VLOOKUP($B40,RD[#All],BH$2,0)/BH$1,"")</f>
        <v>0</v>
      </c>
      <c r="BI40" s="67">
        <f>IFERROR(VLOOKUP($B40,RD[#All],BI$2,0)/BI$1,"")</f>
        <v>0</v>
      </c>
      <c r="BJ40" s="67">
        <f>IFERROR(VLOOKUP($B40,RD[#All],BJ$2,0)/BJ$1,"")</f>
        <v>0</v>
      </c>
      <c r="BK40" s="67">
        <f>IFERROR(VLOOKUP($B40,RD[#All],BK$2,0)/BK$1,"")</f>
        <v>0</v>
      </c>
      <c r="BL40" s="67">
        <f>IFERROR(VLOOKUP($B40,RD[#All],BL$2,0)/BL$1,"")</f>
        <v>0</v>
      </c>
      <c r="BM40" s="67">
        <f>IFERROR(VLOOKUP($B40,RD[#All],BM$2,0)/BM$1,"")</f>
        <v>0</v>
      </c>
      <c r="BN40" s="67">
        <f>IFERROR(VLOOKUP($B40,RD[#All],BN$2,0)/BN$1,"")</f>
        <v>0</v>
      </c>
      <c r="BO40" s="67">
        <f>IFERROR(VLOOKUP($B40,RD[#All],BO$2,0)/BO$1,"")</f>
        <v>0</v>
      </c>
      <c r="BP40" s="67">
        <f>IFERROR(VLOOKUP($B40,RD[#All],BP$2,0)/BP$1,"")</f>
        <v>0</v>
      </c>
      <c r="BQ40" s="67">
        <f>IFERROR(VLOOKUP($B40,RD[#All],BQ$2,0)/BQ$1,"")</f>
        <v>0</v>
      </c>
      <c r="BR40" s="67">
        <f>IFERROR(VLOOKUP($B40,RD[#All],BR$2,0)/BR$1,"")</f>
        <v>0</v>
      </c>
      <c r="BS40" s="67">
        <f>IFERROR(VLOOKUP($B40,RD[#All],BS$2,0)/BS$1,"")</f>
        <v>0</v>
      </c>
      <c r="BT40" s="67">
        <f>IFERROR(VLOOKUP($B40,RD[#All],BT$2,0)/BT$1,"")</f>
        <v>0</v>
      </c>
      <c r="BU40" s="67">
        <f>IFERROR(VLOOKUP($B40,RD[#All],BU$2,0)/BU$1,"")</f>
        <v>0</v>
      </c>
      <c r="BV40" s="67">
        <f>IFERROR(VLOOKUP($B40,RD[#All],BV$2,0)/BV$1,"")</f>
        <v>0</v>
      </c>
      <c r="BW40" s="67">
        <f>IFERROR(VLOOKUP($B40,RD[#All],BW$2,0)/BW$1,"")</f>
        <v>0</v>
      </c>
      <c r="BX40" s="67">
        <f>IFERROR(VLOOKUP($B40,RD[#All],BX$2,0)/BX$1,"")</f>
        <v>0</v>
      </c>
      <c r="BY40" s="67">
        <f>IFERROR(VLOOKUP($B40,RD[#All],BY$2,0)/BY$1,"")</f>
        <v>0</v>
      </c>
      <c r="BZ40" s="67">
        <f>IFERROR(VLOOKUP($B40,RD[#All],BZ$2,0)/BZ$1,"")</f>
        <v>0</v>
      </c>
      <c r="CA40" s="67">
        <f>IFERROR(VLOOKUP($B40,RD[#All],CA$2,0)/CA$1,"")</f>
        <v>0</v>
      </c>
      <c r="CB40" s="67">
        <f>IFERROR(VLOOKUP($B40,RD[#All],CB$2,0)/CB$1,"")</f>
        <v>0</v>
      </c>
      <c r="CC40" s="67">
        <f>IFERROR(VLOOKUP($B40,RD[#All],CC$2,0)/CC$1,"")</f>
        <v>0</v>
      </c>
      <c r="CD40" s="67">
        <f>IFERROR(VLOOKUP($B40,RD[#All],CD$2,0)/CD$1,"")</f>
        <v>0</v>
      </c>
      <c r="CE40" s="67">
        <f>IFERROR(VLOOKUP($B40,RD[#All],CE$2,0)/CE$1,"")</f>
        <v>0</v>
      </c>
      <c r="CF40" s="67">
        <f>IFERROR(VLOOKUP($B40,RD[#All],CF$2,0)/CF$1,"")</f>
        <v>0</v>
      </c>
      <c r="CG40" s="67">
        <f>IFERROR(VLOOKUP($B40,RD[#All],CG$2,0)/CG$1,"")</f>
        <v>0</v>
      </c>
      <c r="CH40" s="67">
        <f>IFERROR(VLOOKUP($B40,RD[#All],CH$2,0)/CH$1,"")</f>
        <v>0</v>
      </c>
      <c r="CI40" s="67">
        <f>IFERROR(VLOOKUP($B40,RD[#All],CI$2,0)/CI$1,"")</f>
        <v>0</v>
      </c>
      <c r="CJ40" s="67">
        <f>IFERROR(VLOOKUP($B40,RD[#All],CJ$2,0)/CJ$1,"")</f>
        <v>0</v>
      </c>
      <c r="CK40" s="67">
        <f>IFERROR(VLOOKUP($B40,RD[#All],CK$2,0)/CK$1,"")</f>
        <v>0</v>
      </c>
      <c r="CL40" s="67">
        <f>IFERROR(VLOOKUP($B40,RD[#All],CL$2,0)/CL$1,"")</f>
        <v>0</v>
      </c>
      <c r="CM40" s="67">
        <f>IFERROR(VLOOKUP($B40,RD[#All],CM$2,0)/CM$1,"")</f>
        <v>0</v>
      </c>
      <c r="CN40" s="67">
        <f>IFERROR(VLOOKUP($B40,RD[#All],CN$2,0)/CN$1,"")</f>
        <v>0</v>
      </c>
      <c r="CO40" s="67">
        <f>IFERROR(VLOOKUP($B40,RD[#All],CO$2,0)/CO$1,"")</f>
        <v>0</v>
      </c>
      <c r="CP40" s="67">
        <f>IFERROR(VLOOKUP($B40,RD[#All],CP$2,0)/CP$1,"")</f>
        <v>0</v>
      </c>
      <c r="CQ40" s="67">
        <f>IFERROR(VLOOKUP($B40,RD[#All],CQ$2,0)/CQ$1,"")</f>
        <v>0</v>
      </c>
      <c r="CR40" s="67">
        <f>IFERROR(VLOOKUP($B40,RD[#All],CR$2,0)/CR$1,"")</f>
        <v>0</v>
      </c>
      <c r="CS40" s="67">
        <f>IFERROR(VLOOKUP($B40,RD[#All],CS$2,0)/CS$1,"")</f>
        <v>0</v>
      </c>
      <c r="CT40" s="67">
        <f>IFERROR(VLOOKUP($B40,RD[#All],CT$2,0)/CT$1,"")</f>
        <v>0</v>
      </c>
      <c r="CU40" s="67">
        <f>IFERROR(VLOOKUP($B40,RD[#All],CU$2,0)/CU$1,"")</f>
        <v>0</v>
      </c>
      <c r="CV40" s="67">
        <f>IFERROR(VLOOKUP($B40,RD[#All],CV$2,0)/CV$1,"")</f>
        <v>0</v>
      </c>
      <c r="CW40" s="67">
        <f>IFERROR(VLOOKUP($B40,RD[#All],CW$2,0)/CW$1,"")</f>
        <v>0</v>
      </c>
      <c r="CX40" s="67">
        <f>IFERROR(VLOOKUP($B40,RD[#All],CX$2,0)/CX$1,"")</f>
        <v>0</v>
      </c>
      <c r="CY40" s="67">
        <f>IFERROR(VLOOKUP($B40,RD[#All],CY$2,0)/CY$1,"")</f>
        <v>0</v>
      </c>
      <c r="CZ40" s="67">
        <f>IFERROR(VLOOKUP($B40,RD[#All],CZ$2,0)/CZ$1,"")</f>
        <v>0</v>
      </c>
      <c r="DA40" s="67">
        <f>IFERROR(VLOOKUP($B40,RD[#All],DA$2,0)/DA$1,"")</f>
        <v>0</v>
      </c>
      <c r="DB40" s="67">
        <f>IFERROR(VLOOKUP($B40,RD[#All],DB$2,0)/DB$1,"")</f>
        <v>0</v>
      </c>
      <c r="DC40" s="67">
        <f>IFERROR(VLOOKUP($B40,RD[#All],DC$2,0)/DC$1,"")</f>
        <v>0</v>
      </c>
      <c r="DD40" s="67">
        <f>IFERROR(VLOOKUP($B40,RD[#All],DD$2,0)/DD$1,"")</f>
        <v>0</v>
      </c>
      <c r="DE40" s="67">
        <f>IFERROR(VLOOKUP($B40,RD[#All],DE$2,0)/DE$1,"")</f>
        <v>0</v>
      </c>
      <c r="DF40" s="67">
        <f>IFERROR(VLOOKUP($B40,RD[#All],DF$2,0)/DF$1,"")</f>
        <v>0</v>
      </c>
      <c r="DG40" s="67">
        <f>IFERROR(VLOOKUP($B40,RD[#All],DG$2,0)/DG$1,"")</f>
        <v>0</v>
      </c>
      <c r="DH40" s="67">
        <f>IFERROR(VLOOKUP($B40,RD[#All],DH$2,0)/DH$1,"")</f>
        <v>0</v>
      </c>
      <c r="DI40" s="67">
        <f>IFERROR(VLOOKUP($B40,RD[#All],DI$2,0)/DI$1,"")</f>
        <v>0</v>
      </c>
      <c r="DJ40" s="67">
        <f>IFERROR(VLOOKUP($B40,RD[#All],DJ$2,0)/DJ$1,"")</f>
        <v>0</v>
      </c>
      <c r="DK40" s="67">
        <f>IFERROR(VLOOKUP($B40,RD[#All],DK$2,0)/DK$1,"")</f>
        <v>0</v>
      </c>
      <c r="DL40" s="67">
        <f>IFERROR(VLOOKUP($B40,RD[#All],DL$2,0)/DL$1,"")</f>
        <v>0</v>
      </c>
      <c r="DM40" s="67">
        <f>IFERROR(VLOOKUP($B40,RD[#All],DM$2,0)/DM$1,"")</f>
        <v>0</v>
      </c>
      <c r="DN40" s="67">
        <f>IFERROR(VLOOKUP($B40,RD[#All],DN$2,0)/DN$1,"")</f>
        <v>0</v>
      </c>
      <c r="DO40" s="67">
        <f>IFERROR(VLOOKUP($B40,RD[#All],DO$2,0)/DO$1,"")</f>
        <v>0</v>
      </c>
      <c r="DP40" s="67">
        <f>IFERROR(VLOOKUP($B40,RD[#All],DP$2,0)/DP$1,"")</f>
        <v>0</v>
      </c>
      <c r="DQ40" s="67">
        <f>IFERROR(VLOOKUP($B40,RD[#All],DQ$2,0)/DQ$1,"")</f>
        <v>0</v>
      </c>
      <c r="DR40" s="67">
        <f>IFERROR(VLOOKUP($B40,RD[#All],DR$2,0)/DR$1,"")</f>
        <v>0</v>
      </c>
      <c r="DS40" s="67">
        <f>IFERROR(VLOOKUP($B40,RD[#All],DS$2,0)/DS$1,"")</f>
        <v>0</v>
      </c>
      <c r="DT40" s="67">
        <f>IFERROR(VLOOKUP($B40,RD[#All],DT$2,0)/DT$1,"")</f>
        <v>0</v>
      </c>
      <c r="DU40" s="67">
        <f>IFERROR(VLOOKUP($B40,RD[#All],DU$2,0)/DU$1,"")</f>
        <v>0</v>
      </c>
      <c r="DV40" s="67">
        <f>IFERROR(VLOOKUP($B40,RD[#All],DV$2,0)/DV$1,"")</f>
        <v>0</v>
      </c>
      <c r="DW40" s="67">
        <f>IFERROR(VLOOKUP($B40,RD[#All],DW$2,0)/DW$1,"")</f>
        <v>0</v>
      </c>
      <c r="DX40" s="67">
        <f>IFERROR(VLOOKUP($B40,RD[#All],DX$2,0)/DX$1,"")</f>
        <v>0</v>
      </c>
      <c r="DY40" s="67">
        <f>IFERROR(VLOOKUP($B40,RD[#All],DY$2,0)/DY$1,"")</f>
        <v>0</v>
      </c>
      <c r="DZ40" s="67">
        <f>IFERROR(VLOOKUP($B40,RD[#All],DZ$2,0)/DZ$1,"")</f>
        <v>0</v>
      </c>
      <c r="EA40" s="67">
        <f>IFERROR(VLOOKUP($B40,RD[#All],EA$2,0)/EA$1,"")</f>
        <v>0</v>
      </c>
      <c r="EB40" s="67">
        <f>IFERROR(VLOOKUP($B40,RD[#All],EB$2,0)/EB$1,"")</f>
        <v>0</v>
      </c>
      <c r="EC40" s="67">
        <f>IFERROR(VLOOKUP($B40,RD[#All],EC$2,0)/EC$1,"")</f>
        <v>0</v>
      </c>
      <c r="ED40" s="67">
        <f>IFERROR(VLOOKUP($B40,RD[#All],ED$2,0)/ED$1,"")</f>
        <v>0</v>
      </c>
      <c r="EE40" s="67">
        <f>IFERROR(VLOOKUP($B40,RD[#All],EE$2,0)/EE$1,"")</f>
        <v>0</v>
      </c>
      <c r="EF40" s="67">
        <f>IFERROR(VLOOKUP($B40,RD[#All],EF$2,0)/EF$1,"")</f>
        <v>0</v>
      </c>
      <c r="EG40" s="67">
        <f>IFERROR(VLOOKUP($B40,RD[#All],EG$2,0)/EG$1,"")</f>
        <v>0</v>
      </c>
      <c r="EH40" s="67">
        <f>IFERROR(VLOOKUP($B40,RD[#All],EH$2,0)/EH$1,"")</f>
        <v>0</v>
      </c>
      <c r="EI40" s="67">
        <f>IFERROR(VLOOKUP($B40,RD[#All],EI$2,0)/EI$1,"")</f>
        <v>0</v>
      </c>
      <c r="EJ40" s="67">
        <f>IFERROR(VLOOKUP($B40,RD[#All],EJ$2,0)/EJ$1,"")</f>
        <v>0</v>
      </c>
      <c r="EK40" s="67">
        <f>IFERROR(VLOOKUP($B40,RD[#All],EK$2,0)/EK$1,"")</f>
        <v>0</v>
      </c>
      <c r="EL40" s="67">
        <f>IFERROR(VLOOKUP($B40,RD[#All],EL$2,0)/EL$1,"")</f>
        <v>0</v>
      </c>
      <c r="EM40" s="67">
        <f>IFERROR(VLOOKUP($B40,RD[#All],EM$2,0)/EM$1,"")</f>
        <v>0</v>
      </c>
      <c r="EN40" s="67">
        <f>IFERROR(VLOOKUP($B40,RD[#All],EN$2,0)/EN$1,"")</f>
        <v>0</v>
      </c>
      <c r="EO40" s="67">
        <f>IFERROR(VLOOKUP($B40,RD[#All],EO$2,0)/EO$1,"")</f>
        <v>0</v>
      </c>
      <c r="EP40" s="67">
        <f>IFERROR(VLOOKUP($B40,RD[#All],EP$2,0)/EP$1,"")</f>
        <v>0</v>
      </c>
      <c r="EQ40" s="67">
        <f>IFERROR(VLOOKUP($B40,RD[#All],EQ$2,0)/EQ$1,"")</f>
        <v>0</v>
      </c>
      <c r="ER40" s="67">
        <f>IFERROR(VLOOKUP($B40,RD[#All],ER$2,0)/ER$1,"")</f>
        <v>0</v>
      </c>
      <c r="ES40" s="67">
        <f>IFERROR(VLOOKUP($B40,RD[#All],ES$2,0)/ES$1,"")</f>
        <v>0</v>
      </c>
      <c r="ET40" s="67">
        <f>IFERROR(VLOOKUP($B40,RD[#All],ET$2,0)/ET$1,"")</f>
        <v>0</v>
      </c>
      <c r="EU40" s="67">
        <f>IFERROR(VLOOKUP($B40,RD[#All],EU$2,0)/EU$1,"")</f>
        <v>0</v>
      </c>
      <c r="EV40" s="67">
        <f>IFERROR(VLOOKUP($B40,RD[#All],EV$2,0)/EV$1,"")</f>
        <v>0</v>
      </c>
      <c r="EW40" s="67">
        <f>IFERROR(VLOOKUP($B40,RD[#All],EW$2,0)/EW$1,"")</f>
        <v>0</v>
      </c>
      <c r="EX40" s="67">
        <f>IFERROR(VLOOKUP($B40,RD[#All],EX$2,0)/EX$1,"")</f>
        <v>0</v>
      </c>
      <c r="EY40" s="67">
        <f>IFERROR(VLOOKUP($B40,RD[#All],EY$2,0)/EY$1,"")</f>
        <v>0</v>
      </c>
      <c r="EZ40" s="67">
        <f>IFERROR(VLOOKUP($B40,RD[#All],EZ$2,0)/EZ$1,"")</f>
        <v>0</v>
      </c>
      <c r="FA40" s="67">
        <f>IFERROR(VLOOKUP($B40,RD[#All],FA$2,0)/FA$1,"")</f>
        <v>0</v>
      </c>
      <c r="FB40" s="67">
        <f>IFERROR(VLOOKUP($B40,RD[#All],FB$2,0)/FB$1,"")</f>
        <v>0</v>
      </c>
      <c r="FC40" s="67">
        <f>IFERROR(VLOOKUP($B40,RD[#All],FC$2,0)/FC$1,"")</f>
        <v>0</v>
      </c>
      <c r="FD40" s="67">
        <f>IFERROR(VLOOKUP($B40,RD[#All],FD$2,0)/FD$1,"")</f>
        <v>0</v>
      </c>
      <c r="FE40" s="67">
        <f>IFERROR(VLOOKUP($B40,RD[#All],FE$2,0)/FE$1,"")</f>
        <v>0</v>
      </c>
      <c r="FF40" s="67">
        <f>IFERROR(VLOOKUP($B40,RD[#All],FF$2,0)/FF$1,"")</f>
        <v>0</v>
      </c>
      <c r="FG40" s="67">
        <f>IFERROR(VLOOKUP($B40,RD[#All],FG$2,0)/FG$1,"")</f>
        <v>0</v>
      </c>
      <c r="FH40" s="67">
        <f>IFERROR(VLOOKUP($B40,RD[#All],FH$2,0)/FH$1,"")</f>
        <v>0</v>
      </c>
      <c r="FI40" s="67">
        <f>IFERROR(VLOOKUP($B40,RD[#All],FI$2,0)/FI$1,"")</f>
        <v>0</v>
      </c>
      <c r="FJ40" s="67">
        <f>IFERROR(VLOOKUP($B40,RD[#All],FJ$2,0)/FJ$1,"")</f>
        <v>0</v>
      </c>
      <c r="FK40" s="67">
        <f>IFERROR(VLOOKUP($B40,RD[#All],FK$2,0)/FK$1,"")</f>
        <v>0</v>
      </c>
      <c r="FL40" s="67">
        <f>IFERROR(VLOOKUP($B40,RD[#All],FL$2,0)/FL$1,"")</f>
        <v>0</v>
      </c>
      <c r="FM40" s="67">
        <f>IFERROR(VLOOKUP($B40,RD[#All],FM$2,0)/FM$1,"")</f>
        <v>0</v>
      </c>
      <c r="FN40" s="67">
        <f>IFERROR(VLOOKUP($B40,RD[#All],FN$2,0)/FN$1,"")</f>
        <v>0</v>
      </c>
      <c r="FO40" s="67">
        <f>IFERROR(VLOOKUP($B40,RD[#All],FO$2,0)/FO$1,"")</f>
        <v>0</v>
      </c>
      <c r="FP40" s="67">
        <f>IFERROR(VLOOKUP($B40,RD[#All],FP$2,0)/FP$1,"")</f>
        <v>0</v>
      </c>
      <c r="FQ40" s="67">
        <f>IFERROR(VLOOKUP($B40,RD[#All],FQ$2,0)/FQ$1,"")</f>
        <v>0</v>
      </c>
      <c r="FR40" s="67">
        <f>IFERROR(VLOOKUP($B40,RD[#All],FR$2,0)/FR$1,"")</f>
        <v>0</v>
      </c>
      <c r="FS40" s="67">
        <f>IFERROR(VLOOKUP($B40,RD[#All],FS$2,0)/FS$1,"")</f>
        <v>0</v>
      </c>
      <c r="FT40" s="67">
        <f>IFERROR(VLOOKUP($B40,RD[#All],FT$2,0)/FT$1,"")</f>
        <v>0</v>
      </c>
      <c r="FU40" s="67">
        <f>IFERROR(VLOOKUP($B40,RD[#All],FU$2,0)/FU$1,"")</f>
        <v>0</v>
      </c>
      <c r="FV40" s="67">
        <f>IFERROR(VLOOKUP($B40,RD[#All],FV$2,0)/FV$1,"")</f>
        <v>0</v>
      </c>
      <c r="FW40" s="67">
        <f>IFERROR(VLOOKUP($B40,RD[#All],FW$2,0)/FW$1,"")</f>
        <v>0</v>
      </c>
      <c r="FX40" s="67">
        <f>IFERROR(VLOOKUP($B40,RD[#All],FX$2,0)/FX$1,"")</f>
        <v>0</v>
      </c>
      <c r="FY40" s="67">
        <f>IFERROR(VLOOKUP($B40,RD[#All],FY$2,0)/FY$1,"")</f>
        <v>0</v>
      </c>
      <c r="FZ40" s="67">
        <f>IFERROR(VLOOKUP($B40,RD[#All],FZ$2,0)/FZ$1,"")</f>
        <v>0</v>
      </c>
      <c r="GA40" s="67">
        <f>IFERROR(VLOOKUP($B40,RD[#All],GA$2,0)/GA$1,"")</f>
        <v>0</v>
      </c>
      <c r="GB40" s="67">
        <f>IFERROR(VLOOKUP($B40,RD[#All],GB$2,0)/GB$1,"")</f>
        <v>0</v>
      </c>
      <c r="GC40" s="67">
        <f>IFERROR(VLOOKUP($B40,RD[#All],GC$2,0)/GC$1,"")</f>
        <v>0</v>
      </c>
      <c r="GD40" s="67">
        <f>IFERROR(VLOOKUP($B40,RD[#All],GD$2,0)/GD$1,"")</f>
        <v>0</v>
      </c>
      <c r="GE40" s="67">
        <f>IFERROR(VLOOKUP($B40,RD[#All],GE$2,0)/GE$1,"")</f>
        <v>0</v>
      </c>
      <c r="GF40" s="67">
        <f>IFERROR(VLOOKUP($B40,RD[#All],GF$2,0)/GF$1,"")</f>
        <v>0</v>
      </c>
      <c r="GG40" s="67">
        <f>IFERROR(VLOOKUP($B40,RD[#All],GG$2,0)/GG$1,"")</f>
        <v>0</v>
      </c>
      <c r="GH40" s="67">
        <f>IFERROR(VLOOKUP($B40,RD[#All],GH$2,0)/GH$1,"")</f>
        <v>0</v>
      </c>
      <c r="GI40" s="67">
        <f>IFERROR(VLOOKUP($B40,RD[#All],GI$2,0)/GI$1,"")</f>
        <v>0</v>
      </c>
      <c r="GJ40" s="67">
        <f>IFERROR(VLOOKUP($B40,RD[#All],GJ$2,0)/GJ$1,"")</f>
        <v>0</v>
      </c>
      <c r="GK40" s="67">
        <f>IFERROR(VLOOKUP($B40,RD[#All],GK$2,0)/GK$1,"")</f>
        <v>0</v>
      </c>
      <c r="GL40" s="67">
        <f>IFERROR(VLOOKUP($B40,RD[#All],GL$2,0)/GL$1,"")</f>
        <v>0</v>
      </c>
      <c r="GM40" s="67">
        <f>IFERROR(VLOOKUP($B40,RD[#All],GM$2,0)/GM$1,"")</f>
        <v>0</v>
      </c>
      <c r="GN40" s="67">
        <f>IFERROR(VLOOKUP($B40,RD[#All],GN$2,0)/GN$1,"")</f>
        <v>0</v>
      </c>
      <c r="GO40" s="67">
        <f>IFERROR(VLOOKUP($B40,RD[#All],GO$2,0)/GO$1,"")</f>
        <v>0</v>
      </c>
      <c r="GP40" s="67">
        <f>IFERROR(VLOOKUP($B40,RD[#All],GP$2,0)/GP$1,"")</f>
        <v>0</v>
      </c>
      <c r="GQ40" s="67">
        <f>IFERROR(VLOOKUP($B40,RD[#All],GQ$2,0)/GQ$1,"")</f>
        <v>0</v>
      </c>
      <c r="GR40" s="67">
        <f>IFERROR(VLOOKUP($B40,RD[#All],GR$2,0)/GR$1,"")</f>
        <v>0</v>
      </c>
      <c r="GS40" s="67" t="str">
        <f>IFERROR(VLOOKUP($B40,RD[#All],GS$2,0)/GS$1,"")</f>
        <v/>
      </c>
      <c r="GT40" s="67" t="str">
        <f>IFERROR(VLOOKUP($B40,RD[#All],GT$2,0)/GT$1,"")</f>
        <v/>
      </c>
      <c r="GU40" s="67">
        <f>IFERROR(VLOOKUP($B40,RD[#All],GU$2,0)/GU$1,"")</f>
        <v>0</v>
      </c>
      <c r="GV40" s="67">
        <f>IFERROR(VLOOKUP($B40,RD[#All],GV$2,0)/GV$1,"")</f>
        <v>0</v>
      </c>
      <c r="GW40" s="67">
        <f>IFERROR(VLOOKUP($B40,RD[#All],GW$2,0)/GW$1,"")</f>
        <v>0</v>
      </c>
      <c r="GX40" s="67" t="str">
        <f>IFERROR(VLOOKUP($B40,RD[#All],GX$2,0)/GX$1,"")</f>
        <v/>
      </c>
      <c r="GY40" s="67">
        <f>IFERROR(VLOOKUP($B40,RD[#All],GY$2,0)/GY$1,"")</f>
        <v>0</v>
      </c>
      <c r="GZ40" s="67">
        <f>IFERROR(VLOOKUP($B40,RD[#All],GZ$2,0)/GZ$1,"")</f>
        <v>0</v>
      </c>
      <c r="HA40" s="67">
        <f>IFERROR(VLOOKUP($B40,RD[#All],HA$2,0)/HA$1,"")</f>
        <v>0</v>
      </c>
      <c r="HB40" s="67">
        <f>IFERROR(VLOOKUP($B40,RD[#All],HB$2,0)/HB$1,"")</f>
        <v>0</v>
      </c>
      <c r="HC40" s="67">
        <f>IFERROR(VLOOKUP($B40,RD[#All],HC$2,0)/HC$1,"")</f>
        <v>0</v>
      </c>
      <c r="HD40" s="67">
        <f>IFERROR(VLOOKUP($B40,RD[#All],HD$2,0)/HD$1,"")</f>
        <v>0</v>
      </c>
      <c r="HE40" s="67">
        <f>IFERROR(VLOOKUP($B40,RD[#All],HE$2,0)/HE$1,"")</f>
        <v>0</v>
      </c>
      <c r="HF40" s="67">
        <f>IFERROR(VLOOKUP($B40,RD[#All],HF$2,0)/HF$1,"")</f>
        <v>0</v>
      </c>
      <c r="HG40" s="67">
        <f>IFERROR(VLOOKUP($B40,RD[#All],HG$2,0)/HG$1,"")</f>
        <v>0</v>
      </c>
      <c r="HH40" s="67">
        <f>IFERROR(VLOOKUP($B40,RD[#All],HH$2,0)/HH$1,"")</f>
        <v>0</v>
      </c>
      <c r="HI40" s="67">
        <f>IFERROR(VLOOKUP($B40,RD[#All],HI$2,0)/HI$1,"")</f>
        <v>0</v>
      </c>
      <c r="HJ40" s="67">
        <f>IFERROR(VLOOKUP($B40,RD[#All],HJ$2,0)/HJ$1,"")</f>
        <v>0</v>
      </c>
      <c r="HK40" s="67">
        <f>IFERROR(VLOOKUP($B40,RD[#All],HK$2,0)/HK$1,"")</f>
        <v>0</v>
      </c>
      <c r="HL40" s="67">
        <f>IFERROR(VLOOKUP($B40,RD[#All],HL$2,0)/HL$1,"")</f>
        <v>0</v>
      </c>
      <c r="HM40" s="67">
        <f>IFERROR(VLOOKUP($B40,RD[#All],HM$2,0)/HM$1,"")</f>
        <v>0</v>
      </c>
      <c r="HN40" s="67">
        <f>IFERROR(VLOOKUP($B40,RD[#All],HN$2,0)/HN$1,"")</f>
        <v>0</v>
      </c>
      <c r="HO40" s="67">
        <f>IFERROR(VLOOKUP($B40,RD[#All],HO$2,0)/HO$1,"")</f>
        <v>0</v>
      </c>
      <c r="HP40" s="67">
        <f>IFERROR(VLOOKUP($B40,RD[#All],HP$2,0)/HP$1,"")</f>
        <v>0</v>
      </c>
      <c r="HQ40" s="67">
        <f>IFERROR(VLOOKUP($B40,RD[#All],HQ$2,0)/HQ$1,"")</f>
        <v>0</v>
      </c>
      <c r="HR40" s="67">
        <f>IFERROR(VLOOKUP($B40,RD[#All],HR$2,0)/HR$1,"")</f>
        <v>0</v>
      </c>
      <c r="HS40" s="67">
        <f>IFERROR(VLOOKUP($B40,RD[#All],HS$2,0)/HS$1,"")</f>
        <v>0</v>
      </c>
      <c r="HT40" s="67">
        <f>IFERROR(VLOOKUP($B40,RD[#All],HT$2,0)/HT$1,"")</f>
        <v>0</v>
      </c>
      <c r="HU40" s="67">
        <f>IFERROR(VLOOKUP($B40,RD[#All],HU$2,0)/HU$1,"")</f>
        <v>0</v>
      </c>
      <c r="HV40" s="67">
        <f>IFERROR(VLOOKUP($B40,RD[#All],HV$2,0)/HV$1,"")</f>
        <v>0</v>
      </c>
      <c r="HW40" s="67">
        <f>IFERROR(VLOOKUP($B40,RD[#All],HW$2,0)/HW$1,"")</f>
        <v>0</v>
      </c>
      <c r="HX40" s="67">
        <f>IFERROR(VLOOKUP($B40,RD[#All],HX$2,0)/HX$1,"")</f>
        <v>0</v>
      </c>
      <c r="HY40" s="67">
        <f>IFERROR(VLOOKUP($B40,RD[#All],HY$2,0)/HY$1,"")</f>
        <v>0</v>
      </c>
      <c r="HZ40" s="67">
        <f>IFERROR(VLOOKUP($B40,RD[#All],HZ$2,0)/HZ$1,"")</f>
        <v>0</v>
      </c>
      <c r="IA40" s="67">
        <f>IFERROR(VLOOKUP($B40,RD[#All],IA$2,0)/IA$1,"")</f>
        <v>0</v>
      </c>
      <c r="IB40" s="67">
        <f>IFERROR(VLOOKUP($B40,RD[#All],IB$2,0)/IB$1,"")</f>
        <v>0</v>
      </c>
      <c r="IC40" s="67">
        <f>IFERROR(VLOOKUP($B40,RD[#All],IC$2,0)/IC$1,"")</f>
        <v>0</v>
      </c>
      <c r="ID40" s="67">
        <f>IFERROR(VLOOKUP($B40,RD[#All],ID$2,0)/ID$1,"")</f>
        <v>0</v>
      </c>
      <c r="IE40" s="67">
        <f>IFERROR(VLOOKUP($B40,RD[#All],IE$2,0)/IE$1,"")</f>
        <v>0</v>
      </c>
      <c r="IF40" s="67" t="str">
        <f>IFERROR(VLOOKUP($B40,RD[#All],IF$2,0)/IF$1,"")</f>
        <v/>
      </c>
      <c r="IG40" s="67">
        <f>IFERROR(VLOOKUP($B40,RD[#All],IG$2,0)/IG$1,"")</f>
        <v>0</v>
      </c>
      <c r="IH40" s="67">
        <f>IFERROR(VLOOKUP($B40,RD[#All],IH$2,0)/IH$1,"")</f>
        <v>0</v>
      </c>
      <c r="II40" s="67">
        <f>IFERROR(VLOOKUP($B40,RD[#All],II$2,0)/II$1,"")</f>
        <v>0</v>
      </c>
      <c r="IJ40" s="67">
        <f>IFERROR(VLOOKUP($B40,RD[#All],IJ$2,0)/IJ$1,"")</f>
        <v>0</v>
      </c>
      <c r="IK40" s="67">
        <f>IFERROR(VLOOKUP($B40,RD[#All],IK$2,0)/IK$1,"")</f>
        <v>0</v>
      </c>
      <c r="IL40" s="67" t="str">
        <f>IFERROR(VLOOKUP($B40,RD[#All],IL$2,0)/IL$1,"")</f>
        <v/>
      </c>
      <c r="IM40" s="67" t="str">
        <f>IFERROR(VLOOKUP($B40,RD[#All],IM$2,0)/IM$1,"")</f>
        <v/>
      </c>
      <c r="IN40" s="67">
        <f>IFERROR(VLOOKUP($B40,RD[#All],IN$2,0)/IN$1,"")</f>
        <v>0</v>
      </c>
      <c r="IO40" s="67">
        <f>IFERROR(VLOOKUP($B40,RD[#All],IO$2,0)/IO$1,"")</f>
        <v>0</v>
      </c>
      <c r="IP40" s="67">
        <f>IFERROR(VLOOKUP($B40,RD[#All],IP$2,0)/IP$1,"")</f>
        <v>0</v>
      </c>
      <c r="IQ40" s="67">
        <f>IFERROR(VLOOKUP($B40,RD[#All],IQ$2,0)/IQ$1,"")</f>
        <v>0</v>
      </c>
      <c r="IR40" s="67">
        <f>IFERROR(VLOOKUP($B40,RD[#All],IR$2,0)/IR$1,"")</f>
        <v>0</v>
      </c>
      <c r="IS40" s="86" t="str">
        <f>IFERROR(AVERAGEIF(Inv_SY_B[[#This Row],[BLK1_INV1]:[BLK8_INV27]],"&gt;"&amp;0.1,Inv_SY_B[[#This Row],[BLK1_INV1]:[BLK8_INV27]]),"")</f>
        <v/>
      </c>
    </row>
    <row r="41" spans="2:253" x14ac:dyDescent="0.25">
      <c r="B41" s="87">
        <f t="shared" si="1"/>
        <v>45867</v>
      </c>
      <c r="C41" s="67">
        <f>IFERROR(VLOOKUP($B41,RD[#All],C$2,0)/C$1,"")</f>
        <v>0</v>
      </c>
      <c r="D41" s="67">
        <f>IFERROR(VLOOKUP($B41,RD[#All],D$2,0)/D$1,"")</f>
        <v>0</v>
      </c>
      <c r="E41" s="67">
        <f>IFERROR(VLOOKUP($B41,RD[#All],E$2,0)/E$1,"")</f>
        <v>0</v>
      </c>
      <c r="F41" s="67">
        <f>IFERROR(VLOOKUP($B41,RD[#All],F$2,0)/F$1,"")</f>
        <v>0</v>
      </c>
      <c r="G41" s="67">
        <f>IFERROR(VLOOKUP($B41,RD[#All],G$2,0)/G$1,"")</f>
        <v>0</v>
      </c>
      <c r="H41" s="67">
        <f>IFERROR(VLOOKUP($B41,RD[#All],H$2,0)/H$1,"")</f>
        <v>0</v>
      </c>
      <c r="I41" s="67">
        <f>IFERROR(VLOOKUP($B41,RD[#All],I$2,0)/I$1,"")</f>
        <v>0</v>
      </c>
      <c r="J41" s="67">
        <f>IFERROR(VLOOKUP($B41,RD[#All],J$2,0)/J$1,"")</f>
        <v>0</v>
      </c>
      <c r="K41" s="67">
        <f>IFERROR(VLOOKUP($B41,RD[#All],K$2,0)/K$1,"")</f>
        <v>0</v>
      </c>
      <c r="L41" s="67">
        <f>IFERROR(VLOOKUP($B41,RD[#All],L$2,0)/L$1,"")</f>
        <v>0</v>
      </c>
      <c r="M41" s="67">
        <f>IFERROR(VLOOKUP($B41,RD[#All],M$2,0)/M$1,"")</f>
        <v>0</v>
      </c>
      <c r="N41" s="67">
        <f>IFERROR(VLOOKUP($B41,RD[#All],N$2,0)/N$1,"")</f>
        <v>0</v>
      </c>
      <c r="O41" s="67">
        <f>IFERROR(VLOOKUP($B41,RD[#All],O$2,0)/O$1,"")</f>
        <v>0</v>
      </c>
      <c r="P41" s="67">
        <f>IFERROR(VLOOKUP($B41,RD[#All],P$2,0)/P$1,"")</f>
        <v>0</v>
      </c>
      <c r="Q41" s="67">
        <f>IFERROR(VLOOKUP($B41,RD[#All],Q$2,0)/Q$1,"")</f>
        <v>0</v>
      </c>
      <c r="R41" s="67">
        <f>IFERROR(VLOOKUP($B41,RD[#All],R$2,0)/R$1,"")</f>
        <v>0</v>
      </c>
      <c r="S41" s="67">
        <f>IFERROR(VLOOKUP($B41,RD[#All],S$2,0)/S$1,"")</f>
        <v>0</v>
      </c>
      <c r="T41" s="67">
        <f>IFERROR(VLOOKUP($B41,RD[#All],T$2,0)/T$1,"")</f>
        <v>0</v>
      </c>
      <c r="U41" s="67">
        <f>IFERROR(VLOOKUP($B41,RD[#All],U$2,0)/U$1,"")</f>
        <v>0</v>
      </c>
      <c r="V41" s="67">
        <f>IFERROR(VLOOKUP($B41,RD[#All],V$2,0)/V$1,"")</f>
        <v>0</v>
      </c>
      <c r="W41" s="67">
        <f>IFERROR(VLOOKUP($B41,RD[#All],W$2,0)/W$1,"")</f>
        <v>0</v>
      </c>
      <c r="X41" s="67">
        <f>IFERROR(VLOOKUP($B41,RD[#All],X$2,0)/X$1,"")</f>
        <v>0</v>
      </c>
      <c r="Y41" s="67">
        <f>IFERROR(VLOOKUP($B41,RD[#All],Y$2,0)/Y$1,"")</f>
        <v>0</v>
      </c>
      <c r="Z41" s="67">
        <f>IFERROR(VLOOKUP($B41,RD[#All],Z$2,0)/Z$1,"")</f>
        <v>0</v>
      </c>
      <c r="AA41" s="67">
        <f>IFERROR(VLOOKUP($B41,RD[#All],AA$2,0)/AA$1,"")</f>
        <v>0</v>
      </c>
      <c r="AB41" s="67">
        <f>IFERROR(VLOOKUP($B41,RD[#All],AB$2,0)/AB$1,"")</f>
        <v>0</v>
      </c>
      <c r="AC41" s="67">
        <f>IFERROR(VLOOKUP($B41,RD[#All],AC$2,0)/AC$1,"")</f>
        <v>0</v>
      </c>
      <c r="AD41" s="67">
        <f>IFERROR(VLOOKUP($B41,RD[#All],AD$2,0)/AD$1,"")</f>
        <v>0</v>
      </c>
      <c r="AE41" s="67">
        <f>IFERROR(VLOOKUP($B41,RD[#All],AE$2,0)/AE$1,"")</f>
        <v>0</v>
      </c>
      <c r="AF41" s="67">
        <f>IFERROR(VLOOKUP($B41,RD[#All],AF$2,0)/AF$1,"")</f>
        <v>0</v>
      </c>
      <c r="AG41" s="67">
        <f>IFERROR(VLOOKUP($B41,RD[#All],AG$2,0)/AG$1,"")</f>
        <v>0</v>
      </c>
      <c r="AH41" s="67">
        <f>IFERROR(VLOOKUP($B41,RD[#All],AH$2,0)/AH$1,"")</f>
        <v>0</v>
      </c>
      <c r="AI41" s="67">
        <f>IFERROR(VLOOKUP($B41,RD[#All],AI$2,0)/AI$1,"")</f>
        <v>0</v>
      </c>
      <c r="AJ41" s="67">
        <f>IFERROR(VLOOKUP($B41,RD[#All],AJ$2,0)/AJ$1,"")</f>
        <v>0</v>
      </c>
      <c r="AK41" s="67">
        <f>IFERROR(VLOOKUP($B41,RD[#All],AK$2,0)/AK$1,"")</f>
        <v>0</v>
      </c>
      <c r="AL41" s="67">
        <f>IFERROR(VLOOKUP($B41,RD[#All],AL$2,0)/AL$1,"")</f>
        <v>0</v>
      </c>
      <c r="AM41" s="67">
        <f>IFERROR(VLOOKUP($B41,RD[#All],AM$2,0)/AM$1,"")</f>
        <v>0</v>
      </c>
      <c r="AN41" s="67">
        <f>IFERROR(VLOOKUP($B41,RD[#All],AN$2,0)/AN$1,"")</f>
        <v>0</v>
      </c>
      <c r="AO41" s="67">
        <f>IFERROR(VLOOKUP($B41,RD[#All],AO$2,0)/AO$1,"")</f>
        <v>0</v>
      </c>
      <c r="AP41" s="67">
        <f>IFERROR(VLOOKUP($B41,RD[#All],AP$2,0)/AP$1,"")</f>
        <v>0</v>
      </c>
      <c r="AQ41" s="67">
        <f>IFERROR(VLOOKUP($B41,RD[#All],AQ$2,0)/AQ$1,"")</f>
        <v>0</v>
      </c>
      <c r="AR41" s="67">
        <f>IFERROR(VLOOKUP($B41,RD[#All],AR$2,0)/AR$1,"")</f>
        <v>0</v>
      </c>
      <c r="AS41" s="67">
        <f>IFERROR(VLOOKUP($B41,RD[#All],AS$2,0)/AS$1,"")</f>
        <v>0</v>
      </c>
      <c r="AT41" s="67">
        <f>IFERROR(VLOOKUP($B41,RD[#All],AT$2,0)/AT$1,"")</f>
        <v>0</v>
      </c>
      <c r="AU41" s="67">
        <f>IFERROR(VLOOKUP($B41,RD[#All],AU$2,0)/AU$1,"")</f>
        <v>0</v>
      </c>
      <c r="AV41" s="67">
        <f>IFERROR(VLOOKUP($B41,RD[#All],AV$2,0)/AV$1,"")</f>
        <v>0</v>
      </c>
      <c r="AW41" s="67">
        <f>IFERROR(VLOOKUP($B41,RD[#All],AW$2,0)/AW$1,"")</f>
        <v>0</v>
      </c>
      <c r="AX41" s="67">
        <f>IFERROR(VLOOKUP($B41,RD[#All],AX$2,0)/AX$1,"")</f>
        <v>0</v>
      </c>
      <c r="AY41" s="67">
        <f>IFERROR(VLOOKUP($B41,RD[#All],AY$2,0)/AY$1,"")</f>
        <v>0</v>
      </c>
      <c r="AZ41" s="67">
        <f>IFERROR(VLOOKUP($B41,RD[#All],AZ$2,0)/AZ$1,"")</f>
        <v>0</v>
      </c>
      <c r="BA41" s="67">
        <f>IFERROR(VLOOKUP($B41,RD[#All],BA$2,0)/BA$1,"")</f>
        <v>0</v>
      </c>
      <c r="BB41" s="67">
        <f>IFERROR(VLOOKUP($B41,RD[#All],BB$2,0)/BB$1,"")</f>
        <v>0</v>
      </c>
      <c r="BC41" s="67">
        <f>IFERROR(VLOOKUP($B41,RD[#All],BC$2,0)/BC$1,"")</f>
        <v>0</v>
      </c>
      <c r="BD41" s="67">
        <f>IFERROR(VLOOKUP($B41,RD[#All],BD$2,0)/BD$1,"")</f>
        <v>0</v>
      </c>
      <c r="BE41" s="67">
        <f>IFERROR(VLOOKUP($B41,RD[#All],BE$2,0)/BE$1,"")</f>
        <v>0</v>
      </c>
      <c r="BF41" s="67">
        <f>IFERROR(VLOOKUP($B41,RD[#All],BF$2,0)/BF$1,"")</f>
        <v>0</v>
      </c>
      <c r="BG41" s="67">
        <f>IFERROR(VLOOKUP($B41,RD[#All],BG$2,0)/BG$1,"")</f>
        <v>0</v>
      </c>
      <c r="BH41" s="67">
        <f>IFERROR(VLOOKUP($B41,RD[#All],BH$2,0)/BH$1,"")</f>
        <v>0</v>
      </c>
      <c r="BI41" s="67">
        <f>IFERROR(VLOOKUP($B41,RD[#All],BI$2,0)/BI$1,"")</f>
        <v>0</v>
      </c>
      <c r="BJ41" s="67">
        <f>IFERROR(VLOOKUP($B41,RD[#All],BJ$2,0)/BJ$1,"")</f>
        <v>0</v>
      </c>
      <c r="BK41" s="67">
        <f>IFERROR(VLOOKUP($B41,RD[#All],BK$2,0)/BK$1,"")</f>
        <v>0</v>
      </c>
      <c r="BL41" s="67">
        <f>IFERROR(VLOOKUP($B41,RD[#All],BL$2,0)/BL$1,"")</f>
        <v>0</v>
      </c>
      <c r="BM41" s="67">
        <f>IFERROR(VLOOKUP($B41,RD[#All],BM$2,0)/BM$1,"")</f>
        <v>0</v>
      </c>
      <c r="BN41" s="67">
        <f>IFERROR(VLOOKUP($B41,RD[#All],BN$2,0)/BN$1,"")</f>
        <v>0</v>
      </c>
      <c r="BO41" s="67">
        <f>IFERROR(VLOOKUP($B41,RD[#All],BO$2,0)/BO$1,"")</f>
        <v>0</v>
      </c>
      <c r="BP41" s="67">
        <f>IFERROR(VLOOKUP($B41,RD[#All],BP$2,0)/BP$1,"")</f>
        <v>0</v>
      </c>
      <c r="BQ41" s="67">
        <f>IFERROR(VLOOKUP($B41,RD[#All],BQ$2,0)/BQ$1,"")</f>
        <v>0</v>
      </c>
      <c r="BR41" s="67">
        <f>IFERROR(VLOOKUP($B41,RD[#All],BR$2,0)/BR$1,"")</f>
        <v>0</v>
      </c>
      <c r="BS41" s="67">
        <f>IFERROR(VLOOKUP($B41,RD[#All],BS$2,0)/BS$1,"")</f>
        <v>0</v>
      </c>
      <c r="BT41" s="67">
        <f>IFERROR(VLOOKUP($B41,RD[#All],BT$2,0)/BT$1,"")</f>
        <v>0</v>
      </c>
      <c r="BU41" s="67">
        <f>IFERROR(VLOOKUP($B41,RD[#All],BU$2,0)/BU$1,"")</f>
        <v>0</v>
      </c>
      <c r="BV41" s="67">
        <f>IFERROR(VLOOKUP($B41,RD[#All],BV$2,0)/BV$1,"")</f>
        <v>0</v>
      </c>
      <c r="BW41" s="67">
        <f>IFERROR(VLOOKUP($B41,RD[#All],BW$2,0)/BW$1,"")</f>
        <v>0</v>
      </c>
      <c r="BX41" s="67">
        <f>IFERROR(VLOOKUP($B41,RD[#All],BX$2,0)/BX$1,"")</f>
        <v>0</v>
      </c>
      <c r="BY41" s="67">
        <f>IFERROR(VLOOKUP($B41,RD[#All],BY$2,0)/BY$1,"")</f>
        <v>0</v>
      </c>
      <c r="BZ41" s="67">
        <f>IFERROR(VLOOKUP($B41,RD[#All],BZ$2,0)/BZ$1,"")</f>
        <v>0</v>
      </c>
      <c r="CA41" s="67">
        <f>IFERROR(VLOOKUP($B41,RD[#All],CA$2,0)/CA$1,"")</f>
        <v>0</v>
      </c>
      <c r="CB41" s="67">
        <f>IFERROR(VLOOKUP($B41,RD[#All],CB$2,0)/CB$1,"")</f>
        <v>0</v>
      </c>
      <c r="CC41" s="67">
        <f>IFERROR(VLOOKUP($B41,RD[#All],CC$2,0)/CC$1,"")</f>
        <v>0</v>
      </c>
      <c r="CD41" s="67">
        <f>IFERROR(VLOOKUP($B41,RD[#All],CD$2,0)/CD$1,"")</f>
        <v>0</v>
      </c>
      <c r="CE41" s="67">
        <f>IFERROR(VLOOKUP($B41,RD[#All],CE$2,0)/CE$1,"")</f>
        <v>0</v>
      </c>
      <c r="CF41" s="67">
        <f>IFERROR(VLOOKUP($B41,RD[#All],CF$2,0)/CF$1,"")</f>
        <v>0</v>
      </c>
      <c r="CG41" s="67">
        <f>IFERROR(VLOOKUP($B41,RD[#All],CG$2,0)/CG$1,"")</f>
        <v>0</v>
      </c>
      <c r="CH41" s="67">
        <f>IFERROR(VLOOKUP($B41,RD[#All],CH$2,0)/CH$1,"")</f>
        <v>0</v>
      </c>
      <c r="CI41" s="67">
        <f>IFERROR(VLOOKUP($B41,RD[#All],CI$2,0)/CI$1,"")</f>
        <v>0</v>
      </c>
      <c r="CJ41" s="67">
        <f>IFERROR(VLOOKUP($B41,RD[#All],CJ$2,0)/CJ$1,"")</f>
        <v>0</v>
      </c>
      <c r="CK41" s="67">
        <f>IFERROR(VLOOKUP($B41,RD[#All],CK$2,0)/CK$1,"")</f>
        <v>0</v>
      </c>
      <c r="CL41" s="67">
        <f>IFERROR(VLOOKUP($B41,RD[#All],CL$2,0)/CL$1,"")</f>
        <v>0</v>
      </c>
      <c r="CM41" s="67">
        <f>IFERROR(VLOOKUP($B41,RD[#All],CM$2,0)/CM$1,"")</f>
        <v>0</v>
      </c>
      <c r="CN41" s="67">
        <f>IFERROR(VLOOKUP($B41,RD[#All],CN$2,0)/CN$1,"")</f>
        <v>0</v>
      </c>
      <c r="CO41" s="67">
        <f>IFERROR(VLOOKUP($B41,RD[#All],CO$2,0)/CO$1,"")</f>
        <v>0</v>
      </c>
      <c r="CP41" s="67">
        <f>IFERROR(VLOOKUP($B41,RD[#All],CP$2,0)/CP$1,"")</f>
        <v>0</v>
      </c>
      <c r="CQ41" s="67">
        <f>IFERROR(VLOOKUP($B41,RD[#All],CQ$2,0)/CQ$1,"")</f>
        <v>0</v>
      </c>
      <c r="CR41" s="67">
        <f>IFERROR(VLOOKUP($B41,RD[#All],CR$2,0)/CR$1,"")</f>
        <v>0</v>
      </c>
      <c r="CS41" s="67">
        <f>IFERROR(VLOOKUP($B41,RD[#All],CS$2,0)/CS$1,"")</f>
        <v>0</v>
      </c>
      <c r="CT41" s="67">
        <f>IFERROR(VLOOKUP($B41,RD[#All],CT$2,0)/CT$1,"")</f>
        <v>0</v>
      </c>
      <c r="CU41" s="67">
        <f>IFERROR(VLOOKUP($B41,RD[#All],CU$2,0)/CU$1,"")</f>
        <v>0</v>
      </c>
      <c r="CV41" s="67">
        <f>IFERROR(VLOOKUP($B41,RD[#All],CV$2,0)/CV$1,"")</f>
        <v>0</v>
      </c>
      <c r="CW41" s="67">
        <f>IFERROR(VLOOKUP($B41,RD[#All],CW$2,0)/CW$1,"")</f>
        <v>0</v>
      </c>
      <c r="CX41" s="67">
        <f>IFERROR(VLOOKUP($B41,RD[#All],CX$2,0)/CX$1,"")</f>
        <v>0</v>
      </c>
      <c r="CY41" s="67">
        <f>IFERROR(VLOOKUP($B41,RD[#All],CY$2,0)/CY$1,"")</f>
        <v>0</v>
      </c>
      <c r="CZ41" s="67">
        <f>IFERROR(VLOOKUP($B41,RD[#All],CZ$2,0)/CZ$1,"")</f>
        <v>0</v>
      </c>
      <c r="DA41" s="67">
        <f>IFERROR(VLOOKUP($B41,RD[#All],DA$2,0)/DA$1,"")</f>
        <v>0</v>
      </c>
      <c r="DB41" s="67">
        <f>IFERROR(VLOOKUP($B41,RD[#All],DB$2,0)/DB$1,"")</f>
        <v>0</v>
      </c>
      <c r="DC41" s="67">
        <f>IFERROR(VLOOKUP($B41,RD[#All],DC$2,0)/DC$1,"")</f>
        <v>0</v>
      </c>
      <c r="DD41" s="67">
        <f>IFERROR(VLOOKUP($B41,RD[#All],DD$2,0)/DD$1,"")</f>
        <v>0</v>
      </c>
      <c r="DE41" s="67">
        <f>IFERROR(VLOOKUP($B41,RD[#All],DE$2,0)/DE$1,"")</f>
        <v>0</v>
      </c>
      <c r="DF41" s="67">
        <f>IFERROR(VLOOKUP($B41,RD[#All],DF$2,0)/DF$1,"")</f>
        <v>0</v>
      </c>
      <c r="DG41" s="67">
        <f>IFERROR(VLOOKUP($B41,RD[#All],DG$2,0)/DG$1,"")</f>
        <v>0</v>
      </c>
      <c r="DH41" s="67">
        <f>IFERROR(VLOOKUP($B41,RD[#All],DH$2,0)/DH$1,"")</f>
        <v>0</v>
      </c>
      <c r="DI41" s="67">
        <f>IFERROR(VLOOKUP($B41,RD[#All],DI$2,0)/DI$1,"")</f>
        <v>0</v>
      </c>
      <c r="DJ41" s="67">
        <f>IFERROR(VLOOKUP($B41,RD[#All],DJ$2,0)/DJ$1,"")</f>
        <v>0</v>
      </c>
      <c r="DK41" s="67">
        <f>IFERROR(VLOOKUP($B41,RD[#All],DK$2,0)/DK$1,"")</f>
        <v>0</v>
      </c>
      <c r="DL41" s="67">
        <f>IFERROR(VLOOKUP($B41,RD[#All],DL$2,0)/DL$1,"")</f>
        <v>0</v>
      </c>
      <c r="DM41" s="67">
        <f>IFERROR(VLOOKUP($B41,RD[#All],DM$2,0)/DM$1,"")</f>
        <v>0</v>
      </c>
      <c r="DN41" s="67">
        <f>IFERROR(VLOOKUP($B41,RD[#All],DN$2,0)/DN$1,"")</f>
        <v>0</v>
      </c>
      <c r="DO41" s="67">
        <f>IFERROR(VLOOKUP($B41,RD[#All],DO$2,0)/DO$1,"")</f>
        <v>0</v>
      </c>
      <c r="DP41" s="67">
        <f>IFERROR(VLOOKUP($B41,RD[#All],DP$2,0)/DP$1,"")</f>
        <v>0</v>
      </c>
      <c r="DQ41" s="67">
        <f>IFERROR(VLOOKUP($B41,RD[#All],DQ$2,0)/DQ$1,"")</f>
        <v>0</v>
      </c>
      <c r="DR41" s="67">
        <f>IFERROR(VLOOKUP($B41,RD[#All],DR$2,0)/DR$1,"")</f>
        <v>0</v>
      </c>
      <c r="DS41" s="67">
        <f>IFERROR(VLOOKUP($B41,RD[#All],DS$2,0)/DS$1,"")</f>
        <v>0</v>
      </c>
      <c r="DT41" s="67">
        <f>IFERROR(VLOOKUP($B41,RD[#All],DT$2,0)/DT$1,"")</f>
        <v>0</v>
      </c>
      <c r="DU41" s="67">
        <f>IFERROR(VLOOKUP($B41,RD[#All],DU$2,0)/DU$1,"")</f>
        <v>0</v>
      </c>
      <c r="DV41" s="67">
        <f>IFERROR(VLOOKUP($B41,RD[#All],DV$2,0)/DV$1,"")</f>
        <v>0</v>
      </c>
      <c r="DW41" s="67">
        <f>IFERROR(VLOOKUP($B41,RD[#All],DW$2,0)/DW$1,"")</f>
        <v>0</v>
      </c>
      <c r="DX41" s="67">
        <f>IFERROR(VLOOKUP($B41,RD[#All],DX$2,0)/DX$1,"")</f>
        <v>0</v>
      </c>
      <c r="DY41" s="67">
        <f>IFERROR(VLOOKUP($B41,RD[#All],DY$2,0)/DY$1,"")</f>
        <v>0</v>
      </c>
      <c r="DZ41" s="67">
        <f>IFERROR(VLOOKUP($B41,RD[#All],DZ$2,0)/DZ$1,"")</f>
        <v>0</v>
      </c>
      <c r="EA41" s="67">
        <f>IFERROR(VLOOKUP($B41,RD[#All],EA$2,0)/EA$1,"")</f>
        <v>0</v>
      </c>
      <c r="EB41" s="67">
        <f>IFERROR(VLOOKUP($B41,RD[#All],EB$2,0)/EB$1,"")</f>
        <v>0</v>
      </c>
      <c r="EC41" s="67">
        <f>IFERROR(VLOOKUP($B41,RD[#All],EC$2,0)/EC$1,"")</f>
        <v>0</v>
      </c>
      <c r="ED41" s="67">
        <f>IFERROR(VLOOKUP($B41,RD[#All],ED$2,0)/ED$1,"")</f>
        <v>0</v>
      </c>
      <c r="EE41" s="67">
        <f>IFERROR(VLOOKUP($B41,RD[#All],EE$2,0)/EE$1,"")</f>
        <v>0</v>
      </c>
      <c r="EF41" s="67">
        <f>IFERROR(VLOOKUP($B41,RD[#All],EF$2,0)/EF$1,"")</f>
        <v>0</v>
      </c>
      <c r="EG41" s="67">
        <f>IFERROR(VLOOKUP($B41,RD[#All],EG$2,0)/EG$1,"")</f>
        <v>0</v>
      </c>
      <c r="EH41" s="67">
        <f>IFERROR(VLOOKUP($B41,RD[#All],EH$2,0)/EH$1,"")</f>
        <v>0</v>
      </c>
      <c r="EI41" s="67">
        <f>IFERROR(VLOOKUP($B41,RD[#All],EI$2,0)/EI$1,"")</f>
        <v>0</v>
      </c>
      <c r="EJ41" s="67">
        <f>IFERROR(VLOOKUP($B41,RD[#All],EJ$2,0)/EJ$1,"")</f>
        <v>0</v>
      </c>
      <c r="EK41" s="67">
        <f>IFERROR(VLOOKUP($B41,RD[#All],EK$2,0)/EK$1,"")</f>
        <v>0</v>
      </c>
      <c r="EL41" s="67">
        <f>IFERROR(VLOOKUP($B41,RD[#All],EL$2,0)/EL$1,"")</f>
        <v>0</v>
      </c>
      <c r="EM41" s="67">
        <f>IFERROR(VLOOKUP($B41,RD[#All],EM$2,0)/EM$1,"")</f>
        <v>0</v>
      </c>
      <c r="EN41" s="67">
        <f>IFERROR(VLOOKUP($B41,RD[#All],EN$2,0)/EN$1,"")</f>
        <v>0</v>
      </c>
      <c r="EO41" s="67">
        <f>IFERROR(VLOOKUP($B41,RD[#All],EO$2,0)/EO$1,"")</f>
        <v>0</v>
      </c>
      <c r="EP41" s="67">
        <f>IFERROR(VLOOKUP($B41,RD[#All],EP$2,0)/EP$1,"")</f>
        <v>0</v>
      </c>
      <c r="EQ41" s="67">
        <f>IFERROR(VLOOKUP($B41,RD[#All],EQ$2,0)/EQ$1,"")</f>
        <v>0</v>
      </c>
      <c r="ER41" s="67">
        <f>IFERROR(VLOOKUP($B41,RD[#All],ER$2,0)/ER$1,"")</f>
        <v>0</v>
      </c>
      <c r="ES41" s="67">
        <f>IFERROR(VLOOKUP($B41,RD[#All],ES$2,0)/ES$1,"")</f>
        <v>0</v>
      </c>
      <c r="ET41" s="67">
        <f>IFERROR(VLOOKUP($B41,RD[#All],ET$2,0)/ET$1,"")</f>
        <v>0</v>
      </c>
      <c r="EU41" s="67">
        <f>IFERROR(VLOOKUP($B41,RD[#All],EU$2,0)/EU$1,"")</f>
        <v>0</v>
      </c>
      <c r="EV41" s="67">
        <f>IFERROR(VLOOKUP($B41,RD[#All],EV$2,0)/EV$1,"")</f>
        <v>0</v>
      </c>
      <c r="EW41" s="67">
        <f>IFERROR(VLOOKUP($B41,RD[#All],EW$2,0)/EW$1,"")</f>
        <v>0</v>
      </c>
      <c r="EX41" s="67">
        <f>IFERROR(VLOOKUP($B41,RD[#All],EX$2,0)/EX$1,"")</f>
        <v>0</v>
      </c>
      <c r="EY41" s="67">
        <f>IFERROR(VLOOKUP($B41,RD[#All],EY$2,0)/EY$1,"")</f>
        <v>0</v>
      </c>
      <c r="EZ41" s="67">
        <f>IFERROR(VLOOKUP($B41,RD[#All],EZ$2,0)/EZ$1,"")</f>
        <v>0</v>
      </c>
      <c r="FA41" s="67">
        <f>IFERROR(VLOOKUP($B41,RD[#All],FA$2,0)/FA$1,"")</f>
        <v>0</v>
      </c>
      <c r="FB41" s="67">
        <f>IFERROR(VLOOKUP($B41,RD[#All],FB$2,0)/FB$1,"")</f>
        <v>0</v>
      </c>
      <c r="FC41" s="67">
        <f>IFERROR(VLOOKUP($B41,RD[#All],FC$2,0)/FC$1,"")</f>
        <v>0</v>
      </c>
      <c r="FD41" s="67">
        <f>IFERROR(VLOOKUP($B41,RD[#All],FD$2,0)/FD$1,"")</f>
        <v>0</v>
      </c>
      <c r="FE41" s="67">
        <f>IFERROR(VLOOKUP($B41,RD[#All],FE$2,0)/FE$1,"")</f>
        <v>0</v>
      </c>
      <c r="FF41" s="67">
        <f>IFERROR(VLOOKUP($B41,RD[#All],FF$2,0)/FF$1,"")</f>
        <v>0</v>
      </c>
      <c r="FG41" s="67">
        <f>IFERROR(VLOOKUP($B41,RD[#All],FG$2,0)/FG$1,"")</f>
        <v>0</v>
      </c>
      <c r="FH41" s="67">
        <f>IFERROR(VLOOKUP($B41,RD[#All],FH$2,0)/FH$1,"")</f>
        <v>0</v>
      </c>
      <c r="FI41" s="67">
        <f>IFERROR(VLOOKUP($B41,RD[#All],FI$2,0)/FI$1,"")</f>
        <v>0</v>
      </c>
      <c r="FJ41" s="67">
        <f>IFERROR(VLOOKUP($B41,RD[#All],FJ$2,0)/FJ$1,"")</f>
        <v>0</v>
      </c>
      <c r="FK41" s="67">
        <f>IFERROR(VLOOKUP($B41,RD[#All],FK$2,0)/FK$1,"")</f>
        <v>0</v>
      </c>
      <c r="FL41" s="67">
        <f>IFERROR(VLOOKUP($B41,RD[#All],FL$2,0)/FL$1,"")</f>
        <v>0</v>
      </c>
      <c r="FM41" s="67">
        <f>IFERROR(VLOOKUP($B41,RD[#All],FM$2,0)/FM$1,"")</f>
        <v>0</v>
      </c>
      <c r="FN41" s="67">
        <f>IFERROR(VLOOKUP($B41,RD[#All],FN$2,0)/FN$1,"")</f>
        <v>0</v>
      </c>
      <c r="FO41" s="67">
        <f>IFERROR(VLOOKUP($B41,RD[#All],FO$2,0)/FO$1,"")</f>
        <v>0</v>
      </c>
      <c r="FP41" s="67">
        <f>IFERROR(VLOOKUP($B41,RD[#All],FP$2,0)/FP$1,"")</f>
        <v>0</v>
      </c>
      <c r="FQ41" s="67">
        <f>IFERROR(VLOOKUP($B41,RD[#All],FQ$2,0)/FQ$1,"")</f>
        <v>0</v>
      </c>
      <c r="FR41" s="67">
        <f>IFERROR(VLOOKUP($B41,RD[#All],FR$2,0)/FR$1,"")</f>
        <v>0</v>
      </c>
      <c r="FS41" s="67">
        <f>IFERROR(VLOOKUP($B41,RD[#All],FS$2,0)/FS$1,"")</f>
        <v>0</v>
      </c>
      <c r="FT41" s="67">
        <f>IFERROR(VLOOKUP($B41,RD[#All],FT$2,0)/FT$1,"")</f>
        <v>0</v>
      </c>
      <c r="FU41" s="67">
        <f>IFERROR(VLOOKUP($B41,RD[#All],FU$2,0)/FU$1,"")</f>
        <v>0</v>
      </c>
      <c r="FV41" s="67">
        <f>IFERROR(VLOOKUP($B41,RD[#All],FV$2,0)/FV$1,"")</f>
        <v>0</v>
      </c>
      <c r="FW41" s="67">
        <f>IFERROR(VLOOKUP($B41,RD[#All],FW$2,0)/FW$1,"")</f>
        <v>0</v>
      </c>
      <c r="FX41" s="67">
        <f>IFERROR(VLOOKUP($B41,RD[#All],FX$2,0)/FX$1,"")</f>
        <v>0</v>
      </c>
      <c r="FY41" s="67">
        <f>IFERROR(VLOOKUP($B41,RD[#All],FY$2,0)/FY$1,"")</f>
        <v>0</v>
      </c>
      <c r="FZ41" s="67">
        <f>IFERROR(VLOOKUP($B41,RD[#All],FZ$2,0)/FZ$1,"")</f>
        <v>0</v>
      </c>
      <c r="GA41" s="67">
        <f>IFERROR(VLOOKUP($B41,RD[#All],GA$2,0)/GA$1,"")</f>
        <v>0</v>
      </c>
      <c r="GB41" s="67">
        <f>IFERROR(VLOOKUP($B41,RD[#All],GB$2,0)/GB$1,"")</f>
        <v>0</v>
      </c>
      <c r="GC41" s="67">
        <f>IFERROR(VLOOKUP($B41,RD[#All],GC$2,0)/GC$1,"")</f>
        <v>0</v>
      </c>
      <c r="GD41" s="67">
        <f>IFERROR(VLOOKUP($B41,RD[#All],GD$2,0)/GD$1,"")</f>
        <v>0</v>
      </c>
      <c r="GE41" s="67">
        <f>IFERROR(VLOOKUP($B41,RD[#All],GE$2,0)/GE$1,"")</f>
        <v>0</v>
      </c>
      <c r="GF41" s="67">
        <f>IFERROR(VLOOKUP($B41,RD[#All],GF$2,0)/GF$1,"")</f>
        <v>0</v>
      </c>
      <c r="GG41" s="67">
        <f>IFERROR(VLOOKUP($B41,RD[#All],GG$2,0)/GG$1,"")</f>
        <v>0</v>
      </c>
      <c r="GH41" s="67">
        <f>IFERROR(VLOOKUP($B41,RD[#All],GH$2,0)/GH$1,"")</f>
        <v>0</v>
      </c>
      <c r="GI41" s="67">
        <f>IFERROR(VLOOKUP($B41,RD[#All],GI$2,0)/GI$1,"")</f>
        <v>0</v>
      </c>
      <c r="GJ41" s="67">
        <f>IFERROR(VLOOKUP($B41,RD[#All],GJ$2,0)/GJ$1,"")</f>
        <v>0</v>
      </c>
      <c r="GK41" s="67">
        <f>IFERROR(VLOOKUP($B41,RD[#All],GK$2,0)/GK$1,"")</f>
        <v>0</v>
      </c>
      <c r="GL41" s="67">
        <f>IFERROR(VLOOKUP($B41,RD[#All],GL$2,0)/GL$1,"")</f>
        <v>0</v>
      </c>
      <c r="GM41" s="67">
        <f>IFERROR(VLOOKUP($B41,RD[#All],GM$2,0)/GM$1,"")</f>
        <v>0</v>
      </c>
      <c r="GN41" s="67">
        <f>IFERROR(VLOOKUP($B41,RD[#All],GN$2,0)/GN$1,"")</f>
        <v>0</v>
      </c>
      <c r="GO41" s="67">
        <f>IFERROR(VLOOKUP($B41,RD[#All],GO$2,0)/GO$1,"")</f>
        <v>0</v>
      </c>
      <c r="GP41" s="67">
        <f>IFERROR(VLOOKUP($B41,RD[#All],GP$2,0)/GP$1,"")</f>
        <v>0</v>
      </c>
      <c r="GQ41" s="67">
        <f>IFERROR(VLOOKUP($B41,RD[#All],GQ$2,0)/GQ$1,"")</f>
        <v>0</v>
      </c>
      <c r="GR41" s="67">
        <f>IFERROR(VLOOKUP($B41,RD[#All],GR$2,0)/GR$1,"")</f>
        <v>0</v>
      </c>
      <c r="GS41" s="67" t="str">
        <f>IFERROR(VLOOKUP($B41,RD[#All],GS$2,0)/GS$1,"")</f>
        <v/>
      </c>
      <c r="GT41" s="67" t="str">
        <f>IFERROR(VLOOKUP($B41,RD[#All],GT$2,0)/GT$1,"")</f>
        <v/>
      </c>
      <c r="GU41" s="67">
        <f>IFERROR(VLOOKUP($B41,RD[#All],GU$2,0)/GU$1,"")</f>
        <v>0</v>
      </c>
      <c r="GV41" s="67">
        <f>IFERROR(VLOOKUP($B41,RD[#All],GV$2,0)/GV$1,"")</f>
        <v>0</v>
      </c>
      <c r="GW41" s="67">
        <f>IFERROR(VLOOKUP($B41,RD[#All],GW$2,0)/GW$1,"")</f>
        <v>0</v>
      </c>
      <c r="GX41" s="67" t="str">
        <f>IFERROR(VLOOKUP($B41,RD[#All],GX$2,0)/GX$1,"")</f>
        <v/>
      </c>
      <c r="GY41" s="67">
        <f>IFERROR(VLOOKUP($B41,RD[#All],GY$2,0)/GY$1,"")</f>
        <v>0</v>
      </c>
      <c r="GZ41" s="67">
        <f>IFERROR(VLOOKUP($B41,RD[#All],GZ$2,0)/GZ$1,"")</f>
        <v>0</v>
      </c>
      <c r="HA41" s="67">
        <f>IFERROR(VLOOKUP($B41,RD[#All],HA$2,0)/HA$1,"")</f>
        <v>0</v>
      </c>
      <c r="HB41" s="67">
        <f>IFERROR(VLOOKUP($B41,RD[#All],HB$2,0)/HB$1,"")</f>
        <v>0</v>
      </c>
      <c r="HC41" s="67">
        <f>IFERROR(VLOOKUP($B41,RD[#All],HC$2,0)/HC$1,"")</f>
        <v>0</v>
      </c>
      <c r="HD41" s="67">
        <f>IFERROR(VLOOKUP($B41,RD[#All],HD$2,0)/HD$1,"")</f>
        <v>0</v>
      </c>
      <c r="HE41" s="67">
        <f>IFERROR(VLOOKUP($B41,RD[#All],HE$2,0)/HE$1,"")</f>
        <v>0</v>
      </c>
      <c r="HF41" s="67">
        <f>IFERROR(VLOOKUP($B41,RD[#All],HF$2,0)/HF$1,"")</f>
        <v>0</v>
      </c>
      <c r="HG41" s="67">
        <f>IFERROR(VLOOKUP($B41,RD[#All],HG$2,0)/HG$1,"")</f>
        <v>0</v>
      </c>
      <c r="HH41" s="67">
        <f>IFERROR(VLOOKUP($B41,RD[#All],HH$2,0)/HH$1,"")</f>
        <v>0</v>
      </c>
      <c r="HI41" s="67">
        <f>IFERROR(VLOOKUP($B41,RD[#All],HI$2,0)/HI$1,"")</f>
        <v>0</v>
      </c>
      <c r="HJ41" s="67">
        <f>IFERROR(VLOOKUP($B41,RD[#All],HJ$2,0)/HJ$1,"")</f>
        <v>0</v>
      </c>
      <c r="HK41" s="67">
        <f>IFERROR(VLOOKUP($B41,RD[#All],HK$2,0)/HK$1,"")</f>
        <v>0</v>
      </c>
      <c r="HL41" s="67">
        <f>IFERROR(VLOOKUP($B41,RD[#All],HL$2,0)/HL$1,"")</f>
        <v>0</v>
      </c>
      <c r="HM41" s="67">
        <f>IFERROR(VLOOKUP($B41,RD[#All],HM$2,0)/HM$1,"")</f>
        <v>0</v>
      </c>
      <c r="HN41" s="67">
        <f>IFERROR(VLOOKUP($B41,RD[#All],HN$2,0)/HN$1,"")</f>
        <v>0</v>
      </c>
      <c r="HO41" s="67">
        <f>IFERROR(VLOOKUP($B41,RD[#All],HO$2,0)/HO$1,"")</f>
        <v>0</v>
      </c>
      <c r="HP41" s="67">
        <f>IFERROR(VLOOKUP($B41,RD[#All],HP$2,0)/HP$1,"")</f>
        <v>0</v>
      </c>
      <c r="HQ41" s="67">
        <f>IFERROR(VLOOKUP($B41,RD[#All],HQ$2,0)/HQ$1,"")</f>
        <v>0</v>
      </c>
      <c r="HR41" s="67">
        <f>IFERROR(VLOOKUP($B41,RD[#All],HR$2,0)/HR$1,"")</f>
        <v>0</v>
      </c>
      <c r="HS41" s="67">
        <f>IFERROR(VLOOKUP($B41,RD[#All],HS$2,0)/HS$1,"")</f>
        <v>0</v>
      </c>
      <c r="HT41" s="67">
        <f>IFERROR(VLOOKUP($B41,RD[#All],HT$2,0)/HT$1,"")</f>
        <v>0</v>
      </c>
      <c r="HU41" s="67">
        <f>IFERROR(VLOOKUP($B41,RD[#All],HU$2,0)/HU$1,"")</f>
        <v>0</v>
      </c>
      <c r="HV41" s="67">
        <f>IFERROR(VLOOKUP($B41,RD[#All],HV$2,0)/HV$1,"")</f>
        <v>0</v>
      </c>
      <c r="HW41" s="67">
        <f>IFERROR(VLOOKUP($B41,RD[#All],HW$2,0)/HW$1,"")</f>
        <v>0</v>
      </c>
      <c r="HX41" s="67">
        <f>IFERROR(VLOOKUP($B41,RD[#All],HX$2,0)/HX$1,"")</f>
        <v>0</v>
      </c>
      <c r="HY41" s="67">
        <f>IFERROR(VLOOKUP($B41,RD[#All],HY$2,0)/HY$1,"")</f>
        <v>0</v>
      </c>
      <c r="HZ41" s="67">
        <f>IFERROR(VLOOKUP($B41,RD[#All],HZ$2,0)/HZ$1,"")</f>
        <v>0</v>
      </c>
      <c r="IA41" s="67">
        <f>IFERROR(VLOOKUP($B41,RD[#All],IA$2,0)/IA$1,"")</f>
        <v>0</v>
      </c>
      <c r="IB41" s="67">
        <f>IFERROR(VLOOKUP($B41,RD[#All],IB$2,0)/IB$1,"")</f>
        <v>0</v>
      </c>
      <c r="IC41" s="67">
        <f>IFERROR(VLOOKUP($B41,RD[#All],IC$2,0)/IC$1,"")</f>
        <v>0</v>
      </c>
      <c r="ID41" s="67">
        <f>IFERROR(VLOOKUP($B41,RD[#All],ID$2,0)/ID$1,"")</f>
        <v>0</v>
      </c>
      <c r="IE41" s="67">
        <f>IFERROR(VLOOKUP($B41,RD[#All],IE$2,0)/IE$1,"")</f>
        <v>0</v>
      </c>
      <c r="IF41" s="67" t="str">
        <f>IFERROR(VLOOKUP($B41,RD[#All],IF$2,0)/IF$1,"")</f>
        <v/>
      </c>
      <c r="IG41" s="67">
        <f>IFERROR(VLOOKUP($B41,RD[#All],IG$2,0)/IG$1,"")</f>
        <v>0</v>
      </c>
      <c r="IH41" s="67">
        <f>IFERROR(VLOOKUP($B41,RD[#All],IH$2,0)/IH$1,"")</f>
        <v>0</v>
      </c>
      <c r="II41" s="67">
        <f>IFERROR(VLOOKUP($B41,RD[#All],II$2,0)/II$1,"")</f>
        <v>0</v>
      </c>
      <c r="IJ41" s="67">
        <f>IFERROR(VLOOKUP($B41,RD[#All],IJ$2,0)/IJ$1,"")</f>
        <v>0</v>
      </c>
      <c r="IK41" s="67">
        <f>IFERROR(VLOOKUP($B41,RD[#All],IK$2,0)/IK$1,"")</f>
        <v>0</v>
      </c>
      <c r="IL41" s="67" t="str">
        <f>IFERROR(VLOOKUP($B41,RD[#All],IL$2,0)/IL$1,"")</f>
        <v/>
      </c>
      <c r="IM41" s="67" t="str">
        <f>IFERROR(VLOOKUP($B41,RD[#All],IM$2,0)/IM$1,"")</f>
        <v/>
      </c>
      <c r="IN41" s="67">
        <f>IFERROR(VLOOKUP($B41,RD[#All],IN$2,0)/IN$1,"")</f>
        <v>0</v>
      </c>
      <c r="IO41" s="67">
        <f>IFERROR(VLOOKUP($B41,RD[#All],IO$2,0)/IO$1,"")</f>
        <v>0</v>
      </c>
      <c r="IP41" s="67">
        <f>IFERROR(VLOOKUP($B41,RD[#All],IP$2,0)/IP$1,"")</f>
        <v>0</v>
      </c>
      <c r="IQ41" s="67">
        <f>IFERROR(VLOOKUP($B41,RD[#All],IQ$2,0)/IQ$1,"")</f>
        <v>0</v>
      </c>
      <c r="IR41" s="67">
        <f>IFERROR(VLOOKUP($B41,RD[#All],IR$2,0)/IR$1,"")</f>
        <v>0</v>
      </c>
      <c r="IS41" s="86" t="str">
        <f>IFERROR(AVERAGEIF(Inv_SY_B[[#This Row],[BLK1_INV1]:[BLK8_INV27]],"&gt;"&amp;0.1,Inv_SY_B[[#This Row],[BLK1_INV1]:[BLK8_INV27]]),"")</f>
        <v/>
      </c>
    </row>
    <row r="42" spans="2:253" x14ac:dyDescent="0.25">
      <c r="B42" s="87">
        <f t="shared" si="1"/>
        <v>45868</v>
      </c>
      <c r="C42" s="67">
        <f>IFERROR(VLOOKUP($B42,RD[#All],C$2,0)/C$1,"")</f>
        <v>0</v>
      </c>
      <c r="D42" s="67">
        <f>IFERROR(VLOOKUP($B42,RD[#All],D$2,0)/D$1,"")</f>
        <v>0</v>
      </c>
      <c r="E42" s="67">
        <f>IFERROR(VLOOKUP($B42,RD[#All],E$2,0)/E$1,"")</f>
        <v>0</v>
      </c>
      <c r="F42" s="67">
        <f>IFERROR(VLOOKUP($B42,RD[#All],F$2,0)/F$1,"")</f>
        <v>0</v>
      </c>
      <c r="G42" s="67">
        <f>IFERROR(VLOOKUP($B42,RD[#All],G$2,0)/G$1,"")</f>
        <v>0</v>
      </c>
      <c r="H42" s="67">
        <f>IFERROR(VLOOKUP($B42,RD[#All],H$2,0)/H$1,"")</f>
        <v>0</v>
      </c>
      <c r="I42" s="67">
        <f>IFERROR(VLOOKUP($B42,RD[#All],I$2,0)/I$1,"")</f>
        <v>0</v>
      </c>
      <c r="J42" s="67">
        <f>IFERROR(VLOOKUP($B42,RD[#All],J$2,0)/J$1,"")</f>
        <v>0</v>
      </c>
      <c r="K42" s="67">
        <f>IFERROR(VLOOKUP($B42,RD[#All],K$2,0)/K$1,"")</f>
        <v>0</v>
      </c>
      <c r="L42" s="67">
        <f>IFERROR(VLOOKUP($B42,RD[#All],L$2,0)/L$1,"")</f>
        <v>0</v>
      </c>
      <c r="M42" s="67">
        <f>IFERROR(VLOOKUP($B42,RD[#All],M$2,0)/M$1,"")</f>
        <v>0</v>
      </c>
      <c r="N42" s="67">
        <f>IFERROR(VLOOKUP($B42,RD[#All],N$2,0)/N$1,"")</f>
        <v>0</v>
      </c>
      <c r="O42" s="67">
        <f>IFERROR(VLOOKUP($B42,RD[#All],O$2,0)/O$1,"")</f>
        <v>0</v>
      </c>
      <c r="P42" s="67">
        <f>IFERROR(VLOOKUP($B42,RD[#All],P$2,0)/P$1,"")</f>
        <v>0</v>
      </c>
      <c r="Q42" s="67">
        <f>IFERROR(VLOOKUP($B42,RD[#All],Q$2,0)/Q$1,"")</f>
        <v>0</v>
      </c>
      <c r="R42" s="67">
        <f>IFERROR(VLOOKUP($B42,RD[#All],R$2,0)/R$1,"")</f>
        <v>0</v>
      </c>
      <c r="S42" s="67">
        <f>IFERROR(VLOOKUP($B42,RD[#All],S$2,0)/S$1,"")</f>
        <v>0</v>
      </c>
      <c r="T42" s="67">
        <f>IFERROR(VLOOKUP($B42,RD[#All],T$2,0)/T$1,"")</f>
        <v>0</v>
      </c>
      <c r="U42" s="67">
        <f>IFERROR(VLOOKUP($B42,RD[#All],U$2,0)/U$1,"")</f>
        <v>0</v>
      </c>
      <c r="V42" s="67">
        <f>IFERROR(VLOOKUP($B42,RD[#All],V$2,0)/V$1,"")</f>
        <v>0</v>
      </c>
      <c r="W42" s="67">
        <f>IFERROR(VLOOKUP($B42,RD[#All],W$2,0)/W$1,"")</f>
        <v>0</v>
      </c>
      <c r="X42" s="67">
        <f>IFERROR(VLOOKUP($B42,RD[#All],X$2,0)/X$1,"")</f>
        <v>0</v>
      </c>
      <c r="Y42" s="67">
        <f>IFERROR(VLOOKUP($B42,RD[#All],Y$2,0)/Y$1,"")</f>
        <v>0</v>
      </c>
      <c r="Z42" s="67">
        <f>IFERROR(VLOOKUP($B42,RD[#All],Z$2,0)/Z$1,"")</f>
        <v>0</v>
      </c>
      <c r="AA42" s="67">
        <f>IFERROR(VLOOKUP($B42,RD[#All],AA$2,0)/AA$1,"")</f>
        <v>0</v>
      </c>
      <c r="AB42" s="67">
        <f>IFERROR(VLOOKUP($B42,RD[#All],AB$2,0)/AB$1,"")</f>
        <v>0</v>
      </c>
      <c r="AC42" s="67">
        <f>IFERROR(VLOOKUP($B42,RD[#All],AC$2,0)/AC$1,"")</f>
        <v>0</v>
      </c>
      <c r="AD42" s="67">
        <f>IFERROR(VLOOKUP($B42,RD[#All],AD$2,0)/AD$1,"")</f>
        <v>0</v>
      </c>
      <c r="AE42" s="67">
        <f>IFERROR(VLOOKUP($B42,RD[#All],AE$2,0)/AE$1,"")</f>
        <v>0</v>
      </c>
      <c r="AF42" s="67">
        <f>IFERROR(VLOOKUP($B42,RD[#All],AF$2,0)/AF$1,"")</f>
        <v>0</v>
      </c>
      <c r="AG42" s="67">
        <f>IFERROR(VLOOKUP($B42,RD[#All],AG$2,0)/AG$1,"")</f>
        <v>0</v>
      </c>
      <c r="AH42" s="67">
        <f>IFERROR(VLOOKUP($B42,RD[#All],AH$2,0)/AH$1,"")</f>
        <v>0</v>
      </c>
      <c r="AI42" s="67">
        <f>IFERROR(VLOOKUP($B42,RD[#All],AI$2,0)/AI$1,"")</f>
        <v>0</v>
      </c>
      <c r="AJ42" s="67">
        <f>IFERROR(VLOOKUP($B42,RD[#All],AJ$2,0)/AJ$1,"")</f>
        <v>0</v>
      </c>
      <c r="AK42" s="67">
        <f>IFERROR(VLOOKUP($B42,RD[#All],AK$2,0)/AK$1,"")</f>
        <v>0</v>
      </c>
      <c r="AL42" s="67">
        <f>IFERROR(VLOOKUP($B42,RD[#All],AL$2,0)/AL$1,"")</f>
        <v>0</v>
      </c>
      <c r="AM42" s="67">
        <f>IFERROR(VLOOKUP($B42,RD[#All],AM$2,0)/AM$1,"")</f>
        <v>0</v>
      </c>
      <c r="AN42" s="67">
        <f>IFERROR(VLOOKUP($B42,RD[#All],AN$2,0)/AN$1,"")</f>
        <v>0</v>
      </c>
      <c r="AO42" s="67">
        <f>IFERROR(VLOOKUP($B42,RD[#All],AO$2,0)/AO$1,"")</f>
        <v>0</v>
      </c>
      <c r="AP42" s="67">
        <f>IFERROR(VLOOKUP($B42,RD[#All],AP$2,0)/AP$1,"")</f>
        <v>0</v>
      </c>
      <c r="AQ42" s="67">
        <f>IFERROR(VLOOKUP($B42,RD[#All],AQ$2,0)/AQ$1,"")</f>
        <v>0</v>
      </c>
      <c r="AR42" s="67">
        <f>IFERROR(VLOOKUP($B42,RD[#All],AR$2,0)/AR$1,"")</f>
        <v>0</v>
      </c>
      <c r="AS42" s="67">
        <f>IFERROR(VLOOKUP($B42,RD[#All],AS$2,0)/AS$1,"")</f>
        <v>0</v>
      </c>
      <c r="AT42" s="67">
        <f>IFERROR(VLOOKUP($B42,RD[#All],AT$2,0)/AT$1,"")</f>
        <v>0</v>
      </c>
      <c r="AU42" s="67">
        <f>IFERROR(VLOOKUP($B42,RD[#All],AU$2,0)/AU$1,"")</f>
        <v>0</v>
      </c>
      <c r="AV42" s="67">
        <f>IFERROR(VLOOKUP($B42,RD[#All],AV$2,0)/AV$1,"")</f>
        <v>0</v>
      </c>
      <c r="AW42" s="67">
        <f>IFERROR(VLOOKUP($B42,RD[#All],AW$2,0)/AW$1,"")</f>
        <v>0</v>
      </c>
      <c r="AX42" s="67">
        <f>IFERROR(VLOOKUP($B42,RD[#All],AX$2,0)/AX$1,"")</f>
        <v>0</v>
      </c>
      <c r="AY42" s="67">
        <f>IFERROR(VLOOKUP($B42,RD[#All],AY$2,0)/AY$1,"")</f>
        <v>0</v>
      </c>
      <c r="AZ42" s="67">
        <f>IFERROR(VLOOKUP($B42,RD[#All],AZ$2,0)/AZ$1,"")</f>
        <v>0</v>
      </c>
      <c r="BA42" s="67">
        <f>IFERROR(VLOOKUP($B42,RD[#All],BA$2,0)/BA$1,"")</f>
        <v>0</v>
      </c>
      <c r="BB42" s="67">
        <f>IFERROR(VLOOKUP($B42,RD[#All],BB$2,0)/BB$1,"")</f>
        <v>0</v>
      </c>
      <c r="BC42" s="67">
        <f>IFERROR(VLOOKUP($B42,RD[#All],BC$2,0)/BC$1,"")</f>
        <v>0</v>
      </c>
      <c r="BD42" s="67">
        <f>IFERROR(VLOOKUP($B42,RD[#All],BD$2,0)/BD$1,"")</f>
        <v>0</v>
      </c>
      <c r="BE42" s="67">
        <f>IFERROR(VLOOKUP($B42,RD[#All],BE$2,0)/BE$1,"")</f>
        <v>0</v>
      </c>
      <c r="BF42" s="67">
        <f>IFERROR(VLOOKUP($B42,RD[#All],BF$2,0)/BF$1,"")</f>
        <v>0</v>
      </c>
      <c r="BG42" s="67">
        <f>IFERROR(VLOOKUP($B42,RD[#All],BG$2,0)/BG$1,"")</f>
        <v>0</v>
      </c>
      <c r="BH42" s="67">
        <f>IFERROR(VLOOKUP($B42,RD[#All],BH$2,0)/BH$1,"")</f>
        <v>0</v>
      </c>
      <c r="BI42" s="67">
        <f>IFERROR(VLOOKUP($B42,RD[#All],BI$2,0)/BI$1,"")</f>
        <v>0</v>
      </c>
      <c r="BJ42" s="67">
        <f>IFERROR(VLOOKUP($B42,RD[#All],BJ$2,0)/BJ$1,"")</f>
        <v>0</v>
      </c>
      <c r="BK42" s="67">
        <f>IFERROR(VLOOKUP($B42,RD[#All],BK$2,0)/BK$1,"")</f>
        <v>0</v>
      </c>
      <c r="BL42" s="67">
        <f>IFERROR(VLOOKUP($B42,RD[#All],BL$2,0)/BL$1,"")</f>
        <v>0</v>
      </c>
      <c r="BM42" s="67">
        <f>IFERROR(VLOOKUP($B42,RD[#All],BM$2,0)/BM$1,"")</f>
        <v>0</v>
      </c>
      <c r="BN42" s="67">
        <f>IFERROR(VLOOKUP($B42,RD[#All],BN$2,0)/BN$1,"")</f>
        <v>0</v>
      </c>
      <c r="BO42" s="67">
        <f>IFERROR(VLOOKUP($B42,RD[#All],BO$2,0)/BO$1,"")</f>
        <v>0</v>
      </c>
      <c r="BP42" s="67">
        <f>IFERROR(VLOOKUP($B42,RD[#All],BP$2,0)/BP$1,"")</f>
        <v>0</v>
      </c>
      <c r="BQ42" s="67">
        <f>IFERROR(VLOOKUP($B42,RD[#All],BQ$2,0)/BQ$1,"")</f>
        <v>0</v>
      </c>
      <c r="BR42" s="67">
        <f>IFERROR(VLOOKUP($B42,RD[#All],BR$2,0)/BR$1,"")</f>
        <v>0</v>
      </c>
      <c r="BS42" s="67">
        <f>IFERROR(VLOOKUP($B42,RD[#All],BS$2,0)/BS$1,"")</f>
        <v>0</v>
      </c>
      <c r="BT42" s="67">
        <f>IFERROR(VLOOKUP($B42,RD[#All],BT$2,0)/BT$1,"")</f>
        <v>0</v>
      </c>
      <c r="BU42" s="67">
        <f>IFERROR(VLOOKUP($B42,RD[#All],BU$2,0)/BU$1,"")</f>
        <v>0</v>
      </c>
      <c r="BV42" s="67">
        <f>IFERROR(VLOOKUP($B42,RD[#All],BV$2,0)/BV$1,"")</f>
        <v>0</v>
      </c>
      <c r="BW42" s="67">
        <f>IFERROR(VLOOKUP($B42,RD[#All],BW$2,0)/BW$1,"")</f>
        <v>0</v>
      </c>
      <c r="BX42" s="67">
        <f>IFERROR(VLOOKUP($B42,RD[#All],BX$2,0)/BX$1,"")</f>
        <v>0</v>
      </c>
      <c r="BY42" s="67">
        <f>IFERROR(VLOOKUP($B42,RD[#All],BY$2,0)/BY$1,"")</f>
        <v>0</v>
      </c>
      <c r="BZ42" s="67">
        <f>IFERROR(VLOOKUP($B42,RD[#All],BZ$2,0)/BZ$1,"")</f>
        <v>0</v>
      </c>
      <c r="CA42" s="67">
        <f>IFERROR(VLOOKUP($B42,RD[#All],CA$2,0)/CA$1,"")</f>
        <v>0</v>
      </c>
      <c r="CB42" s="67">
        <f>IFERROR(VLOOKUP($B42,RD[#All],CB$2,0)/CB$1,"")</f>
        <v>0</v>
      </c>
      <c r="CC42" s="67">
        <f>IFERROR(VLOOKUP($B42,RD[#All],CC$2,0)/CC$1,"")</f>
        <v>0</v>
      </c>
      <c r="CD42" s="67">
        <f>IFERROR(VLOOKUP($B42,RD[#All],CD$2,0)/CD$1,"")</f>
        <v>0</v>
      </c>
      <c r="CE42" s="67">
        <f>IFERROR(VLOOKUP($B42,RD[#All],CE$2,0)/CE$1,"")</f>
        <v>0</v>
      </c>
      <c r="CF42" s="67">
        <f>IFERROR(VLOOKUP($B42,RD[#All],CF$2,0)/CF$1,"")</f>
        <v>0</v>
      </c>
      <c r="CG42" s="67">
        <f>IFERROR(VLOOKUP($B42,RD[#All],CG$2,0)/CG$1,"")</f>
        <v>0</v>
      </c>
      <c r="CH42" s="67">
        <f>IFERROR(VLOOKUP($B42,RD[#All],CH$2,0)/CH$1,"")</f>
        <v>0</v>
      </c>
      <c r="CI42" s="67">
        <f>IFERROR(VLOOKUP($B42,RD[#All],CI$2,0)/CI$1,"")</f>
        <v>0</v>
      </c>
      <c r="CJ42" s="67">
        <f>IFERROR(VLOOKUP($B42,RD[#All],CJ$2,0)/CJ$1,"")</f>
        <v>0</v>
      </c>
      <c r="CK42" s="67">
        <f>IFERROR(VLOOKUP($B42,RD[#All],CK$2,0)/CK$1,"")</f>
        <v>0</v>
      </c>
      <c r="CL42" s="67">
        <f>IFERROR(VLOOKUP($B42,RD[#All],CL$2,0)/CL$1,"")</f>
        <v>0</v>
      </c>
      <c r="CM42" s="67">
        <f>IFERROR(VLOOKUP($B42,RD[#All],CM$2,0)/CM$1,"")</f>
        <v>0</v>
      </c>
      <c r="CN42" s="67">
        <f>IFERROR(VLOOKUP($B42,RD[#All],CN$2,0)/CN$1,"")</f>
        <v>0</v>
      </c>
      <c r="CO42" s="67">
        <f>IFERROR(VLOOKUP($B42,RD[#All],CO$2,0)/CO$1,"")</f>
        <v>0</v>
      </c>
      <c r="CP42" s="67">
        <f>IFERROR(VLOOKUP($B42,RD[#All],CP$2,0)/CP$1,"")</f>
        <v>0</v>
      </c>
      <c r="CQ42" s="67">
        <f>IFERROR(VLOOKUP($B42,RD[#All],CQ$2,0)/CQ$1,"")</f>
        <v>0</v>
      </c>
      <c r="CR42" s="67">
        <f>IFERROR(VLOOKUP($B42,RD[#All],CR$2,0)/CR$1,"")</f>
        <v>0</v>
      </c>
      <c r="CS42" s="67">
        <f>IFERROR(VLOOKUP($B42,RD[#All],CS$2,0)/CS$1,"")</f>
        <v>0</v>
      </c>
      <c r="CT42" s="67">
        <f>IFERROR(VLOOKUP($B42,RD[#All],CT$2,0)/CT$1,"")</f>
        <v>0</v>
      </c>
      <c r="CU42" s="67">
        <f>IFERROR(VLOOKUP($B42,RD[#All],CU$2,0)/CU$1,"")</f>
        <v>0</v>
      </c>
      <c r="CV42" s="67">
        <f>IFERROR(VLOOKUP($B42,RD[#All],CV$2,0)/CV$1,"")</f>
        <v>0</v>
      </c>
      <c r="CW42" s="67">
        <f>IFERROR(VLOOKUP($B42,RD[#All],CW$2,0)/CW$1,"")</f>
        <v>0</v>
      </c>
      <c r="CX42" s="67">
        <f>IFERROR(VLOOKUP($B42,RD[#All],CX$2,0)/CX$1,"")</f>
        <v>0</v>
      </c>
      <c r="CY42" s="67">
        <f>IFERROR(VLOOKUP($B42,RD[#All],CY$2,0)/CY$1,"")</f>
        <v>0</v>
      </c>
      <c r="CZ42" s="67">
        <f>IFERROR(VLOOKUP($B42,RD[#All],CZ$2,0)/CZ$1,"")</f>
        <v>0</v>
      </c>
      <c r="DA42" s="67">
        <f>IFERROR(VLOOKUP($B42,RD[#All],DA$2,0)/DA$1,"")</f>
        <v>0</v>
      </c>
      <c r="DB42" s="67">
        <f>IFERROR(VLOOKUP($B42,RD[#All],DB$2,0)/DB$1,"")</f>
        <v>0</v>
      </c>
      <c r="DC42" s="67">
        <f>IFERROR(VLOOKUP($B42,RD[#All],DC$2,0)/DC$1,"")</f>
        <v>0</v>
      </c>
      <c r="DD42" s="67">
        <f>IFERROR(VLOOKUP($B42,RD[#All],DD$2,0)/DD$1,"")</f>
        <v>0</v>
      </c>
      <c r="DE42" s="67">
        <f>IFERROR(VLOOKUP($B42,RD[#All],DE$2,0)/DE$1,"")</f>
        <v>0</v>
      </c>
      <c r="DF42" s="67">
        <f>IFERROR(VLOOKUP($B42,RD[#All],DF$2,0)/DF$1,"")</f>
        <v>0</v>
      </c>
      <c r="DG42" s="67">
        <f>IFERROR(VLOOKUP($B42,RD[#All],DG$2,0)/DG$1,"")</f>
        <v>0</v>
      </c>
      <c r="DH42" s="67">
        <f>IFERROR(VLOOKUP($B42,RD[#All],DH$2,0)/DH$1,"")</f>
        <v>0</v>
      </c>
      <c r="DI42" s="67">
        <f>IFERROR(VLOOKUP($B42,RD[#All],DI$2,0)/DI$1,"")</f>
        <v>0</v>
      </c>
      <c r="DJ42" s="67">
        <f>IFERROR(VLOOKUP($B42,RD[#All],DJ$2,0)/DJ$1,"")</f>
        <v>0</v>
      </c>
      <c r="DK42" s="67">
        <f>IFERROR(VLOOKUP($B42,RD[#All],DK$2,0)/DK$1,"")</f>
        <v>0</v>
      </c>
      <c r="DL42" s="67">
        <f>IFERROR(VLOOKUP($B42,RD[#All],DL$2,0)/DL$1,"")</f>
        <v>0</v>
      </c>
      <c r="DM42" s="67">
        <f>IFERROR(VLOOKUP($B42,RD[#All],DM$2,0)/DM$1,"")</f>
        <v>0</v>
      </c>
      <c r="DN42" s="67">
        <f>IFERROR(VLOOKUP($B42,RD[#All],DN$2,0)/DN$1,"")</f>
        <v>0</v>
      </c>
      <c r="DO42" s="67">
        <f>IFERROR(VLOOKUP($B42,RD[#All],DO$2,0)/DO$1,"")</f>
        <v>0</v>
      </c>
      <c r="DP42" s="67">
        <f>IFERROR(VLOOKUP($B42,RD[#All],DP$2,0)/DP$1,"")</f>
        <v>0</v>
      </c>
      <c r="DQ42" s="67">
        <f>IFERROR(VLOOKUP($B42,RD[#All],DQ$2,0)/DQ$1,"")</f>
        <v>0</v>
      </c>
      <c r="DR42" s="67">
        <f>IFERROR(VLOOKUP($B42,RD[#All],DR$2,0)/DR$1,"")</f>
        <v>0</v>
      </c>
      <c r="DS42" s="67">
        <f>IFERROR(VLOOKUP($B42,RD[#All],DS$2,0)/DS$1,"")</f>
        <v>0</v>
      </c>
      <c r="DT42" s="67">
        <f>IFERROR(VLOOKUP($B42,RD[#All],DT$2,0)/DT$1,"")</f>
        <v>0</v>
      </c>
      <c r="DU42" s="67">
        <f>IFERROR(VLOOKUP($B42,RD[#All],DU$2,0)/DU$1,"")</f>
        <v>0</v>
      </c>
      <c r="DV42" s="67">
        <f>IFERROR(VLOOKUP($B42,RD[#All],DV$2,0)/DV$1,"")</f>
        <v>0</v>
      </c>
      <c r="DW42" s="67">
        <f>IFERROR(VLOOKUP($B42,RD[#All],DW$2,0)/DW$1,"")</f>
        <v>0</v>
      </c>
      <c r="DX42" s="67">
        <f>IFERROR(VLOOKUP($B42,RD[#All],DX$2,0)/DX$1,"")</f>
        <v>0</v>
      </c>
      <c r="DY42" s="67">
        <f>IFERROR(VLOOKUP($B42,RD[#All],DY$2,0)/DY$1,"")</f>
        <v>0</v>
      </c>
      <c r="DZ42" s="67">
        <f>IFERROR(VLOOKUP($B42,RD[#All],DZ$2,0)/DZ$1,"")</f>
        <v>0</v>
      </c>
      <c r="EA42" s="67">
        <f>IFERROR(VLOOKUP($B42,RD[#All],EA$2,0)/EA$1,"")</f>
        <v>0</v>
      </c>
      <c r="EB42" s="67">
        <f>IFERROR(VLOOKUP($B42,RD[#All],EB$2,0)/EB$1,"")</f>
        <v>0</v>
      </c>
      <c r="EC42" s="67">
        <f>IFERROR(VLOOKUP($B42,RD[#All],EC$2,0)/EC$1,"")</f>
        <v>0</v>
      </c>
      <c r="ED42" s="67">
        <f>IFERROR(VLOOKUP($B42,RD[#All],ED$2,0)/ED$1,"")</f>
        <v>0</v>
      </c>
      <c r="EE42" s="67">
        <f>IFERROR(VLOOKUP($B42,RD[#All],EE$2,0)/EE$1,"")</f>
        <v>0</v>
      </c>
      <c r="EF42" s="67">
        <f>IFERROR(VLOOKUP($B42,RD[#All],EF$2,0)/EF$1,"")</f>
        <v>0</v>
      </c>
      <c r="EG42" s="67">
        <f>IFERROR(VLOOKUP($B42,RD[#All],EG$2,0)/EG$1,"")</f>
        <v>0</v>
      </c>
      <c r="EH42" s="67">
        <f>IFERROR(VLOOKUP($B42,RD[#All],EH$2,0)/EH$1,"")</f>
        <v>0</v>
      </c>
      <c r="EI42" s="67">
        <f>IFERROR(VLOOKUP($B42,RD[#All],EI$2,0)/EI$1,"")</f>
        <v>0</v>
      </c>
      <c r="EJ42" s="67">
        <f>IFERROR(VLOOKUP($B42,RD[#All],EJ$2,0)/EJ$1,"")</f>
        <v>0</v>
      </c>
      <c r="EK42" s="67">
        <f>IFERROR(VLOOKUP($B42,RD[#All],EK$2,0)/EK$1,"")</f>
        <v>0</v>
      </c>
      <c r="EL42" s="67">
        <f>IFERROR(VLOOKUP($B42,RD[#All],EL$2,0)/EL$1,"")</f>
        <v>0</v>
      </c>
      <c r="EM42" s="67">
        <f>IFERROR(VLOOKUP($B42,RD[#All],EM$2,0)/EM$1,"")</f>
        <v>0</v>
      </c>
      <c r="EN42" s="67">
        <f>IFERROR(VLOOKUP($B42,RD[#All],EN$2,0)/EN$1,"")</f>
        <v>0</v>
      </c>
      <c r="EO42" s="67">
        <f>IFERROR(VLOOKUP($B42,RD[#All],EO$2,0)/EO$1,"")</f>
        <v>0</v>
      </c>
      <c r="EP42" s="67">
        <f>IFERROR(VLOOKUP($B42,RD[#All],EP$2,0)/EP$1,"")</f>
        <v>0</v>
      </c>
      <c r="EQ42" s="67">
        <f>IFERROR(VLOOKUP($B42,RD[#All],EQ$2,0)/EQ$1,"")</f>
        <v>0</v>
      </c>
      <c r="ER42" s="67">
        <f>IFERROR(VLOOKUP($B42,RD[#All],ER$2,0)/ER$1,"")</f>
        <v>0</v>
      </c>
      <c r="ES42" s="67">
        <f>IFERROR(VLOOKUP($B42,RD[#All],ES$2,0)/ES$1,"")</f>
        <v>0</v>
      </c>
      <c r="ET42" s="67">
        <f>IFERROR(VLOOKUP($B42,RD[#All],ET$2,0)/ET$1,"")</f>
        <v>0</v>
      </c>
      <c r="EU42" s="67">
        <f>IFERROR(VLOOKUP($B42,RD[#All],EU$2,0)/EU$1,"")</f>
        <v>0</v>
      </c>
      <c r="EV42" s="67">
        <f>IFERROR(VLOOKUP($B42,RD[#All],EV$2,0)/EV$1,"")</f>
        <v>0</v>
      </c>
      <c r="EW42" s="67">
        <f>IFERROR(VLOOKUP($B42,RD[#All],EW$2,0)/EW$1,"")</f>
        <v>0</v>
      </c>
      <c r="EX42" s="67">
        <f>IFERROR(VLOOKUP($B42,RD[#All],EX$2,0)/EX$1,"")</f>
        <v>0</v>
      </c>
      <c r="EY42" s="67">
        <f>IFERROR(VLOOKUP($B42,RD[#All],EY$2,0)/EY$1,"")</f>
        <v>0</v>
      </c>
      <c r="EZ42" s="67">
        <f>IFERROR(VLOOKUP($B42,RD[#All],EZ$2,0)/EZ$1,"")</f>
        <v>0</v>
      </c>
      <c r="FA42" s="67">
        <f>IFERROR(VLOOKUP($B42,RD[#All],FA$2,0)/FA$1,"")</f>
        <v>0</v>
      </c>
      <c r="FB42" s="67">
        <f>IFERROR(VLOOKUP($B42,RD[#All],FB$2,0)/FB$1,"")</f>
        <v>0</v>
      </c>
      <c r="FC42" s="67">
        <f>IFERROR(VLOOKUP($B42,RD[#All],FC$2,0)/FC$1,"")</f>
        <v>0</v>
      </c>
      <c r="FD42" s="67">
        <f>IFERROR(VLOOKUP($B42,RD[#All],FD$2,0)/FD$1,"")</f>
        <v>0</v>
      </c>
      <c r="FE42" s="67">
        <f>IFERROR(VLOOKUP($B42,RD[#All],FE$2,0)/FE$1,"")</f>
        <v>0</v>
      </c>
      <c r="FF42" s="67">
        <f>IFERROR(VLOOKUP($B42,RD[#All],FF$2,0)/FF$1,"")</f>
        <v>0</v>
      </c>
      <c r="FG42" s="67">
        <f>IFERROR(VLOOKUP($B42,RD[#All],FG$2,0)/FG$1,"")</f>
        <v>0</v>
      </c>
      <c r="FH42" s="67">
        <f>IFERROR(VLOOKUP($B42,RD[#All],FH$2,0)/FH$1,"")</f>
        <v>0</v>
      </c>
      <c r="FI42" s="67">
        <f>IFERROR(VLOOKUP($B42,RD[#All],FI$2,0)/FI$1,"")</f>
        <v>0</v>
      </c>
      <c r="FJ42" s="67">
        <f>IFERROR(VLOOKUP($B42,RD[#All],FJ$2,0)/FJ$1,"")</f>
        <v>0</v>
      </c>
      <c r="FK42" s="67">
        <f>IFERROR(VLOOKUP($B42,RD[#All],FK$2,0)/FK$1,"")</f>
        <v>0</v>
      </c>
      <c r="FL42" s="67">
        <f>IFERROR(VLOOKUP($B42,RD[#All],FL$2,0)/FL$1,"")</f>
        <v>0</v>
      </c>
      <c r="FM42" s="67">
        <f>IFERROR(VLOOKUP($B42,RD[#All],FM$2,0)/FM$1,"")</f>
        <v>0</v>
      </c>
      <c r="FN42" s="67">
        <f>IFERROR(VLOOKUP($B42,RD[#All],FN$2,0)/FN$1,"")</f>
        <v>0</v>
      </c>
      <c r="FO42" s="67">
        <f>IFERROR(VLOOKUP($B42,RD[#All],FO$2,0)/FO$1,"")</f>
        <v>0</v>
      </c>
      <c r="FP42" s="67">
        <f>IFERROR(VLOOKUP($B42,RD[#All],FP$2,0)/FP$1,"")</f>
        <v>0</v>
      </c>
      <c r="FQ42" s="67">
        <f>IFERROR(VLOOKUP($B42,RD[#All],FQ$2,0)/FQ$1,"")</f>
        <v>0</v>
      </c>
      <c r="FR42" s="67">
        <f>IFERROR(VLOOKUP($B42,RD[#All],FR$2,0)/FR$1,"")</f>
        <v>0</v>
      </c>
      <c r="FS42" s="67">
        <f>IFERROR(VLOOKUP($B42,RD[#All],FS$2,0)/FS$1,"")</f>
        <v>0</v>
      </c>
      <c r="FT42" s="67">
        <f>IFERROR(VLOOKUP($B42,RD[#All],FT$2,0)/FT$1,"")</f>
        <v>0</v>
      </c>
      <c r="FU42" s="67">
        <f>IFERROR(VLOOKUP($B42,RD[#All],FU$2,0)/FU$1,"")</f>
        <v>0</v>
      </c>
      <c r="FV42" s="67">
        <f>IFERROR(VLOOKUP($B42,RD[#All],FV$2,0)/FV$1,"")</f>
        <v>0</v>
      </c>
      <c r="FW42" s="67">
        <f>IFERROR(VLOOKUP($B42,RD[#All],FW$2,0)/FW$1,"")</f>
        <v>0</v>
      </c>
      <c r="FX42" s="67">
        <f>IFERROR(VLOOKUP($B42,RD[#All],FX$2,0)/FX$1,"")</f>
        <v>0</v>
      </c>
      <c r="FY42" s="67">
        <f>IFERROR(VLOOKUP($B42,RD[#All],FY$2,0)/FY$1,"")</f>
        <v>0</v>
      </c>
      <c r="FZ42" s="67">
        <f>IFERROR(VLOOKUP($B42,RD[#All],FZ$2,0)/FZ$1,"")</f>
        <v>0</v>
      </c>
      <c r="GA42" s="67">
        <f>IFERROR(VLOOKUP($B42,RD[#All],GA$2,0)/GA$1,"")</f>
        <v>0</v>
      </c>
      <c r="GB42" s="67">
        <f>IFERROR(VLOOKUP($B42,RD[#All],GB$2,0)/GB$1,"")</f>
        <v>0</v>
      </c>
      <c r="GC42" s="67">
        <f>IFERROR(VLOOKUP($B42,RD[#All],GC$2,0)/GC$1,"")</f>
        <v>0</v>
      </c>
      <c r="GD42" s="67">
        <f>IFERROR(VLOOKUP($B42,RD[#All],GD$2,0)/GD$1,"")</f>
        <v>0</v>
      </c>
      <c r="GE42" s="67">
        <f>IFERROR(VLOOKUP($B42,RD[#All],GE$2,0)/GE$1,"")</f>
        <v>0</v>
      </c>
      <c r="GF42" s="67">
        <f>IFERROR(VLOOKUP($B42,RD[#All],GF$2,0)/GF$1,"")</f>
        <v>0</v>
      </c>
      <c r="GG42" s="67">
        <f>IFERROR(VLOOKUP($B42,RD[#All],GG$2,0)/GG$1,"")</f>
        <v>0</v>
      </c>
      <c r="GH42" s="67">
        <f>IFERROR(VLOOKUP($B42,RD[#All],GH$2,0)/GH$1,"")</f>
        <v>0</v>
      </c>
      <c r="GI42" s="67">
        <f>IFERROR(VLOOKUP($B42,RD[#All],GI$2,0)/GI$1,"")</f>
        <v>0</v>
      </c>
      <c r="GJ42" s="67">
        <f>IFERROR(VLOOKUP($B42,RD[#All],GJ$2,0)/GJ$1,"")</f>
        <v>0</v>
      </c>
      <c r="GK42" s="67">
        <f>IFERROR(VLOOKUP($B42,RD[#All],GK$2,0)/GK$1,"")</f>
        <v>0</v>
      </c>
      <c r="GL42" s="67">
        <f>IFERROR(VLOOKUP($B42,RD[#All],GL$2,0)/GL$1,"")</f>
        <v>0</v>
      </c>
      <c r="GM42" s="67">
        <f>IFERROR(VLOOKUP($B42,RD[#All],GM$2,0)/GM$1,"")</f>
        <v>0</v>
      </c>
      <c r="GN42" s="67">
        <f>IFERROR(VLOOKUP($B42,RD[#All],GN$2,0)/GN$1,"")</f>
        <v>0</v>
      </c>
      <c r="GO42" s="67">
        <f>IFERROR(VLOOKUP($B42,RD[#All],GO$2,0)/GO$1,"")</f>
        <v>0</v>
      </c>
      <c r="GP42" s="67">
        <f>IFERROR(VLOOKUP($B42,RD[#All],GP$2,0)/GP$1,"")</f>
        <v>0</v>
      </c>
      <c r="GQ42" s="67">
        <f>IFERROR(VLOOKUP($B42,RD[#All],GQ$2,0)/GQ$1,"")</f>
        <v>0</v>
      </c>
      <c r="GR42" s="67">
        <f>IFERROR(VLOOKUP($B42,RD[#All],GR$2,0)/GR$1,"")</f>
        <v>0</v>
      </c>
      <c r="GS42" s="67" t="str">
        <f>IFERROR(VLOOKUP($B42,RD[#All],GS$2,0)/GS$1,"")</f>
        <v/>
      </c>
      <c r="GT42" s="67" t="str">
        <f>IFERROR(VLOOKUP($B42,RD[#All],GT$2,0)/GT$1,"")</f>
        <v/>
      </c>
      <c r="GU42" s="67">
        <f>IFERROR(VLOOKUP($B42,RD[#All],GU$2,0)/GU$1,"")</f>
        <v>0</v>
      </c>
      <c r="GV42" s="67">
        <f>IFERROR(VLOOKUP($B42,RD[#All],GV$2,0)/GV$1,"")</f>
        <v>0</v>
      </c>
      <c r="GW42" s="67">
        <f>IFERROR(VLOOKUP($B42,RD[#All],GW$2,0)/GW$1,"")</f>
        <v>0</v>
      </c>
      <c r="GX42" s="67" t="str">
        <f>IFERROR(VLOOKUP($B42,RD[#All],GX$2,0)/GX$1,"")</f>
        <v/>
      </c>
      <c r="GY42" s="67">
        <f>IFERROR(VLOOKUP($B42,RD[#All],GY$2,0)/GY$1,"")</f>
        <v>0</v>
      </c>
      <c r="GZ42" s="67">
        <f>IFERROR(VLOOKUP($B42,RD[#All],GZ$2,0)/GZ$1,"")</f>
        <v>0</v>
      </c>
      <c r="HA42" s="67">
        <f>IFERROR(VLOOKUP($B42,RD[#All],HA$2,0)/HA$1,"")</f>
        <v>0</v>
      </c>
      <c r="HB42" s="67">
        <f>IFERROR(VLOOKUP($B42,RD[#All],HB$2,0)/HB$1,"")</f>
        <v>0</v>
      </c>
      <c r="HC42" s="67">
        <f>IFERROR(VLOOKUP($B42,RD[#All],HC$2,0)/HC$1,"")</f>
        <v>0</v>
      </c>
      <c r="HD42" s="67">
        <f>IFERROR(VLOOKUP($B42,RD[#All],HD$2,0)/HD$1,"")</f>
        <v>0</v>
      </c>
      <c r="HE42" s="67">
        <f>IFERROR(VLOOKUP($B42,RD[#All],HE$2,0)/HE$1,"")</f>
        <v>0</v>
      </c>
      <c r="HF42" s="67">
        <f>IFERROR(VLOOKUP($B42,RD[#All],HF$2,0)/HF$1,"")</f>
        <v>0</v>
      </c>
      <c r="HG42" s="67">
        <f>IFERROR(VLOOKUP($B42,RD[#All],HG$2,0)/HG$1,"")</f>
        <v>0</v>
      </c>
      <c r="HH42" s="67">
        <f>IFERROR(VLOOKUP($B42,RD[#All],HH$2,0)/HH$1,"")</f>
        <v>0</v>
      </c>
      <c r="HI42" s="67">
        <f>IFERROR(VLOOKUP($B42,RD[#All],HI$2,0)/HI$1,"")</f>
        <v>0</v>
      </c>
      <c r="HJ42" s="67">
        <f>IFERROR(VLOOKUP($B42,RD[#All],HJ$2,0)/HJ$1,"")</f>
        <v>0</v>
      </c>
      <c r="HK42" s="67">
        <f>IFERROR(VLOOKUP($B42,RD[#All],HK$2,0)/HK$1,"")</f>
        <v>0</v>
      </c>
      <c r="HL42" s="67">
        <f>IFERROR(VLOOKUP($B42,RD[#All],HL$2,0)/HL$1,"")</f>
        <v>0</v>
      </c>
      <c r="HM42" s="67">
        <f>IFERROR(VLOOKUP($B42,RD[#All],HM$2,0)/HM$1,"")</f>
        <v>0</v>
      </c>
      <c r="HN42" s="67">
        <f>IFERROR(VLOOKUP($B42,RD[#All],HN$2,0)/HN$1,"")</f>
        <v>0</v>
      </c>
      <c r="HO42" s="67">
        <f>IFERROR(VLOOKUP($B42,RD[#All],HO$2,0)/HO$1,"")</f>
        <v>0</v>
      </c>
      <c r="HP42" s="67">
        <f>IFERROR(VLOOKUP($B42,RD[#All],HP$2,0)/HP$1,"")</f>
        <v>0</v>
      </c>
      <c r="HQ42" s="67">
        <f>IFERROR(VLOOKUP($B42,RD[#All],HQ$2,0)/HQ$1,"")</f>
        <v>0</v>
      </c>
      <c r="HR42" s="67">
        <f>IFERROR(VLOOKUP($B42,RD[#All],HR$2,0)/HR$1,"")</f>
        <v>0</v>
      </c>
      <c r="HS42" s="67">
        <f>IFERROR(VLOOKUP($B42,RD[#All],HS$2,0)/HS$1,"")</f>
        <v>0</v>
      </c>
      <c r="HT42" s="67">
        <f>IFERROR(VLOOKUP($B42,RD[#All],HT$2,0)/HT$1,"")</f>
        <v>0</v>
      </c>
      <c r="HU42" s="67">
        <f>IFERROR(VLOOKUP($B42,RD[#All],HU$2,0)/HU$1,"")</f>
        <v>0</v>
      </c>
      <c r="HV42" s="67">
        <f>IFERROR(VLOOKUP($B42,RD[#All],HV$2,0)/HV$1,"")</f>
        <v>0</v>
      </c>
      <c r="HW42" s="67">
        <f>IFERROR(VLOOKUP($B42,RD[#All],HW$2,0)/HW$1,"")</f>
        <v>0</v>
      </c>
      <c r="HX42" s="67">
        <f>IFERROR(VLOOKUP($B42,RD[#All],HX$2,0)/HX$1,"")</f>
        <v>0</v>
      </c>
      <c r="HY42" s="67">
        <f>IFERROR(VLOOKUP($B42,RD[#All],HY$2,0)/HY$1,"")</f>
        <v>0</v>
      </c>
      <c r="HZ42" s="67">
        <f>IFERROR(VLOOKUP($B42,RD[#All],HZ$2,0)/HZ$1,"")</f>
        <v>0</v>
      </c>
      <c r="IA42" s="67">
        <f>IFERROR(VLOOKUP($B42,RD[#All],IA$2,0)/IA$1,"")</f>
        <v>0</v>
      </c>
      <c r="IB42" s="67">
        <f>IFERROR(VLOOKUP($B42,RD[#All],IB$2,0)/IB$1,"")</f>
        <v>0</v>
      </c>
      <c r="IC42" s="67">
        <f>IFERROR(VLOOKUP($B42,RD[#All],IC$2,0)/IC$1,"")</f>
        <v>0</v>
      </c>
      <c r="ID42" s="67">
        <f>IFERROR(VLOOKUP($B42,RD[#All],ID$2,0)/ID$1,"")</f>
        <v>0</v>
      </c>
      <c r="IE42" s="67">
        <f>IFERROR(VLOOKUP($B42,RD[#All],IE$2,0)/IE$1,"")</f>
        <v>0</v>
      </c>
      <c r="IF42" s="67" t="str">
        <f>IFERROR(VLOOKUP($B42,RD[#All],IF$2,0)/IF$1,"")</f>
        <v/>
      </c>
      <c r="IG42" s="67">
        <f>IFERROR(VLOOKUP($B42,RD[#All],IG$2,0)/IG$1,"")</f>
        <v>0</v>
      </c>
      <c r="IH42" s="67">
        <f>IFERROR(VLOOKUP($B42,RD[#All],IH$2,0)/IH$1,"")</f>
        <v>0</v>
      </c>
      <c r="II42" s="67">
        <f>IFERROR(VLOOKUP($B42,RD[#All],II$2,0)/II$1,"")</f>
        <v>0</v>
      </c>
      <c r="IJ42" s="67">
        <f>IFERROR(VLOOKUP($B42,RD[#All],IJ$2,0)/IJ$1,"")</f>
        <v>0</v>
      </c>
      <c r="IK42" s="67">
        <f>IFERROR(VLOOKUP($B42,RD[#All],IK$2,0)/IK$1,"")</f>
        <v>0</v>
      </c>
      <c r="IL42" s="67" t="str">
        <f>IFERROR(VLOOKUP($B42,RD[#All],IL$2,0)/IL$1,"")</f>
        <v/>
      </c>
      <c r="IM42" s="67" t="str">
        <f>IFERROR(VLOOKUP($B42,RD[#All],IM$2,0)/IM$1,"")</f>
        <v/>
      </c>
      <c r="IN42" s="67">
        <f>IFERROR(VLOOKUP($B42,RD[#All],IN$2,0)/IN$1,"")</f>
        <v>0</v>
      </c>
      <c r="IO42" s="67">
        <f>IFERROR(VLOOKUP($B42,RD[#All],IO$2,0)/IO$1,"")</f>
        <v>0</v>
      </c>
      <c r="IP42" s="67">
        <f>IFERROR(VLOOKUP($B42,RD[#All],IP$2,0)/IP$1,"")</f>
        <v>0</v>
      </c>
      <c r="IQ42" s="67">
        <f>IFERROR(VLOOKUP($B42,RD[#All],IQ$2,0)/IQ$1,"")</f>
        <v>0</v>
      </c>
      <c r="IR42" s="67">
        <f>IFERROR(VLOOKUP($B42,RD[#All],IR$2,0)/IR$1,"")</f>
        <v>0</v>
      </c>
      <c r="IS42" s="86" t="str">
        <f>IFERROR(AVERAGEIF(Inv_SY_B[[#This Row],[BLK1_INV1]:[BLK8_INV27]],"&gt;"&amp;0.1,Inv_SY_B[[#This Row],[BLK1_INV1]:[BLK8_INV27]]),"")</f>
        <v/>
      </c>
    </row>
    <row r="43" spans="2:253" x14ac:dyDescent="0.25">
      <c r="B43" s="87">
        <f t="shared" si="1"/>
        <v>45869</v>
      </c>
      <c r="C43" s="67">
        <f>IFERROR(VLOOKUP($B43,RD[#All],C$2,0)/C$1,"")</f>
        <v>0</v>
      </c>
      <c r="D43" s="67">
        <f>IFERROR(VLOOKUP($B43,RD[#All],D$2,0)/D$1,"")</f>
        <v>0</v>
      </c>
      <c r="E43" s="67">
        <f>IFERROR(VLOOKUP($B43,RD[#All],E$2,0)/E$1,"")</f>
        <v>0</v>
      </c>
      <c r="F43" s="67">
        <f>IFERROR(VLOOKUP($B43,RD[#All],F$2,0)/F$1,"")</f>
        <v>0</v>
      </c>
      <c r="G43" s="67">
        <f>IFERROR(VLOOKUP($B43,RD[#All],G$2,0)/G$1,"")</f>
        <v>0</v>
      </c>
      <c r="H43" s="67">
        <f>IFERROR(VLOOKUP($B43,RD[#All],H$2,0)/H$1,"")</f>
        <v>0</v>
      </c>
      <c r="I43" s="67">
        <f>IFERROR(VLOOKUP($B43,RD[#All],I$2,0)/I$1,"")</f>
        <v>0</v>
      </c>
      <c r="J43" s="67">
        <f>IFERROR(VLOOKUP($B43,RD[#All],J$2,0)/J$1,"")</f>
        <v>0</v>
      </c>
      <c r="K43" s="67">
        <f>IFERROR(VLOOKUP($B43,RD[#All],K$2,0)/K$1,"")</f>
        <v>0</v>
      </c>
      <c r="L43" s="67">
        <f>IFERROR(VLOOKUP($B43,RD[#All],L$2,0)/L$1,"")</f>
        <v>0</v>
      </c>
      <c r="M43" s="67">
        <f>IFERROR(VLOOKUP($B43,RD[#All],M$2,0)/M$1,"")</f>
        <v>0</v>
      </c>
      <c r="N43" s="67">
        <f>IFERROR(VLOOKUP($B43,RD[#All],N$2,0)/N$1,"")</f>
        <v>0</v>
      </c>
      <c r="O43" s="67">
        <f>IFERROR(VLOOKUP($B43,RD[#All],O$2,0)/O$1,"")</f>
        <v>0</v>
      </c>
      <c r="P43" s="67">
        <f>IFERROR(VLOOKUP($B43,RD[#All],P$2,0)/P$1,"")</f>
        <v>0</v>
      </c>
      <c r="Q43" s="67">
        <f>IFERROR(VLOOKUP($B43,RD[#All],Q$2,0)/Q$1,"")</f>
        <v>0</v>
      </c>
      <c r="R43" s="67">
        <f>IFERROR(VLOOKUP($B43,RD[#All],R$2,0)/R$1,"")</f>
        <v>0</v>
      </c>
      <c r="S43" s="67">
        <f>IFERROR(VLOOKUP($B43,RD[#All],S$2,0)/S$1,"")</f>
        <v>0</v>
      </c>
      <c r="T43" s="67">
        <f>IFERROR(VLOOKUP($B43,RD[#All],T$2,0)/T$1,"")</f>
        <v>0</v>
      </c>
      <c r="U43" s="67">
        <f>IFERROR(VLOOKUP($B43,RD[#All],U$2,0)/U$1,"")</f>
        <v>0</v>
      </c>
      <c r="V43" s="67">
        <f>IFERROR(VLOOKUP($B43,RD[#All],V$2,0)/V$1,"")</f>
        <v>0</v>
      </c>
      <c r="W43" s="67">
        <f>IFERROR(VLOOKUP($B43,RD[#All],W$2,0)/W$1,"")</f>
        <v>0</v>
      </c>
      <c r="X43" s="67">
        <f>IFERROR(VLOOKUP($B43,RD[#All],X$2,0)/X$1,"")</f>
        <v>0</v>
      </c>
      <c r="Y43" s="67">
        <f>IFERROR(VLOOKUP($B43,RD[#All],Y$2,0)/Y$1,"")</f>
        <v>0</v>
      </c>
      <c r="Z43" s="67">
        <f>IFERROR(VLOOKUP($B43,RD[#All],Z$2,0)/Z$1,"")</f>
        <v>0</v>
      </c>
      <c r="AA43" s="67">
        <f>IFERROR(VLOOKUP($B43,RD[#All],AA$2,0)/AA$1,"")</f>
        <v>0</v>
      </c>
      <c r="AB43" s="67">
        <f>IFERROR(VLOOKUP($B43,RD[#All],AB$2,0)/AB$1,"")</f>
        <v>0</v>
      </c>
      <c r="AC43" s="67">
        <f>IFERROR(VLOOKUP($B43,RD[#All],AC$2,0)/AC$1,"")</f>
        <v>0</v>
      </c>
      <c r="AD43" s="67">
        <f>IFERROR(VLOOKUP($B43,RD[#All],AD$2,0)/AD$1,"")</f>
        <v>0</v>
      </c>
      <c r="AE43" s="67">
        <f>IFERROR(VLOOKUP($B43,RD[#All],AE$2,0)/AE$1,"")</f>
        <v>0</v>
      </c>
      <c r="AF43" s="67">
        <f>IFERROR(VLOOKUP($B43,RD[#All],AF$2,0)/AF$1,"")</f>
        <v>0</v>
      </c>
      <c r="AG43" s="67">
        <f>IFERROR(VLOOKUP($B43,RD[#All],AG$2,0)/AG$1,"")</f>
        <v>0</v>
      </c>
      <c r="AH43" s="67">
        <f>IFERROR(VLOOKUP($B43,RD[#All],AH$2,0)/AH$1,"")</f>
        <v>0</v>
      </c>
      <c r="AI43" s="67">
        <f>IFERROR(VLOOKUP($B43,RD[#All],AI$2,0)/AI$1,"")</f>
        <v>0</v>
      </c>
      <c r="AJ43" s="67">
        <f>IFERROR(VLOOKUP($B43,RD[#All],AJ$2,0)/AJ$1,"")</f>
        <v>0</v>
      </c>
      <c r="AK43" s="67">
        <f>IFERROR(VLOOKUP($B43,RD[#All],AK$2,0)/AK$1,"")</f>
        <v>0</v>
      </c>
      <c r="AL43" s="67">
        <f>IFERROR(VLOOKUP($B43,RD[#All],AL$2,0)/AL$1,"")</f>
        <v>0</v>
      </c>
      <c r="AM43" s="67">
        <f>IFERROR(VLOOKUP($B43,RD[#All],AM$2,0)/AM$1,"")</f>
        <v>0</v>
      </c>
      <c r="AN43" s="67">
        <f>IFERROR(VLOOKUP($B43,RD[#All],AN$2,0)/AN$1,"")</f>
        <v>0</v>
      </c>
      <c r="AO43" s="67">
        <f>IFERROR(VLOOKUP($B43,RD[#All],AO$2,0)/AO$1,"")</f>
        <v>0</v>
      </c>
      <c r="AP43" s="67">
        <f>IFERROR(VLOOKUP($B43,RD[#All],AP$2,0)/AP$1,"")</f>
        <v>0</v>
      </c>
      <c r="AQ43" s="67">
        <f>IFERROR(VLOOKUP($B43,RD[#All],AQ$2,0)/AQ$1,"")</f>
        <v>0</v>
      </c>
      <c r="AR43" s="67">
        <f>IFERROR(VLOOKUP($B43,RD[#All],AR$2,0)/AR$1,"")</f>
        <v>0</v>
      </c>
      <c r="AS43" s="67">
        <f>IFERROR(VLOOKUP($B43,RD[#All],AS$2,0)/AS$1,"")</f>
        <v>0</v>
      </c>
      <c r="AT43" s="67">
        <f>IFERROR(VLOOKUP($B43,RD[#All],AT$2,0)/AT$1,"")</f>
        <v>0</v>
      </c>
      <c r="AU43" s="67">
        <f>IFERROR(VLOOKUP($B43,RD[#All],AU$2,0)/AU$1,"")</f>
        <v>0</v>
      </c>
      <c r="AV43" s="67">
        <f>IFERROR(VLOOKUP($B43,RD[#All],AV$2,0)/AV$1,"")</f>
        <v>0</v>
      </c>
      <c r="AW43" s="67">
        <f>IFERROR(VLOOKUP($B43,RD[#All],AW$2,0)/AW$1,"")</f>
        <v>0</v>
      </c>
      <c r="AX43" s="67">
        <f>IFERROR(VLOOKUP($B43,RD[#All],AX$2,0)/AX$1,"")</f>
        <v>0</v>
      </c>
      <c r="AY43" s="67">
        <f>IFERROR(VLOOKUP($B43,RD[#All],AY$2,0)/AY$1,"")</f>
        <v>0</v>
      </c>
      <c r="AZ43" s="67">
        <f>IFERROR(VLOOKUP($B43,RD[#All],AZ$2,0)/AZ$1,"")</f>
        <v>0</v>
      </c>
      <c r="BA43" s="67">
        <f>IFERROR(VLOOKUP($B43,RD[#All],BA$2,0)/BA$1,"")</f>
        <v>0</v>
      </c>
      <c r="BB43" s="67">
        <f>IFERROR(VLOOKUP($B43,RD[#All],BB$2,0)/BB$1,"")</f>
        <v>0</v>
      </c>
      <c r="BC43" s="67">
        <f>IFERROR(VLOOKUP($B43,RD[#All],BC$2,0)/BC$1,"")</f>
        <v>0</v>
      </c>
      <c r="BD43" s="67">
        <f>IFERROR(VLOOKUP($B43,RD[#All],BD$2,0)/BD$1,"")</f>
        <v>0</v>
      </c>
      <c r="BE43" s="67">
        <f>IFERROR(VLOOKUP($B43,RD[#All],BE$2,0)/BE$1,"")</f>
        <v>0</v>
      </c>
      <c r="BF43" s="67">
        <f>IFERROR(VLOOKUP($B43,RD[#All],BF$2,0)/BF$1,"")</f>
        <v>0</v>
      </c>
      <c r="BG43" s="67">
        <f>IFERROR(VLOOKUP($B43,RD[#All],BG$2,0)/BG$1,"")</f>
        <v>0</v>
      </c>
      <c r="BH43" s="67">
        <f>IFERROR(VLOOKUP($B43,RD[#All],BH$2,0)/BH$1,"")</f>
        <v>0</v>
      </c>
      <c r="BI43" s="67">
        <f>IFERROR(VLOOKUP($B43,RD[#All],BI$2,0)/BI$1,"")</f>
        <v>0</v>
      </c>
      <c r="BJ43" s="67">
        <f>IFERROR(VLOOKUP($B43,RD[#All],BJ$2,0)/BJ$1,"")</f>
        <v>0</v>
      </c>
      <c r="BK43" s="67">
        <f>IFERROR(VLOOKUP($B43,RD[#All],BK$2,0)/BK$1,"")</f>
        <v>0</v>
      </c>
      <c r="BL43" s="67">
        <f>IFERROR(VLOOKUP($B43,RD[#All],BL$2,0)/BL$1,"")</f>
        <v>0</v>
      </c>
      <c r="BM43" s="67">
        <f>IFERROR(VLOOKUP($B43,RD[#All],BM$2,0)/BM$1,"")</f>
        <v>0</v>
      </c>
      <c r="BN43" s="67">
        <f>IFERROR(VLOOKUP($B43,RD[#All],BN$2,0)/BN$1,"")</f>
        <v>0</v>
      </c>
      <c r="BO43" s="67">
        <f>IFERROR(VLOOKUP($B43,RD[#All],BO$2,0)/BO$1,"")</f>
        <v>0</v>
      </c>
      <c r="BP43" s="67">
        <f>IFERROR(VLOOKUP($B43,RD[#All],BP$2,0)/BP$1,"")</f>
        <v>0</v>
      </c>
      <c r="BQ43" s="67">
        <f>IFERROR(VLOOKUP($B43,RD[#All],BQ$2,0)/BQ$1,"")</f>
        <v>0</v>
      </c>
      <c r="BR43" s="67">
        <f>IFERROR(VLOOKUP($B43,RD[#All],BR$2,0)/BR$1,"")</f>
        <v>0</v>
      </c>
      <c r="BS43" s="67">
        <f>IFERROR(VLOOKUP($B43,RD[#All],BS$2,0)/BS$1,"")</f>
        <v>0</v>
      </c>
      <c r="BT43" s="67">
        <f>IFERROR(VLOOKUP($B43,RD[#All],BT$2,0)/BT$1,"")</f>
        <v>0</v>
      </c>
      <c r="BU43" s="67">
        <f>IFERROR(VLOOKUP($B43,RD[#All],BU$2,0)/BU$1,"")</f>
        <v>0</v>
      </c>
      <c r="BV43" s="67">
        <f>IFERROR(VLOOKUP($B43,RD[#All],BV$2,0)/BV$1,"")</f>
        <v>0</v>
      </c>
      <c r="BW43" s="67">
        <f>IFERROR(VLOOKUP($B43,RD[#All],BW$2,0)/BW$1,"")</f>
        <v>0</v>
      </c>
      <c r="BX43" s="67">
        <f>IFERROR(VLOOKUP($B43,RD[#All],BX$2,0)/BX$1,"")</f>
        <v>0</v>
      </c>
      <c r="BY43" s="67">
        <f>IFERROR(VLOOKUP($B43,RD[#All],BY$2,0)/BY$1,"")</f>
        <v>0</v>
      </c>
      <c r="BZ43" s="67">
        <f>IFERROR(VLOOKUP($B43,RD[#All],BZ$2,0)/BZ$1,"")</f>
        <v>0</v>
      </c>
      <c r="CA43" s="67">
        <f>IFERROR(VLOOKUP($B43,RD[#All],CA$2,0)/CA$1,"")</f>
        <v>0</v>
      </c>
      <c r="CB43" s="67">
        <f>IFERROR(VLOOKUP($B43,RD[#All],CB$2,0)/CB$1,"")</f>
        <v>0</v>
      </c>
      <c r="CC43" s="67">
        <f>IFERROR(VLOOKUP($B43,RD[#All],CC$2,0)/CC$1,"")</f>
        <v>0</v>
      </c>
      <c r="CD43" s="67">
        <f>IFERROR(VLOOKUP($B43,RD[#All],CD$2,0)/CD$1,"")</f>
        <v>0</v>
      </c>
      <c r="CE43" s="67">
        <f>IFERROR(VLOOKUP($B43,RD[#All],CE$2,0)/CE$1,"")</f>
        <v>0</v>
      </c>
      <c r="CF43" s="67">
        <f>IFERROR(VLOOKUP($B43,RD[#All],CF$2,0)/CF$1,"")</f>
        <v>0</v>
      </c>
      <c r="CG43" s="67">
        <f>IFERROR(VLOOKUP($B43,RD[#All],CG$2,0)/CG$1,"")</f>
        <v>0</v>
      </c>
      <c r="CH43" s="67">
        <f>IFERROR(VLOOKUP($B43,RD[#All],CH$2,0)/CH$1,"")</f>
        <v>0</v>
      </c>
      <c r="CI43" s="67">
        <f>IFERROR(VLOOKUP($B43,RD[#All],CI$2,0)/CI$1,"")</f>
        <v>0</v>
      </c>
      <c r="CJ43" s="67">
        <f>IFERROR(VLOOKUP($B43,RD[#All],CJ$2,0)/CJ$1,"")</f>
        <v>0</v>
      </c>
      <c r="CK43" s="67">
        <f>IFERROR(VLOOKUP($B43,RD[#All],CK$2,0)/CK$1,"")</f>
        <v>0</v>
      </c>
      <c r="CL43" s="67">
        <f>IFERROR(VLOOKUP($B43,RD[#All],CL$2,0)/CL$1,"")</f>
        <v>0</v>
      </c>
      <c r="CM43" s="67">
        <f>IFERROR(VLOOKUP($B43,RD[#All],CM$2,0)/CM$1,"")</f>
        <v>0</v>
      </c>
      <c r="CN43" s="67">
        <f>IFERROR(VLOOKUP($B43,RD[#All],CN$2,0)/CN$1,"")</f>
        <v>0</v>
      </c>
      <c r="CO43" s="67">
        <f>IFERROR(VLOOKUP($B43,RD[#All],CO$2,0)/CO$1,"")</f>
        <v>0</v>
      </c>
      <c r="CP43" s="67">
        <f>IFERROR(VLOOKUP($B43,RD[#All],CP$2,0)/CP$1,"")</f>
        <v>0</v>
      </c>
      <c r="CQ43" s="67">
        <f>IFERROR(VLOOKUP($B43,RD[#All],CQ$2,0)/CQ$1,"")</f>
        <v>0</v>
      </c>
      <c r="CR43" s="67">
        <f>IFERROR(VLOOKUP($B43,RD[#All],CR$2,0)/CR$1,"")</f>
        <v>0</v>
      </c>
      <c r="CS43" s="67">
        <f>IFERROR(VLOOKUP($B43,RD[#All],CS$2,0)/CS$1,"")</f>
        <v>0</v>
      </c>
      <c r="CT43" s="67">
        <f>IFERROR(VLOOKUP($B43,RD[#All],CT$2,0)/CT$1,"")</f>
        <v>0</v>
      </c>
      <c r="CU43" s="67">
        <f>IFERROR(VLOOKUP($B43,RD[#All],CU$2,0)/CU$1,"")</f>
        <v>0</v>
      </c>
      <c r="CV43" s="67">
        <f>IFERROR(VLOOKUP($B43,RD[#All],CV$2,0)/CV$1,"")</f>
        <v>0</v>
      </c>
      <c r="CW43" s="67">
        <f>IFERROR(VLOOKUP($B43,RD[#All],CW$2,0)/CW$1,"")</f>
        <v>0</v>
      </c>
      <c r="CX43" s="67">
        <f>IFERROR(VLOOKUP($B43,RD[#All],CX$2,0)/CX$1,"")</f>
        <v>0</v>
      </c>
      <c r="CY43" s="67">
        <f>IFERROR(VLOOKUP($B43,RD[#All],CY$2,0)/CY$1,"")</f>
        <v>0</v>
      </c>
      <c r="CZ43" s="67">
        <f>IFERROR(VLOOKUP($B43,RD[#All],CZ$2,0)/CZ$1,"")</f>
        <v>0</v>
      </c>
      <c r="DA43" s="67">
        <f>IFERROR(VLOOKUP($B43,RD[#All],DA$2,0)/DA$1,"")</f>
        <v>0</v>
      </c>
      <c r="DB43" s="67">
        <f>IFERROR(VLOOKUP($B43,RD[#All],DB$2,0)/DB$1,"")</f>
        <v>0</v>
      </c>
      <c r="DC43" s="67">
        <f>IFERROR(VLOOKUP($B43,RD[#All],DC$2,0)/DC$1,"")</f>
        <v>0</v>
      </c>
      <c r="DD43" s="67">
        <f>IFERROR(VLOOKUP($B43,RD[#All],DD$2,0)/DD$1,"")</f>
        <v>0</v>
      </c>
      <c r="DE43" s="67">
        <f>IFERROR(VLOOKUP($B43,RD[#All],DE$2,0)/DE$1,"")</f>
        <v>0</v>
      </c>
      <c r="DF43" s="67">
        <f>IFERROR(VLOOKUP($B43,RD[#All],DF$2,0)/DF$1,"")</f>
        <v>0</v>
      </c>
      <c r="DG43" s="67">
        <f>IFERROR(VLOOKUP($B43,RD[#All],DG$2,0)/DG$1,"")</f>
        <v>0</v>
      </c>
      <c r="DH43" s="67">
        <f>IFERROR(VLOOKUP($B43,RD[#All],DH$2,0)/DH$1,"")</f>
        <v>0</v>
      </c>
      <c r="DI43" s="67">
        <f>IFERROR(VLOOKUP($B43,RD[#All],DI$2,0)/DI$1,"")</f>
        <v>0</v>
      </c>
      <c r="DJ43" s="67">
        <f>IFERROR(VLOOKUP($B43,RD[#All],DJ$2,0)/DJ$1,"")</f>
        <v>0</v>
      </c>
      <c r="DK43" s="67">
        <f>IFERROR(VLOOKUP($B43,RD[#All],DK$2,0)/DK$1,"")</f>
        <v>0</v>
      </c>
      <c r="DL43" s="67">
        <f>IFERROR(VLOOKUP($B43,RD[#All],DL$2,0)/DL$1,"")</f>
        <v>0</v>
      </c>
      <c r="DM43" s="67">
        <f>IFERROR(VLOOKUP($B43,RD[#All],DM$2,0)/DM$1,"")</f>
        <v>0</v>
      </c>
      <c r="DN43" s="67">
        <f>IFERROR(VLOOKUP($B43,RD[#All],DN$2,0)/DN$1,"")</f>
        <v>0</v>
      </c>
      <c r="DO43" s="67">
        <f>IFERROR(VLOOKUP($B43,RD[#All],DO$2,0)/DO$1,"")</f>
        <v>0</v>
      </c>
      <c r="DP43" s="67">
        <f>IFERROR(VLOOKUP($B43,RD[#All],DP$2,0)/DP$1,"")</f>
        <v>0</v>
      </c>
      <c r="DQ43" s="67">
        <f>IFERROR(VLOOKUP($B43,RD[#All],DQ$2,0)/DQ$1,"")</f>
        <v>0</v>
      </c>
      <c r="DR43" s="67">
        <f>IFERROR(VLOOKUP($B43,RD[#All],DR$2,0)/DR$1,"")</f>
        <v>0</v>
      </c>
      <c r="DS43" s="67">
        <f>IFERROR(VLOOKUP($B43,RD[#All],DS$2,0)/DS$1,"")</f>
        <v>0</v>
      </c>
      <c r="DT43" s="67">
        <f>IFERROR(VLOOKUP($B43,RD[#All],DT$2,0)/DT$1,"")</f>
        <v>0</v>
      </c>
      <c r="DU43" s="67">
        <f>IFERROR(VLOOKUP($B43,RD[#All],DU$2,0)/DU$1,"")</f>
        <v>0</v>
      </c>
      <c r="DV43" s="67">
        <f>IFERROR(VLOOKUP($B43,RD[#All],DV$2,0)/DV$1,"")</f>
        <v>0</v>
      </c>
      <c r="DW43" s="67">
        <f>IFERROR(VLOOKUP($B43,RD[#All],DW$2,0)/DW$1,"")</f>
        <v>0</v>
      </c>
      <c r="DX43" s="67">
        <f>IFERROR(VLOOKUP($B43,RD[#All],DX$2,0)/DX$1,"")</f>
        <v>0</v>
      </c>
      <c r="DY43" s="67">
        <f>IFERROR(VLOOKUP($B43,RD[#All],DY$2,0)/DY$1,"")</f>
        <v>0</v>
      </c>
      <c r="DZ43" s="67">
        <f>IFERROR(VLOOKUP($B43,RD[#All],DZ$2,0)/DZ$1,"")</f>
        <v>0</v>
      </c>
      <c r="EA43" s="67">
        <f>IFERROR(VLOOKUP($B43,RD[#All],EA$2,0)/EA$1,"")</f>
        <v>0</v>
      </c>
      <c r="EB43" s="67">
        <f>IFERROR(VLOOKUP($B43,RD[#All],EB$2,0)/EB$1,"")</f>
        <v>0</v>
      </c>
      <c r="EC43" s="67">
        <f>IFERROR(VLOOKUP($B43,RD[#All],EC$2,0)/EC$1,"")</f>
        <v>0</v>
      </c>
      <c r="ED43" s="67">
        <f>IFERROR(VLOOKUP($B43,RD[#All],ED$2,0)/ED$1,"")</f>
        <v>0</v>
      </c>
      <c r="EE43" s="67">
        <f>IFERROR(VLOOKUP($B43,RD[#All],EE$2,0)/EE$1,"")</f>
        <v>0</v>
      </c>
      <c r="EF43" s="67">
        <f>IFERROR(VLOOKUP($B43,RD[#All],EF$2,0)/EF$1,"")</f>
        <v>0</v>
      </c>
      <c r="EG43" s="67">
        <f>IFERROR(VLOOKUP($B43,RD[#All],EG$2,0)/EG$1,"")</f>
        <v>0</v>
      </c>
      <c r="EH43" s="67">
        <f>IFERROR(VLOOKUP($B43,RD[#All],EH$2,0)/EH$1,"")</f>
        <v>0</v>
      </c>
      <c r="EI43" s="67">
        <f>IFERROR(VLOOKUP($B43,RD[#All],EI$2,0)/EI$1,"")</f>
        <v>0</v>
      </c>
      <c r="EJ43" s="67">
        <f>IFERROR(VLOOKUP($B43,RD[#All],EJ$2,0)/EJ$1,"")</f>
        <v>0</v>
      </c>
      <c r="EK43" s="67">
        <f>IFERROR(VLOOKUP($B43,RD[#All],EK$2,0)/EK$1,"")</f>
        <v>0</v>
      </c>
      <c r="EL43" s="67">
        <f>IFERROR(VLOOKUP($B43,RD[#All],EL$2,0)/EL$1,"")</f>
        <v>0</v>
      </c>
      <c r="EM43" s="67">
        <f>IFERROR(VLOOKUP($B43,RD[#All],EM$2,0)/EM$1,"")</f>
        <v>0</v>
      </c>
      <c r="EN43" s="67">
        <f>IFERROR(VLOOKUP($B43,RD[#All],EN$2,0)/EN$1,"")</f>
        <v>0</v>
      </c>
      <c r="EO43" s="67">
        <f>IFERROR(VLOOKUP($B43,RD[#All],EO$2,0)/EO$1,"")</f>
        <v>0</v>
      </c>
      <c r="EP43" s="67">
        <f>IFERROR(VLOOKUP($B43,RD[#All],EP$2,0)/EP$1,"")</f>
        <v>0</v>
      </c>
      <c r="EQ43" s="67">
        <f>IFERROR(VLOOKUP($B43,RD[#All],EQ$2,0)/EQ$1,"")</f>
        <v>0</v>
      </c>
      <c r="ER43" s="67">
        <f>IFERROR(VLOOKUP($B43,RD[#All],ER$2,0)/ER$1,"")</f>
        <v>0</v>
      </c>
      <c r="ES43" s="67">
        <f>IFERROR(VLOOKUP($B43,RD[#All],ES$2,0)/ES$1,"")</f>
        <v>0</v>
      </c>
      <c r="ET43" s="67">
        <f>IFERROR(VLOOKUP($B43,RD[#All],ET$2,0)/ET$1,"")</f>
        <v>0</v>
      </c>
      <c r="EU43" s="67">
        <f>IFERROR(VLOOKUP($B43,RD[#All],EU$2,0)/EU$1,"")</f>
        <v>0</v>
      </c>
      <c r="EV43" s="67">
        <f>IFERROR(VLOOKUP($B43,RD[#All],EV$2,0)/EV$1,"")</f>
        <v>0</v>
      </c>
      <c r="EW43" s="67">
        <f>IFERROR(VLOOKUP($B43,RD[#All],EW$2,0)/EW$1,"")</f>
        <v>0</v>
      </c>
      <c r="EX43" s="67">
        <f>IFERROR(VLOOKUP($B43,RD[#All],EX$2,0)/EX$1,"")</f>
        <v>0</v>
      </c>
      <c r="EY43" s="67">
        <f>IFERROR(VLOOKUP($B43,RD[#All],EY$2,0)/EY$1,"")</f>
        <v>0</v>
      </c>
      <c r="EZ43" s="67">
        <f>IFERROR(VLOOKUP($B43,RD[#All],EZ$2,0)/EZ$1,"")</f>
        <v>0</v>
      </c>
      <c r="FA43" s="67">
        <f>IFERROR(VLOOKUP($B43,RD[#All],FA$2,0)/FA$1,"")</f>
        <v>0</v>
      </c>
      <c r="FB43" s="67">
        <f>IFERROR(VLOOKUP($B43,RD[#All],FB$2,0)/FB$1,"")</f>
        <v>0</v>
      </c>
      <c r="FC43" s="67">
        <f>IFERROR(VLOOKUP($B43,RD[#All],FC$2,0)/FC$1,"")</f>
        <v>0</v>
      </c>
      <c r="FD43" s="67">
        <f>IFERROR(VLOOKUP($B43,RD[#All],FD$2,0)/FD$1,"")</f>
        <v>0</v>
      </c>
      <c r="FE43" s="67">
        <f>IFERROR(VLOOKUP($B43,RD[#All],FE$2,0)/FE$1,"")</f>
        <v>0</v>
      </c>
      <c r="FF43" s="67">
        <f>IFERROR(VLOOKUP($B43,RD[#All],FF$2,0)/FF$1,"")</f>
        <v>0</v>
      </c>
      <c r="FG43" s="67">
        <f>IFERROR(VLOOKUP($B43,RD[#All],FG$2,0)/FG$1,"")</f>
        <v>0</v>
      </c>
      <c r="FH43" s="67">
        <f>IFERROR(VLOOKUP($B43,RD[#All],FH$2,0)/FH$1,"")</f>
        <v>0</v>
      </c>
      <c r="FI43" s="67">
        <f>IFERROR(VLOOKUP($B43,RD[#All],FI$2,0)/FI$1,"")</f>
        <v>0</v>
      </c>
      <c r="FJ43" s="67">
        <f>IFERROR(VLOOKUP($B43,RD[#All],FJ$2,0)/FJ$1,"")</f>
        <v>0</v>
      </c>
      <c r="FK43" s="67">
        <f>IFERROR(VLOOKUP($B43,RD[#All],FK$2,0)/FK$1,"")</f>
        <v>0</v>
      </c>
      <c r="FL43" s="67">
        <f>IFERROR(VLOOKUP($B43,RD[#All],FL$2,0)/FL$1,"")</f>
        <v>0</v>
      </c>
      <c r="FM43" s="67">
        <f>IFERROR(VLOOKUP($B43,RD[#All],FM$2,0)/FM$1,"")</f>
        <v>0</v>
      </c>
      <c r="FN43" s="67">
        <f>IFERROR(VLOOKUP($B43,RD[#All],FN$2,0)/FN$1,"")</f>
        <v>0</v>
      </c>
      <c r="FO43" s="67">
        <f>IFERROR(VLOOKUP($B43,RD[#All],FO$2,0)/FO$1,"")</f>
        <v>0</v>
      </c>
      <c r="FP43" s="67">
        <f>IFERROR(VLOOKUP($B43,RD[#All],FP$2,0)/FP$1,"")</f>
        <v>0</v>
      </c>
      <c r="FQ43" s="67">
        <f>IFERROR(VLOOKUP($B43,RD[#All],FQ$2,0)/FQ$1,"")</f>
        <v>0</v>
      </c>
      <c r="FR43" s="67">
        <f>IFERROR(VLOOKUP($B43,RD[#All],FR$2,0)/FR$1,"")</f>
        <v>0</v>
      </c>
      <c r="FS43" s="67">
        <f>IFERROR(VLOOKUP($B43,RD[#All],FS$2,0)/FS$1,"")</f>
        <v>0</v>
      </c>
      <c r="FT43" s="67">
        <f>IFERROR(VLOOKUP($B43,RD[#All],FT$2,0)/FT$1,"")</f>
        <v>0</v>
      </c>
      <c r="FU43" s="67">
        <f>IFERROR(VLOOKUP($B43,RD[#All],FU$2,0)/FU$1,"")</f>
        <v>0</v>
      </c>
      <c r="FV43" s="67">
        <f>IFERROR(VLOOKUP($B43,RD[#All],FV$2,0)/FV$1,"")</f>
        <v>0</v>
      </c>
      <c r="FW43" s="67">
        <f>IFERROR(VLOOKUP($B43,RD[#All],FW$2,0)/FW$1,"")</f>
        <v>0</v>
      </c>
      <c r="FX43" s="67">
        <f>IFERROR(VLOOKUP($B43,RD[#All],FX$2,0)/FX$1,"")</f>
        <v>0</v>
      </c>
      <c r="FY43" s="67">
        <f>IFERROR(VLOOKUP($B43,RD[#All],FY$2,0)/FY$1,"")</f>
        <v>0</v>
      </c>
      <c r="FZ43" s="67">
        <f>IFERROR(VLOOKUP($B43,RD[#All],FZ$2,0)/FZ$1,"")</f>
        <v>0</v>
      </c>
      <c r="GA43" s="67">
        <f>IFERROR(VLOOKUP($B43,RD[#All],GA$2,0)/GA$1,"")</f>
        <v>0</v>
      </c>
      <c r="GB43" s="67">
        <f>IFERROR(VLOOKUP($B43,RD[#All],GB$2,0)/GB$1,"")</f>
        <v>0</v>
      </c>
      <c r="GC43" s="67">
        <f>IFERROR(VLOOKUP($B43,RD[#All],GC$2,0)/GC$1,"")</f>
        <v>0</v>
      </c>
      <c r="GD43" s="67">
        <f>IFERROR(VLOOKUP($B43,RD[#All],GD$2,0)/GD$1,"")</f>
        <v>0</v>
      </c>
      <c r="GE43" s="67">
        <f>IFERROR(VLOOKUP($B43,RD[#All],GE$2,0)/GE$1,"")</f>
        <v>0</v>
      </c>
      <c r="GF43" s="67">
        <f>IFERROR(VLOOKUP($B43,RD[#All],GF$2,0)/GF$1,"")</f>
        <v>0</v>
      </c>
      <c r="GG43" s="67">
        <f>IFERROR(VLOOKUP($B43,RD[#All],GG$2,0)/GG$1,"")</f>
        <v>0</v>
      </c>
      <c r="GH43" s="67">
        <f>IFERROR(VLOOKUP($B43,RD[#All],GH$2,0)/GH$1,"")</f>
        <v>0</v>
      </c>
      <c r="GI43" s="67">
        <f>IFERROR(VLOOKUP($B43,RD[#All],GI$2,0)/GI$1,"")</f>
        <v>0</v>
      </c>
      <c r="GJ43" s="67">
        <f>IFERROR(VLOOKUP($B43,RD[#All],GJ$2,0)/GJ$1,"")</f>
        <v>0</v>
      </c>
      <c r="GK43" s="67">
        <f>IFERROR(VLOOKUP($B43,RD[#All],GK$2,0)/GK$1,"")</f>
        <v>0</v>
      </c>
      <c r="GL43" s="67">
        <f>IFERROR(VLOOKUP($B43,RD[#All],GL$2,0)/GL$1,"")</f>
        <v>0</v>
      </c>
      <c r="GM43" s="67">
        <f>IFERROR(VLOOKUP($B43,RD[#All],GM$2,0)/GM$1,"")</f>
        <v>0</v>
      </c>
      <c r="GN43" s="67">
        <f>IFERROR(VLOOKUP($B43,RD[#All],GN$2,0)/GN$1,"")</f>
        <v>0</v>
      </c>
      <c r="GO43" s="67">
        <f>IFERROR(VLOOKUP($B43,RD[#All],GO$2,0)/GO$1,"")</f>
        <v>0</v>
      </c>
      <c r="GP43" s="67">
        <f>IFERROR(VLOOKUP($B43,RD[#All],GP$2,0)/GP$1,"")</f>
        <v>0</v>
      </c>
      <c r="GQ43" s="67">
        <f>IFERROR(VLOOKUP($B43,RD[#All],GQ$2,0)/GQ$1,"")</f>
        <v>0</v>
      </c>
      <c r="GR43" s="67">
        <f>IFERROR(VLOOKUP($B43,RD[#All],GR$2,0)/GR$1,"")</f>
        <v>0</v>
      </c>
      <c r="GS43" s="67" t="str">
        <f>IFERROR(VLOOKUP($B43,RD[#All],GS$2,0)/GS$1,"")</f>
        <v/>
      </c>
      <c r="GT43" s="67" t="str">
        <f>IFERROR(VLOOKUP($B43,RD[#All],GT$2,0)/GT$1,"")</f>
        <v/>
      </c>
      <c r="GU43" s="67">
        <f>IFERROR(VLOOKUP($B43,RD[#All],GU$2,0)/GU$1,"")</f>
        <v>0</v>
      </c>
      <c r="GV43" s="67">
        <f>IFERROR(VLOOKUP($B43,RD[#All],GV$2,0)/GV$1,"")</f>
        <v>0</v>
      </c>
      <c r="GW43" s="67">
        <f>IFERROR(VLOOKUP($B43,RD[#All],GW$2,0)/GW$1,"")</f>
        <v>0</v>
      </c>
      <c r="GX43" s="67" t="str">
        <f>IFERROR(VLOOKUP($B43,RD[#All],GX$2,0)/GX$1,"")</f>
        <v/>
      </c>
      <c r="GY43" s="67">
        <f>IFERROR(VLOOKUP($B43,RD[#All],GY$2,0)/GY$1,"")</f>
        <v>0</v>
      </c>
      <c r="GZ43" s="67">
        <f>IFERROR(VLOOKUP($B43,RD[#All],GZ$2,0)/GZ$1,"")</f>
        <v>0</v>
      </c>
      <c r="HA43" s="67">
        <f>IFERROR(VLOOKUP($B43,RD[#All],HA$2,0)/HA$1,"")</f>
        <v>0</v>
      </c>
      <c r="HB43" s="67">
        <f>IFERROR(VLOOKUP($B43,RD[#All],HB$2,0)/HB$1,"")</f>
        <v>0</v>
      </c>
      <c r="HC43" s="67">
        <f>IFERROR(VLOOKUP($B43,RD[#All],HC$2,0)/HC$1,"")</f>
        <v>0</v>
      </c>
      <c r="HD43" s="67">
        <f>IFERROR(VLOOKUP($B43,RD[#All],HD$2,0)/HD$1,"")</f>
        <v>0</v>
      </c>
      <c r="HE43" s="67">
        <f>IFERROR(VLOOKUP($B43,RD[#All],HE$2,0)/HE$1,"")</f>
        <v>0</v>
      </c>
      <c r="HF43" s="67">
        <f>IFERROR(VLOOKUP($B43,RD[#All],HF$2,0)/HF$1,"")</f>
        <v>0</v>
      </c>
      <c r="HG43" s="67">
        <f>IFERROR(VLOOKUP($B43,RD[#All],HG$2,0)/HG$1,"")</f>
        <v>0</v>
      </c>
      <c r="HH43" s="67">
        <f>IFERROR(VLOOKUP($B43,RD[#All],HH$2,0)/HH$1,"")</f>
        <v>0</v>
      </c>
      <c r="HI43" s="67">
        <f>IFERROR(VLOOKUP($B43,RD[#All],HI$2,0)/HI$1,"")</f>
        <v>0</v>
      </c>
      <c r="HJ43" s="67">
        <f>IFERROR(VLOOKUP($B43,RD[#All],HJ$2,0)/HJ$1,"")</f>
        <v>0</v>
      </c>
      <c r="HK43" s="67">
        <f>IFERROR(VLOOKUP($B43,RD[#All],HK$2,0)/HK$1,"")</f>
        <v>0</v>
      </c>
      <c r="HL43" s="67">
        <f>IFERROR(VLOOKUP($B43,RD[#All],HL$2,0)/HL$1,"")</f>
        <v>0</v>
      </c>
      <c r="HM43" s="67">
        <f>IFERROR(VLOOKUP($B43,RD[#All],HM$2,0)/HM$1,"")</f>
        <v>0</v>
      </c>
      <c r="HN43" s="67">
        <f>IFERROR(VLOOKUP($B43,RD[#All],HN$2,0)/HN$1,"")</f>
        <v>0</v>
      </c>
      <c r="HO43" s="67">
        <f>IFERROR(VLOOKUP($B43,RD[#All],HO$2,0)/HO$1,"")</f>
        <v>0</v>
      </c>
      <c r="HP43" s="67">
        <f>IFERROR(VLOOKUP($B43,RD[#All],HP$2,0)/HP$1,"")</f>
        <v>0</v>
      </c>
      <c r="HQ43" s="67">
        <f>IFERROR(VLOOKUP($B43,RD[#All],HQ$2,0)/HQ$1,"")</f>
        <v>0</v>
      </c>
      <c r="HR43" s="67">
        <f>IFERROR(VLOOKUP($B43,RD[#All],HR$2,0)/HR$1,"")</f>
        <v>0</v>
      </c>
      <c r="HS43" s="67">
        <f>IFERROR(VLOOKUP($B43,RD[#All],HS$2,0)/HS$1,"")</f>
        <v>0</v>
      </c>
      <c r="HT43" s="67">
        <f>IFERROR(VLOOKUP($B43,RD[#All],HT$2,0)/HT$1,"")</f>
        <v>0</v>
      </c>
      <c r="HU43" s="67">
        <f>IFERROR(VLOOKUP($B43,RD[#All],HU$2,0)/HU$1,"")</f>
        <v>0</v>
      </c>
      <c r="HV43" s="67">
        <f>IFERROR(VLOOKUP($B43,RD[#All],HV$2,0)/HV$1,"")</f>
        <v>0</v>
      </c>
      <c r="HW43" s="67">
        <f>IFERROR(VLOOKUP($B43,RD[#All],HW$2,0)/HW$1,"")</f>
        <v>0</v>
      </c>
      <c r="HX43" s="67">
        <f>IFERROR(VLOOKUP($B43,RD[#All],HX$2,0)/HX$1,"")</f>
        <v>0</v>
      </c>
      <c r="HY43" s="67">
        <f>IFERROR(VLOOKUP($B43,RD[#All],HY$2,0)/HY$1,"")</f>
        <v>0</v>
      </c>
      <c r="HZ43" s="67">
        <f>IFERROR(VLOOKUP($B43,RD[#All],HZ$2,0)/HZ$1,"")</f>
        <v>0</v>
      </c>
      <c r="IA43" s="67">
        <f>IFERROR(VLOOKUP($B43,RD[#All],IA$2,0)/IA$1,"")</f>
        <v>0</v>
      </c>
      <c r="IB43" s="67">
        <f>IFERROR(VLOOKUP($B43,RD[#All],IB$2,0)/IB$1,"")</f>
        <v>0</v>
      </c>
      <c r="IC43" s="67">
        <f>IFERROR(VLOOKUP($B43,RD[#All],IC$2,0)/IC$1,"")</f>
        <v>0</v>
      </c>
      <c r="ID43" s="67">
        <f>IFERROR(VLOOKUP($B43,RD[#All],ID$2,0)/ID$1,"")</f>
        <v>0</v>
      </c>
      <c r="IE43" s="67">
        <f>IFERROR(VLOOKUP($B43,RD[#All],IE$2,0)/IE$1,"")</f>
        <v>0</v>
      </c>
      <c r="IF43" s="67" t="str">
        <f>IFERROR(VLOOKUP($B43,RD[#All],IF$2,0)/IF$1,"")</f>
        <v/>
      </c>
      <c r="IG43" s="67">
        <f>IFERROR(VLOOKUP($B43,RD[#All],IG$2,0)/IG$1,"")</f>
        <v>0</v>
      </c>
      <c r="IH43" s="67">
        <f>IFERROR(VLOOKUP($B43,RD[#All],IH$2,0)/IH$1,"")</f>
        <v>0</v>
      </c>
      <c r="II43" s="67">
        <f>IFERROR(VLOOKUP($B43,RD[#All],II$2,0)/II$1,"")</f>
        <v>0</v>
      </c>
      <c r="IJ43" s="67">
        <f>IFERROR(VLOOKUP($B43,RD[#All],IJ$2,0)/IJ$1,"")</f>
        <v>0</v>
      </c>
      <c r="IK43" s="67">
        <f>IFERROR(VLOOKUP($B43,RD[#All],IK$2,0)/IK$1,"")</f>
        <v>0</v>
      </c>
      <c r="IL43" s="67" t="str">
        <f>IFERROR(VLOOKUP($B43,RD[#All],IL$2,0)/IL$1,"")</f>
        <v/>
      </c>
      <c r="IM43" s="67" t="str">
        <f>IFERROR(VLOOKUP($B43,RD[#All],IM$2,0)/IM$1,"")</f>
        <v/>
      </c>
      <c r="IN43" s="67">
        <f>IFERROR(VLOOKUP($B43,RD[#All],IN$2,0)/IN$1,"")</f>
        <v>0</v>
      </c>
      <c r="IO43" s="67">
        <f>IFERROR(VLOOKUP($B43,RD[#All],IO$2,0)/IO$1,"")</f>
        <v>0</v>
      </c>
      <c r="IP43" s="67">
        <f>IFERROR(VLOOKUP($B43,RD[#All],IP$2,0)/IP$1,"")</f>
        <v>0</v>
      </c>
      <c r="IQ43" s="67">
        <f>IFERROR(VLOOKUP($B43,RD[#All],IQ$2,0)/IQ$1,"")</f>
        <v>0</v>
      </c>
      <c r="IR43" s="67">
        <f>IFERROR(VLOOKUP($B43,RD[#All],IR$2,0)/IR$1,"")</f>
        <v>0</v>
      </c>
      <c r="IS43" s="86" t="str">
        <f>IFERROR(AVERAGEIF(Inv_SY_B[[#This Row],[BLK1_INV1]:[BLK8_INV27]],"&gt;"&amp;0.1,Inv_SY_B[[#This Row],[BLK1_INV1]:[BLK8_INV27]]),"")</f>
        <v/>
      </c>
    </row>
    <row r="44" spans="2:253" x14ac:dyDescent="0.25">
      <c r="B44" s="87">
        <f t="shared" si="1"/>
        <v>45870</v>
      </c>
      <c r="C44" s="67">
        <f>IFERROR(VLOOKUP($B44,RD[#All],C$2,0)/C$1,"")</f>
        <v>0</v>
      </c>
      <c r="D44" s="67">
        <f>IFERROR(VLOOKUP($B44,RD[#All],D$2,0)/D$1,"")</f>
        <v>0</v>
      </c>
      <c r="E44" s="67">
        <f>IFERROR(VLOOKUP($B44,RD[#All],E$2,0)/E$1,"")</f>
        <v>0</v>
      </c>
      <c r="F44" s="67">
        <f>IFERROR(VLOOKUP($B44,RD[#All],F$2,0)/F$1,"")</f>
        <v>0</v>
      </c>
      <c r="G44" s="67">
        <f>IFERROR(VLOOKUP($B44,RD[#All],G$2,0)/G$1,"")</f>
        <v>0</v>
      </c>
      <c r="H44" s="67">
        <f>IFERROR(VLOOKUP($B44,RD[#All],H$2,0)/H$1,"")</f>
        <v>0</v>
      </c>
      <c r="I44" s="67">
        <f>IFERROR(VLOOKUP($B44,RD[#All],I$2,0)/I$1,"")</f>
        <v>0</v>
      </c>
      <c r="J44" s="67">
        <f>IFERROR(VLOOKUP($B44,RD[#All],J$2,0)/J$1,"")</f>
        <v>0</v>
      </c>
      <c r="K44" s="67">
        <f>IFERROR(VLOOKUP($B44,RD[#All],K$2,0)/K$1,"")</f>
        <v>0</v>
      </c>
      <c r="L44" s="67">
        <f>IFERROR(VLOOKUP($B44,RD[#All],L$2,0)/L$1,"")</f>
        <v>0</v>
      </c>
      <c r="M44" s="67">
        <f>IFERROR(VLOOKUP($B44,RD[#All],M$2,0)/M$1,"")</f>
        <v>0</v>
      </c>
      <c r="N44" s="67">
        <f>IFERROR(VLOOKUP($B44,RD[#All],N$2,0)/N$1,"")</f>
        <v>0</v>
      </c>
      <c r="O44" s="67">
        <f>IFERROR(VLOOKUP($B44,RD[#All],O$2,0)/O$1,"")</f>
        <v>0</v>
      </c>
      <c r="P44" s="67">
        <f>IFERROR(VLOOKUP($B44,RD[#All],P$2,0)/P$1,"")</f>
        <v>0</v>
      </c>
      <c r="Q44" s="67">
        <f>IFERROR(VLOOKUP($B44,RD[#All],Q$2,0)/Q$1,"")</f>
        <v>0</v>
      </c>
      <c r="R44" s="67">
        <f>IFERROR(VLOOKUP($B44,RD[#All],R$2,0)/R$1,"")</f>
        <v>0</v>
      </c>
      <c r="S44" s="67">
        <f>IFERROR(VLOOKUP($B44,RD[#All],S$2,0)/S$1,"")</f>
        <v>0</v>
      </c>
      <c r="T44" s="67">
        <f>IFERROR(VLOOKUP($B44,RD[#All],T$2,0)/T$1,"")</f>
        <v>0</v>
      </c>
      <c r="U44" s="67">
        <f>IFERROR(VLOOKUP($B44,RD[#All],U$2,0)/U$1,"")</f>
        <v>0</v>
      </c>
      <c r="V44" s="67">
        <f>IFERROR(VLOOKUP($B44,RD[#All],V$2,0)/V$1,"")</f>
        <v>0</v>
      </c>
      <c r="W44" s="67">
        <f>IFERROR(VLOOKUP($B44,RD[#All],W$2,0)/W$1,"")</f>
        <v>0</v>
      </c>
      <c r="X44" s="67">
        <f>IFERROR(VLOOKUP($B44,RD[#All],X$2,0)/X$1,"")</f>
        <v>0</v>
      </c>
      <c r="Y44" s="67">
        <f>IFERROR(VLOOKUP($B44,RD[#All],Y$2,0)/Y$1,"")</f>
        <v>0</v>
      </c>
      <c r="Z44" s="67">
        <f>IFERROR(VLOOKUP($B44,RD[#All],Z$2,0)/Z$1,"")</f>
        <v>0</v>
      </c>
      <c r="AA44" s="67">
        <f>IFERROR(VLOOKUP($B44,RD[#All],AA$2,0)/AA$1,"")</f>
        <v>0</v>
      </c>
      <c r="AB44" s="67">
        <f>IFERROR(VLOOKUP($B44,RD[#All],AB$2,0)/AB$1,"")</f>
        <v>0</v>
      </c>
      <c r="AC44" s="67">
        <f>IFERROR(VLOOKUP($B44,RD[#All],AC$2,0)/AC$1,"")</f>
        <v>0</v>
      </c>
      <c r="AD44" s="67">
        <f>IFERROR(VLOOKUP($B44,RD[#All],AD$2,0)/AD$1,"")</f>
        <v>0</v>
      </c>
      <c r="AE44" s="67">
        <f>IFERROR(VLOOKUP($B44,RD[#All],AE$2,0)/AE$1,"")</f>
        <v>0</v>
      </c>
      <c r="AF44" s="67">
        <f>IFERROR(VLOOKUP($B44,RD[#All],AF$2,0)/AF$1,"")</f>
        <v>0</v>
      </c>
      <c r="AG44" s="67">
        <f>IFERROR(VLOOKUP($B44,RD[#All],AG$2,0)/AG$1,"")</f>
        <v>0</v>
      </c>
      <c r="AH44" s="67">
        <f>IFERROR(VLOOKUP($B44,RD[#All],AH$2,0)/AH$1,"")</f>
        <v>0</v>
      </c>
      <c r="AI44" s="67">
        <f>IFERROR(VLOOKUP($B44,RD[#All],AI$2,0)/AI$1,"")</f>
        <v>0</v>
      </c>
      <c r="AJ44" s="67">
        <f>IFERROR(VLOOKUP($B44,RD[#All],AJ$2,0)/AJ$1,"")</f>
        <v>0</v>
      </c>
      <c r="AK44" s="67">
        <f>IFERROR(VLOOKUP($B44,RD[#All],AK$2,0)/AK$1,"")</f>
        <v>0</v>
      </c>
      <c r="AL44" s="67">
        <f>IFERROR(VLOOKUP($B44,RD[#All],AL$2,0)/AL$1,"")</f>
        <v>0</v>
      </c>
      <c r="AM44" s="67">
        <f>IFERROR(VLOOKUP($B44,RD[#All],AM$2,0)/AM$1,"")</f>
        <v>0</v>
      </c>
      <c r="AN44" s="67">
        <f>IFERROR(VLOOKUP($B44,RD[#All],AN$2,0)/AN$1,"")</f>
        <v>0</v>
      </c>
      <c r="AO44" s="67">
        <f>IFERROR(VLOOKUP($B44,RD[#All],AO$2,0)/AO$1,"")</f>
        <v>0</v>
      </c>
      <c r="AP44" s="67">
        <f>IFERROR(VLOOKUP($B44,RD[#All],AP$2,0)/AP$1,"")</f>
        <v>0</v>
      </c>
      <c r="AQ44" s="67">
        <f>IFERROR(VLOOKUP($B44,RD[#All],AQ$2,0)/AQ$1,"")</f>
        <v>0</v>
      </c>
      <c r="AR44" s="67">
        <f>IFERROR(VLOOKUP($B44,RD[#All],AR$2,0)/AR$1,"")</f>
        <v>0</v>
      </c>
      <c r="AS44" s="67">
        <f>IFERROR(VLOOKUP($B44,RD[#All],AS$2,0)/AS$1,"")</f>
        <v>0</v>
      </c>
      <c r="AT44" s="67">
        <f>IFERROR(VLOOKUP($B44,RD[#All],AT$2,0)/AT$1,"")</f>
        <v>0</v>
      </c>
      <c r="AU44" s="67">
        <f>IFERROR(VLOOKUP($B44,RD[#All],AU$2,0)/AU$1,"")</f>
        <v>0</v>
      </c>
      <c r="AV44" s="67">
        <f>IFERROR(VLOOKUP($B44,RD[#All],AV$2,0)/AV$1,"")</f>
        <v>0</v>
      </c>
      <c r="AW44" s="67">
        <f>IFERROR(VLOOKUP($B44,RD[#All],AW$2,0)/AW$1,"")</f>
        <v>0</v>
      </c>
      <c r="AX44" s="67">
        <f>IFERROR(VLOOKUP($B44,RD[#All],AX$2,0)/AX$1,"")</f>
        <v>0</v>
      </c>
      <c r="AY44" s="67">
        <f>IFERROR(VLOOKUP($B44,RD[#All],AY$2,0)/AY$1,"")</f>
        <v>0</v>
      </c>
      <c r="AZ44" s="67">
        <f>IFERROR(VLOOKUP($B44,RD[#All],AZ$2,0)/AZ$1,"")</f>
        <v>0</v>
      </c>
      <c r="BA44" s="67">
        <f>IFERROR(VLOOKUP($B44,RD[#All],BA$2,0)/BA$1,"")</f>
        <v>0</v>
      </c>
      <c r="BB44" s="67">
        <f>IFERROR(VLOOKUP($B44,RD[#All],BB$2,0)/BB$1,"")</f>
        <v>0</v>
      </c>
      <c r="BC44" s="67">
        <f>IFERROR(VLOOKUP($B44,RD[#All],BC$2,0)/BC$1,"")</f>
        <v>0</v>
      </c>
      <c r="BD44" s="67">
        <f>IFERROR(VLOOKUP($B44,RD[#All],BD$2,0)/BD$1,"")</f>
        <v>0</v>
      </c>
      <c r="BE44" s="67">
        <f>IFERROR(VLOOKUP($B44,RD[#All],BE$2,0)/BE$1,"")</f>
        <v>0</v>
      </c>
      <c r="BF44" s="67">
        <f>IFERROR(VLOOKUP($B44,RD[#All],BF$2,0)/BF$1,"")</f>
        <v>0</v>
      </c>
      <c r="BG44" s="67">
        <f>IFERROR(VLOOKUP($B44,RD[#All],BG$2,0)/BG$1,"")</f>
        <v>0</v>
      </c>
      <c r="BH44" s="67">
        <f>IFERROR(VLOOKUP($B44,RD[#All],BH$2,0)/BH$1,"")</f>
        <v>0</v>
      </c>
      <c r="BI44" s="67">
        <f>IFERROR(VLOOKUP($B44,RD[#All],BI$2,0)/BI$1,"")</f>
        <v>0</v>
      </c>
      <c r="BJ44" s="67">
        <f>IFERROR(VLOOKUP($B44,RD[#All],BJ$2,0)/BJ$1,"")</f>
        <v>0</v>
      </c>
      <c r="BK44" s="67">
        <f>IFERROR(VLOOKUP($B44,RD[#All],BK$2,0)/BK$1,"")</f>
        <v>0</v>
      </c>
      <c r="BL44" s="67">
        <f>IFERROR(VLOOKUP($B44,RD[#All],BL$2,0)/BL$1,"")</f>
        <v>0</v>
      </c>
      <c r="BM44" s="67">
        <f>IFERROR(VLOOKUP($B44,RD[#All],BM$2,0)/BM$1,"")</f>
        <v>0</v>
      </c>
      <c r="BN44" s="67">
        <f>IFERROR(VLOOKUP($B44,RD[#All],BN$2,0)/BN$1,"")</f>
        <v>0</v>
      </c>
      <c r="BO44" s="67">
        <f>IFERROR(VLOOKUP($B44,RD[#All],BO$2,0)/BO$1,"")</f>
        <v>0</v>
      </c>
      <c r="BP44" s="67">
        <f>IFERROR(VLOOKUP($B44,RD[#All],BP$2,0)/BP$1,"")</f>
        <v>0</v>
      </c>
      <c r="BQ44" s="67">
        <f>IFERROR(VLOOKUP($B44,RD[#All],BQ$2,0)/BQ$1,"")</f>
        <v>0</v>
      </c>
      <c r="BR44" s="67">
        <f>IFERROR(VLOOKUP($B44,RD[#All],BR$2,0)/BR$1,"")</f>
        <v>0</v>
      </c>
      <c r="BS44" s="67">
        <f>IFERROR(VLOOKUP($B44,RD[#All],BS$2,0)/BS$1,"")</f>
        <v>0</v>
      </c>
      <c r="BT44" s="67">
        <f>IFERROR(VLOOKUP($B44,RD[#All],BT$2,0)/BT$1,"")</f>
        <v>0</v>
      </c>
      <c r="BU44" s="67">
        <f>IFERROR(VLOOKUP($B44,RD[#All],BU$2,0)/BU$1,"")</f>
        <v>0</v>
      </c>
      <c r="BV44" s="67">
        <f>IFERROR(VLOOKUP($B44,RD[#All],BV$2,0)/BV$1,"")</f>
        <v>0</v>
      </c>
      <c r="BW44" s="67">
        <f>IFERROR(VLOOKUP($B44,RD[#All],BW$2,0)/BW$1,"")</f>
        <v>0</v>
      </c>
      <c r="BX44" s="67">
        <f>IFERROR(VLOOKUP($B44,RD[#All],BX$2,0)/BX$1,"")</f>
        <v>0</v>
      </c>
      <c r="BY44" s="67">
        <f>IFERROR(VLOOKUP($B44,RD[#All],BY$2,0)/BY$1,"")</f>
        <v>0</v>
      </c>
      <c r="BZ44" s="67">
        <f>IFERROR(VLOOKUP($B44,RD[#All],BZ$2,0)/BZ$1,"")</f>
        <v>0</v>
      </c>
      <c r="CA44" s="67">
        <f>IFERROR(VLOOKUP($B44,RD[#All],CA$2,0)/CA$1,"")</f>
        <v>0</v>
      </c>
      <c r="CB44" s="67">
        <f>IFERROR(VLOOKUP($B44,RD[#All],CB$2,0)/CB$1,"")</f>
        <v>0</v>
      </c>
      <c r="CC44" s="67">
        <f>IFERROR(VLOOKUP($B44,RD[#All],CC$2,0)/CC$1,"")</f>
        <v>0</v>
      </c>
      <c r="CD44" s="67">
        <f>IFERROR(VLOOKUP($B44,RD[#All],CD$2,0)/CD$1,"")</f>
        <v>0</v>
      </c>
      <c r="CE44" s="67">
        <f>IFERROR(VLOOKUP($B44,RD[#All],CE$2,0)/CE$1,"")</f>
        <v>0</v>
      </c>
      <c r="CF44" s="67">
        <f>IFERROR(VLOOKUP($B44,RD[#All],CF$2,0)/CF$1,"")</f>
        <v>0</v>
      </c>
      <c r="CG44" s="67">
        <f>IFERROR(VLOOKUP($B44,RD[#All],CG$2,0)/CG$1,"")</f>
        <v>0</v>
      </c>
      <c r="CH44" s="67">
        <f>IFERROR(VLOOKUP($B44,RD[#All],CH$2,0)/CH$1,"")</f>
        <v>0</v>
      </c>
      <c r="CI44" s="67">
        <f>IFERROR(VLOOKUP($B44,RD[#All],CI$2,0)/CI$1,"")</f>
        <v>0</v>
      </c>
      <c r="CJ44" s="67">
        <f>IFERROR(VLOOKUP($B44,RD[#All],CJ$2,0)/CJ$1,"")</f>
        <v>0</v>
      </c>
      <c r="CK44" s="67">
        <f>IFERROR(VLOOKUP($B44,RD[#All],CK$2,0)/CK$1,"")</f>
        <v>0</v>
      </c>
      <c r="CL44" s="67">
        <f>IFERROR(VLOOKUP($B44,RD[#All],CL$2,0)/CL$1,"")</f>
        <v>0</v>
      </c>
      <c r="CM44" s="67">
        <f>IFERROR(VLOOKUP($B44,RD[#All],CM$2,0)/CM$1,"")</f>
        <v>0</v>
      </c>
      <c r="CN44" s="67">
        <f>IFERROR(VLOOKUP($B44,RD[#All],CN$2,0)/CN$1,"")</f>
        <v>0</v>
      </c>
      <c r="CO44" s="67">
        <f>IFERROR(VLOOKUP($B44,RD[#All],CO$2,0)/CO$1,"")</f>
        <v>0</v>
      </c>
      <c r="CP44" s="67">
        <f>IFERROR(VLOOKUP($B44,RD[#All],CP$2,0)/CP$1,"")</f>
        <v>0</v>
      </c>
      <c r="CQ44" s="67">
        <f>IFERROR(VLOOKUP($B44,RD[#All],CQ$2,0)/CQ$1,"")</f>
        <v>0</v>
      </c>
      <c r="CR44" s="67">
        <f>IFERROR(VLOOKUP($B44,RD[#All],CR$2,0)/CR$1,"")</f>
        <v>0</v>
      </c>
      <c r="CS44" s="67">
        <f>IFERROR(VLOOKUP($B44,RD[#All],CS$2,0)/CS$1,"")</f>
        <v>0</v>
      </c>
      <c r="CT44" s="67">
        <f>IFERROR(VLOOKUP($B44,RD[#All],CT$2,0)/CT$1,"")</f>
        <v>0</v>
      </c>
      <c r="CU44" s="67">
        <f>IFERROR(VLOOKUP($B44,RD[#All],CU$2,0)/CU$1,"")</f>
        <v>0</v>
      </c>
      <c r="CV44" s="67">
        <f>IFERROR(VLOOKUP($B44,RD[#All],CV$2,0)/CV$1,"")</f>
        <v>0</v>
      </c>
      <c r="CW44" s="67">
        <f>IFERROR(VLOOKUP($B44,RD[#All],CW$2,0)/CW$1,"")</f>
        <v>0</v>
      </c>
      <c r="CX44" s="67">
        <f>IFERROR(VLOOKUP($B44,RD[#All],CX$2,0)/CX$1,"")</f>
        <v>0</v>
      </c>
      <c r="CY44" s="67">
        <f>IFERROR(VLOOKUP($B44,RD[#All],CY$2,0)/CY$1,"")</f>
        <v>0</v>
      </c>
      <c r="CZ44" s="67">
        <f>IFERROR(VLOOKUP($B44,RD[#All],CZ$2,0)/CZ$1,"")</f>
        <v>0</v>
      </c>
      <c r="DA44" s="67">
        <f>IFERROR(VLOOKUP($B44,RD[#All],DA$2,0)/DA$1,"")</f>
        <v>0</v>
      </c>
      <c r="DB44" s="67">
        <f>IFERROR(VLOOKUP($B44,RD[#All],DB$2,0)/DB$1,"")</f>
        <v>0</v>
      </c>
      <c r="DC44" s="67">
        <f>IFERROR(VLOOKUP($B44,RD[#All],DC$2,0)/DC$1,"")</f>
        <v>0</v>
      </c>
      <c r="DD44" s="67">
        <f>IFERROR(VLOOKUP($B44,RD[#All],DD$2,0)/DD$1,"")</f>
        <v>0</v>
      </c>
      <c r="DE44" s="67">
        <f>IFERROR(VLOOKUP($B44,RD[#All],DE$2,0)/DE$1,"")</f>
        <v>0</v>
      </c>
      <c r="DF44" s="67">
        <f>IFERROR(VLOOKUP($B44,RD[#All],DF$2,0)/DF$1,"")</f>
        <v>0</v>
      </c>
      <c r="DG44" s="67">
        <f>IFERROR(VLOOKUP($B44,RD[#All],DG$2,0)/DG$1,"")</f>
        <v>0</v>
      </c>
      <c r="DH44" s="67">
        <f>IFERROR(VLOOKUP($B44,RD[#All],DH$2,0)/DH$1,"")</f>
        <v>0</v>
      </c>
      <c r="DI44" s="67">
        <f>IFERROR(VLOOKUP($B44,RD[#All],DI$2,0)/DI$1,"")</f>
        <v>0</v>
      </c>
      <c r="DJ44" s="67">
        <f>IFERROR(VLOOKUP($B44,RD[#All],DJ$2,0)/DJ$1,"")</f>
        <v>0</v>
      </c>
      <c r="DK44" s="67">
        <f>IFERROR(VLOOKUP($B44,RD[#All],DK$2,0)/DK$1,"")</f>
        <v>0</v>
      </c>
      <c r="DL44" s="67">
        <f>IFERROR(VLOOKUP($B44,RD[#All],DL$2,0)/DL$1,"")</f>
        <v>0</v>
      </c>
      <c r="DM44" s="67">
        <f>IFERROR(VLOOKUP($B44,RD[#All],DM$2,0)/DM$1,"")</f>
        <v>0</v>
      </c>
      <c r="DN44" s="67">
        <f>IFERROR(VLOOKUP($B44,RD[#All],DN$2,0)/DN$1,"")</f>
        <v>0</v>
      </c>
      <c r="DO44" s="67">
        <f>IFERROR(VLOOKUP($B44,RD[#All],DO$2,0)/DO$1,"")</f>
        <v>0</v>
      </c>
      <c r="DP44" s="67">
        <f>IFERROR(VLOOKUP($B44,RD[#All],DP$2,0)/DP$1,"")</f>
        <v>0</v>
      </c>
      <c r="DQ44" s="67">
        <f>IFERROR(VLOOKUP($B44,RD[#All],DQ$2,0)/DQ$1,"")</f>
        <v>0</v>
      </c>
      <c r="DR44" s="67">
        <f>IFERROR(VLOOKUP($B44,RD[#All],DR$2,0)/DR$1,"")</f>
        <v>0</v>
      </c>
      <c r="DS44" s="67">
        <f>IFERROR(VLOOKUP($B44,RD[#All],DS$2,0)/DS$1,"")</f>
        <v>0</v>
      </c>
      <c r="DT44" s="67">
        <f>IFERROR(VLOOKUP($B44,RD[#All],DT$2,0)/DT$1,"")</f>
        <v>0</v>
      </c>
      <c r="DU44" s="67">
        <f>IFERROR(VLOOKUP($B44,RD[#All],DU$2,0)/DU$1,"")</f>
        <v>0</v>
      </c>
      <c r="DV44" s="67">
        <f>IFERROR(VLOOKUP($B44,RD[#All],DV$2,0)/DV$1,"")</f>
        <v>0</v>
      </c>
      <c r="DW44" s="67">
        <f>IFERROR(VLOOKUP($B44,RD[#All],DW$2,0)/DW$1,"")</f>
        <v>0</v>
      </c>
      <c r="DX44" s="67">
        <f>IFERROR(VLOOKUP($B44,RD[#All],DX$2,0)/DX$1,"")</f>
        <v>0</v>
      </c>
      <c r="DY44" s="67">
        <f>IFERROR(VLOOKUP($B44,RD[#All],DY$2,0)/DY$1,"")</f>
        <v>0</v>
      </c>
      <c r="DZ44" s="67">
        <f>IFERROR(VLOOKUP($B44,RD[#All],DZ$2,0)/DZ$1,"")</f>
        <v>0</v>
      </c>
      <c r="EA44" s="67">
        <f>IFERROR(VLOOKUP($B44,RD[#All],EA$2,0)/EA$1,"")</f>
        <v>0</v>
      </c>
      <c r="EB44" s="67">
        <f>IFERROR(VLOOKUP($B44,RD[#All],EB$2,0)/EB$1,"")</f>
        <v>0</v>
      </c>
      <c r="EC44" s="67">
        <f>IFERROR(VLOOKUP($B44,RD[#All],EC$2,0)/EC$1,"")</f>
        <v>0</v>
      </c>
      <c r="ED44" s="67">
        <f>IFERROR(VLOOKUP($B44,RD[#All],ED$2,0)/ED$1,"")</f>
        <v>0</v>
      </c>
      <c r="EE44" s="67">
        <f>IFERROR(VLOOKUP($B44,RD[#All],EE$2,0)/EE$1,"")</f>
        <v>0</v>
      </c>
      <c r="EF44" s="67">
        <f>IFERROR(VLOOKUP($B44,RD[#All],EF$2,0)/EF$1,"")</f>
        <v>0</v>
      </c>
      <c r="EG44" s="67">
        <f>IFERROR(VLOOKUP($B44,RD[#All],EG$2,0)/EG$1,"")</f>
        <v>0</v>
      </c>
      <c r="EH44" s="67">
        <f>IFERROR(VLOOKUP($B44,RD[#All],EH$2,0)/EH$1,"")</f>
        <v>0</v>
      </c>
      <c r="EI44" s="67">
        <f>IFERROR(VLOOKUP($B44,RD[#All],EI$2,0)/EI$1,"")</f>
        <v>0</v>
      </c>
      <c r="EJ44" s="67">
        <f>IFERROR(VLOOKUP($B44,RD[#All],EJ$2,0)/EJ$1,"")</f>
        <v>0</v>
      </c>
      <c r="EK44" s="67">
        <f>IFERROR(VLOOKUP($B44,RD[#All],EK$2,0)/EK$1,"")</f>
        <v>0</v>
      </c>
      <c r="EL44" s="67">
        <f>IFERROR(VLOOKUP($B44,RD[#All],EL$2,0)/EL$1,"")</f>
        <v>0</v>
      </c>
      <c r="EM44" s="67">
        <f>IFERROR(VLOOKUP($B44,RD[#All],EM$2,0)/EM$1,"")</f>
        <v>0</v>
      </c>
      <c r="EN44" s="67">
        <f>IFERROR(VLOOKUP($B44,RD[#All],EN$2,0)/EN$1,"")</f>
        <v>0</v>
      </c>
      <c r="EO44" s="67">
        <f>IFERROR(VLOOKUP($B44,RD[#All],EO$2,0)/EO$1,"")</f>
        <v>0</v>
      </c>
      <c r="EP44" s="67">
        <f>IFERROR(VLOOKUP($B44,RD[#All],EP$2,0)/EP$1,"")</f>
        <v>0</v>
      </c>
      <c r="EQ44" s="67">
        <f>IFERROR(VLOOKUP($B44,RD[#All],EQ$2,0)/EQ$1,"")</f>
        <v>0</v>
      </c>
      <c r="ER44" s="67">
        <f>IFERROR(VLOOKUP($B44,RD[#All],ER$2,0)/ER$1,"")</f>
        <v>0</v>
      </c>
      <c r="ES44" s="67">
        <f>IFERROR(VLOOKUP($B44,RD[#All],ES$2,0)/ES$1,"")</f>
        <v>0</v>
      </c>
      <c r="ET44" s="67">
        <f>IFERROR(VLOOKUP($B44,RD[#All],ET$2,0)/ET$1,"")</f>
        <v>0</v>
      </c>
      <c r="EU44" s="67">
        <f>IFERROR(VLOOKUP($B44,RD[#All],EU$2,0)/EU$1,"")</f>
        <v>0</v>
      </c>
      <c r="EV44" s="67">
        <f>IFERROR(VLOOKUP($B44,RD[#All],EV$2,0)/EV$1,"")</f>
        <v>0</v>
      </c>
      <c r="EW44" s="67">
        <f>IFERROR(VLOOKUP($B44,RD[#All],EW$2,0)/EW$1,"")</f>
        <v>0</v>
      </c>
      <c r="EX44" s="67">
        <f>IFERROR(VLOOKUP($B44,RD[#All],EX$2,0)/EX$1,"")</f>
        <v>0</v>
      </c>
      <c r="EY44" s="67">
        <f>IFERROR(VLOOKUP($B44,RD[#All],EY$2,0)/EY$1,"")</f>
        <v>0</v>
      </c>
      <c r="EZ44" s="67">
        <f>IFERROR(VLOOKUP($B44,RD[#All],EZ$2,0)/EZ$1,"")</f>
        <v>0</v>
      </c>
      <c r="FA44" s="67">
        <f>IFERROR(VLOOKUP($B44,RD[#All],FA$2,0)/FA$1,"")</f>
        <v>0</v>
      </c>
      <c r="FB44" s="67">
        <f>IFERROR(VLOOKUP($B44,RD[#All],FB$2,0)/FB$1,"")</f>
        <v>0</v>
      </c>
      <c r="FC44" s="67">
        <f>IFERROR(VLOOKUP($B44,RD[#All],FC$2,0)/FC$1,"")</f>
        <v>0</v>
      </c>
      <c r="FD44" s="67">
        <f>IFERROR(VLOOKUP($B44,RD[#All],FD$2,0)/FD$1,"")</f>
        <v>0</v>
      </c>
      <c r="FE44" s="67">
        <f>IFERROR(VLOOKUP($B44,RD[#All],FE$2,0)/FE$1,"")</f>
        <v>0</v>
      </c>
      <c r="FF44" s="67">
        <f>IFERROR(VLOOKUP($B44,RD[#All],FF$2,0)/FF$1,"")</f>
        <v>0</v>
      </c>
      <c r="FG44" s="67">
        <f>IFERROR(VLOOKUP($B44,RD[#All],FG$2,0)/FG$1,"")</f>
        <v>0</v>
      </c>
      <c r="FH44" s="67">
        <f>IFERROR(VLOOKUP($B44,RD[#All],FH$2,0)/FH$1,"")</f>
        <v>0</v>
      </c>
      <c r="FI44" s="67">
        <f>IFERROR(VLOOKUP($B44,RD[#All],FI$2,0)/FI$1,"")</f>
        <v>0</v>
      </c>
      <c r="FJ44" s="67">
        <f>IFERROR(VLOOKUP($B44,RD[#All],FJ$2,0)/FJ$1,"")</f>
        <v>0</v>
      </c>
      <c r="FK44" s="67">
        <f>IFERROR(VLOOKUP($B44,RD[#All],FK$2,0)/FK$1,"")</f>
        <v>0</v>
      </c>
      <c r="FL44" s="67">
        <f>IFERROR(VLOOKUP($B44,RD[#All],FL$2,0)/FL$1,"")</f>
        <v>0</v>
      </c>
      <c r="FM44" s="67">
        <f>IFERROR(VLOOKUP($B44,RD[#All],FM$2,0)/FM$1,"")</f>
        <v>0</v>
      </c>
      <c r="FN44" s="67">
        <f>IFERROR(VLOOKUP($B44,RD[#All],FN$2,0)/FN$1,"")</f>
        <v>0</v>
      </c>
      <c r="FO44" s="67">
        <f>IFERROR(VLOOKUP($B44,RD[#All],FO$2,0)/FO$1,"")</f>
        <v>0</v>
      </c>
      <c r="FP44" s="67">
        <f>IFERROR(VLOOKUP($B44,RD[#All],FP$2,0)/FP$1,"")</f>
        <v>0</v>
      </c>
      <c r="FQ44" s="67">
        <f>IFERROR(VLOOKUP($B44,RD[#All],FQ$2,0)/FQ$1,"")</f>
        <v>0</v>
      </c>
      <c r="FR44" s="67">
        <f>IFERROR(VLOOKUP($B44,RD[#All],FR$2,0)/FR$1,"")</f>
        <v>0</v>
      </c>
      <c r="FS44" s="67">
        <f>IFERROR(VLOOKUP($B44,RD[#All],FS$2,0)/FS$1,"")</f>
        <v>0</v>
      </c>
      <c r="FT44" s="67">
        <f>IFERROR(VLOOKUP($B44,RD[#All],FT$2,0)/FT$1,"")</f>
        <v>0</v>
      </c>
      <c r="FU44" s="67">
        <f>IFERROR(VLOOKUP($B44,RD[#All],FU$2,0)/FU$1,"")</f>
        <v>0</v>
      </c>
      <c r="FV44" s="67">
        <f>IFERROR(VLOOKUP($B44,RD[#All],FV$2,0)/FV$1,"")</f>
        <v>0</v>
      </c>
      <c r="FW44" s="67">
        <f>IFERROR(VLOOKUP($B44,RD[#All],FW$2,0)/FW$1,"")</f>
        <v>0</v>
      </c>
      <c r="FX44" s="67">
        <f>IFERROR(VLOOKUP($B44,RD[#All],FX$2,0)/FX$1,"")</f>
        <v>0</v>
      </c>
      <c r="FY44" s="67">
        <f>IFERROR(VLOOKUP($B44,RD[#All],FY$2,0)/FY$1,"")</f>
        <v>0</v>
      </c>
      <c r="FZ44" s="67">
        <f>IFERROR(VLOOKUP($B44,RD[#All],FZ$2,0)/FZ$1,"")</f>
        <v>0</v>
      </c>
      <c r="GA44" s="67">
        <f>IFERROR(VLOOKUP($B44,RD[#All],GA$2,0)/GA$1,"")</f>
        <v>0</v>
      </c>
      <c r="GB44" s="67">
        <f>IFERROR(VLOOKUP($B44,RD[#All],GB$2,0)/GB$1,"")</f>
        <v>0</v>
      </c>
      <c r="GC44" s="67">
        <f>IFERROR(VLOOKUP($B44,RD[#All],GC$2,0)/GC$1,"")</f>
        <v>0</v>
      </c>
      <c r="GD44" s="67">
        <f>IFERROR(VLOOKUP($B44,RD[#All],GD$2,0)/GD$1,"")</f>
        <v>0</v>
      </c>
      <c r="GE44" s="67">
        <f>IFERROR(VLOOKUP($B44,RD[#All],GE$2,0)/GE$1,"")</f>
        <v>0</v>
      </c>
      <c r="GF44" s="67">
        <f>IFERROR(VLOOKUP($B44,RD[#All],GF$2,0)/GF$1,"")</f>
        <v>0</v>
      </c>
      <c r="GG44" s="67">
        <f>IFERROR(VLOOKUP($B44,RD[#All],GG$2,0)/GG$1,"")</f>
        <v>0</v>
      </c>
      <c r="GH44" s="67">
        <f>IFERROR(VLOOKUP($B44,RD[#All],GH$2,0)/GH$1,"")</f>
        <v>0</v>
      </c>
      <c r="GI44" s="67">
        <f>IFERROR(VLOOKUP($B44,RD[#All],GI$2,0)/GI$1,"")</f>
        <v>0</v>
      </c>
      <c r="GJ44" s="67">
        <f>IFERROR(VLOOKUP($B44,RD[#All],GJ$2,0)/GJ$1,"")</f>
        <v>0</v>
      </c>
      <c r="GK44" s="67">
        <f>IFERROR(VLOOKUP($B44,RD[#All],GK$2,0)/GK$1,"")</f>
        <v>0</v>
      </c>
      <c r="GL44" s="67">
        <f>IFERROR(VLOOKUP($B44,RD[#All],GL$2,0)/GL$1,"")</f>
        <v>0</v>
      </c>
      <c r="GM44" s="67">
        <f>IFERROR(VLOOKUP($B44,RD[#All],GM$2,0)/GM$1,"")</f>
        <v>0</v>
      </c>
      <c r="GN44" s="67">
        <f>IFERROR(VLOOKUP($B44,RD[#All],GN$2,0)/GN$1,"")</f>
        <v>0</v>
      </c>
      <c r="GO44" s="67">
        <f>IFERROR(VLOOKUP($B44,RD[#All],GO$2,0)/GO$1,"")</f>
        <v>0</v>
      </c>
      <c r="GP44" s="67">
        <f>IFERROR(VLOOKUP($B44,RD[#All],GP$2,0)/GP$1,"")</f>
        <v>0</v>
      </c>
      <c r="GQ44" s="67">
        <f>IFERROR(VLOOKUP($B44,RD[#All],GQ$2,0)/GQ$1,"")</f>
        <v>0</v>
      </c>
      <c r="GR44" s="67">
        <f>IFERROR(VLOOKUP($B44,RD[#All],GR$2,0)/GR$1,"")</f>
        <v>0</v>
      </c>
      <c r="GS44" s="67" t="str">
        <f>IFERROR(VLOOKUP($B44,RD[#All],GS$2,0)/GS$1,"")</f>
        <v/>
      </c>
      <c r="GT44" s="67" t="str">
        <f>IFERROR(VLOOKUP($B44,RD[#All],GT$2,0)/GT$1,"")</f>
        <v/>
      </c>
      <c r="GU44" s="67">
        <f>IFERROR(VLOOKUP($B44,RD[#All],GU$2,0)/GU$1,"")</f>
        <v>0</v>
      </c>
      <c r="GV44" s="67">
        <f>IFERROR(VLOOKUP($B44,RD[#All],GV$2,0)/GV$1,"")</f>
        <v>0</v>
      </c>
      <c r="GW44" s="67">
        <f>IFERROR(VLOOKUP($B44,RD[#All],GW$2,0)/GW$1,"")</f>
        <v>0</v>
      </c>
      <c r="GX44" s="67" t="str">
        <f>IFERROR(VLOOKUP($B44,RD[#All],GX$2,0)/GX$1,"")</f>
        <v/>
      </c>
      <c r="GY44" s="67">
        <f>IFERROR(VLOOKUP($B44,RD[#All],GY$2,0)/GY$1,"")</f>
        <v>0</v>
      </c>
      <c r="GZ44" s="67">
        <f>IFERROR(VLOOKUP($B44,RD[#All],GZ$2,0)/GZ$1,"")</f>
        <v>0</v>
      </c>
      <c r="HA44" s="67">
        <f>IFERROR(VLOOKUP($B44,RD[#All],HA$2,0)/HA$1,"")</f>
        <v>0</v>
      </c>
      <c r="HB44" s="67">
        <f>IFERROR(VLOOKUP($B44,RD[#All],HB$2,0)/HB$1,"")</f>
        <v>0</v>
      </c>
      <c r="HC44" s="67">
        <f>IFERROR(VLOOKUP($B44,RD[#All],HC$2,0)/HC$1,"")</f>
        <v>0</v>
      </c>
      <c r="HD44" s="67">
        <f>IFERROR(VLOOKUP($B44,RD[#All],HD$2,0)/HD$1,"")</f>
        <v>0</v>
      </c>
      <c r="HE44" s="67">
        <f>IFERROR(VLOOKUP($B44,RD[#All],HE$2,0)/HE$1,"")</f>
        <v>0</v>
      </c>
      <c r="HF44" s="67">
        <f>IFERROR(VLOOKUP($B44,RD[#All],HF$2,0)/HF$1,"")</f>
        <v>0</v>
      </c>
      <c r="HG44" s="67">
        <f>IFERROR(VLOOKUP($B44,RD[#All],HG$2,0)/HG$1,"")</f>
        <v>0</v>
      </c>
      <c r="HH44" s="67">
        <f>IFERROR(VLOOKUP($B44,RD[#All],HH$2,0)/HH$1,"")</f>
        <v>0</v>
      </c>
      <c r="HI44" s="67">
        <f>IFERROR(VLOOKUP($B44,RD[#All],HI$2,0)/HI$1,"")</f>
        <v>0</v>
      </c>
      <c r="HJ44" s="67">
        <f>IFERROR(VLOOKUP($B44,RD[#All],HJ$2,0)/HJ$1,"")</f>
        <v>0</v>
      </c>
      <c r="HK44" s="67">
        <f>IFERROR(VLOOKUP($B44,RD[#All],HK$2,0)/HK$1,"")</f>
        <v>0</v>
      </c>
      <c r="HL44" s="67">
        <f>IFERROR(VLOOKUP($B44,RD[#All],HL$2,0)/HL$1,"")</f>
        <v>0</v>
      </c>
      <c r="HM44" s="67">
        <f>IFERROR(VLOOKUP($B44,RD[#All],HM$2,0)/HM$1,"")</f>
        <v>0</v>
      </c>
      <c r="HN44" s="67">
        <f>IFERROR(VLOOKUP($B44,RD[#All],HN$2,0)/HN$1,"")</f>
        <v>0</v>
      </c>
      <c r="HO44" s="67">
        <f>IFERROR(VLOOKUP($B44,RD[#All],HO$2,0)/HO$1,"")</f>
        <v>0</v>
      </c>
      <c r="HP44" s="67">
        <f>IFERROR(VLOOKUP($B44,RD[#All],HP$2,0)/HP$1,"")</f>
        <v>0</v>
      </c>
      <c r="HQ44" s="67">
        <f>IFERROR(VLOOKUP($B44,RD[#All],HQ$2,0)/HQ$1,"")</f>
        <v>0</v>
      </c>
      <c r="HR44" s="67">
        <f>IFERROR(VLOOKUP($B44,RD[#All],HR$2,0)/HR$1,"")</f>
        <v>0</v>
      </c>
      <c r="HS44" s="67">
        <f>IFERROR(VLOOKUP($B44,RD[#All],HS$2,0)/HS$1,"")</f>
        <v>0</v>
      </c>
      <c r="HT44" s="67">
        <f>IFERROR(VLOOKUP($B44,RD[#All],HT$2,0)/HT$1,"")</f>
        <v>0</v>
      </c>
      <c r="HU44" s="67">
        <f>IFERROR(VLOOKUP($B44,RD[#All],HU$2,0)/HU$1,"")</f>
        <v>0</v>
      </c>
      <c r="HV44" s="67">
        <f>IFERROR(VLOOKUP($B44,RD[#All],HV$2,0)/HV$1,"")</f>
        <v>0</v>
      </c>
      <c r="HW44" s="67">
        <f>IFERROR(VLOOKUP($B44,RD[#All],HW$2,0)/HW$1,"")</f>
        <v>0</v>
      </c>
      <c r="HX44" s="67">
        <f>IFERROR(VLOOKUP($B44,RD[#All],HX$2,0)/HX$1,"")</f>
        <v>0</v>
      </c>
      <c r="HY44" s="67">
        <f>IFERROR(VLOOKUP($B44,RD[#All],HY$2,0)/HY$1,"")</f>
        <v>0</v>
      </c>
      <c r="HZ44" s="67">
        <f>IFERROR(VLOOKUP($B44,RD[#All],HZ$2,0)/HZ$1,"")</f>
        <v>0</v>
      </c>
      <c r="IA44" s="67">
        <f>IFERROR(VLOOKUP($B44,RD[#All],IA$2,0)/IA$1,"")</f>
        <v>0</v>
      </c>
      <c r="IB44" s="67">
        <f>IFERROR(VLOOKUP($B44,RD[#All],IB$2,0)/IB$1,"")</f>
        <v>0</v>
      </c>
      <c r="IC44" s="67">
        <f>IFERROR(VLOOKUP($B44,RD[#All],IC$2,0)/IC$1,"")</f>
        <v>0</v>
      </c>
      <c r="ID44" s="67">
        <f>IFERROR(VLOOKUP($B44,RD[#All],ID$2,0)/ID$1,"")</f>
        <v>0</v>
      </c>
      <c r="IE44" s="67">
        <f>IFERROR(VLOOKUP($B44,RD[#All],IE$2,0)/IE$1,"")</f>
        <v>0</v>
      </c>
      <c r="IF44" s="67" t="str">
        <f>IFERROR(VLOOKUP($B44,RD[#All],IF$2,0)/IF$1,"")</f>
        <v/>
      </c>
      <c r="IG44" s="67">
        <f>IFERROR(VLOOKUP($B44,RD[#All],IG$2,0)/IG$1,"")</f>
        <v>0</v>
      </c>
      <c r="IH44" s="67">
        <f>IFERROR(VLOOKUP($B44,RD[#All],IH$2,0)/IH$1,"")</f>
        <v>0</v>
      </c>
      <c r="II44" s="67">
        <f>IFERROR(VLOOKUP($B44,RD[#All],II$2,0)/II$1,"")</f>
        <v>0</v>
      </c>
      <c r="IJ44" s="67">
        <f>IFERROR(VLOOKUP($B44,RD[#All],IJ$2,0)/IJ$1,"")</f>
        <v>0</v>
      </c>
      <c r="IK44" s="67">
        <f>IFERROR(VLOOKUP($B44,RD[#All],IK$2,0)/IK$1,"")</f>
        <v>0</v>
      </c>
      <c r="IL44" s="67" t="str">
        <f>IFERROR(VLOOKUP($B44,RD[#All],IL$2,0)/IL$1,"")</f>
        <v/>
      </c>
      <c r="IM44" s="67" t="str">
        <f>IFERROR(VLOOKUP($B44,RD[#All],IM$2,0)/IM$1,"")</f>
        <v/>
      </c>
      <c r="IN44" s="67">
        <f>IFERROR(VLOOKUP($B44,RD[#All],IN$2,0)/IN$1,"")</f>
        <v>0</v>
      </c>
      <c r="IO44" s="67">
        <f>IFERROR(VLOOKUP($B44,RD[#All],IO$2,0)/IO$1,"")</f>
        <v>0</v>
      </c>
      <c r="IP44" s="67">
        <f>IFERROR(VLOOKUP($B44,RD[#All],IP$2,0)/IP$1,"")</f>
        <v>0</v>
      </c>
      <c r="IQ44" s="67">
        <f>IFERROR(VLOOKUP($B44,RD[#All],IQ$2,0)/IQ$1,"")</f>
        <v>0</v>
      </c>
      <c r="IR44" s="67">
        <f>IFERROR(VLOOKUP($B44,RD[#All],IR$2,0)/IR$1,"")</f>
        <v>0</v>
      </c>
      <c r="IS44" s="86" t="str">
        <f>IFERROR(AVERAGEIF(Inv_SY_B[[#This Row],[BLK1_INV1]:[BLK8_INV27]],"&gt;"&amp;0.1,Inv_SY_B[[#This Row],[BLK1_INV1]:[BLK8_INV27]]),"")</f>
        <v/>
      </c>
    </row>
    <row r="45" spans="2:253" x14ac:dyDescent="0.25">
      <c r="B45" s="87">
        <f t="shared" si="1"/>
        <v>45871</v>
      </c>
      <c r="C45" s="67">
        <f>IFERROR(VLOOKUP($B45,RD[#All],C$2,0)/C$1,"")</f>
        <v>0</v>
      </c>
      <c r="D45" s="67">
        <f>IFERROR(VLOOKUP($B45,RD[#All],D$2,0)/D$1,"")</f>
        <v>0</v>
      </c>
      <c r="E45" s="67">
        <f>IFERROR(VLOOKUP($B45,RD[#All],E$2,0)/E$1,"")</f>
        <v>0</v>
      </c>
      <c r="F45" s="67">
        <f>IFERROR(VLOOKUP($B45,RD[#All],F$2,0)/F$1,"")</f>
        <v>0</v>
      </c>
      <c r="G45" s="67">
        <f>IFERROR(VLOOKUP($B45,RD[#All],G$2,0)/G$1,"")</f>
        <v>0</v>
      </c>
      <c r="H45" s="67">
        <f>IFERROR(VLOOKUP($B45,RD[#All],H$2,0)/H$1,"")</f>
        <v>0</v>
      </c>
      <c r="I45" s="67">
        <f>IFERROR(VLOOKUP($B45,RD[#All],I$2,0)/I$1,"")</f>
        <v>0</v>
      </c>
      <c r="J45" s="67">
        <f>IFERROR(VLOOKUP($B45,RD[#All],J$2,0)/J$1,"")</f>
        <v>0</v>
      </c>
      <c r="K45" s="67">
        <f>IFERROR(VLOOKUP($B45,RD[#All],K$2,0)/K$1,"")</f>
        <v>0</v>
      </c>
      <c r="L45" s="67">
        <f>IFERROR(VLOOKUP($B45,RD[#All],L$2,0)/L$1,"")</f>
        <v>0</v>
      </c>
      <c r="M45" s="67">
        <f>IFERROR(VLOOKUP($B45,RD[#All],M$2,0)/M$1,"")</f>
        <v>0</v>
      </c>
      <c r="N45" s="67">
        <f>IFERROR(VLOOKUP($B45,RD[#All],N$2,0)/N$1,"")</f>
        <v>0</v>
      </c>
      <c r="O45" s="67">
        <f>IFERROR(VLOOKUP($B45,RD[#All],O$2,0)/O$1,"")</f>
        <v>0</v>
      </c>
      <c r="P45" s="67">
        <f>IFERROR(VLOOKUP($B45,RD[#All],P$2,0)/P$1,"")</f>
        <v>0</v>
      </c>
      <c r="Q45" s="67">
        <f>IFERROR(VLOOKUP($B45,RD[#All],Q$2,0)/Q$1,"")</f>
        <v>0</v>
      </c>
      <c r="R45" s="67">
        <f>IFERROR(VLOOKUP($B45,RD[#All],R$2,0)/R$1,"")</f>
        <v>0</v>
      </c>
      <c r="S45" s="67">
        <f>IFERROR(VLOOKUP($B45,RD[#All],S$2,0)/S$1,"")</f>
        <v>0</v>
      </c>
      <c r="T45" s="67">
        <f>IFERROR(VLOOKUP($B45,RD[#All],T$2,0)/T$1,"")</f>
        <v>0</v>
      </c>
      <c r="U45" s="67">
        <f>IFERROR(VLOOKUP($B45,RD[#All],U$2,0)/U$1,"")</f>
        <v>0</v>
      </c>
      <c r="V45" s="67">
        <f>IFERROR(VLOOKUP($B45,RD[#All],V$2,0)/V$1,"")</f>
        <v>0</v>
      </c>
      <c r="W45" s="67">
        <f>IFERROR(VLOOKUP($B45,RD[#All],W$2,0)/W$1,"")</f>
        <v>0</v>
      </c>
      <c r="X45" s="67">
        <f>IFERROR(VLOOKUP($B45,RD[#All],X$2,0)/X$1,"")</f>
        <v>0</v>
      </c>
      <c r="Y45" s="67">
        <f>IFERROR(VLOOKUP($B45,RD[#All],Y$2,0)/Y$1,"")</f>
        <v>0</v>
      </c>
      <c r="Z45" s="67">
        <f>IFERROR(VLOOKUP($B45,RD[#All],Z$2,0)/Z$1,"")</f>
        <v>0</v>
      </c>
      <c r="AA45" s="67">
        <f>IFERROR(VLOOKUP($B45,RD[#All],AA$2,0)/AA$1,"")</f>
        <v>0</v>
      </c>
      <c r="AB45" s="67">
        <f>IFERROR(VLOOKUP($B45,RD[#All],AB$2,0)/AB$1,"")</f>
        <v>0</v>
      </c>
      <c r="AC45" s="67">
        <f>IFERROR(VLOOKUP($B45,RD[#All],AC$2,0)/AC$1,"")</f>
        <v>0</v>
      </c>
      <c r="AD45" s="67">
        <f>IFERROR(VLOOKUP($B45,RD[#All],AD$2,0)/AD$1,"")</f>
        <v>0</v>
      </c>
      <c r="AE45" s="67">
        <f>IFERROR(VLOOKUP($B45,RD[#All],AE$2,0)/AE$1,"")</f>
        <v>0</v>
      </c>
      <c r="AF45" s="67">
        <f>IFERROR(VLOOKUP($B45,RD[#All],AF$2,0)/AF$1,"")</f>
        <v>0</v>
      </c>
      <c r="AG45" s="67">
        <f>IFERROR(VLOOKUP($B45,RD[#All],AG$2,0)/AG$1,"")</f>
        <v>0</v>
      </c>
      <c r="AH45" s="67">
        <f>IFERROR(VLOOKUP($B45,RD[#All],AH$2,0)/AH$1,"")</f>
        <v>0</v>
      </c>
      <c r="AI45" s="67">
        <f>IFERROR(VLOOKUP($B45,RD[#All],AI$2,0)/AI$1,"")</f>
        <v>0</v>
      </c>
      <c r="AJ45" s="67">
        <f>IFERROR(VLOOKUP($B45,RD[#All],AJ$2,0)/AJ$1,"")</f>
        <v>0</v>
      </c>
      <c r="AK45" s="67">
        <f>IFERROR(VLOOKUP($B45,RD[#All],AK$2,0)/AK$1,"")</f>
        <v>0</v>
      </c>
      <c r="AL45" s="67">
        <f>IFERROR(VLOOKUP($B45,RD[#All],AL$2,0)/AL$1,"")</f>
        <v>0</v>
      </c>
      <c r="AM45" s="67">
        <f>IFERROR(VLOOKUP($B45,RD[#All],AM$2,0)/AM$1,"")</f>
        <v>0</v>
      </c>
      <c r="AN45" s="67">
        <f>IFERROR(VLOOKUP($B45,RD[#All],AN$2,0)/AN$1,"")</f>
        <v>0</v>
      </c>
      <c r="AO45" s="67">
        <f>IFERROR(VLOOKUP($B45,RD[#All],AO$2,0)/AO$1,"")</f>
        <v>0</v>
      </c>
      <c r="AP45" s="67">
        <f>IFERROR(VLOOKUP($B45,RD[#All],AP$2,0)/AP$1,"")</f>
        <v>0</v>
      </c>
      <c r="AQ45" s="67">
        <f>IFERROR(VLOOKUP($B45,RD[#All],AQ$2,0)/AQ$1,"")</f>
        <v>0</v>
      </c>
      <c r="AR45" s="67">
        <f>IFERROR(VLOOKUP($B45,RD[#All],AR$2,0)/AR$1,"")</f>
        <v>0</v>
      </c>
      <c r="AS45" s="67">
        <f>IFERROR(VLOOKUP($B45,RD[#All],AS$2,0)/AS$1,"")</f>
        <v>0</v>
      </c>
      <c r="AT45" s="67">
        <f>IFERROR(VLOOKUP($B45,RD[#All],AT$2,0)/AT$1,"")</f>
        <v>0</v>
      </c>
      <c r="AU45" s="67">
        <f>IFERROR(VLOOKUP($B45,RD[#All],AU$2,0)/AU$1,"")</f>
        <v>0</v>
      </c>
      <c r="AV45" s="67">
        <f>IFERROR(VLOOKUP($B45,RD[#All],AV$2,0)/AV$1,"")</f>
        <v>0</v>
      </c>
      <c r="AW45" s="67">
        <f>IFERROR(VLOOKUP($B45,RD[#All],AW$2,0)/AW$1,"")</f>
        <v>0</v>
      </c>
      <c r="AX45" s="67">
        <f>IFERROR(VLOOKUP($B45,RD[#All],AX$2,0)/AX$1,"")</f>
        <v>0</v>
      </c>
      <c r="AY45" s="67">
        <f>IFERROR(VLOOKUP($B45,RD[#All],AY$2,0)/AY$1,"")</f>
        <v>0</v>
      </c>
      <c r="AZ45" s="67">
        <f>IFERROR(VLOOKUP($B45,RD[#All],AZ$2,0)/AZ$1,"")</f>
        <v>0</v>
      </c>
      <c r="BA45" s="67">
        <f>IFERROR(VLOOKUP($B45,RD[#All],BA$2,0)/BA$1,"")</f>
        <v>0</v>
      </c>
      <c r="BB45" s="67">
        <f>IFERROR(VLOOKUP($B45,RD[#All],BB$2,0)/BB$1,"")</f>
        <v>0</v>
      </c>
      <c r="BC45" s="67">
        <f>IFERROR(VLOOKUP($B45,RD[#All],BC$2,0)/BC$1,"")</f>
        <v>0</v>
      </c>
      <c r="BD45" s="67">
        <f>IFERROR(VLOOKUP($B45,RD[#All],BD$2,0)/BD$1,"")</f>
        <v>0</v>
      </c>
      <c r="BE45" s="67">
        <f>IFERROR(VLOOKUP($B45,RD[#All],BE$2,0)/BE$1,"")</f>
        <v>0</v>
      </c>
      <c r="BF45" s="67">
        <f>IFERROR(VLOOKUP($B45,RD[#All],BF$2,0)/BF$1,"")</f>
        <v>0</v>
      </c>
      <c r="BG45" s="67">
        <f>IFERROR(VLOOKUP($B45,RD[#All],BG$2,0)/BG$1,"")</f>
        <v>0</v>
      </c>
      <c r="BH45" s="67">
        <f>IFERROR(VLOOKUP($B45,RD[#All],BH$2,0)/BH$1,"")</f>
        <v>0</v>
      </c>
      <c r="BI45" s="67">
        <f>IFERROR(VLOOKUP($B45,RD[#All],BI$2,0)/BI$1,"")</f>
        <v>0</v>
      </c>
      <c r="BJ45" s="67">
        <f>IFERROR(VLOOKUP($B45,RD[#All],BJ$2,0)/BJ$1,"")</f>
        <v>0</v>
      </c>
      <c r="BK45" s="67">
        <f>IFERROR(VLOOKUP($B45,RD[#All],BK$2,0)/BK$1,"")</f>
        <v>0</v>
      </c>
      <c r="BL45" s="67">
        <f>IFERROR(VLOOKUP($B45,RD[#All],BL$2,0)/BL$1,"")</f>
        <v>0</v>
      </c>
      <c r="BM45" s="67">
        <f>IFERROR(VLOOKUP($B45,RD[#All],BM$2,0)/BM$1,"")</f>
        <v>0</v>
      </c>
      <c r="BN45" s="67">
        <f>IFERROR(VLOOKUP($B45,RD[#All],BN$2,0)/BN$1,"")</f>
        <v>0</v>
      </c>
      <c r="BO45" s="67">
        <f>IFERROR(VLOOKUP($B45,RD[#All],BO$2,0)/BO$1,"")</f>
        <v>0</v>
      </c>
      <c r="BP45" s="67">
        <f>IFERROR(VLOOKUP($B45,RD[#All],BP$2,0)/BP$1,"")</f>
        <v>0</v>
      </c>
      <c r="BQ45" s="67">
        <f>IFERROR(VLOOKUP($B45,RD[#All],BQ$2,0)/BQ$1,"")</f>
        <v>0</v>
      </c>
      <c r="BR45" s="67">
        <f>IFERROR(VLOOKUP($B45,RD[#All],BR$2,0)/BR$1,"")</f>
        <v>0</v>
      </c>
      <c r="BS45" s="67">
        <f>IFERROR(VLOOKUP($B45,RD[#All],BS$2,0)/BS$1,"")</f>
        <v>0</v>
      </c>
      <c r="BT45" s="67">
        <f>IFERROR(VLOOKUP($B45,RD[#All],BT$2,0)/BT$1,"")</f>
        <v>0</v>
      </c>
      <c r="BU45" s="67">
        <f>IFERROR(VLOOKUP($B45,RD[#All],BU$2,0)/BU$1,"")</f>
        <v>0</v>
      </c>
      <c r="BV45" s="67">
        <f>IFERROR(VLOOKUP($B45,RD[#All],BV$2,0)/BV$1,"")</f>
        <v>0</v>
      </c>
      <c r="BW45" s="67">
        <f>IFERROR(VLOOKUP($B45,RD[#All],BW$2,0)/BW$1,"")</f>
        <v>0</v>
      </c>
      <c r="BX45" s="67">
        <f>IFERROR(VLOOKUP($B45,RD[#All],BX$2,0)/BX$1,"")</f>
        <v>0</v>
      </c>
      <c r="BY45" s="67">
        <f>IFERROR(VLOOKUP($B45,RD[#All],BY$2,0)/BY$1,"")</f>
        <v>0</v>
      </c>
      <c r="BZ45" s="67">
        <f>IFERROR(VLOOKUP($B45,RD[#All],BZ$2,0)/BZ$1,"")</f>
        <v>0</v>
      </c>
      <c r="CA45" s="67">
        <f>IFERROR(VLOOKUP($B45,RD[#All],CA$2,0)/CA$1,"")</f>
        <v>0</v>
      </c>
      <c r="CB45" s="67">
        <f>IFERROR(VLOOKUP($B45,RD[#All],CB$2,0)/CB$1,"")</f>
        <v>0</v>
      </c>
      <c r="CC45" s="67">
        <f>IFERROR(VLOOKUP($B45,RD[#All],CC$2,0)/CC$1,"")</f>
        <v>0</v>
      </c>
      <c r="CD45" s="67">
        <f>IFERROR(VLOOKUP($B45,RD[#All],CD$2,0)/CD$1,"")</f>
        <v>0</v>
      </c>
      <c r="CE45" s="67">
        <f>IFERROR(VLOOKUP($B45,RD[#All],CE$2,0)/CE$1,"")</f>
        <v>0</v>
      </c>
      <c r="CF45" s="67">
        <f>IFERROR(VLOOKUP($B45,RD[#All],CF$2,0)/CF$1,"")</f>
        <v>0</v>
      </c>
      <c r="CG45" s="67">
        <f>IFERROR(VLOOKUP($B45,RD[#All],CG$2,0)/CG$1,"")</f>
        <v>0</v>
      </c>
      <c r="CH45" s="67">
        <f>IFERROR(VLOOKUP($B45,RD[#All],CH$2,0)/CH$1,"")</f>
        <v>0</v>
      </c>
      <c r="CI45" s="67">
        <f>IFERROR(VLOOKUP($B45,RD[#All],CI$2,0)/CI$1,"")</f>
        <v>0</v>
      </c>
      <c r="CJ45" s="67">
        <f>IFERROR(VLOOKUP($B45,RD[#All],CJ$2,0)/CJ$1,"")</f>
        <v>0</v>
      </c>
      <c r="CK45" s="67">
        <f>IFERROR(VLOOKUP($B45,RD[#All],CK$2,0)/CK$1,"")</f>
        <v>0</v>
      </c>
      <c r="CL45" s="67">
        <f>IFERROR(VLOOKUP($B45,RD[#All],CL$2,0)/CL$1,"")</f>
        <v>0</v>
      </c>
      <c r="CM45" s="67">
        <f>IFERROR(VLOOKUP($B45,RD[#All],CM$2,0)/CM$1,"")</f>
        <v>0</v>
      </c>
      <c r="CN45" s="67">
        <f>IFERROR(VLOOKUP($B45,RD[#All],CN$2,0)/CN$1,"")</f>
        <v>0</v>
      </c>
      <c r="CO45" s="67">
        <f>IFERROR(VLOOKUP($B45,RD[#All],CO$2,0)/CO$1,"")</f>
        <v>0</v>
      </c>
      <c r="CP45" s="67">
        <f>IFERROR(VLOOKUP($B45,RD[#All],CP$2,0)/CP$1,"")</f>
        <v>0</v>
      </c>
      <c r="CQ45" s="67">
        <f>IFERROR(VLOOKUP($B45,RD[#All],CQ$2,0)/CQ$1,"")</f>
        <v>0</v>
      </c>
      <c r="CR45" s="67">
        <f>IFERROR(VLOOKUP($B45,RD[#All],CR$2,0)/CR$1,"")</f>
        <v>0</v>
      </c>
      <c r="CS45" s="67">
        <f>IFERROR(VLOOKUP($B45,RD[#All],CS$2,0)/CS$1,"")</f>
        <v>0</v>
      </c>
      <c r="CT45" s="67">
        <f>IFERROR(VLOOKUP($B45,RD[#All],CT$2,0)/CT$1,"")</f>
        <v>0</v>
      </c>
      <c r="CU45" s="67">
        <f>IFERROR(VLOOKUP($B45,RD[#All],CU$2,0)/CU$1,"")</f>
        <v>0</v>
      </c>
      <c r="CV45" s="67">
        <f>IFERROR(VLOOKUP($B45,RD[#All],CV$2,0)/CV$1,"")</f>
        <v>0</v>
      </c>
      <c r="CW45" s="67">
        <f>IFERROR(VLOOKUP($B45,RD[#All],CW$2,0)/CW$1,"")</f>
        <v>0</v>
      </c>
      <c r="CX45" s="67">
        <f>IFERROR(VLOOKUP($B45,RD[#All],CX$2,0)/CX$1,"")</f>
        <v>0</v>
      </c>
      <c r="CY45" s="67">
        <f>IFERROR(VLOOKUP($B45,RD[#All],CY$2,0)/CY$1,"")</f>
        <v>0</v>
      </c>
      <c r="CZ45" s="67">
        <f>IFERROR(VLOOKUP($B45,RD[#All],CZ$2,0)/CZ$1,"")</f>
        <v>0</v>
      </c>
      <c r="DA45" s="67">
        <f>IFERROR(VLOOKUP($B45,RD[#All],DA$2,0)/DA$1,"")</f>
        <v>0</v>
      </c>
      <c r="DB45" s="67">
        <f>IFERROR(VLOOKUP($B45,RD[#All],DB$2,0)/DB$1,"")</f>
        <v>0</v>
      </c>
      <c r="DC45" s="67">
        <f>IFERROR(VLOOKUP($B45,RD[#All],DC$2,0)/DC$1,"")</f>
        <v>0</v>
      </c>
      <c r="DD45" s="67">
        <f>IFERROR(VLOOKUP($B45,RD[#All],DD$2,0)/DD$1,"")</f>
        <v>0</v>
      </c>
      <c r="DE45" s="67">
        <f>IFERROR(VLOOKUP($B45,RD[#All],DE$2,0)/DE$1,"")</f>
        <v>0</v>
      </c>
      <c r="DF45" s="67">
        <f>IFERROR(VLOOKUP($B45,RD[#All],DF$2,0)/DF$1,"")</f>
        <v>0</v>
      </c>
      <c r="DG45" s="67">
        <f>IFERROR(VLOOKUP($B45,RD[#All],DG$2,0)/DG$1,"")</f>
        <v>0</v>
      </c>
      <c r="DH45" s="67">
        <f>IFERROR(VLOOKUP($B45,RD[#All],DH$2,0)/DH$1,"")</f>
        <v>0</v>
      </c>
      <c r="DI45" s="67">
        <f>IFERROR(VLOOKUP($B45,RD[#All],DI$2,0)/DI$1,"")</f>
        <v>0</v>
      </c>
      <c r="DJ45" s="67">
        <f>IFERROR(VLOOKUP($B45,RD[#All],DJ$2,0)/DJ$1,"")</f>
        <v>0</v>
      </c>
      <c r="DK45" s="67">
        <f>IFERROR(VLOOKUP($B45,RD[#All],DK$2,0)/DK$1,"")</f>
        <v>0</v>
      </c>
      <c r="DL45" s="67">
        <f>IFERROR(VLOOKUP($B45,RD[#All],DL$2,0)/DL$1,"")</f>
        <v>0</v>
      </c>
      <c r="DM45" s="67">
        <f>IFERROR(VLOOKUP($B45,RD[#All],DM$2,0)/DM$1,"")</f>
        <v>0</v>
      </c>
      <c r="DN45" s="67">
        <f>IFERROR(VLOOKUP($B45,RD[#All],DN$2,0)/DN$1,"")</f>
        <v>0</v>
      </c>
      <c r="DO45" s="67">
        <f>IFERROR(VLOOKUP($B45,RD[#All],DO$2,0)/DO$1,"")</f>
        <v>0</v>
      </c>
      <c r="DP45" s="67">
        <f>IFERROR(VLOOKUP($B45,RD[#All],DP$2,0)/DP$1,"")</f>
        <v>0</v>
      </c>
      <c r="DQ45" s="67">
        <f>IFERROR(VLOOKUP($B45,RD[#All],DQ$2,0)/DQ$1,"")</f>
        <v>0</v>
      </c>
      <c r="DR45" s="67">
        <f>IFERROR(VLOOKUP($B45,RD[#All],DR$2,0)/DR$1,"")</f>
        <v>0</v>
      </c>
      <c r="DS45" s="67">
        <f>IFERROR(VLOOKUP($B45,RD[#All],DS$2,0)/DS$1,"")</f>
        <v>0</v>
      </c>
      <c r="DT45" s="67">
        <f>IFERROR(VLOOKUP($B45,RD[#All],DT$2,0)/DT$1,"")</f>
        <v>0</v>
      </c>
      <c r="DU45" s="67">
        <f>IFERROR(VLOOKUP($B45,RD[#All],DU$2,0)/DU$1,"")</f>
        <v>0</v>
      </c>
      <c r="DV45" s="67">
        <f>IFERROR(VLOOKUP($B45,RD[#All],DV$2,0)/DV$1,"")</f>
        <v>0</v>
      </c>
      <c r="DW45" s="67">
        <f>IFERROR(VLOOKUP($B45,RD[#All],DW$2,0)/DW$1,"")</f>
        <v>0</v>
      </c>
      <c r="DX45" s="67">
        <f>IFERROR(VLOOKUP($B45,RD[#All],DX$2,0)/DX$1,"")</f>
        <v>0</v>
      </c>
      <c r="DY45" s="67">
        <f>IFERROR(VLOOKUP($B45,RD[#All],DY$2,0)/DY$1,"")</f>
        <v>0</v>
      </c>
      <c r="DZ45" s="67">
        <f>IFERROR(VLOOKUP($B45,RD[#All],DZ$2,0)/DZ$1,"")</f>
        <v>0</v>
      </c>
      <c r="EA45" s="67">
        <f>IFERROR(VLOOKUP($B45,RD[#All],EA$2,0)/EA$1,"")</f>
        <v>0</v>
      </c>
      <c r="EB45" s="67">
        <f>IFERROR(VLOOKUP($B45,RD[#All],EB$2,0)/EB$1,"")</f>
        <v>0</v>
      </c>
      <c r="EC45" s="67">
        <f>IFERROR(VLOOKUP($B45,RD[#All],EC$2,0)/EC$1,"")</f>
        <v>0</v>
      </c>
      <c r="ED45" s="67">
        <f>IFERROR(VLOOKUP($B45,RD[#All],ED$2,0)/ED$1,"")</f>
        <v>0</v>
      </c>
      <c r="EE45" s="67">
        <f>IFERROR(VLOOKUP($B45,RD[#All],EE$2,0)/EE$1,"")</f>
        <v>0</v>
      </c>
      <c r="EF45" s="67">
        <f>IFERROR(VLOOKUP($B45,RD[#All],EF$2,0)/EF$1,"")</f>
        <v>0</v>
      </c>
      <c r="EG45" s="67">
        <f>IFERROR(VLOOKUP($B45,RD[#All],EG$2,0)/EG$1,"")</f>
        <v>0</v>
      </c>
      <c r="EH45" s="67">
        <f>IFERROR(VLOOKUP($B45,RD[#All],EH$2,0)/EH$1,"")</f>
        <v>0</v>
      </c>
      <c r="EI45" s="67">
        <f>IFERROR(VLOOKUP($B45,RD[#All],EI$2,0)/EI$1,"")</f>
        <v>0</v>
      </c>
      <c r="EJ45" s="67">
        <f>IFERROR(VLOOKUP($B45,RD[#All],EJ$2,0)/EJ$1,"")</f>
        <v>0</v>
      </c>
      <c r="EK45" s="67">
        <f>IFERROR(VLOOKUP($B45,RD[#All],EK$2,0)/EK$1,"")</f>
        <v>0</v>
      </c>
      <c r="EL45" s="67">
        <f>IFERROR(VLOOKUP($B45,RD[#All],EL$2,0)/EL$1,"")</f>
        <v>0</v>
      </c>
      <c r="EM45" s="67">
        <f>IFERROR(VLOOKUP($B45,RD[#All],EM$2,0)/EM$1,"")</f>
        <v>0</v>
      </c>
      <c r="EN45" s="67">
        <f>IFERROR(VLOOKUP($B45,RD[#All],EN$2,0)/EN$1,"")</f>
        <v>0</v>
      </c>
      <c r="EO45" s="67">
        <f>IFERROR(VLOOKUP($B45,RD[#All],EO$2,0)/EO$1,"")</f>
        <v>0</v>
      </c>
      <c r="EP45" s="67">
        <f>IFERROR(VLOOKUP($B45,RD[#All],EP$2,0)/EP$1,"")</f>
        <v>0</v>
      </c>
      <c r="EQ45" s="67">
        <f>IFERROR(VLOOKUP($B45,RD[#All],EQ$2,0)/EQ$1,"")</f>
        <v>0</v>
      </c>
      <c r="ER45" s="67">
        <f>IFERROR(VLOOKUP($B45,RD[#All],ER$2,0)/ER$1,"")</f>
        <v>0</v>
      </c>
      <c r="ES45" s="67">
        <f>IFERROR(VLOOKUP($B45,RD[#All],ES$2,0)/ES$1,"")</f>
        <v>0</v>
      </c>
      <c r="ET45" s="67">
        <f>IFERROR(VLOOKUP($B45,RD[#All],ET$2,0)/ET$1,"")</f>
        <v>0</v>
      </c>
      <c r="EU45" s="67">
        <f>IFERROR(VLOOKUP($B45,RD[#All],EU$2,0)/EU$1,"")</f>
        <v>0</v>
      </c>
      <c r="EV45" s="67">
        <f>IFERROR(VLOOKUP($B45,RD[#All],EV$2,0)/EV$1,"")</f>
        <v>0</v>
      </c>
      <c r="EW45" s="67">
        <f>IFERROR(VLOOKUP($B45,RD[#All],EW$2,0)/EW$1,"")</f>
        <v>0</v>
      </c>
      <c r="EX45" s="67">
        <f>IFERROR(VLOOKUP($B45,RD[#All],EX$2,0)/EX$1,"")</f>
        <v>0</v>
      </c>
      <c r="EY45" s="67">
        <f>IFERROR(VLOOKUP($B45,RD[#All],EY$2,0)/EY$1,"")</f>
        <v>0</v>
      </c>
      <c r="EZ45" s="67">
        <f>IFERROR(VLOOKUP($B45,RD[#All],EZ$2,0)/EZ$1,"")</f>
        <v>0</v>
      </c>
      <c r="FA45" s="67">
        <f>IFERROR(VLOOKUP($B45,RD[#All],FA$2,0)/FA$1,"")</f>
        <v>0</v>
      </c>
      <c r="FB45" s="67">
        <f>IFERROR(VLOOKUP($B45,RD[#All],FB$2,0)/FB$1,"")</f>
        <v>0</v>
      </c>
      <c r="FC45" s="67">
        <f>IFERROR(VLOOKUP($B45,RD[#All],FC$2,0)/FC$1,"")</f>
        <v>0</v>
      </c>
      <c r="FD45" s="67">
        <f>IFERROR(VLOOKUP($B45,RD[#All],FD$2,0)/FD$1,"")</f>
        <v>0</v>
      </c>
      <c r="FE45" s="67">
        <f>IFERROR(VLOOKUP($B45,RD[#All],FE$2,0)/FE$1,"")</f>
        <v>0</v>
      </c>
      <c r="FF45" s="67">
        <f>IFERROR(VLOOKUP($B45,RD[#All],FF$2,0)/FF$1,"")</f>
        <v>0</v>
      </c>
      <c r="FG45" s="67">
        <f>IFERROR(VLOOKUP($B45,RD[#All],FG$2,0)/FG$1,"")</f>
        <v>0</v>
      </c>
      <c r="FH45" s="67">
        <f>IFERROR(VLOOKUP($B45,RD[#All],FH$2,0)/FH$1,"")</f>
        <v>0</v>
      </c>
      <c r="FI45" s="67">
        <f>IFERROR(VLOOKUP($B45,RD[#All],FI$2,0)/FI$1,"")</f>
        <v>0</v>
      </c>
      <c r="FJ45" s="67">
        <f>IFERROR(VLOOKUP($B45,RD[#All],FJ$2,0)/FJ$1,"")</f>
        <v>0</v>
      </c>
      <c r="FK45" s="67">
        <f>IFERROR(VLOOKUP($B45,RD[#All],FK$2,0)/FK$1,"")</f>
        <v>0</v>
      </c>
      <c r="FL45" s="67">
        <f>IFERROR(VLOOKUP($B45,RD[#All],FL$2,0)/FL$1,"")</f>
        <v>0</v>
      </c>
      <c r="FM45" s="67">
        <f>IFERROR(VLOOKUP($B45,RD[#All],FM$2,0)/FM$1,"")</f>
        <v>0</v>
      </c>
      <c r="FN45" s="67">
        <f>IFERROR(VLOOKUP($B45,RD[#All],FN$2,0)/FN$1,"")</f>
        <v>0</v>
      </c>
      <c r="FO45" s="67">
        <f>IFERROR(VLOOKUP($B45,RD[#All],FO$2,0)/FO$1,"")</f>
        <v>0</v>
      </c>
      <c r="FP45" s="67">
        <f>IFERROR(VLOOKUP($B45,RD[#All],FP$2,0)/FP$1,"")</f>
        <v>0</v>
      </c>
      <c r="FQ45" s="67">
        <f>IFERROR(VLOOKUP($B45,RD[#All],FQ$2,0)/FQ$1,"")</f>
        <v>0</v>
      </c>
      <c r="FR45" s="67">
        <f>IFERROR(VLOOKUP($B45,RD[#All],FR$2,0)/FR$1,"")</f>
        <v>0</v>
      </c>
      <c r="FS45" s="67">
        <f>IFERROR(VLOOKUP($B45,RD[#All],FS$2,0)/FS$1,"")</f>
        <v>0</v>
      </c>
      <c r="FT45" s="67">
        <f>IFERROR(VLOOKUP($B45,RD[#All],FT$2,0)/FT$1,"")</f>
        <v>0</v>
      </c>
      <c r="FU45" s="67">
        <f>IFERROR(VLOOKUP($B45,RD[#All],FU$2,0)/FU$1,"")</f>
        <v>0</v>
      </c>
      <c r="FV45" s="67">
        <f>IFERROR(VLOOKUP($B45,RD[#All],FV$2,0)/FV$1,"")</f>
        <v>0</v>
      </c>
      <c r="FW45" s="67">
        <f>IFERROR(VLOOKUP($B45,RD[#All],FW$2,0)/FW$1,"")</f>
        <v>0</v>
      </c>
      <c r="FX45" s="67">
        <f>IFERROR(VLOOKUP($B45,RD[#All],FX$2,0)/FX$1,"")</f>
        <v>0</v>
      </c>
      <c r="FY45" s="67">
        <f>IFERROR(VLOOKUP($B45,RD[#All],FY$2,0)/FY$1,"")</f>
        <v>0</v>
      </c>
      <c r="FZ45" s="67">
        <f>IFERROR(VLOOKUP($B45,RD[#All],FZ$2,0)/FZ$1,"")</f>
        <v>0</v>
      </c>
      <c r="GA45" s="67">
        <f>IFERROR(VLOOKUP($B45,RD[#All],GA$2,0)/GA$1,"")</f>
        <v>0</v>
      </c>
      <c r="GB45" s="67">
        <f>IFERROR(VLOOKUP($B45,RD[#All],GB$2,0)/GB$1,"")</f>
        <v>0</v>
      </c>
      <c r="GC45" s="67">
        <f>IFERROR(VLOOKUP($B45,RD[#All],GC$2,0)/GC$1,"")</f>
        <v>0</v>
      </c>
      <c r="GD45" s="67">
        <f>IFERROR(VLOOKUP($B45,RD[#All],GD$2,0)/GD$1,"")</f>
        <v>0</v>
      </c>
      <c r="GE45" s="67">
        <f>IFERROR(VLOOKUP($B45,RD[#All],GE$2,0)/GE$1,"")</f>
        <v>0</v>
      </c>
      <c r="GF45" s="67">
        <f>IFERROR(VLOOKUP($B45,RD[#All],GF$2,0)/GF$1,"")</f>
        <v>0</v>
      </c>
      <c r="GG45" s="67">
        <f>IFERROR(VLOOKUP($B45,RD[#All],GG$2,0)/GG$1,"")</f>
        <v>0</v>
      </c>
      <c r="GH45" s="67">
        <f>IFERROR(VLOOKUP($B45,RD[#All],GH$2,0)/GH$1,"")</f>
        <v>0</v>
      </c>
      <c r="GI45" s="67">
        <f>IFERROR(VLOOKUP($B45,RD[#All],GI$2,0)/GI$1,"")</f>
        <v>0</v>
      </c>
      <c r="GJ45" s="67">
        <f>IFERROR(VLOOKUP($B45,RD[#All],GJ$2,0)/GJ$1,"")</f>
        <v>0</v>
      </c>
      <c r="GK45" s="67">
        <f>IFERROR(VLOOKUP($B45,RD[#All],GK$2,0)/GK$1,"")</f>
        <v>0</v>
      </c>
      <c r="GL45" s="67">
        <f>IFERROR(VLOOKUP($B45,RD[#All],GL$2,0)/GL$1,"")</f>
        <v>0</v>
      </c>
      <c r="GM45" s="67">
        <f>IFERROR(VLOOKUP($B45,RD[#All],GM$2,0)/GM$1,"")</f>
        <v>0</v>
      </c>
      <c r="GN45" s="67">
        <f>IFERROR(VLOOKUP($B45,RD[#All],GN$2,0)/GN$1,"")</f>
        <v>0</v>
      </c>
      <c r="GO45" s="67">
        <f>IFERROR(VLOOKUP($B45,RD[#All],GO$2,0)/GO$1,"")</f>
        <v>0</v>
      </c>
      <c r="GP45" s="67">
        <f>IFERROR(VLOOKUP($B45,RD[#All],GP$2,0)/GP$1,"")</f>
        <v>0</v>
      </c>
      <c r="GQ45" s="67">
        <f>IFERROR(VLOOKUP($B45,RD[#All],GQ$2,0)/GQ$1,"")</f>
        <v>0</v>
      </c>
      <c r="GR45" s="67">
        <f>IFERROR(VLOOKUP($B45,RD[#All],GR$2,0)/GR$1,"")</f>
        <v>0</v>
      </c>
      <c r="GS45" s="67" t="str">
        <f>IFERROR(VLOOKUP($B45,RD[#All],GS$2,0)/GS$1,"")</f>
        <v/>
      </c>
      <c r="GT45" s="67" t="str">
        <f>IFERROR(VLOOKUP($B45,RD[#All],GT$2,0)/GT$1,"")</f>
        <v/>
      </c>
      <c r="GU45" s="67">
        <f>IFERROR(VLOOKUP($B45,RD[#All],GU$2,0)/GU$1,"")</f>
        <v>0</v>
      </c>
      <c r="GV45" s="67">
        <f>IFERROR(VLOOKUP($B45,RD[#All],GV$2,0)/GV$1,"")</f>
        <v>0</v>
      </c>
      <c r="GW45" s="67">
        <f>IFERROR(VLOOKUP($B45,RD[#All],GW$2,0)/GW$1,"")</f>
        <v>0</v>
      </c>
      <c r="GX45" s="67" t="str">
        <f>IFERROR(VLOOKUP($B45,RD[#All],GX$2,0)/GX$1,"")</f>
        <v/>
      </c>
      <c r="GY45" s="67">
        <f>IFERROR(VLOOKUP($B45,RD[#All],GY$2,0)/GY$1,"")</f>
        <v>0</v>
      </c>
      <c r="GZ45" s="67">
        <f>IFERROR(VLOOKUP($B45,RD[#All],GZ$2,0)/GZ$1,"")</f>
        <v>0</v>
      </c>
      <c r="HA45" s="67">
        <f>IFERROR(VLOOKUP($B45,RD[#All],HA$2,0)/HA$1,"")</f>
        <v>0</v>
      </c>
      <c r="HB45" s="67">
        <f>IFERROR(VLOOKUP($B45,RD[#All],HB$2,0)/HB$1,"")</f>
        <v>0</v>
      </c>
      <c r="HC45" s="67">
        <f>IFERROR(VLOOKUP($B45,RD[#All],HC$2,0)/HC$1,"")</f>
        <v>0</v>
      </c>
      <c r="HD45" s="67">
        <f>IFERROR(VLOOKUP($B45,RD[#All],HD$2,0)/HD$1,"")</f>
        <v>0</v>
      </c>
      <c r="HE45" s="67">
        <f>IFERROR(VLOOKUP($B45,RD[#All],HE$2,0)/HE$1,"")</f>
        <v>0</v>
      </c>
      <c r="HF45" s="67">
        <f>IFERROR(VLOOKUP($B45,RD[#All],HF$2,0)/HF$1,"")</f>
        <v>0</v>
      </c>
      <c r="HG45" s="67">
        <f>IFERROR(VLOOKUP($B45,RD[#All],HG$2,0)/HG$1,"")</f>
        <v>0</v>
      </c>
      <c r="HH45" s="67">
        <f>IFERROR(VLOOKUP($B45,RD[#All],HH$2,0)/HH$1,"")</f>
        <v>0</v>
      </c>
      <c r="HI45" s="67">
        <f>IFERROR(VLOOKUP($B45,RD[#All],HI$2,0)/HI$1,"")</f>
        <v>0</v>
      </c>
      <c r="HJ45" s="67">
        <f>IFERROR(VLOOKUP($B45,RD[#All],HJ$2,0)/HJ$1,"")</f>
        <v>0</v>
      </c>
      <c r="HK45" s="67">
        <f>IFERROR(VLOOKUP($B45,RD[#All],HK$2,0)/HK$1,"")</f>
        <v>0</v>
      </c>
      <c r="HL45" s="67">
        <f>IFERROR(VLOOKUP($B45,RD[#All],HL$2,0)/HL$1,"")</f>
        <v>0</v>
      </c>
      <c r="HM45" s="67">
        <f>IFERROR(VLOOKUP($B45,RD[#All],HM$2,0)/HM$1,"")</f>
        <v>0</v>
      </c>
      <c r="HN45" s="67">
        <f>IFERROR(VLOOKUP($B45,RD[#All],HN$2,0)/HN$1,"")</f>
        <v>0</v>
      </c>
      <c r="HO45" s="67">
        <f>IFERROR(VLOOKUP($B45,RD[#All],HO$2,0)/HO$1,"")</f>
        <v>0</v>
      </c>
      <c r="HP45" s="67">
        <f>IFERROR(VLOOKUP($B45,RD[#All],HP$2,0)/HP$1,"")</f>
        <v>0</v>
      </c>
      <c r="HQ45" s="67">
        <f>IFERROR(VLOOKUP($B45,RD[#All],HQ$2,0)/HQ$1,"")</f>
        <v>0</v>
      </c>
      <c r="HR45" s="67">
        <f>IFERROR(VLOOKUP($B45,RD[#All],HR$2,0)/HR$1,"")</f>
        <v>0</v>
      </c>
      <c r="HS45" s="67">
        <f>IFERROR(VLOOKUP($B45,RD[#All],HS$2,0)/HS$1,"")</f>
        <v>0</v>
      </c>
      <c r="HT45" s="67">
        <f>IFERROR(VLOOKUP($B45,RD[#All],HT$2,0)/HT$1,"")</f>
        <v>0</v>
      </c>
      <c r="HU45" s="67">
        <f>IFERROR(VLOOKUP($B45,RD[#All],HU$2,0)/HU$1,"")</f>
        <v>0</v>
      </c>
      <c r="HV45" s="67">
        <f>IFERROR(VLOOKUP($B45,RD[#All],HV$2,0)/HV$1,"")</f>
        <v>0</v>
      </c>
      <c r="HW45" s="67">
        <f>IFERROR(VLOOKUP($B45,RD[#All],HW$2,0)/HW$1,"")</f>
        <v>0</v>
      </c>
      <c r="HX45" s="67">
        <f>IFERROR(VLOOKUP($B45,RD[#All],HX$2,0)/HX$1,"")</f>
        <v>0</v>
      </c>
      <c r="HY45" s="67">
        <f>IFERROR(VLOOKUP($B45,RD[#All],HY$2,0)/HY$1,"")</f>
        <v>0</v>
      </c>
      <c r="HZ45" s="67">
        <f>IFERROR(VLOOKUP($B45,RD[#All],HZ$2,0)/HZ$1,"")</f>
        <v>0</v>
      </c>
      <c r="IA45" s="67">
        <f>IFERROR(VLOOKUP($B45,RD[#All],IA$2,0)/IA$1,"")</f>
        <v>0</v>
      </c>
      <c r="IB45" s="67">
        <f>IFERROR(VLOOKUP($B45,RD[#All],IB$2,0)/IB$1,"")</f>
        <v>0</v>
      </c>
      <c r="IC45" s="67">
        <f>IFERROR(VLOOKUP($B45,RD[#All],IC$2,0)/IC$1,"")</f>
        <v>0</v>
      </c>
      <c r="ID45" s="67">
        <f>IFERROR(VLOOKUP($B45,RD[#All],ID$2,0)/ID$1,"")</f>
        <v>0</v>
      </c>
      <c r="IE45" s="67">
        <f>IFERROR(VLOOKUP($B45,RD[#All],IE$2,0)/IE$1,"")</f>
        <v>0</v>
      </c>
      <c r="IF45" s="67" t="str">
        <f>IFERROR(VLOOKUP($B45,RD[#All],IF$2,0)/IF$1,"")</f>
        <v/>
      </c>
      <c r="IG45" s="67">
        <f>IFERROR(VLOOKUP($B45,RD[#All],IG$2,0)/IG$1,"")</f>
        <v>0</v>
      </c>
      <c r="IH45" s="67">
        <f>IFERROR(VLOOKUP($B45,RD[#All],IH$2,0)/IH$1,"")</f>
        <v>0</v>
      </c>
      <c r="II45" s="67">
        <f>IFERROR(VLOOKUP($B45,RD[#All],II$2,0)/II$1,"")</f>
        <v>0</v>
      </c>
      <c r="IJ45" s="67">
        <f>IFERROR(VLOOKUP($B45,RD[#All],IJ$2,0)/IJ$1,"")</f>
        <v>0</v>
      </c>
      <c r="IK45" s="67">
        <f>IFERROR(VLOOKUP($B45,RD[#All],IK$2,0)/IK$1,"")</f>
        <v>0</v>
      </c>
      <c r="IL45" s="67" t="str">
        <f>IFERROR(VLOOKUP($B45,RD[#All],IL$2,0)/IL$1,"")</f>
        <v/>
      </c>
      <c r="IM45" s="67" t="str">
        <f>IFERROR(VLOOKUP($B45,RD[#All],IM$2,0)/IM$1,"")</f>
        <v/>
      </c>
      <c r="IN45" s="67">
        <f>IFERROR(VLOOKUP($B45,RD[#All],IN$2,0)/IN$1,"")</f>
        <v>0</v>
      </c>
      <c r="IO45" s="67">
        <f>IFERROR(VLOOKUP($B45,RD[#All],IO$2,0)/IO$1,"")</f>
        <v>0</v>
      </c>
      <c r="IP45" s="67">
        <f>IFERROR(VLOOKUP($B45,RD[#All],IP$2,0)/IP$1,"")</f>
        <v>0</v>
      </c>
      <c r="IQ45" s="67">
        <f>IFERROR(VLOOKUP($B45,RD[#All],IQ$2,0)/IQ$1,"")</f>
        <v>0</v>
      </c>
      <c r="IR45" s="67">
        <f>IFERROR(VLOOKUP($B45,RD[#All],IR$2,0)/IR$1,"")</f>
        <v>0</v>
      </c>
      <c r="IS45" s="86" t="str">
        <f>IFERROR(AVERAGEIF(Inv_SY_B[[#This Row],[BLK1_INV1]:[BLK8_INV27]],"&gt;"&amp;0.1,Inv_SY_B[[#This Row],[BLK1_INV1]:[BLK8_INV27]]),"")</f>
        <v/>
      </c>
    </row>
    <row r="46" spans="2:253" x14ac:dyDescent="0.25">
      <c r="B46" s="87">
        <f t="shared" si="1"/>
        <v>45872</v>
      </c>
      <c r="C46" s="67">
        <f>IFERROR(VLOOKUP($B46,RD[#All],C$2,0)/C$1,"")</f>
        <v>0</v>
      </c>
      <c r="D46" s="67">
        <f>IFERROR(VLOOKUP($B46,RD[#All],D$2,0)/D$1,"")</f>
        <v>0</v>
      </c>
      <c r="E46" s="67">
        <f>IFERROR(VLOOKUP($B46,RD[#All],E$2,0)/E$1,"")</f>
        <v>0</v>
      </c>
      <c r="F46" s="67">
        <f>IFERROR(VLOOKUP($B46,RD[#All],F$2,0)/F$1,"")</f>
        <v>0</v>
      </c>
      <c r="G46" s="67">
        <f>IFERROR(VLOOKUP($B46,RD[#All],G$2,0)/G$1,"")</f>
        <v>0</v>
      </c>
      <c r="H46" s="67">
        <f>IFERROR(VLOOKUP($B46,RD[#All],H$2,0)/H$1,"")</f>
        <v>0</v>
      </c>
      <c r="I46" s="67">
        <f>IFERROR(VLOOKUP($B46,RD[#All],I$2,0)/I$1,"")</f>
        <v>0</v>
      </c>
      <c r="J46" s="67">
        <f>IFERROR(VLOOKUP($B46,RD[#All],J$2,0)/J$1,"")</f>
        <v>0</v>
      </c>
      <c r="K46" s="67">
        <f>IFERROR(VLOOKUP($B46,RD[#All],K$2,0)/K$1,"")</f>
        <v>0</v>
      </c>
      <c r="L46" s="67">
        <f>IFERROR(VLOOKUP($B46,RD[#All],L$2,0)/L$1,"")</f>
        <v>0</v>
      </c>
      <c r="M46" s="67">
        <f>IFERROR(VLOOKUP($B46,RD[#All],M$2,0)/M$1,"")</f>
        <v>0</v>
      </c>
      <c r="N46" s="67">
        <f>IFERROR(VLOOKUP($B46,RD[#All],N$2,0)/N$1,"")</f>
        <v>0</v>
      </c>
      <c r="O46" s="67">
        <f>IFERROR(VLOOKUP($B46,RD[#All],O$2,0)/O$1,"")</f>
        <v>0</v>
      </c>
      <c r="P46" s="67">
        <f>IFERROR(VLOOKUP($B46,RD[#All],P$2,0)/P$1,"")</f>
        <v>0</v>
      </c>
      <c r="Q46" s="67">
        <f>IFERROR(VLOOKUP($B46,RD[#All],Q$2,0)/Q$1,"")</f>
        <v>0</v>
      </c>
      <c r="R46" s="67">
        <f>IFERROR(VLOOKUP($B46,RD[#All],R$2,0)/R$1,"")</f>
        <v>0</v>
      </c>
      <c r="S46" s="67">
        <f>IFERROR(VLOOKUP($B46,RD[#All],S$2,0)/S$1,"")</f>
        <v>0</v>
      </c>
      <c r="T46" s="67">
        <f>IFERROR(VLOOKUP($B46,RD[#All],T$2,0)/T$1,"")</f>
        <v>0</v>
      </c>
      <c r="U46" s="67">
        <f>IFERROR(VLOOKUP($B46,RD[#All],U$2,0)/U$1,"")</f>
        <v>0</v>
      </c>
      <c r="V46" s="67">
        <f>IFERROR(VLOOKUP($B46,RD[#All],V$2,0)/V$1,"")</f>
        <v>0</v>
      </c>
      <c r="W46" s="67">
        <f>IFERROR(VLOOKUP($B46,RD[#All],W$2,0)/W$1,"")</f>
        <v>0</v>
      </c>
      <c r="X46" s="67">
        <f>IFERROR(VLOOKUP($B46,RD[#All],X$2,0)/X$1,"")</f>
        <v>0</v>
      </c>
      <c r="Y46" s="67">
        <f>IFERROR(VLOOKUP($B46,RD[#All],Y$2,0)/Y$1,"")</f>
        <v>0</v>
      </c>
      <c r="Z46" s="67">
        <f>IFERROR(VLOOKUP($B46,RD[#All],Z$2,0)/Z$1,"")</f>
        <v>0</v>
      </c>
      <c r="AA46" s="67">
        <f>IFERROR(VLOOKUP($B46,RD[#All],AA$2,0)/AA$1,"")</f>
        <v>0</v>
      </c>
      <c r="AB46" s="67">
        <f>IFERROR(VLOOKUP($B46,RD[#All],AB$2,0)/AB$1,"")</f>
        <v>0</v>
      </c>
      <c r="AC46" s="67">
        <f>IFERROR(VLOOKUP($B46,RD[#All],AC$2,0)/AC$1,"")</f>
        <v>0</v>
      </c>
      <c r="AD46" s="67">
        <f>IFERROR(VLOOKUP($B46,RD[#All],AD$2,0)/AD$1,"")</f>
        <v>0</v>
      </c>
      <c r="AE46" s="67">
        <f>IFERROR(VLOOKUP($B46,RD[#All],AE$2,0)/AE$1,"")</f>
        <v>0</v>
      </c>
      <c r="AF46" s="67">
        <f>IFERROR(VLOOKUP($B46,RD[#All],AF$2,0)/AF$1,"")</f>
        <v>0</v>
      </c>
      <c r="AG46" s="67">
        <f>IFERROR(VLOOKUP($B46,RD[#All],AG$2,0)/AG$1,"")</f>
        <v>0</v>
      </c>
      <c r="AH46" s="67">
        <f>IFERROR(VLOOKUP($B46,RD[#All],AH$2,0)/AH$1,"")</f>
        <v>0</v>
      </c>
      <c r="AI46" s="67">
        <f>IFERROR(VLOOKUP($B46,RD[#All],AI$2,0)/AI$1,"")</f>
        <v>0</v>
      </c>
      <c r="AJ46" s="67">
        <f>IFERROR(VLOOKUP($B46,RD[#All],AJ$2,0)/AJ$1,"")</f>
        <v>0</v>
      </c>
      <c r="AK46" s="67">
        <f>IFERROR(VLOOKUP($B46,RD[#All],AK$2,0)/AK$1,"")</f>
        <v>0</v>
      </c>
      <c r="AL46" s="67">
        <f>IFERROR(VLOOKUP($B46,RD[#All],AL$2,0)/AL$1,"")</f>
        <v>0</v>
      </c>
      <c r="AM46" s="67">
        <f>IFERROR(VLOOKUP($B46,RD[#All],AM$2,0)/AM$1,"")</f>
        <v>0</v>
      </c>
      <c r="AN46" s="67">
        <f>IFERROR(VLOOKUP($B46,RD[#All],AN$2,0)/AN$1,"")</f>
        <v>0</v>
      </c>
      <c r="AO46" s="67">
        <f>IFERROR(VLOOKUP($B46,RD[#All],AO$2,0)/AO$1,"")</f>
        <v>0</v>
      </c>
      <c r="AP46" s="67">
        <f>IFERROR(VLOOKUP($B46,RD[#All],AP$2,0)/AP$1,"")</f>
        <v>0</v>
      </c>
      <c r="AQ46" s="67">
        <f>IFERROR(VLOOKUP($B46,RD[#All],AQ$2,0)/AQ$1,"")</f>
        <v>0</v>
      </c>
      <c r="AR46" s="67">
        <f>IFERROR(VLOOKUP($B46,RD[#All],AR$2,0)/AR$1,"")</f>
        <v>0</v>
      </c>
      <c r="AS46" s="67">
        <f>IFERROR(VLOOKUP($B46,RD[#All],AS$2,0)/AS$1,"")</f>
        <v>0</v>
      </c>
      <c r="AT46" s="67">
        <f>IFERROR(VLOOKUP($B46,RD[#All],AT$2,0)/AT$1,"")</f>
        <v>0</v>
      </c>
      <c r="AU46" s="67">
        <f>IFERROR(VLOOKUP($B46,RD[#All],AU$2,0)/AU$1,"")</f>
        <v>0</v>
      </c>
      <c r="AV46" s="67">
        <f>IFERROR(VLOOKUP($B46,RD[#All],AV$2,0)/AV$1,"")</f>
        <v>0</v>
      </c>
      <c r="AW46" s="67">
        <f>IFERROR(VLOOKUP($B46,RD[#All],AW$2,0)/AW$1,"")</f>
        <v>0</v>
      </c>
      <c r="AX46" s="67">
        <f>IFERROR(VLOOKUP($B46,RD[#All],AX$2,0)/AX$1,"")</f>
        <v>0</v>
      </c>
      <c r="AY46" s="67">
        <f>IFERROR(VLOOKUP($B46,RD[#All],AY$2,0)/AY$1,"")</f>
        <v>0</v>
      </c>
      <c r="AZ46" s="67">
        <f>IFERROR(VLOOKUP($B46,RD[#All],AZ$2,0)/AZ$1,"")</f>
        <v>0</v>
      </c>
      <c r="BA46" s="67">
        <f>IFERROR(VLOOKUP($B46,RD[#All],BA$2,0)/BA$1,"")</f>
        <v>0</v>
      </c>
      <c r="BB46" s="67">
        <f>IFERROR(VLOOKUP($B46,RD[#All],BB$2,0)/BB$1,"")</f>
        <v>0</v>
      </c>
      <c r="BC46" s="67">
        <f>IFERROR(VLOOKUP($B46,RD[#All],BC$2,0)/BC$1,"")</f>
        <v>0</v>
      </c>
      <c r="BD46" s="67">
        <f>IFERROR(VLOOKUP($B46,RD[#All],BD$2,0)/BD$1,"")</f>
        <v>0</v>
      </c>
      <c r="BE46" s="67">
        <f>IFERROR(VLOOKUP($B46,RD[#All],BE$2,0)/BE$1,"")</f>
        <v>0</v>
      </c>
      <c r="BF46" s="67">
        <f>IFERROR(VLOOKUP($B46,RD[#All],BF$2,0)/BF$1,"")</f>
        <v>0</v>
      </c>
      <c r="BG46" s="67">
        <f>IFERROR(VLOOKUP($B46,RD[#All],BG$2,0)/BG$1,"")</f>
        <v>0</v>
      </c>
      <c r="BH46" s="67">
        <f>IFERROR(VLOOKUP($B46,RD[#All],BH$2,0)/BH$1,"")</f>
        <v>0</v>
      </c>
      <c r="BI46" s="67">
        <f>IFERROR(VLOOKUP($B46,RD[#All],BI$2,0)/BI$1,"")</f>
        <v>0</v>
      </c>
      <c r="BJ46" s="67">
        <f>IFERROR(VLOOKUP($B46,RD[#All],BJ$2,0)/BJ$1,"")</f>
        <v>0</v>
      </c>
      <c r="BK46" s="67">
        <f>IFERROR(VLOOKUP($B46,RD[#All],BK$2,0)/BK$1,"")</f>
        <v>0</v>
      </c>
      <c r="BL46" s="67">
        <f>IFERROR(VLOOKUP($B46,RD[#All],BL$2,0)/BL$1,"")</f>
        <v>0</v>
      </c>
      <c r="BM46" s="67">
        <f>IFERROR(VLOOKUP($B46,RD[#All],BM$2,0)/BM$1,"")</f>
        <v>0</v>
      </c>
      <c r="BN46" s="67">
        <f>IFERROR(VLOOKUP($B46,RD[#All],BN$2,0)/BN$1,"")</f>
        <v>0</v>
      </c>
      <c r="BO46" s="67">
        <f>IFERROR(VLOOKUP($B46,RD[#All],BO$2,0)/BO$1,"")</f>
        <v>0</v>
      </c>
      <c r="BP46" s="67">
        <f>IFERROR(VLOOKUP($B46,RD[#All],BP$2,0)/BP$1,"")</f>
        <v>0</v>
      </c>
      <c r="BQ46" s="67">
        <f>IFERROR(VLOOKUP($B46,RD[#All],BQ$2,0)/BQ$1,"")</f>
        <v>0</v>
      </c>
      <c r="BR46" s="67">
        <f>IFERROR(VLOOKUP($B46,RD[#All],BR$2,0)/BR$1,"")</f>
        <v>0</v>
      </c>
      <c r="BS46" s="67">
        <f>IFERROR(VLOOKUP($B46,RD[#All],BS$2,0)/BS$1,"")</f>
        <v>0</v>
      </c>
      <c r="BT46" s="67">
        <f>IFERROR(VLOOKUP($B46,RD[#All],BT$2,0)/BT$1,"")</f>
        <v>0</v>
      </c>
      <c r="BU46" s="67">
        <f>IFERROR(VLOOKUP($B46,RD[#All],BU$2,0)/BU$1,"")</f>
        <v>0</v>
      </c>
      <c r="BV46" s="67">
        <f>IFERROR(VLOOKUP($B46,RD[#All],BV$2,0)/BV$1,"")</f>
        <v>0</v>
      </c>
      <c r="BW46" s="67">
        <f>IFERROR(VLOOKUP($B46,RD[#All],BW$2,0)/BW$1,"")</f>
        <v>0</v>
      </c>
      <c r="BX46" s="67">
        <f>IFERROR(VLOOKUP($B46,RD[#All],BX$2,0)/BX$1,"")</f>
        <v>0</v>
      </c>
      <c r="BY46" s="67">
        <f>IFERROR(VLOOKUP($B46,RD[#All],BY$2,0)/BY$1,"")</f>
        <v>0</v>
      </c>
      <c r="BZ46" s="67">
        <f>IFERROR(VLOOKUP($B46,RD[#All],BZ$2,0)/BZ$1,"")</f>
        <v>0</v>
      </c>
      <c r="CA46" s="67">
        <f>IFERROR(VLOOKUP($B46,RD[#All],CA$2,0)/CA$1,"")</f>
        <v>0</v>
      </c>
      <c r="CB46" s="67">
        <f>IFERROR(VLOOKUP($B46,RD[#All],CB$2,0)/CB$1,"")</f>
        <v>0</v>
      </c>
      <c r="CC46" s="67">
        <f>IFERROR(VLOOKUP($B46,RD[#All],CC$2,0)/CC$1,"")</f>
        <v>0</v>
      </c>
      <c r="CD46" s="67">
        <f>IFERROR(VLOOKUP($B46,RD[#All],CD$2,0)/CD$1,"")</f>
        <v>0</v>
      </c>
      <c r="CE46" s="67">
        <f>IFERROR(VLOOKUP($B46,RD[#All],CE$2,0)/CE$1,"")</f>
        <v>0</v>
      </c>
      <c r="CF46" s="67">
        <f>IFERROR(VLOOKUP($B46,RD[#All],CF$2,0)/CF$1,"")</f>
        <v>0</v>
      </c>
      <c r="CG46" s="67">
        <f>IFERROR(VLOOKUP($B46,RD[#All],CG$2,0)/CG$1,"")</f>
        <v>0</v>
      </c>
      <c r="CH46" s="67">
        <f>IFERROR(VLOOKUP($B46,RD[#All],CH$2,0)/CH$1,"")</f>
        <v>0</v>
      </c>
      <c r="CI46" s="67">
        <f>IFERROR(VLOOKUP($B46,RD[#All],CI$2,0)/CI$1,"")</f>
        <v>0</v>
      </c>
      <c r="CJ46" s="67">
        <f>IFERROR(VLOOKUP($B46,RD[#All],CJ$2,0)/CJ$1,"")</f>
        <v>0</v>
      </c>
      <c r="CK46" s="67">
        <f>IFERROR(VLOOKUP($B46,RD[#All],CK$2,0)/CK$1,"")</f>
        <v>0</v>
      </c>
      <c r="CL46" s="67">
        <f>IFERROR(VLOOKUP($B46,RD[#All],CL$2,0)/CL$1,"")</f>
        <v>0</v>
      </c>
      <c r="CM46" s="67">
        <f>IFERROR(VLOOKUP($B46,RD[#All],CM$2,0)/CM$1,"")</f>
        <v>0</v>
      </c>
      <c r="CN46" s="67">
        <f>IFERROR(VLOOKUP($B46,RD[#All],CN$2,0)/CN$1,"")</f>
        <v>0</v>
      </c>
      <c r="CO46" s="67">
        <f>IFERROR(VLOOKUP($B46,RD[#All],CO$2,0)/CO$1,"")</f>
        <v>0</v>
      </c>
      <c r="CP46" s="67">
        <f>IFERROR(VLOOKUP($B46,RD[#All],CP$2,0)/CP$1,"")</f>
        <v>0</v>
      </c>
      <c r="CQ46" s="67">
        <f>IFERROR(VLOOKUP($B46,RD[#All],CQ$2,0)/CQ$1,"")</f>
        <v>0</v>
      </c>
      <c r="CR46" s="67">
        <f>IFERROR(VLOOKUP($B46,RD[#All],CR$2,0)/CR$1,"")</f>
        <v>0</v>
      </c>
      <c r="CS46" s="67">
        <f>IFERROR(VLOOKUP($B46,RD[#All],CS$2,0)/CS$1,"")</f>
        <v>0</v>
      </c>
      <c r="CT46" s="67">
        <f>IFERROR(VLOOKUP($B46,RD[#All],CT$2,0)/CT$1,"")</f>
        <v>0</v>
      </c>
      <c r="CU46" s="67">
        <f>IFERROR(VLOOKUP($B46,RD[#All],CU$2,0)/CU$1,"")</f>
        <v>0</v>
      </c>
      <c r="CV46" s="67">
        <f>IFERROR(VLOOKUP($B46,RD[#All],CV$2,0)/CV$1,"")</f>
        <v>0</v>
      </c>
      <c r="CW46" s="67">
        <f>IFERROR(VLOOKUP($B46,RD[#All],CW$2,0)/CW$1,"")</f>
        <v>0</v>
      </c>
      <c r="CX46" s="67">
        <f>IFERROR(VLOOKUP($B46,RD[#All],CX$2,0)/CX$1,"")</f>
        <v>0</v>
      </c>
      <c r="CY46" s="67">
        <f>IFERROR(VLOOKUP($B46,RD[#All],CY$2,0)/CY$1,"")</f>
        <v>0</v>
      </c>
      <c r="CZ46" s="67">
        <f>IFERROR(VLOOKUP($B46,RD[#All],CZ$2,0)/CZ$1,"")</f>
        <v>0</v>
      </c>
      <c r="DA46" s="67">
        <f>IFERROR(VLOOKUP($B46,RD[#All],DA$2,0)/DA$1,"")</f>
        <v>0</v>
      </c>
      <c r="DB46" s="67">
        <f>IFERROR(VLOOKUP($B46,RD[#All],DB$2,0)/DB$1,"")</f>
        <v>0</v>
      </c>
      <c r="DC46" s="67">
        <f>IFERROR(VLOOKUP($B46,RD[#All],DC$2,0)/DC$1,"")</f>
        <v>0</v>
      </c>
      <c r="DD46" s="67">
        <f>IFERROR(VLOOKUP($B46,RD[#All],DD$2,0)/DD$1,"")</f>
        <v>0</v>
      </c>
      <c r="DE46" s="67">
        <f>IFERROR(VLOOKUP($B46,RD[#All],DE$2,0)/DE$1,"")</f>
        <v>0</v>
      </c>
      <c r="DF46" s="67">
        <f>IFERROR(VLOOKUP($B46,RD[#All],DF$2,0)/DF$1,"")</f>
        <v>0</v>
      </c>
      <c r="DG46" s="67">
        <f>IFERROR(VLOOKUP($B46,RD[#All],DG$2,0)/DG$1,"")</f>
        <v>0</v>
      </c>
      <c r="DH46" s="67">
        <f>IFERROR(VLOOKUP($B46,RD[#All],DH$2,0)/DH$1,"")</f>
        <v>0</v>
      </c>
      <c r="DI46" s="67">
        <f>IFERROR(VLOOKUP($B46,RD[#All],DI$2,0)/DI$1,"")</f>
        <v>0</v>
      </c>
      <c r="DJ46" s="67">
        <f>IFERROR(VLOOKUP($B46,RD[#All],DJ$2,0)/DJ$1,"")</f>
        <v>0</v>
      </c>
      <c r="DK46" s="67">
        <f>IFERROR(VLOOKUP($B46,RD[#All],DK$2,0)/DK$1,"")</f>
        <v>0</v>
      </c>
      <c r="DL46" s="67">
        <f>IFERROR(VLOOKUP($B46,RD[#All],DL$2,0)/DL$1,"")</f>
        <v>0</v>
      </c>
      <c r="DM46" s="67">
        <f>IFERROR(VLOOKUP($B46,RD[#All],DM$2,0)/DM$1,"")</f>
        <v>0</v>
      </c>
      <c r="DN46" s="67">
        <f>IFERROR(VLOOKUP($B46,RD[#All],DN$2,0)/DN$1,"")</f>
        <v>0</v>
      </c>
      <c r="DO46" s="67">
        <f>IFERROR(VLOOKUP($B46,RD[#All],DO$2,0)/DO$1,"")</f>
        <v>0</v>
      </c>
      <c r="DP46" s="67">
        <f>IFERROR(VLOOKUP($B46,RD[#All],DP$2,0)/DP$1,"")</f>
        <v>0</v>
      </c>
      <c r="DQ46" s="67">
        <f>IFERROR(VLOOKUP($B46,RD[#All],DQ$2,0)/DQ$1,"")</f>
        <v>0</v>
      </c>
      <c r="DR46" s="67">
        <f>IFERROR(VLOOKUP($B46,RD[#All],DR$2,0)/DR$1,"")</f>
        <v>0</v>
      </c>
      <c r="DS46" s="67">
        <f>IFERROR(VLOOKUP($B46,RD[#All],DS$2,0)/DS$1,"")</f>
        <v>0</v>
      </c>
      <c r="DT46" s="67">
        <f>IFERROR(VLOOKUP($B46,RD[#All],DT$2,0)/DT$1,"")</f>
        <v>0</v>
      </c>
      <c r="DU46" s="67">
        <f>IFERROR(VLOOKUP($B46,RD[#All],DU$2,0)/DU$1,"")</f>
        <v>0</v>
      </c>
      <c r="DV46" s="67">
        <f>IFERROR(VLOOKUP($B46,RD[#All],DV$2,0)/DV$1,"")</f>
        <v>0</v>
      </c>
      <c r="DW46" s="67">
        <f>IFERROR(VLOOKUP($B46,RD[#All],DW$2,0)/DW$1,"")</f>
        <v>0</v>
      </c>
      <c r="DX46" s="67">
        <f>IFERROR(VLOOKUP($B46,RD[#All],DX$2,0)/DX$1,"")</f>
        <v>0</v>
      </c>
      <c r="DY46" s="67">
        <f>IFERROR(VLOOKUP($B46,RD[#All],DY$2,0)/DY$1,"")</f>
        <v>0</v>
      </c>
      <c r="DZ46" s="67">
        <f>IFERROR(VLOOKUP($B46,RD[#All],DZ$2,0)/DZ$1,"")</f>
        <v>0</v>
      </c>
      <c r="EA46" s="67">
        <f>IFERROR(VLOOKUP($B46,RD[#All],EA$2,0)/EA$1,"")</f>
        <v>0</v>
      </c>
      <c r="EB46" s="67">
        <f>IFERROR(VLOOKUP($B46,RD[#All],EB$2,0)/EB$1,"")</f>
        <v>0</v>
      </c>
      <c r="EC46" s="67">
        <f>IFERROR(VLOOKUP($B46,RD[#All],EC$2,0)/EC$1,"")</f>
        <v>0</v>
      </c>
      <c r="ED46" s="67">
        <f>IFERROR(VLOOKUP($B46,RD[#All],ED$2,0)/ED$1,"")</f>
        <v>0</v>
      </c>
      <c r="EE46" s="67">
        <f>IFERROR(VLOOKUP($B46,RD[#All],EE$2,0)/EE$1,"")</f>
        <v>0</v>
      </c>
      <c r="EF46" s="67">
        <f>IFERROR(VLOOKUP($B46,RD[#All],EF$2,0)/EF$1,"")</f>
        <v>0</v>
      </c>
      <c r="EG46" s="67">
        <f>IFERROR(VLOOKUP($B46,RD[#All],EG$2,0)/EG$1,"")</f>
        <v>0</v>
      </c>
      <c r="EH46" s="67">
        <f>IFERROR(VLOOKUP($B46,RD[#All],EH$2,0)/EH$1,"")</f>
        <v>0</v>
      </c>
      <c r="EI46" s="67">
        <f>IFERROR(VLOOKUP($B46,RD[#All],EI$2,0)/EI$1,"")</f>
        <v>0</v>
      </c>
      <c r="EJ46" s="67">
        <f>IFERROR(VLOOKUP($B46,RD[#All],EJ$2,0)/EJ$1,"")</f>
        <v>0</v>
      </c>
      <c r="EK46" s="67">
        <f>IFERROR(VLOOKUP($B46,RD[#All],EK$2,0)/EK$1,"")</f>
        <v>0</v>
      </c>
      <c r="EL46" s="67">
        <f>IFERROR(VLOOKUP($B46,RD[#All],EL$2,0)/EL$1,"")</f>
        <v>0</v>
      </c>
      <c r="EM46" s="67">
        <f>IFERROR(VLOOKUP($B46,RD[#All],EM$2,0)/EM$1,"")</f>
        <v>0</v>
      </c>
      <c r="EN46" s="67">
        <f>IFERROR(VLOOKUP($B46,RD[#All],EN$2,0)/EN$1,"")</f>
        <v>0</v>
      </c>
      <c r="EO46" s="67">
        <f>IFERROR(VLOOKUP($B46,RD[#All],EO$2,0)/EO$1,"")</f>
        <v>0</v>
      </c>
      <c r="EP46" s="67">
        <f>IFERROR(VLOOKUP($B46,RD[#All],EP$2,0)/EP$1,"")</f>
        <v>0</v>
      </c>
      <c r="EQ46" s="67">
        <f>IFERROR(VLOOKUP($B46,RD[#All],EQ$2,0)/EQ$1,"")</f>
        <v>0</v>
      </c>
      <c r="ER46" s="67">
        <f>IFERROR(VLOOKUP($B46,RD[#All],ER$2,0)/ER$1,"")</f>
        <v>0</v>
      </c>
      <c r="ES46" s="67">
        <f>IFERROR(VLOOKUP($B46,RD[#All],ES$2,0)/ES$1,"")</f>
        <v>0</v>
      </c>
      <c r="ET46" s="67">
        <f>IFERROR(VLOOKUP($B46,RD[#All],ET$2,0)/ET$1,"")</f>
        <v>0</v>
      </c>
      <c r="EU46" s="67">
        <f>IFERROR(VLOOKUP($B46,RD[#All],EU$2,0)/EU$1,"")</f>
        <v>0</v>
      </c>
      <c r="EV46" s="67">
        <f>IFERROR(VLOOKUP($B46,RD[#All],EV$2,0)/EV$1,"")</f>
        <v>0</v>
      </c>
      <c r="EW46" s="67">
        <f>IFERROR(VLOOKUP($B46,RD[#All],EW$2,0)/EW$1,"")</f>
        <v>0</v>
      </c>
      <c r="EX46" s="67">
        <f>IFERROR(VLOOKUP($B46,RD[#All],EX$2,0)/EX$1,"")</f>
        <v>0</v>
      </c>
      <c r="EY46" s="67">
        <f>IFERROR(VLOOKUP($B46,RD[#All],EY$2,0)/EY$1,"")</f>
        <v>0</v>
      </c>
      <c r="EZ46" s="67">
        <f>IFERROR(VLOOKUP($B46,RD[#All],EZ$2,0)/EZ$1,"")</f>
        <v>0</v>
      </c>
      <c r="FA46" s="67">
        <f>IFERROR(VLOOKUP($B46,RD[#All],FA$2,0)/FA$1,"")</f>
        <v>0</v>
      </c>
      <c r="FB46" s="67">
        <f>IFERROR(VLOOKUP($B46,RD[#All],FB$2,0)/FB$1,"")</f>
        <v>0</v>
      </c>
      <c r="FC46" s="67">
        <f>IFERROR(VLOOKUP($B46,RD[#All],FC$2,0)/FC$1,"")</f>
        <v>0</v>
      </c>
      <c r="FD46" s="67">
        <f>IFERROR(VLOOKUP($B46,RD[#All],FD$2,0)/FD$1,"")</f>
        <v>0</v>
      </c>
      <c r="FE46" s="67">
        <f>IFERROR(VLOOKUP($B46,RD[#All],FE$2,0)/FE$1,"")</f>
        <v>0</v>
      </c>
      <c r="FF46" s="67">
        <f>IFERROR(VLOOKUP($B46,RD[#All],FF$2,0)/FF$1,"")</f>
        <v>0</v>
      </c>
      <c r="FG46" s="67">
        <f>IFERROR(VLOOKUP($B46,RD[#All],FG$2,0)/FG$1,"")</f>
        <v>0</v>
      </c>
      <c r="FH46" s="67">
        <f>IFERROR(VLOOKUP($B46,RD[#All],FH$2,0)/FH$1,"")</f>
        <v>0</v>
      </c>
      <c r="FI46" s="67">
        <f>IFERROR(VLOOKUP($B46,RD[#All],FI$2,0)/FI$1,"")</f>
        <v>0</v>
      </c>
      <c r="FJ46" s="67">
        <f>IFERROR(VLOOKUP($B46,RD[#All],FJ$2,0)/FJ$1,"")</f>
        <v>0</v>
      </c>
      <c r="FK46" s="67">
        <f>IFERROR(VLOOKUP($B46,RD[#All],FK$2,0)/FK$1,"")</f>
        <v>0</v>
      </c>
      <c r="FL46" s="67">
        <f>IFERROR(VLOOKUP($B46,RD[#All],FL$2,0)/FL$1,"")</f>
        <v>0</v>
      </c>
      <c r="FM46" s="67">
        <f>IFERROR(VLOOKUP($B46,RD[#All],FM$2,0)/FM$1,"")</f>
        <v>0</v>
      </c>
      <c r="FN46" s="67">
        <f>IFERROR(VLOOKUP($B46,RD[#All],FN$2,0)/FN$1,"")</f>
        <v>0</v>
      </c>
      <c r="FO46" s="67">
        <f>IFERROR(VLOOKUP($B46,RD[#All],FO$2,0)/FO$1,"")</f>
        <v>0</v>
      </c>
      <c r="FP46" s="67">
        <f>IFERROR(VLOOKUP($B46,RD[#All],FP$2,0)/FP$1,"")</f>
        <v>0</v>
      </c>
      <c r="FQ46" s="67">
        <f>IFERROR(VLOOKUP($B46,RD[#All],FQ$2,0)/FQ$1,"")</f>
        <v>0</v>
      </c>
      <c r="FR46" s="67">
        <f>IFERROR(VLOOKUP($B46,RD[#All],FR$2,0)/FR$1,"")</f>
        <v>0</v>
      </c>
      <c r="FS46" s="67">
        <f>IFERROR(VLOOKUP($B46,RD[#All],FS$2,0)/FS$1,"")</f>
        <v>0</v>
      </c>
      <c r="FT46" s="67">
        <f>IFERROR(VLOOKUP($B46,RD[#All],FT$2,0)/FT$1,"")</f>
        <v>0</v>
      </c>
      <c r="FU46" s="67">
        <f>IFERROR(VLOOKUP($B46,RD[#All],FU$2,0)/FU$1,"")</f>
        <v>0</v>
      </c>
      <c r="FV46" s="67">
        <f>IFERROR(VLOOKUP($B46,RD[#All],FV$2,0)/FV$1,"")</f>
        <v>0</v>
      </c>
      <c r="FW46" s="67">
        <f>IFERROR(VLOOKUP($B46,RD[#All],FW$2,0)/FW$1,"")</f>
        <v>0</v>
      </c>
      <c r="FX46" s="67">
        <f>IFERROR(VLOOKUP($B46,RD[#All],FX$2,0)/FX$1,"")</f>
        <v>0</v>
      </c>
      <c r="FY46" s="67">
        <f>IFERROR(VLOOKUP($B46,RD[#All],FY$2,0)/FY$1,"")</f>
        <v>0</v>
      </c>
      <c r="FZ46" s="67">
        <f>IFERROR(VLOOKUP($B46,RD[#All],FZ$2,0)/FZ$1,"")</f>
        <v>0</v>
      </c>
      <c r="GA46" s="67">
        <f>IFERROR(VLOOKUP($B46,RD[#All],GA$2,0)/GA$1,"")</f>
        <v>0</v>
      </c>
      <c r="GB46" s="67">
        <f>IFERROR(VLOOKUP($B46,RD[#All],GB$2,0)/GB$1,"")</f>
        <v>0</v>
      </c>
      <c r="GC46" s="67">
        <f>IFERROR(VLOOKUP($B46,RD[#All],GC$2,0)/GC$1,"")</f>
        <v>0</v>
      </c>
      <c r="GD46" s="67">
        <f>IFERROR(VLOOKUP($B46,RD[#All],GD$2,0)/GD$1,"")</f>
        <v>0</v>
      </c>
      <c r="GE46" s="67">
        <f>IFERROR(VLOOKUP($B46,RD[#All],GE$2,0)/GE$1,"")</f>
        <v>0</v>
      </c>
      <c r="GF46" s="67">
        <f>IFERROR(VLOOKUP($B46,RD[#All],GF$2,0)/GF$1,"")</f>
        <v>0</v>
      </c>
      <c r="GG46" s="67">
        <f>IFERROR(VLOOKUP($B46,RD[#All],GG$2,0)/GG$1,"")</f>
        <v>0</v>
      </c>
      <c r="GH46" s="67">
        <f>IFERROR(VLOOKUP($B46,RD[#All],GH$2,0)/GH$1,"")</f>
        <v>0</v>
      </c>
      <c r="GI46" s="67">
        <f>IFERROR(VLOOKUP($B46,RD[#All],GI$2,0)/GI$1,"")</f>
        <v>0</v>
      </c>
      <c r="GJ46" s="67">
        <f>IFERROR(VLOOKUP($B46,RD[#All],GJ$2,0)/GJ$1,"")</f>
        <v>0</v>
      </c>
      <c r="GK46" s="67">
        <f>IFERROR(VLOOKUP($B46,RD[#All],GK$2,0)/GK$1,"")</f>
        <v>0</v>
      </c>
      <c r="GL46" s="67">
        <f>IFERROR(VLOOKUP($B46,RD[#All],GL$2,0)/GL$1,"")</f>
        <v>0</v>
      </c>
      <c r="GM46" s="67">
        <f>IFERROR(VLOOKUP($B46,RD[#All],GM$2,0)/GM$1,"")</f>
        <v>0</v>
      </c>
      <c r="GN46" s="67">
        <f>IFERROR(VLOOKUP($B46,RD[#All],GN$2,0)/GN$1,"")</f>
        <v>0</v>
      </c>
      <c r="GO46" s="67">
        <f>IFERROR(VLOOKUP($B46,RD[#All],GO$2,0)/GO$1,"")</f>
        <v>0</v>
      </c>
      <c r="GP46" s="67">
        <f>IFERROR(VLOOKUP($B46,RD[#All],GP$2,0)/GP$1,"")</f>
        <v>0</v>
      </c>
      <c r="GQ46" s="67">
        <f>IFERROR(VLOOKUP($B46,RD[#All],GQ$2,0)/GQ$1,"")</f>
        <v>0</v>
      </c>
      <c r="GR46" s="67">
        <f>IFERROR(VLOOKUP($B46,RD[#All],GR$2,0)/GR$1,"")</f>
        <v>0</v>
      </c>
      <c r="GS46" s="67" t="str">
        <f>IFERROR(VLOOKUP($B46,RD[#All],GS$2,0)/GS$1,"")</f>
        <v/>
      </c>
      <c r="GT46" s="67" t="str">
        <f>IFERROR(VLOOKUP($B46,RD[#All],GT$2,0)/GT$1,"")</f>
        <v/>
      </c>
      <c r="GU46" s="67">
        <f>IFERROR(VLOOKUP($B46,RD[#All],GU$2,0)/GU$1,"")</f>
        <v>0</v>
      </c>
      <c r="GV46" s="67">
        <f>IFERROR(VLOOKUP($B46,RD[#All],GV$2,0)/GV$1,"")</f>
        <v>0</v>
      </c>
      <c r="GW46" s="67">
        <f>IFERROR(VLOOKUP($B46,RD[#All],GW$2,0)/GW$1,"")</f>
        <v>0</v>
      </c>
      <c r="GX46" s="67" t="str">
        <f>IFERROR(VLOOKUP($B46,RD[#All],GX$2,0)/GX$1,"")</f>
        <v/>
      </c>
      <c r="GY46" s="67">
        <f>IFERROR(VLOOKUP($B46,RD[#All],GY$2,0)/GY$1,"")</f>
        <v>0</v>
      </c>
      <c r="GZ46" s="67">
        <f>IFERROR(VLOOKUP($B46,RD[#All],GZ$2,0)/GZ$1,"")</f>
        <v>0</v>
      </c>
      <c r="HA46" s="67">
        <f>IFERROR(VLOOKUP($B46,RD[#All],HA$2,0)/HA$1,"")</f>
        <v>0</v>
      </c>
      <c r="HB46" s="67">
        <f>IFERROR(VLOOKUP($B46,RD[#All],HB$2,0)/HB$1,"")</f>
        <v>0</v>
      </c>
      <c r="HC46" s="67">
        <f>IFERROR(VLOOKUP($B46,RD[#All],HC$2,0)/HC$1,"")</f>
        <v>0</v>
      </c>
      <c r="HD46" s="67">
        <f>IFERROR(VLOOKUP($B46,RD[#All],HD$2,0)/HD$1,"")</f>
        <v>0</v>
      </c>
      <c r="HE46" s="67">
        <f>IFERROR(VLOOKUP($B46,RD[#All],HE$2,0)/HE$1,"")</f>
        <v>0</v>
      </c>
      <c r="HF46" s="67">
        <f>IFERROR(VLOOKUP($B46,RD[#All],HF$2,0)/HF$1,"")</f>
        <v>0</v>
      </c>
      <c r="HG46" s="67">
        <f>IFERROR(VLOOKUP($B46,RD[#All],HG$2,0)/HG$1,"")</f>
        <v>0</v>
      </c>
      <c r="HH46" s="67">
        <f>IFERROR(VLOOKUP($B46,RD[#All],HH$2,0)/HH$1,"")</f>
        <v>0</v>
      </c>
      <c r="HI46" s="67">
        <f>IFERROR(VLOOKUP($B46,RD[#All],HI$2,0)/HI$1,"")</f>
        <v>0</v>
      </c>
      <c r="HJ46" s="67">
        <f>IFERROR(VLOOKUP($B46,RD[#All],HJ$2,0)/HJ$1,"")</f>
        <v>0</v>
      </c>
      <c r="HK46" s="67">
        <f>IFERROR(VLOOKUP($B46,RD[#All],HK$2,0)/HK$1,"")</f>
        <v>0</v>
      </c>
      <c r="HL46" s="67">
        <f>IFERROR(VLOOKUP($B46,RD[#All],HL$2,0)/HL$1,"")</f>
        <v>0</v>
      </c>
      <c r="HM46" s="67">
        <f>IFERROR(VLOOKUP($B46,RD[#All],HM$2,0)/HM$1,"")</f>
        <v>0</v>
      </c>
      <c r="HN46" s="67">
        <f>IFERROR(VLOOKUP($B46,RD[#All],HN$2,0)/HN$1,"")</f>
        <v>0</v>
      </c>
      <c r="HO46" s="67">
        <f>IFERROR(VLOOKUP($B46,RD[#All],HO$2,0)/HO$1,"")</f>
        <v>0</v>
      </c>
      <c r="HP46" s="67">
        <f>IFERROR(VLOOKUP($B46,RD[#All],HP$2,0)/HP$1,"")</f>
        <v>0</v>
      </c>
      <c r="HQ46" s="67">
        <f>IFERROR(VLOOKUP($B46,RD[#All],HQ$2,0)/HQ$1,"")</f>
        <v>0</v>
      </c>
      <c r="HR46" s="67">
        <f>IFERROR(VLOOKUP($B46,RD[#All],HR$2,0)/HR$1,"")</f>
        <v>0</v>
      </c>
      <c r="HS46" s="67">
        <f>IFERROR(VLOOKUP($B46,RD[#All],HS$2,0)/HS$1,"")</f>
        <v>0</v>
      </c>
      <c r="HT46" s="67">
        <f>IFERROR(VLOOKUP($B46,RD[#All],HT$2,0)/HT$1,"")</f>
        <v>0</v>
      </c>
      <c r="HU46" s="67">
        <f>IFERROR(VLOOKUP($B46,RD[#All],HU$2,0)/HU$1,"")</f>
        <v>0</v>
      </c>
      <c r="HV46" s="67">
        <f>IFERROR(VLOOKUP($B46,RD[#All],HV$2,0)/HV$1,"")</f>
        <v>0</v>
      </c>
      <c r="HW46" s="67">
        <f>IFERROR(VLOOKUP($B46,RD[#All],HW$2,0)/HW$1,"")</f>
        <v>0</v>
      </c>
      <c r="HX46" s="67">
        <f>IFERROR(VLOOKUP($B46,RD[#All],HX$2,0)/HX$1,"")</f>
        <v>0</v>
      </c>
      <c r="HY46" s="67">
        <f>IFERROR(VLOOKUP($B46,RD[#All],HY$2,0)/HY$1,"")</f>
        <v>0</v>
      </c>
      <c r="HZ46" s="67">
        <f>IFERROR(VLOOKUP($B46,RD[#All],HZ$2,0)/HZ$1,"")</f>
        <v>0</v>
      </c>
      <c r="IA46" s="67">
        <f>IFERROR(VLOOKUP($B46,RD[#All],IA$2,0)/IA$1,"")</f>
        <v>0</v>
      </c>
      <c r="IB46" s="67">
        <f>IFERROR(VLOOKUP($B46,RD[#All],IB$2,0)/IB$1,"")</f>
        <v>0</v>
      </c>
      <c r="IC46" s="67">
        <f>IFERROR(VLOOKUP($B46,RD[#All],IC$2,0)/IC$1,"")</f>
        <v>0</v>
      </c>
      <c r="ID46" s="67">
        <f>IFERROR(VLOOKUP($B46,RD[#All],ID$2,0)/ID$1,"")</f>
        <v>0</v>
      </c>
      <c r="IE46" s="67">
        <f>IFERROR(VLOOKUP($B46,RD[#All],IE$2,0)/IE$1,"")</f>
        <v>0</v>
      </c>
      <c r="IF46" s="67" t="str">
        <f>IFERROR(VLOOKUP($B46,RD[#All],IF$2,0)/IF$1,"")</f>
        <v/>
      </c>
      <c r="IG46" s="67">
        <f>IFERROR(VLOOKUP($B46,RD[#All],IG$2,0)/IG$1,"")</f>
        <v>0</v>
      </c>
      <c r="IH46" s="67">
        <f>IFERROR(VLOOKUP($B46,RD[#All],IH$2,0)/IH$1,"")</f>
        <v>0</v>
      </c>
      <c r="II46" s="67">
        <f>IFERROR(VLOOKUP($B46,RD[#All],II$2,0)/II$1,"")</f>
        <v>0</v>
      </c>
      <c r="IJ46" s="67">
        <f>IFERROR(VLOOKUP($B46,RD[#All],IJ$2,0)/IJ$1,"")</f>
        <v>0</v>
      </c>
      <c r="IK46" s="67">
        <f>IFERROR(VLOOKUP($B46,RD[#All],IK$2,0)/IK$1,"")</f>
        <v>0</v>
      </c>
      <c r="IL46" s="67" t="str">
        <f>IFERROR(VLOOKUP($B46,RD[#All],IL$2,0)/IL$1,"")</f>
        <v/>
      </c>
      <c r="IM46" s="67" t="str">
        <f>IFERROR(VLOOKUP($B46,RD[#All],IM$2,0)/IM$1,"")</f>
        <v/>
      </c>
      <c r="IN46" s="67">
        <f>IFERROR(VLOOKUP($B46,RD[#All],IN$2,0)/IN$1,"")</f>
        <v>0</v>
      </c>
      <c r="IO46" s="67">
        <f>IFERROR(VLOOKUP($B46,RD[#All],IO$2,0)/IO$1,"")</f>
        <v>0</v>
      </c>
      <c r="IP46" s="67">
        <f>IFERROR(VLOOKUP($B46,RD[#All],IP$2,0)/IP$1,"")</f>
        <v>0</v>
      </c>
      <c r="IQ46" s="67">
        <f>IFERROR(VLOOKUP($B46,RD[#All],IQ$2,0)/IQ$1,"")</f>
        <v>0</v>
      </c>
      <c r="IR46" s="67">
        <f>IFERROR(VLOOKUP($B46,RD[#All],IR$2,0)/IR$1,"")</f>
        <v>0</v>
      </c>
      <c r="IS46" s="86" t="str">
        <f>IFERROR(AVERAGEIF(Inv_SY_B[[#This Row],[BLK1_INV1]:[BLK8_INV27]],"&gt;"&amp;0.1,Inv_SY_B[[#This Row],[BLK1_INV1]:[BLK8_INV27]]),"")</f>
        <v/>
      </c>
    </row>
    <row r="47" spans="2:253" x14ac:dyDescent="0.25">
      <c r="B47" s="87">
        <f t="shared" si="1"/>
        <v>45873</v>
      </c>
      <c r="C47" s="67" t="str">
        <f>IFERROR(VLOOKUP($B47,RD[#All],C$2,0)/C$1,"")</f>
        <v/>
      </c>
      <c r="D47" s="67" t="str">
        <f>IFERROR(VLOOKUP($B47,RD[#All],D$2,0)/D$1,"")</f>
        <v/>
      </c>
      <c r="E47" s="67" t="str">
        <f>IFERROR(VLOOKUP($B47,RD[#All],E$2,0)/E$1,"")</f>
        <v/>
      </c>
      <c r="F47" s="67" t="str">
        <f>IFERROR(VLOOKUP($B47,RD[#All],F$2,0)/F$1,"")</f>
        <v/>
      </c>
      <c r="G47" s="67" t="str">
        <f>IFERROR(VLOOKUP($B47,RD[#All],G$2,0)/G$1,"")</f>
        <v/>
      </c>
      <c r="H47" s="67" t="str">
        <f>IFERROR(VLOOKUP($B47,RD[#All],H$2,0)/H$1,"")</f>
        <v/>
      </c>
      <c r="I47" s="67" t="str">
        <f>IFERROR(VLOOKUP($B47,RD[#All],I$2,0)/I$1,"")</f>
        <v/>
      </c>
      <c r="J47" s="67" t="str">
        <f>IFERROR(VLOOKUP($B47,RD[#All],J$2,0)/J$1,"")</f>
        <v/>
      </c>
      <c r="K47" s="67" t="str">
        <f>IFERROR(VLOOKUP($B47,RD[#All],K$2,0)/K$1,"")</f>
        <v/>
      </c>
      <c r="L47" s="67" t="str">
        <f>IFERROR(VLOOKUP($B47,RD[#All],L$2,0)/L$1,"")</f>
        <v/>
      </c>
      <c r="M47" s="67" t="str">
        <f>IFERROR(VLOOKUP($B47,RD[#All],M$2,0)/M$1,"")</f>
        <v/>
      </c>
      <c r="N47" s="67" t="str">
        <f>IFERROR(VLOOKUP($B47,RD[#All],N$2,0)/N$1,"")</f>
        <v/>
      </c>
      <c r="O47" s="67" t="str">
        <f>IFERROR(VLOOKUP($B47,RD[#All],O$2,0)/O$1,"")</f>
        <v/>
      </c>
      <c r="P47" s="67" t="str">
        <f>IFERROR(VLOOKUP($B47,RD[#All],P$2,0)/P$1,"")</f>
        <v/>
      </c>
      <c r="Q47" s="67" t="str">
        <f>IFERROR(VLOOKUP($B47,RD[#All],Q$2,0)/Q$1,"")</f>
        <v/>
      </c>
      <c r="R47" s="67" t="str">
        <f>IFERROR(VLOOKUP($B47,RD[#All],R$2,0)/R$1,"")</f>
        <v/>
      </c>
      <c r="S47" s="67" t="str">
        <f>IFERROR(VLOOKUP($B47,RD[#All],S$2,0)/S$1,"")</f>
        <v/>
      </c>
      <c r="T47" s="67" t="str">
        <f>IFERROR(VLOOKUP($B47,RD[#All],T$2,0)/T$1,"")</f>
        <v/>
      </c>
      <c r="U47" s="67" t="str">
        <f>IFERROR(VLOOKUP($B47,RD[#All],U$2,0)/U$1,"")</f>
        <v/>
      </c>
      <c r="V47" s="67" t="str">
        <f>IFERROR(VLOOKUP($B47,RD[#All],V$2,0)/V$1,"")</f>
        <v/>
      </c>
      <c r="W47" s="67" t="str">
        <f>IFERROR(VLOOKUP($B47,RD[#All],W$2,0)/W$1,"")</f>
        <v/>
      </c>
      <c r="X47" s="67" t="str">
        <f>IFERROR(VLOOKUP($B47,RD[#All],X$2,0)/X$1,"")</f>
        <v/>
      </c>
      <c r="Y47" s="67" t="str">
        <f>IFERROR(VLOOKUP($B47,RD[#All],Y$2,0)/Y$1,"")</f>
        <v/>
      </c>
      <c r="Z47" s="67" t="str">
        <f>IFERROR(VLOOKUP($B47,RD[#All],Z$2,0)/Z$1,"")</f>
        <v/>
      </c>
      <c r="AA47" s="67" t="str">
        <f>IFERROR(VLOOKUP($B47,RD[#All],AA$2,0)/AA$1,"")</f>
        <v/>
      </c>
      <c r="AB47" s="67" t="str">
        <f>IFERROR(VLOOKUP($B47,RD[#All],AB$2,0)/AB$1,"")</f>
        <v/>
      </c>
      <c r="AC47" s="67" t="str">
        <f>IFERROR(VLOOKUP($B47,RD[#All],AC$2,0)/AC$1,"")</f>
        <v/>
      </c>
      <c r="AD47" s="67" t="str">
        <f>IFERROR(VLOOKUP($B47,RD[#All],AD$2,0)/AD$1,"")</f>
        <v/>
      </c>
      <c r="AE47" s="67" t="str">
        <f>IFERROR(VLOOKUP($B47,RD[#All],AE$2,0)/AE$1,"")</f>
        <v/>
      </c>
      <c r="AF47" s="67" t="str">
        <f>IFERROR(VLOOKUP($B47,RD[#All],AF$2,0)/AF$1,"")</f>
        <v/>
      </c>
      <c r="AG47" s="67" t="str">
        <f>IFERROR(VLOOKUP($B47,RD[#All],AG$2,0)/AG$1,"")</f>
        <v/>
      </c>
      <c r="AH47" s="67" t="str">
        <f>IFERROR(VLOOKUP($B47,RD[#All],AH$2,0)/AH$1,"")</f>
        <v/>
      </c>
      <c r="AI47" s="67" t="str">
        <f>IFERROR(VLOOKUP($B47,RD[#All],AI$2,0)/AI$1,"")</f>
        <v/>
      </c>
      <c r="AJ47" s="67" t="str">
        <f>IFERROR(VLOOKUP($B47,RD[#All],AJ$2,0)/AJ$1,"")</f>
        <v/>
      </c>
      <c r="AK47" s="67" t="str">
        <f>IFERROR(VLOOKUP($B47,RD[#All],AK$2,0)/AK$1,"")</f>
        <v/>
      </c>
      <c r="AL47" s="67" t="str">
        <f>IFERROR(VLOOKUP($B47,RD[#All],AL$2,0)/AL$1,"")</f>
        <v/>
      </c>
      <c r="AM47" s="67" t="str">
        <f>IFERROR(VLOOKUP($B47,RD[#All],AM$2,0)/AM$1,"")</f>
        <v/>
      </c>
      <c r="AN47" s="67" t="str">
        <f>IFERROR(VLOOKUP($B47,RD[#All],AN$2,0)/AN$1,"")</f>
        <v/>
      </c>
      <c r="AO47" s="67" t="str">
        <f>IFERROR(VLOOKUP($B47,RD[#All],AO$2,0)/AO$1,"")</f>
        <v/>
      </c>
      <c r="AP47" s="67" t="str">
        <f>IFERROR(VLOOKUP($B47,RD[#All],AP$2,0)/AP$1,"")</f>
        <v/>
      </c>
      <c r="AQ47" s="67" t="str">
        <f>IFERROR(VLOOKUP($B47,RD[#All],AQ$2,0)/AQ$1,"")</f>
        <v/>
      </c>
      <c r="AR47" s="67" t="str">
        <f>IFERROR(VLOOKUP($B47,RD[#All],AR$2,0)/AR$1,"")</f>
        <v/>
      </c>
      <c r="AS47" s="67" t="str">
        <f>IFERROR(VLOOKUP($B47,RD[#All],AS$2,0)/AS$1,"")</f>
        <v/>
      </c>
      <c r="AT47" s="67" t="str">
        <f>IFERROR(VLOOKUP($B47,RD[#All],AT$2,0)/AT$1,"")</f>
        <v/>
      </c>
      <c r="AU47" s="67" t="str">
        <f>IFERROR(VLOOKUP($B47,RD[#All],AU$2,0)/AU$1,"")</f>
        <v/>
      </c>
      <c r="AV47" s="67" t="str">
        <f>IFERROR(VLOOKUP($B47,RD[#All],AV$2,0)/AV$1,"")</f>
        <v/>
      </c>
      <c r="AW47" s="67" t="str">
        <f>IFERROR(VLOOKUP($B47,RD[#All],AW$2,0)/AW$1,"")</f>
        <v/>
      </c>
      <c r="AX47" s="67" t="str">
        <f>IFERROR(VLOOKUP($B47,RD[#All],AX$2,0)/AX$1,"")</f>
        <v/>
      </c>
      <c r="AY47" s="67" t="str">
        <f>IFERROR(VLOOKUP($B47,RD[#All],AY$2,0)/AY$1,"")</f>
        <v/>
      </c>
      <c r="AZ47" s="67" t="str">
        <f>IFERROR(VLOOKUP($B47,RD[#All],AZ$2,0)/AZ$1,"")</f>
        <v/>
      </c>
      <c r="BA47" s="67" t="str">
        <f>IFERROR(VLOOKUP($B47,RD[#All],BA$2,0)/BA$1,"")</f>
        <v/>
      </c>
      <c r="BB47" s="67" t="str">
        <f>IFERROR(VLOOKUP($B47,RD[#All],BB$2,0)/BB$1,"")</f>
        <v/>
      </c>
      <c r="BC47" s="67" t="str">
        <f>IFERROR(VLOOKUP($B47,RD[#All],BC$2,0)/BC$1,"")</f>
        <v/>
      </c>
      <c r="BD47" s="67" t="str">
        <f>IFERROR(VLOOKUP($B47,RD[#All],BD$2,0)/BD$1,"")</f>
        <v/>
      </c>
      <c r="BE47" s="67" t="str">
        <f>IFERROR(VLOOKUP($B47,RD[#All],BE$2,0)/BE$1,"")</f>
        <v/>
      </c>
      <c r="BF47" s="67" t="str">
        <f>IFERROR(VLOOKUP($B47,RD[#All],BF$2,0)/BF$1,"")</f>
        <v/>
      </c>
      <c r="BG47" s="67" t="str">
        <f>IFERROR(VLOOKUP($B47,RD[#All],BG$2,0)/BG$1,"")</f>
        <v/>
      </c>
      <c r="BH47" s="67" t="str">
        <f>IFERROR(VLOOKUP($B47,RD[#All],BH$2,0)/BH$1,"")</f>
        <v/>
      </c>
      <c r="BI47" s="67" t="str">
        <f>IFERROR(VLOOKUP($B47,RD[#All],BI$2,0)/BI$1,"")</f>
        <v/>
      </c>
      <c r="BJ47" s="67" t="str">
        <f>IFERROR(VLOOKUP($B47,RD[#All],BJ$2,0)/BJ$1,"")</f>
        <v/>
      </c>
      <c r="BK47" s="67" t="str">
        <f>IFERROR(VLOOKUP($B47,RD[#All],BK$2,0)/BK$1,"")</f>
        <v/>
      </c>
      <c r="BL47" s="67" t="str">
        <f>IFERROR(VLOOKUP($B47,RD[#All],BL$2,0)/BL$1,"")</f>
        <v/>
      </c>
      <c r="BM47" s="67" t="str">
        <f>IFERROR(VLOOKUP($B47,RD[#All],BM$2,0)/BM$1,"")</f>
        <v/>
      </c>
      <c r="BN47" s="67" t="str">
        <f>IFERROR(VLOOKUP($B47,RD[#All],BN$2,0)/BN$1,"")</f>
        <v/>
      </c>
      <c r="BO47" s="67" t="str">
        <f>IFERROR(VLOOKUP($B47,RD[#All],BO$2,0)/BO$1,"")</f>
        <v/>
      </c>
      <c r="BP47" s="67" t="str">
        <f>IFERROR(VLOOKUP($B47,RD[#All],BP$2,0)/BP$1,"")</f>
        <v/>
      </c>
      <c r="BQ47" s="67" t="str">
        <f>IFERROR(VLOOKUP($B47,RD[#All],BQ$2,0)/BQ$1,"")</f>
        <v/>
      </c>
      <c r="BR47" s="67" t="str">
        <f>IFERROR(VLOOKUP($B47,RD[#All],BR$2,0)/BR$1,"")</f>
        <v/>
      </c>
      <c r="BS47" s="67" t="str">
        <f>IFERROR(VLOOKUP($B47,RD[#All],BS$2,0)/BS$1,"")</f>
        <v/>
      </c>
      <c r="BT47" s="67" t="str">
        <f>IFERROR(VLOOKUP($B47,RD[#All],BT$2,0)/BT$1,"")</f>
        <v/>
      </c>
      <c r="BU47" s="67" t="str">
        <f>IFERROR(VLOOKUP($B47,RD[#All],BU$2,0)/BU$1,"")</f>
        <v/>
      </c>
      <c r="BV47" s="67" t="str">
        <f>IFERROR(VLOOKUP($B47,RD[#All],BV$2,0)/BV$1,"")</f>
        <v/>
      </c>
      <c r="BW47" s="67" t="str">
        <f>IFERROR(VLOOKUP($B47,RD[#All],BW$2,0)/BW$1,"")</f>
        <v/>
      </c>
      <c r="BX47" s="67" t="str">
        <f>IFERROR(VLOOKUP($B47,RD[#All],BX$2,0)/BX$1,"")</f>
        <v/>
      </c>
      <c r="BY47" s="67" t="str">
        <f>IFERROR(VLOOKUP($B47,RD[#All],BY$2,0)/BY$1,"")</f>
        <v/>
      </c>
      <c r="BZ47" s="67" t="str">
        <f>IFERROR(VLOOKUP($B47,RD[#All],BZ$2,0)/BZ$1,"")</f>
        <v/>
      </c>
      <c r="CA47" s="67" t="str">
        <f>IFERROR(VLOOKUP($B47,RD[#All],CA$2,0)/CA$1,"")</f>
        <v/>
      </c>
      <c r="CB47" s="67" t="str">
        <f>IFERROR(VLOOKUP($B47,RD[#All],CB$2,0)/CB$1,"")</f>
        <v/>
      </c>
      <c r="CC47" s="67" t="str">
        <f>IFERROR(VLOOKUP($B47,RD[#All],CC$2,0)/CC$1,"")</f>
        <v/>
      </c>
      <c r="CD47" s="67" t="str">
        <f>IFERROR(VLOOKUP($B47,RD[#All],CD$2,0)/CD$1,"")</f>
        <v/>
      </c>
      <c r="CE47" s="67" t="str">
        <f>IFERROR(VLOOKUP($B47,RD[#All],CE$2,0)/CE$1,"")</f>
        <v/>
      </c>
      <c r="CF47" s="67" t="str">
        <f>IFERROR(VLOOKUP($B47,RD[#All],CF$2,0)/CF$1,"")</f>
        <v/>
      </c>
      <c r="CG47" s="67" t="str">
        <f>IFERROR(VLOOKUP($B47,RD[#All],CG$2,0)/CG$1,"")</f>
        <v/>
      </c>
      <c r="CH47" s="67" t="str">
        <f>IFERROR(VLOOKUP($B47,RD[#All],CH$2,0)/CH$1,"")</f>
        <v/>
      </c>
      <c r="CI47" s="67" t="str">
        <f>IFERROR(VLOOKUP($B47,RD[#All],CI$2,0)/CI$1,"")</f>
        <v/>
      </c>
      <c r="CJ47" s="67" t="str">
        <f>IFERROR(VLOOKUP($B47,RD[#All],CJ$2,0)/CJ$1,"")</f>
        <v/>
      </c>
      <c r="CK47" s="67" t="str">
        <f>IFERROR(VLOOKUP($B47,RD[#All],CK$2,0)/CK$1,"")</f>
        <v/>
      </c>
      <c r="CL47" s="67" t="str">
        <f>IFERROR(VLOOKUP($B47,RD[#All],CL$2,0)/CL$1,"")</f>
        <v/>
      </c>
      <c r="CM47" s="67" t="str">
        <f>IFERROR(VLOOKUP($B47,RD[#All],CM$2,0)/CM$1,"")</f>
        <v/>
      </c>
      <c r="CN47" s="67" t="str">
        <f>IFERROR(VLOOKUP($B47,RD[#All],CN$2,0)/CN$1,"")</f>
        <v/>
      </c>
      <c r="CO47" s="67" t="str">
        <f>IFERROR(VLOOKUP($B47,RD[#All],CO$2,0)/CO$1,"")</f>
        <v/>
      </c>
      <c r="CP47" s="67" t="str">
        <f>IFERROR(VLOOKUP($B47,RD[#All],CP$2,0)/CP$1,"")</f>
        <v/>
      </c>
      <c r="CQ47" s="67" t="str">
        <f>IFERROR(VLOOKUP($B47,RD[#All],CQ$2,0)/CQ$1,"")</f>
        <v/>
      </c>
      <c r="CR47" s="67" t="str">
        <f>IFERROR(VLOOKUP($B47,RD[#All],CR$2,0)/CR$1,"")</f>
        <v/>
      </c>
      <c r="CS47" s="67" t="str">
        <f>IFERROR(VLOOKUP($B47,RD[#All],CS$2,0)/CS$1,"")</f>
        <v/>
      </c>
      <c r="CT47" s="67" t="str">
        <f>IFERROR(VLOOKUP($B47,RD[#All],CT$2,0)/CT$1,"")</f>
        <v/>
      </c>
      <c r="CU47" s="67" t="str">
        <f>IFERROR(VLOOKUP($B47,RD[#All],CU$2,0)/CU$1,"")</f>
        <v/>
      </c>
      <c r="CV47" s="67" t="str">
        <f>IFERROR(VLOOKUP($B47,RD[#All],CV$2,0)/CV$1,"")</f>
        <v/>
      </c>
      <c r="CW47" s="67" t="str">
        <f>IFERROR(VLOOKUP($B47,RD[#All],CW$2,0)/CW$1,"")</f>
        <v/>
      </c>
      <c r="CX47" s="67" t="str">
        <f>IFERROR(VLOOKUP($B47,RD[#All],CX$2,0)/CX$1,"")</f>
        <v/>
      </c>
      <c r="CY47" s="67" t="str">
        <f>IFERROR(VLOOKUP($B47,RD[#All],CY$2,0)/CY$1,"")</f>
        <v/>
      </c>
      <c r="CZ47" s="67" t="str">
        <f>IFERROR(VLOOKUP($B47,RD[#All],CZ$2,0)/CZ$1,"")</f>
        <v/>
      </c>
      <c r="DA47" s="67" t="str">
        <f>IFERROR(VLOOKUP($B47,RD[#All],DA$2,0)/DA$1,"")</f>
        <v/>
      </c>
      <c r="DB47" s="67" t="str">
        <f>IFERROR(VLOOKUP($B47,RD[#All],DB$2,0)/DB$1,"")</f>
        <v/>
      </c>
      <c r="DC47" s="67" t="str">
        <f>IFERROR(VLOOKUP($B47,RD[#All],DC$2,0)/DC$1,"")</f>
        <v/>
      </c>
      <c r="DD47" s="67" t="str">
        <f>IFERROR(VLOOKUP($B47,RD[#All],DD$2,0)/DD$1,"")</f>
        <v/>
      </c>
      <c r="DE47" s="67" t="str">
        <f>IFERROR(VLOOKUP($B47,RD[#All],DE$2,0)/DE$1,"")</f>
        <v/>
      </c>
      <c r="DF47" s="67" t="str">
        <f>IFERROR(VLOOKUP($B47,RD[#All],DF$2,0)/DF$1,"")</f>
        <v/>
      </c>
      <c r="DG47" s="67" t="str">
        <f>IFERROR(VLOOKUP($B47,RD[#All],DG$2,0)/DG$1,"")</f>
        <v/>
      </c>
      <c r="DH47" s="67" t="str">
        <f>IFERROR(VLOOKUP($B47,RD[#All],DH$2,0)/DH$1,"")</f>
        <v/>
      </c>
      <c r="DI47" s="67" t="str">
        <f>IFERROR(VLOOKUP($B47,RD[#All],DI$2,0)/DI$1,"")</f>
        <v/>
      </c>
      <c r="DJ47" s="67" t="str">
        <f>IFERROR(VLOOKUP($B47,RD[#All],DJ$2,0)/DJ$1,"")</f>
        <v/>
      </c>
      <c r="DK47" s="67" t="str">
        <f>IFERROR(VLOOKUP($B47,RD[#All],DK$2,0)/DK$1,"")</f>
        <v/>
      </c>
      <c r="DL47" s="67" t="str">
        <f>IFERROR(VLOOKUP($B47,RD[#All],DL$2,0)/DL$1,"")</f>
        <v/>
      </c>
      <c r="DM47" s="67" t="str">
        <f>IFERROR(VLOOKUP($B47,RD[#All],DM$2,0)/DM$1,"")</f>
        <v/>
      </c>
      <c r="DN47" s="67" t="str">
        <f>IFERROR(VLOOKUP($B47,RD[#All],DN$2,0)/DN$1,"")</f>
        <v/>
      </c>
      <c r="DO47" s="67" t="str">
        <f>IFERROR(VLOOKUP($B47,RD[#All],DO$2,0)/DO$1,"")</f>
        <v/>
      </c>
      <c r="DP47" s="67" t="str">
        <f>IFERROR(VLOOKUP($B47,RD[#All],DP$2,0)/DP$1,"")</f>
        <v/>
      </c>
      <c r="DQ47" s="67" t="str">
        <f>IFERROR(VLOOKUP($B47,RD[#All],DQ$2,0)/DQ$1,"")</f>
        <v/>
      </c>
      <c r="DR47" s="67" t="str">
        <f>IFERROR(VLOOKUP($B47,RD[#All],DR$2,0)/DR$1,"")</f>
        <v/>
      </c>
      <c r="DS47" s="67" t="str">
        <f>IFERROR(VLOOKUP($B47,RD[#All],DS$2,0)/DS$1,"")</f>
        <v/>
      </c>
      <c r="DT47" s="67" t="str">
        <f>IFERROR(VLOOKUP($B47,RD[#All],DT$2,0)/DT$1,"")</f>
        <v/>
      </c>
      <c r="DU47" s="67" t="str">
        <f>IFERROR(VLOOKUP($B47,RD[#All],DU$2,0)/DU$1,"")</f>
        <v/>
      </c>
      <c r="DV47" s="67" t="str">
        <f>IFERROR(VLOOKUP($B47,RD[#All],DV$2,0)/DV$1,"")</f>
        <v/>
      </c>
      <c r="DW47" s="67" t="str">
        <f>IFERROR(VLOOKUP($B47,RD[#All],DW$2,0)/DW$1,"")</f>
        <v/>
      </c>
      <c r="DX47" s="67" t="str">
        <f>IFERROR(VLOOKUP($B47,RD[#All],DX$2,0)/DX$1,"")</f>
        <v/>
      </c>
      <c r="DY47" s="67" t="str">
        <f>IFERROR(VLOOKUP($B47,RD[#All],DY$2,0)/DY$1,"")</f>
        <v/>
      </c>
      <c r="DZ47" s="67" t="str">
        <f>IFERROR(VLOOKUP($B47,RD[#All],DZ$2,0)/DZ$1,"")</f>
        <v/>
      </c>
      <c r="EA47" s="67" t="str">
        <f>IFERROR(VLOOKUP($B47,RD[#All],EA$2,0)/EA$1,"")</f>
        <v/>
      </c>
      <c r="EB47" s="67" t="str">
        <f>IFERROR(VLOOKUP($B47,RD[#All],EB$2,0)/EB$1,"")</f>
        <v/>
      </c>
      <c r="EC47" s="67" t="str">
        <f>IFERROR(VLOOKUP($B47,RD[#All],EC$2,0)/EC$1,"")</f>
        <v/>
      </c>
      <c r="ED47" s="67" t="str">
        <f>IFERROR(VLOOKUP($B47,RD[#All],ED$2,0)/ED$1,"")</f>
        <v/>
      </c>
      <c r="EE47" s="67" t="str">
        <f>IFERROR(VLOOKUP($B47,RD[#All],EE$2,0)/EE$1,"")</f>
        <v/>
      </c>
      <c r="EF47" s="67" t="str">
        <f>IFERROR(VLOOKUP($B47,RD[#All],EF$2,0)/EF$1,"")</f>
        <v/>
      </c>
      <c r="EG47" s="67" t="str">
        <f>IFERROR(VLOOKUP($B47,RD[#All],EG$2,0)/EG$1,"")</f>
        <v/>
      </c>
      <c r="EH47" s="67" t="str">
        <f>IFERROR(VLOOKUP($B47,RD[#All],EH$2,0)/EH$1,"")</f>
        <v/>
      </c>
      <c r="EI47" s="67" t="str">
        <f>IFERROR(VLOOKUP($B47,RD[#All],EI$2,0)/EI$1,"")</f>
        <v/>
      </c>
      <c r="EJ47" s="67" t="str">
        <f>IFERROR(VLOOKUP($B47,RD[#All],EJ$2,0)/EJ$1,"")</f>
        <v/>
      </c>
      <c r="EK47" s="67" t="str">
        <f>IFERROR(VLOOKUP($B47,RD[#All],EK$2,0)/EK$1,"")</f>
        <v/>
      </c>
      <c r="EL47" s="67" t="str">
        <f>IFERROR(VLOOKUP($B47,RD[#All],EL$2,0)/EL$1,"")</f>
        <v/>
      </c>
      <c r="EM47" s="67" t="str">
        <f>IFERROR(VLOOKUP($B47,RD[#All],EM$2,0)/EM$1,"")</f>
        <v/>
      </c>
      <c r="EN47" s="67" t="str">
        <f>IFERROR(VLOOKUP($B47,RD[#All],EN$2,0)/EN$1,"")</f>
        <v/>
      </c>
      <c r="EO47" s="67" t="str">
        <f>IFERROR(VLOOKUP($B47,RD[#All],EO$2,0)/EO$1,"")</f>
        <v/>
      </c>
      <c r="EP47" s="67" t="str">
        <f>IFERROR(VLOOKUP($B47,RD[#All],EP$2,0)/EP$1,"")</f>
        <v/>
      </c>
      <c r="EQ47" s="67" t="str">
        <f>IFERROR(VLOOKUP($B47,RD[#All],EQ$2,0)/EQ$1,"")</f>
        <v/>
      </c>
      <c r="ER47" s="67" t="str">
        <f>IFERROR(VLOOKUP($B47,RD[#All],ER$2,0)/ER$1,"")</f>
        <v/>
      </c>
      <c r="ES47" s="67" t="str">
        <f>IFERROR(VLOOKUP($B47,RD[#All],ES$2,0)/ES$1,"")</f>
        <v/>
      </c>
      <c r="ET47" s="67" t="str">
        <f>IFERROR(VLOOKUP($B47,RD[#All],ET$2,0)/ET$1,"")</f>
        <v/>
      </c>
      <c r="EU47" s="67" t="str">
        <f>IFERROR(VLOOKUP($B47,RD[#All],EU$2,0)/EU$1,"")</f>
        <v/>
      </c>
      <c r="EV47" s="67" t="str">
        <f>IFERROR(VLOOKUP($B47,RD[#All],EV$2,0)/EV$1,"")</f>
        <v/>
      </c>
      <c r="EW47" s="67" t="str">
        <f>IFERROR(VLOOKUP($B47,RD[#All],EW$2,0)/EW$1,"")</f>
        <v/>
      </c>
      <c r="EX47" s="67" t="str">
        <f>IFERROR(VLOOKUP($B47,RD[#All],EX$2,0)/EX$1,"")</f>
        <v/>
      </c>
      <c r="EY47" s="67" t="str">
        <f>IFERROR(VLOOKUP($B47,RD[#All],EY$2,0)/EY$1,"")</f>
        <v/>
      </c>
      <c r="EZ47" s="67" t="str">
        <f>IFERROR(VLOOKUP($B47,RD[#All],EZ$2,0)/EZ$1,"")</f>
        <v/>
      </c>
      <c r="FA47" s="67" t="str">
        <f>IFERROR(VLOOKUP($B47,RD[#All],FA$2,0)/FA$1,"")</f>
        <v/>
      </c>
      <c r="FB47" s="67" t="str">
        <f>IFERROR(VLOOKUP($B47,RD[#All],FB$2,0)/FB$1,"")</f>
        <v/>
      </c>
      <c r="FC47" s="67" t="str">
        <f>IFERROR(VLOOKUP($B47,RD[#All],FC$2,0)/FC$1,"")</f>
        <v/>
      </c>
      <c r="FD47" s="67" t="str">
        <f>IFERROR(VLOOKUP($B47,RD[#All],FD$2,0)/FD$1,"")</f>
        <v/>
      </c>
      <c r="FE47" s="67" t="str">
        <f>IFERROR(VLOOKUP($B47,RD[#All],FE$2,0)/FE$1,"")</f>
        <v/>
      </c>
      <c r="FF47" s="67" t="str">
        <f>IFERROR(VLOOKUP($B47,RD[#All],FF$2,0)/FF$1,"")</f>
        <v/>
      </c>
      <c r="FG47" s="67" t="str">
        <f>IFERROR(VLOOKUP($B47,RD[#All],FG$2,0)/FG$1,"")</f>
        <v/>
      </c>
      <c r="FH47" s="67" t="str">
        <f>IFERROR(VLOOKUP($B47,RD[#All],FH$2,0)/FH$1,"")</f>
        <v/>
      </c>
      <c r="FI47" s="67" t="str">
        <f>IFERROR(VLOOKUP($B47,RD[#All],FI$2,0)/FI$1,"")</f>
        <v/>
      </c>
      <c r="FJ47" s="67" t="str">
        <f>IFERROR(VLOOKUP($B47,RD[#All],FJ$2,0)/FJ$1,"")</f>
        <v/>
      </c>
      <c r="FK47" s="67" t="str">
        <f>IFERROR(VLOOKUP($B47,RD[#All],FK$2,0)/FK$1,"")</f>
        <v/>
      </c>
      <c r="FL47" s="67" t="str">
        <f>IFERROR(VLOOKUP($B47,RD[#All],FL$2,0)/FL$1,"")</f>
        <v/>
      </c>
      <c r="FM47" s="67" t="str">
        <f>IFERROR(VLOOKUP($B47,RD[#All],FM$2,0)/FM$1,"")</f>
        <v/>
      </c>
      <c r="FN47" s="67" t="str">
        <f>IFERROR(VLOOKUP($B47,RD[#All],FN$2,0)/FN$1,"")</f>
        <v/>
      </c>
      <c r="FO47" s="67" t="str">
        <f>IFERROR(VLOOKUP($B47,RD[#All],FO$2,0)/FO$1,"")</f>
        <v/>
      </c>
      <c r="FP47" s="67" t="str">
        <f>IFERROR(VLOOKUP($B47,RD[#All],FP$2,0)/FP$1,"")</f>
        <v/>
      </c>
      <c r="FQ47" s="67" t="str">
        <f>IFERROR(VLOOKUP($B47,RD[#All],FQ$2,0)/FQ$1,"")</f>
        <v/>
      </c>
      <c r="FR47" s="67" t="str">
        <f>IFERROR(VLOOKUP($B47,RD[#All],FR$2,0)/FR$1,"")</f>
        <v/>
      </c>
      <c r="FS47" s="67" t="str">
        <f>IFERROR(VLOOKUP($B47,RD[#All],FS$2,0)/FS$1,"")</f>
        <v/>
      </c>
      <c r="FT47" s="67" t="str">
        <f>IFERROR(VLOOKUP($B47,RD[#All],FT$2,0)/FT$1,"")</f>
        <v/>
      </c>
      <c r="FU47" s="67" t="str">
        <f>IFERROR(VLOOKUP($B47,RD[#All],FU$2,0)/FU$1,"")</f>
        <v/>
      </c>
      <c r="FV47" s="67" t="str">
        <f>IFERROR(VLOOKUP($B47,RD[#All],FV$2,0)/FV$1,"")</f>
        <v/>
      </c>
      <c r="FW47" s="67" t="str">
        <f>IFERROR(VLOOKUP($B47,RD[#All],FW$2,0)/FW$1,"")</f>
        <v/>
      </c>
      <c r="FX47" s="67" t="str">
        <f>IFERROR(VLOOKUP($B47,RD[#All],FX$2,0)/FX$1,"")</f>
        <v/>
      </c>
      <c r="FY47" s="67" t="str">
        <f>IFERROR(VLOOKUP($B47,RD[#All],FY$2,0)/FY$1,"")</f>
        <v/>
      </c>
      <c r="FZ47" s="67" t="str">
        <f>IFERROR(VLOOKUP($B47,RD[#All],FZ$2,0)/FZ$1,"")</f>
        <v/>
      </c>
      <c r="GA47" s="67" t="str">
        <f>IFERROR(VLOOKUP($B47,RD[#All],GA$2,0)/GA$1,"")</f>
        <v/>
      </c>
      <c r="GB47" s="67" t="str">
        <f>IFERROR(VLOOKUP($B47,RD[#All],GB$2,0)/GB$1,"")</f>
        <v/>
      </c>
      <c r="GC47" s="67" t="str">
        <f>IFERROR(VLOOKUP($B47,RD[#All],GC$2,0)/GC$1,"")</f>
        <v/>
      </c>
      <c r="GD47" s="67" t="str">
        <f>IFERROR(VLOOKUP($B47,RD[#All],GD$2,0)/GD$1,"")</f>
        <v/>
      </c>
      <c r="GE47" s="67" t="str">
        <f>IFERROR(VLOOKUP($B47,RD[#All],GE$2,0)/GE$1,"")</f>
        <v/>
      </c>
      <c r="GF47" s="67" t="str">
        <f>IFERROR(VLOOKUP($B47,RD[#All],GF$2,0)/GF$1,"")</f>
        <v/>
      </c>
      <c r="GG47" s="67" t="str">
        <f>IFERROR(VLOOKUP($B47,RD[#All],GG$2,0)/GG$1,"")</f>
        <v/>
      </c>
      <c r="GH47" s="67" t="str">
        <f>IFERROR(VLOOKUP($B47,RD[#All],GH$2,0)/GH$1,"")</f>
        <v/>
      </c>
      <c r="GI47" s="67" t="str">
        <f>IFERROR(VLOOKUP($B47,RD[#All],GI$2,0)/GI$1,"")</f>
        <v/>
      </c>
      <c r="GJ47" s="67" t="str">
        <f>IFERROR(VLOOKUP($B47,RD[#All],GJ$2,0)/GJ$1,"")</f>
        <v/>
      </c>
      <c r="GK47" s="67" t="str">
        <f>IFERROR(VLOOKUP($B47,RD[#All],GK$2,0)/GK$1,"")</f>
        <v/>
      </c>
      <c r="GL47" s="67" t="str">
        <f>IFERROR(VLOOKUP($B47,RD[#All],GL$2,0)/GL$1,"")</f>
        <v/>
      </c>
      <c r="GM47" s="67" t="str">
        <f>IFERROR(VLOOKUP($B47,RD[#All],GM$2,0)/GM$1,"")</f>
        <v/>
      </c>
      <c r="GN47" s="67" t="str">
        <f>IFERROR(VLOOKUP($B47,RD[#All],GN$2,0)/GN$1,"")</f>
        <v/>
      </c>
      <c r="GO47" s="67" t="str">
        <f>IFERROR(VLOOKUP($B47,RD[#All],GO$2,0)/GO$1,"")</f>
        <v/>
      </c>
      <c r="GP47" s="67" t="str">
        <f>IFERROR(VLOOKUP($B47,RD[#All],GP$2,0)/GP$1,"")</f>
        <v/>
      </c>
      <c r="GQ47" s="67" t="str">
        <f>IFERROR(VLOOKUP($B47,RD[#All],GQ$2,0)/GQ$1,"")</f>
        <v/>
      </c>
      <c r="GR47" s="67" t="str">
        <f>IFERROR(VLOOKUP($B47,RD[#All],GR$2,0)/GR$1,"")</f>
        <v/>
      </c>
      <c r="GS47" s="67" t="str">
        <f>IFERROR(VLOOKUP($B47,RD[#All],GS$2,0)/GS$1,"")</f>
        <v/>
      </c>
      <c r="GT47" s="67" t="str">
        <f>IFERROR(VLOOKUP($B47,RD[#All],GT$2,0)/GT$1,"")</f>
        <v/>
      </c>
      <c r="GU47" s="67" t="str">
        <f>IFERROR(VLOOKUP($B47,RD[#All],GU$2,0)/GU$1,"")</f>
        <v/>
      </c>
      <c r="GV47" s="67" t="str">
        <f>IFERROR(VLOOKUP($B47,RD[#All],GV$2,0)/GV$1,"")</f>
        <v/>
      </c>
      <c r="GW47" s="67" t="str">
        <f>IFERROR(VLOOKUP($B47,RD[#All],GW$2,0)/GW$1,"")</f>
        <v/>
      </c>
      <c r="GX47" s="67" t="str">
        <f>IFERROR(VLOOKUP($B47,RD[#All],GX$2,0)/GX$1,"")</f>
        <v/>
      </c>
      <c r="GY47" s="67" t="str">
        <f>IFERROR(VLOOKUP($B47,RD[#All],GY$2,0)/GY$1,"")</f>
        <v/>
      </c>
      <c r="GZ47" s="67" t="str">
        <f>IFERROR(VLOOKUP($B47,RD[#All],GZ$2,0)/GZ$1,"")</f>
        <v/>
      </c>
      <c r="HA47" s="67" t="str">
        <f>IFERROR(VLOOKUP($B47,RD[#All],HA$2,0)/HA$1,"")</f>
        <v/>
      </c>
      <c r="HB47" s="67" t="str">
        <f>IFERROR(VLOOKUP($B47,RD[#All],HB$2,0)/HB$1,"")</f>
        <v/>
      </c>
      <c r="HC47" s="67" t="str">
        <f>IFERROR(VLOOKUP($B47,RD[#All],HC$2,0)/HC$1,"")</f>
        <v/>
      </c>
      <c r="HD47" s="67" t="str">
        <f>IFERROR(VLOOKUP($B47,RD[#All],HD$2,0)/HD$1,"")</f>
        <v/>
      </c>
      <c r="HE47" s="67" t="str">
        <f>IFERROR(VLOOKUP($B47,RD[#All],HE$2,0)/HE$1,"")</f>
        <v/>
      </c>
      <c r="HF47" s="67" t="str">
        <f>IFERROR(VLOOKUP($B47,RD[#All],HF$2,0)/HF$1,"")</f>
        <v/>
      </c>
      <c r="HG47" s="67" t="str">
        <f>IFERROR(VLOOKUP($B47,RD[#All],HG$2,0)/HG$1,"")</f>
        <v/>
      </c>
      <c r="HH47" s="67" t="str">
        <f>IFERROR(VLOOKUP($B47,RD[#All],HH$2,0)/HH$1,"")</f>
        <v/>
      </c>
      <c r="HI47" s="67" t="str">
        <f>IFERROR(VLOOKUP($B47,RD[#All],HI$2,0)/HI$1,"")</f>
        <v/>
      </c>
      <c r="HJ47" s="67" t="str">
        <f>IFERROR(VLOOKUP($B47,RD[#All],HJ$2,0)/HJ$1,"")</f>
        <v/>
      </c>
      <c r="HK47" s="67" t="str">
        <f>IFERROR(VLOOKUP($B47,RD[#All],HK$2,0)/HK$1,"")</f>
        <v/>
      </c>
      <c r="HL47" s="67" t="str">
        <f>IFERROR(VLOOKUP($B47,RD[#All],HL$2,0)/HL$1,"")</f>
        <v/>
      </c>
      <c r="HM47" s="67" t="str">
        <f>IFERROR(VLOOKUP($B47,RD[#All],HM$2,0)/HM$1,"")</f>
        <v/>
      </c>
      <c r="HN47" s="67" t="str">
        <f>IFERROR(VLOOKUP($B47,RD[#All],HN$2,0)/HN$1,"")</f>
        <v/>
      </c>
      <c r="HO47" s="67" t="str">
        <f>IFERROR(VLOOKUP($B47,RD[#All],HO$2,0)/HO$1,"")</f>
        <v/>
      </c>
      <c r="HP47" s="67" t="str">
        <f>IFERROR(VLOOKUP($B47,RD[#All],HP$2,0)/HP$1,"")</f>
        <v/>
      </c>
      <c r="HQ47" s="67" t="str">
        <f>IFERROR(VLOOKUP($B47,RD[#All],HQ$2,0)/HQ$1,"")</f>
        <v/>
      </c>
      <c r="HR47" s="67" t="str">
        <f>IFERROR(VLOOKUP($B47,RD[#All],HR$2,0)/HR$1,"")</f>
        <v/>
      </c>
      <c r="HS47" s="67" t="str">
        <f>IFERROR(VLOOKUP($B47,RD[#All],HS$2,0)/HS$1,"")</f>
        <v/>
      </c>
      <c r="HT47" s="67" t="str">
        <f>IFERROR(VLOOKUP($B47,RD[#All],HT$2,0)/HT$1,"")</f>
        <v/>
      </c>
      <c r="HU47" s="67" t="str">
        <f>IFERROR(VLOOKUP($B47,RD[#All],HU$2,0)/HU$1,"")</f>
        <v/>
      </c>
      <c r="HV47" s="67" t="str">
        <f>IFERROR(VLOOKUP($B47,RD[#All],HV$2,0)/HV$1,"")</f>
        <v/>
      </c>
      <c r="HW47" s="67" t="str">
        <f>IFERROR(VLOOKUP($B47,RD[#All],HW$2,0)/HW$1,"")</f>
        <v/>
      </c>
      <c r="HX47" s="67" t="str">
        <f>IFERROR(VLOOKUP($B47,RD[#All],HX$2,0)/HX$1,"")</f>
        <v/>
      </c>
      <c r="HY47" s="67" t="str">
        <f>IFERROR(VLOOKUP($B47,RD[#All],HY$2,0)/HY$1,"")</f>
        <v/>
      </c>
      <c r="HZ47" s="67" t="str">
        <f>IFERROR(VLOOKUP($B47,RD[#All],HZ$2,0)/HZ$1,"")</f>
        <v/>
      </c>
      <c r="IA47" s="67" t="str">
        <f>IFERROR(VLOOKUP($B47,RD[#All],IA$2,0)/IA$1,"")</f>
        <v/>
      </c>
      <c r="IB47" s="67" t="str">
        <f>IFERROR(VLOOKUP($B47,RD[#All],IB$2,0)/IB$1,"")</f>
        <v/>
      </c>
      <c r="IC47" s="67" t="str">
        <f>IFERROR(VLOOKUP($B47,RD[#All],IC$2,0)/IC$1,"")</f>
        <v/>
      </c>
      <c r="ID47" s="67" t="str">
        <f>IFERROR(VLOOKUP($B47,RD[#All],ID$2,0)/ID$1,"")</f>
        <v/>
      </c>
      <c r="IE47" s="67" t="str">
        <f>IFERROR(VLOOKUP($B47,RD[#All],IE$2,0)/IE$1,"")</f>
        <v/>
      </c>
      <c r="IF47" s="67" t="str">
        <f>IFERROR(VLOOKUP($B47,RD[#All],IF$2,0)/IF$1,"")</f>
        <v/>
      </c>
      <c r="IG47" s="67" t="str">
        <f>IFERROR(VLOOKUP($B47,RD[#All],IG$2,0)/IG$1,"")</f>
        <v/>
      </c>
      <c r="IH47" s="67" t="str">
        <f>IFERROR(VLOOKUP($B47,RD[#All],IH$2,0)/IH$1,"")</f>
        <v/>
      </c>
      <c r="II47" s="67" t="str">
        <f>IFERROR(VLOOKUP($B47,RD[#All],II$2,0)/II$1,"")</f>
        <v/>
      </c>
      <c r="IJ47" s="67" t="str">
        <f>IFERROR(VLOOKUP($B47,RD[#All],IJ$2,0)/IJ$1,"")</f>
        <v/>
      </c>
      <c r="IK47" s="67" t="str">
        <f>IFERROR(VLOOKUP($B47,RD[#All],IK$2,0)/IK$1,"")</f>
        <v/>
      </c>
      <c r="IL47" s="67" t="str">
        <f>IFERROR(VLOOKUP($B47,RD[#All],IL$2,0)/IL$1,"")</f>
        <v/>
      </c>
      <c r="IM47" s="67" t="str">
        <f>IFERROR(VLOOKUP($B47,RD[#All],IM$2,0)/IM$1,"")</f>
        <v/>
      </c>
      <c r="IN47" s="67" t="str">
        <f>IFERROR(VLOOKUP($B47,RD[#All],IN$2,0)/IN$1,"")</f>
        <v/>
      </c>
      <c r="IO47" s="67" t="str">
        <f>IFERROR(VLOOKUP($B47,RD[#All],IO$2,0)/IO$1,"")</f>
        <v/>
      </c>
      <c r="IP47" s="67" t="str">
        <f>IFERROR(VLOOKUP($B47,RD[#All],IP$2,0)/IP$1,"")</f>
        <v/>
      </c>
      <c r="IQ47" s="67" t="str">
        <f>IFERROR(VLOOKUP($B47,RD[#All],IQ$2,0)/IQ$1,"")</f>
        <v/>
      </c>
      <c r="IR47" s="67" t="str">
        <f>IFERROR(VLOOKUP($B47,RD[#All],IR$2,0)/IR$1,"")</f>
        <v/>
      </c>
      <c r="IS47" s="86" t="str">
        <f>IFERROR(AVERAGEIF(Inv_SY_B[[#This Row],[BLK1_INV1]:[BLK8_INV27]],"&gt;"&amp;0.1,Inv_SY_B[[#This Row],[BLK1_INV1]:[BLK8_INV27]]),"")</f>
        <v/>
      </c>
    </row>
    <row r="48" spans="2:253" x14ac:dyDescent="0.25">
      <c r="B48" s="87">
        <f t="shared" si="1"/>
        <v>45874</v>
      </c>
      <c r="C48" s="67" t="str">
        <f>IFERROR(VLOOKUP($B48,RD[#All],C$2,0)/C$1,"")</f>
        <v/>
      </c>
      <c r="D48" s="67" t="str">
        <f>IFERROR(VLOOKUP($B48,RD[#All],D$2,0)/D$1,"")</f>
        <v/>
      </c>
      <c r="E48" s="67" t="str">
        <f>IFERROR(VLOOKUP($B48,RD[#All],E$2,0)/E$1,"")</f>
        <v/>
      </c>
      <c r="F48" s="67" t="str">
        <f>IFERROR(VLOOKUP($B48,RD[#All],F$2,0)/F$1,"")</f>
        <v/>
      </c>
      <c r="G48" s="67" t="str">
        <f>IFERROR(VLOOKUP($B48,RD[#All],G$2,0)/G$1,"")</f>
        <v/>
      </c>
      <c r="H48" s="67" t="str">
        <f>IFERROR(VLOOKUP($B48,RD[#All],H$2,0)/H$1,"")</f>
        <v/>
      </c>
      <c r="I48" s="67" t="str">
        <f>IFERROR(VLOOKUP($B48,RD[#All],I$2,0)/I$1,"")</f>
        <v/>
      </c>
      <c r="J48" s="67" t="str">
        <f>IFERROR(VLOOKUP($B48,RD[#All],J$2,0)/J$1,"")</f>
        <v/>
      </c>
      <c r="K48" s="67" t="str">
        <f>IFERROR(VLOOKUP($B48,RD[#All],K$2,0)/K$1,"")</f>
        <v/>
      </c>
      <c r="L48" s="67" t="str">
        <f>IFERROR(VLOOKUP($B48,RD[#All],L$2,0)/L$1,"")</f>
        <v/>
      </c>
      <c r="M48" s="67" t="str">
        <f>IFERROR(VLOOKUP($B48,RD[#All],M$2,0)/M$1,"")</f>
        <v/>
      </c>
      <c r="N48" s="67" t="str">
        <f>IFERROR(VLOOKUP($B48,RD[#All],N$2,0)/N$1,"")</f>
        <v/>
      </c>
      <c r="O48" s="67" t="str">
        <f>IFERROR(VLOOKUP($B48,RD[#All],O$2,0)/O$1,"")</f>
        <v/>
      </c>
      <c r="P48" s="67" t="str">
        <f>IFERROR(VLOOKUP($B48,RD[#All],P$2,0)/P$1,"")</f>
        <v/>
      </c>
      <c r="Q48" s="67" t="str">
        <f>IFERROR(VLOOKUP($B48,RD[#All],Q$2,0)/Q$1,"")</f>
        <v/>
      </c>
      <c r="R48" s="67" t="str">
        <f>IFERROR(VLOOKUP($B48,RD[#All],R$2,0)/R$1,"")</f>
        <v/>
      </c>
      <c r="S48" s="67" t="str">
        <f>IFERROR(VLOOKUP($B48,RD[#All],S$2,0)/S$1,"")</f>
        <v/>
      </c>
      <c r="T48" s="67" t="str">
        <f>IFERROR(VLOOKUP($B48,RD[#All],T$2,0)/T$1,"")</f>
        <v/>
      </c>
      <c r="U48" s="67" t="str">
        <f>IFERROR(VLOOKUP($B48,RD[#All],U$2,0)/U$1,"")</f>
        <v/>
      </c>
      <c r="V48" s="67" t="str">
        <f>IFERROR(VLOOKUP($B48,RD[#All],V$2,0)/V$1,"")</f>
        <v/>
      </c>
      <c r="W48" s="67" t="str">
        <f>IFERROR(VLOOKUP($B48,RD[#All],W$2,0)/W$1,"")</f>
        <v/>
      </c>
      <c r="X48" s="67" t="str">
        <f>IFERROR(VLOOKUP($B48,RD[#All],X$2,0)/X$1,"")</f>
        <v/>
      </c>
      <c r="Y48" s="67" t="str">
        <f>IFERROR(VLOOKUP($B48,RD[#All],Y$2,0)/Y$1,"")</f>
        <v/>
      </c>
      <c r="Z48" s="67" t="str">
        <f>IFERROR(VLOOKUP($B48,RD[#All],Z$2,0)/Z$1,"")</f>
        <v/>
      </c>
      <c r="AA48" s="67" t="str">
        <f>IFERROR(VLOOKUP($B48,RD[#All],AA$2,0)/AA$1,"")</f>
        <v/>
      </c>
      <c r="AB48" s="67" t="str">
        <f>IFERROR(VLOOKUP($B48,RD[#All],AB$2,0)/AB$1,"")</f>
        <v/>
      </c>
      <c r="AC48" s="67" t="str">
        <f>IFERROR(VLOOKUP($B48,RD[#All],AC$2,0)/AC$1,"")</f>
        <v/>
      </c>
      <c r="AD48" s="67" t="str">
        <f>IFERROR(VLOOKUP($B48,RD[#All],AD$2,0)/AD$1,"")</f>
        <v/>
      </c>
      <c r="AE48" s="67" t="str">
        <f>IFERROR(VLOOKUP($B48,RD[#All],AE$2,0)/AE$1,"")</f>
        <v/>
      </c>
      <c r="AF48" s="67" t="str">
        <f>IFERROR(VLOOKUP($B48,RD[#All],AF$2,0)/AF$1,"")</f>
        <v/>
      </c>
      <c r="AG48" s="67" t="str">
        <f>IFERROR(VLOOKUP($B48,RD[#All],AG$2,0)/AG$1,"")</f>
        <v/>
      </c>
      <c r="AH48" s="67" t="str">
        <f>IFERROR(VLOOKUP($B48,RD[#All],AH$2,0)/AH$1,"")</f>
        <v/>
      </c>
      <c r="AI48" s="67" t="str">
        <f>IFERROR(VLOOKUP($B48,RD[#All],AI$2,0)/AI$1,"")</f>
        <v/>
      </c>
      <c r="AJ48" s="67" t="str">
        <f>IFERROR(VLOOKUP($B48,RD[#All],AJ$2,0)/AJ$1,"")</f>
        <v/>
      </c>
      <c r="AK48" s="67" t="str">
        <f>IFERROR(VLOOKUP($B48,RD[#All],AK$2,0)/AK$1,"")</f>
        <v/>
      </c>
      <c r="AL48" s="67" t="str">
        <f>IFERROR(VLOOKUP($B48,RD[#All],AL$2,0)/AL$1,"")</f>
        <v/>
      </c>
      <c r="AM48" s="67" t="str">
        <f>IFERROR(VLOOKUP($B48,RD[#All],AM$2,0)/AM$1,"")</f>
        <v/>
      </c>
      <c r="AN48" s="67" t="str">
        <f>IFERROR(VLOOKUP($B48,RD[#All],AN$2,0)/AN$1,"")</f>
        <v/>
      </c>
      <c r="AO48" s="67" t="str">
        <f>IFERROR(VLOOKUP($B48,RD[#All],AO$2,0)/AO$1,"")</f>
        <v/>
      </c>
      <c r="AP48" s="67" t="str">
        <f>IFERROR(VLOOKUP($B48,RD[#All],AP$2,0)/AP$1,"")</f>
        <v/>
      </c>
      <c r="AQ48" s="67" t="str">
        <f>IFERROR(VLOOKUP($B48,RD[#All],AQ$2,0)/AQ$1,"")</f>
        <v/>
      </c>
      <c r="AR48" s="67" t="str">
        <f>IFERROR(VLOOKUP($B48,RD[#All],AR$2,0)/AR$1,"")</f>
        <v/>
      </c>
      <c r="AS48" s="67" t="str">
        <f>IFERROR(VLOOKUP($B48,RD[#All],AS$2,0)/AS$1,"")</f>
        <v/>
      </c>
      <c r="AT48" s="67" t="str">
        <f>IFERROR(VLOOKUP($B48,RD[#All],AT$2,0)/AT$1,"")</f>
        <v/>
      </c>
      <c r="AU48" s="67" t="str">
        <f>IFERROR(VLOOKUP($B48,RD[#All],AU$2,0)/AU$1,"")</f>
        <v/>
      </c>
      <c r="AV48" s="67" t="str">
        <f>IFERROR(VLOOKUP($B48,RD[#All],AV$2,0)/AV$1,"")</f>
        <v/>
      </c>
      <c r="AW48" s="67" t="str">
        <f>IFERROR(VLOOKUP($B48,RD[#All],AW$2,0)/AW$1,"")</f>
        <v/>
      </c>
      <c r="AX48" s="67" t="str">
        <f>IFERROR(VLOOKUP($B48,RD[#All],AX$2,0)/AX$1,"")</f>
        <v/>
      </c>
      <c r="AY48" s="67" t="str">
        <f>IFERROR(VLOOKUP($B48,RD[#All],AY$2,0)/AY$1,"")</f>
        <v/>
      </c>
      <c r="AZ48" s="67" t="str">
        <f>IFERROR(VLOOKUP($B48,RD[#All],AZ$2,0)/AZ$1,"")</f>
        <v/>
      </c>
      <c r="BA48" s="67" t="str">
        <f>IFERROR(VLOOKUP($B48,RD[#All],BA$2,0)/BA$1,"")</f>
        <v/>
      </c>
      <c r="BB48" s="67" t="str">
        <f>IFERROR(VLOOKUP($B48,RD[#All],BB$2,0)/BB$1,"")</f>
        <v/>
      </c>
      <c r="BC48" s="67" t="str">
        <f>IFERROR(VLOOKUP($B48,RD[#All],BC$2,0)/BC$1,"")</f>
        <v/>
      </c>
      <c r="BD48" s="67" t="str">
        <f>IFERROR(VLOOKUP($B48,RD[#All],BD$2,0)/BD$1,"")</f>
        <v/>
      </c>
      <c r="BE48" s="67" t="str">
        <f>IFERROR(VLOOKUP($B48,RD[#All],BE$2,0)/BE$1,"")</f>
        <v/>
      </c>
      <c r="BF48" s="67" t="str">
        <f>IFERROR(VLOOKUP($B48,RD[#All],BF$2,0)/BF$1,"")</f>
        <v/>
      </c>
      <c r="BG48" s="67" t="str">
        <f>IFERROR(VLOOKUP($B48,RD[#All],BG$2,0)/BG$1,"")</f>
        <v/>
      </c>
      <c r="BH48" s="67" t="str">
        <f>IFERROR(VLOOKUP($B48,RD[#All],BH$2,0)/BH$1,"")</f>
        <v/>
      </c>
      <c r="BI48" s="67" t="str">
        <f>IFERROR(VLOOKUP($B48,RD[#All],BI$2,0)/BI$1,"")</f>
        <v/>
      </c>
      <c r="BJ48" s="67" t="str">
        <f>IFERROR(VLOOKUP($B48,RD[#All],BJ$2,0)/BJ$1,"")</f>
        <v/>
      </c>
      <c r="BK48" s="67" t="str">
        <f>IFERROR(VLOOKUP($B48,RD[#All],BK$2,0)/BK$1,"")</f>
        <v/>
      </c>
      <c r="BL48" s="67" t="str">
        <f>IFERROR(VLOOKUP($B48,RD[#All],BL$2,0)/BL$1,"")</f>
        <v/>
      </c>
      <c r="BM48" s="67" t="str">
        <f>IFERROR(VLOOKUP($B48,RD[#All],BM$2,0)/BM$1,"")</f>
        <v/>
      </c>
      <c r="BN48" s="67" t="str">
        <f>IFERROR(VLOOKUP($B48,RD[#All],BN$2,0)/BN$1,"")</f>
        <v/>
      </c>
      <c r="BO48" s="67" t="str">
        <f>IFERROR(VLOOKUP($B48,RD[#All],BO$2,0)/BO$1,"")</f>
        <v/>
      </c>
      <c r="BP48" s="67" t="str">
        <f>IFERROR(VLOOKUP($B48,RD[#All],BP$2,0)/BP$1,"")</f>
        <v/>
      </c>
      <c r="BQ48" s="67" t="str">
        <f>IFERROR(VLOOKUP($B48,RD[#All],BQ$2,0)/BQ$1,"")</f>
        <v/>
      </c>
      <c r="BR48" s="67" t="str">
        <f>IFERROR(VLOOKUP($B48,RD[#All],BR$2,0)/BR$1,"")</f>
        <v/>
      </c>
      <c r="BS48" s="67" t="str">
        <f>IFERROR(VLOOKUP($B48,RD[#All],BS$2,0)/BS$1,"")</f>
        <v/>
      </c>
      <c r="BT48" s="67" t="str">
        <f>IFERROR(VLOOKUP($B48,RD[#All],BT$2,0)/BT$1,"")</f>
        <v/>
      </c>
      <c r="BU48" s="67" t="str">
        <f>IFERROR(VLOOKUP($B48,RD[#All],BU$2,0)/BU$1,"")</f>
        <v/>
      </c>
      <c r="BV48" s="67" t="str">
        <f>IFERROR(VLOOKUP($B48,RD[#All],BV$2,0)/BV$1,"")</f>
        <v/>
      </c>
      <c r="BW48" s="67" t="str">
        <f>IFERROR(VLOOKUP($B48,RD[#All],BW$2,0)/BW$1,"")</f>
        <v/>
      </c>
      <c r="BX48" s="67" t="str">
        <f>IFERROR(VLOOKUP($B48,RD[#All],BX$2,0)/BX$1,"")</f>
        <v/>
      </c>
      <c r="BY48" s="67" t="str">
        <f>IFERROR(VLOOKUP($B48,RD[#All],BY$2,0)/BY$1,"")</f>
        <v/>
      </c>
      <c r="BZ48" s="67" t="str">
        <f>IFERROR(VLOOKUP($B48,RD[#All],BZ$2,0)/BZ$1,"")</f>
        <v/>
      </c>
      <c r="CA48" s="67" t="str">
        <f>IFERROR(VLOOKUP($B48,RD[#All],CA$2,0)/CA$1,"")</f>
        <v/>
      </c>
      <c r="CB48" s="67" t="str">
        <f>IFERROR(VLOOKUP($B48,RD[#All],CB$2,0)/CB$1,"")</f>
        <v/>
      </c>
      <c r="CC48" s="67" t="str">
        <f>IFERROR(VLOOKUP($B48,RD[#All],CC$2,0)/CC$1,"")</f>
        <v/>
      </c>
      <c r="CD48" s="67" t="str">
        <f>IFERROR(VLOOKUP($B48,RD[#All],CD$2,0)/CD$1,"")</f>
        <v/>
      </c>
      <c r="CE48" s="67" t="str">
        <f>IFERROR(VLOOKUP($B48,RD[#All],CE$2,0)/CE$1,"")</f>
        <v/>
      </c>
      <c r="CF48" s="67" t="str">
        <f>IFERROR(VLOOKUP($B48,RD[#All],CF$2,0)/CF$1,"")</f>
        <v/>
      </c>
      <c r="CG48" s="67" t="str">
        <f>IFERROR(VLOOKUP($B48,RD[#All],CG$2,0)/CG$1,"")</f>
        <v/>
      </c>
      <c r="CH48" s="67" t="str">
        <f>IFERROR(VLOOKUP($B48,RD[#All],CH$2,0)/CH$1,"")</f>
        <v/>
      </c>
      <c r="CI48" s="67" t="str">
        <f>IFERROR(VLOOKUP($B48,RD[#All],CI$2,0)/CI$1,"")</f>
        <v/>
      </c>
      <c r="CJ48" s="67" t="str">
        <f>IFERROR(VLOOKUP($B48,RD[#All],CJ$2,0)/CJ$1,"")</f>
        <v/>
      </c>
      <c r="CK48" s="67" t="str">
        <f>IFERROR(VLOOKUP($B48,RD[#All],CK$2,0)/CK$1,"")</f>
        <v/>
      </c>
      <c r="CL48" s="67" t="str">
        <f>IFERROR(VLOOKUP($B48,RD[#All],CL$2,0)/CL$1,"")</f>
        <v/>
      </c>
      <c r="CM48" s="67" t="str">
        <f>IFERROR(VLOOKUP($B48,RD[#All],CM$2,0)/CM$1,"")</f>
        <v/>
      </c>
      <c r="CN48" s="67" t="str">
        <f>IFERROR(VLOOKUP($B48,RD[#All],CN$2,0)/CN$1,"")</f>
        <v/>
      </c>
      <c r="CO48" s="67" t="str">
        <f>IFERROR(VLOOKUP($B48,RD[#All],CO$2,0)/CO$1,"")</f>
        <v/>
      </c>
      <c r="CP48" s="67" t="str">
        <f>IFERROR(VLOOKUP($B48,RD[#All],CP$2,0)/CP$1,"")</f>
        <v/>
      </c>
      <c r="CQ48" s="67" t="str">
        <f>IFERROR(VLOOKUP($B48,RD[#All],CQ$2,0)/CQ$1,"")</f>
        <v/>
      </c>
      <c r="CR48" s="67" t="str">
        <f>IFERROR(VLOOKUP($B48,RD[#All],CR$2,0)/CR$1,"")</f>
        <v/>
      </c>
      <c r="CS48" s="67" t="str">
        <f>IFERROR(VLOOKUP($B48,RD[#All],CS$2,0)/CS$1,"")</f>
        <v/>
      </c>
      <c r="CT48" s="67" t="str">
        <f>IFERROR(VLOOKUP($B48,RD[#All],CT$2,0)/CT$1,"")</f>
        <v/>
      </c>
      <c r="CU48" s="67" t="str">
        <f>IFERROR(VLOOKUP($B48,RD[#All],CU$2,0)/CU$1,"")</f>
        <v/>
      </c>
      <c r="CV48" s="67" t="str">
        <f>IFERROR(VLOOKUP($B48,RD[#All],CV$2,0)/CV$1,"")</f>
        <v/>
      </c>
      <c r="CW48" s="67" t="str">
        <f>IFERROR(VLOOKUP($B48,RD[#All],CW$2,0)/CW$1,"")</f>
        <v/>
      </c>
      <c r="CX48" s="67" t="str">
        <f>IFERROR(VLOOKUP($B48,RD[#All],CX$2,0)/CX$1,"")</f>
        <v/>
      </c>
      <c r="CY48" s="67" t="str">
        <f>IFERROR(VLOOKUP($B48,RD[#All],CY$2,0)/CY$1,"")</f>
        <v/>
      </c>
      <c r="CZ48" s="67" t="str">
        <f>IFERROR(VLOOKUP($B48,RD[#All],CZ$2,0)/CZ$1,"")</f>
        <v/>
      </c>
      <c r="DA48" s="67" t="str">
        <f>IFERROR(VLOOKUP($B48,RD[#All],DA$2,0)/DA$1,"")</f>
        <v/>
      </c>
      <c r="DB48" s="67" t="str">
        <f>IFERROR(VLOOKUP($B48,RD[#All],DB$2,0)/DB$1,"")</f>
        <v/>
      </c>
      <c r="DC48" s="67" t="str">
        <f>IFERROR(VLOOKUP($B48,RD[#All],DC$2,0)/DC$1,"")</f>
        <v/>
      </c>
      <c r="DD48" s="67" t="str">
        <f>IFERROR(VLOOKUP($B48,RD[#All],DD$2,0)/DD$1,"")</f>
        <v/>
      </c>
      <c r="DE48" s="67" t="str">
        <f>IFERROR(VLOOKUP($B48,RD[#All],DE$2,0)/DE$1,"")</f>
        <v/>
      </c>
      <c r="DF48" s="67" t="str">
        <f>IFERROR(VLOOKUP($B48,RD[#All],DF$2,0)/DF$1,"")</f>
        <v/>
      </c>
      <c r="DG48" s="67" t="str">
        <f>IFERROR(VLOOKUP($B48,RD[#All],DG$2,0)/DG$1,"")</f>
        <v/>
      </c>
      <c r="DH48" s="67" t="str">
        <f>IFERROR(VLOOKUP($B48,RD[#All],DH$2,0)/DH$1,"")</f>
        <v/>
      </c>
      <c r="DI48" s="67" t="str">
        <f>IFERROR(VLOOKUP($B48,RD[#All],DI$2,0)/DI$1,"")</f>
        <v/>
      </c>
      <c r="DJ48" s="67" t="str">
        <f>IFERROR(VLOOKUP($B48,RD[#All],DJ$2,0)/DJ$1,"")</f>
        <v/>
      </c>
      <c r="DK48" s="67" t="str">
        <f>IFERROR(VLOOKUP($B48,RD[#All],DK$2,0)/DK$1,"")</f>
        <v/>
      </c>
      <c r="DL48" s="67" t="str">
        <f>IFERROR(VLOOKUP($B48,RD[#All],DL$2,0)/DL$1,"")</f>
        <v/>
      </c>
      <c r="DM48" s="67" t="str">
        <f>IFERROR(VLOOKUP($B48,RD[#All],DM$2,0)/DM$1,"")</f>
        <v/>
      </c>
      <c r="DN48" s="67" t="str">
        <f>IFERROR(VLOOKUP($B48,RD[#All],DN$2,0)/DN$1,"")</f>
        <v/>
      </c>
      <c r="DO48" s="67" t="str">
        <f>IFERROR(VLOOKUP($B48,RD[#All],DO$2,0)/DO$1,"")</f>
        <v/>
      </c>
      <c r="DP48" s="67" t="str">
        <f>IFERROR(VLOOKUP($B48,RD[#All],DP$2,0)/DP$1,"")</f>
        <v/>
      </c>
      <c r="DQ48" s="67" t="str">
        <f>IFERROR(VLOOKUP($B48,RD[#All],DQ$2,0)/DQ$1,"")</f>
        <v/>
      </c>
      <c r="DR48" s="67" t="str">
        <f>IFERROR(VLOOKUP($B48,RD[#All],DR$2,0)/DR$1,"")</f>
        <v/>
      </c>
      <c r="DS48" s="67" t="str">
        <f>IFERROR(VLOOKUP($B48,RD[#All],DS$2,0)/DS$1,"")</f>
        <v/>
      </c>
      <c r="DT48" s="67" t="str">
        <f>IFERROR(VLOOKUP($B48,RD[#All],DT$2,0)/DT$1,"")</f>
        <v/>
      </c>
      <c r="DU48" s="67" t="str">
        <f>IFERROR(VLOOKUP($B48,RD[#All],DU$2,0)/DU$1,"")</f>
        <v/>
      </c>
      <c r="DV48" s="67" t="str">
        <f>IFERROR(VLOOKUP($B48,RD[#All],DV$2,0)/DV$1,"")</f>
        <v/>
      </c>
      <c r="DW48" s="67" t="str">
        <f>IFERROR(VLOOKUP($B48,RD[#All],DW$2,0)/DW$1,"")</f>
        <v/>
      </c>
      <c r="DX48" s="67" t="str">
        <f>IFERROR(VLOOKUP($B48,RD[#All],DX$2,0)/DX$1,"")</f>
        <v/>
      </c>
      <c r="DY48" s="67" t="str">
        <f>IFERROR(VLOOKUP($B48,RD[#All],DY$2,0)/DY$1,"")</f>
        <v/>
      </c>
      <c r="DZ48" s="67" t="str">
        <f>IFERROR(VLOOKUP($B48,RD[#All],DZ$2,0)/DZ$1,"")</f>
        <v/>
      </c>
      <c r="EA48" s="67" t="str">
        <f>IFERROR(VLOOKUP($B48,RD[#All],EA$2,0)/EA$1,"")</f>
        <v/>
      </c>
      <c r="EB48" s="67" t="str">
        <f>IFERROR(VLOOKUP($B48,RD[#All],EB$2,0)/EB$1,"")</f>
        <v/>
      </c>
      <c r="EC48" s="67" t="str">
        <f>IFERROR(VLOOKUP($B48,RD[#All],EC$2,0)/EC$1,"")</f>
        <v/>
      </c>
      <c r="ED48" s="67" t="str">
        <f>IFERROR(VLOOKUP($B48,RD[#All],ED$2,0)/ED$1,"")</f>
        <v/>
      </c>
      <c r="EE48" s="67" t="str">
        <f>IFERROR(VLOOKUP($B48,RD[#All],EE$2,0)/EE$1,"")</f>
        <v/>
      </c>
      <c r="EF48" s="67" t="str">
        <f>IFERROR(VLOOKUP($B48,RD[#All],EF$2,0)/EF$1,"")</f>
        <v/>
      </c>
      <c r="EG48" s="67" t="str">
        <f>IFERROR(VLOOKUP($B48,RD[#All],EG$2,0)/EG$1,"")</f>
        <v/>
      </c>
      <c r="EH48" s="67" t="str">
        <f>IFERROR(VLOOKUP($B48,RD[#All],EH$2,0)/EH$1,"")</f>
        <v/>
      </c>
      <c r="EI48" s="67" t="str">
        <f>IFERROR(VLOOKUP($B48,RD[#All],EI$2,0)/EI$1,"")</f>
        <v/>
      </c>
      <c r="EJ48" s="67" t="str">
        <f>IFERROR(VLOOKUP($B48,RD[#All],EJ$2,0)/EJ$1,"")</f>
        <v/>
      </c>
      <c r="EK48" s="67" t="str">
        <f>IFERROR(VLOOKUP($B48,RD[#All],EK$2,0)/EK$1,"")</f>
        <v/>
      </c>
      <c r="EL48" s="67" t="str">
        <f>IFERROR(VLOOKUP($B48,RD[#All],EL$2,0)/EL$1,"")</f>
        <v/>
      </c>
      <c r="EM48" s="67" t="str">
        <f>IFERROR(VLOOKUP($B48,RD[#All],EM$2,0)/EM$1,"")</f>
        <v/>
      </c>
      <c r="EN48" s="67" t="str">
        <f>IFERROR(VLOOKUP($B48,RD[#All],EN$2,0)/EN$1,"")</f>
        <v/>
      </c>
      <c r="EO48" s="67" t="str">
        <f>IFERROR(VLOOKUP($B48,RD[#All],EO$2,0)/EO$1,"")</f>
        <v/>
      </c>
      <c r="EP48" s="67" t="str">
        <f>IFERROR(VLOOKUP($B48,RD[#All],EP$2,0)/EP$1,"")</f>
        <v/>
      </c>
      <c r="EQ48" s="67" t="str">
        <f>IFERROR(VLOOKUP($B48,RD[#All],EQ$2,0)/EQ$1,"")</f>
        <v/>
      </c>
      <c r="ER48" s="67" t="str">
        <f>IFERROR(VLOOKUP($B48,RD[#All],ER$2,0)/ER$1,"")</f>
        <v/>
      </c>
      <c r="ES48" s="67" t="str">
        <f>IFERROR(VLOOKUP($B48,RD[#All],ES$2,0)/ES$1,"")</f>
        <v/>
      </c>
      <c r="ET48" s="67" t="str">
        <f>IFERROR(VLOOKUP($B48,RD[#All],ET$2,0)/ET$1,"")</f>
        <v/>
      </c>
      <c r="EU48" s="67" t="str">
        <f>IFERROR(VLOOKUP($B48,RD[#All],EU$2,0)/EU$1,"")</f>
        <v/>
      </c>
      <c r="EV48" s="67" t="str">
        <f>IFERROR(VLOOKUP($B48,RD[#All],EV$2,0)/EV$1,"")</f>
        <v/>
      </c>
      <c r="EW48" s="67" t="str">
        <f>IFERROR(VLOOKUP($B48,RD[#All],EW$2,0)/EW$1,"")</f>
        <v/>
      </c>
      <c r="EX48" s="67" t="str">
        <f>IFERROR(VLOOKUP($B48,RD[#All],EX$2,0)/EX$1,"")</f>
        <v/>
      </c>
      <c r="EY48" s="67" t="str">
        <f>IFERROR(VLOOKUP($B48,RD[#All],EY$2,0)/EY$1,"")</f>
        <v/>
      </c>
      <c r="EZ48" s="67" t="str">
        <f>IFERROR(VLOOKUP($B48,RD[#All],EZ$2,0)/EZ$1,"")</f>
        <v/>
      </c>
      <c r="FA48" s="67" t="str">
        <f>IFERROR(VLOOKUP($B48,RD[#All],FA$2,0)/FA$1,"")</f>
        <v/>
      </c>
      <c r="FB48" s="67" t="str">
        <f>IFERROR(VLOOKUP($B48,RD[#All],FB$2,0)/FB$1,"")</f>
        <v/>
      </c>
      <c r="FC48" s="67" t="str">
        <f>IFERROR(VLOOKUP($B48,RD[#All],FC$2,0)/FC$1,"")</f>
        <v/>
      </c>
      <c r="FD48" s="67" t="str">
        <f>IFERROR(VLOOKUP($B48,RD[#All],FD$2,0)/FD$1,"")</f>
        <v/>
      </c>
      <c r="FE48" s="67" t="str">
        <f>IFERROR(VLOOKUP($B48,RD[#All],FE$2,0)/FE$1,"")</f>
        <v/>
      </c>
      <c r="FF48" s="67" t="str">
        <f>IFERROR(VLOOKUP($B48,RD[#All],FF$2,0)/FF$1,"")</f>
        <v/>
      </c>
      <c r="FG48" s="67" t="str">
        <f>IFERROR(VLOOKUP($B48,RD[#All],FG$2,0)/FG$1,"")</f>
        <v/>
      </c>
      <c r="FH48" s="67" t="str">
        <f>IFERROR(VLOOKUP($B48,RD[#All],FH$2,0)/FH$1,"")</f>
        <v/>
      </c>
      <c r="FI48" s="67" t="str">
        <f>IFERROR(VLOOKUP($B48,RD[#All],FI$2,0)/FI$1,"")</f>
        <v/>
      </c>
      <c r="FJ48" s="67" t="str">
        <f>IFERROR(VLOOKUP($B48,RD[#All],FJ$2,0)/FJ$1,"")</f>
        <v/>
      </c>
      <c r="FK48" s="67" t="str">
        <f>IFERROR(VLOOKUP($B48,RD[#All],FK$2,0)/FK$1,"")</f>
        <v/>
      </c>
      <c r="FL48" s="67" t="str">
        <f>IFERROR(VLOOKUP($B48,RD[#All],FL$2,0)/FL$1,"")</f>
        <v/>
      </c>
      <c r="FM48" s="67" t="str">
        <f>IFERROR(VLOOKUP($B48,RD[#All],FM$2,0)/FM$1,"")</f>
        <v/>
      </c>
      <c r="FN48" s="67" t="str">
        <f>IFERROR(VLOOKUP($B48,RD[#All],FN$2,0)/FN$1,"")</f>
        <v/>
      </c>
      <c r="FO48" s="67" t="str">
        <f>IFERROR(VLOOKUP($B48,RD[#All],FO$2,0)/FO$1,"")</f>
        <v/>
      </c>
      <c r="FP48" s="67" t="str">
        <f>IFERROR(VLOOKUP($B48,RD[#All],FP$2,0)/FP$1,"")</f>
        <v/>
      </c>
      <c r="FQ48" s="67" t="str">
        <f>IFERROR(VLOOKUP($B48,RD[#All],FQ$2,0)/FQ$1,"")</f>
        <v/>
      </c>
      <c r="FR48" s="67" t="str">
        <f>IFERROR(VLOOKUP($B48,RD[#All],FR$2,0)/FR$1,"")</f>
        <v/>
      </c>
      <c r="FS48" s="67" t="str">
        <f>IFERROR(VLOOKUP($B48,RD[#All],FS$2,0)/FS$1,"")</f>
        <v/>
      </c>
      <c r="FT48" s="67" t="str">
        <f>IFERROR(VLOOKUP($B48,RD[#All],FT$2,0)/FT$1,"")</f>
        <v/>
      </c>
      <c r="FU48" s="67" t="str">
        <f>IFERROR(VLOOKUP($B48,RD[#All],FU$2,0)/FU$1,"")</f>
        <v/>
      </c>
      <c r="FV48" s="67" t="str">
        <f>IFERROR(VLOOKUP($B48,RD[#All],FV$2,0)/FV$1,"")</f>
        <v/>
      </c>
      <c r="FW48" s="67" t="str">
        <f>IFERROR(VLOOKUP($B48,RD[#All],FW$2,0)/FW$1,"")</f>
        <v/>
      </c>
      <c r="FX48" s="67" t="str">
        <f>IFERROR(VLOOKUP($B48,RD[#All],FX$2,0)/FX$1,"")</f>
        <v/>
      </c>
      <c r="FY48" s="67" t="str">
        <f>IFERROR(VLOOKUP($B48,RD[#All],FY$2,0)/FY$1,"")</f>
        <v/>
      </c>
      <c r="FZ48" s="67" t="str">
        <f>IFERROR(VLOOKUP($B48,RD[#All],FZ$2,0)/FZ$1,"")</f>
        <v/>
      </c>
      <c r="GA48" s="67" t="str">
        <f>IFERROR(VLOOKUP($B48,RD[#All],GA$2,0)/GA$1,"")</f>
        <v/>
      </c>
      <c r="GB48" s="67" t="str">
        <f>IFERROR(VLOOKUP($B48,RD[#All],GB$2,0)/GB$1,"")</f>
        <v/>
      </c>
      <c r="GC48" s="67" t="str">
        <f>IFERROR(VLOOKUP($B48,RD[#All],GC$2,0)/GC$1,"")</f>
        <v/>
      </c>
      <c r="GD48" s="67" t="str">
        <f>IFERROR(VLOOKUP($B48,RD[#All],GD$2,0)/GD$1,"")</f>
        <v/>
      </c>
      <c r="GE48" s="67" t="str">
        <f>IFERROR(VLOOKUP($B48,RD[#All],GE$2,0)/GE$1,"")</f>
        <v/>
      </c>
      <c r="GF48" s="67" t="str">
        <f>IFERROR(VLOOKUP($B48,RD[#All],GF$2,0)/GF$1,"")</f>
        <v/>
      </c>
      <c r="GG48" s="67" t="str">
        <f>IFERROR(VLOOKUP($B48,RD[#All],GG$2,0)/GG$1,"")</f>
        <v/>
      </c>
      <c r="GH48" s="67" t="str">
        <f>IFERROR(VLOOKUP($B48,RD[#All],GH$2,0)/GH$1,"")</f>
        <v/>
      </c>
      <c r="GI48" s="67" t="str">
        <f>IFERROR(VLOOKUP($B48,RD[#All],GI$2,0)/GI$1,"")</f>
        <v/>
      </c>
      <c r="GJ48" s="67" t="str">
        <f>IFERROR(VLOOKUP($B48,RD[#All],GJ$2,0)/GJ$1,"")</f>
        <v/>
      </c>
      <c r="GK48" s="67" t="str">
        <f>IFERROR(VLOOKUP($B48,RD[#All],GK$2,0)/GK$1,"")</f>
        <v/>
      </c>
      <c r="GL48" s="67" t="str">
        <f>IFERROR(VLOOKUP($B48,RD[#All],GL$2,0)/GL$1,"")</f>
        <v/>
      </c>
      <c r="GM48" s="67" t="str">
        <f>IFERROR(VLOOKUP($B48,RD[#All],GM$2,0)/GM$1,"")</f>
        <v/>
      </c>
      <c r="GN48" s="67" t="str">
        <f>IFERROR(VLOOKUP($B48,RD[#All],GN$2,0)/GN$1,"")</f>
        <v/>
      </c>
      <c r="GO48" s="67" t="str">
        <f>IFERROR(VLOOKUP($B48,RD[#All],GO$2,0)/GO$1,"")</f>
        <v/>
      </c>
      <c r="GP48" s="67" t="str">
        <f>IFERROR(VLOOKUP($B48,RD[#All],GP$2,0)/GP$1,"")</f>
        <v/>
      </c>
      <c r="GQ48" s="67" t="str">
        <f>IFERROR(VLOOKUP($B48,RD[#All],GQ$2,0)/GQ$1,"")</f>
        <v/>
      </c>
      <c r="GR48" s="67" t="str">
        <f>IFERROR(VLOOKUP($B48,RD[#All],GR$2,0)/GR$1,"")</f>
        <v/>
      </c>
      <c r="GS48" s="67" t="str">
        <f>IFERROR(VLOOKUP($B48,RD[#All],GS$2,0)/GS$1,"")</f>
        <v/>
      </c>
      <c r="GT48" s="67" t="str">
        <f>IFERROR(VLOOKUP($B48,RD[#All],GT$2,0)/GT$1,"")</f>
        <v/>
      </c>
      <c r="GU48" s="67" t="str">
        <f>IFERROR(VLOOKUP($B48,RD[#All],GU$2,0)/GU$1,"")</f>
        <v/>
      </c>
      <c r="GV48" s="67" t="str">
        <f>IFERROR(VLOOKUP($B48,RD[#All],GV$2,0)/GV$1,"")</f>
        <v/>
      </c>
      <c r="GW48" s="67" t="str">
        <f>IFERROR(VLOOKUP($B48,RD[#All],GW$2,0)/GW$1,"")</f>
        <v/>
      </c>
      <c r="GX48" s="67" t="str">
        <f>IFERROR(VLOOKUP($B48,RD[#All],GX$2,0)/GX$1,"")</f>
        <v/>
      </c>
      <c r="GY48" s="67" t="str">
        <f>IFERROR(VLOOKUP($B48,RD[#All],GY$2,0)/GY$1,"")</f>
        <v/>
      </c>
      <c r="GZ48" s="67" t="str">
        <f>IFERROR(VLOOKUP($B48,RD[#All],GZ$2,0)/GZ$1,"")</f>
        <v/>
      </c>
      <c r="HA48" s="67" t="str">
        <f>IFERROR(VLOOKUP($B48,RD[#All],HA$2,0)/HA$1,"")</f>
        <v/>
      </c>
      <c r="HB48" s="67" t="str">
        <f>IFERROR(VLOOKUP($B48,RD[#All],HB$2,0)/HB$1,"")</f>
        <v/>
      </c>
      <c r="HC48" s="67" t="str">
        <f>IFERROR(VLOOKUP($B48,RD[#All],HC$2,0)/HC$1,"")</f>
        <v/>
      </c>
      <c r="HD48" s="67" t="str">
        <f>IFERROR(VLOOKUP($B48,RD[#All],HD$2,0)/HD$1,"")</f>
        <v/>
      </c>
      <c r="HE48" s="67" t="str">
        <f>IFERROR(VLOOKUP($B48,RD[#All],HE$2,0)/HE$1,"")</f>
        <v/>
      </c>
      <c r="HF48" s="67" t="str">
        <f>IFERROR(VLOOKUP($B48,RD[#All],HF$2,0)/HF$1,"")</f>
        <v/>
      </c>
      <c r="HG48" s="67" t="str">
        <f>IFERROR(VLOOKUP($B48,RD[#All],HG$2,0)/HG$1,"")</f>
        <v/>
      </c>
      <c r="HH48" s="67" t="str">
        <f>IFERROR(VLOOKUP($B48,RD[#All],HH$2,0)/HH$1,"")</f>
        <v/>
      </c>
      <c r="HI48" s="67" t="str">
        <f>IFERROR(VLOOKUP($B48,RD[#All],HI$2,0)/HI$1,"")</f>
        <v/>
      </c>
      <c r="HJ48" s="67" t="str">
        <f>IFERROR(VLOOKUP($B48,RD[#All],HJ$2,0)/HJ$1,"")</f>
        <v/>
      </c>
      <c r="HK48" s="67" t="str">
        <f>IFERROR(VLOOKUP($B48,RD[#All],HK$2,0)/HK$1,"")</f>
        <v/>
      </c>
      <c r="HL48" s="67" t="str">
        <f>IFERROR(VLOOKUP($B48,RD[#All],HL$2,0)/HL$1,"")</f>
        <v/>
      </c>
      <c r="HM48" s="67" t="str">
        <f>IFERROR(VLOOKUP($B48,RD[#All],HM$2,0)/HM$1,"")</f>
        <v/>
      </c>
      <c r="HN48" s="67" t="str">
        <f>IFERROR(VLOOKUP($B48,RD[#All],HN$2,0)/HN$1,"")</f>
        <v/>
      </c>
      <c r="HO48" s="67" t="str">
        <f>IFERROR(VLOOKUP($B48,RD[#All],HO$2,0)/HO$1,"")</f>
        <v/>
      </c>
      <c r="HP48" s="67" t="str">
        <f>IFERROR(VLOOKUP($B48,RD[#All],HP$2,0)/HP$1,"")</f>
        <v/>
      </c>
      <c r="HQ48" s="67" t="str">
        <f>IFERROR(VLOOKUP($B48,RD[#All],HQ$2,0)/HQ$1,"")</f>
        <v/>
      </c>
      <c r="HR48" s="67" t="str">
        <f>IFERROR(VLOOKUP($B48,RD[#All],HR$2,0)/HR$1,"")</f>
        <v/>
      </c>
      <c r="HS48" s="67" t="str">
        <f>IFERROR(VLOOKUP($B48,RD[#All],HS$2,0)/HS$1,"")</f>
        <v/>
      </c>
      <c r="HT48" s="67" t="str">
        <f>IFERROR(VLOOKUP($B48,RD[#All],HT$2,0)/HT$1,"")</f>
        <v/>
      </c>
      <c r="HU48" s="67" t="str">
        <f>IFERROR(VLOOKUP($B48,RD[#All],HU$2,0)/HU$1,"")</f>
        <v/>
      </c>
      <c r="HV48" s="67" t="str">
        <f>IFERROR(VLOOKUP($B48,RD[#All],HV$2,0)/HV$1,"")</f>
        <v/>
      </c>
      <c r="HW48" s="67" t="str">
        <f>IFERROR(VLOOKUP($B48,RD[#All],HW$2,0)/HW$1,"")</f>
        <v/>
      </c>
      <c r="HX48" s="67" t="str">
        <f>IFERROR(VLOOKUP($B48,RD[#All],HX$2,0)/HX$1,"")</f>
        <v/>
      </c>
      <c r="HY48" s="67" t="str">
        <f>IFERROR(VLOOKUP($B48,RD[#All],HY$2,0)/HY$1,"")</f>
        <v/>
      </c>
      <c r="HZ48" s="67" t="str">
        <f>IFERROR(VLOOKUP($B48,RD[#All],HZ$2,0)/HZ$1,"")</f>
        <v/>
      </c>
      <c r="IA48" s="67" t="str">
        <f>IFERROR(VLOOKUP($B48,RD[#All],IA$2,0)/IA$1,"")</f>
        <v/>
      </c>
      <c r="IB48" s="67" t="str">
        <f>IFERROR(VLOOKUP($B48,RD[#All],IB$2,0)/IB$1,"")</f>
        <v/>
      </c>
      <c r="IC48" s="67" t="str">
        <f>IFERROR(VLOOKUP($B48,RD[#All],IC$2,0)/IC$1,"")</f>
        <v/>
      </c>
      <c r="ID48" s="67" t="str">
        <f>IFERROR(VLOOKUP($B48,RD[#All],ID$2,0)/ID$1,"")</f>
        <v/>
      </c>
      <c r="IE48" s="67" t="str">
        <f>IFERROR(VLOOKUP($B48,RD[#All],IE$2,0)/IE$1,"")</f>
        <v/>
      </c>
      <c r="IF48" s="67" t="str">
        <f>IFERROR(VLOOKUP($B48,RD[#All],IF$2,0)/IF$1,"")</f>
        <v/>
      </c>
      <c r="IG48" s="67" t="str">
        <f>IFERROR(VLOOKUP($B48,RD[#All],IG$2,0)/IG$1,"")</f>
        <v/>
      </c>
      <c r="IH48" s="67" t="str">
        <f>IFERROR(VLOOKUP($B48,RD[#All],IH$2,0)/IH$1,"")</f>
        <v/>
      </c>
      <c r="II48" s="67" t="str">
        <f>IFERROR(VLOOKUP($B48,RD[#All],II$2,0)/II$1,"")</f>
        <v/>
      </c>
      <c r="IJ48" s="67" t="str">
        <f>IFERROR(VLOOKUP($B48,RD[#All],IJ$2,0)/IJ$1,"")</f>
        <v/>
      </c>
      <c r="IK48" s="67" t="str">
        <f>IFERROR(VLOOKUP($B48,RD[#All],IK$2,0)/IK$1,"")</f>
        <v/>
      </c>
      <c r="IL48" s="67" t="str">
        <f>IFERROR(VLOOKUP($B48,RD[#All],IL$2,0)/IL$1,"")</f>
        <v/>
      </c>
      <c r="IM48" s="67" t="str">
        <f>IFERROR(VLOOKUP($B48,RD[#All],IM$2,0)/IM$1,"")</f>
        <v/>
      </c>
      <c r="IN48" s="67" t="str">
        <f>IFERROR(VLOOKUP($B48,RD[#All],IN$2,0)/IN$1,"")</f>
        <v/>
      </c>
      <c r="IO48" s="67" t="str">
        <f>IFERROR(VLOOKUP($B48,RD[#All],IO$2,0)/IO$1,"")</f>
        <v/>
      </c>
      <c r="IP48" s="67" t="str">
        <f>IFERROR(VLOOKUP($B48,RD[#All],IP$2,0)/IP$1,"")</f>
        <v/>
      </c>
      <c r="IQ48" s="67" t="str">
        <f>IFERROR(VLOOKUP($B48,RD[#All],IQ$2,0)/IQ$1,"")</f>
        <v/>
      </c>
      <c r="IR48" s="67" t="str">
        <f>IFERROR(VLOOKUP($B48,RD[#All],IR$2,0)/IR$1,"")</f>
        <v/>
      </c>
      <c r="IS48" s="86" t="str">
        <f>IFERROR(AVERAGEIF(Inv_SY_B[[#This Row],[BLK1_INV1]:[BLK8_INV27]],"&gt;"&amp;0.1,Inv_SY_B[[#This Row],[BLK1_INV1]:[BLK8_INV27]]),"")</f>
        <v/>
      </c>
    </row>
    <row r="49" spans="2:253" x14ac:dyDescent="0.25">
      <c r="B49" s="87">
        <f t="shared" si="1"/>
        <v>45875</v>
      </c>
      <c r="C49" s="67" t="str">
        <f>IFERROR(VLOOKUP($B49,RD[#All],C$2,0)/C$1,"")</f>
        <v/>
      </c>
      <c r="D49" s="67" t="str">
        <f>IFERROR(VLOOKUP($B49,RD[#All],D$2,0)/D$1,"")</f>
        <v/>
      </c>
      <c r="E49" s="67" t="str">
        <f>IFERROR(VLOOKUP($B49,RD[#All],E$2,0)/E$1,"")</f>
        <v/>
      </c>
      <c r="F49" s="67" t="str">
        <f>IFERROR(VLOOKUP($B49,RD[#All],F$2,0)/F$1,"")</f>
        <v/>
      </c>
      <c r="G49" s="67" t="str">
        <f>IFERROR(VLOOKUP($B49,RD[#All],G$2,0)/G$1,"")</f>
        <v/>
      </c>
      <c r="H49" s="67" t="str">
        <f>IFERROR(VLOOKUP($B49,RD[#All],H$2,0)/H$1,"")</f>
        <v/>
      </c>
      <c r="I49" s="67" t="str">
        <f>IFERROR(VLOOKUP($B49,RD[#All],I$2,0)/I$1,"")</f>
        <v/>
      </c>
      <c r="J49" s="67" t="str">
        <f>IFERROR(VLOOKUP($B49,RD[#All],J$2,0)/J$1,"")</f>
        <v/>
      </c>
      <c r="K49" s="67" t="str">
        <f>IFERROR(VLOOKUP($B49,RD[#All],K$2,0)/K$1,"")</f>
        <v/>
      </c>
      <c r="L49" s="67" t="str">
        <f>IFERROR(VLOOKUP($B49,RD[#All],L$2,0)/L$1,"")</f>
        <v/>
      </c>
      <c r="M49" s="67" t="str">
        <f>IFERROR(VLOOKUP($B49,RD[#All],M$2,0)/M$1,"")</f>
        <v/>
      </c>
      <c r="N49" s="67" t="str">
        <f>IFERROR(VLOOKUP($B49,RD[#All],N$2,0)/N$1,"")</f>
        <v/>
      </c>
      <c r="O49" s="67" t="str">
        <f>IFERROR(VLOOKUP($B49,RD[#All],O$2,0)/O$1,"")</f>
        <v/>
      </c>
      <c r="P49" s="67" t="str">
        <f>IFERROR(VLOOKUP($B49,RD[#All],P$2,0)/P$1,"")</f>
        <v/>
      </c>
      <c r="Q49" s="67" t="str">
        <f>IFERROR(VLOOKUP($B49,RD[#All],Q$2,0)/Q$1,"")</f>
        <v/>
      </c>
      <c r="R49" s="67" t="str">
        <f>IFERROR(VLOOKUP($B49,RD[#All],R$2,0)/R$1,"")</f>
        <v/>
      </c>
      <c r="S49" s="67" t="str">
        <f>IFERROR(VLOOKUP($B49,RD[#All],S$2,0)/S$1,"")</f>
        <v/>
      </c>
      <c r="T49" s="67" t="str">
        <f>IFERROR(VLOOKUP($B49,RD[#All],T$2,0)/T$1,"")</f>
        <v/>
      </c>
      <c r="U49" s="67" t="str">
        <f>IFERROR(VLOOKUP($B49,RD[#All],U$2,0)/U$1,"")</f>
        <v/>
      </c>
      <c r="V49" s="67" t="str">
        <f>IFERROR(VLOOKUP($B49,RD[#All],V$2,0)/V$1,"")</f>
        <v/>
      </c>
      <c r="W49" s="67" t="str">
        <f>IFERROR(VLOOKUP($B49,RD[#All],W$2,0)/W$1,"")</f>
        <v/>
      </c>
      <c r="X49" s="67" t="str">
        <f>IFERROR(VLOOKUP($B49,RD[#All],X$2,0)/X$1,"")</f>
        <v/>
      </c>
      <c r="Y49" s="67" t="str">
        <f>IFERROR(VLOOKUP($B49,RD[#All],Y$2,0)/Y$1,"")</f>
        <v/>
      </c>
      <c r="Z49" s="67" t="str">
        <f>IFERROR(VLOOKUP($B49,RD[#All],Z$2,0)/Z$1,"")</f>
        <v/>
      </c>
      <c r="AA49" s="67" t="str">
        <f>IFERROR(VLOOKUP($B49,RD[#All],AA$2,0)/AA$1,"")</f>
        <v/>
      </c>
      <c r="AB49" s="67" t="str">
        <f>IFERROR(VLOOKUP($B49,RD[#All],AB$2,0)/AB$1,"")</f>
        <v/>
      </c>
      <c r="AC49" s="67" t="str">
        <f>IFERROR(VLOOKUP($B49,RD[#All],AC$2,0)/AC$1,"")</f>
        <v/>
      </c>
      <c r="AD49" s="67" t="str">
        <f>IFERROR(VLOOKUP($B49,RD[#All],AD$2,0)/AD$1,"")</f>
        <v/>
      </c>
      <c r="AE49" s="67" t="str">
        <f>IFERROR(VLOOKUP($B49,RD[#All],AE$2,0)/AE$1,"")</f>
        <v/>
      </c>
      <c r="AF49" s="67" t="str">
        <f>IFERROR(VLOOKUP($B49,RD[#All],AF$2,0)/AF$1,"")</f>
        <v/>
      </c>
      <c r="AG49" s="67" t="str">
        <f>IFERROR(VLOOKUP($B49,RD[#All],AG$2,0)/AG$1,"")</f>
        <v/>
      </c>
      <c r="AH49" s="67" t="str">
        <f>IFERROR(VLOOKUP($B49,RD[#All],AH$2,0)/AH$1,"")</f>
        <v/>
      </c>
      <c r="AI49" s="67" t="str">
        <f>IFERROR(VLOOKUP($B49,RD[#All],AI$2,0)/AI$1,"")</f>
        <v/>
      </c>
      <c r="AJ49" s="67" t="str">
        <f>IFERROR(VLOOKUP($B49,RD[#All],AJ$2,0)/AJ$1,"")</f>
        <v/>
      </c>
      <c r="AK49" s="67" t="str">
        <f>IFERROR(VLOOKUP($B49,RD[#All],AK$2,0)/AK$1,"")</f>
        <v/>
      </c>
      <c r="AL49" s="67" t="str">
        <f>IFERROR(VLOOKUP($B49,RD[#All],AL$2,0)/AL$1,"")</f>
        <v/>
      </c>
      <c r="AM49" s="67" t="str">
        <f>IFERROR(VLOOKUP($B49,RD[#All],AM$2,0)/AM$1,"")</f>
        <v/>
      </c>
      <c r="AN49" s="67" t="str">
        <f>IFERROR(VLOOKUP($B49,RD[#All],AN$2,0)/AN$1,"")</f>
        <v/>
      </c>
      <c r="AO49" s="67" t="str">
        <f>IFERROR(VLOOKUP($B49,RD[#All],AO$2,0)/AO$1,"")</f>
        <v/>
      </c>
      <c r="AP49" s="67" t="str">
        <f>IFERROR(VLOOKUP($B49,RD[#All],AP$2,0)/AP$1,"")</f>
        <v/>
      </c>
      <c r="AQ49" s="67" t="str">
        <f>IFERROR(VLOOKUP($B49,RD[#All],AQ$2,0)/AQ$1,"")</f>
        <v/>
      </c>
      <c r="AR49" s="67" t="str">
        <f>IFERROR(VLOOKUP($B49,RD[#All],AR$2,0)/AR$1,"")</f>
        <v/>
      </c>
      <c r="AS49" s="67" t="str">
        <f>IFERROR(VLOOKUP($B49,RD[#All],AS$2,0)/AS$1,"")</f>
        <v/>
      </c>
      <c r="AT49" s="67" t="str">
        <f>IFERROR(VLOOKUP($B49,RD[#All],AT$2,0)/AT$1,"")</f>
        <v/>
      </c>
      <c r="AU49" s="67" t="str">
        <f>IFERROR(VLOOKUP($B49,RD[#All],AU$2,0)/AU$1,"")</f>
        <v/>
      </c>
      <c r="AV49" s="67" t="str">
        <f>IFERROR(VLOOKUP($B49,RD[#All],AV$2,0)/AV$1,"")</f>
        <v/>
      </c>
      <c r="AW49" s="67" t="str">
        <f>IFERROR(VLOOKUP($B49,RD[#All],AW$2,0)/AW$1,"")</f>
        <v/>
      </c>
      <c r="AX49" s="67" t="str">
        <f>IFERROR(VLOOKUP($B49,RD[#All],AX$2,0)/AX$1,"")</f>
        <v/>
      </c>
      <c r="AY49" s="67" t="str">
        <f>IFERROR(VLOOKUP($B49,RD[#All],AY$2,0)/AY$1,"")</f>
        <v/>
      </c>
      <c r="AZ49" s="67" t="str">
        <f>IFERROR(VLOOKUP($B49,RD[#All],AZ$2,0)/AZ$1,"")</f>
        <v/>
      </c>
      <c r="BA49" s="67" t="str">
        <f>IFERROR(VLOOKUP($B49,RD[#All],BA$2,0)/BA$1,"")</f>
        <v/>
      </c>
      <c r="BB49" s="67" t="str">
        <f>IFERROR(VLOOKUP($B49,RD[#All],BB$2,0)/BB$1,"")</f>
        <v/>
      </c>
      <c r="BC49" s="67" t="str">
        <f>IFERROR(VLOOKUP($B49,RD[#All],BC$2,0)/BC$1,"")</f>
        <v/>
      </c>
      <c r="BD49" s="67" t="str">
        <f>IFERROR(VLOOKUP($B49,RD[#All],BD$2,0)/BD$1,"")</f>
        <v/>
      </c>
      <c r="BE49" s="67" t="str">
        <f>IFERROR(VLOOKUP($B49,RD[#All],BE$2,0)/BE$1,"")</f>
        <v/>
      </c>
      <c r="BF49" s="67" t="str">
        <f>IFERROR(VLOOKUP($B49,RD[#All],BF$2,0)/BF$1,"")</f>
        <v/>
      </c>
      <c r="BG49" s="67" t="str">
        <f>IFERROR(VLOOKUP($B49,RD[#All],BG$2,0)/BG$1,"")</f>
        <v/>
      </c>
      <c r="BH49" s="67" t="str">
        <f>IFERROR(VLOOKUP($B49,RD[#All],BH$2,0)/BH$1,"")</f>
        <v/>
      </c>
      <c r="BI49" s="67" t="str">
        <f>IFERROR(VLOOKUP($B49,RD[#All],BI$2,0)/BI$1,"")</f>
        <v/>
      </c>
      <c r="BJ49" s="67" t="str">
        <f>IFERROR(VLOOKUP($B49,RD[#All],BJ$2,0)/BJ$1,"")</f>
        <v/>
      </c>
      <c r="BK49" s="67" t="str">
        <f>IFERROR(VLOOKUP($B49,RD[#All],BK$2,0)/BK$1,"")</f>
        <v/>
      </c>
      <c r="BL49" s="67" t="str">
        <f>IFERROR(VLOOKUP($B49,RD[#All],BL$2,0)/BL$1,"")</f>
        <v/>
      </c>
      <c r="BM49" s="67" t="str">
        <f>IFERROR(VLOOKUP($B49,RD[#All],BM$2,0)/BM$1,"")</f>
        <v/>
      </c>
      <c r="BN49" s="67" t="str">
        <f>IFERROR(VLOOKUP($B49,RD[#All],BN$2,0)/BN$1,"")</f>
        <v/>
      </c>
      <c r="BO49" s="67" t="str">
        <f>IFERROR(VLOOKUP($B49,RD[#All],BO$2,0)/BO$1,"")</f>
        <v/>
      </c>
      <c r="BP49" s="67" t="str">
        <f>IFERROR(VLOOKUP($B49,RD[#All],BP$2,0)/BP$1,"")</f>
        <v/>
      </c>
      <c r="BQ49" s="67" t="str">
        <f>IFERROR(VLOOKUP($B49,RD[#All],BQ$2,0)/BQ$1,"")</f>
        <v/>
      </c>
      <c r="BR49" s="67" t="str">
        <f>IFERROR(VLOOKUP($B49,RD[#All],BR$2,0)/BR$1,"")</f>
        <v/>
      </c>
      <c r="BS49" s="67" t="str">
        <f>IFERROR(VLOOKUP($B49,RD[#All],BS$2,0)/BS$1,"")</f>
        <v/>
      </c>
      <c r="BT49" s="67" t="str">
        <f>IFERROR(VLOOKUP($B49,RD[#All],BT$2,0)/BT$1,"")</f>
        <v/>
      </c>
      <c r="BU49" s="67" t="str">
        <f>IFERROR(VLOOKUP($B49,RD[#All],BU$2,0)/BU$1,"")</f>
        <v/>
      </c>
      <c r="BV49" s="67" t="str">
        <f>IFERROR(VLOOKUP($B49,RD[#All],BV$2,0)/BV$1,"")</f>
        <v/>
      </c>
      <c r="BW49" s="67" t="str">
        <f>IFERROR(VLOOKUP($B49,RD[#All],BW$2,0)/BW$1,"")</f>
        <v/>
      </c>
      <c r="BX49" s="67" t="str">
        <f>IFERROR(VLOOKUP($B49,RD[#All],BX$2,0)/BX$1,"")</f>
        <v/>
      </c>
      <c r="BY49" s="67" t="str">
        <f>IFERROR(VLOOKUP($B49,RD[#All],BY$2,0)/BY$1,"")</f>
        <v/>
      </c>
      <c r="BZ49" s="67" t="str">
        <f>IFERROR(VLOOKUP($B49,RD[#All],BZ$2,0)/BZ$1,"")</f>
        <v/>
      </c>
      <c r="CA49" s="67" t="str">
        <f>IFERROR(VLOOKUP($B49,RD[#All],CA$2,0)/CA$1,"")</f>
        <v/>
      </c>
      <c r="CB49" s="67" t="str">
        <f>IFERROR(VLOOKUP($B49,RD[#All],CB$2,0)/CB$1,"")</f>
        <v/>
      </c>
      <c r="CC49" s="67" t="str">
        <f>IFERROR(VLOOKUP($B49,RD[#All],CC$2,0)/CC$1,"")</f>
        <v/>
      </c>
      <c r="CD49" s="67" t="str">
        <f>IFERROR(VLOOKUP($B49,RD[#All],CD$2,0)/CD$1,"")</f>
        <v/>
      </c>
      <c r="CE49" s="67" t="str">
        <f>IFERROR(VLOOKUP($B49,RD[#All],CE$2,0)/CE$1,"")</f>
        <v/>
      </c>
      <c r="CF49" s="67" t="str">
        <f>IFERROR(VLOOKUP($B49,RD[#All],CF$2,0)/CF$1,"")</f>
        <v/>
      </c>
      <c r="CG49" s="67" t="str">
        <f>IFERROR(VLOOKUP($B49,RD[#All],CG$2,0)/CG$1,"")</f>
        <v/>
      </c>
      <c r="CH49" s="67" t="str">
        <f>IFERROR(VLOOKUP($B49,RD[#All],CH$2,0)/CH$1,"")</f>
        <v/>
      </c>
      <c r="CI49" s="67" t="str">
        <f>IFERROR(VLOOKUP($B49,RD[#All],CI$2,0)/CI$1,"")</f>
        <v/>
      </c>
      <c r="CJ49" s="67" t="str">
        <f>IFERROR(VLOOKUP($B49,RD[#All],CJ$2,0)/CJ$1,"")</f>
        <v/>
      </c>
      <c r="CK49" s="67" t="str">
        <f>IFERROR(VLOOKUP($B49,RD[#All],CK$2,0)/CK$1,"")</f>
        <v/>
      </c>
      <c r="CL49" s="67" t="str">
        <f>IFERROR(VLOOKUP($B49,RD[#All],CL$2,0)/CL$1,"")</f>
        <v/>
      </c>
      <c r="CM49" s="67" t="str">
        <f>IFERROR(VLOOKUP($B49,RD[#All],CM$2,0)/CM$1,"")</f>
        <v/>
      </c>
      <c r="CN49" s="67" t="str">
        <f>IFERROR(VLOOKUP($B49,RD[#All],CN$2,0)/CN$1,"")</f>
        <v/>
      </c>
      <c r="CO49" s="67" t="str">
        <f>IFERROR(VLOOKUP($B49,RD[#All],CO$2,0)/CO$1,"")</f>
        <v/>
      </c>
      <c r="CP49" s="67" t="str">
        <f>IFERROR(VLOOKUP($B49,RD[#All],CP$2,0)/CP$1,"")</f>
        <v/>
      </c>
      <c r="CQ49" s="67" t="str">
        <f>IFERROR(VLOOKUP($B49,RD[#All],CQ$2,0)/CQ$1,"")</f>
        <v/>
      </c>
      <c r="CR49" s="67" t="str">
        <f>IFERROR(VLOOKUP($B49,RD[#All],CR$2,0)/CR$1,"")</f>
        <v/>
      </c>
      <c r="CS49" s="67" t="str">
        <f>IFERROR(VLOOKUP($B49,RD[#All],CS$2,0)/CS$1,"")</f>
        <v/>
      </c>
      <c r="CT49" s="67" t="str">
        <f>IFERROR(VLOOKUP($B49,RD[#All],CT$2,0)/CT$1,"")</f>
        <v/>
      </c>
      <c r="CU49" s="67" t="str">
        <f>IFERROR(VLOOKUP($B49,RD[#All],CU$2,0)/CU$1,"")</f>
        <v/>
      </c>
      <c r="CV49" s="67" t="str">
        <f>IFERROR(VLOOKUP($B49,RD[#All],CV$2,0)/CV$1,"")</f>
        <v/>
      </c>
      <c r="CW49" s="67" t="str">
        <f>IFERROR(VLOOKUP($B49,RD[#All],CW$2,0)/CW$1,"")</f>
        <v/>
      </c>
      <c r="CX49" s="67" t="str">
        <f>IFERROR(VLOOKUP($B49,RD[#All],CX$2,0)/CX$1,"")</f>
        <v/>
      </c>
      <c r="CY49" s="67" t="str">
        <f>IFERROR(VLOOKUP($B49,RD[#All],CY$2,0)/CY$1,"")</f>
        <v/>
      </c>
      <c r="CZ49" s="67" t="str">
        <f>IFERROR(VLOOKUP($B49,RD[#All],CZ$2,0)/CZ$1,"")</f>
        <v/>
      </c>
      <c r="DA49" s="67" t="str">
        <f>IFERROR(VLOOKUP($B49,RD[#All],DA$2,0)/DA$1,"")</f>
        <v/>
      </c>
      <c r="DB49" s="67" t="str">
        <f>IFERROR(VLOOKUP($B49,RD[#All],DB$2,0)/DB$1,"")</f>
        <v/>
      </c>
      <c r="DC49" s="67" t="str">
        <f>IFERROR(VLOOKUP($B49,RD[#All],DC$2,0)/DC$1,"")</f>
        <v/>
      </c>
      <c r="DD49" s="67" t="str">
        <f>IFERROR(VLOOKUP($B49,RD[#All],DD$2,0)/DD$1,"")</f>
        <v/>
      </c>
      <c r="DE49" s="67" t="str">
        <f>IFERROR(VLOOKUP($B49,RD[#All],DE$2,0)/DE$1,"")</f>
        <v/>
      </c>
      <c r="DF49" s="67" t="str">
        <f>IFERROR(VLOOKUP($B49,RD[#All],DF$2,0)/DF$1,"")</f>
        <v/>
      </c>
      <c r="DG49" s="67" t="str">
        <f>IFERROR(VLOOKUP($B49,RD[#All],DG$2,0)/DG$1,"")</f>
        <v/>
      </c>
      <c r="DH49" s="67" t="str">
        <f>IFERROR(VLOOKUP($B49,RD[#All],DH$2,0)/DH$1,"")</f>
        <v/>
      </c>
      <c r="DI49" s="67" t="str">
        <f>IFERROR(VLOOKUP($B49,RD[#All],DI$2,0)/DI$1,"")</f>
        <v/>
      </c>
      <c r="DJ49" s="67" t="str">
        <f>IFERROR(VLOOKUP($B49,RD[#All],DJ$2,0)/DJ$1,"")</f>
        <v/>
      </c>
      <c r="DK49" s="67" t="str">
        <f>IFERROR(VLOOKUP($B49,RD[#All],DK$2,0)/DK$1,"")</f>
        <v/>
      </c>
      <c r="DL49" s="67" t="str">
        <f>IFERROR(VLOOKUP($B49,RD[#All],DL$2,0)/DL$1,"")</f>
        <v/>
      </c>
      <c r="DM49" s="67" t="str">
        <f>IFERROR(VLOOKUP($B49,RD[#All],DM$2,0)/DM$1,"")</f>
        <v/>
      </c>
      <c r="DN49" s="67" t="str">
        <f>IFERROR(VLOOKUP($B49,RD[#All],DN$2,0)/DN$1,"")</f>
        <v/>
      </c>
      <c r="DO49" s="67" t="str">
        <f>IFERROR(VLOOKUP($B49,RD[#All],DO$2,0)/DO$1,"")</f>
        <v/>
      </c>
      <c r="DP49" s="67" t="str">
        <f>IFERROR(VLOOKUP($B49,RD[#All],DP$2,0)/DP$1,"")</f>
        <v/>
      </c>
      <c r="DQ49" s="67" t="str">
        <f>IFERROR(VLOOKUP($B49,RD[#All],DQ$2,0)/DQ$1,"")</f>
        <v/>
      </c>
      <c r="DR49" s="67" t="str">
        <f>IFERROR(VLOOKUP($B49,RD[#All],DR$2,0)/DR$1,"")</f>
        <v/>
      </c>
      <c r="DS49" s="67" t="str">
        <f>IFERROR(VLOOKUP($B49,RD[#All],DS$2,0)/DS$1,"")</f>
        <v/>
      </c>
      <c r="DT49" s="67" t="str">
        <f>IFERROR(VLOOKUP($B49,RD[#All],DT$2,0)/DT$1,"")</f>
        <v/>
      </c>
      <c r="DU49" s="67" t="str">
        <f>IFERROR(VLOOKUP($B49,RD[#All],DU$2,0)/DU$1,"")</f>
        <v/>
      </c>
      <c r="DV49" s="67" t="str">
        <f>IFERROR(VLOOKUP($B49,RD[#All],DV$2,0)/DV$1,"")</f>
        <v/>
      </c>
      <c r="DW49" s="67" t="str">
        <f>IFERROR(VLOOKUP($B49,RD[#All],DW$2,0)/DW$1,"")</f>
        <v/>
      </c>
      <c r="DX49" s="67" t="str">
        <f>IFERROR(VLOOKUP($B49,RD[#All],DX$2,0)/DX$1,"")</f>
        <v/>
      </c>
      <c r="DY49" s="67" t="str">
        <f>IFERROR(VLOOKUP($B49,RD[#All],DY$2,0)/DY$1,"")</f>
        <v/>
      </c>
      <c r="DZ49" s="67" t="str">
        <f>IFERROR(VLOOKUP($B49,RD[#All],DZ$2,0)/DZ$1,"")</f>
        <v/>
      </c>
      <c r="EA49" s="67" t="str">
        <f>IFERROR(VLOOKUP($B49,RD[#All],EA$2,0)/EA$1,"")</f>
        <v/>
      </c>
      <c r="EB49" s="67" t="str">
        <f>IFERROR(VLOOKUP($B49,RD[#All],EB$2,0)/EB$1,"")</f>
        <v/>
      </c>
      <c r="EC49" s="67" t="str">
        <f>IFERROR(VLOOKUP($B49,RD[#All],EC$2,0)/EC$1,"")</f>
        <v/>
      </c>
      <c r="ED49" s="67" t="str">
        <f>IFERROR(VLOOKUP($B49,RD[#All],ED$2,0)/ED$1,"")</f>
        <v/>
      </c>
      <c r="EE49" s="67" t="str">
        <f>IFERROR(VLOOKUP($B49,RD[#All],EE$2,0)/EE$1,"")</f>
        <v/>
      </c>
      <c r="EF49" s="67" t="str">
        <f>IFERROR(VLOOKUP($B49,RD[#All],EF$2,0)/EF$1,"")</f>
        <v/>
      </c>
      <c r="EG49" s="67" t="str">
        <f>IFERROR(VLOOKUP($B49,RD[#All],EG$2,0)/EG$1,"")</f>
        <v/>
      </c>
      <c r="EH49" s="67" t="str">
        <f>IFERROR(VLOOKUP($B49,RD[#All],EH$2,0)/EH$1,"")</f>
        <v/>
      </c>
      <c r="EI49" s="67" t="str">
        <f>IFERROR(VLOOKUP($B49,RD[#All],EI$2,0)/EI$1,"")</f>
        <v/>
      </c>
      <c r="EJ49" s="67" t="str">
        <f>IFERROR(VLOOKUP($B49,RD[#All],EJ$2,0)/EJ$1,"")</f>
        <v/>
      </c>
      <c r="EK49" s="67" t="str">
        <f>IFERROR(VLOOKUP($B49,RD[#All],EK$2,0)/EK$1,"")</f>
        <v/>
      </c>
      <c r="EL49" s="67" t="str">
        <f>IFERROR(VLOOKUP($B49,RD[#All],EL$2,0)/EL$1,"")</f>
        <v/>
      </c>
      <c r="EM49" s="67" t="str">
        <f>IFERROR(VLOOKUP($B49,RD[#All],EM$2,0)/EM$1,"")</f>
        <v/>
      </c>
      <c r="EN49" s="67" t="str">
        <f>IFERROR(VLOOKUP($B49,RD[#All],EN$2,0)/EN$1,"")</f>
        <v/>
      </c>
      <c r="EO49" s="67" t="str">
        <f>IFERROR(VLOOKUP($B49,RD[#All],EO$2,0)/EO$1,"")</f>
        <v/>
      </c>
      <c r="EP49" s="67" t="str">
        <f>IFERROR(VLOOKUP($B49,RD[#All],EP$2,0)/EP$1,"")</f>
        <v/>
      </c>
      <c r="EQ49" s="67" t="str">
        <f>IFERROR(VLOOKUP($B49,RD[#All],EQ$2,0)/EQ$1,"")</f>
        <v/>
      </c>
      <c r="ER49" s="67" t="str">
        <f>IFERROR(VLOOKUP($B49,RD[#All],ER$2,0)/ER$1,"")</f>
        <v/>
      </c>
      <c r="ES49" s="67" t="str">
        <f>IFERROR(VLOOKUP($B49,RD[#All],ES$2,0)/ES$1,"")</f>
        <v/>
      </c>
      <c r="ET49" s="67" t="str">
        <f>IFERROR(VLOOKUP($B49,RD[#All],ET$2,0)/ET$1,"")</f>
        <v/>
      </c>
      <c r="EU49" s="67" t="str">
        <f>IFERROR(VLOOKUP($B49,RD[#All],EU$2,0)/EU$1,"")</f>
        <v/>
      </c>
      <c r="EV49" s="67" t="str">
        <f>IFERROR(VLOOKUP($B49,RD[#All],EV$2,0)/EV$1,"")</f>
        <v/>
      </c>
      <c r="EW49" s="67" t="str">
        <f>IFERROR(VLOOKUP($B49,RD[#All],EW$2,0)/EW$1,"")</f>
        <v/>
      </c>
      <c r="EX49" s="67" t="str">
        <f>IFERROR(VLOOKUP($B49,RD[#All],EX$2,0)/EX$1,"")</f>
        <v/>
      </c>
      <c r="EY49" s="67" t="str">
        <f>IFERROR(VLOOKUP($B49,RD[#All],EY$2,0)/EY$1,"")</f>
        <v/>
      </c>
      <c r="EZ49" s="67" t="str">
        <f>IFERROR(VLOOKUP($B49,RD[#All],EZ$2,0)/EZ$1,"")</f>
        <v/>
      </c>
      <c r="FA49" s="67" t="str">
        <f>IFERROR(VLOOKUP($B49,RD[#All],FA$2,0)/FA$1,"")</f>
        <v/>
      </c>
      <c r="FB49" s="67" t="str">
        <f>IFERROR(VLOOKUP($B49,RD[#All],FB$2,0)/FB$1,"")</f>
        <v/>
      </c>
      <c r="FC49" s="67" t="str">
        <f>IFERROR(VLOOKUP($B49,RD[#All],FC$2,0)/FC$1,"")</f>
        <v/>
      </c>
      <c r="FD49" s="67" t="str">
        <f>IFERROR(VLOOKUP($B49,RD[#All],FD$2,0)/FD$1,"")</f>
        <v/>
      </c>
      <c r="FE49" s="67" t="str">
        <f>IFERROR(VLOOKUP($B49,RD[#All],FE$2,0)/FE$1,"")</f>
        <v/>
      </c>
      <c r="FF49" s="67" t="str">
        <f>IFERROR(VLOOKUP($B49,RD[#All],FF$2,0)/FF$1,"")</f>
        <v/>
      </c>
      <c r="FG49" s="67" t="str">
        <f>IFERROR(VLOOKUP($B49,RD[#All],FG$2,0)/FG$1,"")</f>
        <v/>
      </c>
      <c r="FH49" s="67" t="str">
        <f>IFERROR(VLOOKUP($B49,RD[#All],FH$2,0)/FH$1,"")</f>
        <v/>
      </c>
      <c r="FI49" s="67" t="str">
        <f>IFERROR(VLOOKUP($B49,RD[#All],FI$2,0)/FI$1,"")</f>
        <v/>
      </c>
      <c r="FJ49" s="67" t="str">
        <f>IFERROR(VLOOKUP($B49,RD[#All],FJ$2,0)/FJ$1,"")</f>
        <v/>
      </c>
      <c r="FK49" s="67" t="str">
        <f>IFERROR(VLOOKUP($B49,RD[#All],FK$2,0)/FK$1,"")</f>
        <v/>
      </c>
      <c r="FL49" s="67" t="str">
        <f>IFERROR(VLOOKUP($B49,RD[#All],FL$2,0)/FL$1,"")</f>
        <v/>
      </c>
      <c r="FM49" s="67" t="str">
        <f>IFERROR(VLOOKUP($B49,RD[#All],FM$2,0)/FM$1,"")</f>
        <v/>
      </c>
      <c r="FN49" s="67" t="str">
        <f>IFERROR(VLOOKUP($B49,RD[#All],FN$2,0)/FN$1,"")</f>
        <v/>
      </c>
      <c r="FO49" s="67" t="str">
        <f>IFERROR(VLOOKUP($B49,RD[#All],FO$2,0)/FO$1,"")</f>
        <v/>
      </c>
      <c r="FP49" s="67" t="str">
        <f>IFERROR(VLOOKUP($B49,RD[#All],FP$2,0)/FP$1,"")</f>
        <v/>
      </c>
      <c r="FQ49" s="67" t="str">
        <f>IFERROR(VLOOKUP($B49,RD[#All],FQ$2,0)/FQ$1,"")</f>
        <v/>
      </c>
      <c r="FR49" s="67" t="str">
        <f>IFERROR(VLOOKUP($B49,RD[#All],FR$2,0)/FR$1,"")</f>
        <v/>
      </c>
      <c r="FS49" s="67" t="str">
        <f>IFERROR(VLOOKUP($B49,RD[#All],FS$2,0)/FS$1,"")</f>
        <v/>
      </c>
      <c r="FT49" s="67" t="str">
        <f>IFERROR(VLOOKUP($B49,RD[#All],FT$2,0)/FT$1,"")</f>
        <v/>
      </c>
      <c r="FU49" s="67" t="str">
        <f>IFERROR(VLOOKUP($B49,RD[#All],FU$2,0)/FU$1,"")</f>
        <v/>
      </c>
      <c r="FV49" s="67" t="str">
        <f>IFERROR(VLOOKUP($B49,RD[#All],FV$2,0)/FV$1,"")</f>
        <v/>
      </c>
      <c r="FW49" s="67" t="str">
        <f>IFERROR(VLOOKUP($B49,RD[#All],FW$2,0)/FW$1,"")</f>
        <v/>
      </c>
      <c r="FX49" s="67" t="str">
        <f>IFERROR(VLOOKUP($B49,RD[#All],FX$2,0)/FX$1,"")</f>
        <v/>
      </c>
      <c r="FY49" s="67" t="str">
        <f>IFERROR(VLOOKUP($B49,RD[#All],FY$2,0)/FY$1,"")</f>
        <v/>
      </c>
      <c r="FZ49" s="67" t="str">
        <f>IFERROR(VLOOKUP($B49,RD[#All],FZ$2,0)/FZ$1,"")</f>
        <v/>
      </c>
      <c r="GA49" s="67" t="str">
        <f>IFERROR(VLOOKUP($B49,RD[#All],GA$2,0)/GA$1,"")</f>
        <v/>
      </c>
      <c r="GB49" s="67" t="str">
        <f>IFERROR(VLOOKUP($B49,RD[#All],GB$2,0)/GB$1,"")</f>
        <v/>
      </c>
      <c r="GC49" s="67" t="str">
        <f>IFERROR(VLOOKUP($B49,RD[#All],GC$2,0)/GC$1,"")</f>
        <v/>
      </c>
      <c r="GD49" s="67" t="str">
        <f>IFERROR(VLOOKUP($B49,RD[#All],GD$2,0)/GD$1,"")</f>
        <v/>
      </c>
      <c r="GE49" s="67" t="str">
        <f>IFERROR(VLOOKUP($B49,RD[#All],GE$2,0)/GE$1,"")</f>
        <v/>
      </c>
      <c r="GF49" s="67" t="str">
        <f>IFERROR(VLOOKUP($B49,RD[#All],GF$2,0)/GF$1,"")</f>
        <v/>
      </c>
      <c r="GG49" s="67" t="str">
        <f>IFERROR(VLOOKUP($B49,RD[#All],GG$2,0)/GG$1,"")</f>
        <v/>
      </c>
      <c r="GH49" s="67" t="str">
        <f>IFERROR(VLOOKUP($B49,RD[#All],GH$2,0)/GH$1,"")</f>
        <v/>
      </c>
      <c r="GI49" s="67" t="str">
        <f>IFERROR(VLOOKUP($B49,RD[#All],GI$2,0)/GI$1,"")</f>
        <v/>
      </c>
      <c r="GJ49" s="67" t="str">
        <f>IFERROR(VLOOKUP($B49,RD[#All],GJ$2,0)/GJ$1,"")</f>
        <v/>
      </c>
      <c r="GK49" s="67" t="str">
        <f>IFERROR(VLOOKUP($B49,RD[#All],GK$2,0)/GK$1,"")</f>
        <v/>
      </c>
      <c r="GL49" s="67" t="str">
        <f>IFERROR(VLOOKUP($B49,RD[#All],GL$2,0)/GL$1,"")</f>
        <v/>
      </c>
      <c r="GM49" s="67" t="str">
        <f>IFERROR(VLOOKUP($B49,RD[#All],GM$2,0)/GM$1,"")</f>
        <v/>
      </c>
      <c r="GN49" s="67" t="str">
        <f>IFERROR(VLOOKUP($B49,RD[#All],GN$2,0)/GN$1,"")</f>
        <v/>
      </c>
      <c r="GO49" s="67" t="str">
        <f>IFERROR(VLOOKUP($B49,RD[#All],GO$2,0)/GO$1,"")</f>
        <v/>
      </c>
      <c r="GP49" s="67" t="str">
        <f>IFERROR(VLOOKUP($B49,RD[#All],GP$2,0)/GP$1,"")</f>
        <v/>
      </c>
      <c r="GQ49" s="67" t="str">
        <f>IFERROR(VLOOKUP($B49,RD[#All],GQ$2,0)/GQ$1,"")</f>
        <v/>
      </c>
      <c r="GR49" s="67" t="str">
        <f>IFERROR(VLOOKUP($B49,RD[#All],GR$2,0)/GR$1,"")</f>
        <v/>
      </c>
      <c r="GS49" s="67" t="str">
        <f>IFERROR(VLOOKUP($B49,RD[#All],GS$2,0)/GS$1,"")</f>
        <v/>
      </c>
      <c r="GT49" s="67" t="str">
        <f>IFERROR(VLOOKUP($B49,RD[#All],GT$2,0)/GT$1,"")</f>
        <v/>
      </c>
      <c r="GU49" s="67" t="str">
        <f>IFERROR(VLOOKUP($B49,RD[#All],GU$2,0)/GU$1,"")</f>
        <v/>
      </c>
      <c r="GV49" s="67" t="str">
        <f>IFERROR(VLOOKUP($B49,RD[#All],GV$2,0)/GV$1,"")</f>
        <v/>
      </c>
      <c r="GW49" s="67" t="str">
        <f>IFERROR(VLOOKUP($B49,RD[#All],GW$2,0)/GW$1,"")</f>
        <v/>
      </c>
      <c r="GX49" s="67" t="str">
        <f>IFERROR(VLOOKUP($B49,RD[#All],GX$2,0)/GX$1,"")</f>
        <v/>
      </c>
      <c r="GY49" s="67" t="str">
        <f>IFERROR(VLOOKUP($B49,RD[#All],GY$2,0)/GY$1,"")</f>
        <v/>
      </c>
      <c r="GZ49" s="67" t="str">
        <f>IFERROR(VLOOKUP($B49,RD[#All],GZ$2,0)/GZ$1,"")</f>
        <v/>
      </c>
      <c r="HA49" s="67" t="str">
        <f>IFERROR(VLOOKUP($B49,RD[#All],HA$2,0)/HA$1,"")</f>
        <v/>
      </c>
      <c r="HB49" s="67" t="str">
        <f>IFERROR(VLOOKUP($B49,RD[#All],HB$2,0)/HB$1,"")</f>
        <v/>
      </c>
      <c r="HC49" s="67" t="str">
        <f>IFERROR(VLOOKUP($B49,RD[#All],HC$2,0)/HC$1,"")</f>
        <v/>
      </c>
      <c r="HD49" s="67" t="str">
        <f>IFERROR(VLOOKUP($B49,RD[#All],HD$2,0)/HD$1,"")</f>
        <v/>
      </c>
      <c r="HE49" s="67" t="str">
        <f>IFERROR(VLOOKUP($B49,RD[#All],HE$2,0)/HE$1,"")</f>
        <v/>
      </c>
      <c r="HF49" s="67" t="str">
        <f>IFERROR(VLOOKUP($B49,RD[#All],HF$2,0)/HF$1,"")</f>
        <v/>
      </c>
      <c r="HG49" s="67" t="str">
        <f>IFERROR(VLOOKUP($B49,RD[#All],HG$2,0)/HG$1,"")</f>
        <v/>
      </c>
      <c r="HH49" s="67" t="str">
        <f>IFERROR(VLOOKUP($B49,RD[#All],HH$2,0)/HH$1,"")</f>
        <v/>
      </c>
      <c r="HI49" s="67" t="str">
        <f>IFERROR(VLOOKUP($B49,RD[#All],HI$2,0)/HI$1,"")</f>
        <v/>
      </c>
      <c r="HJ49" s="67" t="str">
        <f>IFERROR(VLOOKUP($B49,RD[#All],HJ$2,0)/HJ$1,"")</f>
        <v/>
      </c>
      <c r="HK49" s="67" t="str">
        <f>IFERROR(VLOOKUP($B49,RD[#All],HK$2,0)/HK$1,"")</f>
        <v/>
      </c>
      <c r="HL49" s="67" t="str">
        <f>IFERROR(VLOOKUP($B49,RD[#All],HL$2,0)/HL$1,"")</f>
        <v/>
      </c>
      <c r="HM49" s="67" t="str">
        <f>IFERROR(VLOOKUP($B49,RD[#All],HM$2,0)/HM$1,"")</f>
        <v/>
      </c>
      <c r="HN49" s="67" t="str">
        <f>IFERROR(VLOOKUP($B49,RD[#All],HN$2,0)/HN$1,"")</f>
        <v/>
      </c>
      <c r="HO49" s="67" t="str">
        <f>IFERROR(VLOOKUP($B49,RD[#All],HO$2,0)/HO$1,"")</f>
        <v/>
      </c>
      <c r="HP49" s="67" t="str">
        <f>IFERROR(VLOOKUP($B49,RD[#All],HP$2,0)/HP$1,"")</f>
        <v/>
      </c>
      <c r="HQ49" s="67" t="str">
        <f>IFERROR(VLOOKUP($B49,RD[#All],HQ$2,0)/HQ$1,"")</f>
        <v/>
      </c>
      <c r="HR49" s="67" t="str">
        <f>IFERROR(VLOOKUP($B49,RD[#All],HR$2,0)/HR$1,"")</f>
        <v/>
      </c>
      <c r="HS49" s="67" t="str">
        <f>IFERROR(VLOOKUP($B49,RD[#All],HS$2,0)/HS$1,"")</f>
        <v/>
      </c>
      <c r="HT49" s="67" t="str">
        <f>IFERROR(VLOOKUP($B49,RD[#All],HT$2,0)/HT$1,"")</f>
        <v/>
      </c>
      <c r="HU49" s="67" t="str">
        <f>IFERROR(VLOOKUP($B49,RD[#All],HU$2,0)/HU$1,"")</f>
        <v/>
      </c>
      <c r="HV49" s="67" t="str">
        <f>IFERROR(VLOOKUP($B49,RD[#All],HV$2,0)/HV$1,"")</f>
        <v/>
      </c>
      <c r="HW49" s="67" t="str">
        <f>IFERROR(VLOOKUP($B49,RD[#All],HW$2,0)/HW$1,"")</f>
        <v/>
      </c>
      <c r="HX49" s="67" t="str">
        <f>IFERROR(VLOOKUP($B49,RD[#All],HX$2,0)/HX$1,"")</f>
        <v/>
      </c>
      <c r="HY49" s="67" t="str">
        <f>IFERROR(VLOOKUP($B49,RD[#All],HY$2,0)/HY$1,"")</f>
        <v/>
      </c>
      <c r="HZ49" s="67" t="str">
        <f>IFERROR(VLOOKUP($B49,RD[#All],HZ$2,0)/HZ$1,"")</f>
        <v/>
      </c>
      <c r="IA49" s="67" t="str">
        <f>IFERROR(VLOOKUP($B49,RD[#All],IA$2,0)/IA$1,"")</f>
        <v/>
      </c>
      <c r="IB49" s="67" t="str">
        <f>IFERROR(VLOOKUP($B49,RD[#All],IB$2,0)/IB$1,"")</f>
        <v/>
      </c>
      <c r="IC49" s="67" t="str">
        <f>IFERROR(VLOOKUP($B49,RD[#All],IC$2,0)/IC$1,"")</f>
        <v/>
      </c>
      <c r="ID49" s="67" t="str">
        <f>IFERROR(VLOOKUP($B49,RD[#All],ID$2,0)/ID$1,"")</f>
        <v/>
      </c>
      <c r="IE49" s="67" t="str">
        <f>IFERROR(VLOOKUP($B49,RD[#All],IE$2,0)/IE$1,"")</f>
        <v/>
      </c>
      <c r="IF49" s="67" t="str">
        <f>IFERROR(VLOOKUP($B49,RD[#All],IF$2,0)/IF$1,"")</f>
        <v/>
      </c>
      <c r="IG49" s="67" t="str">
        <f>IFERROR(VLOOKUP($B49,RD[#All],IG$2,0)/IG$1,"")</f>
        <v/>
      </c>
      <c r="IH49" s="67" t="str">
        <f>IFERROR(VLOOKUP($B49,RD[#All],IH$2,0)/IH$1,"")</f>
        <v/>
      </c>
      <c r="II49" s="67" t="str">
        <f>IFERROR(VLOOKUP($B49,RD[#All],II$2,0)/II$1,"")</f>
        <v/>
      </c>
      <c r="IJ49" s="67" t="str">
        <f>IFERROR(VLOOKUP($B49,RD[#All],IJ$2,0)/IJ$1,"")</f>
        <v/>
      </c>
      <c r="IK49" s="67" t="str">
        <f>IFERROR(VLOOKUP($B49,RD[#All],IK$2,0)/IK$1,"")</f>
        <v/>
      </c>
      <c r="IL49" s="67" t="str">
        <f>IFERROR(VLOOKUP($B49,RD[#All],IL$2,0)/IL$1,"")</f>
        <v/>
      </c>
      <c r="IM49" s="67" t="str">
        <f>IFERROR(VLOOKUP($B49,RD[#All],IM$2,0)/IM$1,"")</f>
        <v/>
      </c>
      <c r="IN49" s="67" t="str">
        <f>IFERROR(VLOOKUP($B49,RD[#All],IN$2,0)/IN$1,"")</f>
        <v/>
      </c>
      <c r="IO49" s="67" t="str">
        <f>IFERROR(VLOOKUP($B49,RD[#All],IO$2,0)/IO$1,"")</f>
        <v/>
      </c>
      <c r="IP49" s="67" t="str">
        <f>IFERROR(VLOOKUP($B49,RD[#All],IP$2,0)/IP$1,"")</f>
        <v/>
      </c>
      <c r="IQ49" s="67" t="str">
        <f>IFERROR(VLOOKUP($B49,RD[#All],IQ$2,0)/IQ$1,"")</f>
        <v/>
      </c>
      <c r="IR49" s="67" t="str">
        <f>IFERROR(VLOOKUP($B49,RD[#All],IR$2,0)/IR$1,"")</f>
        <v/>
      </c>
      <c r="IS49" s="86" t="str">
        <f>IFERROR(AVERAGEIF(Inv_SY_B[[#This Row],[BLK1_INV1]:[BLK8_INV27]],"&gt;"&amp;0.1,Inv_SY_B[[#This Row],[BLK1_INV1]:[BLK8_INV27]]),"")</f>
        <v/>
      </c>
    </row>
    <row r="50" spans="2:253" x14ac:dyDescent="0.25">
      <c r="B50" s="87">
        <f t="shared" si="1"/>
        <v>45876</v>
      </c>
      <c r="C50" s="67" t="str">
        <f>IFERROR(VLOOKUP($B50,RD[#All],C$2,0)/C$1,"")</f>
        <v/>
      </c>
      <c r="D50" s="67" t="str">
        <f>IFERROR(VLOOKUP($B50,RD[#All],D$2,0)/D$1,"")</f>
        <v/>
      </c>
      <c r="E50" s="67" t="str">
        <f>IFERROR(VLOOKUP($B50,RD[#All],E$2,0)/E$1,"")</f>
        <v/>
      </c>
      <c r="F50" s="67" t="str">
        <f>IFERROR(VLOOKUP($B50,RD[#All],F$2,0)/F$1,"")</f>
        <v/>
      </c>
      <c r="G50" s="67" t="str">
        <f>IFERROR(VLOOKUP($B50,RD[#All],G$2,0)/G$1,"")</f>
        <v/>
      </c>
      <c r="H50" s="67" t="str">
        <f>IFERROR(VLOOKUP($B50,RD[#All],H$2,0)/H$1,"")</f>
        <v/>
      </c>
      <c r="I50" s="67" t="str">
        <f>IFERROR(VLOOKUP($B50,RD[#All],I$2,0)/I$1,"")</f>
        <v/>
      </c>
      <c r="J50" s="67" t="str">
        <f>IFERROR(VLOOKUP($B50,RD[#All],J$2,0)/J$1,"")</f>
        <v/>
      </c>
      <c r="K50" s="67" t="str">
        <f>IFERROR(VLOOKUP($B50,RD[#All],K$2,0)/K$1,"")</f>
        <v/>
      </c>
      <c r="L50" s="67" t="str">
        <f>IFERROR(VLOOKUP($B50,RD[#All],L$2,0)/L$1,"")</f>
        <v/>
      </c>
      <c r="M50" s="67" t="str">
        <f>IFERROR(VLOOKUP($B50,RD[#All],M$2,0)/M$1,"")</f>
        <v/>
      </c>
      <c r="N50" s="67" t="str">
        <f>IFERROR(VLOOKUP($B50,RD[#All],N$2,0)/N$1,"")</f>
        <v/>
      </c>
      <c r="O50" s="67" t="str">
        <f>IFERROR(VLOOKUP($B50,RD[#All],O$2,0)/O$1,"")</f>
        <v/>
      </c>
      <c r="P50" s="67" t="str">
        <f>IFERROR(VLOOKUP($B50,RD[#All],P$2,0)/P$1,"")</f>
        <v/>
      </c>
      <c r="Q50" s="67" t="str">
        <f>IFERROR(VLOOKUP($B50,RD[#All],Q$2,0)/Q$1,"")</f>
        <v/>
      </c>
      <c r="R50" s="67" t="str">
        <f>IFERROR(VLOOKUP($B50,RD[#All],R$2,0)/R$1,"")</f>
        <v/>
      </c>
      <c r="S50" s="67" t="str">
        <f>IFERROR(VLOOKUP($B50,RD[#All],S$2,0)/S$1,"")</f>
        <v/>
      </c>
      <c r="T50" s="67" t="str">
        <f>IFERROR(VLOOKUP($B50,RD[#All],T$2,0)/T$1,"")</f>
        <v/>
      </c>
      <c r="U50" s="67" t="str">
        <f>IFERROR(VLOOKUP($B50,RD[#All],U$2,0)/U$1,"")</f>
        <v/>
      </c>
      <c r="V50" s="67" t="str">
        <f>IFERROR(VLOOKUP($B50,RD[#All],V$2,0)/V$1,"")</f>
        <v/>
      </c>
      <c r="W50" s="67" t="str">
        <f>IFERROR(VLOOKUP($B50,RD[#All],W$2,0)/W$1,"")</f>
        <v/>
      </c>
      <c r="X50" s="67" t="str">
        <f>IFERROR(VLOOKUP($B50,RD[#All],X$2,0)/X$1,"")</f>
        <v/>
      </c>
      <c r="Y50" s="67" t="str">
        <f>IFERROR(VLOOKUP($B50,RD[#All],Y$2,0)/Y$1,"")</f>
        <v/>
      </c>
      <c r="Z50" s="67" t="str">
        <f>IFERROR(VLOOKUP($B50,RD[#All],Z$2,0)/Z$1,"")</f>
        <v/>
      </c>
      <c r="AA50" s="67" t="str">
        <f>IFERROR(VLOOKUP($B50,RD[#All],AA$2,0)/AA$1,"")</f>
        <v/>
      </c>
      <c r="AB50" s="67" t="str">
        <f>IFERROR(VLOOKUP($B50,RD[#All],AB$2,0)/AB$1,"")</f>
        <v/>
      </c>
      <c r="AC50" s="67" t="str">
        <f>IFERROR(VLOOKUP($B50,RD[#All],AC$2,0)/AC$1,"")</f>
        <v/>
      </c>
      <c r="AD50" s="67" t="str">
        <f>IFERROR(VLOOKUP($B50,RD[#All],AD$2,0)/AD$1,"")</f>
        <v/>
      </c>
      <c r="AE50" s="67" t="str">
        <f>IFERROR(VLOOKUP($B50,RD[#All],AE$2,0)/AE$1,"")</f>
        <v/>
      </c>
      <c r="AF50" s="67" t="str">
        <f>IFERROR(VLOOKUP($B50,RD[#All],AF$2,0)/AF$1,"")</f>
        <v/>
      </c>
      <c r="AG50" s="67" t="str">
        <f>IFERROR(VLOOKUP($B50,RD[#All],AG$2,0)/AG$1,"")</f>
        <v/>
      </c>
      <c r="AH50" s="67" t="str">
        <f>IFERROR(VLOOKUP($B50,RD[#All],AH$2,0)/AH$1,"")</f>
        <v/>
      </c>
      <c r="AI50" s="67" t="str">
        <f>IFERROR(VLOOKUP($B50,RD[#All],AI$2,0)/AI$1,"")</f>
        <v/>
      </c>
      <c r="AJ50" s="67" t="str">
        <f>IFERROR(VLOOKUP($B50,RD[#All],AJ$2,0)/AJ$1,"")</f>
        <v/>
      </c>
      <c r="AK50" s="67" t="str">
        <f>IFERROR(VLOOKUP($B50,RD[#All],AK$2,0)/AK$1,"")</f>
        <v/>
      </c>
      <c r="AL50" s="67" t="str">
        <f>IFERROR(VLOOKUP($B50,RD[#All],AL$2,0)/AL$1,"")</f>
        <v/>
      </c>
      <c r="AM50" s="67" t="str">
        <f>IFERROR(VLOOKUP($B50,RD[#All],AM$2,0)/AM$1,"")</f>
        <v/>
      </c>
      <c r="AN50" s="67" t="str">
        <f>IFERROR(VLOOKUP($B50,RD[#All],AN$2,0)/AN$1,"")</f>
        <v/>
      </c>
      <c r="AO50" s="67" t="str">
        <f>IFERROR(VLOOKUP($B50,RD[#All],AO$2,0)/AO$1,"")</f>
        <v/>
      </c>
      <c r="AP50" s="67" t="str">
        <f>IFERROR(VLOOKUP($B50,RD[#All],AP$2,0)/AP$1,"")</f>
        <v/>
      </c>
      <c r="AQ50" s="67" t="str">
        <f>IFERROR(VLOOKUP($B50,RD[#All],AQ$2,0)/AQ$1,"")</f>
        <v/>
      </c>
      <c r="AR50" s="67" t="str">
        <f>IFERROR(VLOOKUP($B50,RD[#All],AR$2,0)/AR$1,"")</f>
        <v/>
      </c>
      <c r="AS50" s="67" t="str">
        <f>IFERROR(VLOOKUP($B50,RD[#All],AS$2,0)/AS$1,"")</f>
        <v/>
      </c>
      <c r="AT50" s="67" t="str">
        <f>IFERROR(VLOOKUP($B50,RD[#All],AT$2,0)/AT$1,"")</f>
        <v/>
      </c>
      <c r="AU50" s="67" t="str">
        <f>IFERROR(VLOOKUP($B50,RD[#All],AU$2,0)/AU$1,"")</f>
        <v/>
      </c>
      <c r="AV50" s="67" t="str">
        <f>IFERROR(VLOOKUP($B50,RD[#All],AV$2,0)/AV$1,"")</f>
        <v/>
      </c>
      <c r="AW50" s="67" t="str">
        <f>IFERROR(VLOOKUP($B50,RD[#All],AW$2,0)/AW$1,"")</f>
        <v/>
      </c>
      <c r="AX50" s="67" t="str">
        <f>IFERROR(VLOOKUP($B50,RD[#All],AX$2,0)/AX$1,"")</f>
        <v/>
      </c>
      <c r="AY50" s="67" t="str">
        <f>IFERROR(VLOOKUP($B50,RD[#All],AY$2,0)/AY$1,"")</f>
        <v/>
      </c>
      <c r="AZ50" s="67" t="str">
        <f>IFERROR(VLOOKUP($B50,RD[#All],AZ$2,0)/AZ$1,"")</f>
        <v/>
      </c>
      <c r="BA50" s="67" t="str">
        <f>IFERROR(VLOOKUP($B50,RD[#All],BA$2,0)/BA$1,"")</f>
        <v/>
      </c>
      <c r="BB50" s="67" t="str">
        <f>IFERROR(VLOOKUP($B50,RD[#All],BB$2,0)/BB$1,"")</f>
        <v/>
      </c>
      <c r="BC50" s="67" t="str">
        <f>IFERROR(VLOOKUP($B50,RD[#All],BC$2,0)/BC$1,"")</f>
        <v/>
      </c>
      <c r="BD50" s="67" t="str">
        <f>IFERROR(VLOOKUP($B50,RD[#All],BD$2,0)/BD$1,"")</f>
        <v/>
      </c>
      <c r="BE50" s="67" t="str">
        <f>IFERROR(VLOOKUP($B50,RD[#All],BE$2,0)/BE$1,"")</f>
        <v/>
      </c>
      <c r="BF50" s="67" t="str">
        <f>IFERROR(VLOOKUP($B50,RD[#All],BF$2,0)/BF$1,"")</f>
        <v/>
      </c>
      <c r="BG50" s="67" t="str">
        <f>IFERROR(VLOOKUP($B50,RD[#All],BG$2,0)/BG$1,"")</f>
        <v/>
      </c>
      <c r="BH50" s="67" t="str">
        <f>IFERROR(VLOOKUP($B50,RD[#All],BH$2,0)/BH$1,"")</f>
        <v/>
      </c>
      <c r="BI50" s="67" t="str">
        <f>IFERROR(VLOOKUP($B50,RD[#All],BI$2,0)/BI$1,"")</f>
        <v/>
      </c>
      <c r="BJ50" s="67" t="str">
        <f>IFERROR(VLOOKUP($B50,RD[#All],BJ$2,0)/BJ$1,"")</f>
        <v/>
      </c>
      <c r="BK50" s="67" t="str">
        <f>IFERROR(VLOOKUP($B50,RD[#All],BK$2,0)/BK$1,"")</f>
        <v/>
      </c>
      <c r="BL50" s="67" t="str">
        <f>IFERROR(VLOOKUP($B50,RD[#All],BL$2,0)/BL$1,"")</f>
        <v/>
      </c>
      <c r="BM50" s="67" t="str">
        <f>IFERROR(VLOOKUP($B50,RD[#All],BM$2,0)/BM$1,"")</f>
        <v/>
      </c>
      <c r="BN50" s="67" t="str">
        <f>IFERROR(VLOOKUP($B50,RD[#All],BN$2,0)/BN$1,"")</f>
        <v/>
      </c>
      <c r="BO50" s="67" t="str">
        <f>IFERROR(VLOOKUP($B50,RD[#All],BO$2,0)/BO$1,"")</f>
        <v/>
      </c>
      <c r="BP50" s="67" t="str">
        <f>IFERROR(VLOOKUP($B50,RD[#All],BP$2,0)/BP$1,"")</f>
        <v/>
      </c>
      <c r="BQ50" s="67" t="str">
        <f>IFERROR(VLOOKUP($B50,RD[#All],BQ$2,0)/BQ$1,"")</f>
        <v/>
      </c>
      <c r="BR50" s="67" t="str">
        <f>IFERROR(VLOOKUP($B50,RD[#All],BR$2,0)/BR$1,"")</f>
        <v/>
      </c>
      <c r="BS50" s="67" t="str">
        <f>IFERROR(VLOOKUP($B50,RD[#All],BS$2,0)/BS$1,"")</f>
        <v/>
      </c>
      <c r="BT50" s="67" t="str">
        <f>IFERROR(VLOOKUP($B50,RD[#All],BT$2,0)/BT$1,"")</f>
        <v/>
      </c>
      <c r="BU50" s="67" t="str">
        <f>IFERROR(VLOOKUP($B50,RD[#All],BU$2,0)/BU$1,"")</f>
        <v/>
      </c>
      <c r="BV50" s="67" t="str">
        <f>IFERROR(VLOOKUP($B50,RD[#All],BV$2,0)/BV$1,"")</f>
        <v/>
      </c>
      <c r="BW50" s="67" t="str">
        <f>IFERROR(VLOOKUP($B50,RD[#All],BW$2,0)/BW$1,"")</f>
        <v/>
      </c>
      <c r="BX50" s="67" t="str">
        <f>IFERROR(VLOOKUP($B50,RD[#All],BX$2,0)/BX$1,"")</f>
        <v/>
      </c>
      <c r="BY50" s="67" t="str">
        <f>IFERROR(VLOOKUP($B50,RD[#All],BY$2,0)/BY$1,"")</f>
        <v/>
      </c>
      <c r="BZ50" s="67" t="str">
        <f>IFERROR(VLOOKUP($B50,RD[#All],BZ$2,0)/BZ$1,"")</f>
        <v/>
      </c>
      <c r="CA50" s="67" t="str">
        <f>IFERROR(VLOOKUP($B50,RD[#All],CA$2,0)/CA$1,"")</f>
        <v/>
      </c>
      <c r="CB50" s="67" t="str">
        <f>IFERROR(VLOOKUP($B50,RD[#All],CB$2,0)/CB$1,"")</f>
        <v/>
      </c>
      <c r="CC50" s="67" t="str">
        <f>IFERROR(VLOOKUP($B50,RD[#All],CC$2,0)/CC$1,"")</f>
        <v/>
      </c>
      <c r="CD50" s="67" t="str">
        <f>IFERROR(VLOOKUP($B50,RD[#All],CD$2,0)/CD$1,"")</f>
        <v/>
      </c>
      <c r="CE50" s="67" t="str">
        <f>IFERROR(VLOOKUP($B50,RD[#All],CE$2,0)/CE$1,"")</f>
        <v/>
      </c>
      <c r="CF50" s="67" t="str">
        <f>IFERROR(VLOOKUP($B50,RD[#All],CF$2,0)/CF$1,"")</f>
        <v/>
      </c>
      <c r="CG50" s="67" t="str">
        <f>IFERROR(VLOOKUP($B50,RD[#All],CG$2,0)/CG$1,"")</f>
        <v/>
      </c>
      <c r="CH50" s="67" t="str">
        <f>IFERROR(VLOOKUP($B50,RD[#All],CH$2,0)/CH$1,"")</f>
        <v/>
      </c>
      <c r="CI50" s="67" t="str">
        <f>IFERROR(VLOOKUP($B50,RD[#All],CI$2,0)/CI$1,"")</f>
        <v/>
      </c>
      <c r="CJ50" s="67" t="str">
        <f>IFERROR(VLOOKUP($B50,RD[#All],CJ$2,0)/CJ$1,"")</f>
        <v/>
      </c>
      <c r="CK50" s="67" t="str">
        <f>IFERROR(VLOOKUP($B50,RD[#All],CK$2,0)/CK$1,"")</f>
        <v/>
      </c>
      <c r="CL50" s="67" t="str">
        <f>IFERROR(VLOOKUP($B50,RD[#All],CL$2,0)/CL$1,"")</f>
        <v/>
      </c>
      <c r="CM50" s="67" t="str">
        <f>IFERROR(VLOOKUP($B50,RD[#All],CM$2,0)/CM$1,"")</f>
        <v/>
      </c>
      <c r="CN50" s="67" t="str">
        <f>IFERROR(VLOOKUP($B50,RD[#All],CN$2,0)/CN$1,"")</f>
        <v/>
      </c>
      <c r="CO50" s="67" t="str">
        <f>IFERROR(VLOOKUP($B50,RD[#All],CO$2,0)/CO$1,"")</f>
        <v/>
      </c>
      <c r="CP50" s="67" t="str">
        <f>IFERROR(VLOOKUP($B50,RD[#All],CP$2,0)/CP$1,"")</f>
        <v/>
      </c>
      <c r="CQ50" s="67" t="str">
        <f>IFERROR(VLOOKUP($B50,RD[#All],CQ$2,0)/CQ$1,"")</f>
        <v/>
      </c>
      <c r="CR50" s="67" t="str">
        <f>IFERROR(VLOOKUP($B50,RD[#All],CR$2,0)/CR$1,"")</f>
        <v/>
      </c>
      <c r="CS50" s="67" t="str">
        <f>IFERROR(VLOOKUP($B50,RD[#All],CS$2,0)/CS$1,"")</f>
        <v/>
      </c>
      <c r="CT50" s="67" t="str">
        <f>IFERROR(VLOOKUP($B50,RD[#All],CT$2,0)/CT$1,"")</f>
        <v/>
      </c>
      <c r="CU50" s="67" t="str">
        <f>IFERROR(VLOOKUP($B50,RD[#All],CU$2,0)/CU$1,"")</f>
        <v/>
      </c>
      <c r="CV50" s="67" t="str">
        <f>IFERROR(VLOOKUP($B50,RD[#All],CV$2,0)/CV$1,"")</f>
        <v/>
      </c>
      <c r="CW50" s="67" t="str">
        <f>IFERROR(VLOOKUP($B50,RD[#All],CW$2,0)/CW$1,"")</f>
        <v/>
      </c>
      <c r="CX50" s="67" t="str">
        <f>IFERROR(VLOOKUP($B50,RD[#All],CX$2,0)/CX$1,"")</f>
        <v/>
      </c>
      <c r="CY50" s="67" t="str">
        <f>IFERROR(VLOOKUP($B50,RD[#All],CY$2,0)/CY$1,"")</f>
        <v/>
      </c>
      <c r="CZ50" s="67" t="str">
        <f>IFERROR(VLOOKUP($B50,RD[#All],CZ$2,0)/CZ$1,"")</f>
        <v/>
      </c>
      <c r="DA50" s="67" t="str">
        <f>IFERROR(VLOOKUP($B50,RD[#All],DA$2,0)/DA$1,"")</f>
        <v/>
      </c>
      <c r="DB50" s="67" t="str">
        <f>IFERROR(VLOOKUP($B50,RD[#All],DB$2,0)/DB$1,"")</f>
        <v/>
      </c>
      <c r="DC50" s="67" t="str">
        <f>IFERROR(VLOOKUP($B50,RD[#All],DC$2,0)/DC$1,"")</f>
        <v/>
      </c>
      <c r="DD50" s="67" t="str">
        <f>IFERROR(VLOOKUP($B50,RD[#All],DD$2,0)/DD$1,"")</f>
        <v/>
      </c>
      <c r="DE50" s="67" t="str">
        <f>IFERROR(VLOOKUP($B50,RD[#All],DE$2,0)/DE$1,"")</f>
        <v/>
      </c>
      <c r="DF50" s="67" t="str">
        <f>IFERROR(VLOOKUP($B50,RD[#All],DF$2,0)/DF$1,"")</f>
        <v/>
      </c>
      <c r="DG50" s="67" t="str">
        <f>IFERROR(VLOOKUP($B50,RD[#All],DG$2,0)/DG$1,"")</f>
        <v/>
      </c>
      <c r="DH50" s="67" t="str">
        <f>IFERROR(VLOOKUP($B50,RD[#All],DH$2,0)/DH$1,"")</f>
        <v/>
      </c>
      <c r="DI50" s="67" t="str">
        <f>IFERROR(VLOOKUP($B50,RD[#All],DI$2,0)/DI$1,"")</f>
        <v/>
      </c>
      <c r="DJ50" s="67" t="str">
        <f>IFERROR(VLOOKUP($B50,RD[#All],DJ$2,0)/DJ$1,"")</f>
        <v/>
      </c>
      <c r="DK50" s="67" t="str">
        <f>IFERROR(VLOOKUP($B50,RD[#All],DK$2,0)/DK$1,"")</f>
        <v/>
      </c>
      <c r="DL50" s="67" t="str">
        <f>IFERROR(VLOOKUP($B50,RD[#All],DL$2,0)/DL$1,"")</f>
        <v/>
      </c>
      <c r="DM50" s="67" t="str">
        <f>IFERROR(VLOOKUP($B50,RD[#All],DM$2,0)/DM$1,"")</f>
        <v/>
      </c>
      <c r="DN50" s="67" t="str">
        <f>IFERROR(VLOOKUP($B50,RD[#All],DN$2,0)/DN$1,"")</f>
        <v/>
      </c>
      <c r="DO50" s="67" t="str">
        <f>IFERROR(VLOOKUP($B50,RD[#All],DO$2,0)/DO$1,"")</f>
        <v/>
      </c>
      <c r="DP50" s="67" t="str">
        <f>IFERROR(VLOOKUP($B50,RD[#All],DP$2,0)/DP$1,"")</f>
        <v/>
      </c>
      <c r="DQ50" s="67" t="str">
        <f>IFERROR(VLOOKUP($B50,RD[#All],DQ$2,0)/DQ$1,"")</f>
        <v/>
      </c>
      <c r="DR50" s="67" t="str">
        <f>IFERROR(VLOOKUP($B50,RD[#All],DR$2,0)/DR$1,"")</f>
        <v/>
      </c>
      <c r="DS50" s="67" t="str">
        <f>IFERROR(VLOOKUP($B50,RD[#All],DS$2,0)/DS$1,"")</f>
        <v/>
      </c>
      <c r="DT50" s="67" t="str">
        <f>IFERROR(VLOOKUP($B50,RD[#All],DT$2,0)/DT$1,"")</f>
        <v/>
      </c>
      <c r="DU50" s="67" t="str">
        <f>IFERROR(VLOOKUP($B50,RD[#All],DU$2,0)/DU$1,"")</f>
        <v/>
      </c>
      <c r="DV50" s="67" t="str">
        <f>IFERROR(VLOOKUP($B50,RD[#All],DV$2,0)/DV$1,"")</f>
        <v/>
      </c>
      <c r="DW50" s="67" t="str">
        <f>IFERROR(VLOOKUP($B50,RD[#All],DW$2,0)/DW$1,"")</f>
        <v/>
      </c>
      <c r="DX50" s="67" t="str">
        <f>IFERROR(VLOOKUP($B50,RD[#All],DX$2,0)/DX$1,"")</f>
        <v/>
      </c>
      <c r="DY50" s="67" t="str">
        <f>IFERROR(VLOOKUP($B50,RD[#All],DY$2,0)/DY$1,"")</f>
        <v/>
      </c>
      <c r="DZ50" s="67" t="str">
        <f>IFERROR(VLOOKUP($B50,RD[#All],DZ$2,0)/DZ$1,"")</f>
        <v/>
      </c>
      <c r="EA50" s="67" t="str">
        <f>IFERROR(VLOOKUP($B50,RD[#All],EA$2,0)/EA$1,"")</f>
        <v/>
      </c>
      <c r="EB50" s="67" t="str">
        <f>IFERROR(VLOOKUP($B50,RD[#All],EB$2,0)/EB$1,"")</f>
        <v/>
      </c>
      <c r="EC50" s="67" t="str">
        <f>IFERROR(VLOOKUP($B50,RD[#All],EC$2,0)/EC$1,"")</f>
        <v/>
      </c>
      <c r="ED50" s="67" t="str">
        <f>IFERROR(VLOOKUP($B50,RD[#All],ED$2,0)/ED$1,"")</f>
        <v/>
      </c>
      <c r="EE50" s="67" t="str">
        <f>IFERROR(VLOOKUP($B50,RD[#All],EE$2,0)/EE$1,"")</f>
        <v/>
      </c>
      <c r="EF50" s="67" t="str">
        <f>IFERROR(VLOOKUP($B50,RD[#All],EF$2,0)/EF$1,"")</f>
        <v/>
      </c>
      <c r="EG50" s="67" t="str">
        <f>IFERROR(VLOOKUP($B50,RD[#All],EG$2,0)/EG$1,"")</f>
        <v/>
      </c>
      <c r="EH50" s="67" t="str">
        <f>IFERROR(VLOOKUP($B50,RD[#All],EH$2,0)/EH$1,"")</f>
        <v/>
      </c>
      <c r="EI50" s="67" t="str">
        <f>IFERROR(VLOOKUP($B50,RD[#All],EI$2,0)/EI$1,"")</f>
        <v/>
      </c>
      <c r="EJ50" s="67" t="str">
        <f>IFERROR(VLOOKUP($B50,RD[#All],EJ$2,0)/EJ$1,"")</f>
        <v/>
      </c>
      <c r="EK50" s="67" t="str">
        <f>IFERROR(VLOOKUP($B50,RD[#All],EK$2,0)/EK$1,"")</f>
        <v/>
      </c>
      <c r="EL50" s="67" t="str">
        <f>IFERROR(VLOOKUP($B50,RD[#All],EL$2,0)/EL$1,"")</f>
        <v/>
      </c>
      <c r="EM50" s="67" t="str">
        <f>IFERROR(VLOOKUP($B50,RD[#All],EM$2,0)/EM$1,"")</f>
        <v/>
      </c>
      <c r="EN50" s="67" t="str">
        <f>IFERROR(VLOOKUP($B50,RD[#All],EN$2,0)/EN$1,"")</f>
        <v/>
      </c>
      <c r="EO50" s="67" t="str">
        <f>IFERROR(VLOOKUP($B50,RD[#All],EO$2,0)/EO$1,"")</f>
        <v/>
      </c>
      <c r="EP50" s="67" t="str">
        <f>IFERROR(VLOOKUP($B50,RD[#All],EP$2,0)/EP$1,"")</f>
        <v/>
      </c>
      <c r="EQ50" s="67" t="str">
        <f>IFERROR(VLOOKUP($B50,RD[#All],EQ$2,0)/EQ$1,"")</f>
        <v/>
      </c>
      <c r="ER50" s="67" t="str">
        <f>IFERROR(VLOOKUP($B50,RD[#All],ER$2,0)/ER$1,"")</f>
        <v/>
      </c>
      <c r="ES50" s="67" t="str">
        <f>IFERROR(VLOOKUP($B50,RD[#All],ES$2,0)/ES$1,"")</f>
        <v/>
      </c>
      <c r="ET50" s="67" t="str">
        <f>IFERROR(VLOOKUP($B50,RD[#All],ET$2,0)/ET$1,"")</f>
        <v/>
      </c>
      <c r="EU50" s="67" t="str">
        <f>IFERROR(VLOOKUP($B50,RD[#All],EU$2,0)/EU$1,"")</f>
        <v/>
      </c>
      <c r="EV50" s="67" t="str">
        <f>IFERROR(VLOOKUP($B50,RD[#All],EV$2,0)/EV$1,"")</f>
        <v/>
      </c>
      <c r="EW50" s="67" t="str">
        <f>IFERROR(VLOOKUP($B50,RD[#All],EW$2,0)/EW$1,"")</f>
        <v/>
      </c>
      <c r="EX50" s="67" t="str">
        <f>IFERROR(VLOOKUP($B50,RD[#All],EX$2,0)/EX$1,"")</f>
        <v/>
      </c>
      <c r="EY50" s="67" t="str">
        <f>IFERROR(VLOOKUP($B50,RD[#All],EY$2,0)/EY$1,"")</f>
        <v/>
      </c>
      <c r="EZ50" s="67" t="str">
        <f>IFERROR(VLOOKUP($B50,RD[#All],EZ$2,0)/EZ$1,"")</f>
        <v/>
      </c>
      <c r="FA50" s="67" t="str">
        <f>IFERROR(VLOOKUP($B50,RD[#All],FA$2,0)/FA$1,"")</f>
        <v/>
      </c>
      <c r="FB50" s="67" t="str">
        <f>IFERROR(VLOOKUP($B50,RD[#All],FB$2,0)/FB$1,"")</f>
        <v/>
      </c>
      <c r="FC50" s="67" t="str">
        <f>IFERROR(VLOOKUP($B50,RD[#All],FC$2,0)/FC$1,"")</f>
        <v/>
      </c>
      <c r="FD50" s="67" t="str">
        <f>IFERROR(VLOOKUP($B50,RD[#All],FD$2,0)/FD$1,"")</f>
        <v/>
      </c>
      <c r="FE50" s="67" t="str">
        <f>IFERROR(VLOOKUP($B50,RD[#All],FE$2,0)/FE$1,"")</f>
        <v/>
      </c>
      <c r="FF50" s="67" t="str">
        <f>IFERROR(VLOOKUP($B50,RD[#All],FF$2,0)/FF$1,"")</f>
        <v/>
      </c>
      <c r="FG50" s="67" t="str">
        <f>IFERROR(VLOOKUP($B50,RD[#All],FG$2,0)/FG$1,"")</f>
        <v/>
      </c>
      <c r="FH50" s="67" t="str">
        <f>IFERROR(VLOOKUP($B50,RD[#All],FH$2,0)/FH$1,"")</f>
        <v/>
      </c>
      <c r="FI50" s="67" t="str">
        <f>IFERROR(VLOOKUP($B50,RD[#All],FI$2,0)/FI$1,"")</f>
        <v/>
      </c>
      <c r="FJ50" s="67" t="str">
        <f>IFERROR(VLOOKUP($B50,RD[#All],FJ$2,0)/FJ$1,"")</f>
        <v/>
      </c>
      <c r="FK50" s="67" t="str">
        <f>IFERROR(VLOOKUP($B50,RD[#All],FK$2,0)/FK$1,"")</f>
        <v/>
      </c>
      <c r="FL50" s="67" t="str">
        <f>IFERROR(VLOOKUP($B50,RD[#All],FL$2,0)/FL$1,"")</f>
        <v/>
      </c>
      <c r="FM50" s="67" t="str">
        <f>IFERROR(VLOOKUP($B50,RD[#All],FM$2,0)/FM$1,"")</f>
        <v/>
      </c>
      <c r="FN50" s="67" t="str">
        <f>IFERROR(VLOOKUP($B50,RD[#All],FN$2,0)/FN$1,"")</f>
        <v/>
      </c>
      <c r="FO50" s="67" t="str">
        <f>IFERROR(VLOOKUP($B50,RD[#All],FO$2,0)/FO$1,"")</f>
        <v/>
      </c>
      <c r="FP50" s="67" t="str">
        <f>IFERROR(VLOOKUP($B50,RD[#All],FP$2,0)/FP$1,"")</f>
        <v/>
      </c>
      <c r="FQ50" s="67" t="str">
        <f>IFERROR(VLOOKUP($B50,RD[#All],FQ$2,0)/FQ$1,"")</f>
        <v/>
      </c>
      <c r="FR50" s="67" t="str">
        <f>IFERROR(VLOOKUP($B50,RD[#All],FR$2,0)/FR$1,"")</f>
        <v/>
      </c>
      <c r="FS50" s="67" t="str">
        <f>IFERROR(VLOOKUP($B50,RD[#All],FS$2,0)/FS$1,"")</f>
        <v/>
      </c>
      <c r="FT50" s="67" t="str">
        <f>IFERROR(VLOOKUP($B50,RD[#All],FT$2,0)/FT$1,"")</f>
        <v/>
      </c>
      <c r="FU50" s="67" t="str">
        <f>IFERROR(VLOOKUP($B50,RD[#All],FU$2,0)/FU$1,"")</f>
        <v/>
      </c>
      <c r="FV50" s="67" t="str">
        <f>IFERROR(VLOOKUP($B50,RD[#All],FV$2,0)/FV$1,"")</f>
        <v/>
      </c>
      <c r="FW50" s="67" t="str">
        <f>IFERROR(VLOOKUP($B50,RD[#All],FW$2,0)/FW$1,"")</f>
        <v/>
      </c>
      <c r="FX50" s="67" t="str">
        <f>IFERROR(VLOOKUP($B50,RD[#All],FX$2,0)/FX$1,"")</f>
        <v/>
      </c>
      <c r="FY50" s="67" t="str">
        <f>IFERROR(VLOOKUP($B50,RD[#All],FY$2,0)/FY$1,"")</f>
        <v/>
      </c>
      <c r="FZ50" s="67" t="str">
        <f>IFERROR(VLOOKUP($B50,RD[#All],FZ$2,0)/FZ$1,"")</f>
        <v/>
      </c>
      <c r="GA50" s="67" t="str">
        <f>IFERROR(VLOOKUP($B50,RD[#All],GA$2,0)/GA$1,"")</f>
        <v/>
      </c>
      <c r="GB50" s="67" t="str">
        <f>IFERROR(VLOOKUP($B50,RD[#All],GB$2,0)/GB$1,"")</f>
        <v/>
      </c>
      <c r="GC50" s="67" t="str">
        <f>IFERROR(VLOOKUP($B50,RD[#All],GC$2,0)/GC$1,"")</f>
        <v/>
      </c>
      <c r="GD50" s="67" t="str">
        <f>IFERROR(VLOOKUP($B50,RD[#All],GD$2,0)/GD$1,"")</f>
        <v/>
      </c>
      <c r="GE50" s="67" t="str">
        <f>IFERROR(VLOOKUP($B50,RD[#All],GE$2,0)/GE$1,"")</f>
        <v/>
      </c>
      <c r="GF50" s="67" t="str">
        <f>IFERROR(VLOOKUP($B50,RD[#All],GF$2,0)/GF$1,"")</f>
        <v/>
      </c>
      <c r="GG50" s="67" t="str">
        <f>IFERROR(VLOOKUP($B50,RD[#All],GG$2,0)/GG$1,"")</f>
        <v/>
      </c>
      <c r="GH50" s="67" t="str">
        <f>IFERROR(VLOOKUP($B50,RD[#All],GH$2,0)/GH$1,"")</f>
        <v/>
      </c>
      <c r="GI50" s="67" t="str">
        <f>IFERROR(VLOOKUP($B50,RD[#All],GI$2,0)/GI$1,"")</f>
        <v/>
      </c>
      <c r="GJ50" s="67" t="str">
        <f>IFERROR(VLOOKUP($B50,RD[#All],GJ$2,0)/GJ$1,"")</f>
        <v/>
      </c>
      <c r="GK50" s="67" t="str">
        <f>IFERROR(VLOOKUP($B50,RD[#All],GK$2,0)/GK$1,"")</f>
        <v/>
      </c>
      <c r="GL50" s="67" t="str">
        <f>IFERROR(VLOOKUP($B50,RD[#All],GL$2,0)/GL$1,"")</f>
        <v/>
      </c>
      <c r="GM50" s="67" t="str">
        <f>IFERROR(VLOOKUP($B50,RD[#All],GM$2,0)/GM$1,"")</f>
        <v/>
      </c>
      <c r="GN50" s="67" t="str">
        <f>IFERROR(VLOOKUP($B50,RD[#All],GN$2,0)/GN$1,"")</f>
        <v/>
      </c>
      <c r="GO50" s="67" t="str">
        <f>IFERROR(VLOOKUP($B50,RD[#All],GO$2,0)/GO$1,"")</f>
        <v/>
      </c>
      <c r="GP50" s="67" t="str">
        <f>IFERROR(VLOOKUP($B50,RD[#All],GP$2,0)/GP$1,"")</f>
        <v/>
      </c>
      <c r="GQ50" s="67" t="str">
        <f>IFERROR(VLOOKUP($B50,RD[#All],GQ$2,0)/GQ$1,"")</f>
        <v/>
      </c>
      <c r="GR50" s="67" t="str">
        <f>IFERROR(VLOOKUP($B50,RD[#All],GR$2,0)/GR$1,"")</f>
        <v/>
      </c>
      <c r="GS50" s="67" t="str">
        <f>IFERROR(VLOOKUP($B50,RD[#All],GS$2,0)/GS$1,"")</f>
        <v/>
      </c>
      <c r="GT50" s="67" t="str">
        <f>IFERROR(VLOOKUP($B50,RD[#All],GT$2,0)/GT$1,"")</f>
        <v/>
      </c>
      <c r="GU50" s="67" t="str">
        <f>IFERROR(VLOOKUP($B50,RD[#All],GU$2,0)/GU$1,"")</f>
        <v/>
      </c>
      <c r="GV50" s="67" t="str">
        <f>IFERROR(VLOOKUP($B50,RD[#All],GV$2,0)/GV$1,"")</f>
        <v/>
      </c>
      <c r="GW50" s="67" t="str">
        <f>IFERROR(VLOOKUP($B50,RD[#All],GW$2,0)/GW$1,"")</f>
        <v/>
      </c>
      <c r="GX50" s="67" t="str">
        <f>IFERROR(VLOOKUP($B50,RD[#All],GX$2,0)/GX$1,"")</f>
        <v/>
      </c>
      <c r="GY50" s="67" t="str">
        <f>IFERROR(VLOOKUP($B50,RD[#All],GY$2,0)/GY$1,"")</f>
        <v/>
      </c>
      <c r="GZ50" s="67" t="str">
        <f>IFERROR(VLOOKUP($B50,RD[#All],GZ$2,0)/GZ$1,"")</f>
        <v/>
      </c>
      <c r="HA50" s="67" t="str">
        <f>IFERROR(VLOOKUP($B50,RD[#All],HA$2,0)/HA$1,"")</f>
        <v/>
      </c>
      <c r="HB50" s="67" t="str">
        <f>IFERROR(VLOOKUP($B50,RD[#All],HB$2,0)/HB$1,"")</f>
        <v/>
      </c>
      <c r="HC50" s="67" t="str">
        <f>IFERROR(VLOOKUP($B50,RD[#All],HC$2,0)/HC$1,"")</f>
        <v/>
      </c>
      <c r="HD50" s="67" t="str">
        <f>IFERROR(VLOOKUP($B50,RD[#All],HD$2,0)/HD$1,"")</f>
        <v/>
      </c>
      <c r="HE50" s="67" t="str">
        <f>IFERROR(VLOOKUP($B50,RD[#All],HE$2,0)/HE$1,"")</f>
        <v/>
      </c>
      <c r="HF50" s="67" t="str">
        <f>IFERROR(VLOOKUP($B50,RD[#All],HF$2,0)/HF$1,"")</f>
        <v/>
      </c>
      <c r="HG50" s="67" t="str">
        <f>IFERROR(VLOOKUP($B50,RD[#All],HG$2,0)/HG$1,"")</f>
        <v/>
      </c>
      <c r="HH50" s="67" t="str">
        <f>IFERROR(VLOOKUP($B50,RD[#All],HH$2,0)/HH$1,"")</f>
        <v/>
      </c>
      <c r="HI50" s="67" t="str">
        <f>IFERROR(VLOOKUP($B50,RD[#All],HI$2,0)/HI$1,"")</f>
        <v/>
      </c>
      <c r="HJ50" s="67" t="str">
        <f>IFERROR(VLOOKUP($B50,RD[#All],HJ$2,0)/HJ$1,"")</f>
        <v/>
      </c>
      <c r="HK50" s="67" t="str">
        <f>IFERROR(VLOOKUP($B50,RD[#All],HK$2,0)/HK$1,"")</f>
        <v/>
      </c>
      <c r="HL50" s="67" t="str">
        <f>IFERROR(VLOOKUP($B50,RD[#All],HL$2,0)/HL$1,"")</f>
        <v/>
      </c>
      <c r="HM50" s="67" t="str">
        <f>IFERROR(VLOOKUP($B50,RD[#All],HM$2,0)/HM$1,"")</f>
        <v/>
      </c>
      <c r="HN50" s="67" t="str">
        <f>IFERROR(VLOOKUP($B50,RD[#All],HN$2,0)/HN$1,"")</f>
        <v/>
      </c>
      <c r="HO50" s="67" t="str">
        <f>IFERROR(VLOOKUP($B50,RD[#All],HO$2,0)/HO$1,"")</f>
        <v/>
      </c>
      <c r="HP50" s="67" t="str">
        <f>IFERROR(VLOOKUP($B50,RD[#All],HP$2,0)/HP$1,"")</f>
        <v/>
      </c>
      <c r="HQ50" s="67" t="str">
        <f>IFERROR(VLOOKUP($B50,RD[#All],HQ$2,0)/HQ$1,"")</f>
        <v/>
      </c>
      <c r="HR50" s="67" t="str">
        <f>IFERROR(VLOOKUP($B50,RD[#All],HR$2,0)/HR$1,"")</f>
        <v/>
      </c>
      <c r="HS50" s="67" t="str">
        <f>IFERROR(VLOOKUP($B50,RD[#All],HS$2,0)/HS$1,"")</f>
        <v/>
      </c>
      <c r="HT50" s="67" t="str">
        <f>IFERROR(VLOOKUP($B50,RD[#All],HT$2,0)/HT$1,"")</f>
        <v/>
      </c>
      <c r="HU50" s="67" t="str">
        <f>IFERROR(VLOOKUP($B50,RD[#All],HU$2,0)/HU$1,"")</f>
        <v/>
      </c>
      <c r="HV50" s="67" t="str">
        <f>IFERROR(VLOOKUP($B50,RD[#All],HV$2,0)/HV$1,"")</f>
        <v/>
      </c>
      <c r="HW50" s="67" t="str">
        <f>IFERROR(VLOOKUP($B50,RD[#All],HW$2,0)/HW$1,"")</f>
        <v/>
      </c>
      <c r="HX50" s="67" t="str">
        <f>IFERROR(VLOOKUP($B50,RD[#All],HX$2,0)/HX$1,"")</f>
        <v/>
      </c>
      <c r="HY50" s="67" t="str">
        <f>IFERROR(VLOOKUP($B50,RD[#All],HY$2,0)/HY$1,"")</f>
        <v/>
      </c>
      <c r="HZ50" s="67" t="str">
        <f>IFERROR(VLOOKUP($B50,RD[#All],HZ$2,0)/HZ$1,"")</f>
        <v/>
      </c>
      <c r="IA50" s="67" t="str">
        <f>IFERROR(VLOOKUP($B50,RD[#All],IA$2,0)/IA$1,"")</f>
        <v/>
      </c>
      <c r="IB50" s="67" t="str">
        <f>IFERROR(VLOOKUP($B50,RD[#All],IB$2,0)/IB$1,"")</f>
        <v/>
      </c>
      <c r="IC50" s="67" t="str">
        <f>IFERROR(VLOOKUP($B50,RD[#All],IC$2,0)/IC$1,"")</f>
        <v/>
      </c>
      <c r="ID50" s="67" t="str">
        <f>IFERROR(VLOOKUP($B50,RD[#All],ID$2,0)/ID$1,"")</f>
        <v/>
      </c>
      <c r="IE50" s="67" t="str">
        <f>IFERROR(VLOOKUP($B50,RD[#All],IE$2,0)/IE$1,"")</f>
        <v/>
      </c>
      <c r="IF50" s="67" t="str">
        <f>IFERROR(VLOOKUP($B50,RD[#All],IF$2,0)/IF$1,"")</f>
        <v/>
      </c>
      <c r="IG50" s="67" t="str">
        <f>IFERROR(VLOOKUP($B50,RD[#All],IG$2,0)/IG$1,"")</f>
        <v/>
      </c>
      <c r="IH50" s="67" t="str">
        <f>IFERROR(VLOOKUP($B50,RD[#All],IH$2,0)/IH$1,"")</f>
        <v/>
      </c>
      <c r="II50" s="67" t="str">
        <f>IFERROR(VLOOKUP($B50,RD[#All],II$2,0)/II$1,"")</f>
        <v/>
      </c>
      <c r="IJ50" s="67" t="str">
        <f>IFERROR(VLOOKUP($B50,RD[#All],IJ$2,0)/IJ$1,"")</f>
        <v/>
      </c>
      <c r="IK50" s="67" t="str">
        <f>IFERROR(VLOOKUP($B50,RD[#All],IK$2,0)/IK$1,"")</f>
        <v/>
      </c>
      <c r="IL50" s="67" t="str">
        <f>IFERROR(VLOOKUP($B50,RD[#All],IL$2,0)/IL$1,"")</f>
        <v/>
      </c>
      <c r="IM50" s="67" t="str">
        <f>IFERROR(VLOOKUP($B50,RD[#All],IM$2,0)/IM$1,"")</f>
        <v/>
      </c>
      <c r="IN50" s="67" t="str">
        <f>IFERROR(VLOOKUP($B50,RD[#All],IN$2,0)/IN$1,"")</f>
        <v/>
      </c>
      <c r="IO50" s="67" t="str">
        <f>IFERROR(VLOOKUP($B50,RD[#All],IO$2,0)/IO$1,"")</f>
        <v/>
      </c>
      <c r="IP50" s="67" t="str">
        <f>IFERROR(VLOOKUP($B50,RD[#All],IP$2,0)/IP$1,"")</f>
        <v/>
      </c>
      <c r="IQ50" s="67" t="str">
        <f>IFERROR(VLOOKUP($B50,RD[#All],IQ$2,0)/IQ$1,"")</f>
        <v/>
      </c>
      <c r="IR50" s="67" t="str">
        <f>IFERROR(VLOOKUP($B50,RD[#All],IR$2,0)/IR$1,"")</f>
        <v/>
      </c>
      <c r="IS50" s="86" t="str">
        <f>IFERROR(AVERAGEIF(Inv_SY_B[[#This Row],[BLK1_INV1]:[BLK8_INV27]],"&gt;"&amp;0.1,Inv_SY_B[[#This Row],[BLK1_INV1]:[BLK8_INV27]]),"")</f>
        <v/>
      </c>
    </row>
    <row r="51" spans="2:253" x14ac:dyDescent="0.25">
      <c r="B51" s="87">
        <f t="shared" si="1"/>
        <v>45877</v>
      </c>
      <c r="C51" s="67" t="str">
        <f>IFERROR(VLOOKUP($B51,RD[#All],C$2,0)/C$1,"")</f>
        <v/>
      </c>
      <c r="D51" s="67" t="str">
        <f>IFERROR(VLOOKUP($B51,RD[#All],D$2,0)/D$1,"")</f>
        <v/>
      </c>
      <c r="E51" s="67" t="str">
        <f>IFERROR(VLOOKUP($B51,RD[#All],E$2,0)/E$1,"")</f>
        <v/>
      </c>
      <c r="F51" s="67" t="str">
        <f>IFERROR(VLOOKUP($B51,RD[#All],F$2,0)/F$1,"")</f>
        <v/>
      </c>
      <c r="G51" s="67" t="str">
        <f>IFERROR(VLOOKUP($B51,RD[#All],G$2,0)/G$1,"")</f>
        <v/>
      </c>
      <c r="H51" s="67" t="str">
        <f>IFERROR(VLOOKUP($B51,RD[#All],H$2,0)/H$1,"")</f>
        <v/>
      </c>
      <c r="I51" s="67" t="str">
        <f>IFERROR(VLOOKUP($B51,RD[#All],I$2,0)/I$1,"")</f>
        <v/>
      </c>
      <c r="J51" s="67" t="str">
        <f>IFERROR(VLOOKUP($B51,RD[#All],J$2,0)/J$1,"")</f>
        <v/>
      </c>
      <c r="K51" s="67" t="str">
        <f>IFERROR(VLOOKUP($B51,RD[#All],K$2,0)/K$1,"")</f>
        <v/>
      </c>
      <c r="L51" s="67" t="str">
        <f>IFERROR(VLOOKUP($B51,RD[#All],L$2,0)/L$1,"")</f>
        <v/>
      </c>
      <c r="M51" s="67" t="str">
        <f>IFERROR(VLOOKUP($B51,RD[#All],M$2,0)/M$1,"")</f>
        <v/>
      </c>
      <c r="N51" s="67" t="str">
        <f>IFERROR(VLOOKUP($B51,RD[#All],N$2,0)/N$1,"")</f>
        <v/>
      </c>
      <c r="O51" s="67" t="str">
        <f>IFERROR(VLOOKUP($B51,RD[#All],O$2,0)/O$1,"")</f>
        <v/>
      </c>
      <c r="P51" s="67" t="str">
        <f>IFERROR(VLOOKUP($B51,RD[#All],P$2,0)/P$1,"")</f>
        <v/>
      </c>
      <c r="Q51" s="67" t="str">
        <f>IFERROR(VLOOKUP($B51,RD[#All],Q$2,0)/Q$1,"")</f>
        <v/>
      </c>
      <c r="R51" s="67" t="str">
        <f>IFERROR(VLOOKUP($B51,RD[#All],R$2,0)/R$1,"")</f>
        <v/>
      </c>
      <c r="S51" s="67" t="str">
        <f>IFERROR(VLOOKUP($B51,RD[#All],S$2,0)/S$1,"")</f>
        <v/>
      </c>
      <c r="T51" s="67" t="str">
        <f>IFERROR(VLOOKUP($B51,RD[#All],T$2,0)/T$1,"")</f>
        <v/>
      </c>
      <c r="U51" s="67" t="str">
        <f>IFERROR(VLOOKUP($B51,RD[#All],U$2,0)/U$1,"")</f>
        <v/>
      </c>
      <c r="V51" s="67" t="str">
        <f>IFERROR(VLOOKUP($B51,RD[#All],V$2,0)/V$1,"")</f>
        <v/>
      </c>
      <c r="W51" s="67" t="str">
        <f>IFERROR(VLOOKUP($B51,RD[#All],W$2,0)/W$1,"")</f>
        <v/>
      </c>
      <c r="X51" s="67" t="str">
        <f>IFERROR(VLOOKUP($B51,RD[#All],X$2,0)/X$1,"")</f>
        <v/>
      </c>
      <c r="Y51" s="67" t="str">
        <f>IFERROR(VLOOKUP($B51,RD[#All],Y$2,0)/Y$1,"")</f>
        <v/>
      </c>
      <c r="Z51" s="67" t="str">
        <f>IFERROR(VLOOKUP($B51,RD[#All],Z$2,0)/Z$1,"")</f>
        <v/>
      </c>
      <c r="AA51" s="67" t="str">
        <f>IFERROR(VLOOKUP($B51,RD[#All],AA$2,0)/AA$1,"")</f>
        <v/>
      </c>
      <c r="AB51" s="67" t="str">
        <f>IFERROR(VLOOKUP($B51,RD[#All],AB$2,0)/AB$1,"")</f>
        <v/>
      </c>
      <c r="AC51" s="67" t="str">
        <f>IFERROR(VLOOKUP($B51,RD[#All],AC$2,0)/AC$1,"")</f>
        <v/>
      </c>
      <c r="AD51" s="67" t="str">
        <f>IFERROR(VLOOKUP($B51,RD[#All],AD$2,0)/AD$1,"")</f>
        <v/>
      </c>
      <c r="AE51" s="67" t="str">
        <f>IFERROR(VLOOKUP($B51,RD[#All],AE$2,0)/AE$1,"")</f>
        <v/>
      </c>
      <c r="AF51" s="67" t="str">
        <f>IFERROR(VLOOKUP($B51,RD[#All],AF$2,0)/AF$1,"")</f>
        <v/>
      </c>
      <c r="AG51" s="67" t="str">
        <f>IFERROR(VLOOKUP($B51,RD[#All],AG$2,0)/AG$1,"")</f>
        <v/>
      </c>
      <c r="AH51" s="67" t="str">
        <f>IFERROR(VLOOKUP($B51,RD[#All],AH$2,0)/AH$1,"")</f>
        <v/>
      </c>
      <c r="AI51" s="67" t="str">
        <f>IFERROR(VLOOKUP($B51,RD[#All],AI$2,0)/AI$1,"")</f>
        <v/>
      </c>
      <c r="AJ51" s="67" t="str">
        <f>IFERROR(VLOOKUP($B51,RD[#All],AJ$2,0)/AJ$1,"")</f>
        <v/>
      </c>
      <c r="AK51" s="67" t="str">
        <f>IFERROR(VLOOKUP($B51,RD[#All],AK$2,0)/AK$1,"")</f>
        <v/>
      </c>
      <c r="AL51" s="67" t="str">
        <f>IFERROR(VLOOKUP($B51,RD[#All],AL$2,0)/AL$1,"")</f>
        <v/>
      </c>
      <c r="AM51" s="67" t="str">
        <f>IFERROR(VLOOKUP($B51,RD[#All],AM$2,0)/AM$1,"")</f>
        <v/>
      </c>
      <c r="AN51" s="67" t="str">
        <f>IFERROR(VLOOKUP($B51,RD[#All],AN$2,0)/AN$1,"")</f>
        <v/>
      </c>
      <c r="AO51" s="67" t="str">
        <f>IFERROR(VLOOKUP($B51,RD[#All],AO$2,0)/AO$1,"")</f>
        <v/>
      </c>
      <c r="AP51" s="67" t="str">
        <f>IFERROR(VLOOKUP($B51,RD[#All],AP$2,0)/AP$1,"")</f>
        <v/>
      </c>
      <c r="AQ51" s="67" t="str">
        <f>IFERROR(VLOOKUP($B51,RD[#All],AQ$2,0)/AQ$1,"")</f>
        <v/>
      </c>
      <c r="AR51" s="67" t="str">
        <f>IFERROR(VLOOKUP($B51,RD[#All],AR$2,0)/AR$1,"")</f>
        <v/>
      </c>
      <c r="AS51" s="67" t="str">
        <f>IFERROR(VLOOKUP($B51,RD[#All],AS$2,0)/AS$1,"")</f>
        <v/>
      </c>
      <c r="AT51" s="67" t="str">
        <f>IFERROR(VLOOKUP($B51,RD[#All],AT$2,0)/AT$1,"")</f>
        <v/>
      </c>
      <c r="AU51" s="67" t="str">
        <f>IFERROR(VLOOKUP($B51,RD[#All],AU$2,0)/AU$1,"")</f>
        <v/>
      </c>
      <c r="AV51" s="67" t="str">
        <f>IFERROR(VLOOKUP($B51,RD[#All],AV$2,0)/AV$1,"")</f>
        <v/>
      </c>
      <c r="AW51" s="67" t="str">
        <f>IFERROR(VLOOKUP($B51,RD[#All],AW$2,0)/AW$1,"")</f>
        <v/>
      </c>
      <c r="AX51" s="67" t="str">
        <f>IFERROR(VLOOKUP($B51,RD[#All],AX$2,0)/AX$1,"")</f>
        <v/>
      </c>
      <c r="AY51" s="67" t="str">
        <f>IFERROR(VLOOKUP($B51,RD[#All],AY$2,0)/AY$1,"")</f>
        <v/>
      </c>
      <c r="AZ51" s="67" t="str">
        <f>IFERROR(VLOOKUP($B51,RD[#All],AZ$2,0)/AZ$1,"")</f>
        <v/>
      </c>
      <c r="BA51" s="67" t="str">
        <f>IFERROR(VLOOKUP($B51,RD[#All],BA$2,0)/BA$1,"")</f>
        <v/>
      </c>
      <c r="BB51" s="67" t="str">
        <f>IFERROR(VLOOKUP($B51,RD[#All],BB$2,0)/BB$1,"")</f>
        <v/>
      </c>
      <c r="BC51" s="67" t="str">
        <f>IFERROR(VLOOKUP($B51,RD[#All],BC$2,0)/BC$1,"")</f>
        <v/>
      </c>
      <c r="BD51" s="67" t="str">
        <f>IFERROR(VLOOKUP($B51,RD[#All],BD$2,0)/BD$1,"")</f>
        <v/>
      </c>
      <c r="BE51" s="67" t="str">
        <f>IFERROR(VLOOKUP($B51,RD[#All],BE$2,0)/BE$1,"")</f>
        <v/>
      </c>
      <c r="BF51" s="67" t="str">
        <f>IFERROR(VLOOKUP($B51,RD[#All],BF$2,0)/BF$1,"")</f>
        <v/>
      </c>
      <c r="BG51" s="67" t="str">
        <f>IFERROR(VLOOKUP($B51,RD[#All],BG$2,0)/BG$1,"")</f>
        <v/>
      </c>
      <c r="BH51" s="67" t="str">
        <f>IFERROR(VLOOKUP($B51,RD[#All],BH$2,0)/BH$1,"")</f>
        <v/>
      </c>
      <c r="BI51" s="67" t="str">
        <f>IFERROR(VLOOKUP($B51,RD[#All],BI$2,0)/BI$1,"")</f>
        <v/>
      </c>
      <c r="BJ51" s="67" t="str">
        <f>IFERROR(VLOOKUP($B51,RD[#All],BJ$2,0)/BJ$1,"")</f>
        <v/>
      </c>
      <c r="BK51" s="67" t="str">
        <f>IFERROR(VLOOKUP($B51,RD[#All],BK$2,0)/BK$1,"")</f>
        <v/>
      </c>
      <c r="BL51" s="67" t="str">
        <f>IFERROR(VLOOKUP($B51,RD[#All],BL$2,0)/BL$1,"")</f>
        <v/>
      </c>
      <c r="BM51" s="67" t="str">
        <f>IFERROR(VLOOKUP($B51,RD[#All],BM$2,0)/BM$1,"")</f>
        <v/>
      </c>
      <c r="BN51" s="67" t="str">
        <f>IFERROR(VLOOKUP($B51,RD[#All],BN$2,0)/BN$1,"")</f>
        <v/>
      </c>
      <c r="BO51" s="67" t="str">
        <f>IFERROR(VLOOKUP($B51,RD[#All],BO$2,0)/BO$1,"")</f>
        <v/>
      </c>
      <c r="BP51" s="67" t="str">
        <f>IFERROR(VLOOKUP($B51,RD[#All],BP$2,0)/BP$1,"")</f>
        <v/>
      </c>
      <c r="BQ51" s="67" t="str">
        <f>IFERROR(VLOOKUP($B51,RD[#All],BQ$2,0)/BQ$1,"")</f>
        <v/>
      </c>
      <c r="BR51" s="67" t="str">
        <f>IFERROR(VLOOKUP($B51,RD[#All],BR$2,0)/BR$1,"")</f>
        <v/>
      </c>
      <c r="BS51" s="67" t="str">
        <f>IFERROR(VLOOKUP($B51,RD[#All],BS$2,0)/BS$1,"")</f>
        <v/>
      </c>
      <c r="BT51" s="67" t="str">
        <f>IFERROR(VLOOKUP($B51,RD[#All],BT$2,0)/BT$1,"")</f>
        <v/>
      </c>
      <c r="BU51" s="67" t="str">
        <f>IFERROR(VLOOKUP($B51,RD[#All],BU$2,0)/BU$1,"")</f>
        <v/>
      </c>
      <c r="BV51" s="67" t="str">
        <f>IFERROR(VLOOKUP($B51,RD[#All],BV$2,0)/BV$1,"")</f>
        <v/>
      </c>
      <c r="BW51" s="67" t="str">
        <f>IFERROR(VLOOKUP($B51,RD[#All],BW$2,0)/BW$1,"")</f>
        <v/>
      </c>
      <c r="BX51" s="67" t="str">
        <f>IFERROR(VLOOKUP($B51,RD[#All],BX$2,0)/BX$1,"")</f>
        <v/>
      </c>
      <c r="BY51" s="67" t="str">
        <f>IFERROR(VLOOKUP($B51,RD[#All],BY$2,0)/BY$1,"")</f>
        <v/>
      </c>
      <c r="BZ51" s="67" t="str">
        <f>IFERROR(VLOOKUP($B51,RD[#All],BZ$2,0)/BZ$1,"")</f>
        <v/>
      </c>
      <c r="CA51" s="67" t="str">
        <f>IFERROR(VLOOKUP($B51,RD[#All],CA$2,0)/CA$1,"")</f>
        <v/>
      </c>
      <c r="CB51" s="67" t="str">
        <f>IFERROR(VLOOKUP($B51,RD[#All],CB$2,0)/CB$1,"")</f>
        <v/>
      </c>
      <c r="CC51" s="67" t="str">
        <f>IFERROR(VLOOKUP($B51,RD[#All],CC$2,0)/CC$1,"")</f>
        <v/>
      </c>
      <c r="CD51" s="67" t="str">
        <f>IFERROR(VLOOKUP($B51,RD[#All],CD$2,0)/CD$1,"")</f>
        <v/>
      </c>
      <c r="CE51" s="67" t="str">
        <f>IFERROR(VLOOKUP($B51,RD[#All],CE$2,0)/CE$1,"")</f>
        <v/>
      </c>
      <c r="CF51" s="67" t="str">
        <f>IFERROR(VLOOKUP($B51,RD[#All],CF$2,0)/CF$1,"")</f>
        <v/>
      </c>
      <c r="CG51" s="67" t="str">
        <f>IFERROR(VLOOKUP($B51,RD[#All],CG$2,0)/CG$1,"")</f>
        <v/>
      </c>
      <c r="CH51" s="67" t="str">
        <f>IFERROR(VLOOKUP($B51,RD[#All],CH$2,0)/CH$1,"")</f>
        <v/>
      </c>
      <c r="CI51" s="67" t="str">
        <f>IFERROR(VLOOKUP($B51,RD[#All],CI$2,0)/CI$1,"")</f>
        <v/>
      </c>
      <c r="CJ51" s="67" t="str">
        <f>IFERROR(VLOOKUP($B51,RD[#All],CJ$2,0)/CJ$1,"")</f>
        <v/>
      </c>
      <c r="CK51" s="67" t="str">
        <f>IFERROR(VLOOKUP($B51,RD[#All],CK$2,0)/CK$1,"")</f>
        <v/>
      </c>
      <c r="CL51" s="67" t="str">
        <f>IFERROR(VLOOKUP($B51,RD[#All],CL$2,0)/CL$1,"")</f>
        <v/>
      </c>
      <c r="CM51" s="67" t="str">
        <f>IFERROR(VLOOKUP($B51,RD[#All],CM$2,0)/CM$1,"")</f>
        <v/>
      </c>
      <c r="CN51" s="67" t="str">
        <f>IFERROR(VLOOKUP($B51,RD[#All],CN$2,0)/CN$1,"")</f>
        <v/>
      </c>
      <c r="CO51" s="67" t="str">
        <f>IFERROR(VLOOKUP($B51,RD[#All],CO$2,0)/CO$1,"")</f>
        <v/>
      </c>
      <c r="CP51" s="67" t="str">
        <f>IFERROR(VLOOKUP($B51,RD[#All],CP$2,0)/CP$1,"")</f>
        <v/>
      </c>
      <c r="CQ51" s="67" t="str">
        <f>IFERROR(VLOOKUP($B51,RD[#All],CQ$2,0)/CQ$1,"")</f>
        <v/>
      </c>
      <c r="CR51" s="67" t="str">
        <f>IFERROR(VLOOKUP($B51,RD[#All],CR$2,0)/CR$1,"")</f>
        <v/>
      </c>
      <c r="CS51" s="67" t="str">
        <f>IFERROR(VLOOKUP($B51,RD[#All],CS$2,0)/CS$1,"")</f>
        <v/>
      </c>
      <c r="CT51" s="67" t="str">
        <f>IFERROR(VLOOKUP($B51,RD[#All],CT$2,0)/CT$1,"")</f>
        <v/>
      </c>
      <c r="CU51" s="67" t="str">
        <f>IFERROR(VLOOKUP($B51,RD[#All],CU$2,0)/CU$1,"")</f>
        <v/>
      </c>
      <c r="CV51" s="67" t="str">
        <f>IFERROR(VLOOKUP($B51,RD[#All],CV$2,0)/CV$1,"")</f>
        <v/>
      </c>
      <c r="CW51" s="67" t="str">
        <f>IFERROR(VLOOKUP($B51,RD[#All],CW$2,0)/CW$1,"")</f>
        <v/>
      </c>
      <c r="CX51" s="67" t="str">
        <f>IFERROR(VLOOKUP($B51,RD[#All],CX$2,0)/CX$1,"")</f>
        <v/>
      </c>
      <c r="CY51" s="67" t="str">
        <f>IFERROR(VLOOKUP($B51,RD[#All],CY$2,0)/CY$1,"")</f>
        <v/>
      </c>
      <c r="CZ51" s="67" t="str">
        <f>IFERROR(VLOOKUP($B51,RD[#All],CZ$2,0)/CZ$1,"")</f>
        <v/>
      </c>
      <c r="DA51" s="67" t="str">
        <f>IFERROR(VLOOKUP($B51,RD[#All],DA$2,0)/DA$1,"")</f>
        <v/>
      </c>
      <c r="DB51" s="67" t="str">
        <f>IFERROR(VLOOKUP($B51,RD[#All],DB$2,0)/DB$1,"")</f>
        <v/>
      </c>
      <c r="DC51" s="67" t="str">
        <f>IFERROR(VLOOKUP($B51,RD[#All],DC$2,0)/DC$1,"")</f>
        <v/>
      </c>
      <c r="DD51" s="67" t="str">
        <f>IFERROR(VLOOKUP($B51,RD[#All],DD$2,0)/DD$1,"")</f>
        <v/>
      </c>
      <c r="DE51" s="67" t="str">
        <f>IFERROR(VLOOKUP($B51,RD[#All],DE$2,0)/DE$1,"")</f>
        <v/>
      </c>
      <c r="DF51" s="67" t="str">
        <f>IFERROR(VLOOKUP($B51,RD[#All],DF$2,0)/DF$1,"")</f>
        <v/>
      </c>
      <c r="DG51" s="67" t="str">
        <f>IFERROR(VLOOKUP($B51,RD[#All],DG$2,0)/DG$1,"")</f>
        <v/>
      </c>
      <c r="DH51" s="67" t="str">
        <f>IFERROR(VLOOKUP($B51,RD[#All],DH$2,0)/DH$1,"")</f>
        <v/>
      </c>
      <c r="DI51" s="67" t="str">
        <f>IFERROR(VLOOKUP($B51,RD[#All],DI$2,0)/DI$1,"")</f>
        <v/>
      </c>
      <c r="DJ51" s="67" t="str">
        <f>IFERROR(VLOOKUP($B51,RD[#All],DJ$2,0)/DJ$1,"")</f>
        <v/>
      </c>
      <c r="DK51" s="67" t="str">
        <f>IFERROR(VLOOKUP($B51,RD[#All],DK$2,0)/DK$1,"")</f>
        <v/>
      </c>
      <c r="DL51" s="67" t="str">
        <f>IFERROR(VLOOKUP($B51,RD[#All],DL$2,0)/DL$1,"")</f>
        <v/>
      </c>
      <c r="DM51" s="67" t="str">
        <f>IFERROR(VLOOKUP($B51,RD[#All],DM$2,0)/DM$1,"")</f>
        <v/>
      </c>
      <c r="DN51" s="67" t="str">
        <f>IFERROR(VLOOKUP($B51,RD[#All],DN$2,0)/DN$1,"")</f>
        <v/>
      </c>
      <c r="DO51" s="67" t="str">
        <f>IFERROR(VLOOKUP($B51,RD[#All],DO$2,0)/DO$1,"")</f>
        <v/>
      </c>
      <c r="DP51" s="67" t="str">
        <f>IFERROR(VLOOKUP($B51,RD[#All],DP$2,0)/DP$1,"")</f>
        <v/>
      </c>
      <c r="DQ51" s="67" t="str">
        <f>IFERROR(VLOOKUP($B51,RD[#All],DQ$2,0)/DQ$1,"")</f>
        <v/>
      </c>
      <c r="DR51" s="67" t="str">
        <f>IFERROR(VLOOKUP($B51,RD[#All],DR$2,0)/DR$1,"")</f>
        <v/>
      </c>
      <c r="DS51" s="67" t="str">
        <f>IFERROR(VLOOKUP($B51,RD[#All],DS$2,0)/DS$1,"")</f>
        <v/>
      </c>
      <c r="DT51" s="67" t="str">
        <f>IFERROR(VLOOKUP($B51,RD[#All],DT$2,0)/DT$1,"")</f>
        <v/>
      </c>
      <c r="DU51" s="67" t="str">
        <f>IFERROR(VLOOKUP($B51,RD[#All],DU$2,0)/DU$1,"")</f>
        <v/>
      </c>
      <c r="DV51" s="67" t="str">
        <f>IFERROR(VLOOKUP($B51,RD[#All],DV$2,0)/DV$1,"")</f>
        <v/>
      </c>
      <c r="DW51" s="67" t="str">
        <f>IFERROR(VLOOKUP($B51,RD[#All],DW$2,0)/DW$1,"")</f>
        <v/>
      </c>
      <c r="DX51" s="67" t="str">
        <f>IFERROR(VLOOKUP($B51,RD[#All],DX$2,0)/DX$1,"")</f>
        <v/>
      </c>
      <c r="DY51" s="67" t="str">
        <f>IFERROR(VLOOKUP($B51,RD[#All],DY$2,0)/DY$1,"")</f>
        <v/>
      </c>
      <c r="DZ51" s="67" t="str">
        <f>IFERROR(VLOOKUP($B51,RD[#All],DZ$2,0)/DZ$1,"")</f>
        <v/>
      </c>
      <c r="EA51" s="67" t="str">
        <f>IFERROR(VLOOKUP($B51,RD[#All],EA$2,0)/EA$1,"")</f>
        <v/>
      </c>
      <c r="EB51" s="67" t="str">
        <f>IFERROR(VLOOKUP($B51,RD[#All],EB$2,0)/EB$1,"")</f>
        <v/>
      </c>
      <c r="EC51" s="67" t="str">
        <f>IFERROR(VLOOKUP($B51,RD[#All],EC$2,0)/EC$1,"")</f>
        <v/>
      </c>
      <c r="ED51" s="67" t="str">
        <f>IFERROR(VLOOKUP($B51,RD[#All],ED$2,0)/ED$1,"")</f>
        <v/>
      </c>
      <c r="EE51" s="67" t="str">
        <f>IFERROR(VLOOKUP($B51,RD[#All],EE$2,0)/EE$1,"")</f>
        <v/>
      </c>
      <c r="EF51" s="67" t="str">
        <f>IFERROR(VLOOKUP($B51,RD[#All],EF$2,0)/EF$1,"")</f>
        <v/>
      </c>
      <c r="EG51" s="67" t="str">
        <f>IFERROR(VLOOKUP($B51,RD[#All],EG$2,0)/EG$1,"")</f>
        <v/>
      </c>
      <c r="EH51" s="67" t="str">
        <f>IFERROR(VLOOKUP($B51,RD[#All],EH$2,0)/EH$1,"")</f>
        <v/>
      </c>
      <c r="EI51" s="67" t="str">
        <f>IFERROR(VLOOKUP($B51,RD[#All],EI$2,0)/EI$1,"")</f>
        <v/>
      </c>
      <c r="EJ51" s="67" t="str">
        <f>IFERROR(VLOOKUP($B51,RD[#All],EJ$2,0)/EJ$1,"")</f>
        <v/>
      </c>
      <c r="EK51" s="67" t="str">
        <f>IFERROR(VLOOKUP($B51,RD[#All],EK$2,0)/EK$1,"")</f>
        <v/>
      </c>
      <c r="EL51" s="67" t="str">
        <f>IFERROR(VLOOKUP($B51,RD[#All],EL$2,0)/EL$1,"")</f>
        <v/>
      </c>
      <c r="EM51" s="67" t="str">
        <f>IFERROR(VLOOKUP($B51,RD[#All],EM$2,0)/EM$1,"")</f>
        <v/>
      </c>
      <c r="EN51" s="67" t="str">
        <f>IFERROR(VLOOKUP($B51,RD[#All],EN$2,0)/EN$1,"")</f>
        <v/>
      </c>
      <c r="EO51" s="67" t="str">
        <f>IFERROR(VLOOKUP($B51,RD[#All],EO$2,0)/EO$1,"")</f>
        <v/>
      </c>
      <c r="EP51" s="67" t="str">
        <f>IFERROR(VLOOKUP($B51,RD[#All],EP$2,0)/EP$1,"")</f>
        <v/>
      </c>
      <c r="EQ51" s="67" t="str">
        <f>IFERROR(VLOOKUP($B51,RD[#All],EQ$2,0)/EQ$1,"")</f>
        <v/>
      </c>
      <c r="ER51" s="67" t="str">
        <f>IFERROR(VLOOKUP($B51,RD[#All],ER$2,0)/ER$1,"")</f>
        <v/>
      </c>
      <c r="ES51" s="67" t="str">
        <f>IFERROR(VLOOKUP($B51,RD[#All],ES$2,0)/ES$1,"")</f>
        <v/>
      </c>
      <c r="ET51" s="67" t="str">
        <f>IFERROR(VLOOKUP($B51,RD[#All],ET$2,0)/ET$1,"")</f>
        <v/>
      </c>
      <c r="EU51" s="67" t="str">
        <f>IFERROR(VLOOKUP($B51,RD[#All],EU$2,0)/EU$1,"")</f>
        <v/>
      </c>
      <c r="EV51" s="67" t="str">
        <f>IFERROR(VLOOKUP($B51,RD[#All],EV$2,0)/EV$1,"")</f>
        <v/>
      </c>
      <c r="EW51" s="67" t="str">
        <f>IFERROR(VLOOKUP($B51,RD[#All],EW$2,0)/EW$1,"")</f>
        <v/>
      </c>
      <c r="EX51" s="67" t="str">
        <f>IFERROR(VLOOKUP($B51,RD[#All],EX$2,0)/EX$1,"")</f>
        <v/>
      </c>
      <c r="EY51" s="67" t="str">
        <f>IFERROR(VLOOKUP($B51,RD[#All],EY$2,0)/EY$1,"")</f>
        <v/>
      </c>
      <c r="EZ51" s="67" t="str">
        <f>IFERROR(VLOOKUP($B51,RD[#All],EZ$2,0)/EZ$1,"")</f>
        <v/>
      </c>
      <c r="FA51" s="67" t="str">
        <f>IFERROR(VLOOKUP($B51,RD[#All],FA$2,0)/FA$1,"")</f>
        <v/>
      </c>
      <c r="FB51" s="67" t="str">
        <f>IFERROR(VLOOKUP($B51,RD[#All],FB$2,0)/FB$1,"")</f>
        <v/>
      </c>
      <c r="FC51" s="67" t="str">
        <f>IFERROR(VLOOKUP($B51,RD[#All],FC$2,0)/FC$1,"")</f>
        <v/>
      </c>
      <c r="FD51" s="67" t="str">
        <f>IFERROR(VLOOKUP($B51,RD[#All],FD$2,0)/FD$1,"")</f>
        <v/>
      </c>
      <c r="FE51" s="67" t="str">
        <f>IFERROR(VLOOKUP($B51,RD[#All],FE$2,0)/FE$1,"")</f>
        <v/>
      </c>
      <c r="FF51" s="67" t="str">
        <f>IFERROR(VLOOKUP($B51,RD[#All],FF$2,0)/FF$1,"")</f>
        <v/>
      </c>
      <c r="FG51" s="67" t="str">
        <f>IFERROR(VLOOKUP($B51,RD[#All],FG$2,0)/FG$1,"")</f>
        <v/>
      </c>
      <c r="FH51" s="67" t="str">
        <f>IFERROR(VLOOKUP($B51,RD[#All],FH$2,0)/FH$1,"")</f>
        <v/>
      </c>
      <c r="FI51" s="67" t="str">
        <f>IFERROR(VLOOKUP($B51,RD[#All],FI$2,0)/FI$1,"")</f>
        <v/>
      </c>
      <c r="FJ51" s="67" t="str">
        <f>IFERROR(VLOOKUP($B51,RD[#All],FJ$2,0)/FJ$1,"")</f>
        <v/>
      </c>
      <c r="FK51" s="67" t="str">
        <f>IFERROR(VLOOKUP($B51,RD[#All],FK$2,0)/FK$1,"")</f>
        <v/>
      </c>
      <c r="FL51" s="67" t="str">
        <f>IFERROR(VLOOKUP($B51,RD[#All],FL$2,0)/FL$1,"")</f>
        <v/>
      </c>
      <c r="FM51" s="67" t="str">
        <f>IFERROR(VLOOKUP($B51,RD[#All],FM$2,0)/FM$1,"")</f>
        <v/>
      </c>
      <c r="FN51" s="67" t="str">
        <f>IFERROR(VLOOKUP($B51,RD[#All],FN$2,0)/FN$1,"")</f>
        <v/>
      </c>
      <c r="FO51" s="67" t="str">
        <f>IFERROR(VLOOKUP($B51,RD[#All],FO$2,0)/FO$1,"")</f>
        <v/>
      </c>
      <c r="FP51" s="67" t="str">
        <f>IFERROR(VLOOKUP($B51,RD[#All],FP$2,0)/FP$1,"")</f>
        <v/>
      </c>
      <c r="FQ51" s="67" t="str">
        <f>IFERROR(VLOOKUP($B51,RD[#All],FQ$2,0)/FQ$1,"")</f>
        <v/>
      </c>
      <c r="FR51" s="67" t="str">
        <f>IFERROR(VLOOKUP($B51,RD[#All],FR$2,0)/FR$1,"")</f>
        <v/>
      </c>
      <c r="FS51" s="67" t="str">
        <f>IFERROR(VLOOKUP($B51,RD[#All],FS$2,0)/FS$1,"")</f>
        <v/>
      </c>
      <c r="FT51" s="67" t="str">
        <f>IFERROR(VLOOKUP($B51,RD[#All],FT$2,0)/FT$1,"")</f>
        <v/>
      </c>
      <c r="FU51" s="67" t="str">
        <f>IFERROR(VLOOKUP($B51,RD[#All],FU$2,0)/FU$1,"")</f>
        <v/>
      </c>
      <c r="FV51" s="67" t="str">
        <f>IFERROR(VLOOKUP($B51,RD[#All],FV$2,0)/FV$1,"")</f>
        <v/>
      </c>
      <c r="FW51" s="67" t="str">
        <f>IFERROR(VLOOKUP($B51,RD[#All],FW$2,0)/FW$1,"")</f>
        <v/>
      </c>
      <c r="FX51" s="67" t="str">
        <f>IFERROR(VLOOKUP($B51,RD[#All],FX$2,0)/FX$1,"")</f>
        <v/>
      </c>
      <c r="FY51" s="67" t="str">
        <f>IFERROR(VLOOKUP($B51,RD[#All],FY$2,0)/FY$1,"")</f>
        <v/>
      </c>
      <c r="FZ51" s="67" t="str">
        <f>IFERROR(VLOOKUP($B51,RD[#All],FZ$2,0)/FZ$1,"")</f>
        <v/>
      </c>
      <c r="GA51" s="67" t="str">
        <f>IFERROR(VLOOKUP($B51,RD[#All],GA$2,0)/GA$1,"")</f>
        <v/>
      </c>
      <c r="GB51" s="67" t="str">
        <f>IFERROR(VLOOKUP($B51,RD[#All],GB$2,0)/GB$1,"")</f>
        <v/>
      </c>
      <c r="GC51" s="67" t="str">
        <f>IFERROR(VLOOKUP($B51,RD[#All],GC$2,0)/GC$1,"")</f>
        <v/>
      </c>
      <c r="GD51" s="67" t="str">
        <f>IFERROR(VLOOKUP($B51,RD[#All],GD$2,0)/GD$1,"")</f>
        <v/>
      </c>
      <c r="GE51" s="67" t="str">
        <f>IFERROR(VLOOKUP($B51,RD[#All],GE$2,0)/GE$1,"")</f>
        <v/>
      </c>
      <c r="GF51" s="67" t="str">
        <f>IFERROR(VLOOKUP($B51,RD[#All],GF$2,0)/GF$1,"")</f>
        <v/>
      </c>
      <c r="GG51" s="67" t="str">
        <f>IFERROR(VLOOKUP($B51,RD[#All],GG$2,0)/GG$1,"")</f>
        <v/>
      </c>
      <c r="GH51" s="67" t="str">
        <f>IFERROR(VLOOKUP($B51,RD[#All],GH$2,0)/GH$1,"")</f>
        <v/>
      </c>
      <c r="GI51" s="67" t="str">
        <f>IFERROR(VLOOKUP($B51,RD[#All],GI$2,0)/GI$1,"")</f>
        <v/>
      </c>
      <c r="GJ51" s="67" t="str">
        <f>IFERROR(VLOOKUP($B51,RD[#All],GJ$2,0)/GJ$1,"")</f>
        <v/>
      </c>
      <c r="GK51" s="67" t="str">
        <f>IFERROR(VLOOKUP($B51,RD[#All],GK$2,0)/GK$1,"")</f>
        <v/>
      </c>
      <c r="GL51" s="67" t="str">
        <f>IFERROR(VLOOKUP($B51,RD[#All],GL$2,0)/GL$1,"")</f>
        <v/>
      </c>
      <c r="GM51" s="67" t="str">
        <f>IFERROR(VLOOKUP($B51,RD[#All],GM$2,0)/GM$1,"")</f>
        <v/>
      </c>
      <c r="GN51" s="67" t="str">
        <f>IFERROR(VLOOKUP($B51,RD[#All],GN$2,0)/GN$1,"")</f>
        <v/>
      </c>
      <c r="GO51" s="67" t="str">
        <f>IFERROR(VLOOKUP($B51,RD[#All],GO$2,0)/GO$1,"")</f>
        <v/>
      </c>
      <c r="GP51" s="67" t="str">
        <f>IFERROR(VLOOKUP($B51,RD[#All],GP$2,0)/GP$1,"")</f>
        <v/>
      </c>
      <c r="GQ51" s="67" t="str">
        <f>IFERROR(VLOOKUP($B51,RD[#All],GQ$2,0)/GQ$1,"")</f>
        <v/>
      </c>
      <c r="GR51" s="67" t="str">
        <f>IFERROR(VLOOKUP($B51,RD[#All],GR$2,0)/GR$1,"")</f>
        <v/>
      </c>
      <c r="GS51" s="67" t="str">
        <f>IFERROR(VLOOKUP($B51,RD[#All],GS$2,0)/GS$1,"")</f>
        <v/>
      </c>
      <c r="GT51" s="67" t="str">
        <f>IFERROR(VLOOKUP($B51,RD[#All],GT$2,0)/GT$1,"")</f>
        <v/>
      </c>
      <c r="GU51" s="67" t="str">
        <f>IFERROR(VLOOKUP($B51,RD[#All],GU$2,0)/GU$1,"")</f>
        <v/>
      </c>
      <c r="GV51" s="67" t="str">
        <f>IFERROR(VLOOKUP($B51,RD[#All],GV$2,0)/GV$1,"")</f>
        <v/>
      </c>
      <c r="GW51" s="67" t="str">
        <f>IFERROR(VLOOKUP($B51,RD[#All],GW$2,0)/GW$1,"")</f>
        <v/>
      </c>
      <c r="GX51" s="67" t="str">
        <f>IFERROR(VLOOKUP($B51,RD[#All],GX$2,0)/GX$1,"")</f>
        <v/>
      </c>
      <c r="GY51" s="67" t="str">
        <f>IFERROR(VLOOKUP($B51,RD[#All],GY$2,0)/GY$1,"")</f>
        <v/>
      </c>
      <c r="GZ51" s="67" t="str">
        <f>IFERROR(VLOOKUP($B51,RD[#All],GZ$2,0)/GZ$1,"")</f>
        <v/>
      </c>
      <c r="HA51" s="67" t="str">
        <f>IFERROR(VLOOKUP($B51,RD[#All],HA$2,0)/HA$1,"")</f>
        <v/>
      </c>
      <c r="HB51" s="67" t="str">
        <f>IFERROR(VLOOKUP($B51,RD[#All],HB$2,0)/HB$1,"")</f>
        <v/>
      </c>
      <c r="HC51" s="67" t="str">
        <f>IFERROR(VLOOKUP($B51,RD[#All],HC$2,0)/HC$1,"")</f>
        <v/>
      </c>
      <c r="HD51" s="67" t="str">
        <f>IFERROR(VLOOKUP($B51,RD[#All],HD$2,0)/HD$1,"")</f>
        <v/>
      </c>
      <c r="HE51" s="67" t="str">
        <f>IFERROR(VLOOKUP($B51,RD[#All],HE$2,0)/HE$1,"")</f>
        <v/>
      </c>
      <c r="HF51" s="67" t="str">
        <f>IFERROR(VLOOKUP($B51,RD[#All],HF$2,0)/HF$1,"")</f>
        <v/>
      </c>
      <c r="HG51" s="67" t="str">
        <f>IFERROR(VLOOKUP($B51,RD[#All],HG$2,0)/HG$1,"")</f>
        <v/>
      </c>
      <c r="HH51" s="67" t="str">
        <f>IFERROR(VLOOKUP($B51,RD[#All],HH$2,0)/HH$1,"")</f>
        <v/>
      </c>
      <c r="HI51" s="67" t="str">
        <f>IFERROR(VLOOKUP($B51,RD[#All],HI$2,0)/HI$1,"")</f>
        <v/>
      </c>
      <c r="HJ51" s="67" t="str">
        <f>IFERROR(VLOOKUP($B51,RD[#All],HJ$2,0)/HJ$1,"")</f>
        <v/>
      </c>
      <c r="HK51" s="67" t="str">
        <f>IFERROR(VLOOKUP($B51,RD[#All],HK$2,0)/HK$1,"")</f>
        <v/>
      </c>
      <c r="HL51" s="67" t="str">
        <f>IFERROR(VLOOKUP($B51,RD[#All],HL$2,0)/HL$1,"")</f>
        <v/>
      </c>
      <c r="HM51" s="67" t="str">
        <f>IFERROR(VLOOKUP($B51,RD[#All],HM$2,0)/HM$1,"")</f>
        <v/>
      </c>
      <c r="HN51" s="67" t="str">
        <f>IFERROR(VLOOKUP($B51,RD[#All],HN$2,0)/HN$1,"")</f>
        <v/>
      </c>
      <c r="HO51" s="67" t="str">
        <f>IFERROR(VLOOKUP($B51,RD[#All],HO$2,0)/HO$1,"")</f>
        <v/>
      </c>
      <c r="HP51" s="67" t="str">
        <f>IFERROR(VLOOKUP($B51,RD[#All],HP$2,0)/HP$1,"")</f>
        <v/>
      </c>
      <c r="HQ51" s="67" t="str">
        <f>IFERROR(VLOOKUP($B51,RD[#All],HQ$2,0)/HQ$1,"")</f>
        <v/>
      </c>
      <c r="HR51" s="67" t="str">
        <f>IFERROR(VLOOKUP($B51,RD[#All],HR$2,0)/HR$1,"")</f>
        <v/>
      </c>
      <c r="HS51" s="67" t="str">
        <f>IFERROR(VLOOKUP($B51,RD[#All],HS$2,0)/HS$1,"")</f>
        <v/>
      </c>
      <c r="HT51" s="67" t="str">
        <f>IFERROR(VLOOKUP($B51,RD[#All],HT$2,0)/HT$1,"")</f>
        <v/>
      </c>
      <c r="HU51" s="67" t="str">
        <f>IFERROR(VLOOKUP($B51,RD[#All],HU$2,0)/HU$1,"")</f>
        <v/>
      </c>
      <c r="HV51" s="67" t="str">
        <f>IFERROR(VLOOKUP($B51,RD[#All],HV$2,0)/HV$1,"")</f>
        <v/>
      </c>
      <c r="HW51" s="67" t="str">
        <f>IFERROR(VLOOKUP($B51,RD[#All],HW$2,0)/HW$1,"")</f>
        <v/>
      </c>
      <c r="HX51" s="67" t="str">
        <f>IFERROR(VLOOKUP($B51,RD[#All],HX$2,0)/HX$1,"")</f>
        <v/>
      </c>
      <c r="HY51" s="67" t="str">
        <f>IFERROR(VLOOKUP($B51,RD[#All],HY$2,0)/HY$1,"")</f>
        <v/>
      </c>
      <c r="HZ51" s="67" t="str">
        <f>IFERROR(VLOOKUP($B51,RD[#All],HZ$2,0)/HZ$1,"")</f>
        <v/>
      </c>
      <c r="IA51" s="67" t="str">
        <f>IFERROR(VLOOKUP($B51,RD[#All],IA$2,0)/IA$1,"")</f>
        <v/>
      </c>
      <c r="IB51" s="67" t="str">
        <f>IFERROR(VLOOKUP($B51,RD[#All],IB$2,0)/IB$1,"")</f>
        <v/>
      </c>
      <c r="IC51" s="67" t="str">
        <f>IFERROR(VLOOKUP($B51,RD[#All],IC$2,0)/IC$1,"")</f>
        <v/>
      </c>
      <c r="ID51" s="67" t="str">
        <f>IFERROR(VLOOKUP($B51,RD[#All],ID$2,0)/ID$1,"")</f>
        <v/>
      </c>
      <c r="IE51" s="67" t="str">
        <f>IFERROR(VLOOKUP($B51,RD[#All],IE$2,0)/IE$1,"")</f>
        <v/>
      </c>
      <c r="IF51" s="67" t="str">
        <f>IFERROR(VLOOKUP($B51,RD[#All],IF$2,0)/IF$1,"")</f>
        <v/>
      </c>
      <c r="IG51" s="67" t="str">
        <f>IFERROR(VLOOKUP($B51,RD[#All],IG$2,0)/IG$1,"")</f>
        <v/>
      </c>
      <c r="IH51" s="67" t="str">
        <f>IFERROR(VLOOKUP($B51,RD[#All],IH$2,0)/IH$1,"")</f>
        <v/>
      </c>
      <c r="II51" s="67" t="str">
        <f>IFERROR(VLOOKUP($B51,RD[#All],II$2,0)/II$1,"")</f>
        <v/>
      </c>
      <c r="IJ51" s="67" t="str">
        <f>IFERROR(VLOOKUP($B51,RD[#All],IJ$2,0)/IJ$1,"")</f>
        <v/>
      </c>
      <c r="IK51" s="67" t="str">
        <f>IFERROR(VLOOKUP($B51,RD[#All],IK$2,0)/IK$1,"")</f>
        <v/>
      </c>
      <c r="IL51" s="67" t="str">
        <f>IFERROR(VLOOKUP($B51,RD[#All],IL$2,0)/IL$1,"")</f>
        <v/>
      </c>
      <c r="IM51" s="67" t="str">
        <f>IFERROR(VLOOKUP($B51,RD[#All],IM$2,0)/IM$1,"")</f>
        <v/>
      </c>
      <c r="IN51" s="67" t="str">
        <f>IFERROR(VLOOKUP($B51,RD[#All],IN$2,0)/IN$1,"")</f>
        <v/>
      </c>
      <c r="IO51" s="67" t="str">
        <f>IFERROR(VLOOKUP($B51,RD[#All],IO$2,0)/IO$1,"")</f>
        <v/>
      </c>
      <c r="IP51" s="67" t="str">
        <f>IFERROR(VLOOKUP($B51,RD[#All],IP$2,0)/IP$1,"")</f>
        <v/>
      </c>
      <c r="IQ51" s="67" t="str">
        <f>IFERROR(VLOOKUP($B51,RD[#All],IQ$2,0)/IQ$1,"")</f>
        <v/>
      </c>
      <c r="IR51" s="67" t="str">
        <f>IFERROR(VLOOKUP($B51,RD[#All],IR$2,0)/IR$1,"")</f>
        <v/>
      </c>
      <c r="IS51" s="86" t="str">
        <f>IFERROR(AVERAGEIF(Inv_SY_B[[#This Row],[BLK1_INV1]:[BLK8_INV27]],"&gt;"&amp;0.1,Inv_SY_B[[#This Row],[BLK1_INV1]:[BLK8_INV27]]),"")</f>
        <v/>
      </c>
    </row>
    <row r="52" spans="2:253" x14ac:dyDescent="0.25">
      <c r="B52" s="87">
        <f t="shared" si="1"/>
        <v>45878</v>
      </c>
      <c r="C52" s="67" t="str">
        <f>IFERROR(VLOOKUP($B52,RD[#All],C$2,0)/C$1,"")</f>
        <v/>
      </c>
      <c r="D52" s="67" t="str">
        <f>IFERROR(VLOOKUP($B52,RD[#All],D$2,0)/D$1,"")</f>
        <v/>
      </c>
      <c r="E52" s="67" t="str">
        <f>IFERROR(VLOOKUP($B52,RD[#All],E$2,0)/E$1,"")</f>
        <v/>
      </c>
      <c r="F52" s="67" t="str">
        <f>IFERROR(VLOOKUP($B52,RD[#All],F$2,0)/F$1,"")</f>
        <v/>
      </c>
      <c r="G52" s="67" t="str">
        <f>IFERROR(VLOOKUP($B52,RD[#All],G$2,0)/G$1,"")</f>
        <v/>
      </c>
      <c r="H52" s="67" t="str">
        <f>IFERROR(VLOOKUP($B52,RD[#All],H$2,0)/H$1,"")</f>
        <v/>
      </c>
      <c r="I52" s="67" t="str">
        <f>IFERROR(VLOOKUP($B52,RD[#All],I$2,0)/I$1,"")</f>
        <v/>
      </c>
      <c r="J52" s="67" t="str">
        <f>IFERROR(VLOOKUP($B52,RD[#All],J$2,0)/J$1,"")</f>
        <v/>
      </c>
      <c r="K52" s="67" t="str">
        <f>IFERROR(VLOOKUP($B52,RD[#All],K$2,0)/K$1,"")</f>
        <v/>
      </c>
      <c r="L52" s="67" t="str">
        <f>IFERROR(VLOOKUP($B52,RD[#All],L$2,0)/L$1,"")</f>
        <v/>
      </c>
      <c r="M52" s="67" t="str">
        <f>IFERROR(VLOOKUP($B52,RD[#All],M$2,0)/M$1,"")</f>
        <v/>
      </c>
      <c r="N52" s="67" t="str">
        <f>IFERROR(VLOOKUP($B52,RD[#All],N$2,0)/N$1,"")</f>
        <v/>
      </c>
      <c r="O52" s="67" t="str">
        <f>IFERROR(VLOOKUP($B52,RD[#All],O$2,0)/O$1,"")</f>
        <v/>
      </c>
      <c r="P52" s="67" t="str">
        <f>IFERROR(VLOOKUP($B52,RD[#All],P$2,0)/P$1,"")</f>
        <v/>
      </c>
      <c r="Q52" s="67" t="str">
        <f>IFERROR(VLOOKUP($B52,RD[#All],Q$2,0)/Q$1,"")</f>
        <v/>
      </c>
      <c r="R52" s="67" t="str">
        <f>IFERROR(VLOOKUP($B52,RD[#All],R$2,0)/R$1,"")</f>
        <v/>
      </c>
      <c r="S52" s="67" t="str">
        <f>IFERROR(VLOOKUP($B52,RD[#All],S$2,0)/S$1,"")</f>
        <v/>
      </c>
      <c r="T52" s="67" t="str">
        <f>IFERROR(VLOOKUP($B52,RD[#All],T$2,0)/T$1,"")</f>
        <v/>
      </c>
      <c r="U52" s="67" t="str">
        <f>IFERROR(VLOOKUP($B52,RD[#All],U$2,0)/U$1,"")</f>
        <v/>
      </c>
      <c r="V52" s="67" t="str">
        <f>IFERROR(VLOOKUP($B52,RD[#All],V$2,0)/V$1,"")</f>
        <v/>
      </c>
      <c r="W52" s="67" t="str">
        <f>IFERROR(VLOOKUP($B52,RD[#All],W$2,0)/W$1,"")</f>
        <v/>
      </c>
      <c r="X52" s="67" t="str">
        <f>IFERROR(VLOOKUP($B52,RD[#All],X$2,0)/X$1,"")</f>
        <v/>
      </c>
      <c r="Y52" s="67" t="str">
        <f>IFERROR(VLOOKUP($B52,RD[#All],Y$2,0)/Y$1,"")</f>
        <v/>
      </c>
      <c r="Z52" s="67" t="str">
        <f>IFERROR(VLOOKUP($B52,RD[#All],Z$2,0)/Z$1,"")</f>
        <v/>
      </c>
      <c r="AA52" s="67" t="str">
        <f>IFERROR(VLOOKUP($B52,RD[#All],AA$2,0)/AA$1,"")</f>
        <v/>
      </c>
      <c r="AB52" s="67" t="str">
        <f>IFERROR(VLOOKUP($B52,RD[#All],AB$2,0)/AB$1,"")</f>
        <v/>
      </c>
      <c r="AC52" s="67" t="str">
        <f>IFERROR(VLOOKUP($B52,RD[#All],AC$2,0)/AC$1,"")</f>
        <v/>
      </c>
      <c r="AD52" s="67" t="str">
        <f>IFERROR(VLOOKUP($B52,RD[#All],AD$2,0)/AD$1,"")</f>
        <v/>
      </c>
      <c r="AE52" s="67" t="str">
        <f>IFERROR(VLOOKUP($B52,RD[#All],AE$2,0)/AE$1,"")</f>
        <v/>
      </c>
      <c r="AF52" s="67" t="str">
        <f>IFERROR(VLOOKUP($B52,RD[#All],AF$2,0)/AF$1,"")</f>
        <v/>
      </c>
      <c r="AG52" s="67" t="str">
        <f>IFERROR(VLOOKUP($B52,RD[#All],AG$2,0)/AG$1,"")</f>
        <v/>
      </c>
      <c r="AH52" s="67" t="str">
        <f>IFERROR(VLOOKUP($B52,RD[#All],AH$2,0)/AH$1,"")</f>
        <v/>
      </c>
      <c r="AI52" s="67" t="str">
        <f>IFERROR(VLOOKUP($B52,RD[#All],AI$2,0)/AI$1,"")</f>
        <v/>
      </c>
      <c r="AJ52" s="67" t="str">
        <f>IFERROR(VLOOKUP($B52,RD[#All],AJ$2,0)/AJ$1,"")</f>
        <v/>
      </c>
      <c r="AK52" s="67" t="str">
        <f>IFERROR(VLOOKUP($B52,RD[#All],AK$2,0)/AK$1,"")</f>
        <v/>
      </c>
      <c r="AL52" s="67" t="str">
        <f>IFERROR(VLOOKUP($B52,RD[#All],AL$2,0)/AL$1,"")</f>
        <v/>
      </c>
      <c r="AM52" s="67" t="str">
        <f>IFERROR(VLOOKUP($B52,RD[#All],AM$2,0)/AM$1,"")</f>
        <v/>
      </c>
      <c r="AN52" s="67" t="str">
        <f>IFERROR(VLOOKUP($B52,RD[#All],AN$2,0)/AN$1,"")</f>
        <v/>
      </c>
      <c r="AO52" s="67" t="str">
        <f>IFERROR(VLOOKUP($B52,RD[#All],AO$2,0)/AO$1,"")</f>
        <v/>
      </c>
      <c r="AP52" s="67" t="str">
        <f>IFERROR(VLOOKUP($B52,RD[#All],AP$2,0)/AP$1,"")</f>
        <v/>
      </c>
      <c r="AQ52" s="67" t="str">
        <f>IFERROR(VLOOKUP($B52,RD[#All],AQ$2,0)/AQ$1,"")</f>
        <v/>
      </c>
      <c r="AR52" s="67" t="str">
        <f>IFERROR(VLOOKUP($B52,RD[#All],AR$2,0)/AR$1,"")</f>
        <v/>
      </c>
      <c r="AS52" s="67" t="str">
        <f>IFERROR(VLOOKUP($B52,RD[#All],AS$2,0)/AS$1,"")</f>
        <v/>
      </c>
      <c r="AT52" s="67" t="str">
        <f>IFERROR(VLOOKUP($B52,RD[#All],AT$2,0)/AT$1,"")</f>
        <v/>
      </c>
      <c r="AU52" s="67" t="str">
        <f>IFERROR(VLOOKUP($B52,RD[#All],AU$2,0)/AU$1,"")</f>
        <v/>
      </c>
      <c r="AV52" s="67" t="str">
        <f>IFERROR(VLOOKUP($B52,RD[#All],AV$2,0)/AV$1,"")</f>
        <v/>
      </c>
      <c r="AW52" s="67" t="str">
        <f>IFERROR(VLOOKUP($B52,RD[#All],AW$2,0)/AW$1,"")</f>
        <v/>
      </c>
      <c r="AX52" s="67" t="str">
        <f>IFERROR(VLOOKUP($B52,RD[#All],AX$2,0)/AX$1,"")</f>
        <v/>
      </c>
      <c r="AY52" s="67" t="str">
        <f>IFERROR(VLOOKUP($B52,RD[#All],AY$2,0)/AY$1,"")</f>
        <v/>
      </c>
      <c r="AZ52" s="67" t="str">
        <f>IFERROR(VLOOKUP($B52,RD[#All],AZ$2,0)/AZ$1,"")</f>
        <v/>
      </c>
      <c r="BA52" s="67" t="str">
        <f>IFERROR(VLOOKUP($B52,RD[#All],BA$2,0)/BA$1,"")</f>
        <v/>
      </c>
      <c r="BB52" s="67" t="str">
        <f>IFERROR(VLOOKUP($B52,RD[#All],BB$2,0)/BB$1,"")</f>
        <v/>
      </c>
      <c r="BC52" s="67" t="str">
        <f>IFERROR(VLOOKUP($B52,RD[#All],BC$2,0)/BC$1,"")</f>
        <v/>
      </c>
      <c r="BD52" s="67" t="str">
        <f>IFERROR(VLOOKUP($B52,RD[#All],BD$2,0)/BD$1,"")</f>
        <v/>
      </c>
      <c r="BE52" s="67" t="str">
        <f>IFERROR(VLOOKUP($B52,RD[#All],BE$2,0)/BE$1,"")</f>
        <v/>
      </c>
      <c r="BF52" s="67" t="str">
        <f>IFERROR(VLOOKUP($B52,RD[#All],BF$2,0)/BF$1,"")</f>
        <v/>
      </c>
      <c r="BG52" s="67" t="str">
        <f>IFERROR(VLOOKUP($B52,RD[#All],BG$2,0)/BG$1,"")</f>
        <v/>
      </c>
      <c r="BH52" s="67" t="str">
        <f>IFERROR(VLOOKUP($B52,RD[#All],BH$2,0)/BH$1,"")</f>
        <v/>
      </c>
      <c r="BI52" s="67" t="str">
        <f>IFERROR(VLOOKUP($B52,RD[#All],BI$2,0)/BI$1,"")</f>
        <v/>
      </c>
      <c r="BJ52" s="67" t="str">
        <f>IFERROR(VLOOKUP($B52,RD[#All],BJ$2,0)/BJ$1,"")</f>
        <v/>
      </c>
      <c r="BK52" s="67" t="str">
        <f>IFERROR(VLOOKUP($B52,RD[#All],BK$2,0)/BK$1,"")</f>
        <v/>
      </c>
      <c r="BL52" s="67" t="str">
        <f>IFERROR(VLOOKUP($B52,RD[#All],BL$2,0)/BL$1,"")</f>
        <v/>
      </c>
      <c r="BM52" s="67" t="str">
        <f>IFERROR(VLOOKUP($B52,RD[#All],BM$2,0)/BM$1,"")</f>
        <v/>
      </c>
      <c r="BN52" s="67" t="str">
        <f>IFERROR(VLOOKUP($B52,RD[#All],BN$2,0)/BN$1,"")</f>
        <v/>
      </c>
      <c r="BO52" s="67" t="str">
        <f>IFERROR(VLOOKUP($B52,RD[#All],BO$2,0)/BO$1,"")</f>
        <v/>
      </c>
      <c r="BP52" s="67" t="str">
        <f>IFERROR(VLOOKUP($B52,RD[#All],BP$2,0)/BP$1,"")</f>
        <v/>
      </c>
      <c r="BQ52" s="67" t="str">
        <f>IFERROR(VLOOKUP($B52,RD[#All],BQ$2,0)/BQ$1,"")</f>
        <v/>
      </c>
      <c r="BR52" s="67" t="str">
        <f>IFERROR(VLOOKUP($B52,RD[#All],BR$2,0)/BR$1,"")</f>
        <v/>
      </c>
      <c r="BS52" s="67" t="str">
        <f>IFERROR(VLOOKUP($B52,RD[#All],BS$2,0)/BS$1,"")</f>
        <v/>
      </c>
      <c r="BT52" s="67" t="str">
        <f>IFERROR(VLOOKUP($B52,RD[#All],BT$2,0)/BT$1,"")</f>
        <v/>
      </c>
      <c r="BU52" s="67" t="str">
        <f>IFERROR(VLOOKUP($B52,RD[#All],BU$2,0)/BU$1,"")</f>
        <v/>
      </c>
      <c r="BV52" s="67" t="str">
        <f>IFERROR(VLOOKUP($B52,RD[#All],BV$2,0)/BV$1,"")</f>
        <v/>
      </c>
      <c r="BW52" s="67" t="str">
        <f>IFERROR(VLOOKUP($B52,RD[#All],BW$2,0)/BW$1,"")</f>
        <v/>
      </c>
      <c r="BX52" s="67" t="str">
        <f>IFERROR(VLOOKUP($B52,RD[#All],BX$2,0)/BX$1,"")</f>
        <v/>
      </c>
      <c r="BY52" s="67" t="str">
        <f>IFERROR(VLOOKUP($B52,RD[#All],BY$2,0)/BY$1,"")</f>
        <v/>
      </c>
      <c r="BZ52" s="67" t="str">
        <f>IFERROR(VLOOKUP($B52,RD[#All],BZ$2,0)/BZ$1,"")</f>
        <v/>
      </c>
      <c r="CA52" s="67" t="str">
        <f>IFERROR(VLOOKUP($B52,RD[#All],CA$2,0)/CA$1,"")</f>
        <v/>
      </c>
      <c r="CB52" s="67" t="str">
        <f>IFERROR(VLOOKUP($B52,RD[#All],CB$2,0)/CB$1,"")</f>
        <v/>
      </c>
      <c r="CC52" s="67" t="str">
        <f>IFERROR(VLOOKUP($B52,RD[#All],CC$2,0)/CC$1,"")</f>
        <v/>
      </c>
      <c r="CD52" s="67" t="str">
        <f>IFERROR(VLOOKUP($B52,RD[#All],CD$2,0)/CD$1,"")</f>
        <v/>
      </c>
      <c r="CE52" s="67" t="str">
        <f>IFERROR(VLOOKUP($B52,RD[#All],CE$2,0)/CE$1,"")</f>
        <v/>
      </c>
      <c r="CF52" s="67" t="str">
        <f>IFERROR(VLOOKUP($B52,RD[#All],CF$2,0)/CF$1,"")</f>
        <v/>
      </c>
      <c r="CG52" s="67" t="str">
        <f>IFERROR(VLOOKUP($B52,RD[#All],CG$2,0)/CG$1,"")</f>
        <v/>
      </c>
      <c r="CH52" s="67" t="str">
        <f>IFERROR(VLOOKUP($B52,RD[#All],CH$2,0)/CH$1,"")</f>
        <v/>
      </c>
      <c r="CI52" s="67" t="str">
        <f>IFERROR(VLOOKUP($B52,RD[#All],CI$2,0)/CI$1,"")</f>
        <v/>
      </c>
      <c r="CJ52" s="67" t="str">
        <f>IFERROR(VLOOKUP($B52,RD[#All],CJ$2,0)/CJ$1,"")</f>
        <v/>
      </c>
      <c r="CK52" s="67" t="str">
        <f>IFERROR(VLOOKUP($B52,RD[#All],CK$2,0)/CK$1,"")</f>
        <v/>
      </c>
      <c r="CL52" s="67" t="str">
        <f>IFERROR(VLOOKUP($B52,RD[#All],CL$2,0)/CL$1,"")</f>
        <v/>
      </c>
      <c r="CM52" s="67" t="str">
        <f>IFERROR(VLOOKUP($B52,RD[#All],CM$2,0)/CM$1,"")</f>
        <v/>
      </c>
      <c r="CN52" s="67" t="str">
        <f>IFERROR(VLOOKUP($B52,RD[#All],CN$2,0)/CN$1,"")</f>
        <v/>
      </c>
      <c r="CO52" s="67" t="str">
        <f>IFERROR(VLOOKUP($B52,RD[#All],CO$2,0)/CO$1,"")</f>
        <v/>
      </c>
      <c r="CP52" s="67" t="str">
        <f>IFERROR(VLOOKUP($B52,RD[#All],CP$2,0)/CP$1,"")</f>
        <v/>
      </c>
      <c r="CQ52" s="67" t="str">
        <f>IFERROR(VLOOKUP($B52,RD[#All],CQ$2,0)/CQ$1,"")</f>
        <v/>
      </c>
      <c r="CR52" s="67" t="str">
        <f>IFERROR(VLOOKUP($B52,RD[#All],CR$2,0)/CR$1,"")</f>
        <v/>
      </c>
      <c r="CS52" s="67" t="str">
        <f>IFERROR(VLOOKUP($B52,RD[#All],CS$2,0)/CS$1,"")</f>
        <v/>
      </c>
      <c r="CT52" s="67" t="str">
        <f>IFERROR(VLOOKUP($B52,RD[#All],CT$2,0)/CT$1,"")</f>
        <v/>
      </c>
      <c r="CU52" s="67" t="str">
        <f>IFERROR(VLOOKUP($B52,RD[#All],CU$2,0)/CU$1,"")</f>
        <v/>
      </c>
      <c r="CV52" s="67" t="str">
        <f>IFERROR(VLOOKUP($B52,RD[#All],CV$2,0)/CV$1,"")</f>
        <v/>
      </c>
      <c r="CW52" s="67" t="str">
        <f>IFERROR(VLOOKUP($B52,RD[#All],CW$2,0)/CW$1,"")</f>
        <v/>
      </c>
      <c r="CX52" s="67" t="str">
        <f>IFERROR(VLOOKUP($B52,RD[#All],CX$2,0)/CX$1,"")</f>
        <v/>
      </c>
      <c r="CY52" s="67" t="str">
        <f>IFERROR(VLOOKUP($B52,RD[#All],CY$2,0)/CY$1,"")</f>
        <v/>
      </c>
      <c r="CZ52" s="67" t="str">
        <f>IFERROR(VLOOKUP($B52,RD[#All],CZ$2,0)/CZ$1,"")</f>
        <v/>
      </c>
      <c r="DA52" s="67" t="str">
        <f>IFERROR(VLOOKUP($B52,RD[#All],DA$2,0)/DA$1,"")</f>
        <v/>
      </c>
      <c r="DB52" s="67" t="str">
        <f>IFERROR(VLOOKUP($B52,RD[#All],DB$2,0)/DB$1,"")</f>
        <v/>
      </c>
      <c r="DC52" s="67" t="str">
        <f>IFERROR(VLOOKUP($B52,RD[#All],DC$2,0)/DC$1,"")</f>
        <v/>
      </c>
      <c r="DD52" s="67" t="str">
        <f>IFERROR(VLOOKUP($B52,RD[#All],DD$2,0)/DD$1,"")</f>
        <v/>
      </c>
      <c r="DE52" s="67" t="str">
        <f>IFERROR(VLOOKUP($B52,RD[#All],DE$2,0)/DE$1,"")</f>
        <v/>
      </c>
      <c r="DF52" s="67" t="str">
        <f>IFERROR(VLOOKUP($B52,RD[#All],DF$2,0)/DF$1,"")</f>
        <v/>
      </c>
      <c r="DG52" s="67" t="str">
        <f>IFERROR(VLOOKUP($B52,RD[#All],DG$2,0)/DG$1,"")</f>
        <v/>
      </c>
      <c r="DH52" s="67" t="str">
        <f>IFERROR(VLOOKUP($B52,RD[#All],DH$2,0)/DH$1,"")</f>
        <v/>
      </c>
      <c r="DI52" s="67" t="str">
        <f>IFERROR(VLOOKUP($B52,RD[#All],DI$2,0)/DI$1,"")</f>
        <v/>
      </c>
      <c r="DJ52" s="67" t="str">
        <f>IFERROR(VLOOKUP($B52,RD[#All],DJ$2,0)/DJ$1,"")</f>
        <v/>
      </c>
      <c r="DK52" s="67" t="str">
        <f>IFERROR(VLOOKUP($B52,RD[#All],DK$2,0)/DK$1,"")</f>
        <v/>
      </c>
      <c r="DL52" s="67" t="str">
        <f>IFERROR(VLOOKUP($B52,RD[#All],DL$2,0)/DL$1,"")</f>
        <v/>
      </c>
      <c r="DM52" s="67" t="str">
        <f>IFERROR(VLOOKUP($B52,RD[#All],DM$2,0)/DM$1,"")</f>
        <v/>
      </c>
      <c r="DN52" s="67" t="str">
        <f>IFERROR(VLOOKUP($B52,RD[#All],DN$2,0)/DN$1,"")</f>
        <v/>
      </c>
      <c r="DO52" s="67" t="str">
        <f>IFERROR(VLOOKUP($B52,RD[#All],DO$2,0)/DO$1,"")</f>
        <v/>
      </c>
      <c r="DP52" s="67" t="str">
        <f>IFERROR(VLOOKUP($B52,RD[#All],DP$2,0)/DP$1,"")</f>
        <v/>
      </c>
      <c r="DQ52" s="67" t="str">
        <f>IFERROR(VLOOKUP($B52,RD[#All],DQ$2,0)/DQ$1,"")</f>
        <v/>
      </c>
      <c r="DR52" s="67" t="str">
        <f>IFERROR(VLOOKUP($B52,RD[#All],DR$2,0)/DR$1,"")</f>
        <v/>
      </c>
      <c r="DS52" s="67" t="str">
        <f>IFERROR(VLOOKUP($B52,RD[#All],DS$2,0)/DS$1,"")</f>
        <v/>
      </c>
      <c r="DT52" s="67" t="str">
        <f>IFERROR(VLOOKUP($B52,RD[#All],DT$2,0)/DT$1,"")</f>
        <v/>
      </c>
      <c r="DU52" s="67" t="str">
        <f>IFERROR(VLOOKUP($B52,RD[#All],DU$2,0)/DU$1,"")</f>
        <v/>
      </c>
      <c r="DV52" s="67" t="str">
        <f>IFERROR(VLOOKUP($B52,RD[#All],DV$2,0)/DV$1,"")</f>
        <v/>
      </c>
      <c r="DW52" s="67" t="str">
        <f>IFERROR(VLOOKUP($B52,RD[#All],DW$2,0)/DW$1,"")</f>
        <v/>
      </c>
      <c r="DX52" s="67" t="str">
        <f>IFERROR(VLOOKUP($B52,RD[#All],DX$2,0)/DX$1,"")</f>
        <v/>
      </c>
      <c r="DY52" s="67" t="str">
        <f>IFERROR(VLOOKUP($B52,RD[#All],DY$2,0)/DY$1,"")</f>
        <v/>
      </c>
      <c r="DZ52" s="67" t="str">
        <f>IFERROR(VLOOKUP($B52,RD[#All],DZ$2,0)/DZ$1,"")</f>
        <v/>
      </c>
      <c r="EA52" s="67" t="str">
        <f>IFERROR(VLOOKUP($B52,RD[#All],EA$2,0)/EA$1,"")</f>
        <v/>
      </c>
      <c r="EB52" s="67" t="str">
        <f>IFERROR(VLOOKUP($B52,RD[#All],EB$2,0)/EB$1,"")</f>
        <v/>
      </c>
      <c r="EC52" s="67" t="str">
        <f>IFERROR(VLOOKUP($B52,RD[#All],EC$2,0)/EC$1,"")</f>
        <v/>
      </c>
      <c r="ED52" s="67" t="str">
        <f>IFERROR(VLOOKUP($B52,RD[#All],ED$2,0)/ED$1,"")</f>
        <v/>
      </c>
      <c r="EE52" s="67" t="str">
        <f>IFERROR(VLOOKUP($B52,RD[#All],EE$2,0)/EE$1,"")</f>
        <v/>
      </c>
      <c r="EF52" s="67" t="str">
        <f>IFERROR(VLOOKUP($B52,RD[#All],EF$2,0)/EF$1,"")</f>
        <v/>
      </c>
      <c r="EG52" s="67" t="str">
        <f>IFERROR(VLOOKUP($B52,RD[#All],EG$2,0)/EG$1,"")</f>
        <v/>
      </c>
      <c r="EH52" s="67" t="str">
        <f>IFERROR(VLOOKUP($B52,RD[#All],EH$2,0)/EH$1,"")</f>
        <v/>
      </c>
      <c r="EI52" s="67" t="str">
        <f>IFERROR(VLOOKUP($B52,RD[#All],EI$2,0)/EI$1,"")</f>
        <v/>
      </c>
      <c r="EJ52" s="67" t="str">
        <f>IFERROR(VLOOKUP($B52,RD[#All],EJ$2,0)/EJ$1,"")</f>
        <v/>
      </c>
      <c r="EK52" s="67" t="str">
        <f>IFERROR(VLOOKUP($B52,RD[#All],EK$2,0)/EK$1,"")</f>
        <v/>
      </c>
      <c r="EL52" s="67" t="str">
        <f>IFERROR(VLOOKUP($B52,RD[#All],EL$2,0)/EL$1,"")</f>
        <v/>
      </c>
      <c r="EM52" s="67" t="str">
        <f>IFERROR(VLOOKUP($B52,RD[#All],EM$2,0)/EM$1,"")</f>
        <v/>
      </c>
      <c r="EN52" s="67" t="str">
        <f>IFERROR(VLOOKUP($B52,RD[#All],EN$2,0)/EN$1,"")</f>
        <v/>
      </c>
      <c r="EO52" s="67" t="str">
        <f>IFERROR(VLOOKUP($B52,RD[#All],EO$2,0)/EO$1,"")</f>
        <v/>
      </c>
      <c r="EP52" s="67" t="str">
        <f>IFERROR(VLOOKUP($B52,RD[#All],EP$2,0)/EP$1,"")</f>
        <v/>
      </c>
      <c r="EQ52" s="67" t="str">
        <f>IFERROR(VLOOKUP($B52,RD[#All],EQ$2,0)/EQ$1,"")</f>
        <v/>
      </c>
      <c r="ER52" s="67" t="str">
        <f>IFERROR(VLOOKUP($B52,RD[#All],ER$2,0)/ER$1,"")</f>
        <v/>
      </c>
      <c r="ES52" s="67" t="str">
        <f>IFERROR(VLOOKUP($B52,RD[#All],ES$2,0)/ES$1,"")</f>
        <v/>
      </c>
      <c r="ET52" s="67" t="str">
        <f>IFERROR(VLOOKUP($B52,RD[#All],ET$2,0)/ET$1,"")</f>
        <v/>
      </c>
      <c r="EU52" s="67" t="str">
        <f>IFERROR(VLOOKUP($B52,RD[#All],EU$2,0)/EU$1,"")</f>
        <v/>
      </c>
      <c r="EV52" s="67" t="str">
        <f>IFERROR(VLOOKUP($B52,RD[#All],EV$2,0)/EV$1,"")</f>
        <v/>
      </c>
      <c r="EW52" s="67" t="str">
        <f>IFERROR(VLOOKUP($B52,RD[#All],EW$2,0)/EW$1,"")</f>
        <v/>
      </c>
      <c r="EX52" s="67" t="str">
        <f>IFERROR(VLOOKUP($B52,RD[#All],EX$2,0)/EX$1,"")</f>
        <v/>
      </c>
      <c r="EY52" s="67" t="str">
        <f>IFERROR(VLOOKUP($B52,RD[#All],EY$2,0)/EY$1,"")</f>
        <v/>
      </c>
      <c r="EZ52" s="67" t="str">
        <f>IFERROR(VLOOKUP($B52,RD[#All],EZ$2,0)/EZ$1,"")</f>
        <v/>
      </c>
      <c r="FA52" s="67" t="str">
        <f>IFERROR(VLOOKUP($B52,RD[#All],FA$2,0)/FA$1,"")</f>
        <v/>
      </c>
      <c r="FB52" s="67" t="str">
        <f>IFERROR(VLOOKUP($B52,RD[#All],FB$2,0)/FB$1,"")</f>
        <v/>
      </c>
      <c r="FC52" s="67" t="str">
        <f>IFERROR(VLOOKUP($B52,RD[#All],FC$2,0)/FC$1,"")</f>
        <v/>
      </c>
      <c r="FD52" s="67" t="str">
        <f>IFERROR(VLOOKUP($B52,RD[#All],FD$2,0)/FD$1,"")</f>
        <v/>
      </c>
      <c r="FE52" s="67" t="str">
        <f>IFERROR(VLOOKUP($B52,RD[#All],FE$2,0)/FE$1,"")</f>
        <v/>
      </c>
      <c r="FF52" s="67" t="str">
        <f>IFERROR(VLOOKUP($B52,RD[#All],FF$2,0)/FF$1,"")</f>
        <v/>
      </c>
      <c r="FG52" s="67" t="str">
        <f>IFERROR(VLOOKUP($B52,RD[#All],FG$2,0)/FG$1,"")</f>
        <v/>
      </c>
      <c r="FH52" s="67" t="str">
        <f>IFERROR(VLOOKUP($B52,RD[#All],FH$2,0)/FH$1,"")</f>
        <v/>
      </c>
      <c r="FI52" s="67" t="str">
        <f>IFERROR(VLOOKUP($B52,RD[#All],FI$2,0)/FI$1,"")</f>
        <v/>
      </c>
      <c r="FJ52" s="67" t="str">
        <f>IFERROR(VLOOKUP($B52,RD[#All],FJ$2,0)/FJ$1,"")</f>
        <v/>
      </c>
      <c r="FK52" s="67" t="str">
        <f>IFERROR(VLOOKUP($B52,RD[#All],FK$2,0)/FK$1,"")</f>
        <v/>
      </c>
      <c r="FL52" s="67" t="str">
        <f>IFERROR(VLOOKUP($B52,RD[#All],FL$2,0)/FL$1,"")</f>
        <v/>
      </c>
      <c r="FM52" s="67" t="str">
        <f>IFERROR(VLOOKUP($B52,RD[#All],FM$2,0)/FM$1,"")</f>
        <v/>
      </c>
      <c r="FN52" s="67" t="str">
        <f>IFERROR(VLOOKUP($B52,RD[#All],FN$2,0)/FN$1,"")</f>
        <v/>
      </c>
      <c r="FO52" s="67" t="str">
        <f>IFERROR(VLOOKUP($B52,RD[#All],FO$2,0)/FO$1,"")</f>
        <v/>
      </c>
      <c r="FP52" s="67" t="str">
        <f>IFERROR(VLOOKUP($B52,RD[#All],FP$2,0)/FP$1,"")</f>
        <v/>
      </c>
      <c r="FQ52" s="67" t="str">
        <f>IFERROR(VLOOKUP($B52,RD[#All],FQ$2,0)/FQ$1,"")</f>
        <v/>
      </c>
      <c r="FR52" s="67" t="str">
        <f>IFERROR(VLOOKUP($B52,RD[#All],FR$2,0)/FR$1,"")</f>
        <v/>
      </c>
      <c r="FS52" s="67" t="str">
        <f>IFERROR(VLOOKUP($B52,RD[#All],FS$2,0)/FS$1,"")</f>
        <v/>
      </c>
      <c r="FT52" s="67" t="str">
        <f>IFERROR(VLOOKUP($B52,RD[#All],FT$2,0)/FT$1,"")</f>
        <v/>
      </c>
      <c r="FU52" s="67" t="str">
        <f>IFERROR(VLOOKUP($B52,RD[#All],FU$2,0)/FU$1,"")</f>
        <v/>
      </c>
      <c r="FV52" s="67" t="str">
        <f>IFERROR(VLOOKUP($B52,RD[#All],FV$2,0)/FV$1,"")</f>
        <v/>
      </c>
      <c r="FW52" s="67" t="str">
        <f>IFERROR(VLOOKUP($B52,RD[#All],FW$2,0)/FW$1,"")</f>
        <v/>
      </c>
      <c r="FX52" s="67" t="str">
        <f>IFERROR(VLOOKUP($B52,RD[#All],FX$2,0)/FX$1,"")</f>
        <v/>
      </c>
      <c r="FY52" s="67" t="str">
        <f>IFERROR(VLOOKUP($B52,RD[#All],FY$2,0)/FY$1,"")</f>
        <v/>
      </c>
      <c r="FZ52" s="67" t="str">
        <f>IFERROR(VLOOKUP($B52,RD[#All],FZ$2,0)/FZ$1,"")</f>
        <v/>
      </c>
      <c r="GA52" s="67" t="str">
        <f>IFERROR(VLOOKUP($B52,RD[#All],GA$2,0)/GA$1,"")</f>
        <v/>
      </c>
      <c r="GB52" s="67" t="str">
        <f>IFERROR(VLOOKUP($B52,RD[#All],GB$2,0)/GB$1,"")</f>
        <v/>
      </c>
      <c r="GC52" s="67" t="str">
        <f>IFERROR(VLOOKUP($B52,RD[#All],GC$2,0)/GC$1,"")</f>
        <v/>
      </c>
      <c r="GD52" s="67" t="str">
        <f>IFERROR(VLOOKUP($B52,RD[#All],GD$2,0)/GD$1,"")</f>
        <v/>
      </c>
      <c r="GE52" s="67" t="str">
        <f>IFERROR(VLOOKUP($B52,RD[#All],GE$2,0)/GE$1,"")</f>
        <v/>
      </c>
      <c r="GF52" s="67" t="str">
        <f>IFERROR(VLOOKUP($B52,RD[#All],GF$2,0)/GF$1,"")</f>
        <v/>
      </c>
      <c r="GG52" s="67" t="str">
        <f>IFERROR(VLOOKUP($B52,RD[#All],GG$2,0)/GG$1,"")</f>
        <v/>
      </c>
      <c r="GH52" s="67" t="str">
        <f>IFERROR(VLOOKUP($B52,RD[#All],GH$2,0)/GH$1,"")</f>
        <v/>
      </c>
      <c r="GI52" s="67" t="str">
        <f>IFERROR(VLOOKUP($B52,RD[#All],GI$2,0)/GI$1,"")</f>
        <v/>
      </c>
      <c r="GJ52" s="67" t="str">
        <f>IFERROR(VLOOKUP($B52,RD[#All],GJ$2,0)/GJ$1,"")</f>
        <v/>
      </c>
      <c r="GK52" s="67" t="str">
        <f>IFERROR(VLOOKUP($B52,RD[#All],GK$2,0)/GK$1,"")</f>
        <v/>
      </c>
      <c r="GL52" s="67" t="str">
        <f>IFERROR(VLOOKUP($B52,RD[#All],GL$2,0)/GL$1,"")</f>
        <v/>
      </c>
      <c r="GM52" s="67" t="str">
        <f>IFERROR(VLOOKUP($B52,RD[#All],GM$2,0)/GM$1,"")</f>
        <v/>
      </c>
      <c r="GN52" s="67" t="str">
        <f>IFERROR(VLOOKUP($B52,RD[#All],GN$2,0)/GN$1,"")</f>
        <v/>
      </c>
      <c r="GO52" s="67" t="str">
        <f>IFERROR(VLOOKUP($B52,RD[#All],GO$2,0)/GO$1,"")</f>
        <v/>
      </c>
      <c r="GP52" s="67" t="str">
        <f>IFERROR(VLOOKUP($B52,RD[#All],GP$2,0)/GP$1,"")</f>
        <v/>
      </c>
      <c r="GQ52" s="67" t="str">
        <f>IFERROR(VLOOKUP($B52,RD[#All],GQ$2,0)/GQ$1,"")</f>
        <v/>
      </c>
      <c r="GR52" s="67" t="str">
        <f>IFERROR(VLOOKUP($B52,RD[#All],GR$2,0)/GR$1,"")</f>
        <v/>
      </c>
      <c r="GS52" s="67" t="str">
        <f>IFERROR(VLOOKUP($B52,RD[#All],GS$2,0)/GS$1,"")</f>
        <v/>
      </c>
      <c r="GT52" s="67" t="str">
        <f>IFERROR(VLOOKUP($B52,RD[#All],GT$2,0)/GT$1,"")</f>
        <v/>
      </c>
      <c r="GU52" s="67" t="str">
        <f>IFERROR(VLOOKUP($B52,RD[#All],GU$2,0)/GU$1,"")</f>
        <v/>
      </c>
      <c r="GV52" s="67" t="str">
        <f>IFERROR(VLOOKUP($B52,RD[#All],GV$2,0)/GV$1,"")</f>
        <v/>
      </c>
      <c r="GW52" s="67" t="str">
        <f>IFERROR(VLOOKUP($B52,RD[#All],GW$2,0)/GW$1,"")</f>
        <v/>
      </c>
      <c r="GX52" s="67" t="str">
        <f>IFERROR(VLOOKUP($B52,RD[#All],GX$2,0)/GX$1,"")</f>
        <v/>
      </c>
      <c r="GY52" s="67" t="str">
        <f>IFERROR(VLOOKUP($B52,RD[#All],GY$2,0)/GY$1,"")</f>
        <v/>
      </c>
      <c r="GZ52" s="67" t="str">
        <f>IFERROR(VLOOKUP($B52,RD[#All],GZ$2,0)/GZ$1,"")</f>
        <v/>
      </c>
      <c r="HA52" s="67" t="str">
        <f>IFERROR(VLOOKUP($B52,RD[#All],HA$2,0)/HA$1,"")</f>
        <v/>
      </c>
      <c r="HB52" s="67" t="str">
        <f>IFERROR(VLOOKUP($B52,RD[#All],HB$2,0)/HB$1,"")</f>
        <v/>
      </c>
      <c r="HC52" s="67" t="str">
        <f>IFERROR(VLOOKUP($B52,RD[#All],HC$2,0)/HC$1,"")</f>
        <v/>
      </c>
      <c r="HD52" s="67" t="str">
        <f>IFERROR(VLOOKUP($B52,RD[#All],HD$2,0)/HD$1,"")</f>
        <v/>
      </c>
      <c r="HE52" s="67" t="str">
        <f>IFERROR(VLOOKUP($B52,RD[#All],HE$2,0)/HE$1,"")</f>
        <v/>
      </c>
      <c r="HF52" s="67" t="str">
        <f>IFERROR(VLOOKUP($B52,RD[#All],HF$2,0)/HF$1,"")</f>
        <v/>
      </c>
      <c r="HG52" s="67" t="str">
        <f>IFERROR(VLOOKUP($B52,RD[#All],HG$2,0)/HG$1,"")</f>
        <v/>
      </c>
      <c r="HH52" s="67" t="str">
        <f>IFERROR(VLOOKUP($B52,RD[#All],HH$2,0)/HH$1,"")</f>
        <v/>
      </c>
      <c r="HI52" s="67" t="str">
        <f>IFERROR(VLOOKUP($B52,RD[#All],HI$2,0)/HI$1,"")</f>
        <v/>
      </c>
      <c r="HJ52" s="67" t="str">
        <f>IFERROR(VLOOKUP($B52,RD[#All],HJ$2,0)/HJ$1,"")</f>
        <v/>
      </c>
      <c r="HK52" s="67" t="str">
        <f>IFERROR(VLOOKUP($B52,RD[#All],HK$2,0)/HK$1,"")</f>
        <v/>
      </c>
      <c r="HL52" s="67" t="str">
        <f>IFERROR(VLOOKUP($B52,RD[#All],HL$2,0)/HL$1,"")</f>
        <v/>
      </c>
      <c r="HM52" s="67" t="str">
        <f>IFERROR(VLOOKUP($B52,RD[#All],HM$2,0)/HM$1,"")</f>
        <v/>
      </c>
      <c r="HN52" s="67" t="str">
        <f>IFERROR(VLOOKUP($B52,RD[#All],HN$2,0)/HN$1,"")</f>
        <v/>
      </c>
      <c r="HO52" s="67" t="str">
        <f>IFERROR(VLOOKUP($B52,RD[#All],HO$2,0)/HO$1,"")</f>
        <v/>
      </c>
      <c r="HP52" s="67" t="str">
        <f>IFERROR(VLOOKUP($B52,RD[#All],HP$2,0)/HP$1,"")</f>
        <v/>
      </c>
      <c r="HQ52" s="67" t="str">
        <f>IFERROR(VLOOKUP($B52,RD[#All],HQ$2,0)/HQ$1,"")</f>
        <v/>
      </c>
      <c r="HR52" s="67" t="str">
        <f>IFERROR(VLOOKUP($B52,RD[#All],HR$2,0)/HR$1,"")</f>
        <v/>
      </c>
      <c r="HS52" s="67" t="str">
        <f>IFERROR(VLOOKUP($B52,RD[#All],HS$2,0)/HS$1,"")</f>
        <v/>
      </c>
      <c r="HT52" s="67" t="str">
        <f>IFERROR(VLOOKUP($B52,RD[#All],HT$2,0)/HT$1,"")</f>
        <v/>
      </c>
      <c r="HU52" s="67" t="str">
        <f>IFERROR(VLOOKUP($B52,RD[#All],HU$2,0)/HU$1,"")</f>
        <v/>
      </c>
      <c r="HV52" s="67" t="str">
        <f>IFERROR(VLOOKUP($B52,RD[#All],HV$2,0)/HV$1,"")</f>
        <v/>
      </c>
      <c r="HW52" s="67" t="str">
        <f>IFERROR(VLOOKUP($B52,RD[#All],HW$2,0)/HW$1,"")</f>
        <v/>
      </c>
      <c r="HX52" s="67" t="str">
        <f>IFERROR(VLOOKUP($B52,RD[#All],HX$2,0)/HX$1,"")</f>
        <v/>
      </c>
      <c r="HY52" s="67" t="str">
        <f>IFERROR(VLOOKUP($B52,RD[#All],HY$2,0)/HY$1,"")</f>
        <v/>
      </c>
      <c r="HZ52" s="67" t="str">
        <f>IFERROR(VLOOKUP($B52,RD[#All],HZ$2,0)/HZ$1,"")</f>
        <v/>
      </c>
      <c r="IA52" s="67" t="str">
        <f>IFERROR(VLOOKUP($B52,RD[#All],IA$2,0)/IA$1,"")</f>
        <v/>
      </c>
      <c r="IB52" s="67" t="str">
        <f>IFERROR(VLOOKUP($B52,RD[#All],IB$2,0)/IB$1,"")</f>
        <v/>
      </c>
      <c r="IC52" s="67" t="str">
        <f>IFERROR(VLOOKUP($B52,RD[#All],IC$2,0)/IC$1,"")</f>
        <v/>
      </c>
      <c r="ID52" s="67" t="str">
        <f>IFERROR(VLOOKUP($B52,RD[#All],ID$2,0)/ID$1,"")</f>
        <v/>
      </c>
      <c r="IE52" s="67" t="str">
        <f>IFERROR(VLOOKUP($B52,RD[#All],IE$2,0)/IE$1,"")</f>
        <v/>
      </c>
      <c r="IF52" s="67" t="str">
        <f>IFERROR(VLOOKUP($B52,RD[#All],IF$2,0)/IF$1,"")</f>
        <v/>
      </c>
      <c r="IG52" s="67" t="str">
        <f>IFERROR(VLOOKUP($B52,RD[#All],IG$2,0)/IG$1,"")</f>
        <v/>
      </c>
      <c r="IH52" s="67" t="str">
        <f>IFERROR(VLOOKUP($B52,RD[#All],IH$2,0)/IH$1,"")</f>
        <v/>
      </c>
      <c r="II52" s="67" t="str">
        <f>IFERROR(VLOOKUP($B52,RD[#All],II$2,0)/II$1,"")</f>
        <v/>
      </c>
      <c r="IJ52" s="67" t="str">
        <f>IFERROR(VLOOKUP($B52,RD[#All],IJ$2,0)/IJ$1,"")</f>
        <v/>
      </c>
      <c r="IK52" s="67" t="str">
        <f>IFERROR(VLOOKUP($B52,RD[#All],IK$2,0)/IK$1,"")</f>
        <v/>
      </c>
      <c r="IL52" s="67" t="str">
        <f>IFERROR(VLOOKUP($B52,RD[#All],IL$2,0)/IL$1,"")</f>
        <v/>
      </c>
      <c r="IM52" s="67" t="str">
        <f>IFERROR(VLOOKUP($B52,RD[#All],IM$2,0)/IM$1,"")</f>
        <v/>
      </c>
      <c r="IN52" s="67" t="str">
        <f>IFERROR(VLOOKUP($B52,RD[#All],IN$2,0)/IN$1,"")</f>
        <v/>
      </c>
      <c r="IO52" s="67" t="str">
        <f>IFERROR(VLOOKUP($B52,RD[#All],IO$2,0)/IO$1,"")</f>
        <v/>
      </c>
      <c r="IP52" s="67" t="str">
        <f>IFERROR(VLOOKUP($B52,RD[#All],IP$2,0)/IP$1,"")</f>
        <v/>
      </c>
      <c r="IQ52" s="67" t="str">
        <f>IFERROR(VLOOKUP($B52,RD[#All],IQ$2,0)/IQ$1,"")</f>
        <v/>
      </c>
      <c r="IR52" s="67" t="str">
        <f>IFERROR(VLOOKUP($B52,RD[#All],IR$2,0)/IR$1,"")</f>
        <v/>
      </c>
      <c r="IS52" s="86" t="str">
        <f>IFERROR(AVERAGEIF(Inv_SY_B[[#This Row],[BLK1_INV1]:[BLK8_INV27]],"&gt;"&amp;0.1,Inv_SY_B[[#This Row],[BLK1_INV1]:[BLK8_INV27]]),"")</f>
        <v/>
      </c>
    </row>
    <row r="53" spans="2:253" x14ac:dyDescent="0.25">
      <c r="B53" s="87">
        <f t="shared" si="1"/>
        <v>45879</v>
      </c>
      <c r="C53" s="67" t="str">
        <f>IFERROR(VLOOKUP($B53,RD[#All],C$2,0)/C$1,"")</f>
        <v/>
      </c>
      <c r="D53" s="67" t="str">
        <f>IFERROR(VLOOKUP($B53,RD[#All],D$2,0)/D$1,"")</f>
        <v/>
      </c>
      <c r="E53" s="67" t="str">
        <f>IFERROR(VLOOKUP($B53,RD[#All],E$2,0)/E$1,"")</f>
        <v/>
      </c>
      <c r="F53" s="67" t="str">
        <f>IFERROR(VLOOKUP($B53,RD[#All],F$2,0)/F$1,"")</f>
        <v/>
      </c>
      <c r="G53" s="67" t="str">
        <f>IFERROR(VLOOKUP($B53,RD[#All],G$2,0)/G$1,"")</f>
        <v/>
      </c>
      <c r="H53" s="67" t="str">
        <f>IFERROR(VLOOKUP($B53,RD[#All],H$2,0)/H$1,"")</f>
        <v/>
      </c>
      <c r="I53" s="67" t="str">
        <f>IFERROR(VLOOKUP($B53,RD[#All],I$2,0)/I$1,"")</f>
        <v/>
      </c>
      <c r="J53" s="67" t="str">
        <f>IFERROR(VLOOKUP($B53,RD[#All],J$2,0)/J$1,"")</f>
        <v/>
      </c>
      <c r="K53" s="67" t="str">
        <f>IFERROR(VLOOKUP($B53,RD[#All],K$2,0)/K$1,"")</f>
        <v/>
      </c>
      <c r="L53" s="67" t="str">
        <f>IFERROR(VLOOKUP($B53,RD[#All],L$2,0)/L$1,"")</f>
        <v/>
      </c>
      <c r="M53" s="67" t="str">
        <f>IFERROR(VLOOKUP($B53,RD[#All],M$2,0)/M$1,"")</f>
        <v/>
      </c>
      <c r="N53" s="67" t="str">
        <f>IFERROR(VLOOKUP($B53,RD[#All],N$2,0)/N$1,"")</f>
        <v/>
      </c>
      <c r="O53" s="67" t="str">
        <f>IFERROR(VLOOKUP($B53,RD[#All],O$2,0)/O$1,"")</f>
        <v/>
      </c>
      <c r="P53" s="67" t="str">
        <f>IFERROR(VLOOKUP($B53,RD[#All],P$2,0)/P$1,"")</f>
        <v/>
      </c>
      <c r="Q53" s="67" t="str">
        <f>IFERROR(VLOOKUP($B53,RD[#All],Q$2,0)/Q$1,"")</f>
        <v/>
      </c>
      <c r="R53" s="67" t="str">
        <f>IFERROR(VLOOKUP($B53,RD[#All],R$2,0)/R$1,"")</f>
        <v/>
      </c>
      <c r="S53" s="67" t="str">
        <f>IFERROR(VLOOKUP($B53,RD[#All],S$2,0)/S$1,"")</f>
        <v/>
      </c>
      <c r="T53" s="67" t="str">
        <f>IFERROR(VLOOKUP($B53,RD[#All],T$2,0)/T$1,"")</f>
        <v/>
      </c>
      <c r="U53" s="67" t="str">
        <f>IFERROR(VLOOKUP($B53,RD[#All],U$2,0)/U$1,"")</f>
        <v/>
      </c>
      <c r="V53" s="67" t="str">
        <f>IFERROR(VLOOKUP($B53,RD[#All],V$2,0)/V$1,"")</f>
        <v/>
      </c>
      <c r="W53" s="67" t="str">
        <f>IFERROR(VLOOKUP($B53,RD[#All],W$2,0)/W$1,"")</f>
        <v/>
      </c>
      <c r="X53" s="67" t="str">
        <f>IFERROR(VLOOKUP($B53,RD[#All],X$2,0)/X$1,"")</f>
        <v/>
      </c>
      <c r="Y53" s="67" t="str">
        <f>IFERROR(VLOOKUP($B53,RD[#All],Y$2,0)/Y$1,"")</f>
        <v/>
      </c>
      <c r="Z53" s="67" t="str">
        <f>IFERROR(VLOOKUP($B53,RD[#All],Z$2,0)/Z$1,"")</f>
        <v/>
      </c>
      <c r="AA53" s="67" t="str">
        <f>IFERROR(VLOOKUP($B53,RD[#All],AA$2,0)/AA$1,"")</f>
        <v/>
      </c>
      <c r="AB53" s="67" t="str">
        <f>IFERROR(VLOOKUP($B53,RD[#All],AB$2,0)/AB$1,"")</f>
        <v/>
      </c>
      <c r="AC53" s="67" t="str">
        <f>IFERROR(VLOOKUP($B53,RD[#All],AC$2,0)/AC$1,"")</f>
        <v/>
      </c>
      <c r="AD53" s="67" t="str">
        <f>IFERROR(VLOOKUP($B53,RD[#All],AD$2,0)/AD$1,"")</f>
        <v/>
      </c>
      <c r="AE53" s="67" t="str">
        <f>IFERROR(VLOOKUP($B53,RD[#All],AE$2,0)/AE$1,"")</f>
        <v/>
      </c>
      <c r="AF53" s="67" t="str">
        <f>IFERROR(VLOOKUP($B53,RD[#All],AF$2,0)/AF$1,"")</f>
        <v/>
      </c>
      <c r="AG53" s="67" t="str">
        <f>IFERROR(VLOOKUP($B53,RD[#All],AG$2,0)/AG$1,"")</f>
        <v/>
      </c>
      <c r="AH53" s="67" t="str">
        <f>IFERROR(VLOOKUP($B53,RD[#All],AH$2,0)/AH$1,"")</f>
        <v/>
      </c>
      <c r="AI53" s="67" t="str">
        <f>IFERROR(VLOOKUP($B53,RD[#All],AI$2,0)/AI$1,"")</f>
        <v/>
      </c>
      <c r="AJ53" s="67" t="str">
        <f>IFERROR(VLOOKUP($B53,RD[#All],AJ$2,0)/AJ$1,"")</f>
        <v/>
      </c>
      <c r="AK53" s="67" t="str">
        <f>IFERROR(VLOOKUP($B53,RD[#All],AK$2,0)/AK$1,"")</f>
        <v/>
      </c>
      <c r="AL53" s="67" t="str">
        <f>IFERROR(VLOOKUP($B53,RD[#All],AL$2,0)/AL$1,"")</f>
        <v/>
      </c>
      <c r="AM53" s="67" t="str">
        <f>IFERROR(VLOOKUP($B53,RD[#All],AM$2,0)/AM$1,"")</f>
        <v/>
      </c>
      <c r="AN53" s="67" t="str">
        <f>IFERROR(VLOOKUP($B53,RD[#All],AN$2,0)/AN$1,"")</f>
        <v/>
      </c>
      <c r="AO53" s="67" t="str">
        <f>IFERROR(VLOOKUP($B53,RD[#All],AO$2,0)/AO$1,"")</f>
        <v/>
      </c>
      <c r="AP53" s="67" t="str">
        <f>IFERROR(VLOOKUP($B53,RD[#All],AP$2,0)/AP$1,"")</f>
        <v/>
      </c>
      <c r="AQ53" s="67" t="str">
        <f>IFERROR(VLOOKUP($B53,RD[#All],AQ$2,0)/AQ$1,"")</f>
        <v/>
      </c>
      <c r="AR53" s="67" t="str">
        <f>IFERROR(VLOOKUP($B53,RD[#All],AR$2,0)/AR$1,"")</f>
        <v/>
      </c>
      <c r="AS53" s="67" t="str">
        <f>IFERROR(VLOOKUP($B53,RD[#All],AS$2,0)/AS$1,"")</f>
        <v/>
      </c>
      <c r="AT53" s="67" t="str">
        <f>IFERROR(VLOOKUP($B53,RD[#All],AT$2,0)/AT$1,"")</f>
        <v/>
      </c>
      <c r="AU53" s="67" t="str">
        <f>IFERROR(VLOOKUP($B53,RD[#All],AU$2,0)/AU$1,"")</f>
        <v/>
      </c>
      <c r="AV53" s="67" t="str">
        <f>IFERROR(VLOOKUP($B53,RD[#All],AV$2,0)/AV$1,"")</f>
        <v/>
      </c>
      <c r="AW53" s="67" t="str">
        <f>IFERROR(VLOOKUP($B53,RD[#All],AW$2,0)/AW$1,"")</f>
        <v/>
      </c>
      <c r="AX53" s="67" t="str">
        <f>IFERROR(VLOOKUP($B53,RD[#All],AX$2,0)/AX$1,"")</f>
        <v/>
      </c>
      <c r="AY53" s="67" t="str">
        <f>IFERROR(VLOOKUP($B53,RD[#All],AY$2,0)/AY$1,"")</f>
        <v/>
      </c>
      <c r="AZ53" s="67" t="str">
        <f>IFERROR(VLOOKUP($B53,RD[#All],AZ$2,0)/AZ$1,"")</f>
        <v/>
      </c>
      <c r="BA53" s="67" t="str">
        <f>IFERROR(VLOOKUP($B53,RD[#All],BA$2,0)/BA$1,"")</f>
        <v/>
      </c>
      <c r="BB53" s="67" t="str">
        <f>IFERROR(VLOOKUP($B53,RD[#All],BB$2,0)/BB$1,"")</f>
        <v/>
      </c>
      <c r="BC53" s="67" t="str">
        <f>IFERROR(VLOOKUP($B53,RD[#All],BC$2,0)/BC$1,"")</f>
        <v/>
      </c>
      <c r="BD53" s="67" t="str">
        <f>IFERROR(VLOOKUP($B53,RD[#All],BD$2,0)/BD$1,"")</f>
        <v/>
      </c>
      <c r="BE53" s="67" t="str">
        <f>IFERROR(VLOOKUP($B53,RD[#All],BE$2,0)/BE$1,"")</f>
        <v/>
      </c>
      <c r="BF53" s="67" t="str">
        <f>IFERROR(VLOOKUP($B53,RD[#All],BF$2,0)/BF$1,"")</f>
        <v/>
      </c>
      <c r="BG53" s="67" t="str">
        <f>IFERROR(VLOOKUP($B53,RD[#All],BG$2,0)/BG$1,"")</f>
        <v/>
      </c>
      <c r="BH53" s="67" t="str">
        <f>IFERROR(VLOOKUP($B53,RD[#All],BH$2,0)/BH$1,"")</f>
        <v/>
      </c>
      <c r="BI53" s="67" t="str">
        <f>IFERROR(VLOOKUP($B53,RD[#All],BI$2,0)/BI$1,"")</f>
        <v/>
      </c>
      <c r="BJ53" s="67" t="str">
        <f>IFERROR(VLOOKUP($B53,RD[#All],BJ$2,0)/BJ$1,"")</f>
        <v/>
      </c>
      <c r="BK53" s="67" t="str">
        <f>IFERROR(VLOOKUP($B53,RD[#All],BK$2,0)/BK$1,"")</f>
        <v/>
      </c>
      <c r="BL53" s="67" t="str">
        <f>IFERROR(VLOOKUP($B53,RD[#All],BL$2,0)/BL$1,"")</f>
        <v/>
      </c>
      <c r="BM53" s="67" t="str">
        <f>IFERROR(VLOOKUP($B53,RD[#All],BM$2,0)/BM$1,"")</f>
        <v/>
      </c>
      <c r="BN53" s="67" t="str">
        <f>IFERROR(VLOOKUP($B53,RD[#All],BN$2,0)/BN$1,"")</f>
        <v/>
      </c>
      <c r="BO53" s="67" t="str">
        <f>IFERROR(VLOOKUP($B53,RD[#All],BO$2,0)/BO$1,"")</f>
        <v/>
      </c>
      <c r="BP53" s="67" t="str">
        <f>IFERROR(VLOOKUP($B53,RD[#All],BP$2,0)/BP$1,"")</f>
        <v/>
      </c>
      <c r="BQ53" s="67" t="str">
        <f>IFERROR(VLOOKUP($B53,RD[#All],BQ$2,0)/BQ$1,"")</f>
        <v/>
      </c>
      <c r="BR53" s="67" t="str">
        <f>IFERROR(VLOOKUP($B53,RD[#All],BR$2,0)/BR$1,"")</f>
        <v/>
      </c>
      <c r="BS53" s="67" t="str">
        <f>IFERROR(VLOOKUP($B53,RD[#All],BS$2,0)/BS$1,"")</f>
        <v/>
      </c>
      <c r="BT53" s="67" t="str">
        <f>IFERROR(VLOOKUP($B53,RD[#All],BT$2,0)/BT$1,"")</f>
        <v/>
      </c>
      <c r="BU53" s="67" t="str">
        <f>IFERROR(VLOOKUP($B53,RD[#All],BU$2,0)/BU$1,"")</f>
        <v/>
      </c>
      <c r="BV53" s="67" t="str">
        <f>IFERROR(VLOOKUP($B53,RD[#All],BV$2,0)/BV$1,"")</f>
        <v/>
      </c>
      <c r="BW53" s="67" t="str">
        <f>IFERROR(VLOOKUP($B53,RD[#All],BW$2,0)/BW$1,"")</f>
        <v/>
      </c>
      <c r="BX53" s="67" t="str">
        <f>IFERROR(VLOOKUP($B53,RD[#All],BX$2,0)/BX$1,"")</f>
        <v/>
      </c>
      <c r="BY53" s="67" t="str">
        <f>IFERROR(VLOOKUP($B53,RD[#All],BY$2,0)/BY$1,"")</f>
        <v/>
      </c>
      <c r="BZ53" s="67" t="str">
        <f>IFERROR(VLOOKUP($B53,RD[#All],BZ$2,0)/BZ$1,"")</f>
        <v/>
      </c>
      <c r="CA53" s="67" t="str">
        <f>IFERROR(VLOOKUP($B53,RD[#All],CA$2,0)/CA$1,"")</f>
        <v/>
      </c>
      <c r="CB53" s="67" t="str">
        <f>IFERROR(VLOOKUP($B53,RD[#All],CB$2,0)/CB$1,"")</f>
        <v/>
      </c>
      <c r="CC53" s="67" t="str">
        <f>IFERROR(VLOOKUP($B53,RD[#All],CC$2,0)/CC$1,"")</f>
        <v/>
      </c>
      <c r="CD53" s="67" t="str">
        <f>IFERROR(VLOOKUP($B53,RD[#All],CD$2,0)/CD$1,"")</f>
        <v/>
      </c>
      <c r="CE53" s="67" t="str">
        <f>IFERROR(VLOOKUP($B53,RD[#All],CE$2,0)/CE$1,"")</f>
        <v/>
      </c>
      <c r="CF53" s="67" t="str">
        <f>IFERROR(VLOOKUP($B53,RD[#All],CF$2,0)/CF$1,"")</f>
        <v/>
      </c>
      <c r="CG53" s="67" t="str">
        <f>IFERROR(VLOOKUP($B53,RD[#All],CG$2,0)/CG$1,"")</f>
        <v/>
      </c>
      <c r="CH53" s="67" t="str">
        <f>IFERROR(VLOOKUP($B53,RD[#All],CH$2,0)/CH$1,"")</f>
        <v/>
      </c>
      <c r="CI53" s="67" t="str">
        <f>IFERROR(VLOOKUP($B53,RD[#All],CI$2,0)/CI$1,"")</f>
        <v/>
      </c>
      <c r="CJ53" s="67" t="str">
        <f>IFERROR(VLOOKUP($B53,RD[#All],CJ$2,0)/CJ$1,"")</f>
        <v/>
      </c>
      <c r="CK53" s="67" t="str">
        <f>IFERROR(VLOOKUP($B53,RD[#All],CK$2,0)/CK$1,"")</f>
        <v/>
      </c>
      <c r="CL53" s="67" t="str">
        <f>IFERROR(VLOOKUP($B53,RD[#All],CL$2,0)/CL$1,"")</f>
        <v/>
      </c>
      <c r="CM53" s="67" t="str">
        <f>IFERROR(VLOOKUP($B53,RD[#All],CM$2,0)/CM$1,"")</f>
        <v/>
      </c>
      <c r="CN53" s="67" t="str">
        <f>IFERROR(VLOOKUP($B53,RD[#All],CN$2,0)/CN$1,"")</f>
        <v/>
      </c>
      <c r="CO53" s="67" t="str">
        <f>IFERROR(VLOOKUP($B53,RD[#All],CO$2,0)/CO$1,"")</f>
        <v/>
      </c>
      <c r="CP53" s="67" t="str">
        <f>IFERROR(VLOOKUP($B53,RD[#All],CP$2,0)/CP$1,"")</f>
        <v/>
      </c>
      <c r="CQ53" s="67" t="str">
        <f>IFERROR(VLOOKUP($B53,RD[#All],CQ$2,0)/CQ$1,"")</f>
        <v/>
      </c>
      <c r="CR53" s="67" t="str">
        <f>IFERROR(VLOOKUP($B53,RD[#All],CR$2,0)/CR$1,"")</f>
        <v/>
      </c>
      <c r="CS53" s="67" t="str">
        <f>IFERROR(VLOOKUP($B53,RD[#All],CS$2,0)/CS$1,"")</f>
        <v/>
      </c>
      <c r="CT53" s="67" t="str">
        <f>IFERROR(VLOOKUP($B53,RD[#All],CT$2,0)/CT$1,"")</f>
        <v/>
      </c>
      <c r="CU53" s="67" t="str">
        <f>IFERROR(VLOOKUP($B53,RD[#All],CU$2,0)/CU$1,"")</f>
        <v/>
      </c>
      <c r="CV53" s="67" t="str">
        <f>IFERROR(VLOOKUP($B53,RD[#All],CV$2,0)/CV$1,"")</f>
        <v/>
      </c>
      <c r="CW53" s="67" t="str">
        <f>IFERROR(VLOOKUP($B53,RD[#All],CW$2,0)/CW$1,"")</f>
        <v/>
      </c>
      <c r="CX53" s="67" t="str">
        <f>IFERROR(VLOOKUP($B53,RD[#All],CX$2,0)/CX$1,"")</f>
        <v/>
      </c>
      <c r="CY53" s="67" t="str">
        <f>IFERROR(VLOOKUP($B53,RD[#All],CY$2,0)/CY$1,"")</f>
        <v/>
      </c>
      <c r="CZ53" s="67" t="str">
        <f>IFERROR(VLOOKUP($B53,RD[#All],CZ$2,0)/CZ$1,"")</f>
        <v/>
      </c>
      <c r="DA53" s="67" t="str">
        <f>IFERROR(VLOOKUP($B53,RD[#All],DA$2,0)/DA$1,"")</f>
        <v/>
      </c>
      <c r="DB53" s="67" t="str">
        <f>IFERROR(VLOOKUP($B53,RD[#All],DB$2,0)/DB$1,"")</f>
        <v/>
      </c>
      <c r="DC53" s="67" t="str">
        <f>IFERROR(VLOOKUP($B53,RD[#All],DC$2,0)/DC$1,"")</f>
        <v/>
      </c>
      <c r="DD53" s="67" t="str">
        <f>IFERROR(VLOOKUP($B53,RD[#All],DD$2,0)/DD$1,"")</f>
        <v/>
      </c>
      <c r="DE53" s="67" t="str">
        <f>IFERROR(VLOOKUP($B53,RD[#All],DE$2,0)/DE$1,"")</f>
        <v/>
      </c>
      <c r="DF53" s="67" t="str">
        <f>IFERROR(VLOOKUP($B53,RD[#All],DF$2,0)/DF$1,"")</f>
        <v/>
      </c>
      <c r="DG53" s="67" t="str">
        <f>IFERROR(VLOOKUP($B53,RD[#All],DG$2,0)/DG$1,"")</f>
        <v/>
      </c>
      <c r="DH53" s="67" t="str">
        <f>IFERROR(VLOOKUP($B53,RD[#All],DH$2,0)/DH$1,"")</f>
        <v/>
      </c>
      <c r="DI53" s="67" t="str">
        <f>IFERROR(VLOOKUP($B53,RD[#All],DI$2,0)/DI$1,"")</f>
        <v/>
      </c>
      <c r="DJ53" s="67" t="str">
        <f>IFERROR(VLOOKUP($B53,RD[#All],DJ$2,0)/DJ$1,"")</f>
        <v/>
      </c>
      <c r="DK53" s="67" t="str">
        <f>IFERROR(VLOOKUP($B53,RD[#All],DK$2,0)/DK$1,"")</f>
        <v/>
      </c>
      <c r="DL53" s="67" t="str">
        <f>IFERROR(VLOOKUP($B53,RD[#All],DL$2,0)/DL$1,"")</f>
        <v/>
      </c>
      <c r="DM53" s="67" t="str">
        <f>IFERROR(VLOOKUP($B53,RD[#All],DM$2,0)/DM$1,"")</f>
        <v/>
      </c>
      <c r="DN53" s="67" t="str">
        <f>IFERROR(VLOOKUP($B53,RD[#All],DN$2,0)/DN$1,"")</f>
        <v/>
      </c>
      <c r="DO53" s="67" t="str">
        <f>IFERROR(VLOOKUP($B53,RD[#All],DO$2,0)/DO$1,"")</f>
        <v/>
      </c>
      <c r="DP53" s="67" t="str">
        <f>IFERROR(VLOOKUP($B53,RD[#All],DP$2,0)/DP$1,"")</f>
        <v/>
      </c>
      <c r="DQ53" s="67" t="str">
        <f>IFERROR(VLOOKUP($B53,RD[#All],DQ$2,0)/DQ$1,"")</f>
        <v/>
      </c>
      <c r="DR53" s="67" t="str">
        <f>IFERROR(VLOOKUP($B53,RD[#All],DR$2,0)/DR$1,"")</f>
        <v/>
      </c>
      <c r="DS53" s="67" t="str">
        <f>IFERROR(VLOOKUP($B53,RD[#All],DS$2,0)/DS$1,"")</f>
        <v/>
      </c>
      <c r="DT53" s="67" t="str">
        <f>IFERROR(VLOOKUP($B53,RD[#All],DT$2,0)/DT$1,"")</f>
        <v/>
      </c>
      <c r="DU53" s="67" t="str">
        <f>IFERROR(VLOOKUP($B53,RD[#All],DU$2,0)/DU$1,"")</f>
        <v/>
      </c>
      <c r="DV53" s="67" t="str">
        <f>IFERROR(VLOOKUP($B53,RD[#All],DV$2,0)/DV$1,"")</f>
        <v/>
      </c>
      <c r="DW53" s="67" t="str">
        <f>IFERROR(VLOOKUP($B53,RD[#All],DW$2,0)/DW$1,"")</f>
        <v/>
      </c>
      <c r="DX53" s="67" t="str">
        <f>IFERROR(VLOOKUP($B53,RD[#All],DX$2,0)/DX$1,"")</f>
        <v/>
      </c>
      <c r="DY53" s="67" t="str">
        <f>IFERROR(VLOOKUP($B53,RD[#All],DY$2,0)/DY$1,"")</f>
        <v/>
      </c>
      <c r="DZ53" s="67" t="str">
        <f>IFERROR(VLOOKUP($B53,RD[#All],DZ$2,0)/DZ$1,"")</f>
        <v/>
      </c>
      <c r="EA53" s="67" t="str">
        <f>IFERROR(VLOOKUP($B53,RD[#All],EA$2,0)/EA$1,"")</f>
        <v/>
      </c>
      <c r="EB53" s="67" t="str">
        <f>IFERROR(VLOOKUP($B53,RD[#All],EB$2,0)/EB$1,"")</f>
        <v/>
      </c>
      <c r="EC53" s="67" t="str">
        <f>IFERROR(VLOOKUP($B53,RD[#All],EC$2,0)/EC$1,"")</f>
        <v/>
      </c>
      <c r="ED53" s="67" t="str">
        <f>IFERROR(VLOOKUP($B53,RD[#All],ED$2,0)/ED$1,"")</f>
        <v/>
      </c>
      <c r="EE53" s="67" t="str">
        <f>IFERROR(VLOOKUP($B53,RD[#All],EE$2,0)/EE$1,"")</f>
        <v/>
      </c>
      <c r="EF53" s="67" t="str">
        <f>IFERROR(VLOOKUP($B53,RD[#All],EF$2,0)/EF$1,"")</f>
        <v/>
      </c>
      <c r="EG53" s="67" t="str">
        <f>IFERROR(VLOOKUP($B53,RD[#All],EG$2,0)/EG$1,"")</f>
        <v/>
      </c>
      <c r="EH53" s="67" t="str">
        <f>IFERROR(VLOOKUP($B53,RD[#All],EH$2,0)/EH$1,"")</f>
        <v/>
      </c>
      <c r="EI53" s="67" t="str">
        <f>IFERROR(VLOOKUP($B53,RD[#All],EI$2,0)/EI$1,"")</f>
        <v/>
      </c>
      <c r="EJ53" s="67" t="str">
        <f>IFERROR(VLOOKUP($B53,RD[#All],EJ$2,0)/EJ$1,"")</f>
        <v/>
      </c>
      <c r="EK53" s="67" t="str">
        <f>IFERROR(VLOOKUP($B53,RD[#All],EK$2,0)/EK$1,"")</f>
        <v/>
      </c>
      <c r="EL53" s="67" t="str">
        <f>IFERROR(VLOOKUP($B53,RD[#All],EL$2,0)/EL$1,"")</f>
        <v/>
      </c>
      <c r="EM53" s="67" t="str">
        <f>IFERROR(VLOOKUP($B53,RD[#All],EM$2,0)/EM$1,"")</f>
        <v/>
      </c>
      <c r="EN53" s="67" t="str">
        <f>IFERROR(VLOOKUP($B53,RD[#All],EN$2,0)/EN$1,"")</f>
        <v/>
      </c>
      <c r="EO53" s="67" t="str">
        <f>IFERROR(VLOOKUP($B53,RD[#All],EO$2,0)/EO$1,"")</f>
        <v/>
      </c>
      <c r="EP53" s="67" t="str">
        <f>IFERROR(VLOOKUP($B53,RD[#All],EP$2,0)/EP$1,"")</f>
        <v/>
      </c>
      <c r="EQ53" s="67" t="str">
        <f>IFERROR(VLOOKUP($B53,RD[#All],EQ$2,0)/EQ$1,"")</f>
        <v/>
      </c>
      <c r="ER53" s="67" t="str">
        <f>IFERROR(VLOOKUP($B53,RD[#All],ER$2,0)/ER$1,"")</f>
        <v/>
      </c>
      <c r="ES53" s="67" t="str">
        <f>IFERROR(VLOOKUP($B53,RD[#All],ES$2,0)/ES$1,"")</f>
        <v/>
      </c>
      <c r="ET53" s="67" t="str">
        <f>IFERROR(VLOOKUP($B53,RD[#All],ET$2,0)/ET$1,"")</f>
        <v/>
      </c>
      <c r="EU53" s="67" t="str">
        <f>IFERROR(VLOOKUP($B53,RD[#All],EU$2,0)/EU$1,"")</f>
        <v/>
      </c>
      <c r="EV53" s="67" t="str">
        <f>IFERROR(VLOOKUP($B53,RD[#All],EV$2,0)/EV$1,"")</f>
        <v/>
      </c>
      <c r="EW53" s="67" t="str">
        <f>IFERROR(VLOOKUP($B53,RD[#All],EW$2,0)/EW$1,"")</f>
        <v/>
      </c>
      <c r="EX53" s="67" t="str">
        <f>IFERROR(VLOOKUP($B53,RD[#All],EX$2,0)/EX$1,"")</f>
        <v/>
      </c>
      <c r="EY53" s="67" t="str">
        <f>IFERROR(VLOOKUP($B53,RD[#All],EY$2,0)/EY$1,"")</f>
        <v/>
      </c>
      <c r="EZ53" s="67" t="str">
        <f>IFERROR(VLOOKUP($B53,RD[#All],EZ$2,0)/EZ$1,"")</f>
        <v/>
      </c>
      <c r="FA53" s="67" t="str">
        <f>IFERROR(VLOOKUP($B53,RD[#All],FA$2,0)/FA$1,"")</f>
        <v/>
      </c>
      <c r="FB53" s="67" t="str">
        <f>IFERROR(VLOOKUP($B53,RD[#All],FB$2,0)/FB$1,"")</f>
        <v/>
      </c>
      <c r="FC53" s="67" t="str">
        <f>IFERROR(VLOOKUP($B53,RD[#All],FC$2,0)/FC$1,"")</f>
        <v/>
      </c>
      <c r="FD53" s="67" t="str">
        <f>IFERROR(VLOOKUP($B53,RD[#All],FD$2,0)/FD$1,"")</f>
        <v/>
      </c>
      <c r="FE53" s="67" t="str">
        <f>IFERROR(VLOOKUP($B53,RD[#All],FE$2,0)/FE$1,"")</f>
        <v/>
      </c>
      <c r="FF53" s="67" t="str">
        <f>IFERROR(VLOOKUP($B53,RD[#All],FF$2,0)/FF$1,"")</f>
        <v/>
      </c>
      <c r="FG53" s="67" t="str">
        <f>IFERROR(VLOOKUP($B53,RD[#All],FG$2,0)/FG$1,"")</f>
        <v/>
      </c>
      <c r="FH53" s="67" t="str">
        <f>IFERROR(VLOOKUP($B53,RD[#All],FH$2,0)/FH$1,"")</f>
        <v/>
      </c>
      <c r="FI53" s="67" t="str">
        <f>IFERROR(VLOOKUP($B53,RD[#All],FI$2,0)/FI$1,"")</f>
        <v/>
      </c>
      <c r="FJ53" s="67" t="str">
        <f>IFERROR(VLOOKUP($B53,RD[#All],FJ$2,0)/FJ$1,"")</f>
        <v/>
      </c>
      <c r="FK53" s="67" t="str">
        <f>IFERROR(VLOOKUP($B53,RD[#All],FK$2,0)/FK$1,"")</f>
        <v/>
      </c>
      <c r="FL53" s="67" t="str">
        <f>IFERROR(VLOOKUP($B53,RD[#All],FL$2,0)/FL$1,"")</f>
        <v/>
      </c>
      <c r="FM53" s="67" t="str">
        <f>IFERROR(VLOOKUP($B53,RD[#All],FM$2,0)/FM$1,"")</f>
        <v/>
      </c>
      <c r="FN53" s="67" t="str">
        <f>IFERROR(VLOOKUP($B53,RD[#All],FN$2,0)/FN$1,"")</f>
        <v/>
      </c>
      <c r="FO53" s="67" t="str">
        <f>IFERROR(VLOOKUP($B53,RD[#All],FO$2,0)/FO$1,"")</f>
        <v/>
      </c>
      <c r="FP53" s="67" t="str">
        <f>IFERROR(VLOOKUP($B53,RD[#All],FP$2,0)/FP$1,"")</f>
        <v/>
      </c>
      <c r="FQ53" s="67" t="str">
        <f>IFERROR(VLOOKUP($B53,RD[#All],FQ$2,0)/FQ$1,"")</f>
        <v/>
      </c>
      <c r="FR53" s="67" t="str">
        <f>IFERROR(VLOOKUP($B53,RD[#All],FR$2,0)/FR$1,"")</f>
        <v/>
      </c>
      <c r="FS53" s="67" t="str">
        <f>IFERROR(VLOOKUP($B53,RD[#All],FS$2,0)/FS$1,"")</f>
        <v/>
      </c>
      <c r="FT53" s="67" t="str">
        <f>IFERROR(VLOOKUP($B53,RD[#All],FT$2,0)/FT$1,"")</f>
        <v/>
      </c>
      <c r="FU53" s="67" t="str">
        <f>IFERROR(VLOOKUP($B53,RD[#All],FU$2,0)/FU$1,"")</f>
        <v/>
      </c>
      <c r="FV53" s="67" t="str">
        <f>IFERROR(VLOOKUP($B53,RD[#All],FV$2,0)/FV$1,"")</f>
        <v/>
      </c>
      <c r="FW53" s="67" t="str">
        <f>IFERROR(VLOOKUP($B53,RD[#All],FW$2,0)/FW$1,"")</f>
        <v/>
      </c>
      <c r="FX53" s="67" t="str">
        <f>IFERROR(VLOOKUP($B53,RD[#All],FX$2,0)/FX$1,"")</f>
        <v/>
      </c>
      <c r="FY53" s="67" t="str">
        <f>IFERROR(VLOOKUP($B53,RD[#All],FY$2,0)/FY$1,"")</f>
        <v/>
      </c>
      <c r="FZ53" s="67" t="str">
        <f>IFERROR(VLOOKUP($B53,RD[#All],FZ$2,0)/FZ$1,"")</f>
        <v/>
      </c>
      <c r="GA53" s="67" t="str">
        <f>IFERROR(VLOOKUP($B53,RD[#All],GA$2,0)/GA$1,"")</f>
        <v/>
      </c>
      <c r="GB53" s="67" t="str">
        <f>IFERROR(VLOOKUP($B53,RD[#All],GB$2,0)/GB$1,"")</f>
        <v/>
      </c>
      <c r="GC53" s="67" t="str">
        <f>IFERROR(VLOOKUP($B53,RD[#All],GC$2,0)/GC$1,"")</f>
        <v/>
      </c>
      <c r="GD53" s="67" t="str">
        <f>IFERROR(VLOOKUP($B53,RD[#All],GD$2,0)/GD$1,"")</f>
        <v/>
      </c>
      <c r="GE53" s="67" t="str">
        <f>IFERROR(VLOOKUP($B53,RD[#All],GE$2,0)/GE$1,"")</f>
        <v/>
      </c>
      <c r="GF53" s="67" t="str">
        <f>IFERROR(VLOOKUP($B53,RD[#All],GF$2,0)/GF$1,"")</f>
        <v/>
      </c>
      <c r="GG53" s="67" t="str">
        <f>IFERROR(VLOOKUP($B53,RD[#All],GG$2,0)/GG$1,"")</f>
        <v/>
      </c>
      <c r="GH53" s="67" t="str">
        <f>IFERROR(VLOOKUP($B53,RD[#All],GH$2,0)/GH$1,"")</f>
        <v/>
      </c>
      <c r="GI53" s="67" t="str">
        <f>IFERROR(VLOOKUP($B53,RD[#All],GI$2,0)/GI$1,"")</f>
        <v/>
      </c>
      <c r="GJ53" s="67" t="str">
        <f>IFERROR(VLOOKUP($B53,RD[#All],GJ$2,0)/GJ$1,"")</f>
        <v/>
      </c>
      <c r="GK53" s="67" t="str">
        <f>IFERROR(VLOOKUP($B53,RD[#All],GK$2,0)/GK$1,"")</f>
        <v/>
      </c>
      <c r="GL53" s="67" t="str">
        <f>IFERROR(VLOOKUP($B53,RD[#All],GL$2,0)/GL$1,"")</f>
        <v/>
      </c>
      <c r="GM53" s="67" t="str">
        <f>IFERROR(VLOOKUP($B53,RD[#All],GM$2,0)/GM$1,"")</f>
        <v/>
      </c>
      <c r="GN53" s="67" t="str">
        <f>IFERROR(VLOOKUP($B53,RD[#All],GN$2,0)/GN$1,"")</f>
        <v/>
      </c>
      <c r="GO53" s="67" t="str">
        <f>IFERROR(VLOOKUP($B53,RD[#All],GO$2,0)/GO$1,"")</f>
        <v/>
      </c>
      <c r="GP53" s="67" t="str">
        <f>IFERROR(VLOOKUP($B53,RD[#All],GP$2,0)/GP$1,"")</f>
        <v/>
      </c>
      <c r="GQ53" s="67" t="str">
        <f>IFERROR(VLOOKUP($B53,RD[#All],GQ$2,0)/GQ$1,"")</f>
        <v/>
      </c>
      <c r="GR53" s="67" t="str">
        <f>IFERROR(VLOOKUP($B53,RD[#All],GR$2,0)/GR$1,"")</f>
        <v/>
      </c>
      <c r="GS53" s="67" t="str">
        <f>IFERROR(VLOOKUP($B53,RD[#All],GS$2,0)/GS$1,"")</f>
        <v/>
      </c>
      <c r="GT53" s="67" t="str">
        <f>IFERROR(VLOOKUP($B53,RD[#All],GT$2,0)/GT$1,"")</f>
        <v/>
      </c>
      <c r="GU53" s="67" t="str">
        <f>IFERROR(VLOOKUP($B53,RD[#All],GU$2,0)/GU$1,"")</f>
        <v/>
      </c>
      <c r="GV53" s="67" t="str">
        <f>IFERROR(VLOOKUP($B53,RD[#All],GV$2,0)/GV$1,"")</f>
        <v/>
      </c>
      <c r="GW53" s="67" t="str">
        <f>IFERROR(VLOOKUP($B53,RD[#All],GW$2,0)/GW$1,"")</f>
        <v/>
      </c>
      <c r="GX53" s="67" t="str">
        <f>IFERROR(VLOOKUP($B53,RD[#All],GX$2,0)/GX$1,"")</f>
        <v/>
      </c>
      <c r="GY53" s="67" t="str">
        <f>IFERROR(VLOOKUP($B53,RD[#All],GY$2,0)/GY$1,"")</f>
        <v/>
      </c>
      <c r="GZ53" s="67" t="str">
        <f>IFERROR(VLOOKUP($B53,RD[#All],GZ$2,0)/GZ$1,"")</f>
        <v/>
      </c>
      <c r="HA53" s="67" t="str">
        <f>IFERROR(VLOOKUP($B53,RD[#All],HA$2,0)/HA$1,"")</f>
        <v/>
      </c>
      <c r="HB53" s="67" t="str">
        <f>IFERROR(VLOOKUP($B53,RD[#All],HB$2,0)/HB$1,"")</f>
        <v/>
      </c>
      <c r="HC53" s="67" t="str">
        <f>IFERROR(VLOOKUP($B53,RD[#All],HC$2,0)/HC$1,"")</f>
        <v/>
      </c>
      <c r="HD53" s="67" t="str">
        <f>IFERROR(VLOOKUP($B53,RD[#All],HD$2,0)/HD$1,"")</f>
        <v/>
      </c>
      <c r="HE53" s="67" t="str">
        <f>IFERROR(VLOOKUP($B53,RD[#All],HE$2,0)/HE$1,"")</f>
        <v/>
      </c>
      <c r="HF53" s="67" t="str">
        <f>IFERROR(VLOOKUP($B53,RD[#All],HF$2,0)/HF$1,"")</f>
        <v/>
      </c>
      <c r="HG53" s="67" t="str">
        <f>IFERROR(VLOOKUP($B53,RD[#All],HG$2,0)/HG$1,"")</f>
        <v/>
      </c>
      <c r="HH53" s="67" t="str">
        <f>IFERROR(VLOOKUP($B53,RD[#All],HH$2,0)/HH$1,"")</f>
        <v/>
      </c>
      <c r="HI53" s="67" t="str">
        <f>IFERROR(VLOOKUP($B53,RD[#All],HI$2,0)/HI$1,"")</f>
        <v/>
      </c>
      <c r="HJ53" s="67" t="str">
        <f>IFERROR(VLOOKUP($B53,RD[#All],HJ$2,0)/HJ$1,"")</f>
        <v/>
      </c>
      <c r="HK53" s="67" t="str">
        <f>IFERROR(VLOOKUP($B53,RD[#All],HK$2,0)/HK$1,"")</f>
        <v/>
      </c>
      <c r="HL53" s="67" t="str">
        <f>IFERROR(VLOOKUP($B53,RD[#All],HL$2,0)/HL$1,"")</f>
        <v/>
      </c>
      <c r="HM53" s="67" t="str">
        <f>IFERROR(VLOOKUP($B53,RD[#All],HM$2,0)/HM$1,"")</f>
        <v/>
      </c>
      <c r="HN53" s="67" t="str">
        <f>IFERROR(VLOOKUP($B53,RD[#All],HN$2,0)/HN$1,"")</f>
        <v/>
      </c>
      <c r="HO53" s="67" t="str">
        <f>IFERROR(VLOOKUP($B53,RD[#All],HO$2,0)/HO$1,"")</f>
        <v/>
      </c>
      <c r="HP53" s="67" t="str">
        <f>IFERROR(VLOOKUP($B53,RD[#All],HP$2,0)/HP$1,"")</f>
        <v/>
      </c>
      <c r="HQ53" s="67" t="str">
        <f>IFERROR(VLOOKUP($B53,RD[#All],HQ$2,0)/HQ$1,"")</f>
        <v/>
      </c>
      <c r="HR53" s="67" t="str">
        <f>IFERROR(VLOOKUP($B53,RD[#All],HR$2,0)/HR$1,"")</f>
        <v/>
      </c>
      <c r="HS53" s="67" t="str">
        <f>IFERROR(VLOOKUP($B53,RD[#All],HS$2,0)/HS$1,"")</f>
        <v/>
      </c>
      <c r="HT53" s="67" t="str">
        <f>IFERROR(VLOOKUP($B53,RD[#All],HT$2,0)/HT$1,"")</f>
        <v/>
      </c>
      <c r="HU53" s="67" t="str">
        <f>IFERROR(VLOOKUP($B53,RD[#All],HU$2,0)/HU$1,"")</f>
        <v/>
      </c>
      <c r="HV53" s="67" t="str">
        <f>IFERROR(VLOOKUP($B53,RD[#All],HV$2,0)/HV$1,"")</f>
        <v/>
      </c>
      <c r="HW53" s="67" t="str">
        <f>IFERROR(VLOOKUP($B53,RD[#All],HW$2,0)/HW$1,"")</f>
        <v/>
      </c>
      <c r="HX53" s="67" t="str">
        <f>IFERROR(VLOOKUP($B53,RD[#All],HX$2,0)/HX$1,"")</f>
        <v/>
      </c>
      <c r="HY53" s="67" t="str">
        <f>IFERROR(VLOOKUP($B53,RD[#All],HY$2,0)/HY$1,"")</f>
        <v/>
      </c>
      <c r="HZ53" s="67" t="str">
        <f>IFERROR(VLOOKUP($B53,RD[#All],HZ$2,0)/HZ$1,"")</f>
        <v/>
      </c>
      <c r="IA53" s="67" t="str">
        <f>IFERROR(VLOOKUP($B53,RD[#All],IA$2,0)/IA$1,"")</f>
        <v/>
      </c>
      <c r="IB53" s="67" t="str">
        <f>IFERROR(VLOOKUP($B53,RD[#All],IB$2,0)/IB$1,"")</f>
        <v/>
      </c>
      <c r="IC53" s="67" t="str">
        <f>IFERROR(VLOOKUP($B53,RD[#All],IC$2,0)/IC$1,"")</f>
        <v/>
      </c>
      <c r="ID53" s="67" t="str">
        <f>IFERROR(VLOOKUP($B53,RD[#All],ID$2,0)/ID$1,"")</f>
        <v/>
      </c>
      <c r="IE53" s="67" t="str">
        <f>IFERROR(VLOOKUP($B53,RD[#All],IE$2,0)/IE$1,"")</f>
        <v/>
      </c>
      <c r="IF53" s="67" t="str">
        <f>IFERROR(VLOOKUP($B53,RD[#All],IF$2,0)/IF$1,"")</f>
        <v/>
      </c>
      <c r="IG53" s="67" t="str">
        <f>IFERROR(VLOOKUP($B53,RD[#All],IG$2,0)/IG$1,"")</f>
        <v/>
      </c>
      <c r="IH53" s="67" t="str">
        <f>IFERROR(VLOOKUP($B53,RD[#All],IH$2,0)/IH$1,"")</f>
        <v/>
      </c>
      <c r="II53" s="67" t="str">
        <f>IFERROR(VLOOKUP($B53,RD[#All],II$2,0)/II$1,"")</f>
        <v/>
      </c>
      <c r="IJ53" s="67" t="str">
        <f>IFERROR(VLOOKUP($B53,RD[#All],IJ$2,0)/IJ$1,"")</f>
        <v/>
      </c>
      <c r="IK53" s="67" t="str">
        <f>IFERROR(VLOOKUP($B53,RD[#All],IK$2,0)/IK$1,"")</f>
        <v/>
      </c>
      <c r="IL53" s="67" t="str">
        <f>IFERROR(VLOOKUP($B53,RD[#All],IL$2,0)/IL$1,"")</f>
        <v/>
      </c>
      <c r="IM53" s="67" t="str">
        <f>IFERROR(VLOOKUP($B53,RD[#All],IM$2,0)/IM$1,"")</f>
        <v/>
      </c>
      <c r="IN53" s="67" t="str">
        <f>IFERROR(VLOOKUP($B53,RD[#All],IN$2,0)/IN$1,"")</f>
        <v/>
      </c>
      <c r="IO53" s="67" t="str">
        <f>IFERROR(VLOOKUP($B53,RD[#All],IO$2,0)/IO$1,"")</f>
        <v/>
      </c>
      <c r="IP53" s="67" t="str">
        <f>IFERROR(VLOOKUP($B53,RD[#All],IP$2,0)/IP$1,"")</f>
        <v/>
      </c>
      <c r="IQ53" s="67" t="str">
        <f>IFERROR(VLOOKUP($B53,RD[#All],IQ$2,0)/IQ$1,"")</f>
        <v/>
      </c>
      <c r="IR53" s="67" t="str">
        <f>IFERROR(VLOOKUP($B53,RD[#All],IR$2,0)/IR$1,"")</f>
        <v/>
      </c>
      <c r="IS53" s="86" t="str">
        <f>IFERROR(AVERAGEIF(Inv_SY_B[[#This Row],[BLK1_INV1]:[BLK8_INV27]],"&gt;"&amp;0.1,Inv_SY_B[[#This Row],[BLK1_INV1]:[BLK8_INV27]]),"")</f>
        <v/>
      </c>
    </row>
    <row r="54" spans="2:253" x14ac:dyDescent="0.25">
      <c r="B54" s="84"/>
    </row>
  </sheetData>
  <phoneticPr fontId="5" type="noConversion"/>
  <pageMargins left="0.7" right="0.7" top="0.75" bottom="0.75" header="0.3" footer="0.3"/>
  <pageSetup paperSize="9" orientation="portrait" r:id="rId1"/>
  <ignoredErrors>
    <ignoredError sqref="D4 B4" calculatedColumn="1"/>
  </ignoredErrors>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IS62"/>
  <sheetViews>
    <sheetView showGridLines="0" zoomScale="80" zoomScaleNormal="80" workbookViewId="0">
      <pane xSplit="2" ySplit="3" topLeftCell="II14" activePane="bottomRight" state="frozen"/>
      <selection pane="topRight" activeCell="C3" sqref="C3"/>
      <selection pane="bottomLeft" activeCell="A4" sqref="A4"/>
      <selection pane="bottomRight" activeCell="HZ35" sqref="HZ35"/>
    </sheetView>
  </sheetViews>
  <sheetFormatPr defaultColWidth="8.85546875" defaultRowHeight="15" customHeight="1" x14ac:dyDescent="0.25"/>
  <cols>
    <col min="1" max="1" width="1.140625" customWidth="1"/>
    <col min="2" max="2" width="15.7109375" customWidth="1"/>
    <col min="3" max="3" width="13.7109375" bestFit="1" customWidth="1"/>
    <col min="4" max="5" width="16.7109375" bestFit="1" customWidth="1"/>
    <col min="6" max="8" width="18.140625" bestFit="1" customWidth="1"/>
    <col min="9" max="9" width="16.7109375" bestFit="1" customWidth="1"/>
    <col min="10" max="10" width="18.140625" bestFit="1" customWidth="1"/>
    <col min="11" max="11" width="16.7109375" bestFit="1" customWidth="1"/>
    <col min="12" max="12" width="19.140625" bestFit="1" customWidth="1"/>
    <col min="13" max="13" width="18.7109375" bestFit="1" customWidth="1"/>
    <col min="14" max="14" width="17.5703125" bestFit="1" customWidth="1"/>
    <col min="15" max="15" width="19.140625" bestFit="1" customWidth="1"/>
    <col min="16" max="16" width="17.5703125" bestFit="1" customWidth="1"/>
    <col min="17" max="17" width="14.5703125" bestFit="1" customWidth="1"/>
    <col min="18" max="18" width="17.5703125" bestFit="1" customWidth="1"/>
    <col min="19" max="19" width="19.140625" bestFit="1" customWidth="1"/>
    <col min="20" max="20" width="14.5703125" bestFit="1" customWidth="1"/>
    <col min="21" max="21" width="17.5703125" bestFit="1" customWidth="1"/>
    <col min="22" max="22" width="14.5703125" bestFit="1" customWidth="1"/>
    <col min="23" max="23" width="19.140625" bestFit="1" customWidth="1"/>
    <col min="24" max="24" width="14.5703125" bestFit="1" customWidth="1"/>
    <col min="25" max="25" width="19.42578125" bestFit="1" customWidth="1"/>
    <col min="26" max="27" width="17.85546875" bestFit="1" customWidth="1"/>
    <col min="28" max="28" width="19.42578125" bestFit="1" customWidth="1"/>
    <col min="29" max="29" width="17.85546875" bestFit="1" customWidth="1"/>
    <col min="30" max="30" width="19.42578125" bestFit="1" customWidth="1"/>
    <col min="31" max="32" width="17.85546875" bestFit="1" customWidth="1"/>
    <col min="33" max="33" width="19.140625" bestFit="1" customWidth="1"/>
    <col min="34" max="34" width="17.85546875" bestFit="1" customWidth="1"/>
    <col min="35" max="35" width="18.140625" bestFit="1" customWidth="1"/>
    <col min="36" max="36" width="17" bestFit="1" customWidth="1"/>
    <col min="37" max="37" width="18.5703125" bestFit="1" customWidth="1"/>
    <col min="38" max="41" width="17" bestFit="1" customWidth="1"/>
    <col min="42" max="42" width="13.7109375" bestFit="1" customWidth="1"/>
    <col min="43" max="43" width="17" bestFit="1" customWidth="1"/>
    <col min="44" max="44" width="19.42578125" bestFit="1" customWidth="1"/>
    <col min="45" max="45" width="17.5703125" bestFit="1" customWidth="1"/>
    <col min="46" max="53" width="17.85546875" bestFit="1" customWidth="1"/>
    <col min="54" max="54" width="18.140625" bestFit="1" customWidth="1"/>
    <col min="55" max="55" width="17.85546875" bestFit="1" customWidth="1"/>
    <col min="56" max="58" width="18.140625" bestFit="1" customWidth="1"/>
    <col min="59" max="59" width="19.85546875" bestFit="1" customWidth="1"/>
    <col min="60" max="64" width="18.140625" bestFit="1" customWidth="1"/>
    <col min="65" max="65" width="19.42578125" bestFit="1" customWidth="1"/>
    <col min="66" max="66" width="19.85546875" bestFit="1" customWidth="1"/>
    <col min="67" max="67" width="16.7109375" bestFit="1" customWidth="1"/>
    <col min="68" max="68" width="13.7109375" bestFit="1" customWidth="1"/>
    <col min="69" max="69" width="17" bestFit="1" customWidth="1"/>
    <col min="70" max="70" width="18.5703125" bestFit="1" customWidth="1"/>
    <col min="71" max="71" width="17" bestFit="1" customWidth="1"/>
    <col min="72" max="72" width="13.7109375" bestFit="1" customWidth="1"/>
    <col min="73" max="75" width="17" bestFit="1" customWidth="1"/>
    <col min="76" max="76" width="14.5703125" bestFit="1" customWidth="1"/>
    <col min="77" max="77" width="17.5703125" bestFit="1" customWidth="1"/>
    <col min="78" max="78" width="19.42578125" bestFit="1" customWidth="1"/>
    <col min="79" max="79" width="17.85546875" bestFit="1" customWidth="1"/>
    <col min="80" max="80" width="14.5703125" bestFit="1" customWidth="1"/>
    <col min="81" max="84" width="17.85546875" bestFit="1" customWidth="1"/>
    <col min="85" max="85" width="19.42578125" bestFit="1" customWidth="1"/>
    <col min="86" max="86" width="18.140625" bestFit="1" customWidth="1"/>
    <col min="87" max="87" width="17.85546875" bestFit="1" customWidth="1"/>
    <col min="88" max="89" width="18.140625" bestFit="1" customWidth="1"/>
    <col min="90" max="90" width="14.5703125" bestFit="1" customWidth="1"/>
    <col min="91" max="94" width="18.140625" bestFit="1" customWidth="1"/>
    <col min="95" max="95" width="19.85546875" bestFit="1" customWidth="1"/>
    <col min="96" max="96" width="18.140625" bestFit="1" customWidth="1"/>
    <col min="97" max="97" width="19.42578125" bestFit="1" customWidth="1"/>
    <col min="98" max="98" width="18.140625" bestFit="1" customWidth="1"/>
    <col min="99" max="99" width="18.5703125" bestFit="1" customWidth="1"/>
    <col min="100" max="103" width="17" bestFit="1" customWidth="1"/>
    <col min="104" max="104" width="13.7109375" bestFit="1" customWidth="1"/>
    <col min="105" max="106" width="17" bestFit="1" customWidth="1"/>
    <col min="107" max="107" width="17.85546875" bestFit="1" customWidth="1"/>
    <col min="108" max="108" width="17.5703125" bestFit="1" customWidth="1"/>
    <col min="109" max="116" width="17.85546875" bestFit="1" customWidth="1"/>
    <col min="117" max="117" width="18.140625" bestFit="1" customWidth="1"/>
    <col min="118" max="118" width="19.42578125" bestFit="1" customWidth="1"/>
    <col min="119" max="120" width="18.140625" bestFit="1" customWidth="1"/>
    <col min="121" max="121" width="14.5703125" bestFit="1" customWidth="1"/>
    <col min="122" max="123" width="18.140625" bestFit="1" customWidth="1"/>
    <col min="124" max="124" width="19.85546875" bestFit="1" customWidth="1"/>
    <col min="125" max="126" width="18.140625" bestFit="1" customWidth="1"/>
    <col min="127" max="127" width="14.5703125" bestFit="1" customWidth="1"/>
    <col min="128" max="128" width="17.85546875" bestFit="1" customWidth="1"/>
    <col min="129" max="129" width="18.140625" bestFit="1" customWidth="1"/>
    <col min="130" max="132" width="17" bestFit="1" customWidth="1"/>
    <col min="133" max="135" width="18.5703125" bestFit="1" customWidth="1"/>
    <col min="136" max="137" width="17" bestFit="1" customWidth="1"/>
    <col min="138" max="138" width="17.85546875" bestFit="1" customWidth="1"/>
    <col min="139" max="139" width="17.5703125" bestFit="1" customWidth="1"/>
    <col min="140" max="140" width="19.42578125" bestFit="1" customWidth="1"/>
    <col min="141" max="141" width="17.85546875" bestFit="1" customWidth="1"/>
    <col min="142" max="145" width="19.42578125" bestFit="1" customWidth="1"/>
    <col min="146" max="146" width="17.85546875" bestFit="1" customWidth="1"/>
    <col min="147" max="147" width="19.42578125" bestFit="1" customWidth="1"/>
    <col min="148" max="148" width="18.140625" bestFit="1" customWidth="1"/>
    <col min="149" max="149" width="14.5703125" bestFit="1" customWidth="1"/>
    <col min="150" max="151" width="18.140625" bestFit="1" customWidth="1"/>
    <col min="152" max="152" width="14.5703125" bestFit="1" customWidth="1"/>
    <col min="153" max="153" width="18.140625" bestFit="1" customWidth="1"/>
    <col min="154" max="154" width="19.85546875" bestFit="1" customWidth="1"/>
    <col min="155" max="158" width="18.140625" bestFit="1" customWidth="1"/>
    <col min="159" max="159" width="19.42578125" bestFit="1" customWidth="1"/>
    <col min="160" max="160" width="19.85546875" bestFit="1" customWidth="1"/>
    <col min="161" max="161" width="16.7109375" bestFit="1" customWidth="1"/>
    <col min="162" max="162" width="13.7109375" bestFit="1" customWidth="1"/>
    <col min="163" max="165" width="17" bestFit="1" customWidth="1"/>
    <col min="166" max="166" width="18.5703125" bestFit="1" customWidth="1"/>
    <col min="167" max="169" width="17" bestFit="1" customWidth="1"/>
    <col min="170" max="170" width="17.85546875" bestFit="1" customWidth="1"/>
    <col min="171" max="171" width="17.5703125" bestFit="1" customWidth="1"/>
    <col min="172" max="172" width="17.85546875" bestFit="1" customWidth="1"/>
    <col min="173" max="173" width="19.42578125" bestFit="1" customWidth="1"/>
    <col min="174" max="174" width="14.5703125" bestFit="1" customWidth="1"/>
    <col min="175" max="178" width="17.85546875" bestFit="1" customWidth="1"/>
    <col min="179" max="179" width="19.42578125" bestFit="1" customWidth="1"/>
    <col min="180" max="180" width="19.85546875" bestFit="1" customWidth="1"/>
    <col min="181" max="181" width="19.42578125" bestFit="1" customWidth="1"/>
    <col min="182" max="182" width="18.140625" bestFit="1" customWidth="1"/>
    <col min="183" max="183" width="19.85546875" bestFit="1" customWidth="1"/>
    <col min="184" max="186" width="18.140625" bestFit="1" customWidth="1"/>
    <col min="187" max="187" width="19.85546875" bestFit="1" customWidth="1"/>
    <col min="188" max="188" width="18.140625" bestFit="1" customWidth="1"/>
    <col min="189" max="190" width="19.85546875" bestFit="1" customWidth="1"/>
    <col min="191" max="191" width="17.85546875" bestFit="1" customWidth="1"/>
    <col min="192" max="192" width="18.140625" bestFit="1" customWidth="1"/>
    <col min="193" max="193" width="16.7109375" bestFit="1" customWidth="1"/>
    <col min="194" max="194" width="17" bestFit="1" customWidth="1"/>
    <col min="195" max="195" width="18.5703125" bestFit="1" customWidth="1"/>
    <col min="196" max="196" width="13.7109375" bestFit="1" customWidth="1"/>
    <col min="197" max="197" width="18.5703125" bestFit="1" customWidth="1"/>
    <col min="198" max="200" width="17" bestFit="1" customWidth="1"/>
    <col min="201" max="201" width="13.7109375" bestFit="1" customWidth="1"/>
    <col min="202" max="202" width="14.5703125" bestFit="1" customWidth="1"/>
    <col min="203" max="203" width="19.140625" bestFit="1" customWidth="1"/>
    <col min="204" max="204" width="19.42578125" bestFit="1" customWidth="1"/>
    <col min="205" max="207" width="17.85546875" bestFit="1" customWidth="1"/>
    <col min="208" max="208" width="19.42578125" bestFit="1" customWidth="1"/>
    <col min="209" max="210" width="17.85546875" bestFit="1" customWidth="1"/>
    <col min="211" max="211" width="19.42578125" bestFit="1" customWidth="1"/>
    <col min="212" max="212" width="14.5703125" bestFit="1" customWidth="1"/>
    <col min="213" max="213" width="17.85546875" bestFit="1" customWidth="1"/>
    <col min="214" max="216" width="18.140625" bestFit="1" customWidth="1"/>
    <col min="217" max="217" width="19.85546875" bestFit="1" customWidth="1"/>
    <col min="218" max="219" width="18.140625" bestFit="1" customWidth="1"/>
    <col min="220" max="220" width="19.85546875" bestFit="1" customWidth="1"/>
    <col min="221" max="222" width="18.140625" bestFit="1" customWidth="1"/>
    <col min="223" max="223" width="19.42578125" bestFit="1" customWidth="1"/>
    <col min="224" max="224" width="19.85546875" bestFit="1" customWidth="1"/>
    <col min="225" max="225" width="18.140625" bestFit="1" customWidth="1"/>
    <col min="226" max="229" width="18.5703125" bestFit="1" customWidth="1"/>
    <col min="230" max="230" width="13.7109375" bestFit="1" customWidth="1"/>
    <col min="231" max="231" width="18.5703125" bestFit="1" customWidth="1"/>
    <col min="232" max="232" width="17" bestFit="1" customWidth="1"/>
    <col min="233" max="233" width="18.5703125" bestFit="1" customWidth="1"/>
    <col min="234" max="234" width="19.42578125" bestFit="1" customWidth="1"/>
    <col min="235" max="235" width="19.140625" bestFit="1" customWidth="1"/>
    <col min="236" max="236" width="19.42578125" bestFit="1" customWidth="1"/>
    <col min="237" max="237" width="17.85546875" bestFit="1" customWidth="1"/>
    <col min="238" max="239" width="19.42578125" bestFit="1" customWidth="1"/>
    <col min="240" max="240" width="14.5703125" bestFit="1" customWidth="1"/>
    <col min="241" max="243" width="19.42578125" bestFit="1" customWidth="1"/>
    <col min="244" max="244" width="19.85546875" bestFit="1" customWidth="1"/>
    <col min="245" max="245" width="17.85546875" bestFit="1" customWidth="1"/>
    <col min="246" max="247" width="14.5703125" bestFit="1" customWidth="1"/>
    <col min="248" max="248" width="19.85546875" bestFit="1" customWidth="1"/>
    <col min="249" max="249" width="18.140625" bestFit="1" customWidth="1"/>
    <col min="250" max="250" width="19.85546875" bestFit="1" customWidth="1"/>
    <col min="251" max="251" width="18.140625" bestFit="1" customWidth="1"/>
    <col min="252" max="252" width="14.5703125" bestFit="1" customWidth="1"/>
  </cols>
  <sheetData>
    <row r="1" spans="2:253" hidden="1" x14ac:dyDescent="0.25"/>
    <row r="2" spans="2:253" x14ac:dyDescent="0.25">
      <c r="B2" s="83"/>
      <c r="C2" s="83">
        <v>289.25</v>
      </c>
      <c r="D2" s="83">
        <v>289.25</v>
      </c>
      <c r="E2" s="83">
        <v>267</v>
      </c>
      <c r="F2" s="83">
        <v>267</v>
      </c>
      <c r="G2" s="83">
        <v>289.25</v>
      </c>
      <c r="H2" s="83">
        <v>267</v>
      </c>
      <c r="I2" s="83">
        <v>267</v>
      </c>
      <c r="J2" s="83">
        <v>267</v>
      </c>
      <c r="K2" s="83">
        <v>278.125</v>
      </c>
      <c r="L2" s="83">
        <v>278.125</v>
      </c>
      <c r="M2" s="83">
        <v>267</v>
      </c>
      <c r="N2" s="83">
        <v>267</v>
      </c>
      <c r="O2" s="83">
        <v>267</v>
      </c>
      <c r="P2" s="83">
        <v>244.75</v>
      </c>
      <c r="Q2" s="83">
        <v>267</v>
      </c>
      <c r="R2" s="83">
        <v>267</v>
      </c>
      <c r="S2" s="83">
        <v>267</v>
      </c>
      <c r="T2" s="83">
        <v>267</v>
      </c>
      <c r="U2" s="83">
        <v>289.25</v>
      </c>
      <c r="V2" s="83">
        <v>289.25</v>
      </c>
      <c r="W2" s="83">
        <v>267</v>
      </c>
      <c r="X2" s="83">
        <v>267</v>
      </c>
      <c r="Y2" s="83">
        <v>289.25</v>
      </c>
      <c r="Z2" s="83">
        <v>300.375</v>
      </c>
      <c r="AA2" s="83">
        <v>289.25</v>
      </c>
      <c r="AB2" s="83">
        <v>289.25</v>
      </c>
      <c r="AC2" s="83">
        <v>289.25</v>
      </c>
      <c r="AD2" s="83">
        <v>300.375</v>
      </c>
      <c r="AE2" s="83">
        <v>300.375</v>
      </c>
      <c r="AF2" s="83">
        <v>300.375</v>
      </c>
      <c r="AG2" s="83">
        <v>300.375</v>
      </c>
      <c r="AH2" s="83">
        <v>300.375</v>
      </c>
      <c r="AI2" s="83">
        <v>254.4</v>
      </c>
      <c r="AJ2" s="83">
        <v>334.55</v>
      </c>
      <c r="AK2" s="83">
        <v>267</v>
      </c>
      <c r="AL2" s="83">
        <v>298.89999999999998</v>
      </c>
      <c r="AM2" s="83">
        <v>267</v>
      </c>
      <c r="AN2" s="83">
        <v>267</v>
      </c>
      <c r="AO2" s="83">
        <v>267</v>
      </c>
      <c r="AP2" s="83">
        <v>267</v>
      </c>
      <c r="AQ2" s="83">
        <v>267</v>
      </c>
      <c r="AR2" s="83">
        <v>267</v>
      </c>
      <c r="AS2" s="83">
        <v>267</v>
      </c>
      <c r="AT2" s="83">
        <v>267</v>
      </c>
      <c r="AU2" s="83">
        <v>267</v>
      </c>
      <c r="AV2" s="83">
        <v>267</v>
      </c>
      <c r="AW2" s="83">
        <v>289.25</v>
      </c>
      <c r="AX2" s="83">
        <v>267</v>
      </c>
      <c r="AY2" s="83">
        <v>278.125</v>
      </c>
      <c r="AZ2" s="83">
        <v>278.125</v>
      </c>
      <c r="BA2" s="83">
        <v>267</v>
      </c>
      <c r="BB2" s="83">
        <v>267</v>
      </c>
      <c r="BC2" s="83">
        <v>300.375</v>
      </c>
      <c r="BD2" s="83">
        <v>300.375</v>
      </c>
      <c r="BE2" s="83">
        <v>289.25</v>
      </c>
      <c r="BF2" s="83">
        <v>300.375</v>
      </c>
      <c r="BG2" s="83">
        <v>300.375</v>
      </c>
      <c r="BH2" s="83">
        <v>267</v>
      </c>
      <c r="BI2" s="83">
        <v>300.375</v>
      </c>
      <c r="BJ2" s="83">
        <v>300.375</v>
      </c>
      <c r="BK2" s="83">
        <v>267</v>
      </c>
      <c r="BL2" s="83">
        <v>298.89999999999998</v>
      </c>
      <c r="BM2" s="83">
        <v>267</v>
      </c>
      <c r="BN2" s="83">
        <v>239.25</v>
      </c>
      <c r="BO2" s="83">
        <v>289.25</v>
      </c>
      <c r="BP2" s="83">
        <v>289.25</v>
      </c>
      <c r="BQ2" s="83">
        <v>289.25</v>
      </c>
      <c r="BR2" s="83">
        <v>289.25</v>
      </c>
      <c r="BS2" s="83">
        <v>267</v>
      </c>
      <c r="BT2" s="83">
        <v>267</v>
      </c>
      <c r="BU2" s="83">
        <v>267</v>
      </c>
      <c r="BV2" s="83">
        <v>267</v>
      </c>
      <c r="BW2" s="83">
        <v>267</v>
      </c>
      <c r="BX2" s="83">
        <v>267</v>
      </c>
      <c r="BY2" s="83">
        <v>300.375</v>
      </c>
      <c r="BZ2" s="83">
        <v>300.375</v>
      </c>
      <c r="CA2" s="83">
        <v>300.375</v>
      </c>
      <c r="CB2" s="83">
        <v>267</v>
      </c>
      <c r="CC2" s="83">
        <v>267</v>
      </c>
      <c r="CD2" s="83">
        <v>289.25</v>
      </c>
      <c r="CE2" s="83">
        <v>267</v>
      </c>
      <c r="CF2" s="83">
        <v>267</v>
      </c>
      <c r="CG2" s="83">
        <v>267</v>
      </c>
      <c r="CH2" s="83">
        <v>267</v>
      </c>
      <c r="CI2" s="83">
        <v>267</v>
      </c>
      <c r="CJ2" s="83">
        <v>267</v>
      </c>
      <c r="CK2" s="83">
        <v>267</v>
      </c>
      <c r="CL2" s="83">
        <v>267</v>
      </c>
      <c r="CM2" s="83">
        <v>267</v>
      </c>
      <c r="CN2" s="83">
        <v>267</v>
      </c>
      <c r="CO2" s="83">
        <v>278.125</v>
      </c>
      <c r="CP2" s="83">
        <v>289.25</v>
      </c>
      <c r="CQ2" s="83">
        <v>267</v>
      </c>
      <c r="CR2" s="83">
        <v>267</v>
      </c>
      <c r="CS2" s="83">
        <v>300.375</v>
      </c>
      <c r="CT2" s="83">
        <v>267</v>
      </c>
      <c r="CU2" s="83">
        <v>267</v>
      </c>
      <c r="CV2" s="83">
        <v>267</v>
      </c>
      <c r="CW2" s="83">
        <v>267</v>
      </c>
      <c r="CX2" s="83">
        <v>267</v>
      </c>
      <c r="CY2" s="83">
        <v>267</v>
      </c>
      <c r="CZ2" s="83">
        <v>267</v>
      </c>
      <c r="DA2" s="83">
        <v>267</v>
      </c>
      <c r="DB2" s="83">
        <v>267</v>
      </c>
      <c r="DC2" s="83">
        <v>300.375</v>
      </c>
      <c r="DD2" s="83">
        <v>267</v>
      </c>
      <c r="DE2" s="83">
        <v>300.375</v>
      </c>
      <c r="DF2" s="83">
        <v>298.89999999999998</v>
      </c>
      <c r="DG2" s="83">
        <v>267</v>
      </c>
      <c r="DH2" s="83">
        <v>300.375</v>
      </c>
      <c r="DI2" s="83">
        <v>289.25</v>
      </c>
      <c r="DJ2" s="83">
        <v>289.25</v>
      </c>
      <c r="DK2" s="83">
        <v>300.375</v>
      </c>
      <c r="DL2" s="83">
        <v>300.375</v>
      </c>
      <c r="DM2" s="83">
        <v>267</v>
      </c>
      <c r="DN2" s="83">
        <v>267</v>
      </c>
      <c r="DO2" s="83">
        <v>298.89999999999998</v>
      </c>
      <c r="DP2" s="83">
        <v>300.375</v>
      </c>
      <c r="DQ2" s="83">
        <v>300.375</v>
      </c>
      <c r="DR2" s="83">
        <v>267</v>
      </c>
      <c r="DS2" s="83">
        <v>267</v>
      </c>
      <c r="DT2" s="83">
        <v>300.375</v>
      </c>
      <c r="DU2" s="83">
        <v>300.375</v>
      </c>
      <c r="DV2" s="83">
        <v>267</v>
      </c>
      <c r="DW2" s="83">
        <v>267</v>
      </c>
      <c r="DX2" s="83">
        <v>300.375</v>
      </c>
      <c r="DY2" s="83">
        <v>267</v>
      </c>
      <c r="DZ2" s="83">
        <v>267</v>
      </c>
      <c r="EA2" s="83">
        <v>300.375</v>
      </c>
      <c r="EB2" s="83">
        <v>300.375</v>
      </c>
      <c r="EC2" s="83">
        <v>289.25</v>
      </c>
      <c r="ED2" s="83">
        <v>289.25</v>
      </c>
      <c r="EE2" s="83">
        <v>289.25</v>
      </c>
      <c r="EF2" s="83">
        <v>244.75</v>
      </c>
      <c r="EG2" s="83">
        <v>286</v>
      </c>
      <c r="EH2" s="83">
        <v>286</v>
      </c>
      <c r="EI2" s="83">
        <v>286</v>
      </c>
      <c r="EJ2" s="83">
        <v>286</v>
      </c>
      <c r="EK2" s="83">
        <v>278.125</v>
      </c>
      <c r="EL2" s="83">
        <v>267</v>
      </c>
      <c r="EM2" s="83">
        <v>289.25</v>
      </c>
      <c r="EN2" s="83">
        <v>289.25</v>
      </c>
      <c r="EO2" s="83">
        <v>267</v>
      </c>
      <c r="EP2" s="83">
        <v>289.25</v>
      </c>
      <c r="EQ2" s="83">
        <v>267</v>
      </c>
      <c r="ER2" s="83">
        <v>289.25</v>
      </c>
      <c r="ES2" s="83">
        <v>267</v>
      </c>
      <c r="ET2" s="83">
        <v>244.75</v>
      </c>
      <c r="EU2" s="83">
        <v>289.25</v>
      </c>
      <c r="EV2" s="83">
        <v>289.25</v>
      </c>
      <c r="EW2" s="83">
        <v>289.25</v>
      </c>
      <c r="EX2" s="83">
        <v>267</v>
      </c>
      <c r="EY2" s="83">
        <v>300.375</v>
      </c>
      <c r="EZ2" s="83">
        <v>267</v>
      </c>
      <c r="FA2" s="83">
        <v>267</v>
      </c>
      <c r="FB2" s="83">
        <v>267</v>
      </c>
      <c r="FC2" s="83">
        <v>267</v>
      </c>
      <c r="FD2" s="83">
        <v>267</v>
      </c>
      <c r="FE2" s="83">
        <v>264</v>
      </c>
      <c r="FF2" s="83">
        <v>264</v>
      </c>
      <c r="FG2" s="83">
        <v>297</v>
      </c>
      <c r="FH2" s="83">
        <v>264</v>
      </c>
      <c r="FI2" s="83">
        <v>297</v>
      </c>
      <c r="FJ2" s="83">
        <v>297</v>
      </c>
      <c r="FK2" s="83">
        <v>297</v>
      </c>
      <c r="FL2" s="83">
        <v>275</v>
      </c>
      <c r="FM2" s="83">
        <v>264</v>
      </c>
      <c r="FN2" s="83">
        <v>297</v>
      </c>
      <c r="FO2" s="83">
        <v>264</v>
      </c>
      <c r="FP2" s="83">
        <v>275</v>
      </c>
      <c r="FQ2" s="83">
        <v>275</v>
      </c>
      <c r="FR2" s="83">
        <v>275</v>
      </c>
      <c r="FS2" s="83">
        <v>297</v>
      </c>
      <c r="FT2" s="83">
        <v>275</v>
      </c>
      <c r="FU2" s="83">
        <v>297</v>
      </c>
      <c r="FV2" s="83">
        <v>264</v>
      </c>
      <c r="FW2" s="83">
        <v>264</v>
      </c>
      <c r="FX2" s="83">
        <v>264</v>
      </c>
      <c r="FY2" s="83">
        <v>297</v>
      </c>
      <c r="FZ2" s="83">
        <v>264</v>
      </c>
      <c r="GA2" s="83">
        <v>286</v>
      </c>
      <c r="GB2" s="83">
        <v>297</v>
      </c>
      <c r="GC2" s="83">
        <v>297</v>
      </c>
      <c r="GD2" s="83">
        <v>275</v>
      </c>
      <c r="GE2" s="83">
        <v>286</v>
      </c>
      <c r="GF2" s="83">
        <v>297</v>
      </c>
      <c r="GG2" s="83">
        <v>275</v>
      </c>
      <c r="GH2" s="83">
        <v>275</v>
      </c>
      <c r="GI2" s="83">
        <v>275</v>
      </c>
      <c r="GJ2" s="83">
        <v>286</v>
      </c>
      <c r="GK2" s="83">
        <v>264</v>
      </c>
      <c r="GL2" s="83">
        <v>264</v>
      </c>
      <c r="GM2" s="83">
        <v>264</v>
      </c>
      <c r="GN2" s="83">
        <v>264</v>
      </c>
      <c r="GO2" s="83">
        <v>264</v>
      </c>
      <c r="GP2" s="83">
        <v>264</v>
      </c>
      <c r="GQ2" s="83">
        <v>220</v>
      </c>
      <c r="GR2" s="83">
        <v>264</v>
      </c>
      <c r="GS2" s="83">
        <v>0</v>
      </c>
      <c r="GT2" s="83">
        <v>0</v>
      </c>
      <c r="GU2" s="83">
        <v>227.4</v>
      </c>
      <c r="GV2" s="83">
        <v>190.35</v>
      </c>
      <c r="GW2" s="83">
        <v>270.60000000000002</v>
      </c>
      <c r="GX2" s="83">
        <v>0</v>
      </c>
      <c r="GY2" s="83">
        <v>292.60000000000002</v>
      </c>
      <c r="GZ2" s="83">
        <v>267</v>
      </c>
      <c r="HA2" s="83">
        <v>267</v>
      </c>
      <c r="HB2" s="83">
        <v>267</v>
      </c>
      <c r="HC2" s="83">
        <v>267</v>
      </c>
      <c r="HD2" s="83">
        <v>267</v>
      </c>
      <c r="HE2" s="83">
        <v>267</v>
      </c>
      <c r="HF2" s="83">
        <v>267</v>
      </c>
      <c r="HG2" s="83">
        <v>267</v>
      </c>
      <c r="HH2" s="83">
        <v>267</v>
      </c>
      <c r="HI2" s="83">
        <v>267</v>
      </c>
      <c r="HJ2" s="83">
        <v>267</v>
      </c>
      <c r="HK2" s="83">
        <v>300.375</v>
      </c>
      <c r="HL2" s="83">
        <v>300.375</v>
      </c>
      <c r="HM2" s="83">
        <v>223.3</v>
      </c>
      <c r="HN2" s="83">
        <v>223.3</v>
      </c>
      <c r="HO2" s="83">
        <v>191.4</v>
      </c>
      <c r="HP2" s="83">
        <v>159.5</v>
      </c>
      <c r="HQ2" s="83">
        <v>207.9</v>
      </c>
      <c r="HR2" s="83">
        <v>239.8</v>
      </c>
      <c r="HS2" s="83">
        <v>278.125</v>
      </c>
      <c r="HT2" s="83">
        <v>300.375</v>
      </c>
      <c r="HU2" s="83">
        <v>289.25</v>
      </c>
      <c r="HV2" s="83">
        <v>289.25</v>
      </c>
      <c r="HW2" s="83">
        <v>278.125</v>
      </c>
      <c r="HX2" s="83">
        <v>289.25</v>
      </c>
      <c r="HY2" s="83">
        <v>300.38</v>
      </c>
      <c r="HZ2" s="83">
        <v>300.375</v>
      </c>
      <c r="IA2" s="83">
        <v>257.39999999999998</v>
      </c>
      <c r="IB2" s="83">
        <v>277.2</v>
      </c>
      <c r="IC2" s="83">
        <v>257.39999999999998</v>
      </c>
      <c r="ID2" s="83">
        <v>267.3</v>
      </c>
      <c r="IE2" s="83">
        <v>247.5</v>
      </c>
      <c r="IF2" s="83">
        <v>0</v>
      </c>
      <c r="IG2" s="83">
        <v>353.2</v>
      </c>
      <c r="IH2" s="83">
        <v>287.10000000000002</v>
      </c>
      <c r="II2" s="83">
        <v>100.5</v>
      </c>
      <c r="IJ2" s="83">
        <v>267.3</v>
      </c>
      <c r="IK2" s="83">
        <v>257.39999999999998</v>
      </c>
      <c r="IL2" s="83">
        <v>0</v>
      </c>
      <c r="IM2" s="83">
        <v>0</v>
      </c>
      <c r="IN2" s="83">
        <v>239.25</v>
      </c>
      <c r="IO2" s="83">
        <v>255.2</v>
      </c>
      <c r="IP2" s="83">
        <v>230.15</v>
      </c>
      <c r="IQ2" s="83">
        <v>257.39999999999998</v>
      </c>
      <c r="IR2" s="83">
        <v>241.2</v>
      </c>
      <c r="IS2">
        <f>SUM(C2:IR2)</f>
        <v>66958.454999999987</v>
      </c>
    </row>
    <row r="3" spans="2:253" x14ac:dyDescent="0.25">
      <c r="B3" s="51" t="s">
        <v>54</v>
      </c>
      <c r="C3" s="3" t="s">
        <v>146</v>
      </c>
      <c r="D3" s="3" t="s">
        <v>147</v>
      </c>
      <c r="E3" s="3" t="s">
        <v>148</v>
      </c>
      <c r="F3" s="3" t="s">
        <v>149</v>
      </c>
      <c r="G3" s="3" t="s">
        <v>150</v>
      </c>
      <c r="H3" s="3" t="s">
        <v>151</v>
      </c>
      <c r="I3" s="3" t="s">
        <v>152</v>
      </c>
      <c r="J3" s="3" t="s">
        <v>153</v>
      </c>
      <c r="K3" s="3" t="s">
        <v>154</v>
      </c>
      <c r="L3" s="3" t="s">
        <v>155</v>
      </c>
      <c r="M3" s="3" t="s">
        <v>156</v>
      </c>
      <c r="N3" s="3" t="s">
        <v>157</v>
      </c>
      <c r="O3" s="3" t="s">
        <v>158</v>
      </c>
      <c r="P3" s="3" t="s">
        <v>159</v>
      </c>
      <c r="Q3" s="3" t="s">
        <v>160</v>
      </c>
      <c r="R3" s="3" t="s">
        <v>161</v>
      </c>
      <c r="S3" s="3" t="s">
        <v>162</v>
      </c>
      <c r="T3" s="3" t="s">
        <v>163</v>
      </c>
      <c r="U3" s="3" t="s">
        <v>164</v>
      </c>
      <c r="V3" s="3" t="s">
        <v>165</v>
      </c>
      <c r="W3" s="3" t="s">
        <v>166</v>
      </c>
      <c r="X3" s="3" t="s">
        <v>167</v>
      </c>
      <c r="Y3" s="3" t="s">
        <v>168</v>
      </c>
      <c r="Z3" s="3" t="s">
        <v>169</v>
      </c>
      <c r="AA3" s="3" t="s">
        <v>170</v>
      </c>
      <c r="AB3" s="3" t="s">
        <v>171</v>
      </c>
      <c r="AC3" s="3" t="s">
        <v>172</v>
      </c>
      <c r="AD3" s="3" t="s">
        <v>173</v>
      </c>
      <c r="AE3" s="3" t="s">
        <v>174</v>
      </c>
      <c r="AF3" s="3" t="s">
        <v>175</v>
      </c>
      <c r="AG3" s="3" t="s">
        <v>176</v>
      </c>
      <c r="AH3" s="3" t="s">
        <v>177</v>
      </c>
      <c r="AI3" s="3" t="s">
        <v>178</v>
      </c>
      <c r="AJ3" s="3" t="s">
        <v>179</v>
      </c>
      <c r="AK3" s="3" t="s">
        <v>180</v>
      </c>
      <c r="AL3" s="3" t="s">
        <v>181</v>
      </c>
      <c r="AM3" s="3" t="s">
        <v>182</v>
      </c>
      <c r="AN3" s="3" t="s">
        <v>183</v>
      </c>
      <c r="AO3" s="3" t="s">
        <v>184</v>
      </c>
      <c r="AP3" s="3" t="s">
        <v>185</v>
      </c>
      <c r="AQ3" s="3" t="s">
        <v>186</v>
      </c>
      <c r="AR3" s="3" t="s">
        <v>187</v>
      </c>
      <c r="AS3" s="3" t="s">
        <v>188</v>
      </c>
      <c r="AT3" s="3" t="s">
        <v>189</v>
      </c>
      <c r="AU3" s="3" t="s">
        <v>190</v>
      </c>
      <c r="AV3" s="3" t="s">
        <v>191</v>
      </c>
      <c r="AW3" s="3" t="s">
        <v>192</v>
      </c>
      <c r="AX3" s="3" t="s">
        <v>193</v>
      </c>
      <c r="AY3" s="3" t="s">
        <v>194</v>
      </c>
      <c r="AZ3" s="3" t="s">
        <v>195</v>
      </c>
      <c r="BA3" s="3" t="s">
        <v>196</v>
      </c>
      <c r="BB3" s="3" t="s">
        <v>197</v>
      </c>
      <c r="BC3" s="3" t="s">
        <v>198</v>
      </c>
      <c r="BD3" s="3" t="s">
        <v>199</v>
      </c>
      <c r="BE3" s="3" t="s">
        <v>200</v>
      </c>
      <c r="BF3" s="3" t="s">
        <v>201</v>
      </c>
      <c r="BG3" s="3" t="s">
        <v>202</v>
      </c>
      <c r="BH3" s="3" t="s">
        <v>203</v>
      </c>
      <c r="BI3" s="3" t="s">
        <v>204</v>
      </c>
      <c r="BJ3" s="3" t="s">
        <v>205</v>
      </c>
      <c r="BK3" s="3" t="s">
        <v>206</v>
      </c>
      <c r="BL3" s="3" t="s">
        <v>207</v>
      </c>
      <c r="BM3" s="3" t="s">
        <v>208</v>
      </c>
      <c r="BN3" s="3" t="s">
        <v>209</v>
      </c>
      <c r="BO3" s="3" t="s">
        <v>210</v>
      </c>
      <c r="BP3" s="3" t="s">
        <v>211</v>
      </c>
      <c r="BQ3" s="3" t="s">
        <v>212</v>
      </c>
      <c r="BR3" s="3" t="s">
        <v>213</v>
      </c>
      <c r="BS3" s="3" t="s">
        <v>214</v>
      </c>
      <c r="BT3" s="3" t="s">
        <v>215</v>
      </c>
      <c r="BU3" s="3" t="s">
        <v>216</v>
      </c>
      <c r="BV3" s="3" t="s">
        <v>217</v>
      </c>
      <c r="BW3" s="3" t="s">
        <v>218</v>
      </c>
      <c r="BX3" s="3" t="s">
        <v>219</v>
      </c>
      <c r="BY3" s="3" t="s">
        <v>220</v>
      </c>
      <c r="BZ3" s="3" t="s">
        <v>221</v>
      </c>
      <c r="CA3" s="3" t="s">
        <v>222</v>
      </c>
      <c r="CB3" s="3" t="s">
        <v>223</v>
      </c>
      <c r="CC3" s="3" t="s">
        <v>224</v>
      </c>
      <c r="CD3" s="3" t="s">
        <v>225</v>
      </c>
      <c r="CE3" s="3" t="s">
        <v>226</v>
      </c>
      <c r="CF3" s="3" t="s">
        <v>227</v>
      </c>
      <c r="CG3" s="3" t="s">
        <v>228</v>
      </c>
      <c r="CH3" s="3" t="s">
        <v>229</v>
      </c>
      <c r="CI3" s="3" t="s">
        <v>230</v>
      </c>
      <c r="CJ3" s="3" t="s">
        <v>231</v>
      </c>
      <c r="CK3" s="3" t="s">
        <v>232</v>
      </c>
      <c r="CL3" s="3" t="s">
        <v>233</v>
      </c>
      <c r="CM3" s="3" t="s">
        <v>234</v>
      </c>
      <c r="CN3" s="3" t="s">
        <v>235</v>
      </c>
      <c r="CO3" s="3" t="s">
        <v>236</v>
      </c>
      <c r="CP3" s="3" t="s">
        <v>237</v>
      </c>
      <c r="CQ3" s="3" t="s">
        <v>238</v>
      </c>
      <c r="CR3" s="3" t="s">
        <v>239</v>
      </c>
      <c r="CS3" s="3" t="s">
        <v>240</v>
      </c>
      <c r="CT3" s="3" t="s">
        <v>241</v>
      </c>
      <c r="CU3" s="3" t="s">
        <v>242</v>
      </c>
      <c r="CV3" s="3" t="s">
        <v>243</v>
      </c>
      <c r="CW3" s="3" t="s">
        <v>244</v>
      </c>
      <c r="CX3" s="3" t="s">
        <v>245</v>
      </c>
      <c r="CY3" s="3" t="s">
        <v>246</v>
      </c>
      <c r="CZ3" s="3" t="s">
        <v>247</v>
      </c>
      <c r="DA3" s="3" t="s">
        <v>248</v>
      </c>
      <c r="DB3" s="3" t="s">
        <v>249</v>
      </c>
      <c r="DC3" s="3" t="s">
        <v>250</v>
      </c>
      <c r="DD3" s="3" t="s">
        <v>251</v>
      </c>
      <c r="DE3" s="3" t="s">
        <v>252</v>
      </c>
      <c r="DF3" s="3" t="s">
        <v>253</v>
      </c>
      <c r="DG3" s="3" t="s">
        <v>254</v>
      </c>
      <c r="DH3" s="3" t="s">
        <v>255</v>
      </c>
      <c r="DI3" s="3" t="s">
        <v>256</v>
      </c>
      <c r="DJ3" s="3" t="s">
        <v>257</v>
      </c>
      <c r="DK3" s="3" t="s">
        <v>258</v>
      </c>
      <c r="DL3" s="3" t="s">
        <v>259</v>
      </c>
      <c r="DM3" s="3" t="s">
        <v>260</v>
      </c>
      <c r="DN3" s="3" t="s">
        <v>261</v>
      </c>
      <c r="DO3" s="3" t="s">
        <v>262</v>
      </c>
      <c r="DP3" s="3" t="s">
        <v>263</v>
      </c>
      <c r="DQ3" s="3" t="s">
        <v>264</v>
      </c>
      <c r="DR3" s="3" t="s">
        <v>265</v>
      </c>
      <c r="DS3" s="3" t="s">
        <v>266</v>
      </c>
      <c r="DT3" s="3" t="s">
        <v>267</v>
      </c>
      <c r="DU3" s="3" t="s">
        <v>268</v>
      </c>
      <c r="DV3" s="3" t="s">
        <v>269</v>
      </c>
      <c r="DW3" s="3" t="s">
        <v>270</v>
      </c>
      <c r="DX3" s="3" t="s">
        <v>271</v>
      </c>
      <c r="DY3" s="3" t="s">
        <v>272</v>
      </c>
      <c r="DZ3" s="3" t="s">
        <v>273</v>
      </c>
      <c r="EA3" s="3" t="s">
        <v>274</v>
      </c>
      <c r="EB3" s="3" t="s">
        <v>275</v>
      </c>
      <c r="EC3" s="3" t="s">
        <v>276</v>
      </c>
      <c r="ED3" s="3" t="s">
        <v>277</v>
      </c>
      <c r="EE3" s="3" t="s">
        <v>278</v>
      </c>
      <c r="EF3" s="3" t="s">
        <v>279</v>
      </c>
      <c r="EG3" s="3" t="s">
        <v>280</v>
      </c>
      <c r="EH3" s="3" t="s">
        <v>281</v>
      </c>
      <c r="EI3" s="3" t="s">
        <v>282</v>
      </c>
      <c r="EJ3" s="3" t="s">
        <v>283</v>
      </c>
      <c r="EK3" s="3" t="s">
        <v>284</v>
      </c>
      <c r="EL3" s="3" t="s">
        <v>285</v>
      </c>
      <c r="EM3" s="3" t="s">
        <v>286</v>
      </c>
      <c r="EN3" s="3" t="s">
        <v>287</v>
      </c>
      <c r="EO3" s="3" t="s">
        <v>288</v>
      </c>
      <c r="EP3" s="3" t="s">
        <v>289</v>
      </c>
      <c r="EQ3" s="3" t="s">
        <v>290</v>
      </c>
      <c r="ER3" s="3" t="s">
        <v>291</v>
      </c>
      <c r="ES3" s="3" t="s">
        <v>292</v>
      </c>
      <c r="ET3" s="3" t="s">
        <v>293</v>
      </c>
      <c r="EU3" s="3" t="s">
        <v>294</v>
      </c>
      <c r="EV3" s="3" t="s">
        <v>295</v>
      </c>
      <c r="EW3" s="3" t="s">
        <v>296</v>
      </c>
      <c r="EX3" s="3" t="s">
        <v>297</v>
      </c>
      <c r="EY3" s="3" t="s">
        <v>298</v>
      </c>
      <c r="EZ3" s="3" t="s">
        <v>299</v>
      </c>
      <c r="FA3" s="3" t="s">
        <v>300</v>
      </c>
      <c r="FB3" s="3" t="s">
        <v>301</v>
      </c>
      <c r="FC3" s="3" t="s">
        <v>302</v>
      </c>
      <c r="FD3" s="3" t="s">
        <v>303</v>
      </c>
      <c r="FE3" s="3" t="s">
        <v>304</v>
      </c>
      <c r="FF3" s="3" t="s">
        <v>305</v>
      </c>
      <c r="FG3" s="3" t="s">
        <v>306</v>
      </c>
      <c r="FH3" s="3" t="s">
        <v>307</v>
      </c>
      <c r="FI3" s="3" t="s">
        <v>308</v>
      </c>
      <c r="FJ3" s="3" t="s">
        <v>309</v>
      </c>
      <c r="FK3" s="3" t="s">
        <v>310</v>
      </c>
      <c r="FL3" s="3" t="s">
        <v>311</v>
      </c>
      <c r="FM3" s="3" t="s">
        <v>312</v>
      </c>
      <c r="FN3" s="3" t="s">
        <v>313</v>
      </c>
      <c r="FO3" s="3" t="s">
        <v>314</v>
      </c>
      <c r="FP3" s="3" t="s">
        <v>315</v>
      </c>
      <c r="FQ3" s="3" t="s">
        <v>316</v>
      </c>
      <c r="FR3" s="3" t="s">
        <v>317</v>
      </c>
      <c r="FS3" s="3" t="s">
        <v>318</v>
      </c>
      <c r="FT3" s="3" t="s">
        <v>319</v>
      </c>
      <c r="FU3" s="3" t="s">
        <v>320</v>
      </c>
      <c r="FV3" s="3" t="s">
        <v>321</v>
      </c>
      <c r="FW3" s="3" t="s">
        <v>322</v>
      </c>
      <c r="FX3" s="3" t="s">
        <v>323</v>
      </c>
      <c r="FY3" s="3" t="s">
        <v>324</v>
      </c>
      <c r="FZ3" s="3" t="s">
        <v>325</v>
      </c>
      <c r="GA3" s="3" t="s">
        <v>326</v>
      </c>
      <c r="GB3" s="3" t="s">
        <v>327</v>
      </c>
      <c r="GC3" s="3" t="s">
        <v>328</v>
      </c>
      <c r="GD3" s="3" t="s">
        <v>329</v>
      </c>
      <c r="GE3" s="3" t="s">
        <v>330</v>
      </c>
      <c r="GF3" s="3" t="s">
        <v>331</v>
      </c>
      <c r="GG3" s="3" t="s">
        <v>332</v>
      </c>
      <c r="GH3" s="3" t="s">
        <v>333</v>
      </c>
      <c r="GI3" s="3" t="s">
        <v>334</v>
      </c>
      <c r="GJ3" s="3" t="s">
        <v>335</v>
      </c>
      <c r="GK3" s="3" t="s">
        <v>336</v>
      </c>
      <c r="GL3" s="3" t="s">
        <v>337</v>
      </c>
      <c r="GM3" s="3" t="s">
        <v>338</v>
      </c>
      <c r="GN3" s="3" t="s">
        <v>339</v>
      </c>
      <c r="GO3" s="3" t="s">
        <v>340</v>
      </c>
      <c r="GP3" s="3" t="s">
        <v>341</v>
      </c>
      <c r="GQ3" s="3" t="s">
        <v>342</v>
      </c>
      <c r="GR3" s="3" t="s">
        <v>343</v>
      </c>
      <c r="GS3" s="3" t="s">
        <v>344</v>
      </c>
      <c r="GT3" s="3" t="s">
        <v>345</v>
      </c>
      <c r="GU3" s="3" t="s">
        <v>346</v>
      </c>
      <c r="GV3" s="3" t="s">
        <v>347</v>
      </c>
      <c r="GW3" s="3" t="s">
        <v>348</v>
      </c>
      <c r="GX3" s="3" t="s">
        <v>349</v>
      </c>
      <c r="GY3" s="3" t="s">
        <v>350</v>
      </c>
      <c r="GZ3" s="3" t="s">
        <v>351</v>
      </c>
      <c r="HA3" s="3" t="s">
        <v>352</v>
      </c>
      <c r="HB3" s="3" t="s">
        <v>353</v>
      </c>
      <c r="HC3" s="3" t="s">
        <v>354</v>
      </c>
      <c r="HD3" s="3" t="s">
        <v>355</v>
      </c>
      <c r="HE3" s="3" t="s">
        <v>356</v>
      </c>
      <c r="HF3" s="3" t="s">
        <v>357</v>
      </c>
      <c r="HG3" s="3" t="s">
        <v>358</v>
      </c>
      <c r="HH3" s="3" t="s">
        <v>359</v>
      </c>
      <c r="HI3" s="3" t="s">
        <v>360</v>
      </c>
      <c r="HJ3" s="3" t="s">
        <v>361</v>
      </c>
      <c r="HK3" s="3" t="s">
        <v>362</v>
      </c>
      <c r="HL3" s="3" t="s">
        <v>363</v>
      </c>
      <c r="HM3" s="3" t="s">
        <v>364</v>
      </c>
      <c r="HN3" s="3" t="s">
        <v>365</v>
      </c>
      <c r="HO3" s="3" t="s">
        <v>366</v>
      </c>
      <c r="HP3" s="3" t="s">
        <v>367</v>
      </c>
      <c r="HQ3" s="3" t="s">
        <v>368</v>
      </c>
      <c r="HR3" s="3" t="s">
        <v>369</v>
      </c>
      <c r="HS3" s="3" t="s">
        <v>370</v>
      </c>
      <c r="HT3" s="3" t="s">
        <v>371</v>
      </c>
      <c r="HU3" s="3" t="s">
        <v>372</v>
      </c>
      <c r="HV3" s="3" t="s">
        <v>373</v>
      </c>
      <c r="HW3" s="3" t="s">
        <v>374</v>
      </c>
      <c r="HX3" s="3" t="s">
        <v>375</v>
      </c>
      <c r="HY3" s="3" t="s">
        <v>376</v>
      </c>
      <c r="HZ3" s="3" t="s">
        <v>377</v>
      </c>
      <c r="IA3" s="3" t="s">
        <v>378</v>
      </c>
      <c r="IB3" s="3" t="s">
        <v>379</v>
      </c>
      <c r="IC3" s="3" t="s">
        <v>380</v>
      </c>
      <c r="ID3" s="3" t="s">
        <v>381</v>
      </c>
      <c r="IE3" s="3" t="s">
        <v>382</v>
      </c>
      <c r="IF3" s="3" t="s">
        <v>383</v>
      </c>
      <c r="IG3" s="3" t="s">
        <v>384</v>
      </c>
      <c r="IH3" s="3" t="s">
        <v>385</v>
      </c>
      <c r="II3" s="3" t="s">
        <v>386</v>
      </c>
      <c r="IJ3" s="3" t="s">
        <v>387</v>
      </c>
      <c r="IK3" s="3" t="s">
        <v>388</v>
      </c>
      <c r="IL3" s="3" t="s">
        <v>389</v>
      </c>
      <c r="IM3" s="3" t="s">
        <v>390</v>
      </c>
      <c r="IN3" s="3" t="s">
        <v>391</v>
      </c>
      <c r="IO3" s="3" t="s">
        <v>392</v>
      </c>
      <c r="IP3" s="3" t="s">
        <v>393</v>
      </c>
      <c r="IQ3" s="3" t="s">
        <v>394</v>
      </c>
      <c r="IR3" s="3" t="s">
        <v>395</v>
      </c>
    </row>
    <row r="4" spans="2:253" x14ac:dyDescent="0.25">
      <c r="B4" s="85">
        <f>Dashboard!B3-31</f>
        <v>45830</v>
      </c>
      <c r="C4" s="62">
        <f>IFERROR(Inv_SY_B!C4/Inv_SY_B!$IS4-1,"")</f>
        <v>3.8644838382964064E-3</v>
      </c>
      <c r="D4" s="62">
        <f>IFERROR(Inv_SY_B!D4/Inv_SY_B!$IS4-1,"")</f>
        <v>1.9065197901761977E-3</v>
      </c>
      <c r="E4" s="62">
        <f>IFERROR(Inv_SY_B!E4/Inv_SY_B!$IS4-1,"")</f>
        <v>-2.0977886276809521E-3</v>
      </c>
      <c r="F4" s="62">
        <f>IFERROR(Inv_SY_B!F4/Inv_SY_B!$IS4-1,"")</f>
        <v>2.4096077747626232E-3</v>
      </c>
      <c r="G4" s="62">
        <f>IFERROR(Inv_SY_B!G4/Inv_SY_B!$IS4-1,"")</f>
        <v>-3.8857905188460773E-3</v>
      </c>
      <c r="H4" s="62">
        <f>IFERROR(Inv_SY_B!H4/Inv_SY_B!$IS4-1,"")</f>
        <v>8.4194696446870942E-3</v>
      </c>
      <c r="I4" s="62">
        <f>IFERROR(Inv_SY_B!I4/Inv_SY_B!$IS4-1,"")</f>
        <v>5.7680599961911216E-3</v>
      </c>
      <c r="J4" s="62">
        <f>IFERROR(Inv_SY_B!J4/Inv_SY_B!$IS4-1,"")</f>
        <v>1.1954682509348613E-2</v>
      </c>
      <c r="K4" s="62">
        <f>IFERROR(Inv_SY_B!K4/Inv_SY_B!$IS4-1,"")</f>
        <v>9.6567941473186814E-3</v>
      </c>
      <c r="L4" s="62">
        <f>IFERROR(Inv_SY_B!L4/Inv_SY_B!$IS4-1,"")</f>
        <v>9.6567941473186814E-3</v>
      </c>
      <c r="M4" s="62">
        <f>IFERROR(Inv_SY_B!M4/Inv_SY_B!$IS4-1,"")</f>
        <v>-3.9537753816281107E-3</v>
      </c>
      <c r="N4" s="62">
        <f>IFERROR(Inv_SY_B!N4/Inv_SY_B!$IS4-1,"")</f>
        <v>1.3722288941679484E-2</v>
      </c>
      <c r="O4" s="62">
        <f>IFERROR(Inv_SY_B!O4/Inv_SY_B!$IS4-1,"")</f>
        <v>-1.4294273010762915E-2</v>
      </c>
      <c r="P4" s="62">
        <f>IFERROR(Inv_SY_B!P4/Inv_SY_B!$IS4-1,"")</f>
        <v>8.4998153916113761E-3</v>
      </c>
      <c r="Q4" s="62">
        <f>IFERROR(Inv_SY_B!Q4/Inv_SY_B!$IS4-1,"")</f>
        <v>1.0187076077017965E-2</v>
      </c>
      <c r="R4" s="62">
        <f>IFERROR(Inv_SY_B!R4/Inv_SY_B!$IS4-1,"")</f>
        <v>-2.7816462218092974E-2</v>
      </c>
      <c r="S4" s="62">
        <f>IFERROR(Inv_SY_B!S4/Inv_SY_B!$IS4-1,"")</f>
        <v>2.2328471315296028E-3</v>
      </c>
      <c r="T4" s="62">
        <f>IFERROR(Inv_SY_B!T4/Inv_SY_B!$IS4-1,"")</f>
        <v>1.8583206630588878E-2</v>
      </c>
      <c r="U4" s="62">
        <f>IFERROR(Inv_SY_B!U4/Inv_SY_B!$IS4-1,"")</f>
        <v>1.6509668315739301E-2</v>
      </c>
      <c r="V4" s="62">
        <f>IFERROR(Inv_SY_B!V4/Inv_SY_B!$IS4-1,"")</f>
        <v>4.2723930149879408E-3</v>
      </c>
      <c r="W4" s="62">
        <f>IFERROR(Inv_SY_B!W4/Inv_SY_B!$IS4-1,"")</f>
        <v>1.3490439153642786E-3</v>
      </c>
      <c r="X4" s="62">
        <f>IFERROR(Inv_SY_B!X4/Inv_SY_B!$IS4-1,"")</f>
        <v>3.116650347694927E-3</v>
      </c>
      <c r="Y4" s="62">
        <f>IFERROR(Inv_SY_B!Y4/Inv_SY_B!$IS4-1,"")</f>
        <v>9.2753776611620431E-4</v>
      </c>
      <c r="Z4" s="62">
        <f>IFERROR(Inv_SY_B!Z4/Inv_SY_B!$IS4-1,"")</f>
        <v>5.5716592814876176E-3</v>
      </c>
      <c r="AA4" s="62">
        <f>IFERROR(Inv_SY_B!AA4/Inv_SY_B!$IS4-1,"")</f>
        <v>4.2723930149879408E-3</v>
      </c>
      <c r="AB4" s="62">
        <f>IFERROR(Inv_SY_B!AB4/Inv_SY_B!$IS4-1,"")</f>
        <v>1.0798939842055377E-2</v>
      </c>
      <c r="AC4" s="62">
        <f>IFERROR(Inv_SY_B!AC4/Inv_SY_B!$IS4-1,"")</f>
        <v>6.4751025691234254E-3</v>
      </c>
      <c r="AD4" s="62">
        <f>IFERROR(Inv_SY_B!AD4/Inv_SY_B!$IS4-1,"")</f>
        <v>9.4996735755559225E-3</v>
      </c>
      <c r="AE4" s="62">
        <f>IFERROR(Inv_SY_B!AE4/Inv_SY_B!$IS4-1,"")</f>
        <v>1.9712510740133471E-2</v>
      </c>
      <c r="AF4" s="62">
        <f>IFERROR(Inv_SY_B!AF4/Inv_SY_B!$IS4-1,"")</f>
        <v>-2.6638057929872505E-2</v>
      </c>
      <c r="AG4" s="62">
        <f>IFERROR(Inv_SY_B!AG4/Inv_SY_B!$IS4-1,"")</f>
        <v>-1.367561075944701E-2</v>
      </c>
      <c r="AH4" s="62">
        <f>IFERROR(Inv_SY_B!AH4/Inv_SY_B!$IS4-1,"")</f>
        <v>-5.8847775141232739E-2</v>
      </c>
      <c r="AI4" s="62">
        <f>IFERROR(Inv_SY_B!AI4/Inv_SY_B!$IS4-1,"")</f>
        <v>1.1058372643897751E-2</v>
      </c>
      <c r="AJ4" s="62">
        <f>IFERROR(Inv_SY_B!AJ4/Inv_SY_B!$IS4-1,"")</f>
        <v>-2.7037669248057061E-2</v>
      </c>
      <c r="AK4" s="62">
        <f>IFERROR(Inv_SY_B!AK4/Inv_SY_B!$IS4-1,"")</f>
        <v>1.708074116310776E-2</v>
      </c>
      <c r="AL4" s="62">
        <f>IFERROR(Inv_SY_B!AL4/Inv_SY_B!$IS4-1,"")</f>
        <v>1.053391487680444E-2</v>
      </c>
      <c r="AM4" s="62">
        <f>IFERROR(Inv_SY_B!AM4/Inv_SY_B!$IS4-1,"")</f>
        <v>2.0085672098069995E-2</v>
      </c>
      <c r="AN4" s="62">
        <f>IFERROR(Inv_SY_B!AN4/Inv_SY_B!$IS4-1,"")</f>
        <v>3.8236929206272308E-3</v>
      </c>
      <c r="AO4" s="62">
        <f>IFERROR(Inv_SY_B!AO4/Inv_SY_B!$IS4-1,"")</f>
        <v>1.7345882127957291E-2</v>
      </c>
      <c r="AP4" s="62">
        <f>IFERROR(Inv_SY_B!AP4/Inv_SY_B!$IS4-1,"")</f>
        <v>1.3722288941679484E-2</v>
      </c>
      <c r="AQ4" s="62">
        <f>IFERROR(Inv_SY_B!AQ4/Inv_SY_B!$IS4-1,"")</f>
        <v>-4.1856251696659186E-4</v>
      </c>
      <c r="AR4" s="62">
        <f>IFERROR(Inv_SY_B!AR4/Inv_SY_B!$IS4-1,"")</f>
        <v>3.6469322773942103E-3</v>
      </c>
      <c r="AS4" s="62">
        <f>IFERROR(Inv_SY_B!AS4/Inv_SY_B!$IS4-1,"")</f>
        <v>2.2328471315296028E-3</v>
      </c>
      <c r="AT4" s="62">
        <f>IFERROR(Inv_SY_B!AT4/Inv_SY_B!$IS4-1,"")</f>
        <v>-9.2565946786201669E-3</v>
      </c>
      <c r="AU4" s="62">
        <f>IFERROR(Inv_SY_B!AU4/Inv_SY_B!$IS4-1,"")</f>
        <v>1.4606092157844586E-2</v>
      </c>
      <c r="AV4" s="62">
        <f>IFERROR(Inv_SY_B!AV4/Inv_SY_B!$IS4-1,"")</f>
        <v>-2.1861689492972403E-3</v>
      </c>
      <c r="AW4" s="62">
        <f>IFERROR(Inv_SY_B!AW4/Inv_SY_B!$IS4-1,"")</f>
        <v>-2.0202157586514446E-2</v>
      </c>
      <c r="AX4" s="62">
        <f>IFERROR(Inv_SY_B!AX4/Inv_SY_B!$IS4-1,"")</f>
        <v>8.4194696446870942E-3</v>
      </c>
      <c r="AY4" s="62">
        <f>IFERROR(Inv_SY_B!AY4/Inv_SY_B!$IS4-1,"")</f>
        <v>-1.0536341735627675E-2</v>
      </c>
      <c r="AZ4" s="62">
        <f>IFERROR(Inv_SY_B!AZ4/Inv_SY_B!$IS4-1,"")</f>
        <v>-6.3819070031805425E-2</v>
      </c>
      <c r="BA4" s="62">
        <f>IFERROR(Inv_SY_B!BA4/Inv_SY_B!$IS4-1,"")</f>
        <v>1.8141305022506105E-2</v>
      </c>
      <c r="BB4" s="62">
        <f>IFERROR(Inv_SY_B!BB4/Inv_SY_B!$IS4-1,"")</f>
        <v>1.6815600198258229E-2</v>
      </c>
      <c r="BC4" s="62">
        <f>IFERROR(Inv_SY_B!BC4/Inv_SY_B!$IS4-1,"")</f>
        <v>2.2069319316574409E-2</v>
      </c>
      <c r="BD4" s="62">
        <f>IFERROR(Inv_SY_B!BD4/Inv_SY_B!$IS4-1,"")</f>
        <v>1.3427687869624227E-2</v>
      </c>
      <c r="BE4" s="62">
        <f>IFERROR(Inv_SY_B!BE4/Inv_SY_B!$IS4-1,"")</f>
        <v>7.9435756052135265E-3</v>
      </c>
      <c r="BF4" s="62">
        <f>IFERROR(Inv_SY_B!BF4/Inv_SY_B!$IS4-1,"")</f>
        <v>4.0004535638602512E-3</v>
      </c>
      <c r="BG4" s="62">
        <f>IFERROR(Inv_SY_B!BG4/Inv_SY_B!$IS4-1,"")</f>
        <v>-1.4987664478353091E-3</v>
      </c>
      <c r="BH4" s="62">
        <f>IFERROR(Inv_SY_B!BH4/Inv_SY_B!$IS4-1,"")</f>
        <v>4.6524069919873234E-4</v>
      </c>
      <c r="BI4" s="62">
        <f>IFERROR(Inv_SY_B!BI4/Inv_SY_B!$IS4-1,"")</f>
        <v>-2.2843693066489923E-3</v>
      </c>
      <c r="BJ4" s="62">
        <f>IFERROR(Inv_SY_B!BJ4/Inv_SY_B!$IS4-1,"")</f>
        <v>1.3427687869624227E-2</v>
      </c>
      <c r="BK4" s="62">
        <f>IFERROR(Inv_SY_B!BK4/Inv_SY_B!$IS4-1,"")</f>
        <v>5.7680599961911216E-3</v>
      </c>
      <c r="BL4" s="62">
        <f>IFERROR(Inv_SY_B!BL4/Inv_SY_B!$IS4-1,"")</f>
        <v>1.842871108677957E-2</v>
      </c>
      <c r="BM4" s="62">
        <f>IFERROR(Inv_SY_B!BM4/Inv_SY_B!$IS4-1,"")</f>
        <v>1.3810669263295994E-2</v>
      </c>
      <c r="BN4" s="62">
        <f>IFERROR(Inv_SY_B!BN4/Inv_SY_B!$IS4-1,"")</f>
        <v>3.5628972421991589E-2</v>
      </c>
      <c r="BO4" s="62">
        <f>IFERROR(Inv_SY_B!BO4/Inv_SY_B!$IS4-1,"")</f>
        <v>2.6407563082213592E-3</v>
      </c>
      <c r="BP4" s="62">
        <f>IFERROR(Inv_SY_B!BP4/Inv_SY_B!$IS4-1,"")</f>
        <v>4.2723930149879408E-3</v>
      </c>
      <c r="BQ4" s="62">
        <f>IFERROR(Inv_SY_B!BQ4/Inv_SY_B!$IS4-1,"")</f>
        <v>1.6591250151077652E-2</v>
      </c>
      <c r="BR4" s="62">
        <f>IFERROR(Inv_SY_B!BR4/Inv_SY_B!$IS4-1,"")</f>
        <v>-8.5359551331315453E-3</v>
      </c>
      <c r="BS4" s="62">
        <f>IFERROR(Inv_SY_B!BS4/Inv_SY_B!$IS4-1,"")</f>
        <v>4.6524069919873234E-4</v>
      </c>
      <c r="BT4" s="62">
        <f>IFERROR(Inv_SY_B!BT4/Inv_SY_B!$IS4-1,"")</f>
        <v>4.0888338854767614E-3</v>
      </c>
      <c r="BU4" s="62">
        <f>IFERROR(Inv_SY_B!BU4/Inv_SY_B!$IS4-1,"")</f>
        <v>6.6518632123564458E-3</v>
      </c>
      <c r="BV4" s="62">
        <f>IFERROR(Inv_SY_B!BV4/Inv_SY_B!$IS4-1,"")</f>
        <v>2.2328471315296028E-3</v>
      </c>
      <c r="BW4" s="62">
        <f>IFERROR(Inv_SY_B!BW4/Inv_SY_B!$IS4-1,"")</f>
        <v>-9.2565946786201669E-3</v>
      </c>
      <c r="BX4" s="62">
        <f>IFERROR(Inv_SY_B!BX4/Inv_SY_B!$IS4-1,"")</f>
        <v>1.2043062830965123E-2</v>
      </c>
      <c r="BY4" s="62">
        <f>IFERROR(Inv_SY_B!BY4/Inv_SY_B!$IS4-1,"")</f>
        <v>-2.2843693066489923E-3</v>
      </c>
      <c r="BZ4" s="62">
        <f>IFERROR(Inv_SY_B!BZ4/Inv_SY_B!$IS4-1,"")</f>
        <v>7.142864999114984E-3</v>
      </c>
      <c r="CA4" s="62">
        <f>IFERROR(Inv_SY_B!CA4/Inv_SY_B!$IS4-1,"")</f>
        <v>8.9497515743861555E-3</v>
      </c>
      <c r="CB4" s="62">
        <f>IFERROR(Inv_SY_B!CB4/Inv_SY_B!$IS4-1,"")</f>
        <v>1.2308203795814876E-2</v>
      </c>
      <c r="CC4" s="62">
        <f>IFERROR(Inv_SY_B!CC4/Inv_SY_B!$IS4-1,"")</f>
        <v>9.921935112168212E-3</v>
      </c>
      <c r="CD4" s="62">
        <f>IFERROR(Inv_SY_B!CD4/Inv_SY_B!$IS4-1,"")</f>
        <v>2.115983293002488E-2</v>
      </c>
      <c r="CE4" s="62">
        <f>IFERROR(Inv_SY_B!CE4/Inv_SY_B!$IS4-1,"")</f>
        <v>-4.1856251696659186E-4</v>
      </c>
      <c r="CF4" s="62">
        <f>IFERROR(Inv_SY_B!CF4/Inv_SY_B!$IS4-1,"")</f>
        <v>-2.0977886276809521E-3</v>
      </c>
      <c r="CG4" s="62">
        <f>IFERROR(Inv_SY_B!CG4/Inv_SY_B!$IS4-1,"")</f>
        <v>3.4701716341611899E-3</v>
      </c>
      <c r="CH4" s="62">
        <f>IFERROR(Inv_SY_B!CH4/Inv_SY_B!$IS4-1,"")</f>
        <v>1.6020177303709193E-2</v>
      </c>
      <c r="CI4" s="62">
        <f>IFERROR(Inv_SY_B!CI4/Inv_SY_B!$IS4-1,"")</f>
        <v>1.725750180634078E-2</v>
      </c>
      <c r="CJ4" s="62">
        <f>IFERROR(Inv_SY_B!CJ4/Inv_SY_B!$IS4-1,"")</f>
        <v>1.2926866047130448E-2</v>
      </c>
      <c r="CK4" s="62">
        <f>IFERROR(Inv_SY_B!CK4/Inv_SY_B!$IS4-1,"")</f>
        <v>1.0894118649950046E-2</v>
      </c>
      <c r="CL4" s="62">
        <f>IFERROR(Inv_SY_B!CL4/Inv_SY_B!$IS4-1,"")</f>
        <v>1.0805738328333536E-2</v>
      </c>
      <c r="CM4" s="62">
        <f>IFERROR(Inv_SY_B!CM4/Inv_SY_B!$IS4-1,"")</f>
        <v>-6.6935653517405935E-3</v>
      </c>
      <c r="CN4" s="62">
        <f>IFERROR(Inv_SY_B!CN4/Inv_SY_B!$IS4-1,"")</f>
        <v>-1.4382653332379314E-2</v>
      </c>
      <c r="CO4" s="62">
        <f>IFERROR(Inv_SY_B!CO4/Inv_SY_B!$IS4-1,"")</f>
        <v>-7.5667629293119099E-3</v>
      </c>
      <c r="CP4" s="62">
        <f>IFERROR(Inv_SY_B!CP4/Inv_SY_B!$IS4-1,"")</f>
        <v>-2.183379429328125E-2</v>
      </c>
      <c r="CQ4" s="62">
        <f>IFERROR(Inv_SY_B!CQ4/Inv_SY_B!$IS4-1,"")</f>
        <v>-4.1856251696659186E-4</v>
      </c>
      <c r="CR4" s="62">
        <f>IFERROR(Inv_SY_B!CR4/Inv_SY_B!$IS4-1,"")</f>
        <v>-3.688634416778469E-3</v>
      </c>
      <c r="CS4" s="62">
        <f>IFERROR(Inv_SY_B!CS4/Inv_SY_B!$IS4-1,"")</f>
        <v>7.7948184272447207E-4</v>
      </c>
      <c r="CT4" s="62">
        <f>IFERROR(Inv_SY_B!CT4/Inv_SY_B!$IS4-1,"")</f>
        <v>6.6518632123564458E-3</v>
      </c>
      <c r="CU4" s="62">
        <f>IFERROR(Inv_SY_B!CU4/Inv_SY_B!$IS4-1,"")</f>
        <v>5.5362102081524256E-4</v>
      </c>
      <c r="CV4" s="62">
        <f>IFERROR(Inv_SY_B!CV4/Inv_SY_B!$IS4-1,"")</f>
        <v>-3.9537753816281107E-3</v>
      </c>
      <c r="CW4" s="62">
        <f>IFERROR(Inv_SY_B!CW4/Inv_SY_B!$IS4-1,"")</f>
        <v>1.2926866047130448E-2</v>
      </c>
      <c r="CX4" s="62">
        <f>IFERROR(Inv_SY_B!CX4/Inv_SY_B!$IS4-1,"")</f>
        <v>1.0363836720250985E-2</v>
      </c>
      <c r="CY4" s="62">
        <f>IFERROR(Inv_SY_B!CY4/Inv_SY_B!$IS4-1,"")</f>
        <v>3.116650347694927E-3</v>
      </c>
      <c r="CZ4" s="62">
        <f>IFERROR(Inv_SY_B!CZ4/Inv_SY_B!$IS4-1,"")</f>
        <v>1.0540597363484006E-2</v>
      </c>
      <c r="DA4" s="62">
        <f>IFERROR(Inv_SY_B!DA4/Inv_SY_B!$IS4-1,"")</f>
        <v>2.2328471315296028E-3</v>
      </c>
      <c r="DB4" s="62">
        <f>IFERROR(Inv_SY_B!DB4/Inv_SY_B!$IS4-1,"")</f>
        <v>-8.6379324273044844E-3</v>
      </c>
      <c r="DC4" s="62">
        <f>IFERROR(Inv_SY_B!DC4/Inv_SY_B!$IS4-1,"")</f>
        <v>7.2999855708777428E-3</v>
      </c>
      <c r="DD4" s="62">
        <f>IFERROR(Inv_SY_B!DD4/Inv_SY_B!$IS4-1,"")</f>
        <v>3.5585519557774781E-3</v>
      </c>
      <c r="DE4" s="62">
        <f>IFERROR(Inv_SY_B!DE4/Inv_SY_B!$IS4-1,"")</f>
        <v>-3.9993306529704897E-2</v>
      </c>
      <c r="DF4" s="62">
        <f>IFERROR(Inv_SY_B!DF4/Inv_SY_B!$IS4-1,"")</f>
        <v>3.4962776593649991E-4</v>
      </c>
      <c r="DG4" s="62">
        <f>IFERROR(Inv_SY_B!DG4/Inv_SY_B!$IS4-1,"")</f>
        <v>1.3368767655212999E-2</v>
      </c>
      <c r="DH4" s="62">
        <f>IFERROR(Inv_SY_B!DH4/Inv_SY_B!$IS4-1,"")</f>
        <v>-3.0699721654627865E-3</v>
      </c>
      <c r="DI4" s="62">
        <f>IFERROR(Inv_SY_B!DI4/Inv_SY_B!$IS4-1,"")</f>
        <v>-3.1515540008009157E-3</v>
      </c>
      <c r="DJ4" s="62">
        <f>IFERROR(Inv_SY_B!DJ4/Inv_SY_B!$IS4-1,"")</f>
        <v>-6.1808893609068716E-2</v>
      </c>
      <c r="DK4" s="62">
        <f>IFERROR(Inv_SY_B!DK4/Inv_SY_B!$IS4-1,"")</f>
        <v>-3.3842133089881932E-3</v>
      </c>
      <c r="DL4" s="62">
        <f>IFERROR(Inv_SY_B!DL4/Inv_SY_B!$IS4-1,"")</f>
        <v>3.3719712768094379E-3</v>
      </c>
      <c r="DM4" s="62">
        <f>IFERROR(Inv_SY_B!DM4/Inv_SY_B!$IS4-1,"")</f>
        <v>1.5313134730776889E-2</v>
      </c>
      <c r="DN4" s="62">
        <f>IFERROR(Inv_SY_B!DN4/Inv_SY_B!$IS4-1,"")</f>
        <v>8.6846106095366249E-3</v>
      </c>
      <c r="DO4" s="62">
        <f>IFERROR(Inv_SY_B!DO4/Inv_SY_B!$IS4-1,"")</f>
        <v>-2.5782147689080714E-2</v>
      </c>
      <c r="DP4" s="62">
        <f>IFERROR(Inv_SY_B!DP4/Inv_SY_B!$IS4-1,"")</f>
        <v>-1.933195134290544E-2</v>
      </c>
      <c r="DQ4" s="62">
        <f>IFERROR(Inv_SY_B!DQ4/Inv_SY_B!$IS4-1,"")</f>
        <v>-1.2182965327701023E-2</v>
      </c>
      <c r="DR4" s="62">
        <f>IFERROR(Inv_SY_B!DR4/Inv_SY_B!$IS4-1,"")</f>
        <v>-8.1960308192218223E-3</v>
      </c>
      <c r="DS4" s="62">
        <f>IFERROR(Inv_SY_B!DS4/Inv_SY_B!$IS4-1,"")</f>
        <v>1.2396584117431386E-2</v>
      </c>
      <c r="DT4" s="62">
        <f>IFERROR(Inv_SY_B!DT4/Inv_SY_B!$IS4-1,"")</f>
        <v>-6.7960768303471086E-2</v>
      </c>
      <c r="DU4" s="62">
        <f>IFERROR(Inv_SY_B!DU4/Inv_SY_B!$IS4-1,"")</f>
        <v>-8.7600839773812611E-2</v>
      </c>
      <c r="DV4" s="62">
        <f>IFERROR(Inv_SY_B!DV4/Inv_SY_B!$IS4-1,"")</f>
        <v>1.525804558597299E-3</v>
      </c>
      <c r="DW4" s="62">
        <f>IFERROR(Inv_SY_B!DW4/Inv_SY_B!$IS4-1,"")</f>
        <v>1.0187076077017965E-2</v>
      </c>
      <c r="DX4" s="62">
        <f>IFERROR(Inv_SY_B!DX4/Inv_SY_B!$IS4-1,"")</f>
        <v>1.722205273300581E-3</v>
      </c>
      <c r="DY4" s="62">
        <f>IFERROR(Inv_SY_B!DY4/Inv_SY_B!$IS4-1,"")</f>
        <v>1.0010315433784722E-2</v>
      </c>
      <c r="DZ4" s="62">
        <f>IFERROR(Inv_SY_B!DZ4/Inv_SY_B!$IS4-1,"")</f>
        <v>7.4472861069054819E-3</v>
      </c>
      <c r="EA4" s="62">
        <f>IFERROR(Inv_SY_B!EA4/Inv_SY_B!$IS4-1,"")</f>
        <v>-2.506685221224525E-2</v>
      </c>
      <c r="EB4" s="62">
        <f>IFERROR(Inv_SY_B!EB4/Inv_SY_B!$IS4-1,"")</f>
        <v>-6.0552630289545384E-3</v>
      </c>
      <c r="EC4" s="62">
        <f>IFERROR(Inv_SY_B!EC4/Inv_SY_B!$IS4-1,"")</f>
        <v>3.0486654849128936E-3</v>
      </c>
      <c r="ED4" s="62">
        <f>IFERROR(Inv_SY_B!ED4/Inv_SY_B!$IS4-1,"")</f>
        <v>-2.0202157586514446E-2</v>
      </c>
      <c r="EE4" s="62">
        <f>IFERROR(Inv_SY_B!EE4/Inv_SY_B!$IS4-1,"")</f>
        <v>1.2593740219498883E-2</v>
      </c>
      <c r="EF4" s="62">
        <f>IFERROR(Inv_SY_B!EF4/Inv_SY_B!$IS4-1,"")</f>
        <v>1.332056020705874E-2</v>
      </c>
      <c r="EG4" s="62">
        <f>IFERROR(Inv_SY_B!EG4/Inv_SY_B!$IS4-1,"")</f>
        <v>5.7835111013688767E-3</v>
      </c>
      <c r="EH4" s="62">
        <f>IFERROR(Inv_SY_B!EH4/Inv_SY_B!$IS4-1,"")</f>
        <v>1.5684579299249268E-2</v>
      </c>
      <c r="EI4" s="62">
        <f>IFERROR(Inv_SY_B!EI4/Inv_SY_B!$IS4-1,"")</f>
        <v>1.5684579299249268E-2</v>
      </c>
      <c r="EJ4" s="62">
        <f>IFERROR(Inv_SY_B!EJ4/Inv_SY_B!$IS4-1,"")</f>
        <v>9.9089561838190399E-3</v>
      </c>
      <c r="EK4" s="62">
        <f>IFERROR(Inv_SY_B!EK4/Inv_SY_B!$IS4-1,"")</f>
        <v>1.1722832721312582E-3</v>
      </c>
      <c r="EL4" s="62">
        <f>IFERROR(Inv_SY_B!EL4/Inv_SY_B!$IS4-1,"")</f>
        <v>-2.693265900192765E-2</v>
      </c>
      <c r="EM4" s="62">
        <f>IFERROR(Inv_SY_B!EM4/Inv_SY_B!$IS4-1,"")</f>
        <v>6.3935207337850741E-3</v>
      </c>
      <c r="EN4" s="62">
        <f>IFERROR(Inv_SY_B!EN4/Inv_SY_B!$IS4-1,"")</f>
        <v>-9.9228463338834061E-3</v>
      </c>
      <c r="EO4" s="62">
        <f>IFERROR(Inv_SY_B!EO4/Inv_SY_B!$IS4-1,"")</f>
        <v>4.6524069919873234E-4</v>
      </c>
      <c r="EP4" s="62">
        <f>IFERROR(Inv_SY_B!EP4/Inv_SY_B!$IS4-1,"")</f>
        <v>6.7198480751384793E-3</v>
      </c>
      <c r="EQ4" s="62">
        <f>IFERROR(Inv_SY_B!EQ4/Inv_SY_B!$IS4-1,"")</f>
        <v>4.0004535638602512E-3</v>
      </c>
      <c r="ER4" s="62">
        <f>IFERROR(Inv_SY_B!ER4/Inv_SY_B!$IS4-1,"")</f>
        <v>-6.2869457468467282E-2</v>
      </c>
      <c r="ES4" s="62">
        <f>IFERROR(Inv_SY_B!ES4/Inv_SY_B!$IS4-1,"")</f>
        <v>-9.2565946786201669E-3</v>
      </c>
      <c r="ET4" s="62">
        <f>IFERROR(Inv_SY_B!ET4/Inv_SY_B!$IS4-1,"")</f>
        <v>3.6790705761637899E-3</v>
      </c>
      <c r="EU4" s="62">
        <f>IFERROR(Inv_SY_B!EU4/Inv_SY_B!$IS4-1,"")</f>
        <v>8.5962302879201147E-3</v>
      </c>
      <c r="EV4" s="62">
        <f>IFERROR(Inv_SY_B!EV4/Inv_SY_B!$IS4-1,"")</f>
        <v>5.2513750390481562E-3</v>
      </c>
      <c r="EW4" s="62">
        <f>IFERROR(Inv_SY_B!EW4/Inv_SY_B!$IS4-1,"")</f>
        <v>5.9040297217549664E-3</v>
      </c>
      <c r="EX4" s="62">
        <f>IFERROR(Inv_SY_B!EX4/Inv_SY_B!$IS4-1,"")</f>
        <v>1.3987429906529014E-2</v>
      </c>
      <c r="EY4" s="62">
        <f>IFERROR(Inv_SY_B!EY4/Inv_SY_B!$IS4-1,"")</f>
        <v>1.1699361580234102E-2</v>
      </c>
      <c r="EZ4" s="62">
        <f>IFERROR(Inv_SY_B!EZ4/Inv_SY_B!$IS4-1,"")</f>
        <v>2.321227453145891E-3</v>
      </c>
      <c r="FA4" s="62">
        <f>IFERROR(Inv_SY_B!FA4/Inv_SY_B!$IS4-1,"")</f>
        <v>3.0282700260784168E-3</v>
      </c>
      <c r="FB4" s="62">
        <f>IFERROR(Inv_SY_B!FB4/Inv_SY_B!$IS4-1,"")</f>
        <v>-2.3629295925304827E-3</v>
      </c>
      <c r="FC4" s="62">
        <f>IFERROR(Inv_SY_B!FC4/Inv_SY_B!$IS4-1,"")</f>
        <v>3.2050306693114372E-3</v>
      </c>
      <c r="FD4" s="62">
        <f>IFERROR(Inv_SY_B!FD4/Inv_SY_B!$IS4-1,"")</f>
        <v>9.7451744689351916E-3</v>
      </c>
      <c r="FE4" s="62">
        <f>IFERROR(Inv_SY_B!FE4/Inv_SY_B!$IS4-1,"")</f>
        <v>9.7783170895413551E-3</v>
      </c>
      <c r="FF4" s="62">
        <f>IFERROR(Inv_SY_B!FF4/Inv_SY_B!$IS4-1,"")</f>
        <v>1.2549241036587055E-2</v>
      </c>
      <c r="FG4" s="62">
        <f>IFERROR(Inv_SY_B!FG4/Inv_SY_B!$IS4-1,"")</f>
        <v>1.9025368386191843E-3</v>
      </c>
      <c r="FH4" s="62">
        <f>IFERROR(Inv_SY_B!FH4/Inv_SY_B!$IS4-1,"")</f>
        <v>-6.0427648016553315E-3</v>
      </c>
      <c r="FI4" s="62">
        <f>IFERROR(Inv_SY_B!FI4/Inv_SY_B!$IS4-1,"")</f>
        <v>-3.897533358781069E-3</v>
      </c>
      <c r="FJ4" s="62">
        <f>IFERROR(Inv_SY_B!FJ4/Inv_SY_B!$IS4-1,"")</f>
        <v>3.0943320846603672E-3</v>
      </c>
      <c r="FK4" s="62">
        <f>IFERROR(Inv_SY_B!FK4/Inv_SY_B!$IS4-1,"")</f>
        <v>-6.0427648016553315E-3</v>
      </c>
      <c r="FL4" s="62">
        <f>IFERROR(Inv_SY_B!FL4/Inv_SY_B!$IS4-1,"")</f>
        <v>1.7955224272629744E-2</v>
      </c>
      <c r="FM4" s="62">
        <f>IFERROR(Inv_SY_B!FM4/Inv_SY_B!$IS4-1,"")</f>
        <v>-4.4338412194997456E-3</v>
      </c>
      <c r="FN4" s="62">
        <f>IFERROR(Inv_SY_B!FN4/Inv_SY_B!$IS4-1,"")</f>
        <v>-4.4537044736003839E-3</v>
      </c>
      <c r="FO4" s="62">
        <f>IFERROR(Inv_SY_B!FO4/Inv_SY_B!$IS4-1,"")</f>
        <v>-1.4981229146964203E-2</v>
      </c>
      <c r="FP4" s="62">
        <f>IFERROR(Inv_SY_B!FP4/Inv_SY_B!$IS4-1,"")</f>
        <v>-1.0790877061883308E-2</v>
      </c>
      <c r="FQ4" s="62">
        <f>IFERROR(Inv_SY_B!FQ4/Inv_SY_B!$IS4-1,"")</f>
        <v>-1.1820588154463074E-2</v>
      </c>
      <c r="FR4" s="62">
        <f>IFERROR(Inv_SY_B!FR4/Inv_SY_B!$IS4-1,"")</f>
        <v>-8.5598363612942041E-3</v>
      </c>
      <c r="FS4" s="62">
        <f>IFERROR(Inv_SY_B!FS4/Inv_SY_B!$IS4-1,"")</f>
        <v>5.8751876587566088E-3</v>
      </c>
      <c r="FT4" s="62">
        <f>IFERROR(Inv_SY_B!FT4/Inv_SY_B!$IS4-1,"")</f>
        <v>-1.13915418658882E-2</v>
      </c>
      <c r="FU4" s="62">
        <f>IFERROR(Inv_SY_B!FU4/Inv_SY_B!$IS4-1,"")</f>
        <v>7.4642479868114453E-3</v>
      </c>
      <c r="FV4" s="62">
        <f>IFERROR(Inv_SY_B!FV4/Inv_SY_B!$IS4-1,"")</f>
        <v>-1.5875075581494924E-2</v>
      </c>
      <c r="FW4" s="62">
        <f>IFERROR(Inv_SY_B!FW4/Inv_SY_B!$IS4-1,"")</f>
        <v>8.3985274423259426E-4</v>
      </c>
      <c r="FX4" s="62">
        <f>IFERROR(Inv_SY_B!FX4/Inv_SY_B!$IS4-1,"")</f>
        <v>7.5437010032142204E-3</v>
      </c>
      <c r="FY4" s="62">
        <f>IFERROR(Inv_SY_B!FY4/Inv_SY_B!$IS4-1,"")</f>
        <v>1.6998609955140909E-2</v>
      </c>
      <c r="FZ4" s="62">
        <f>IFERROR(Inv_SY_B!FZ4/Inv_SY_B!$IS4-1,"")</f>
        <v>1.6839703922335358E-2</v>
      </c>
      <c r="GA4" s="62">
        <f>IFERROR(Inv_SY_B!GA4/Inv_SY_B!$IS4-1,"")</f>
        <v>-1.1213322638326195E-2</v>
      </c>
      <c r="GB4" s="62">
        <f>IFERROR(Inv_SY_B!GB4/Inv_SY_B!$IS4-1,"")</f>
        <v>-7.4729190969047288E-3</v>
      </c>
      <c r="GC4" s="62">
        <f>IFERROR(Inv_SY_B!GC4/Inv_SY_B!$IS4-1,"")</f>
        <v>9.6094794296857078E-3</v>
      </c>
      <c r="GD4" s="62">
        <f>IFERROR(Inv_SY_B!GD4/Inv_SY_B!$IS4-1,"")</f>
        <v>1.2549241036587055E-2</v>
      </c>
      <c r="GE4" s="62">
        <f>IFERROR(Inv_SY_B!GE4/Inv_SY_B!$IS4-1,"")</f>
        <v>9.4964116755740235E-3</v>
      </c>
      <c r="GF4" s="62">
        <f>IFERROR(Inv_SY_B!GF4/Inv_SY_B!$IS4-1,"")</f>
        <v>1.0245103560907465E-2</v>
      </c>
      <c r="GG4" s="62">
        <f>IFERROR(Inv_SY_B!GG4/Inv_SY_B!$IS4-1,"")</f>
        <v>-4.6126105064059342E-3</v>
      </c>
      <c r="GH4" s="62">
        <f>IFERROR(Inv_SY_B!GH4/Inv_SY_B!$IS4-1,"")</f>
        <v>3.9683152650906717E-3</v>
      </c>
      <c r="GI4" s="62">
        <f>IFERROR(Inv_SY_B!GI4/Inv_SY_B!$IS4-1,"")</f>
        <v>9.2026799857034547E-3</v>
      </c>
      <c r="GJ4" s="62">
        <f>IFERROR(Inv_SY_B!GJ4/Inv_SY_B!$IS4-1,"")</f>
        <v>-5.7748343168364968E-2</v>
      </c>
      <c r="GK4" s="62">
        <f>IFERROR(Inv_SY_B!GK4/Inv_SY_B!$IS4-1,"")</f>
        <v>-2.5707386361334739E-2</v>
      </c>
      <c r="GL4" s="62">
        <f>IFERROR(Inv_SY_B!GL4/Inv_SY_B!$IS4-1,"")</f>
        <v>-6.9366112361862742E-3</v>
      </c>
      <c r="GM4" s="62">
        <f>IFERROR(Inv_SY_B!GM4/Inv_SY_B!$IS4-1,"")</f>
        <v>3.7895459781844831E-3</v>
      </c>
      <c r="GN4" s="62">
        <f>IFERROR(Inv_SY_B!GN4/Inv_SY_B!$IS4-1,"")</f>
        <v>-1.5875075581494924E-2</v>
      </c>
      <c r="GO4" s="62">
        <f>IFERROR(Inv_SY_B!GO4/Inv_SY_B!$IS4-1,"")</f>
        <v>-2.0165538467243227E-2</v>
      </c>
      <c r="GP4" s="62">
        <f>IFERROR(Inv_SY_B!GP4/Inv_SY_B!$IS4-1,"")</f>
        <v>-1.3053786986415572E-3</v>
      </c>
      <c r="GQ4" s="62">
        <f>IFERROR(Inv_SY_B!GQ4/Inv_SY_B!$IS4-1,"")</f>
        <v>3.3247458322285262E-3</v>
      </c>
      <c r="GR4" s="62">
        <f>IFERROR(Inv_SY_B!GR4/Inv_SY_B!$IS4-1,"")</f>
        <v>4.9515463430747086E-3</v>
      </c>
      <c r="GS4" s="62" t="str">
        <f>IFERROR(Inv_SY_B!GS4/Inv_SY_B!$IS4-1,"")</f>
        <v/>
      </c>
      <c r="GT4" s="62" t="str">
        <f>IFERROR(Inv_SY_B!GT4/Inv_SY_B!$IS4-1,"")</f>
        <v/>
      </c>
      <c r="GU4" s="62">
        <f>IFERROR(Inv_SY_B!GU4/Inv_SY_B!$IS4-1,"")</f>
        <v>5.9502829152124015E-2</v>
      </c>
      <c r="GV4" s="62">
        <f>IFERROR(Inv_SY_B!GV4/Inv_SY_B!$IS4-1,"")</f>
        <v>-7.0063439367523683E-3</v>
      </c>
      <c r="GW4" s="62">
        <f>IFERROR(Inv_SY_B!GW4/Inv_SY_B!$IS4-1,"")</f>
        <v>-4.9963104392778401E-3</v>
      </c>
      <c r="GX4" s="62" t="str">
        <f>IFERROR(Inv_SY_B!GX4/Inv_SY_B!$IS4-1,"")</f>
        <v/>
      </c>
      <c r="GY4" s="62">
        <f>IFERROR(Inv_SY_B!GY4/Inv_SY_B!$IS4-1,"")</f>
        <v>-2.2306737520187414E-2</v>
      </c>
      <c r="GZ4" s="62">
        <f>IFERROR(Inv_SY_B!GZ4/Inv_SY_B!$IS4-1,"")</f>
        <v>-9.2565946786201669E-3</v>
      </c>
      <c r="HA4" s="62">
        <f>IFERROR(Inv_SY_B!HA4/Inv_SY_B!$IS4-1,"")</f>
        <v>-1.933195134290544E-2</v>
      </c>
      <c r="HB4" s="62">
        <f>IFERROR(Inv_SY_B!HB4/Inv_SY_B!$IS4-1,"")</f>
        <v>-8.6379324273044844E-3</v>
      </c>
      <c r="HC4" s="62">
        <f>IFERROR(Inv_SY_B!HC4/Inv_SY_B!$IS4-1,"")</f>
        <v>-1.7210823624108529E-2</v>
      </c>
      <c r="HD4" s="62">
        <f>IFERROR(Inv_SY_B!HD4/Inv_SY_B!$IS4-1,"")</f>
        <v>-2.2425262599484297E-2</v>
      </c>
      <c r="HE4" s="62">
        <f>IFERROR(Inv_SY_B!HE4/Inv_SY_B!$IS4-1,"")</f>
        <v>-7.8425095327556704E-3</v>
      </c>
      <c r="HF4" s="62">
        <f>IFERROR(Inv_SY_B!HF4/Inv_SY_B!$IS4-1,"")</f>
        <v>-8.9030733921540151E-3</v>
      </c>
      <c r="HG4" s="62">
        <f>IFERROR(Inv_SY_B!HG4/Inv_SY_B!$IS4-1,"")</f>
        <v>-2.0977886276809521E-3</v>
      </c>
      <c r="HH4" s="62">
        <f>IFERROR(Inv_SY_B!HH4/Inv_SY_B!$IS4-1,"")</f>
        <v>-1.0582299502868375E-2</v>
      </c>
      <c r="HI4" s="62">
        <f>IFERROR(Inv_SY_B!HI4/Inv_SY_B!$IS4-1,"")</f>
        <v>-2.6280705573799024E-3</v>
      </c>
      <c r="HJ4" s="62">
        <f>IFERROR(Inv_SY_B!HJ4/Inv_SY_B!$IS4-1,"")</f>
        <v>-1.9508711986138572E-2</v>
      </c>
      <c r="HK4" s="62">
        <f>IFERROR(Inv_SY_B!HK4/Inv_SY_B!$IS4-1,"")</f>
        <v>-2.5200501642930195E-3</v>
      </c>
      <c r="HL4" s="62">
        <f>IFERROR(Inv_SY_B!HL4/Inv_SY_B!$IS4-1,"")</f>
        <v>1.994819159777772E-2</v>
      </c>
      <c r="HM4" s="62">
        <f>IFERROR(Inv_SY_B!HM4/Inv_SY_B!$IS4-1,"")</f>
        <v>2.5061329846256974E-2</v>
      </c>
      <c r="HN4" s="62">
        <f>IFERROR(Inv_SY_B!HN4/Inv_SY_B!$IS4-1,"")</f>
        <v>1.4493687270522138E-2</v>
      </c>
      <c r="HO4" s="62">
        <f>IFERROR(Inv_SY_B!HO4/Inv_SY_B!$IS4-1,"")</f>
        <v>2.6998730985141606E-2</v>
      </c>
      <c r="HP4" s="62">
        <f>IFERROR(Inv_SY_B!HP4/Inv_SY_B!$IS4-1,"")</f>
        <v>1.7875332894757401E-2</v>
      </c>
      <c r="HQ4" s="62">
        <f>IFERROR(Inv_SY_B!HQ4/Inv_SY_B!$IS4-1,"")</f>
        <v>-1.0809945785819952E-2</v>
      </c>
      <c r="HR4" s="62">
        <f>IFERROR(Inv_SY_B!HR4/Inv_SY_B!$IS4-1,"")</f>
        <v>-1.4866423182895883E-2</v>
      </c>
      <c r="HS4" s="62">
        <f>IFERROR(Inv_SY_B!HS4/Inv_SY_B!$IS4-1,"")</f>
        <v>-2.4450939570935359E-2</v>
      </c>
      <c r="HT4" s="62">
        <f>IFERROR(Inv_SY_B!HT4/Inv_SY_B!$IS4-1,"")</f>
        <v>-1.8153547054684971E-2</v>
      </c>
      <c r="HU4" s="62">
        <f>IFERROR(Inv_SY_B!HU4/Inv_SY_B!$IS4-1,"")</f>
        <v>-2.2323285305311247E-2</v>
      </c>
      <c r="HV4" s="62">
        <f>IFERROR(Inv_SY_B!HV4/Inv_SY_B!$IS4-1,"")</f>
        <v>-1.3104537912078773E-2</v>
      </c>
      <c r="HW4" s="62">
        <f>IFERROR(Inv_SY_B!HW4/Inv_SY_B!$IS4-1,"")</f>
        <v>-1.9614768372078428E-2</v>
      </c>
      <c r="HX4" s="62">
        <f>IFERROR(Inv_SY_B!HX4/Inv_SY_B!$IS4-1,"")</f>
        <v>-1.1228155699296805E-2</v>
      </c>
      <c r="HY4" s="62">
        <f>IFERROR(Inv_SY_B!HY4/Inv_SY_B!$IS4-1,"")</f>
        <v>-2.3181405351092477E-2</v>
      </c>
      <c r="HZ4" s="62">
        <f>IFERROR(Inv_SY_B!HZ4/Inv_SY_B!$IS4-1,"")</f>
        <v>-1.8349947769388364E-2</v>
      </c>
      <c r="IA4" s="62">
        <f>IFERROR(Inv_SY_B!IA4/Inv_SY_B!$IS4-1,"")</f>
        <v>9.4505733968801575E-3</v>
      </c>
      <c r="IB4" s="62">
        <f>IFERROR(Inv_SY_B!IB4/Inv_SY_B!$IS4-1,"")</f>
        <v>-1.642840908858556E-2</v>
      </c>
      <c r="IC4" s="62">
        <f>IFERROR(Inv_SY_B!IC4/Inv_SY_B!$IS4-1,"")</f>
        <v>1.1467457659411373E-2</v>
      </c>
      <c r="ID4" s="62">
        <f>IFERROR(Inv_SY_B!ID4/Inv_SY_B!$IS4-1,"")</f>
        <v>-1.5404272054997392E-3</v>
      </c>
      <c r="IE4" s="62">
        <f>IFERROR(Inv_SY_B!IE4/Inv_SY_B!$IS4-1,"")</f>
        <v>8.7354962492554034E-3</v>
      </c>
      <c r="IF4" s="62" t="str">
        <f>IFERROR(Inv_SY_B!IF4/Inv_SY_B!$IS4-1,"")</f>
        <v/>
      </c>
      <c r="IG4" s="62">
        <f>IFERROR(Inv_SY_B!IG4/Inv_SY_B!$IS4-1,"")</f>
        <v>1.9439162754097961E-3</v>
      </c>
      <c r="IH4" s="62">
        <f>IFERROR(Inv_SY_B!IH4/Inv_SY_B!$IS4-1,"")</f>
        <v>5.2176454540440176E-3</v>
      </c>
      <c r="II4" s="62">
        <f>IFERROR(Inv_SY_B!II4/Inv_SY_B!$IS4-1,"")</f>
        <v>-1.1485889358201606E-2</v>
      </c>
      <c r="IJ4" s="62">
        <f>IFERROR(Inv_SY_B!IJ4/Inv_SY_B!$IS4-1,"")</f>
        <v>-2.0962275659504148E-2</v>
      </c>
      <c r="IK4" s="62">
        <f>IFERROR(Inv_SY_B!IK4/Inv_SY_B!$IS4-1,"")</f>
        <v>-1.8144070376842625E-2</v>
      </c>
      <c r="IL4" s="62" t="str">
        <f>IFERROR(Inv_SY_B!IL4/Inv_SY_B!$IS4-1,"")</f>
        <v/>
      </c>
      <c r="IM4" s="62" t="str">
        <f>IFERROR(Inv_SY_B!IM4/Inv_SY_B!$IS4-1,"")</f>
        <v/>
      </c>
      <c r="IN4" s="62">
        <f>IFERROR(Inv_SY_B!IN4/Inv_SY_B!$IS4-1,"")</f>
        <v>2.576583935130583E-2</v>
      </c>
      <c r="IO4" s="62">
        <f>IFERROR(Inv_SY_B!IO4/Inv_SY_B!$IS4-1,"")</f>
        <v>1.8060266639832623E-2</v>
      </c>
      <c r="IP4" s="62">
        <f>IFERROR(Inv_SY_B!IP4/Inv_SY_B!$IS4-1,"")</f>
        <v>0.17193112888361406</v>
      </c>
      <c r="IQ4" s="62">
        <f>IFERROR(Inv_SY_B!IQ4/Inv_SY_B!$IS4-1,"")</f>
        <v>-1.8144070376842625E-2</v>
      </c>
      <c r="IR4" s="62">
        <f>IFERROR(Inv_SY_B!IR4/Inv_SY_B!$IS4-1,"")</f>
        <v>8.6679018920172712E-3</v>
      </c>
    </row>
    <row r="5" spans="2:253" x14ac:dyDescent="0.25">
      <c r="B5" s="85">
        <f>B4+1</f>
        <v>45831</v>
      </c>
      <c r="C5" s="62">
        <f>IFERROR(Inv_SY_B!C5/Inv_SY_B!$IS5-1,"")</f>
        <v>2.576996551599664E-2</v>
      </c>
      <c r="D5" s="62">
        <f>IFERROR(Inv_SY_B!D5/Inv_SY_B!$IS5-1,"")</f>
        <v>1.2695484231069365E-2</v>
      </c>
      <c r="E5" s="62">
        <f>IFERROR(Inv_SY_B!E5/Inv_SY_B!$IS5-1,"")</f>
        <v>1.8559773630926424E-2</v>
      </c>
      <c r="F5" s="62">
        <f>IFERROR(Inv_SY_B!F5/Inv_SY_B!$IS5-1,"")</f>
        <v>1.3456560041160026E-2</v>
      </c>
      <c r="G5" s="62">
        <f>IFERROR(Inv_SY_B!G5/Inv_SY_B!$IS5-1,"")</f>
        <v>8.6577767754298929E-3</v>
      </c>
      <c r="H5" s="62">
        <f>IFERROR(Inv_SY_B!H5/Inv_SY_B!$IS5-1,"")</f>
        <v>1.4289737770101452E-2</v>
      </c>
      <c r="I5" s="62">
        <f>IFERROR(Inv_SY_B!I5/Inv_SY_B!$IS5-1,"")</f>
        <v>1.2935823960571469E-2</v>
      </c>
      <c r="J5" s="62">
        <f>IFERROR(Inv_SY_B!J5/Inv_SY_B!$IS5-1,"")</f>
        <v>1.3456560041160026E-2</v>
      </c>
      <c r="K5" s="62">
        <f>IFERROR(Inv_SY_B!K5/Inv_SY_B!$IS5-1,"")</f>
        <v>-6.8573953261770737E-2</v>
      </c>
      <c r="L5" s="62">
        <f>IFERROR(Inv_SY_B!L5/Inv_SY_B!$IS5-1,"")</f>
        <v>1.2910828628703408E-2</v>
      </c>
      <c r="M5" s="62">
        <f>IFERROR(Inv_SY_B!M5/Inv_SY_B!$IS5-1,"")</f>
        <v>2.168419011445688E-2</v>
      </c>
      <c r="N5" s="62">
        <f>IFERROR(Inv_SY_B!N5/Inv_SY_B!$IS5-1,"")</f>
        <v>2.7099845352576368E-2</v>
      </c>
      <c r="O5" s="62">
        <f>IFERROR(Inv_SY_B!O5/Inv_SY_B!$IS5-1,"")</f>
        <v>2.1788337330574503E-2</v>
      </c>
      <c r="P5" s="62">
        <f>IFERROR(Inv_SY_B!P5/Inv_SY_B!$IS5-1,"")</f>
        <v>1.2310940663865511E-2</v>
      </c>
      <c r="Q5" s="62">
        <f>IFERROR(Inv_SY_B!Q5/Inv_SY_B!$IS5-1,"")</f>
        <v>8.3533464513936284E-3</v>
      </c>
      <c r="R5" s="62">
        <f>IFERROR(Inv_SY_B!R5/Inv_SY_B!$IS5-1,"")</f>
        <v>7.9367575869229157E-3</v>
      </c>
      <c r="S5" s="62">
        <f>IFERROR(Inv_SY_B!S5/Inv_SY_B!$IS5-1,"")</f>
        <v>5.5413716162162618E-3</v>
      </c>
      <c r="T5" s="62">
        <f>IFERROR(Inv_SY_B!T5/Inv_SY_B!$IS5-1,"")</f>
        <v>3.9597511286698195E-2</v>
      </c>
      <c r="U5" s="62">
        <f>IFERROR(Inv_SY_B!U5/Inv_SY_B!$IS5-1,"")</f>
        <v>5.0046128869942752E-3</v>
      </c>
      <c r="V5" s="62">
        <f>IFERROR(Inv_SY_B!V5/Inv_SY_B!$IS5-1,"")</f>
        <v>3.4664386181793017E-3</v>
      </c>
      <c r="W5" s="62">
        <f>IFERROR(Inv_SY_B!W5/Inv_SY_B!$IS5-1,"")</f>
        <v>9.3948186125705213E-3</v>
      </c>
      <c r="X5" s="62">
        <f>IFERROR(Inv_SY_B!X5/Inv_SY_B!$IS5-1,"")</f>
        <v>1.2310940663865511E-2</v>
      </c>
      <c r="Y5" s="62">
        <f>IFERROR(Inv_SY_B!Y5/Inv_SY_B!$IS5-1,"")</f>
        <v>5.6775641296007429E-3</v>
      </c>
      <c r="Z5" s="62">
        <f>IFERROR(Inv_SY_B!Z5/Inv_SY_B!$IS5-1,"")</f>
        <v>1.7865458856808569E-2</v>
      </c>
      <c r="AA5" s="62">
        <f>IFERROR(Inv_SY_B!AA5/Inv_SY_B!$IS5-1,"")</f>
        <v>1.6733191686708393E-2</v>
      </c>
      <c r="AB5" s="62">
        <f>IFERROR(Inv_SY_B!AB5/Inv_SY_B!$IS5-1,"")</f>
        <v>7.792553749221387E-3</v>
      </c>
      <c r="AC5" s="62">
        <f>IFERROR(Inv_SY_B!AC5/Inv_SY_B!$IS5-1,"")</f>
        <v>1.8175230063722569E-2</v>
      </c>
      <c r="AD5" s="62">
        <f>IFERROR(Inv_SY_B!AD5/Inv_SY_B!$IS5-1,"")</f>
        <v>7.3118742902167355E-3</v>
      </c>
      <c r="AE5" s="62">
        <f>IFERROR(Inv_SY_B!AE5/Inv_SY_B!$IS5-1,"")</f>
        <v>1.629167870214121E-2</v>
      </c>
      <c r="AF5" s="62">
        <f>IFERROR(Inv_SY_B!AF5/Inv_SY_B!$IS5-1,"")</f>
        <v>1.018170868990409E-2</v>
      </c>
      <c r="AG5" s="62">
        <f>IFERROR(Inv_SY_B!AG5/Inv_SY_B!$IS5-1,"")</f>
        <v>2.6660112662301616E-2</v>
      </c>
      <c r="AH5" s="62">
        <f>IFERROR(Inv_SY_B!AH5/Inv_SY_B!$IS5-1,"")</f>
        <v>-6.4989437521258298E-2</v>
      </c>
      <c r="AI5" s="62">
        <f>IFERROR(Inv_SY_B!AI5/Inv_SY_B!$IS5-1,"")</f>
        <v>2.2224576613180558E-2</v>
      </c>
      <c r="AJ5" s="62">
        <f>IFERROR(Inv_SY_B!AJ5/Inv_SY_B!$IS5-1,"")</f>
        <v>2.4020381366452348E-2</v>
      </c>
      <c r="AK5" s="62">
        <f>IFERROR(Inv_SY_B!AK5/Inv_SY_B!$IS5-1,"")</f>
        <v>1.0644585205982438E-2</v>
      </c>
      <c r="AL5" s="62">
        <f>IFERROR(Inv_SY_B!AL5/Inv_SY_B!$IS5-1,"")</f>
        <v>-3.6257785425262146E-3</v>
      </c>
      <c r="AM5" s="62">
        <f>IFERROR(Inv_SY_B!AM5/Inv_SY_B!$IS5-1,"")</f>
        <v>1.7205859821396663E-2</v>
      </c>
      <c r="AN5" s="62">
        <f>IFERROR(Inv_SY_B!AN5/Inv_SY_B!$IS5-1,"")</f>
        <v>3.2098911726224921E-2</v>
      </c>
      <c r="AO5" s="62">
        <f>IFERROR(Inv_SY_B!AO5/Inv_SY_B!$IS5-1,"")</f>
        <v>2.1892484546692348E-2</v>
      </c>
      <c r="AP5" s="62">
        <f>IFERROR(Inv_SY_B!AP5/Inv_SY_B!$IS5-1,"")</f>
        <v>1.8455626414808801E-2</v>
      </c>
      <c r="AQ5" s="62">
        <f>IFERROR(Inv_SY_B!AQ5/Inv_SY_B!$IS5-1,"")</f>
        <v>2.3128079165679605E-3</v>
      </c>
      <c r="AR5" s="62">
        <f>IFERROR(Inv_SY_B!AR5/Inv_SY_B!$IS5-1,"")</f>
        <v>3.0953292348930406E-2</v>
      </c>
      <c r="AS5" s="62">
        <f>IFERROR(Inv_SY_B!AS5/Inv_SY_B!$IS5-1,"")</f>
        <v>4.0534836231757243E-2</v>
      </c>
      <c r="AT5" s="62">
        <f>IFERROR(Inv_SY_B!AT5/Inv_SY_B!$IS5-1,"")</f>
        <v>3.5848211506461558E-2</v>
      </c>
      <c r="AU5" s="62">
        <f>IFERROR(Inv_SY_B!AU5/Inv_SY_B!$IS5-1,"")</f>
        <v>1.585194601186668E-2</v>
      </c>
      <c r="AV5" s="62">
        <f>IFERROR(Inv_SY_B!AV5/Inv_SY_B!$IS5-1,"")</f>
        <v>2.0017834656573807E-2</v>
      </c>
      <c r="AW5" s="62">
        <f>IFERROR(Inv_SY_B!AW5/Inv_SY_B!$IS5-1,"")</f>
        <v>-8.5747668973090163E-2</v>
      </c>
      <c r="AX5" s="62">
        <f>IFERROR(Inv_SY_B!AX5/Inv_SY_B!$IS5-1,"")</f>
        <v>-1.1240502153154752E-3</v>
      </c>
      <c r="AY5" s="62">
        <f>IFERROR(Inv_SY_B!AY5/Inv_SY_B!$IS5-1,"")</f>
        <v>9.8114074770412341E-3</v>
      </c>
      <c r="AZ5" s="62">
        <f>IFERROR(Inv_SY_B!AZ5/Inv_SY_B!$IS5-1,"")</f>
        <v>-8.9170106721203513E-2</v>
      </c>
      <c r="BA5" s="62">
        <f>IFERROR(Inv_SY_B!BA5/Inv_SY_B!$IS5-1,"")</f>
        <v>9.8114074770412341E-3</v>
      </c>
      <c r="BB5" s="62">
        <f>IFERROR(Inv_SY_B!BB5/Inv_SY_B!$IS5-1,"")</f>
        <v>1.3352412825042181E-2</v>
      </c>
      <c r="BC5" s="62">
        <f>IFERROR(Inv_SY_B!BC5/Inv_SY_B!$IS5-1,"")</f>
        <v>9.0708050513153005E-3</v>
      </c>
      <c r="BD5" s="62">
        <f>IFERROR(Inv_SY_B!BD5/Inv_SY_B!$IS5-1,"")</f>
        <v>1.0366859296335518E-2</v>
      </c>
      <c r="BE5" s="62">
        <f>IFERROR(Inv_SY_B!BE5/Inv_SY_B!$IS5-1,"")</f>
        <v>-5.8587428865116697E-3</v>
      </c>
      <c r="BF5" s="62">
        <f>IFERROR(Inv_SY_B!BF5/Inv_SY_B!$IS5-1,"")</f>
        <v>1.8328335372887139E-2</v>
      </c>
      <c r="BG5" s="62">
        <f>IFERROR(Inv_SY_B!BG5/Inv_SY_B!$IS5-1,"")</f>
        <v>1.7865458856808569E-2</v>
      </c>
      <c r="BH5" s="62">
        <f>IFERROR(Inv_SY_B!BH5/Inv_SY_B!$IS5-1,"")</f>
        <v>1.0123849125394102E-2</v>
      </c>
      <c r="BI5" s="62">
        <f>IFERROR(Inv_SY_B!BI5/Inv_SY_B!$IS5-1,"")</f>
        <v>6.6638471677067379E-3</v>
      </c>
      <c r="BJ5" s="62">
        <f>IFERROR(Inv_SY_B!BJ5/Inv_SY_B!$IS5-1,"")</f>
        <v>2.2401648714378775E-2</v>
      </c>
      <c r="BK5" s="62">
        <f>IFERROR(Inv_SY_B!BK5/Inv_SY_B!$IS5-1,"")</f>
        <v>1.6580976524690483E-2</v>
      </c>
      <c r="BL5" s="62">
        <f>IFERROR(Inv_SY_B!BL5/Inv_SY_B!$IS5-1,"")</f>
        <v>4.7471140747634699E-3</v>
      </c>
      <c r="BM5" s="62">
        <f>IFERROR(Inv_SY_B!BM5/Inv_SY_B!$IS5-1,"")</f>
        <v>1.3769001689512894E-2</v>
      </c>
      <c r="BN5" s="62">
        <f>IFERROR(Inv_SY_B!BN5/Inv_SY_B!$IS5-1,"")</f>
        <v>3.4420186668534525E-2</v>
      </c>
      <c r="BO5" s="62">
        <f>IFERROR(Inv_SY_B!BO5/Inv_SY_B!$IS5-1,"")</f>
        <v>1.1637989421258821E-2</v>
      </c>
      <c r="BP5" s="62">
        <f>IFERROR(Inv_SY_B!BP5/Inv_SY_B!$IS5-1,"")</f>
        <v>1.6540919903106799E-2</v>
      </c>
      <c r="BQ5" s="62">
        <f>IFERROR(Inv_SY_B!BQ5/Inv_SY_B!$IS5-1,"")</f>
        <v>3.6587104017811178E-3</v>
      </c>
      <c r="BR5" s="62">
        <f>IFERROR(Inv_SY_B!BR5/Inv_SY_B!$IS5-1,"")</f>
        <v>-2.0133072144741249E-3</v>
      </c>
      <c r="BS5" s="62">
        <f>IFERROR(Inv_SY_B!BS5/Inv_SY_B!$IS5-1,"")</f>
        <v>1.6476829308572638E-2</v>
      </c>
      <c r="BT5" s="62">
        <f>IFERROR(Inv_SY_B!BT5/Inv_SY_B!$IS5-1,"")</f>
        <v>1.4498032202336697E-2</v>
      </c>
      <c r="BU5" s="62">
        <f>IFERROR(Inv_SY_B!BU5/Inv_SY_B!$IS5-1,"")</f>
        <v>1.585194601186668E-2</v>
      </c>
      <c r="BV5" s="62">
        <f>IFERROR(Inv_SY_B!BV5/Inv_SY_B!$IS5-1,"")</f>
        <v>7.2077270740991128E-3</v>
      </c>
      <c r="BW5" s="62">
        <f>IFERROR(Inv_SY_B!BW5/Inv_SY_B!$IS5-1,"")</f>
        <v>8.5474689092057687E-4</v>
      </c>
      <c r="BX5" s="62">
        <f>IFERROR(Inv_SY_B!BX5/Inv_SY_B!$IS5-1,"")</f>
        <v>8.5474689092057687E-4</v>
      </c>
      <c r="BY5" s="62">
        <f>IFERROR(Inv_SY_B!BY5/Inv_SY_B!$IS5-1,"")</f>
        <v>-1.8672527025631602E-4</v>
      </c>
      <c r="BZ5" s="62">
        <f>IFERROR(Inv_SY_B!BZ5/Inv_SY_B!$IS5-1,"")</f>
        <v>1.693970582465143E-2</v>
      </c>
      <c r="CA5" s="62">
        <f>IFERROR(Inv_SY_B!CA5/Inv_SY_B!$IS5-1,"")</f>
        <v>-2.0382313345705949E-3</v>
      </c>
      <c r="CB5" s="62">
        <f>IFERROR(Inv_SY_B!CB5/Inv_SY_B!$IS5-1,"")</f>
        <v>2.3662987220692822E-2</v>
      </c>
      <c r="CC5" s="62">
        <f>IFERROR(Inv_SY_B!CC5/Inv_SY_B!$IS5-1,"")</f>
        <v>1.3352412825042181E-2</v>
      </c>
      <c r="CD5" s="62">
        <f>IFERROR(Inv_SY_B!CD5/Inv_SY_B!$IS5-1,"")</f>
        <v>3.048062421424258E-2</v>
      </c>
      <c r="CE5" s="62">
        <f>IFERROR(Inv_SY_B!CE5/Inv_SY_B!$IS5-1,"")</f>
        <v>2.1267601249986168E-2</v>
      </c>
      <c r="CF5" s="62">
        <f>IFERROR(Inv_SY_B!CF5/Inv_SY_B!$IS5-1,"")</f>
        <v>5.9579604806869746E-3</v>
      </c>
      <c r="CG5" s="62">
        <f>IFERROR(Inv_SY_B!CG5/Inv_SY_B!$IS5-1,"")</f>
        <v>1.4393884986219074E-2</v>
      </c>
      <c r="CH5" s="62">
        <f>IFERROR(Inv_SY_B!CH5/Inv_SY_B!$IS5-1,"")</f>
        <v>3.0015967403871358E-2</v>
      </c>
      <c r="CI5" s="62">
        <f>IFERROR(Inv_SY_B!CI5/Inv_SY_B!$IS5-1,"")</f>
        <v>1.0852879638217905E-2</v>
      </c>
      <c r="CJ5" s="62">
        <f>IFERROR(Inv_SY_B!CJ5/Inv_SY_B!$IS5-1,"")</f>
        <v>1.3456560041160026E-2</v>
      </c>
      <c r="CK5" s="62">
        <f>IFERROR(Inv_SY_B!CK5/Inv_SY_B!$IS5-1,"")</f>
        <v>1.5331209931278122E-2</v>
      </c>
      <c r="CL5" s="62">
        <f>IFERROR(Inv_SY_B!CL5/Inv_SY_B!$IS5-1,"")</f>
        <v>8.9782297480995865E-3</v>
      </c>
      <c r="CM5" s="62">
        <f>IFERROR(Inv_SY_B!CM5/Inv_SY_B!$IS5-1,"")</f>
        <v>-4.2484666988458208E-3</v>
      </c>
      <c r="CN5" s="62">
        <f>IFERROR(Inv_SY_B!CN5/Inv_SY_B!$IS5-1,"")</f>
        <v>-1.5079777175084685E-2</v>
      </c>
      <c r="CO5" s="62">
        <f>IFERROR(Inv_SY_B!CO5/Inv_SY_B!$IS5-1,"")</f>
        <v>-2.8670659772933593E-4</v>
      </c>
      <c r="CP5" s="62">
        <f>IFERROR(Inv_SY_B!CP5/Inv_SY_B!$IS5-1,"")</f>
        <v>-2.2297980384471838E-2</v>
      </c>
      <c r="CQ5" s="62">
        <f>IFERROR(Inv_SY_B!CQ5/Inv_SY_B!$IS5-1,"")</f>
        <v>-5.3940860761403364E-3</v>
      </c>
      <c r="CR5" s="62">
        <f>IFERROR(Inv_SY_B!CR5/Inv_SY_B!$IS5-1,"")</f>
        <v>-2.2696695926099908E-3</v>
      </c>
      <c r="CS5" s="62">
        <f>IFERROR(Inv_SY_B!CS5/Inv_SY_B!$IS5-1,"")</f>
        <v>-8.5185025596709041E-3</v>
      </c>
      <c r="CT5" s="62">
        <f>IFERROR(Inv_SY_B!CT5/Inv_SY_B!$IS5-1,"")</f>
        <v>-2.1655223764921461E-3</v>
      </c>
      <c r="CU5" s="62">
        <f>IFERROR(Inv_SY_B!CU5/Inv_SY_B!$IS5-1,"")</f>
        <v>-0.22410323992327186</v>
      </c>
      <c r="CV5" s="62">
        <f>IFERROR(Inv_SY_B!CV5/Inv_SY_B!$IS5-1,"")</f>
        <v>2.6058373191399475E-2</v>
      </c>
      <c r="CW5" s="62">
        <f>IFERROR(Inv_SY_B!CW5/Inv_SY_B!$IS5-1,"")</f>
        <v>-4.3526139149636656E-3</v>
      </c>
      <c r="CX5" s="62">
        <f>IFERROR(Inv_SY_B!CX5/Inv_SY_B!$IS5-1,"")</f>
        <v>-1.8672527025631602E-4</v>
      </c>
      <c r="CY5" s="62">
        <f>IFERROR(Inv_SY_B!CY5/Inv_SY_B!$IS5-1,"")</f>
        <v>1.0227996341511725E-2</v>
      </c>
      <c r="CZ5" s="62">
        <f>IFERROR(Inv_SY_B!CZ5/Inv_SY_B!$IS5-1,"")</f>
        <v>-2.2696695926099908E-3</v>
      </c>
      <c r="DA5" s="62">
        <f>IFERROR(Inv_SY_B!DA5/Inv_SY_B!$IS5-1,"")</f>
        <v>-9.559974720847686E-3</v>
      </c>
      <c r="DB5" s="62">
        <f>IFERROR(Inv_SY_B!DB5/Inv_SY_B!$IS5-1,"")</f>
        <v>-1.4142452230025637E-2</v>
      </c>
      <c r="DC5" s="62">
        <f>IFERROR(Inv_SY_B!DC5/Inv_SY_B!$IS5-1,"")</f>
        <v>-1.8672527025631602E-4</v>
      </c>
      <c r="DD5" s="62">
        <f>IFERROR(Inv_SY_B!DD5/Inv_SY_B!$IS5-1,"")</f>
        <v>-9.559974720847686E-3</v>
      </c>
      <c r="DE5" s="62">
        <f>IFERROR(Inv_SY_B!DE5/Inv_SY_B!$IS5-1,"")</f>
        <v>-1.8672527025631602E-4</v>
      </c>
      <c r="DF5" s="62">
        <f>IFERROR(Inv_SY_B!DF5/Inv_SY_B!$IS5-1,"")</f>
        <v>4.1889212336108095E-3</v>
      </c>
      <c r="DG5" s="62">
        <f>IFERROR(Inv_SY_B!DG5/Inv_SY_B!$IS5-1,"")</f>
        <v>-9.559974720847686E-3</v>
      </c>
      <c r="DH5" s="62">
        <f>IFERROR(Inv_SY_B!DH5/Inv_SY_B!$IS5-1,"")</f>
        <v>-1.9627538945556799E-2</v>
      </c>
      <c r="DI5" s="62">
        <f>IFERROR(Inv_SY_B!DI5/Inv_SY_B!$IS5-1,"")</f>
        <v>4.812341103392459E-3</v>
      </c>
      <c r="DJ5" s="62">
        <f>IFERROR(Inv_SY_B!DJ5/Inv_SY_B!$IS5-1,"")</f>
        <v>1.2118668880263472E-2</v>
      </c>
      <c r="DK5" s="62">
        <f>IFERROR(Inv_SY_B!DK5/Inv_SY_B!$IS5-1,"")</f>
        <v>-9.4442555918280435E-3</v>
      </c>
      <c r="DL5" s="62">
        <f>IFERROR(Inv_SY_B!DL5/Inv_SY_B!$IS5-1,"")</f>
        <v>-1.7776032881242632E-2</v>
      </c>
      <c r="DM5" s="62">
        <f>IFERROR(Inv_SY_B!DM5/Inv_SY_B!$IS5-1,"")</f>
        <v>-9.559974720847686E-3</v>
      </c>
      <c r="DN5" s="62">
        <f>IFERROR(Inv_SY_B!DN5/Inv_SY_B!$IS5-1,"")</f>
        <v>3.9791633744508115E-3</v>
      </c>
      <c r="DO5" s="62">
        <f>IFERROR(Inv_SY_B!DO5/Inv_SY_B!$IS5-1,"")</f>
        <v>-0.1003792043423184</v>
      </c>
      <c r="DP5" s="62">
        <f>IFERROR(Inv_SY_B!DP5/Inv_SY_B!$IS5-1,"")</f>
        <v>9.0708050513153005E-3</v>
      </c>
      <c r="DQ5" s="62">
        <f>IFERROR(Inv_SY_B!DQ5/Inv_SY_B!$IS5-1,"")</f>
        <v>-1.9627538945556799E-2</v>
      </c>
      <c r="DR5" s="62">
        <f>IFERROR(Inv_SY_B!DR5/Inv_SY_B!$IS5-1,"")</f>
        <v>1.5956093227984303E-2</v>
      </c>
      <c r="DS5" s="62">
        <f>IFERROR(Inv_SY_B!DS5/Inv_SY_B!$IS5-1,"")</f>
        <v>-4.3526139149636656E-3</v>
      </c>
      <c r="DT5" s="62">
        <f>IFERROR(Inv_SY_B!DT5/Inv_SY_B!$IS5-1,"")</f>
        <v>-3.7587147769406082E-2</v>
      </c>
      <c r="DU5" s="62">
        <f>IFERROR(Inv_SY_B!DU5/Inv_SY_B!$IS5-1,"")</f>
        <v>-5.9342344025099525E-2</v>
      </c>
      <c r="DV5" s="62">
        <f>IFERROR(Inv_SY_B!DV5/Inv_SY_B!$IS5-1,"")</f>
        <v>-9.559974720847686E-3</v>
      </c>
      <c r="DW5" s="62">
        <f>IFERROR(Inv_SY_B!DW5/Inv_SY_B!$IS5-1,"")</f>
        <v>7.1035798579814902E-3</v>
      </c>
      <c r="DX5" s="62">
        <f>IFERROR(Inv_SY_B!DX5/Inv_SY_B!$IS5-1,"")</f>
        <v>8.145052019158161E-3</v>
      </c>
      <c r="DY5" s="62">
        <f>IFERROR(Inv_SY_B!DY5/Inv_SY_B!$IS5-1,"")</f>
        <v>-2.0912021277674886E-2</v>
      </c>
      <c r="DZ5" s="62">
        <f>IFERROR(Inv_SY_B!DZ5/Inv_SY_B!$IS5-1,"")</f>
        <v>4.0833105905686562E-3</v>
      </c>
      <c r="EA5" s="62">
        <f>IFERROR(Inv_SY_B!EA5/Inv_SY_B!$IS5-1,"")</f>
        <v>-1.8672527025631602E-4</v>
      </c>
      <c r="EB5" s="62">
        <f>IFERROR(Inv_SY_B!EB5/Inv_SY_B!$IS5-1,"")</f>
        <v>-3.1662328363600056E-2</v>
      </c>
      <c r="EC5" s="62">
        <f>IFERROR(Inv_SY_B!EC5/Inv_SY_B!$IS5-1,"")</f>
        <v>-1.0761673368359426E-2</v>
      </c>
      <c r="ED5" s="62">
        <f>IFERROR(Inv_SY_B!ED5/Inv_SY_B!$IS5-1,"")</f>
        <v>-2.0086854873050286E-2</v>
      </c>
      <c r="EE5" s="62">
        <f>IFERROR(Inv_SY_B!EE5/Inv_SY_B!$IS5-1,"")</f>
        <v>4.1393898607857693E-3</v>
      </c>
      <c r="EF5" s="62">
        <f>IFERROR(Inv_SY_B!EF5/Inv_SY_B!$IS5-1,"")</f>
        <v>-2.2909754241386859E-2</v>
      </c>
      <c r="EG5" s="62">
        <f>IFERROR(Inv_SY_B!EG5/Inv_SY_B!$IS5-1,"")</f>
        <v>-8.2708798080624035E-3</v>
      </c>
      <c r="EH5" s="62">
        <f>IFERROR(Inv_SY_B!EH5/Inv_SY_B!$IS5-1,"")</f>
        <v>2.1325531194413827E-3</v>
      </c>
      <c r="EI5" s="62">
        <f>IFERROR(Inv_SY_B!EI5/Inv_SY_B!$IS5-1,"")</f>
        <v>-0.15440508251869789</v>
      </c>
      <c r="EJ5" s="62">
        <f>IFERROR(Inv_SY_B!EJ5/Inv_SY_B!$IS5-1,"")</f>
        <v>4.7967125245462761E-4</v>
      </c>
      <c r="EK5" s="62">
        <f>IFERROR(Inv_SY_B!EK5/Inv_SY_B!$IS5-1,"")</f>
        <v>-1.0184858017553755E-2</v>
      </c>
      <c r="EL5" s="62">
        <f>IFERROR(Inv_SY_B!EL5/Inv_SY_B!$IS5-1,"")</f>
        <v>-2.7265001460853533E-2</v>
      </c>
      <c r="EM5" s="62">
        <f>IFERROR(Inv_SY_B!EM5/Inv_SY_B!$IS5-1,"")</f>
        <v>-5.7126883746017043E-4</v>
      </c>
      <c r="EN5" s="62">
        <f>IFERROR(Inv_SY_B!EN5/Inv_SY_B!$IS5-1,"")</f>
        <v>-1.9029360063239964E-2</v>
      </c>
      <c r="EO5" s="62">
        <f>IFERROR(Inv_SY_B!EO5/Inv_SY_B!$IS5-1,"")</f>
        <v>2.3128079165679605E-3</v>
      </c>
      <c r="EP5" s="62">
        <f>IFERROR(Inv_SY_B!EP5/Inv_SY_B!$IS5-1,"")</f>
        <v>1.7359925657625119E-3</v>
      </c>
      <c r="EQ5" s="62">
        <f>IFERROR(Inv_SY_B!EQ5/Inv_SY_B!$IS5-1,"")</f>
        <v>-1.4142452230025637E-2</v>
      </c>
      <c r="ER5" s="62">
        <f>IFERROR(Inv_SY_B!ER5/Inv_SY_B!$IS5-1,"")</f>
        <v>3.6587104017811178E-3</v>
      </c>
      <c r="ES5" s="62">
        <f>IFERROR(Inv_SY_B!ES5/Inv_SY_B!$IS5-1,"")</f>
        <v>5.0206355356277044E-3</v>
      </c>
      <c r="ET5" s="62">
        <f>IFERROR(Inv_SY_B!ET5/Inv_SY_B!$IS5-1,"")</f>
        <v>-4.7313310644825357E-3</v>
      </c>
      <c r="EU5" s="62">
        <f>IFERROR(Inv_SY_B!EU5/Inv_SY_B!$IS5-1,"")</f>
        <v>2.2309073411163061E-2</v>
      </c>
      <c r="EV5" s="62">
        <f>IFERROR(Inv_SY_B!EV5/Inv_SY_B!$IS5-1,"")</f>
        <v>1.9617268440736524E-2</v>
      </c>
      <c r="EW5" s="62">
        <f>IFERROR(Inv_SY_B!EW5/Inv_SY_B!$IS5-1,"")</f>
        <v>7.5041460738185517E-3</v>
      </c>
      <c r="EX5" s="62">
        <f>IFERROR(Inv_SY_B!EX5/Inv_SY_B!$IS5-1,"")</f>
        <v>1.1477762934924085E-2</v>
      </c>
      <c r="EY5" s="62">
        <f>IFERROR(Inv_SY_B!EY5/Inv_SY_B!$IS5-1,"")</f>
        <v>7.3902776190082342E-4</v>
      </c>
      <c r="EZ5" s="62">
        <f>IFERROR(Inv_SY_B!EZ5/Inv_SY_B!$IS5-1,"")</f>
        <v>2.3128079165679605E-3</v>
      </c>
      <c r="FA5" s="62">
        <f>IFERROR(Inv_SY_B!FA5/Inv_SY_B!$IS5-1,"")</f>
        <v>1.4393884986219074E-2</v>
      </c>
      <c r="FB5" s="62">
        <f>IFERROR(Inv_SY_B!FB5/Inv_SY_B!$IS5-1,"")</f>
        <v>2.1045134843327151E-3</v>
      </c>
      <c r="FC5" s="62">
        <f>IFERROR(Inv_SY_B!FC5/Inv_SY_B!$IS5-1,"")</f>
        <v>5.1247827517455491E-3</v>
      </c>
      <c r="FD5" s="62">
        <f>IFERROR(Inv_SY_B!FD5/Inv_SY_B!$IS5-1,"")</f>
        <v>-7.4770303984940112E-3</v>
      </c>
      <c r="FE5" s="62">
        <f>IFERROR(Inv_SY_B!FE5/Inv_SY_B!$IS5-1,"")</f>
        <v>1.043747426483943E-2</v>
      </c>
      <c r="FF5" s="62">
        <f>IFERROR(Inv_SY_B!FF5/Inv_SY_B!$IS5-1,"")</f>
        <v>-3.0625787057314557E-4</v>
      </c>
      <c r="FG5" s="62">
        <f>IFERROR(Inv_SY_B!FG5/Inv_SY_B!$IS5-1,"")</f>
        <v>1.0706652738820432E-2</v>
      </c>
      <c r="FH5" s="62">
        <f>IFERROR(Inv_SY_B!FH5/Inv_SY_B!$IS5-1,"")</f>
        <v>-3.0009517303772881E-2</v>
      </c>
      <c r="FI5" s="62">
        <f>IFERROR(Inv_SY_B!FI5/Inv_SY_B!$IS5-1,"")</f>
        <v>-7.3651540324419784E-2</v>
      </c>
      <c r="FJ5" s="62">
        <f>IFERROR(Inv_SY_B!FJ5/Inv_SY_B!$IS5-1,"")</f>
        <v>-7.4775067867992262E-2</v>
      </c>
      <c r="FK5" s="62">
        <f>IFERROR(Inv_SY_B!FK5/Inv_SY_B!$IS5-1,"")</f>
        <v>-1.7849672326982313E-2</v>
      </c>
      <c r="FL5" s="62">
        <f>IFERROR(Inv_SY_B!FL5/Inv_SY_B!$IS5-1,"")</f>
        <v>5.1077404800170534E-3</v>
      </c>
      <c r="FM5" s="62">
        <f>IFERROR(Inv_SY_B!FM5/Inv_SY_B!$IS5-1,"")</f>
        <v>-9.8913522266766973E-3</v>
      </c>
      <c r="FN5" s="62">
        <f>IFERROR(Inv_SY_B!FN5/Inv_SY_B!$IS5-1,"")</f>
        <v>-7.065546687489288E-2</v>
      </c>
      <c r="FO5" s="62">
        <f>IFERROR(Inv_SY_B!FO5/Inv_SY_B!$IS5-1,"")</f>
        <v>-9.8913522266766973E-3</v>
      </c>
      <c r="FP5" s="62">
        <f>IFERROR(Inv_SY_B!FP5/Inv_SY_B!$IS5-1,"")</f>
        <v>-2.4014093449383767E-2</v>
      </c>
      <c r="FQ5" s="62">
        <f>IFERROR(Inv_SY_B!FQ5/Inv_SY_B!$IS5-1,"")</f>
        <v>2.6809209859004479E-3</v>
      </c>
      <c r="FR5" s="62">
        <f>IFERROR(Inv_SY_B!FR5/Inv_SY_B!$IS5-1,"")</f>
        <v>-2.0576099166051742E-2</v>
      </c>
      <c r="FS5" s="62">
        <f>IFERROR(Inv_SY_B!FS5/Inv_SY_B!$IS5-1,"")</f>
        <v>-7.5506698442338038E-3</v>
      </c>
      <c r="FT5" s="62">
        <f>IFERROR(Inv_SY_B!FT5/Inv_SY_B!$IS5-1,"")</f>
        <v>-9.0487065689972557E-3</v>
      </c>
      <c r="FU5" s="62">
        <f>IFERROR(Inv_SY_B!FU5/Inv_SY_B!$IS5-1,"")</f>
        <v>7.616951993995924E-3</v>
      </c>
      <c r="FV5" s="62">
        <f>IFERROR(Inv_SY_B!FV5/Inv_SY_B!$IS5-1,"")</f>
        <v>4.9602774899233371E-3</v>
      </c>
      <c r="FW5" s="62">
        <f>IFERROR(Inv_SY_B!FW5/Inv_SY_B!$IS5-1,"")</f>
        <v>-8.838045154577312E-3</v>
      </c>
      <c r="FX5" s="62">
        <f>IFERROR(Inv_SY_B!FX5/Inv_SY_B!$IS5-1,"")</f>
        <v>-5.3621318166497955E-3</v>
      </c>
      <c r="FY5" s="62">
        <f>IFERROR(Inv_SY_B!FY5/Inv_SY_B!$IS5-1,"")</f>
        <v>-6.052633119470463E-3</v>
      </c>
      <c r="FZ5" s="62">
        <f>IFERROR(Inv_SY_B!FZ5/Inv_SY_B!$IS5-1,"")</f>
        <v>1.6950255664154312E-3</v>
      </c>
      <c r="GA5" s="62">
        <f>IFERROR(Inv_SY_B!GA5/Inv_SY_B!$IS5-1,"")</f>
        <v>-8.2708798080624035E-3</v>
      </c>
      <c r="GB5" s="62">
        <f>IFERROR(Inv_SY_B!GB5/Inv_SY_B!$IS5-1,"")</f>
        <v>-2.533985595079935E-2</v>
      </c>
      <c r="GC5" s="62">
        <f>IFERROR(Inv_SY_B!GC5/Inv_SY_B!$IS5-1,"")</f>
        <v>2.7483326385147056E-3</v>
      </c>
      <c r="GD5" s="62">
        <f>IFERROR(Inv_SY_B!GD5/Inv_SY_B!$IS5-1,"")</f>
        <v>1.0630413231558222E-3</v>
      </c>
      <c r="GE5" s="62">
        <f>IFERROR(Inv_SY_B!GE5/Inv_SY_B!$IS5-1,"")</f>
        <v>-3.895604277803888E-3</v>
      </c>
      <c r="GF5" s="62">
        <f>IFERROR(Inv_SY_B!GF5/Inv_SY_B!$IS5-1,"")</f>
        <v>4.3399966585757621E-3</v>
      </c>
      <c r="GG5" s="62">
        <f>IFERROR(Inv_SY_B!GG5/Inv_SY_B!$IS5-1,"")</f>
        <v>-1.8149279671935026E-2</v>
      </c>
      <c r="GH5" s="62">
        <f>IFERROR(Inv_SY_B!GH5/Inv_SY_B!$IS5-1,"")</f>
        <v>1.9730986334496325E-3</v>
      </c>
      <c r="GI5" s="62">
        <f>IFERROR(Inv_SY_B!GI5/Inv_SY_B!$IS5-1,"")</f>
        <v>-6.9719193921915834E-2</v>
      </c>
      <c r="GJ5" s="62">
        <f>IFERROR(Inv_SY_B!GJ5/Inv_SY_B!$IS5-1,"")</f>
        <v>-1.7993714319747944E-2</v>
      </c>
      <c r="GK5" s="62">
        <f>IFERROR(Inv_SY_B!GK5/Inv_SY_B!$IS5-1,"")</f>
        <v>7.4704920152623977E-4</v>
      </c>
      <c r="GL5" s="62">
        <f>IFERROR(Inv_SY_B!GL5/Inv_SY_B!$IS5-1,"")</f>
        <v>-1.4315241929493738E-2</v>
      </c>
      <c r="GM5" s="62">
        <f>IFERROR(Inv_SY_B!GM5/Inv_SY_B!$IS5-1,"")</f>
        <v>-8.838045154577312E-3</v>
      </c>
      <c r="GN5" s="62">
        <f>IFERROR(Inv_SY_B!GN5/Inv_SY_B!$IS5-1,"")</f>
        <v>-8.1007302041078422E-3</v>
      </c>
      <c r="GO5" s="62">
        <f>IFERROR(Inv_SY_B!GO5/Inv_SY_B!$IS5-1,"")</f>
        <v>7.5935451701714118E-3</v>
      </c>
      <c r="GP5" s="62">
        <f>IFERROR(Inv_SY_B!GP5/Inv_SY_B!$IS5-1,"")</f>
        <v>-1.9371115875570166E-2</v>
      </c>
      <c r="GQ5" s="62">
        <f>IFERROR(Inv_SY_B!GQ5/Inv_SY_B!$IS5-1,"")</f>
        <v>-1.4104580515073795E-2</v>
      </c>
      <c r="GR5" s="62">
        <f>IFERROR(Inv_SY_B!GR5/Inv_SY_B!$IS5-1,"")</f>
        <v>-1.9371115875570166E-2</v>
      </c>
      <c r="GS5" s="62" t="str">
        <f>IFERROR(Inv_SY_B!GS5/Inv_SY_B!$IS5-1,"")</f>
        <v/>
      </c>
      <c r="GT5" s="62" t="str">
        <f>IFERROR(Inv_SY_B!GT5/Inv_SY_B!$IS5-1,"")</f>
        <v/>
      </c>
      <c r="GU5" s="62">
        <f>IFERROR(Inv_SY_B!GU5/Inv_SY_B!$IS5-1,"")</f>
        <v>5.1639567499650596E-2</v>
      </c>
      <c r="GV5" s="62">
        <f>IFERROR(Inv_SY_B!GV5/Inv_SY_B!$IS5-1,"")</f>
        <v>-0.10026161289009761</v>
      </c>
      <c r="GW5" s="62">
        <f>IFERROR(Inv_SY_B!GW5/Inv_SY_B!$IS5-1,"")</f>
        <v>-2.0064757118172127E-2</v>
      </c>
      <c r="GX5" s="62" t="str">
        <f>IFERROR(Inv_SY_B!GX5/Inv_SY_B!$IS5-1,"")</f>
        <v/>
      </c>
      <c r="GY5" s="62">
        <f>IFERROR(Inv_SY_B!GY5/Inv_SY_B!$IS5-1,"")</f>
        <v>1.2410247134462926E-2</v>
      </c>
      <c r="GZ5" s="62">
        <f>IFERROR(Inv_SY_B!GZ5/Inv_SY_B!$IS5-1,"")</f>
        <v>-1.7371015929673828E-2</v>
      </c>
      <c r="HA5" s="62">
        <f>IFERROR(Inv_SY_B!HA5/Inv_SY_B!$IS5-1,"")</f>
        <v>-6.1321141131335466E-2</v>
      </c>
      <c r="HB5" s="62">
        <f>IFERROR(Inv_SY_B!HB5/Inv_SY_B!$IS5-1,"")</f>
        <v>-1.9662254684262859E-2</v>
      </c>
      <c r="HC5" s="62">
        <f>IFERROR(Inv_SY_B!HC5/Inv_SY_B!$IS5-1,"")</f>
        <v>-6.0331413472702877E-4</v>
      </c>
      <c r="HD5" s="62">
        <f>IFERROR(Inv_SY_B!HD5/Inv_SY_B!$IS5-1,"")</f>
        <v>7.9367575869229157E-3</v>
      </c>
      <c r="HE5" s="62">
        <f>IFERROR(Inv_SY_B!HE5/Inv_SY_B!$IS5-1,"")</f>
        <v>1.7518301469749531E-2</v>
      </c>
      <c r="HF5" s="62">
        <f>IFERROR(Inv_SY_B!HF5/Inv_SY_B!$IS5-1,"")</f>
        <v>1.6580976524690483E-2</v>
      </c>
      <c r="HG5" s="62">
        <f>IFERROR(Inv_SY_B!HG5/Inv_SY_B!$IS5-1,"")</f>
        <v>-1.9974696332615838E-2</v>
      </c>
      <c r="HH5" s="62">
        <f>IFERROR(Inv_SY_B!HH5/Inv_SY_B!$IS5-1,"")</f>
        <v>1.4498032202336697E-2</v>
      </c>
      <c r="HI5" s="62">
        <f>IFERROR(Inv_SY_B!HI5/Inv_SY_B!$IS5-1,"")</f>
        <v>1.8143184766455711E-2</v>
      </c>
      <c r="HJ5" s="62">
        <f>IFERROR(Inv_SY_B!HJ5/Inv_SY_B!$IS5-1,"")</f>
        <v>-1.9974696332615838E-2</v>
      </c>
      <c r="HK5" s="62">
        <f>IFERROR(Inv_SY_B!HK5/Inv_SY_B!$IS5-1,"")</f>
        <v>-1.8672527025631602E-4</v>
      </c>
      <c r="HL5" s="62">
        <f>IFERROR(Inv_SY_B!HL5/Inv_SY_B!$IS5-1,"")</f>
        <v>1.8328335372887139E-2</v>
      </c>
      <c r="HM5" s="62">
        <f>IFERROR(Inv_SY_B!HM5/Inv_SY_B!$IS5-1,"")</f>
        <v>3.3589993902347848E-2</v>
      </c>
      <c r="HN5" s="62">
        <f>IFERROR(Inv_SY_B!HN5/Inv_SY_B!$IS5-1,"")</f>
        <v>1.9891813260268343E-2</v>
      </c>
      <c r="HO5" s="62">
        <f>IFERROR(Inv_SY_B!HO5/Inv_SY_B!$IS5-1,"")</f>
        <v>1.4080463896962048E-2</v>
      </c>
      <c r="HP5" s="62">
        <f>IFERROR(Inv_SY_B!HP5/Inv_SY_B!$IS5-1,"")</f>
        <v>3.0352242114219941E-2</v>
      </c>
      <c r="HQ5" s="62">
        <f>IFERROR(Inv_SY_B!HQ5/Inv_SY_B!$IS5-1,"")</f>
        <v>-8.8882026342012033E-3</v>
      </c>
      <c r="HR5" s="62">
        <f>IFERROR(Inv_SY_B!HR5/Inv_SY_B!$IS5-1,"")</f>
        <v>5.6086894581603985E-3</v>
      </c>
      <c r="HS5" s="62">
        <f>IFERROR(Inv_SY_B!HS5/Inv_SY_B!$IS5-1,"")</f>
        <v>3.2307206158460389E-2</v>
      </c>
      <c r="HT5" s="62">
        <f>IFERROR(Inv_SY_B!HT5/Inv_SY_B!$IS5-1,"")</f>
        <v>1.934666370825977E-2</v>
      </c>
      <c r="HU5" s="62">
        <f>IFERROR(Inv_SY_B!HU5/Inv_SY_B!$IS5-1,"")</f>
        <v>1.0868902286851556E-2</v>
      </c>
      <c r="HV5" s="62">
        <f>IFERROR(Inv_SY_B!HV5/Inv_SY_B!$IS5-1,"")</f>
        <v>2.3654975896375996E-2</v>
      </c>
      <c r="HW5" s="62">
        <f>IFERROR(Inv_SY_B!HW5/Inv_SY_B!$IS5-1,"")</f>
        <v>3.2507168813406428E-2</v>
      </c>
      <c r="HX5" s="62">
        <f>IFERROR(Inv_SY_B!HX5/Inv_SY_B!$IS5-1,"")</f>
        <v>3.1153575456849047E-2</v>
      </c>
      <c r="HY5" s="62">
        <f>IFERROR(Inv_SY_B!HY5/Inv_SY_B!$IS5-1,"")</f>
        <v>2.8233892816968975E-2</v>
      </c>
      <c r="HZ5" s="62">
        <f>IFERROR(Inv_SY_B!HZ5/Inv_SY_B!$IS5-1,"")</f>
        <v>1.1477762934923863E-2</v>
      </c>
      <c r="IA5" s="62">
        <f>IFERROR(Inv_SY_B!IA5/Inv_SY_B!$IS5-1,"")</f>
        <v>1.722455291146896E-2</v>
      </c>
      <c r="IB5" s="62">
        <f>IFERROR(Inv_SY_B!IB5/Inv_SY_B!$IS5-1,"")</f>
        <v>-1.5910249781529551E-2</v>
      </c>
      <c r="IC5" s="62">
        <f>IFERROR(Inv_SY_B!IC5/Inv_SY_B!$IS5-1,"")</f>
        <v>4.5848680462776681E-3</v>
      </c>
      <c r="ID5" s="62">
        <f>IFERROR(Inv_SY_B!ID5/Inv_SY_B!$IS5-1,"")</f>
        <v>-2.0450430529696639E-2</v>
      </c>
      <c r="IE5" s="62">
        <f>IFERROR(Inv_SY_B!IE5/Inv_SY_B!$IS5-1,"")</f>
        <v>-1.5115755304288991E-2</v>
      </c>
      <c r="IF5" s="62" t="str">
        <f>IFERROR(Inv_SY_B!IF5/Inv_SY_B!$IS5-1,"")</f>
        <v/>
      </c>
      <c r="IG5" s="62">
        <f>IFERROR(Inv_SY_B!IG5/Inv_SY_B!$IS5-1,"")</f>
        <v>2.3982621600642906E-2</v>
      </c>
      <c r="IH5" s="62">
        <f>IFERROR(Inv_SY_B!IH5/Inv_SY_B!$IS5-1,"")</f>
        <v>-1.2070608237916614E-2</v>
      </c>
      <c r="II5" s="62">
        <f>IFERROR(Inv_SY_B!II5/Inv_SY_B!$IS5-1,"")</f>
        <v>2.9285382454986131E-2</v>
      </c>
      <c r="IJ5" s="62">
        <f>IFERROR(Inv_SY_B!IJ5/Inv_SY_B!$IS5-1,"")</f>
        <v>-2.835673546594808E-2</v>
      </c>
      <c r="IK5" s="62">
        <f>IFERROR(Inv_SY_B!IK5/Inv_SY_B!$IS5-1,"")</f>
        <v>-2.5555918939947908E-2</v>
      </c>
      <c r="IL5" s="62" t="str">
        <f>IFERROR(Inv_SY_B!IL5/Inv_SY_B!$IS5-1,"")</f>
        <v/>
      </c>
      <c r="IM5" s="62" t="str">
        <f>IFERROR(Inv_SY_B!IM5/Inv_SY_B!$IS5-1,"")</f>
        <v/>
      </c>
      <c r="IN5" s="62">
        <f>IFERROR(Inv_SY_B!IN5/Inv_SY_B!$IS5-1,"")</f>
        <v>9.6020489919582008E-2</v>
      </c>
      <c r="IO5" s="62">
        <f>IFERROR(Inv_SY_B!IO5/Inv_SY_B!$IS5-1,"")</f>
        <v>3.5146605338947756E-2</v>
      </c>
      <c r="IP5" s="62">
        <f>IFERROR(Inv_SY_B!IP5/Inv_SY_B!$IS5-1,"")</f>
        <v>0.1647292488419656</v>
      </c>
      <c r="IQ5" s="62">
        <f>IFERROR(Inv_SY_B!IQ5/Inv_SY_B!$IS5-1,"")</f>
        <v>-2.9877178722919284E-2</v>
      </c>
      <c r="IR5" s="62">
        <f>IFERROR(Inv_SY_B!IR5/Inv_SY_B!$IS5-1,"")</f>
        <v>-7.1454173720495451E-3</v>
      </c>
    </row>
    <row r="6" spans="2:253" x14ac:dyDescent="0.25">
      <c r="B6" s="85">
        <f t="shared" ref="B6:B56" si="0">B5+1</f>
        <v>45832</v>
      </c>
      <c r="C6" s="62">
        <f>IFERROR(Inv_SY_B!C6/Inv_SY_B!$IS6-1,"")</f>
        <v>-1.0367042510448621E-2</v>
      </c>
      <c r="D6" s="62">
        <f>IFERROR(Inv_SY_B!D6/Inv_SY_B!$IS6-1,"")</f>
        <v>1.4108051831082102E-2</v>
      </c>
      <c r="E6" s="62">
        <f>IFERROR(Inv_SY_B!E6/Inv_SY_B!$IS6-1,"")</f>
        <v>1.9527537006706508E-2</v>
      </c>
      <c r="F6" s="62">
        <f>IFERROR(Inv_SY_B!F6/Inv_SY_B!$IS6-1,"")</f>
        <v>5.2853630613016733E-3</v>
      </c>
      <c r="G6" s="62">
        <f>IFERROR(Inv_SY_B!G6/Inv_SY_B!$IS6-1,"")</f>
        <v>4.2480852534938496E-3</v>
      </c>
      <c r="H6" s="62">
        <f>IFERROR(Inv_SY_B!H6/Inv_SY_B!$IS6-1,"")</f>
        <v>1.384581867742285E-2</v>
      </c>
      <c r="I6" s="62">
        <f>IFERROR(Inv_SY_B!I6/Inv_SY_B!$IS6-1,"")</f>
        <v>1.339128121108013E-2</v>
      </c>
      <c r="J6" s="62">
        <f>IFERROR(Inv_SY_B!J6/Inv_SY_B!$IS6-1,"")</f>
        <v>1.831543709645933E-2</v>
      </c>
      <c r="K6" s="62">
        <f>IFERROR(Inv_SY_B!K6/Inv_SY_B!$IS6-1,"")</f>
        <v>1.1618585092343592E-2</v>
      </c>
      <c r="L6" s="62">
        <f>IFERROR(Inv_SY_B!L6/Inv_SY_B!$IS6-1,"")</f>
        <v>1.8091198613063852E-2</v>
      </c>
      <c r="M6" s="62">
        <f>IFERROR(Inv_SY_B!M6/Inv_SY_B!$IS6-1,"")</f>
        <v>3.1042486154055471E-2</v>
      </c>
      <c r="N6" s="62">
        <f>IFERROR(Inv_SY_B!N6/Inv_SY_B!$IS6-1,"")</f>
        <v>2.8769798822341874E-2</v>
      </c>
      <c r="O6" s="62">
        <f>IFERROR(Inv_SY_B!O6/Inv_SY_B!$IS6-1,"")</f>
        <v>-2.5017134694879317E-2</v>
      </c>
      <c r="P6" s="62">
        <f>IFERROR(Inv_SY_B!P6/Inv_SY_B!$IS6-1,"")</f>
        <v>4.6097317993830655E-2</v>
      </c>
      <c r="Q6" s="62">
        <f>IFERROR(Inv_SY_B!Q6/Inv_SY_B!$IS6-1,"")</f>
        <v>1.6194262253526936E-2</v>
      </c>
      <c r="R6" s="62">
        <f>IFERROR(Inv_SY_B!R6/Inv_SY_B!$IS6-1,"")</f>
        <v>1.5588212298403237E-2</v>
      </c>
      <c r="S6" s="62">
        <f>IFERROR(Inv_SY_B!S6/Inv_SY_B!$IS6-1,"")</f>
        <v>7.3307816598440212E-3</v>
      </c>
      <c r="T6" s="62">
        <f>IFERROR(Inv_SY_B!T6/Inv_SY_B!$IS6-1,"")</f>
        <v>5.0580943281304247E-3</v>
      </c>
      <c r="U6" s="62">
        <f>IFERROR(Inv_SY_B!U6/Inv_SY_B!$IS6-1,"")</f>
        <v>7.0452388925259513E-3</v>
      </c>
      <c r="V6" s="62">
        <f>IFERROR(Inv_SY_B!V6/Inv_SY_B!$IS6-1,"")</f>
        <v>6.8354523695985936E-3</v>
      </c>
      <c r="W6" s="62">
        <f>IFERROR(Inv_SY_B!W6/Inv_SY_B!$IS6-1,"")</f>
        <v>1.7179093430602643E-2</v>
      </c>
      <c r="X6" s="62">
        <f>IFERROR(Inv_SY_B!X6/Inv_SY_B!$IS6-1,"")</f>
        <v>2.1875980582810817E-2</v>
      </c>
      <c r="Y6" s="62">
        <f>IFERROR(Inv_SY_B!Y6/Inv_SY_B!$IS6-1,"")</f>
        <v>-5.8915966879973247E-3</v>
      </c>
      <c r="Z6" s="62">
        <f>IFERROR(Inv_SY_B!Z6/Inv_SY_B!$IS6-1,"")</f>
        <v>2.1261513267199161E-2</v>
      </c>
      <c r="AA6" s="62">
        <f>IFERROR(Inv_SY_B!AA6/Inv_SY_B!$IS6-1,"")</f>
        <v>2.3198801157936266E-2</v>
      </c>
      <c r="AB6" s="62">
        <f>IFERROR(Inv_SY_B!AB6/Inv_SY_B!$IS6-1,"")</f>
        <v>1.4247909513033896E-2</v>
      </c>
      <c r="AC6" s="62">
        <f>IFERROR(Inv_SY_B!AC6/Inv_SY_B!$IS6-1,"")</f>
        <v>-1.4632701809972559E-2</v>
      </c>
      <c r="AD6" s="62">
        <f>IFERROR(Inv_SY_B!AD6/Inv_SY_B!$IS6-1,"")</f>
        <v>5.5042144339851884E-3</v>
      </c>
      <c r="AE6" s="62">
        <f>IFERROR(Inv_SY_B!AE6/Inv_SY_B!$IS6-1,"")</f>
        <v>1.6480452510112986E-2</v>
      </c>
      <c r="AF6" s="62">
        <f>IFERROR(Inv_SY_B!AF6/Inv_SY_B!$IS6-1,"")</f>
        <v>-2.0219239216817231E-2</v>
      </c>
      <c r="AG6" s="62">
        <f>IFERROR(Inv_SY_B!AG6/Inv_SY_B!$IS6-1,"")</f>
        <v>-1.9882544797304114E-2</v>
      </c>
      <c r="AH6" s="62">
        <f>IFERROR(Inv_SY_B!AH6/Inv_SY_B!$IS6-1,"")</f>
        <v>-2.2845455689019634E-2</v>
      </c>
      <c r="AI6" s="62">
        <f>IFERROR(Inv_SY_B!AI6/Inv_SY_B!$IS6-1,"")</f>
        <v>2.1469745799729267E-4</v>
      </c>
      <c r="AJ6" s="62">
        <f>IFERROR(Inv_SY_B!AJ6/Inv_SY_B!$IS6-1,"")</f>
        <v>2.7035251424252227E-2</v>
      </c>
      <c r="AK6" s="62">
        <f>IFERROR(Inv_SY_B!AK6/Inv_SY_B!$IS6-1,"")</f>
        <v>-6.7598797967802771E-3</v>
      </c>
      <c r="AL6" s="62">
        <f>IFERROR(Inv_SY_B!AL6/Inv_SY_B!$IS6-1,"")</f>
        <v>3.1545942713528952E-4</v>
      </c>
      <c r="AM6" s="62">
        <f>IFERROR(Inv_SY_B!AM6/Inv_SY_B!$IS6-1,"")</f>
        <v>-2.7744359492935411E-2</v>
      </c>
      <c r="AN6" s="62">
        <f>IFERROR(Inv_SY_B!AN6/Inv_SY_B!$IS6-1,"")</f>
        <v>-2.1077809986575713E-2</v>
      </c>
      <c r="AO6" s="62">
        <f>IFERROR(Inv_SY_B!AO6/Inv_SY_B!$IS6-1,"")</f>
        <v>-2.2902613777434633E-3</v>
      </c>
      <c r="AP6" s="62">
        <f>IFERROR(Inv_SY_B!AP6/Inv_SY_B!$IS6-1,"")</f>
        <v>7.2550254154533089E-3</v>
      </c>
      <c r="AQ6" s="62">
        <f>IFERROR(Inv_SY_B!AQ6/Inv_SY_B!$IS6-1,"")</f>
        <v>-9.7901295723983317E-3</v>
      </c>
      <c r="AR6" s="62">
        <f>IFERROR(Inv_SY_B!AR6/Inv_SY_B!$IS6-1,"")</f>
        <v>-1.3274916814359106E-2</v>
      </c>
      <c r="AS6" s="62">
        <f>IFERROR(Inv_SY_B!AS6/Inv_SY_B!$IS6-1,"")</f>
        <v>4.6035568617874834E-3</v>
      </c>
      <c r="AT6" s="62">
        <f>IFERROR(Inv_SY_B!AT6/Inv_SY_B!$IS6-1,"")</f>
        <v>-2.3660176221339535E-3</v>
      </c>
      <c r="AU6" s="62">
        <f>IFERROR(Inv_SY_B!AU6/Inv_SY_B!$IS6-1,"")</f>
        <v>1.1421618856928273E-2</v>
      </c>
      <c r="AV6" s="62">
        <f>IFERROR(Inv_SY_B!AV6/Inv_SY_B!$IS6-1,"")</f>
        <v>1.5815481031574707E-2</v>
      </c>
      <c r="AW6" s="62">
        <f>IFERROR(Inv_SY_B!AW6/Inv_SY_B!$IS6-1,"")</f>
        <v>-1.4772559491924242E-2</v>
      </c>
      <c r="AX6" s="62">
        <f>IFERROR(Inv_SY_B!AX6/Inv_SY_B!$IS6-1,"")</f>
        <v>-4.3356799762858111E-3</v>
      </c>
      <c r="AY6" s="62">
        <f>IFERROR(Inv_SY_B!AY6/Inv_SY_B!$IS6-1,"")</f>
        <v>-1.2539159544822098E-3</v>
      </c>
      <c r="AZ6" s="62">
        <f>IFERROR(Inv_SY_B!AZ6/Inv_SY_B!$IS6-1,"")</f>
        <v>-1.4562772968996773E-2</v>
      </c>
      <c r="BA6" s="62">
        <f>IFERROR(Inv_SY_B!BA6/Inv_SY_B!$IS6-1,"")</f>
        <v>8.9974190364339179E-3</v>
      </c>
      <c r="BB6" s="62">
        <f>IFERROR(Inv_SY_B!BB6/Inv_SY_B!$IS6-1,"")</f>
        <v>7.9368316149674989E-3</v>
      </c>
      <c r="BC6" s="62">
        <f>IFERROR(Inv_SY_B!BC6/Inv_SY_B!$IS6-1,"")</f>
        <v>2.3079663132570039E-2</v>
      </c>
      <c r="BD6" s="62">
        <f>IFERROR(Inv_SY_B!BD6/Inv_SY_B!$IS6-1,"")</f>
        <v>9.5445474681428166E-3</v>
      </c>
      <c r="BE6" s="62">
        <f>IFERROR(Inv_SY_B!BE6/Inv_SY_B!$IS6-1,"")</f>
        <v>-6.0314543699490075E-3</v>
      </c>
      <c r="BF6" s="62">
        <f>IFERROR(Inv_SY_B!BF6/Inv_SY_B!$IS6-1,"")</f>
        <v>1.2776813895468697E-2</v>
      </c>
      <c r="BG6" s="62">
        <f>IFERROR(Inv_SY_B!BG6/Inv_SY_B!$IS6-1,"")</f>
        <v>1.122801956570818E-2</v>
      </c>
      <c r="BH6" s="62">
        <f>IFERROR(Inv_SY_B!BH6/Inv_SY_B!$IS6-1,"")</f>
        <v>1.3012499989127901E-2</v>
      </c>
      <c r="BI6" s="62">
        <f>IFERROR(Inv_SY_B!BI6/Inv_SY_B!$IS6-1,"")</f>
        <v>-1.2970128401799119E-3</v>
      </c>
      <c r="BJ6" s="62">
        <f>IFERROR(Inv_SY_B!BJ6/Inv_SY_B!$IS6-1,"")</f>
        <v>1.244011947595558E-2</v>
      </c>
      <c r="BK6" s="62">
        <f>IFERROR(Inv_SY_B!BK6/Inv_SY_B!$IS6-1,"")</f>
        <v>9.9822502135098468E-3</v>
      </c>
      <c r="BL6" s="62">
        <f>IFERROR(Inv_SY_B!BL6/Inv_SY_B!$IS6-1,"")</f>
        <v>1.8112981131189754E-2</v>
      </c>
      <c r="BM6" s="62">
        <f>IFERROR(Inv_SY_B!BM6/Inv_SY_B!$IS6-1,"")</f>
        <v>7.3307816598440212E-3</v>
      </c>
      <c r="BN6" s="62">
        <f>IFERROR(Inv_SY_B!BN6/Inv_SY_B!$IS6-1,"")</f>
        <v>9.0013141622858894E-2</v>
      </c>
      <c r="BO6" s="62">
        <f>IFERROR(Inv_SY_B!BO6/Inv_SY_B!$IS6-1,"")</f>
        <v>1.6135988219380115E-2</v>
      </c>
      <c r="BP6" s="62">
        <f>IFERROR(Inv_SY_B!BP6/Inv_SY_B!$IS6-1,"")</f>
        <v>7.0452388925259513E-3</v>
      </c>
      <c r="BQ6" s="62">
        <f>IFERROR(Inv_SY_B!BQ6/Inv_SY_B!$IS6-1,"")</f>
        <v>1.5436699809622256E-2</v>
      </c>
      <c r="BR6" s="62">
        <f>IFERROR(Inv_SY_B!BR6/Inv_SY_B!$IS6-1,"")</f>
        <v>-1.6590709357295119E-2</v>
      </c>
      <c r="BS6" s="62">
        <f>IFERROR(Inv_SY_B!BS6/Inv_SY_B!$IS6-1,"")</f>
        <v>6.1186817495966217E-3</v>
      </c>
      <c r="BT6" s="62">
        <f>IFERROR(Inv_SY_B!BT6/Inv_SY_B!$IS6-1,"")</f>
        <v>4.3005318842257445E-3</v>
      </c>
      <c r="BU6" s="62">
        <f>IFERROR(Inv_SY_B!BU6/Inv_SY_B!$IS6-1,"")</f>
        <v>5.2853630613016733E-3</v>
      </c>
      <c r="BV6" s="62">
        <f>IFERROR(Inv_SY_B!BV6/Inv_SY_B!$IS6-1,"")</f>
        <v>-2.0629926445721036E-3</v>
      </c>
      <c r="BW6" s="62">
        <f>IFERROR(Inv_SY_B!BW6/Inv_SY_B!$IS6-1,"")</f>
        <v>2.3694130448181694E-2</v>
      </c>
      <c r="BX6" s="62">
        <f>IFERROR(Inv_SY_B!BX6/Inv_SY_B!$IS6-1,"")</f>
        <v>1.5733070861696508E-3</v>
      </c>
      <c r="BY6" s="62">
        <f>IFERROR(Inv_SY_B!BY6/Inv_SY_B!$IS6-1,"")</f>
        <v>4.4941311754458368E-3</v>
      </c>
      <c r="BZ6" s="62">
        <f>IFERROR(Inv_SY_B!BZ6/Inv_SY_B!$IS6-1,"")</f>
        <v>-1.6717617253880768E-2</v>
      </c>
      <c r="CA6" s="62">
        <f>IFERROR(Inv_SY_B!CA6/Inv_SY_B!$IS6-1,"")</f>
        <v>1.0015919655461003E-2</v>
      </c>
      <c r="CB6" s="62">
        <f>IFERROR(Inv_SY_B!CB6/Inv_SY_B!$IS6-1,"")</f>
        <v>6.8004879491108117E-3</v>
      </c>
      <c r="CC6" s="62">
        <f>IFERROR(Inv_SY_B!CC6/Inv_SY_B!$IS6-1,"")</f>
        <v>-1.1539177118867761E-3</v>
      </c>
      <c r="CD6" s="62">
        <f>IFERROR(Inv_SY_B!CD6/Inv_SY_B!$IS6-1,"")</f>
        <v>1.1520684714977358E-2</v>
      </c>
      <c r="CE6" s="62">
        <f>IFERROR(Inv_SY_B!CE6/Inv_SY_B!$IS6-1,"")</f>
        <v>1.7027580941821885E-2</v>
      </c>
      <c r="CF6" s="62">
        <f>IFERROR(Inv_SY_B!CF6/Inv_SY_B!$IS6-1,"")</f>
        <v>2.020934320622092E-2</v>
      </c>
      <c r="CG6" s="62">
        <f>IFERROR(Inv_SY_B!CG6/Inv_SY_B!$IS6-1,"")</f>
        <v>5.8156567720348828E-3</v>
      </c>
      <c r="CH6" s="62">
        <f>IFERROR(Inv_SY_B!CH6/Inv_SY_B!$IS6-1,"")</f>
        <v>1.5663968542793727E-2</v>
      </c>
      <c r="CI6" s="62">
        <f>IFERROR(Inv_SY_B!CI6/Inv_SY_B!$IS6-1,"")</f>
        <v>7.2550254154533089E-3</v>
      </c>
      <c r="CJ6" s="62">
        <f>IFERROR(Inv_SY_B!CJ6/Inv_SY_B!$IS6-1,"")</f>
        <v>1.1194350123757024E-2</v>
      </c>
      <c r="CK6" s="62">
        <f>IFERROR(Inv_SY_B!CK6/Inv_SY_B!$IS6-1,"")</f>
        <v>8.8459065476529375E-3</v>
      </c>
      <c r="CL6" s="62">
        <f>IFERROR(Inv_SY_B!CL6/Inv_SY_B!$IS6-1,"")</f>
        <v>7.4822941486247796E-3</v>
      </c>
      <c r="CM6" s="62">
        <f>IFERROR(Inv_SY_B!CM6/Inv_SY_B!$IS6-1,"")</f>
        <v>-1.3805210525092315E-2</v>
      </c>
      <c r="CN6" s="62">
        <f>IFERROR(Inv_SY_B!CN6/Inv_SY_B!$IS6-1,"")</f>
        <v>-1.9865710076328535E-2</v>
      </c>
      <c r="CO6" s="62">
        <f>IFERROR(Inv_SY_B!CO6/Inv_SY_B!$IS6-1,"")</f>
        <v>-1.6380922834367651E-2</v>
      </c>
      <c r="CP6" s="62">
        <f>IFERROR(Inv_SY_B!CP6/Inv_SY_B!$IS6-1,"")</f>
        <v>-2.0157080247060977E-2</v>
      </c>
      <c r="CQ6" s="62">
        <f>IFERROR(Inv_SY_B!CQ6/Inv_SY_B!$IS6-1,"")</f>
        <v>2.1345686872077607E-2</v>
      </c>
      <c r="CR6" s="62">
        <f>IFERROR(Inv_SY_B!CR6/Inv_SY_B!$IS6-1,"")</f>
        <v>-1.4638529213387264E-2</v>
      </c>
      <c r="CS6" s="62">
        <f>IFERROR(Inv_SY_B!CS6/Inv_SY_B!$IS6-1,"")</f>
        <v>-1.094996188471975E-3</v>
      </c>
      <c r="CT6" s="62">
        <f>IFERROR(Inv_SY_B!CT6/Inv_SY_B!$IS6-1,"")</f>
        <v>-7.0629047743420159E-3</v>
      </c>
      <c r="CU6" s="62">
        <f>IFERROR(Inv_SY_B!CU6/Inv_SY_B!$IS6-1,"")</f>
        <v>-2.4259572250974637E-2</v>
      </c>
      <c r="CV6" s="62">
        <f>IFERROR(Inv_SY_B!CV6/Inv_SY_B!$IS6-1,"")</f>
        <v>2.1118418138906137E-2</v>
      </c>
      <c r="CW6" s="62">
        <f>IFERROR(Inv_SY_B!CW6/Inv_SY_B!$IS6-1,"")</f>
        <v>-3.3508487992098823E-3</v>
      </c>
      <c r="CX6" s="62">
        <f>IFERROR(Inv_SY_B!CX6/Inv_SY_B!$IS6-1,"")</f>
        <v>1.1270106368147514E-2</v>
      </c>
      <c r="CY6" s="62">
        <f>IFERROR(Inv_SY_B!CY6/Inv_SY_B!$IS6-1,"")</f>
        <v>3.210307357552189E-2</v>
      </c>
      <c r="CZ6" s="62">
        <f>IFERROR(Inv_SY_B!CZ6/Inv_SY_B!$IS6-1,"")</f>
        <v>2.709650752026338E-3</v>
      </c>
      <c r="DA6" s="62">
        <f>IFERROR(Inv_SY_B!DA6/Inv_SY_B!$IS6-1,"")</f>
        <v>9.6034689915576177E-3</v>
      </c>
      <c r="DB6" s="62">
        <f>IFERROR(Inv_SY_B!DB6/Inv_SY_B!$IS6-1,"")</f>
        <v>-7.5174422406847352E-3</v>
      </c>
      <c r="DC6" s="62">
        <f>IFERROR(Inv_SY_B!DC6/Inv_SY_B!$IS6-1,"")</f>
        <v>1.1093341797902889E-2</v>
      </c>
      <c r="DD6" s="62">
        <f>IFERROR(Inv_SY_B!DD6/Inv_SY_B!$IS6-1,"")</f>
        <v>-1.7062729033881729E-2</v>
      </c>
      <c r="DE6" s="62">
        <f>IFERROR(Inv_SY_B!DE6/Inv_SY_B!$IS6-1,"")</f>
        <v>3.4729290047724071E-2</v>
      </c>
      <c r="DF6" s="62">
        <f>IFERROR(Inv_SY_B!DF6/Inv_SY_B!$IS6-1,"")</f>
        <v>-0.4948346025826299</v>
      </c>
      <c r="DG6" s="62">
        <f>IFERROR(Inv_SY_B!DG6/Inv_SY_B!$IS6-1,"")</f>
        <v>1.9072999540364011E-2</v>
      </c>
      <c r="DH6" s="62">
        <f>IFERROR(Inv_SY_B!DH6/Inv_SY_B!$IS6-1,"")</f>
        <v>6.7836532281349005E-3</v>
      </c>
      <c r="DI6" s="62">
        <f>IFERROR(Inv_SY_B!DI6/Inv_SY_B!$IS6-1,"")</f>
        <v>1.1968229297222521E-2</v>
      </c>
      <c r="DJ6" s="62">
        <f>IFERROR(Inv_SY_B!DJ6/Inv_SY_B!$IS6-1,"")</f>
        <v>3.5487968437357686E-3</v>
      </c>
      <c r="DK6" s="62">
        <f>IFERROR(Inv_SY_B!DK6/Inv_SY_B!$IS6-1,"")</f>
        <v>3.4167090330037286E-3</v>
      </c>
      <c r="DL6" s="62">
        <f>IFERROR(Inv_SY_B!DL6/Inv_SY_B!$IS6-1,"")</f>
        <v>1.0756647378389994E-2</v>
      </c>
      <c r="DM6" s="62">
        <f>IFERROR(Inv_SY_B!DM6/Inv_SY_B!$IS6-1,"")</f>
        <v>2.1269930627687117E-2</v>
      </c>
      <c r="DN6" s="62">
        <f>IFERROR(Inv_SY_B!DN6/Inv_SY_B!$IS6-1,"")</f>
        <v>1.7709387141335853E-2</v>
      </c>
      <c r="DO6" s="62">
        <f>IFERROR(Inv_SY_B!DO6/Inv_SY_B!$IS6-1,"")</f>
        <v>-2.1136306276991479E-2</v>
      </c>
      <c r="DP6" s="62">
        <f>IFERROR(Inv_SY_B!DP6/Inv_SY_B!$IS6-1,"")</f>
        <v>7.9049256080154784E-4</v>
      </c>
      <c r="DQ6" s="62">
        <f>IFERROR(Inv_SY_B!DQ6/Inv_SY_B!$IS6-1,"")</f>
        <v>2.0025924710487253E-3</v>
      </c>
      <c r="DR6" s="62">
        <f>IFERROR(Inv_SY_B!DR6/Inv_SY_B!$IS6-1,"")</f>
        <v>1.0967081390585554E-2</v>
      </c>
      <c r="DS6" s="62">
        <f>IFERROR(Inv_SY_B!DS6/Inv_SY_B!$IS6-1,"")</f>
        <v>2.4754717869647891E-2</v>
      </c>
      <c r="DT6" s="62">
        <f>IFERROR(Inv_SY_B!DT6/Inv_SY_B!$IS6-1,"")</f>
        <v>-3.8670093406136252E-2</v>
      </c>
      <c r="DU6" s="62">
        <f>IFERROR(Inv_SY_B!DU6/Inv_SY_B!$IS6-1,"")</f>
        <v>-6.0184866813024596E-2</v>
      </c>
      <c r="DV6" s="62">
        <f>IFERROR(Inv_SY_B!DV6/Inv_SY_B!$IS6-1,"")</f>
        <v>1.3542793699861111E-2</v>
      </c>
      <c r="DW6" s="62">
        <f>IFERROR(Inv_SY_B!DW6/Inv_SY_B!$IS6-1,"")</f>
        <v>-8.1992484401988142E-3</v>
      </c>
      <c r="DX6" s="62">
        <f>IFERROR(Inv_SY_B!DX6/Inv_SY_B!$IS6-1,"")</f>
        <v>-4.1252459640900296E-3</v>
      </c>
      <c r="DY6" s="62">
        <f>IFERROR(Inv_SY_B!DY6/Inv_SY_B!$IS6-1,"")</f>
        <v>-6.5326110636088064E-3</v>
      </c>
      <c r="DZ6" s="62">
        <f>IFERROR(Inv_SY_B!DZ6/Inv_SY_B!$IS6-1,"")</f>
        <v>-2.0926297497794732E-2</v>
      </c>
      <c r="EA6" s="62">
        <f>IFERROR(Inv_SY_B!EA6/Inv_SY_B!$IS6-1,"")</f>
        <v>3.1912037348313937E-4</v>
      </c>
      <c r="EB6" s="62">
        <f>IFERROR(Inv_SY_B!EB6/Inv_SY_B!$IS6-1,"")</f>
        <v>-8.6369511855658443E-3</v>
      </c>
      <c r="EC6" s="62">
        <f>IFERROR(Inv_SY_B!EC6/Inv_SY_B!$IS6-1,"")</f>
        <v>-1.39334134002147E-2</v>
      </c>
      <c r="ED6" s="62">
        <f>IFERROR(Inv_SY_B!ED6/Inv_SY_B!$IS6-1,"")</f>
        <v>-2.749960854952016E-2</v>
      </c>
      <c r="EE6" s="62">
        <f>IFERROR(Inv_SY_B!EE6/Inv_SY_B!$IS6-1,"")</f>
        <v>-1.0017398305569691E-2</v>
      </c>
      <c r="EF6" s="62">
        <f>IFERROR(Inv_SY_B!EF6/Inv_SY_B!$IS6-1,"")</f>
        <v>-7.3728166832121023E-3</v>
      </c>
      <c r="EG6" s="62">
        <f>IFERROR(Inv_SY_B!EG6/Inv_SY_B!$IS6-1,"")</f>
        <v>2.0257021961431532E-2</v>
      </c>
      <c r="EH6" s="62">
        <f>IFERROR(Inv_SY_B!EH6/Inv_SY_B!$IS6-1,"")</f>
        <v>-2.6279032416124393E-2</v>
      </c>
      <c r="EI6" s="62">
        <f>IFERROR(Inv_SY_B!EI6/Inv_SY_B!$IS6-1,"")</f>
        <v>6.3952185298192799E-3</v>
      </c>
      <c r="EJ6" s="62">
        <f>IFERROR(Inv_SY_B!EJ6/Inv_SY_B!$IS6-1,"")</f>
        <v>1.5306377878712807E-2</v>
      </c>
      <c r="EK6" s="62">
        <f>IFERROR(Inv_SY_B!EK6/Inv_SY_B!$IS6-1,"")</f>
        <v>5.5823275393123151E-3</v>
      </c>
      <c r="EL6" s="62">
        <f>IFERROR(Inv_SY_B!EL6/Inv_SY_B!$IS6-1,"")</f>
        <v>-7.7513648993454698E-4</v>
      </c>
      <c r="EM6" s="62">
        <f>IFERROR(Inv_SY_B!EM6/Inv_SY_B!$IS6-1,"")</f>
        <v>-1.3863484559238803E-2</v>
      </c>
      <c r="EN6" s="62">
        <f>IFERROR(Inv_SY_B!EN6/Inv_SY_B!$IS6-1,"")</f>
        <v>-1.9457791837302896E-2</v>
      </c>
      <c r="EO6" s="62">
        <f>IFERROR(Inv_SY_B!EO6/Inv_SY_B!$IS6-1,"")</f>
        <v>-3.6538737767717322E-3</v>
      </c>
      <c r="EP6" s="62">
        <f>IFERROR(Inv_SY_B!EP6/Inv_SY_B!$IS6-1,"")</f>
        <v>7.8144561432598181E-3</v>
      </c>
      <c r="EQ6" s="62">
        <f>IFERROR(Inv_SY_B!EQ6/Inv_SY_B!$IS6-1,"")</f>
        <v>-2.7668603248545032E-2</v>
      </c>
      <c r="ER6" s="62">
        <f>IFERROR(Inv_SY_B!ER6/Inv_SY_B!$IS6-1,"")</f>
        <v>-9.4579675777631822E-3</v>
      </c>
      <c r="ES6" s="62">
        <f>IFERROR(Inv_SY_B!ES6/Inv_SY_B!$IS6-1,"")</f>
        <v>-2.1305078719746962E-2</v>
      </c>
      <c r="ET6" s="62">
        <f>IFERROR(Inv_SY_B!ET6/Inv_SY_B!$IS6-1,"")</f>
        <v>-8.440058030166897E-4</v>
      </c>
      <c r="EU6" s="62">
        <f>IFERROR(Inv_SY_B!EU6/Inv_SY_B!$IS6-1,"")</f>
        <v>-1.1206188602158385E-2</v>
      </c>
      <c r="EV6" s="62">
        <f>IFERROR(Inv_SY_B!EV6/Inv_SY_B!$IS6-1,"")</f>
        <v>-1.4143199923142058E-2</v>
      </c>
      <c r="EW6" s="62">
        <f>IFERROR(Inv_SY_B!EW6/Inv_SY_B!$IS6-1,"")</f>
        <v>7.3948830974048807E-3</v>
      </c>
      <c r="EX6" s="62">
        <f>IFERROR(Inv_SY_B!EX6/Inv_SY_B!$IS6-1,"")</f>
        <v>-4.9417299314092888E-3</v>
      </c>
      <c r="EY6" s="62">
        <f>IFERROR(Inv_SY_B!EY6/Inv_SY_B!$IS6-1,"")</f>
        <v>-4.057907080187495E-3</v>
      </c>
      <c r="EZ6" s="62">
        <f>IFERROR(Inv_SY_B!EZ6/Inv_SY_B!$IS6-1,"")</f>
        <v>-5.7750486197042372E-3</v>
      </c>
      <c r="FA6" s="62">
        <f>IFERROR(Inv_SY_B!FA6/Inv_SY_B!$IS6-1,"")</f>
        <v>-2.3502009807070179E-2</v>
      </c>
      <c r="FB6" s="62">
        <f>IFERROR(Inv_SY_B!FB6/Inv_SY_B!$IS6-1,"")</f>
        <v>-2.1911128674870772E-2</v>
      </c>
      <c r="FC6" s="62">
        <f>IFERROR(Inv_SY_B!FC6/Inv_SY_B!$IS6-1,"")</f>
        <v>-2.8350409448059222E-2</v>
      </c>
      <c r="FD6" s="62">
        <f>IFERROR(Inv_SY_B!FD6/Inv_SY_B!$IS6-1,"")</f>
        <v>-1.2593110614844916E-2</v>
      </c>
      <c r="FE6" s="62">
        <f>IFERROR(Inv_SY_B!FE6/Inv_SY_B!$IS6-1,"")</f>
        <v>1.6785677479620453E-2</v>
      </c>
      <c r="FF6" s="62">
        <f>IFERROR(Inv_SY_B!FF6/Inv_SY_B!$IS6-1,"")</f>
        <v>-1.6024291133348578E-3</v>
      </c>
      <c r="FG6" s="62">
        <f>IFERROR(Inv_SY_B!FG6/Inv_SY_B!$IS6-1,"")</f>
        <v>7.1915126044999056E-3</v>
      </c>
      <c r="FH6" s="62">
        <f>IFERROR(Inv_SY_B!FH6/Inv_SY_B!$IS6-1,"")</f>
        <v>-1.7692022382170602E-2</v>
      </c>
      <c r="FI6" s="62">
        <f>IFERROR(Inv_SY_B!FI6/Inv_SY_B!$IS6-1,"")</f>
        <v>-1.5214735799508605E-2</v>
      </c>
      <c r="FJ6" s="62">
        <f>IFERROR(Inv_SY_B!FJ6/Inv_SY_B!$IS6-1,"")</f>
        <v>-1.4397486617599431E-2</v>
      </c>
      <c r="FK6" s="62">
        <f>IFERROR(Inv_SY_B!FK6/Inv_SY_B!$IS6-1,"")</f>
        <v>-9.7664079201145171E-3</v>
      </c>
      <c r="FL6" s="62">
        <f>IFERROR(Inv_SY_B!FL6/Inv_SY_B!$IS6-1,"")</f>
        <v>4.2848296808430941E-3</v>
      </c>
      <c r="FM6" s="62">
        <f>IFERROR(Inv_SY_B!FM6/Inv_SY_B!$IS6-1,"")</f>
        <v>-9.5706086369486965E-3</v>
      </c>
      <c r="FN6" s="62">
        <f>IFERROR(Inv_SY_B!FN6/Inv_SY_B!$IS6-1,"")</f>
        <v>-7.5189726698644543E-3</v>
      </c>
      <c r="FO6" s="62">
        <f>IFERROR(Inv_SY_B!FO6/Inv_SY_B!$IS6-1,"")</f>
        <v>-1.3171612844735781E-2</v>
      </c>
      <c r="FP6" s="62">
        <f>IFERROR(Inv_SY_B!FP6/Inv_SY_B!$IS6-1,"")</f>
        <v>-2.4179959325051681E-2</v>
      </c>
      <c r="FQ6" s="62">
        <f>IFERROR(Inv_SY_B!FQ6/Inv_SY_B!$IS6-1,"")</f>
        <v>5.6823257819076378E-3</v>
      </c>
      <c r="FR6" s="62">
        <f>IFERROR(Inv_SY_B!FR6/Inv_SY_B!$IS6-1,"")</f>
        <v>-1.6236297276895018E-2</v>
      </c>
      <c r="FS6" s="62">
        <f>IFERROR(Inv_SY_B!FS6/Inv_SY_B!$IS6-1,"")</f>
        <v>-1.6576817769357155E-2</v>
      </c>
      <c r="FT6" s="62">
        <f>IFERROR(Inv_SY_B!FT6/Inv_SY_B!$IS6-1,"")</f>
        <v>8.0360034258057933E-3</v>
      </c>
      <c r="FU6" s="62">
        <f>IFERROR(Inv_SY_B!FU6/Inv_SY_B!$IS6-1,"")</f>
        <v>8.1449699833937572E-3</v>
      </c>
      <c r="FV6" s="62">
        <f>IFERROR(Inv_SY_B!FV6/Inv_SY_B!$IS6-1,"")</f>
        <v>2.9179804240999641E-3</v>
      </c>
      <c r="FW6" s="62">
        <f>IFERROR(Inv_SY_B!FW6/Inv_SY_B!$IS6-1,"")</f>
        <v>4.910025305003396E-3</v>
      </c>
      <c r="FX6" s="62">
        <f>IFERROR(Inv_SY_B!FX6/Inv_SY_B!$IS6-1,"")</f>
        <v>-1.3478081287951804E-2</v>
      </c>
      <c r="FY6" s="62">
        <f>IFERROR(Inv_SY_B!FY6/Inv_SY_B!$IS6-1,"")</f>
        <v>-8.6086382457430943E-3</v>
      </c>
      <c r="FZ6" s="62">
        <f>IFERROR(Inv_SY_B!FZ6/Inv_SY_B!$IS6-1,"")</f>
        <v>2.2991663454742906E-2</v>
      </c>
      <c r="GA6" s="62">
        <f>IFERROR(Inv_SY_B!GA6/Inv_SY_B!$IS6-1,"")</f>
        <v>-1.7580043527918754E-2</v>
      </c>
      <c r="GB6" s="62">
        <f>IFERROR(Inv_SY_B!GB6/Inv_SY_B!$IS6-1,"")</f>
        <v>-1.0379344806546342E-2</v>
      </c>
      <c r="GC6" s="62">
        <f>IFERROR(Inv_SY_B!GC6/Inv_SY_B!$IS6-1,"")</f>
        <v>-1.8619940724129869E-2</v>
      </c>
      <c r="GD6" s="62">
        <f>IFERROR(Inv_SY_B!GD6/Inv_SY_B!$IS6-1,"")</f>
        <v>4.4444454479857454E-2</v>
      </c>
      <c r="GE6" s="62">
        <f>IFERROR(Inv_SY_B!GE6/Inv_SY_B!$IS6-1,"")</f>
        <v>1.2053097481497632E-2</v>
      </c>
      <c r="GF6" s="62">
        <f>IFERROR(Inv_SY_B!GF6/Inv_SY_B!$IS6-1,"")</f>
        <v>4.3992445663101343E-3</v>
      </c>
      <c r="GG6" s="62">
        <f>IFERROR(Inv_SY_B!GG6/Inv_SY_B!$IS6-1,"")</f>
        <v>8.7715276895241612E-3</v>
      </c>
      <c r="GH6" s="62">
        <f>IFERROR(Inv_SY_B!GH6/Inv_SY_B!$IS6-1,"")</f>
        <v>-7.0422439804173065E-3</v>
      </c>
      <c r="GI6" s="62">
        <f>IFERROR(Inv_SY_B!GI6/Inv_SY_B!$IS6-1,"")</f>
        <v>-1.8957737052652357E-2</v>
      </c>
      <c r="GJ6" s="62">
        <f>IFERROR(Inv_SY_B!GJ6/Inv_SY_B!$IS6-1,"")</f>
        <v>-2.7988347666584312E-3</v>
      </c>
      <c r="GK6" s="62">
        <f>IFERROR(Inv_SY_B!GK6/Inv_SY_B!$IS6-1,"")</f>
        <v>1.0043371728870154E-2</v>
      </c>
      <c r="GL6" s="62">
        <f>IFERROR(Inv_SY_B!GL6/Inv_SY_B!$IS6-1,"")</f>
        <v>2.9945975349039422E-3</v>
      </c>
      <c r="GM6" s="62">
        <f>IFERROR(Inv_SY_B!GM6/Inv_SY_B!$IS6-1,"")</f>
        <v>-2.0833323925133818E-2</v>
      </c>
      <c r="GN6" s="62">
        <f>IFERROR(Inv_SY_B!GN6/Inv_SY_B!$IS6-1,"")</f>
        <v>-2.3686002213746393E-3</v>
      </c>
      <c r="GO6" s="62">
        <f>IFERROR(Inv_SY_B!GO6/Inv_SY_B!$IS6-1,"")</f>
        <v>5.1398766374155525E-3</v>
      </c>
      <c r="GP6" s="62">
        <f>IFERROR(Inv_SY_B!GP6/Inv_SY_B!$IS6-1,"")</f>
        <v>-1.8458193490210384E-2</v>
      </c>
      <c r="GQ6" s="62">
        <f>IFERROR(Inv_SY_B!GQ6/Inv_SY_B!$IS6-1,"")</f>
        <v>1.428795966741081E-2</v>
      </c>
      <c r="GR6" s="62">
        <f>IFERROR(Inv_SY_B!GR6/Inv_SY_B!$IS6-1,"")</f>
        <v>-1.1639270628656107E-2</v>
      </c>
      <c r="GS6" s="62" t="str">
        <f>IFERROR(Inv_SY_B!GS6/Inv_SY_B!$IS6-1,"")</f>
        <v/>
      </c>
      <c r="GT6" s="62" t="str">
        <f>IFERROR(Inv_SY_B!GT6/Inv_SY_B!$IS6-1,"")</f>
        <v/>
      </c>
      <c r="GU6" s="62">
        <f>IFERROR(Inv_SY_B!GU6/Inv_SY_B!$IS6-1,"")</f>
        <v>4.6035826237770028E-2</v>
      </c>
      <c r="GV6" s="62">
        <f>IFERROR(Inv_SY_B!GV6/Inv_SY_B!$IS6-1,"")</f>
        <v>-2.132961443010517E-2</v>
      </c>
      <c r="GW6" s="62">
        <f>IFERROR(Inv_SY_B!GW6/Inv_SY_B!$IS6-1,"")</f>
        <v>-1.9300981709054366E-2</v>
      </c>
      <c r="GX6" s="62" t="str">
        <f>IFERROR(Inv_SY_B!GX6/Inv_SY_B!$IS6-1,"")</f>
        <v/>
      </c>
      <c r="GY6" s="62">
        <f>IFERROR(Inv_SY_B!GY6/Inv_SY_B!$IS6-1,"")</f>
        <v>-1.0498654994130718E-2</v>
      </c>
      <c r="GZ6" s="62">
        <f>IFERROR(Inv_SY_B!GZ6/Inv_SY_B!$IS6-1,"")</f>
        <v>-1.7365754011443579E-2</v>
      </c>
      <c r="HA6" s="62">
        <f>IFERROR(Inv_SY_B!HA6/Inv_SY_B!$IS6-1,"")</f>
        <v>-1.2290085637283288E-2</v>
      </c>
      <c r="HB6" s="62">
        <f>IFERROR(Inv_SY_B!HB6/Inv_SY_B!$IS6-1,"")</f>
        <v>-1.2441598126064268E-2</v>
      </c>
      <c r="HC6" s="62">
        <f>IFERROR(Inv_SY_B!HC6/Inv_SY_B!$IS6-1,"")</f>
        <v>4.2247756398352543E-3</v>
      </c>
      <c r="HD6" s="62">
        <f>IFERROR(Inv_SY_B!HD6/Inv_SY_B!$IS6-1,"")</f>
        <v>5.8156567720348828E-3</v>
      </c>
      <c r="HE6" s="62">
        <f>IFERROR(Inv_SY_B!HE6/Inv_SY_B!$IS6-1,"")</f>
        <v>1.2027668812051973E-2</v>
      </c>
      <c r="HF6" s="62">
        <f>IFERROR(Inv_SY_B!HF6/Inv_SY_B!$IS6-1,"")</f>
        <v>1.2179181300832731E-2</v>
      </c>
      <c r="HG6" s="62">
        <f>IFERROR(Inv_SY_B!HG6/Inv_SY_B!$IS6-1,"")</f>
        <v>1.0436787679852566E-2</v>
      </c>
      <c r="HH6" s="62">
        <f>IFERROR(Inv_SY_B!HH6/Inv_SY_B!$IS6-1,"")</f>
        <v>-2.3426253562679689E-2</v>
      </c>
      <c r="HI6" s="62">
        <f>IFERROR(Inv_SY_B!HI6/Inv_SY_B!$IS6-1,"")</f>
        <v>3.9217506622735154E-3</v>
      </c>
      <c r="HJ6" s="62">
        <f>IFERROR(Inv_SY_B!HJ6/Inv_SY_B!$IS6-1,"")</f>
        <v>1.1345862612537783E-2</v>
      </c>
      <c r="HK6" s="62">
        <f>IFERROR(Inv_SY_B!HK6/Inv_SY_B!$IS6-1,"")</f>
        <v>3.5513868008090199E-3</v>
      </c>
      <c r="HL6" s="62">
        <f>IFERROR(Inv_SY_B!HL6/Inv_SY_B!$IS6-1,"")</f>
        <v>8.4671253257007084E-3</v>
      </c>
      <c r="HM6" s="62">
        <f>IFERROR(Inv_SY_B!HM6/Inv_SY_B!$IS6-1,"")</f>
        <v>3.6255859228610188E-2</v>
      </c>
      <c r="HN6" s="62">
        <f>IFERROR(Inv_SY_B!HN6/Inv_SY_B!$IS6-1,"")</f>
        <v>-2.6943172983393548E-3</v>
      </c>
      <c r="HO6" s="62">
        <f>IFERROR(Inv_SY_B!HO6/Inv_SY_B!$IS6-1,"")</f>
        <v>-2.3923779454171346E-3</v>
      </c>
      <c r="HP6" s="62">
        <f>IFERROR(Inv_SY_B!HP6/Inv_SY_B!$IS6-1,"")</f>
        <v>1.5784371100492578E-2</v>
      </c>
      <c r="HQ6" s="62">
        <f>IFERROR(Inv_SY_B!HQ6/Inv_SY_B!$IS6-1,"")</f>
        <v>-3.5397474865211942E-3</v>
      </c>
      <c r="HR6" s="62">
        <f>IFERROR(Inv_SY_B!HR6/Inv_SY_B!$IS6-1,"")</f>
        <v>-1.7079788405012231E-2</v>
      </c>
      <c r="HS6" s="62">
        <f>IFERROR(Inv_SY_B!HS6/Inv_SY_B!$IS6-1,"")</f>
        <v>6.5277654693052245E-3</v>
      </c>
      <c r="HT6" s="62">
        <f>IFERROR(Inv_SY_B!HT6/Inv_SY_B!$IS6-1,"")</f>
        <v>8.2651086739928825E-3</v>
      </c>
      <c r="HU6" s="62">
        <f>IFERROR(Inv_SY_B!HU6/Inv_SY_B!$IS6-1,"")</f>
        <v>-1.0665066606670992E-3</v>
      </c>
      <c r="HV6" s="62">
        <f>IFERROR(Inv_SY_B!HV6/Inv_SY_B!$IS6-1,"")</f>
        <v>-4.423091027505488E-3</v>
      </c>
      <c r="HW6" s="62">
        <f>IFERROR(Inv_SY_B!HW6/Inv_SY_B!$IS6-1,"")</f>
        <v>1.4891254850011082E-2</v>
      </c>
      <c r="HX6" s="62">
        <f>IFERROR(Inv_SY_B!HX6/Inv_SY_B!$IS6-1,"")</f>
        <v>3.8285122076391342E-3</v>
      </c>
      <c r="HY6" s="62">
        <f>IFERROR(Inv_SY_B!HY6/Inv_SY_B!$IS6-1,"")</f>
        <v>3.2146923812961248E-3</v>
      </c>
      <c r="HZ6" s="62">
        <f>IFERROR(Inv_SY_B!HZ6/Inv_SY_B!$IS6-1,"")</f>
        <v>-5.8760569455582612E-3</v>
      </c>
      <c r="IA6" s="62">
        <f>IFERROR(Inv_SY_B!IA6/Inv_SY_B!$IS6-1,"")</f>
        <v>-2.1658431272253531E-2</v>
      </c>
      <c r="IB6" s="62">
        <f>IFERROR(Inv_SY_B!IB6/Inv_SY_B!$IS6-1,"")</f>
        <v>-2.2876446879906642E-2</v>
      </c>
      <c r="IC6" s="62">
        <f>IFERROR(Inv_SY_B!IC6/Inv_SY_B!$IS6-1,"")</f>
        <v>-2.3622972574919743E-2</v>
      </c>
      <c r="ID6" s="62">
        <f>IFERROR(Inv_SY_B!ID6/Inv_SY_B!$IS6-1,"")</f>
        <v>1.2815902797680412E-3</v>
      </c>
      <c r="IE6" s="62">
        <f>IFERROR(Inv_SY_B!IE6/Inv_SY_B!$IS6-1,"")</f>
        <v>4.4809694845011627E-3</v>
      </c>
      <c r="IF6" s="62" t="str">
        <f>IFERROR(Inv_SY_B!IF6/Inv_SY_B!$IS6-1,"")</f>
        <v/>
      </c>
      <c r="IG6" s="62">
        <f>IFERROR(Inv_SY_B!IG6/Inv_SY_B!$IS6-1,"")</f>
        <v>3.1097593300413617E-2</v>
      </c>
      <c r="IH6" s="62">
        <f>IFERROR(Inv_SY_B!IH6/Inv_SY_B!$IS6-1,"")</f>
        <v>-1.2819350266326746E-2</v>
      </c>
      <c r="II6" s="62">
        <f>IFERROR(Inv_SY_B!II6/Inv_SY_B!$IS6-1,"")</f>
        <v>5.5623691423435151E-2</v>
      </c>
      <c r="IJ6" s="62">
        <f>IFERROR(Inv_SY_B!IJ6/Inv_SY_B!$IS6-1,"")</f>
        <v>-1.5517420681697258E-2</v>
      </c>
      <c r="IK6" s="62">
        <f>IFERROR(Inv_SY_B!IK6/Inv_SY_B!$IS6-1,"")</f>
        <v>-2.283715605385328E-2</v>
      </c>
      <c r="IL6" s="62" t="str">
        <f>IFERROR(Inv_SY_B!IL6/Inv_SY_B!$IS6-1,"")</f>
        <v/>
      </c>
      <c r="IM6" s="62" t="str">
        <f>IFERROR(Inv_SY_B!IM6/Inv_SY_B!$IS6-1,"")</f>
        <v/>
      </c>
      <c r="IN6" s="62">
        <f>IFERROR(Inv_SY_B!IN6/Inv_SY_B!$IS6-1,"")</f>
        <v>9.9904674824586648E-2</v>
      </c>
      <c r="IO6" s="62">
        <f>IFERROR(Inv_SY_B!IO6/Inv_SY_B!$IS6-1,"")</f>
        <v>1.2296971574242699E-2</v>
      </c>
      <c r="IP6" s="62">
        <f>IFERROR(Inv_SY_B!IP6/Inv_SY_B!$IS6-1,"")</f>
        <v>0.14339427960800499</v>
      </c>
      <c r="IQ6" s="62">
        <f>IFERROR(Inv_SY_B!IQ6/Inv_SY_B!$IS6-1,"")</f>
        <v>-2.2994319358066617E-2</v>
      </c>
      <c r="IR6" s="62">
        <f>IFERROR(Inv_SY_B!IR6/Inv_SY_B!$IS6-1,"")</f>
        <v>-1.1715506559804356E-2</v>
      </c>
    </row>
    <row r="7" spans="2:253" x14ac:dyDescent="0.25">
      <c r="B7" s="85">
        <f t="shared" si="0"/>
        <v>45833</v>
      </c>
      <c r="C7" s="62">
        <f>IFERROR(Inv_SY_B!C7/Inv_SY_B!$IS7-1,"")</f>
        <v>-6.2611761718283088E-3</v>
      </c>
      <c r="D7" s="62">
        <f>IFERROR(Inv_SY_B!D7/Inv_SY_B!$IS7-1,"")</f>
        <v>-4.4849932451318519E-3</v>
      </c>
      <c r="E7" s="62">
        <f>IFERROR(Inv_SY_B!E7/Inv_SY_B!$IS7-1,"")</f>
        <v>2.0671677606646455E-2</v>
      </c>
      <c r="F7" s="62">
        <f>IFERROR(Inv_SY_B!F7/Inv_SY_B!$IS7-1,"")</f>
        <v>1.9748062484764572E-2</v>
      </c>
      <c r="G7" s="62">
        <f>IFERROR(Inv_SY_B!G7/Inv_SY_B!$IS7-1,"")</f>
        <v>1.0221801387915397E-2</v>
      </c>
      <c r="H7" s="62">
        <f>IFERROR(Inv_SY_B!H7/Inv_SY_B!$IS7-1,"")</f>
        <v>1.4745147241235879E-2</v>
      </c>
      <c r="I7" s="62">
        <f>IFERROR(Inv_SY_B!I7/Inv_SY_B!$IS7-1,"")</f>
        <v>1.8054768094647011E-2</v>
      </c>
      <c r="J7" s="62">
        <f>IFERROR(Inv_SY_B!J7/Inv_SY_B!$IS7-1,"")</f>
        <v>1.5066638275911259E-3</v>
      </c>
      <c r="K7" s="62">
        <f>IFERROR(Inv_SY_B!K7/Inv_SY_B!$IS7-1,"")</f>
        <v>9.2527159831097272E-3</v>
      </c>
      <c r="L7" s="62">
        <f>IFERROR(Inv_SY_B!L7/Inv_SY_B!$IS7-1,"")</f>
        <v>1.1469392275627044E-2</v>
      </c>
      <c r="M7" s="62">
        <f>IFERROR(Inv_SY_B!M7/Inv_SY_B!$IS7-1,"")</f>
        <v>9.8961678513542761E-3</v>
      </c>
      <c r="N7" s="62">
        <f>IFERROR(Inv_SY_B!N7/Inv_SY_B!$IS7-1,"")</f>
        <v>7.9719696807665219E-3</v>
      </c>
      <c r="O7" s="62">
        <f>IFERROR(Inv_SY_B!O7/Inv_SY_B!$IS7-1,"")</f>
        <v>-2.7048437023933336E-2</v>
      </c>
      <c r="P7" s="62">
        <f>IFERROR(Inv_SY_B!P7/Inv_SY_B!$IS7-1,"")</f>
        <v>-6.4843812346737639E-4</v>
      </c>
      <c r="Q7" s="62">
        <f>IFERROR(Inv_SY_B!Q7/Inv_SY_B!$IS7-1,"")</f>
        <v>1.3590628338883137E-2</v>
      </c>
      <c r="R7" s="62">
        <f>IFERROR(Inv_SY_B!R7/Inv_SY_B!$IS7-1,"")</f>
        <v>1.2513077363353942E-2</v>
      </c>
      <c r="S7" s="62">
        <f>IFERROR(Inv_SY_B!S7/Inv_SY_B!$IS7-1,"")</f>
        <v>8.2798413880604826E-3</v>
      </c>
      <c r="T7" s="62">
        <f>IFERROR(Inv_SY_B!T7/Inv_SY_B!$IS7-1,"")</f>
        <v>3.8157016322966086E-3</v>
      </c>
      <c r="U7" s="62">
        <f>IFERROR(Inv_SY_B!U7/Inv_SY_B!$IS7-1,"")</f>
        <v>1.6250760227041194E-3</v>
      </c>
      <c r="V7" s="62">
        <f>IFERROR(Inv_SY_B!V7/Inv_SY_B!$IS7-1,"")</f>
        <v>6.1721043150473331E-3</v>
      </c>
      <c r="W7" s="62">
        <f>IFERROR(Inv_SY_B!W7/Inv_SY_B!$IS7-1,"")</f>
        <v>1.6900249192294492E-2</v>
      </c>
      <c r="X7" s="62">
        <f>IFERROR(Inv_SY_B!X7/Inv_SY_B!$IS7-1,"")</f>
        <v>1.7285088826411998E-2</v>
      </c>
      <c r="Y7" s="62">
        <f>IFERROR(Inv_SY_B!Y7/Inv_SY_B!$IS7-1,"")</f>
        <v>-6.3322234888962825E-3</v>
      </c>
      <c r="Z7" s="62">
        <f>IFERROR(Inv_SY_B!Z7/Inv_SY_B!$IS7-1,"")</f>
        <v>1.8234359923901877E-2</v>
      </c>
      <c r="AA7" s="62">
        <f>IFERROR(Inv_SY_B!AA7/Inv_SY_B!$IS7-1,"")</f>
        <v>2.031052041155168E-2</v>
      </c>
      <c r="AB7" s="62">
        <f>IFERROR(Inv_SY_B!AB7/Inv_SY_B!$IS7-1,"")</f>
        <v>7.8772399246758162E-3</v>
      </c>
      <c r="AC7" s="62">
        <f>IFERROR(Inv_SY_B!AC7/Inv_SY_B!$IS7-1,"")</f>
        <v>-2.5870235682558085E-2</v>
      </c>
      <c r="AD7" s="62">
        <f>IFERROR(Inv_SY_B!AD7/Inv_SY_B!$IS7-1,"")</f>
        <v>2.2250311446105897E-3</v>
      </c>
      <c r="AE7" s="62">
        <f>IFERROR(Inv_SY_B!AE7/Inv_SY_B!$IS7-1,"")</f>
        <v>7.0825625263615244E-3</v>
      </c>
      <c r="AF7" s="62">
        <f>IFERROR(Inv_SY_B!AF7/Inv_SY_B!$IS7-1,"")</f>
        <v>-2.7672732430390812E-2</v>
      </c>
      <c r="AG7" s="62">
        <f>IFERROR(Inv_SY_B!AG7/Inv_SY_B!$IS7-1,"")</f>
        <v>-2.4730847227358632E-2</v>
      </c>
      <c r="AH7" s="62">
        <f>IFERROR(Inv_SY_B!AH7/Inv_SY_B!$IS7-1,"")</f>
        <v>-3.0204122023697488E-2</v>
      </c>
      <c r="AI7" s="62">
        <f>IFERROR(Inv_SY_B!AI7/Inv_SY_B!$IS7-1,"")</f>
        <v>1.3950780147415687E-2</v>
      </c>
      <c r="AJ7" s="62">
        <f>IFERROR(Inv_SY_B!AJ7/Inv_SY_B!$IS7-1,"")</f>
        <v>-2.9767322888816228E-3</v>
      </c>
      <c r="AK7" s="62">
        <f>IFERROR(Inv_SY_B!AK7/Inv_SY_B!$IS7-1,"")</f>
        <v>-1.1872136112319742E-3</v>
      </c>
      <c r="AL7" s="62">
        <f>IFERROR(Inv_SY_B!AL7/Inv_SY_B!$IS7-1,"")</f>
        <v>6.0019615597539655E-3</v>
      </c>
      <c r="AM7" s="62">
        <f>IFERROR(Inv_SY_B!AM7/Inv_SY_B!$IS7-1,"")</f>
        <v>7.8950017539429762E-3</v>
      </c>
      <c r="AN7" s="62">
        <f>IFERROR(Inv_SY_B!AN7/Inv_SY_B!$IS7-1,"")</f>
        <v>-1.3732985683464927E-2</v>
      </c>
      <c r="AO7" s="62">
        <f>IFERROR(Inv_SY_B!AO7/Inv_SY_B!$IS7-1,"")</f>
        <v>2.8920865104142823E-3</v>
      </c>
      <c r="AP7" s="62">
        <f>IFERROR(Inv_SY_B!AP7/Inv_SY_B!$IS7-1,"")</f>
        <v>1.9594126631117481E-2</v>
      </c>
      <c r="AQ7" s="62">
        <f>IFERROR(Inv_SY_B!AQ7/Inv_SY_B!$IS7-1,"")</f>
        <v>-4.2659306841725808E-3</v>
      </c>
      <c r="AR7" s="62">
        <f>IFERROR(Inv_SY_B!AR7/Inv_SY_B!$IS7-1,"")</f>
        <v>-1.3271178122523986E-2</v>
      </c>
      <c r="AS7" s="62">
        <f>IFERROR(Inv_SY_B!AS7/Inv_SY_B!$IS7-1,"")</f>
        <v>5.5859639492374935E-3</v>
      </c>
      <c r="AT7" s="62">
        <f>IFERROR(Inv_SY_B!AT7/Inv_SY_B!$IS7-1,"")</f>
        <v>-2.726572147702222E-3</v>
      </c>
      <c r="AU7" s="62">
        <f>IFERROR(Inv_SY_B!AU7/Inv_SY_B!$IS7-1,"")</f>
        <v>1.33597245584125E-2</v>
      </c>
      <c r="AV7" s="62">
        <f>IFERROR(Inv_SY_B!AV7/Inv_SY_B!$IS7-1,"")</f>
        <v>1.4437275533941918E-2</v>
      </c>
      <c r="AW7" s="62">
        <f>IFERROR(Inv_SY_B!AW7/Inv_SY_B!$IS7-1,"")</f>
        <v>2.8328804128578966E-3</v>
      </c>
      <c r="AX7" s="62">
        <f>IFERROR(Inv_SY_B!AX7/Inv_SY_B!$IS7-1,"")</f>
        <v>9.6788833982652811E-4</v>
      </c>
      <c r="AY7" s="62">
        <f>IFERROR(Inv_SY_B!AY7/Inv_SY_B!$IS7-1,"")</f>
        <v>2.0854626373041363E-3</v>
      </c>
      <c r="AZ7" s="62">
        <f>IFERROR(Inv_SY_B!AZ7/Inv_SY_B!$IS7-1,"")</f>
        <v>-2.9465229926191716E-2</v>
      </c>
      <c r="BA7" s="62">
        <f>IFERROR(Inv_SY_B!BA7/Inv_SY_B!$IS7-1,"")</f>
        <v>1.0742815046413057E-2</v>
      </c>
      <c r="BB7" s="62">
        <f>IFERROR(Inv_SY_B!BB7/Inv_SY_B!$IS7-1,"")</f>
        <v>9.0495206562957176E-3</v>
      </c>
      <c r="BC7" s="62">
        <f>IFERROR(Inv_SY_B!BC7/Inv_SY_B!$IS7-1,"")</f>
        <v>5.5089960224139478E-3</v>
      </c>
      <c r="BD7" s="62">
        <f>IFERROR(Inv_SY_B!BD7/Inv_SY_B!$IS7-1,"")</f>
        <v>1.1119102688661453E-2</v>
      </c>
      <c r="BE7" s="62">
        <f>IFERROR(Inv_SY_B!BE7/Inv_SY_B!$IS7-1,"")</f>
        <v>-1.4076381049292985E-2</v>
      </c>
      <c r="BF7" s="62">
        <f>IFERROR(Inv_SY_B!BF7/Inv_SY_B!$IS7-1,"")</f>
        <v>3.7985976485581663E-3</v>
      </c>
      <c r="BG7" s="62">
        <f>IFERROR(Inv_SY_B!BG7/Inv_SY_B!$IS7-1,"")</f>
        <v>1.6777036649766597E-3</v>
      </c>
      <c r="BH7" s="62">
        <f>IFERROR(Inv_SY_B!BH7/Inv_SY_B!$IS7-1,"")</f>
        <v>3.5214492523838459E-4</v>
      </c>
      <c r="BI7" s="62">
        <f>IFERROR(Inv_SY_B!BI7/Inv_SY_B!$IS7-1,"")</f>
        <v>5.3721641525055208E-3</v>
      </c>
      <c r="BJ7" s="62">
        <f>IFERROR(Inv_SY_B!BJ7/Inv_SY_B!$IS7-1,"")</f>
        <v>2.0197833397477272E-3</v>
      </c>
      <c r="BK7" s="62">
        <f>IFERROR(Inv_SY_B!BK7/Inv_SY_B!$IS7-1,"")</f>
        <v>1.6207537850882581E-2</v>
      </c>
      <c r="BL7" s="62">
        <f>IFERROR(Inv_SY_B!BL7/Inv_SY_B!$IS7-1,"")</f>
        <v>5.0394118425700629E-3</v>
      </c>
      <c r="BM7" s="62">
        <f>IFERROR(Inv_SY_B!BM7/Inv_SY_B!$IS7-1,"")</f>
        <v>1.1127654680530563E-2</v>
      </c>
      <c r="BN7" s="62">
        <f>IFERROR(Inv_SY_B!BN7/Inv_SY_B!$IS7-1,"")</f>
        <v>8.1163401235813337E-2</v>
      </c>
      <c r="BO7" s="62">
        <f>IFERROR(Inv_SY_B!BO7/Inv_SY_B!$IS7-1,"")</f>
        <v>1.5479302850937238E-2</v>
      </c>
      <c r="BP7" s="62">
        <f>IFERROR(Inv_SY_B!BP7/Inv_SY_B!$IS7-1,"")</f>
        <v>6.8115301686579866E-3</v>
      </c>
      <c r="BQ7" s="62">
        <f>IFERROR(Inv_SY_B!BQ7/Inv_SY_B!$IS7-1,"")</f>
        <v>1.9031668704330151E-2</v>
      </c>
      <c r="BR7" s="62">
        <f>IFERROR(Inv_SY_B!BR7/Inv_SY_B!$IS7-1,"")</f>
        <v>-1.1092393732442751E-2</v>
      </c>
      <c r="BS7" s="62">
        <f>IFERROR(Inv_SY_B!BS7/Inv_SY_B!$IS7-1,"")</f>
        <v>1.0204039558648459E-2</v>
      </c>
      <c r="BT7" s="62">
        <f>IFERROR(Inv_SY_B!BT7/Inv_SY_B!$IS7-1,"")</f>
        <v>6.201707363825637E-3</v>
      </c>
      <c r="BU7" s="62">
        <f>IFERROR(Inv_SY_B!BU7/Inv_SY_B!$IS7-1,"")</f>
        <v>1.0204039558648459E-2</v>
      </c>
      <c r="BV7" s="62">
        <f>IFERROR(Inv_SY_B!BV7/Inv_SY_B!$IS7-1,"")</f>
        <v>3.5214492523838459E-4</v>
      </c>
      <c r="BW7" s="62">
        <f>IFERROR(Inv_SY_B!BW7/Inv_SY_B!$IS7-1,"")</f>
        <v>1.5283922729000476E-2</v>
      </c>
      <c r="BX7" s="62">
        <f>IFERROR(Inv_SY_B!BX7/Inv_SY_B!$IS7-1,"")</f>
        <v>1.035797541229555E-2</v>
      </c>
      <c r="BY7" s="62">
        <f>IFERROR(Inv_SY_B!BY7/Inv_SY_B!$IS7-1,"")</f>
        <v>1.8029112119039237E-2</v>
      </c>
      <c r="BZ7" s="62">
        <f>IFERROR(Inv_SY_B!BZ7/Inv_SY_B!$IS7-1,"")</f>
        <v>-2.9745799119114125E-3</v>
      </c>
      <c r="CA7" s="62">
        <f>IFERROR(Inv_SY_B!CA7/Inv_SY_B!$IS7-1,"")</f>
        <v>1.9397430818123951E-2</v>
      </c>
      <c r="CB7" s="62">
        <f>IFERROR(Inv_SY_B!CB7/Inv_SY_B!$IS7-1,"")</f>
        <v>1.1743398095118707E-2</v>
      </c>
      <c r="CC7" s="62">
        <f>IFERROR(Inv_SY_B!CC7/Inv_SY_B!$IS7-1,"")</f>
        <v>1.1218241934736195E-3</v>
      </c>
      <c r="CD7" s="62">
        <f>IFERROR(Inv_SY_B!CD7/Inv_SY_B!$IS7-1,"")</f>
        <v>1.9528999923805301E-2</v>
      </c>
      <c r="CE7" s="62">
        <f>IFERROR(Inv_SY_B!CE7/Inv_SY_B!$IS7-1,"")</f>
        <v>1.6746313338647401E-2</v>
      </c>
      <c r="CF7" s="62">
        <f>IFERROR(Inv_SY_B!CF7/Inv_SY_B!$IS7-1,"")</f>
        <v>1.3527279739440345E-3</v>
      </c>
      <c r="CG7" s="62">
        <f>IFERROR(Inv_SY_B!CG7/Inv_SY_B!$IS7-1,"")</f>
        <v>5.0471884614728957E-3</v>
      </c>
      <c r="CH7" s="62">
        <f>IFERROR(Inv_SY_B!CH7/Inv_SY_B!$IS7-1,"")</f>
        <v>1.7592960533705959E-2</v>
      </c>
      <c r="CI7" s="62">
        <f>IFERROR(Inv_SY_B!CI7/Inv_SY_B!$IS7-1,"")</f>
        <v>3.3538940713553345E-3</v>
      </c>
      <c r="CJ7" s="62">
        <f>IFERROR(Inv_SY_B!CJ7/Inv_SY_B!$IS7-1,"")</f>
        <v>8.2798413880604826E-3</v>
      </c>
      <c r="CK7" s="62">
        <f>IFERROR(Inv_SY_B!CK7/Inv_SY_B!$IS7-1,"")</f>
        <v>6.8944187052373263E-3</v>
      </c>
      <c r="CL7" s="62">
        <f>IFERROR(Inv_SY_B!CL7/Inv_SY_B!$IS7-1,"")</f>
        <v>4.8162846810022586E-3</v>
      </c>
      <c r="CM7" s="62">
        <f>IFERROR(Inv_SY_B!CM7/Inv_SY_B!$IS7-1,"")</f>
        <v>-1.6503831049111684E-2</v>
      </c>
      <c r="CN7" s="62">
        <f>IFERROR(Inv_SY_B!CN7/Inv_SY_B!$IS7-1,"")</f>
        <v>-2.4508495438757327E-2</v>
      </c>
      <c r="CO7" s="62">
        <f>IFERROR(Inv_SY_B!CO7/Inv_SY_B!$IS7-1,"")</f>
        <v>-1.2175154844557112E-2</v>
      </c>
      <c r="CP7" s="62">
        <f>IFERROR(Inv_SY_B!CP7/Inv_SY_B!$IS7-1,"")</f>
        <v>-2.2033680560893387E-2</v>
      </c>
      <c r="CQ7" s="62">
        <f>IFERROR(Inv_SY_B!CQ7/Inv_SY_B!$IS7-1,"")</f>
        <v>2.3750394679587172E-2</v>
      </c>
      <c r="CR7" s="62">
        <f>IFERROR(Inv_SY_B!CR7/Inv_SY_B!$IS7-1,"")</f>
        <v>-6.2670967815841028E-3</v>
      </c>
      <c r="CS7" s="62">
        <f>IFERROR(Inv_SY_B!CS7/Inv_SY_B!$IS7-1,"")</f>
        <v>3.8670135835123798E-3</v>
      </c>
      <c r="CT7" s="62">
        <f>IFERROR(Inv_SY_B!CT7/Inv_SY_B!$IS7-1,"")</f>
        <v>1.2124114476796954E-4</v>
      </c>
      <c r="CU7" s="62">
        <f>IFERROR(Inv_SY_B!CU7/Inv_SY_B!$IS7-1,"")</f>
        <v>3.1229902908849194E-3</v>
      </c>
      <c r="CV7" s="62">
        <f>IFERROR(Inv_SY_B!CV7/Inv_SY_B!$IS7-1,"")</f>
        <v>2.1056517240764183E-2</v>
      </c>
      <c r="CW7" s="62">
        <f>IFERROR(Inv_SY_B!CW7/Inv_SY_B!$IS7-1,"")</f>
        <v>8.5877130953546654E-3</v>
      </c>
      <c r="CX7" s="62">
        <f>IFERROR(Inv_SY_B!CX7/Inv_SY_B!$IS7-1,"")</f>
        <v>1.4283339680294826E-2</v>
      </c>
      <c r="CY7" s="62">
        <f>IFERROR(Inv_SY_B!CY7/Inv_SY_B!$IS7-1,"")</f>
        <v>1.6823281265470724E-2</v>
      </c>
      <c r="CZ7" s="62">
        <f>IFERROR(Inv_SY_B!CZ7/Inv_SY_B!$IS7-1,"")</f>
        <v>2.8151185835909587E-3</v>
      </c>
      <c r="DA7" s="62">
        <f>IFERROR(Inv_SY_B!DA7/Inv_SY_B!$IS7-1,"")</f>
        <v>1.2205205656059759E-2</v>
      </c>
      <c r="DB7" s="62">
        <f>IFERROR(Inv_SY_B!DB7/Inv_SY_B!$IS7-1,"")</f>
        <v>1.5066638275911259E-3</v>
      </c>
      <c r="DC7" s="62">
        <f>IFERROR(Inv_SY_B!DC7/Inv_SY_B!$IS7-1,"")</f>
        <v>1.6113465940320815E-2</v>
      </c>
      <c r="DD7" s="62">
        <f>IFERROR(Inv_SY_B!DD7/Inv_SY_B!$IS7-1,"")</f>
        <v>-7.0367760498192267E-3</v>
      </c>
      <c r="DE7" s="62">
        <f>IFERROR(Inv_SY_B!DE7/Inv_SY_B!$IS7-1,"")</f>
        <v>1.9602678622986591E-2</v>
      </c>
      <c r="DF7" s="62">
        <f>IFERROR(Inv_SY_B!DF7/Inv_SY_B!$IS7-1,"")</f>
        <v>-2.7687278541686511E-2</v>
      </c>
      <c r="DG7" s="62">
        <f>IFERROR(Inv_SY_B!DG7/Inv_SY_B!$IS7-1,"")</f>
        <v>7.5871300466487934E-3</v>
      </c>
      <c r="DH7" s="62">
        <f>IFERROR(Inv_SY_B!DH7/Inv_SY_B!$IS7-1,"")</f>
        <v>4.4827569981003013E-3</v>
      </c>
      <c r="DI7" s="62">
        <f>IFERROR(Inv_SY_B!DI7/Inv_SY_B!$IS7-1,"")</f>
        <v>9.8665648025759722E-3</v>
      </c>
      <c r="DJ7" s="62">
        <f>IFERROR(Inv_SY_B!DJ7/Inv_SY_B!$IS7-1,"")</f>
        <v>9.2271389489653188E-3</v>
      </c>
      <c r="DK7" s="62">
        <f>IFERROR(Inv_SY_B!DK7/Inv_SY_B!$IS7-1,"")</f>
        <v>-3.7955711313623075E-3</v>
      </c>
      <c r="DL7" s="62">
        <f>IFERROR(Inv_SY_B!DL7/Inv_SY_B!$IS7-1,"")</f>
        <v>3.1144382990158093E-3</v>
      </c>
      <c r="DM7" s="62">
        <f>IFERROR(Inv_SY_B!DM7/Inv_SY_B!$IS7-1,"")</f>
        <v>1.9209286996999975E-2</v>
      </c>
      <c r="DN7" s="62">
        <f>IFERROR(Inv_SY_B!DN7/Inv_SY_B!$IS7-1,"")</f>
        <v>-2.4662431292404308E-2</v>
      </c>
      <c r="DO7" s="62">
        <f>IFERROR(Inv_SY_B!DO7/Inv_SY_B!$IS7-1,"")</f>
        <v>-2.4662122287679611E-2</v>
      </c>
      <c r="DP7" s="62">
        <f>IFERROR(Inv_SY_B!DP7/Inv_SY_B!$IS7-1,"")</f>
        <v>-2.6325002371401229E-3</v>
      </c>
      <c r="DQ7" s="62">
        <f>IFERROR(Inv_SY_B!DQ7/Inv_SY_B!$IS7-1,"")</f>
        <v>3.5249339087410902E-3</v>
      </c>
      <c r="DR7" s="62">
        <f>IFERROR(Inv_SY_B!DR7/Inv_SY_B!$IS7-1,"")</f>
        <v>1.33597245584125E-2</v>
      </c>
      <c r="DS7" s="62">
        <f>IFERROR(Inv_SY_B!DS7/Inv_SY_B!$IS7-1,"")</f>
        <v>1.5283922729000476E-2</v>
      </c>
      <c r="DT7" s="62">
        <f>IFERROR(Inv_SY_B!DT7/Inv_SY_B!$IS7-1,"")</f>
        <v>-3.8345618283251781E-2</v>
      </c>
      <c r="DU7" s="62">
        <f>IFERROR(Inv_SY_B!DU7/Inv_SY_B!$IS7-1,"")</f>
        <v>-6.400159389109028E-2</v>
      </c>
      <c r="DV7" s="62">
        <f>IFERROR(Inv_SY_B!DV7/Inv_SY_B!$IS7-1,"")</f>
        <v>1.33597245584125E-2</v>
      </c>
      <c r="DW7" s="62">
        <f>IFERROR(Inv_SY_B!DW7/Inv_SY_B!$IS7-1,"")</f>
        <v>-6.959808122995681E-3</v>
      </c>
      <c r="DX7" s="62">
        <f>IFERROR(Inv_SY_B!DX7/Inv_SY_B!$IS7-1,"")</f>
        <v>3.7301817136037307E-3</v>
      </c>
      <c r="DY7" s="62">
        <f>IFERROR(Inv_SY_B!DY7/Inv_SY_B!$IS7-1,"")</f>
        <v>-6.959808122995681E-3</v>
      </c>
      <c r="DZ7" s="62">
        <f>IFERROR(Inv_SY_B!DZ7/Inv_SY_B!$IS7-1,"")</f>
        <v>-4.5738023914666526E-3</v>
      </c>
      <c r="EA7" s="62">
        <f>IFERROR(Inv_SY_B!EA7/Inv_SY_B!$IS7-1,"")</f>
        <v>-3.2735511617004165E-2</v>
      </c>
      <c r="EB7" s="62">
        <f>IFERROR(Inv_SY_B!EB7/Inv_SY_B!$IS7-1,"")</f>
        <v>-9.2688459277012747E-3</v>
      </c>
      <c r="EC7" s="62">
        <f>IFERROR(Inv_SY_B!EC7/Inv_SY_B!$IS7-1,"")</f>
        <v>-3.8455673915211985E-3</v>
      </c>
      <c r="ED7" s="62">
        <f>IFERROR(Inv_SY_B!ED7/Inv_SY_B!$IS7-1,"")</f>
        <v>-1.2868576659139319E-2</v>
      </c>
      <c r="EE7" s="62">
        <f>IFERROR(Inv_SY_B!EE7/Inv_SY_B!$IS7-1,"")</f>
        <v>-8.8188795862714775E-3</v>
      </c>
      <c r="EF7" s="62">
        <f>IFERROR(Inv_SY_B!EF7/Inv_SY_B!$IS7-1,"")</f>
        <v>1.0350978328038885E-2</v>
      </c>
      <c r="EG7" s="62">
        <f>IFERROR(Inv_SY_B!EG7/Inv_SY_B!$IS7-1,"")</f>
        <v>6.7558226132298227E-3</v>
      </c>
      <c r="EH7" s="62">
        <f>IFERROR(Inv_SY_B!EH7/Inv_SY_B!$IS7-1,"")</f>
        <v>-1.257308440860716E-2</v>
      </c>
      <c r="EI7" s="62">
        <f>IFERROR(Inv_SY_B!EI7/Inv_SY_B!$IS7-1,"")</f>
        <v>-1.1481914105696545E-3</v>
      </c>
      <c r="EJ7" s="62">
        <f>IFERROR(Inv_SY_B!EJ7/Inv_SY_B!$IS7-1,"")</f>
        <v>1.5450238039409259E-2</v>
      </c>
      <c r="EK7" s="62">
        <f>IFERROR(Inv_SY_B!EK7/Inv_SY_B!$IS7-1,"")</f>
        <v>6.8156765204285819E-4</v>
      </c>
      <c r="EL7" s="62">
        <f>IFERROR(Inv_SY_B!EL7/Inv_SY_B!$IS7-1,"")</f>
        <v>-2.0814034951228577E-2</v>
      </c>
      <c r="EM7" s="62">
        <f>IFERROR(Inv_SY_B!EM7/Inv_SY_B!$IS7-1,"")</f>
        <v>-1.8268172756296774E-2</v>
      </c>
      <c r="EN7" s="62">
        <f>IFERROR(Inv_SY_B!EN7/Inv_SY_B!$IS7-1,"")</f>
        <v>-2.5372904463083046E-2</v>
      </c>
      <c r="EO7" s="62">
        <f>IFERROR(Inv_SY_B!EO7/Inv_SY_B!$IS7-1,"")</f>
        <v>3.1229902908849194E-3</v>
      </c>
      <c r="EP7" s="62">
        <f>IFERROR(Inv_SY_B!EP7/Inv_SY_B!$IS7-1,"")</f>
        <v>-4.5560405621997146E-3</v>
      </c>
      <c r="EQ7" s="62">
        <f>IFERROR(Inv_SY_B!EQ7/Inv_SY_B!$IS7-1,"")</f>
        <v>-2.6740565316639264E-2</v>
      </c>
      <c r="ER7" s="62">
        <f>IFERROR(Inv_SY_B!ER7/Inv_SY_B!$IS7-1,"")</f>
        <v>-1.0452967878832098E-2</v>
      </c>
      <c r="ES7" s="62">
        <f>IFERROR(Inv_SY_B!ES7/Inv_SY_B!$IS7-1,"")</f>
        <v>-1.4194793244406201E-2</v>
      </c>
      <c r="ET7" s="62">
        <f>IFERROR(Inv_SY_B!ET7/Inv_SY_B!$IS7-1,"")</f>
        <v>5.6489377075477076E-3</v>
      </c>
      <c r="EU7" s="62">
        <f>IFERROR(Inv_SY_B!EU7/Inv_SY_B!$IS7-1,"")</f>
        <v>-3.3482361720461595E-3</v>
      </c>
      <c r="EV7" s="62">
        <f>IFERROR(Inv_SY_B!EV7/Inv_SY_B!$IS7-1,"")</f>
        <v>5.1774418760972551E-3</v>
      </c>
      <c r="EW7" s="62">
        <f>IFERROR(Inv_SY_B!EW7/Inv_SY_B!$IS7-1,"")</f>
        <v>-4.5560405621997146E-3</v>
      </c>
      <c r="EX7" s="62">
        <f>IFERROR(Inv_SY_B!EX7/Inv_SY_B!$IS7-1,"")</f>
        <v>-8.0237397711435676E-4</v>
      </c>
      <c r="EY7" s="62">
        <f>IFERROR(Inv_SY_B!EY7/Inv_SY_B!$IS7-1,"")</f>
        <v>1.700287309472559E-2</v>
      </c>
      <c r="EZ7" s="62">
        <f>IFERROR(Inv_SY_B!EZ7/Inv_SY_B!$IS7-1,"")</f>
        <v>-1.0966263570277857E-4</v>
      </c>
      <c r="FA7" s="62">
        <f>IFERROR(Inv_SY_B!FA7/Inv_SY_B!$IS7-1,"")</f>
        <v>-1.8504997146522983E-2</v>
      </c>
      <c r="FB7" s="62">
        <f>IFERROR(Inv_SY_B!FB7/Inv_SY_B!$IS7-1,"")</f>
        <v>-2.0352227390287414E-2</v>
      </c>
      <c r="FC7" s="62">
        <f>IFERROR(Inv_SY_B!FC7/Inv_SY_B!$IS7-1,"")</f>
        <v>-2.0352227390287414E-2</v>
      </c>
      <c r="FD7" s="62">
        <f>IFERROR(Inv_SY_B!FD7/Inv_SY_B!$IS7-1,"")</f>
        <v>-2.6359848934964791E-4</v>
      </c>
      <c r="FE7" s="62">
        <f>IFERROR(Inv_SY_B!FE7/Inv_SY_B!$IS7-1,"")</f>
        <v>-6.9624320295919029E-3</v>
      </c>
      <c r="FF7" s="62">
        <f>IFERROR(Inv_SY_B!FF7/Inv_SY_B!$IS7-1,"")</f>
        <v>-2.572248955729195E-2</v>
      </c>
      <c r="FG7" s="62">
        <f>IFERROR(Inv_SY_B!FG7/Inv_SY_B!$IS7-1,"")</f>
        <v>-2.0982742427195222E-2</v>
      </c>
      <c r="FH7" s="62">
        <f>IFERROR(Inv_SY_B!FH7/Inv_SY_B!$IS7-1,"")</f>
        <v>-2.3387212686623915E-2</v>
      </c>
      <c r="FI7" s="62">
        <f>IFERROR(Inv_SY_B!FI7/Inv_SY_B!$IS7-1,"")</f>
        <v>-2.5757086251672168E-2</v>
      </c>
      <c r="FJ7" s="62">
        <f>IFERROR(Inv_SY_B!FJ7/Inv_SY_B!$IS7-1,"")</f>
        <v>-3.1984491240120261E-2</v>
      </c>
      <c r="FK7" s="62">
        <f>IFERROR(Inv_SY_B!FK7/Inv_SY_B!$IS7-1,"")</f>
        <v>-2.0929472955693029E-3</v>
      </c>
      <c r="FL7" s="62">
        <f>IFERROR(Inv_SY_B!FL7/Inv_SY_B!$IS7-1,"")</f>
        <v>-1.5596729046075231E-2</v>
      </c>
      <c r="FM7" s="62">
        <f>IFERROR(Inv_SY_B!FM7/Inv_SY_B!$IS7-1,"")</f>
        <v>-2.6033859806714243E-2</v>
      </c>
      <c r="FN7" s="62">
        <f>IFERROR(Inv_SY_B!FN7/Inv_SY_B!$IS7-1,"")</f>
        <v>-9.4966398929464679E-3</v>
      </c>
      <c r="FO7" s="62">
        <f>IFERROR(Inv_SY_B!FO7/Inv_SY_B!$IS7-1,"")</f>
        <v>-1.5680799013419233E-2</v>
      </c>
      <c r="FP7" s="62">
        <f>IFERROR(Inv_SY_B!FP7/Inv_SY_B!$IS7-1,"")</f>
        <v>-1.8436425720807614E-2</v>
      </c>
      <c r="FQ7" s="62">
        <f>IFERROR(Inv_SY_B!FQ7/Inv_SY_B!$IS7-1,"")</f>
        <v>-1.5372542466491224E-2</v>
      </c>
      <c r="FR7" s="62">
        <f>IFERROR(Inv_SY_B!FR7/Inv_SY_B!$IS7-1,"")</f>
        <v>-1.8802597134128352E-2</v>
      </c>
      <c r="FS7" s="62">
        <f>IFERROR(Inv_SY_B!FS7/Inv_SY_B!$IS7-1,"")</f>
        <v>-2.1328709370997845E-2</v>
      </c>
      <c r="FT7" s="62">
        <f>IFERROR(Inv_SY_B!FT7/Inv_SY_B!$IS7-1,"")</f>
        <v>-5.0599598056209061E-3</v>
      </c>
      <c r="FU7" s="62">
        <f>IFERROR(Inv_SY_B!FU7/Inv_SY_B!$IS7-1,"")</f>
        <v>-1.8699360598097514E-2</v>
      </c>
      <c r="FV7" s="62">
        <f>IFERROR(Inv_SY_B!FV7/Inv_SY_B!$IS7-1,"")</f>
        <v>-1.778254819702052E-2</v>
      </c>
      <c r="FW7" s="62">
        <f>IFERROR(Inv_SY_B!FW7/Inv_SY_B!$IS7-1,"")</f>
        <v>-8.4414407143482695E-3</v>
      </c>
      <c r="FX7" s="62">
        <f>IFERROR(Inv_SY_B!FX7/Inv_SY_B!$IS7-1,"")</f>
        <v>-1.1788670895639175E-2</v>
      </c>
      <c r="FY7" s="62">
        <f>IFERROR(Inv_SY_B!FY7/Inv_SY_B!$IS7-1,"")</f>
        <v>-2.3266124256293041E-2</v>
      </c>
      <c r="FZ7" s="62">
        <f>IFERROR(Inv_SY_B!FZ7/Inv_SY_B!$IS7-1,"")</f>
        <v>4.3398582412201847E-5</v>
      </c>
      <c r="GA7" s="62">
        <f>IFERROR(Inv_SY_B!GA7/Inv_SY_B!$IS7-1,"")</f>
        <v>-2.3351285350151962E-2</v>
      </c>
      <c r="GB7" s="62">
        <f>IFERROR(Inv_SY_B!GB7/Inv_SY_B!$IS7-1,"")</f>
        <v>-2.8939982134656761E-2</v>
      </c>
      <c r="GC7" s="62">
        <f>IFERROR(Inv_SY_B!GC7/Inv_SY_B!$IS7-1,"")</f>
        <v>-1.8853671292875518E-3</v>
      </c>
      <c r="GD7" s="62">
        <f>IFERROR(Inv_SY_B!GD7/Inv_SY_B!$IS7-1,"")</f>
        <v>1.795652903168321E-2</v>
      </c>
      <c r="GE7" s="62">
        <f>IFERROR(Inv_SY_B!GE7/Inv_SY_B!$IS7-1,"")</f>
        <v>-1.0776717585016415E-2</v>
      </c>
      <c r="GF7" s="62">
        <f>IFERROR(Inv_SY_B!GF7/Inv_SY_B!$IS7-1,"")</f>
        <v>-1.8284200265534456E-2</v>
      </c>
      <c r="GG7" s="62">
        <f>IFERROR(Inv_SY_B!GG7/Inv_SY_B!$IS7-1,"")</f>
        <v>-3.3411960288093345E-3</v>
      </c>
      <c r="GH7" s="62">
        <f>IFERROR(Inv_SY_B!GH7/Inv_SY_B!$IS7-1,"")</f>
        <v>-5.8072484042347439E-3</v>
      </c>
      <c r="GI7" s="62">
        <f>IFERROR(Inv_SY_B!GI7/Inv_SY_B!$IS7-1,"")</f>
        <v>-1.0589895435362928E-2</v>
      </c>
      <c r="GJ7" s="62">
        <f>IFERROR(Inv_SY_B!GJ7/Inv_SY_B!$IS7-1,"")</f>
        <v>-2.5938053576122777E-2</v>
      </c>
      <c r="GK7" s="62">
        <f>IFERROR(Inv_SY_B!GK7/Inv_SY_B!$IS7-1,"")</f>
        <v>-4.160099784790261E-3</v>
      </c>
      <c r="GL7" s="62">
        <f>IFERROR(Inv_SY_B!GL7/Inv_SY_B!$IS7-1,"")</f>
        <v>-2.5644646994936293E-2</v>
      </c>
      <c r="GM7" s="62">
        <f>IFERROR(Inv_SY_B!GM7/Inv_SY_B!$IS7-1,"")</f>
        <v>-1.5680799013419233E-2</v>
      </c>
      <c r="GN7" s="62">
        <f>IFERROR(Inv_SY_B!GN7/Inv_SY_B!$IS7-1,"")</f>
        <v>-1.6070011825197295E-2</v>
      </c>
      <c r="GO7" s="62">
        <f>IFERROR(Inv_SY_B!GO7/Inv_SY_B!$IS7-1,"")</f>
        <v>7.5162845685499136E-3</v>
      </c>
      <c r="GP7" s="62">
        <f>IFERROR(Inv_SY_B!GP7/Inv_SY_B!$IS7-1,"")</f>
        <v>-1.3034151893328794E-2</v>
      </c>
      <c r="GQ7" s="62">
        <f>IFERROR(Inv_SY_B!GQ7/Inv_SY_B!$IS7-1,"")</f>
        <v>6.1943354384363936E-4</v>
      </c>
      <c r="GR7" s="62">
        <f>IFERROR(Inv_SY_B!GR7/Inv_SY_B!$IS7-1,"")</f>
        <v>4.1690543872592301E-3</v>
      </c>
      <c r="GS7" s="62" t="str">
        <f>IFERROR(Inv_SY_B!GS7/Inv_SY_B!$IS7-1,"")</f>
        <v/>
      </c>
      <c r="GT7" s="62" t="str">
        <f>IFERROR(Inv_SY_B!GT7/Inv_SY_B!$IS7-1,"")</f>
        <v/>
      </c>
      <c r="GU7" s="62">
        <f>IFERROR(Inv_SY_B!GU7/Inv_SY_B!$IS7-1,"")</f>
        <v>6.1320693967917839E-2</v>
      </c>
      <c r="GV7" s="62">
        <f>IFERROR(Inv_SY_B!GV7/Inv_SY_B!$IS7-1,"")</f>
        <v>-2.618893151485846E-2</v>
      </c>
      <c r="GW7" s="62">
        <f>IFERROR(Inv_SY_B!GW7/Inv_SY_B!$IS7-1,"")</f>
        <v>-1.090582232258186E-2</v>
      </c>
      <c r="GX7" s="62" t="str">
        <f>IFERROR(Inv_SY_B!GX7/Inv_SY_B!$IS7-1,"")</f>
        <v/>
      </c>
      <c r="GY7" s="62">
        <f>IFERROR(Inv_SY_B!GY7/Inv_SY_B!$IS7-1,"")</f>
        <v>-4.294129459823548E-3</v>
      </c>
      <c r="GZ7" s="62">
        <f>IFERROR(Inv_SY_B!GZ7/Inv_SY_B!$IS7-1,"")</f>
        <v>-2.0891002878052012E-2</v>
      </c>
      <c r="HA7" s="62">
        <f>IFERROR(Inv_SY_B!HA7/Inv_SY_B!$IS7-1,"")</f>
        <v>-8.8070383667601115E-3</v>
      </c>
      <c r="HB7" s="62">
        <f>IFERROR(Inv_SY_B!HB7/Inv_SY_B!$IS7-1,"")</f>
        <v>-2.1660682146287358E-2</v>
      </c>
      <c r="HC7" s="62">
        <f>IFERROR(Inv_SY_B!HC7/Inv_SY_B!$IS7-1,"")</f>
        <v>3.0460223640615958E-3</v>
      </c>
      <c r="HD7" s="62">
        <f>IFERROR(Inv_SY_B!HD7/Inv_SY_B!$IS7-1,"")</f>
        <v>7.5871300466487934E-3</v>
      </c>
      <c r="HE7" s="62">
        <f>IFERROR(Inv_SY_B!HE7/Inv_SY_B!$IS7-1,"")</f>
        <v>1.6746313338647401E-2</v>
      </c>
      <c r="HF7" s="62">
        <f>IFERROR(Inv_SY_B!HF7/Inv_SY_B!$IS7-1,"")</f>
        <v>1.8131736021470557E-2</v>
      </c>
      <c r="HG7" s="62">
        <f>IFERROR(Inv_SY_B!HG7/Inv_SY_B!$IS7-1,"")</f>
        <v>-7.0367760498192267E-3</v>
      </c>
      <c r="HH7" s="62">
        <f>IFERROR(Inv_SY_B!HH7/Inv_SY_B!$IS7-1,"")</f>
        <v>-2.1352810438993064E-2</v>
      </c>
      <c r="HI7" s="62">
        <f>IFERROR(Inv_SY_B!HI7/Inv_SY_B!$IS7-1,"")</f>
        <v>1.4052435899824189E-2</v>
      </c>
      <c r="HJ7" s="62">
        <f>IFERROR(Inv_SY_B!HJ7/Inv_SY_B!$IS7-1,"")</f>
        <v>-7.1137439766427724E-3</v>
      </c>
      <c r="HK7" s="62">
        <f>IFERROR(Inv_SY_B!HK7/Inv_SY_B!$IS7-1,"")</f>
        <v>1.4197819761602171E-2</v>
      </c>
      <c r="HL7" s="62">
        <f>IFERROR(Inv_SY_B!HL7/Inv_SY_B!$IS7-1,"")</f>
        <v>3.7732901385859163E-2</v>
      </c>
      <c r="HM7" s="62">
        <f>IFERROR(Inv_SY_B!HM7/Inv_SY_B!$IS7-1,"")</f>
        <v>6.2033303941250395E-2</v>
      </c>
      <c r="HN7" s="62">
        <f>IFERROR(Inv_SY_B!HN7/Inv_SY_B!$IS7-1,"")</f>
        <v>3.3503813107473412E-2</v>
      </c>
      <c r="HO7" s="62">
        <f>IFERROR(Inv_SY_B!HO7/Inv_SY_B!$IS7-1,"")</f>
        <v>3.8258728246436391E-2</v>
      </c>
      <c r="HP7" s="62">
        <f>IFERROR(Inv_SY_B!HP7/Inv_SY_B!$IS7-1,"")</f>
        <v>1.6570179838392818E-2</v>
      </c>
      <c r="HQ7" s="62">
        <f>IFERROR(Inv_SY_B!HQ7/Inv_SY_B!$IS7-1,"")</f>
        <v>-1.1523017706647876E-2</v>
      </c>
      <c r="HR7" s="62">
        <f>IFERROR(Inv_SY_B!HR7/Inv_SY_B!$IS7-1,"")</f>
        <v>-2.1154773696498985E-2</v>
      </c>
      <c r="HS7" s="62">
        <f>IFERROR(Inv_SY_B!HS7/Inv_SY_B!$IS7-1,"")</f>
        <v>9.6221620318628354E-3</v>
      </c>
      <c r="HT7" s="62">
        <f>IFERROR(Inv_SY_B!HT7/Inv_SY_B!$IS7-1,"")</f>
        <v>9.2512838048008916E-4</v>
      </c>
      <c r="HU7" s="62">
        <f>IFERROR(Inv_SY_B!HU7/Inv_SY_B!$IS7-1,"")</f>
        <v>-1.5284185439446651E-2</v>
      </c>
      <c r="HV7" s="62">
        <f>IFERROR(Inv_SY_B!HV7/Inv_SY_B!$IS7-1,"")</f>
        <v>-1.4928948854107449E-2</v>
      </c>
      <c r="HW7" s="62">
        <f>IFERROR(Inv_SY_B!HW7/Inv_SY_B!$IS7-1,"")</f>
        <v>1.560718802165928E-2</v>
      </c>
      <c r="HX7" s="62">
        <f>IFERROR(Inv_SY_B!HX7/Inv_SY_B!$IS7-1,"")</f>
        <v>-9.2451634886784317E-3</v>
      </c>
      <c r="HY7" s="62">
        <f>IFERROR(Inv_SY_B!HY7/Inv_SY_B!$IS7-1,"")</f>
        <v>-5.8002218851305187E-4</v>
      </c>
      <c r="HZ7" s="62">
        <f>IFERROR(Inv_SY_B!HZ7/Inv_SY_B!$IS7-1,"")</f>
        <v>-2.0694307065058593E-2</v>
      </c>
      <c r="IA7" s="62">
        <f>IFERROR(Inv_SY_B!IA7/Inv_SY_B!$IS7-1,"")</f>
        <v>-2.2776447966602831E-2</v>
      </c>
      <c r="IB7" s="62">
        <f>IFERROR(Inv_SY_B!IB7/Inv_SY_B!$IS7-1,"")</f>
        <v>-2.0518158245517282E-2</v>
      </c>
      <c r="IC7" s="62">
        <f>IFERROR(Inv_SY_B!IC7/Inv_SY_B!$IS7-1,"")</f>
        <v>-2.5171603731390713E-2</v>
      </c>
      <c r="ID7" s="62">
        <f>IFERROR(Inv_SY_B!ID7/Inv_SY_B!$IS7-1,"")</f>
        <v>-2.5142033907134098E-2</v>
      </c>
      <c r="IE7" s="62">
        <f>IFERROR(Inv_SY_B!IE7/Inv_SY_B!$IS7-1,"")</f>
        <v>1.212411447677475E-4</v>
      </c>
      <c r="IF7" s="62" t="str">
        <f>IFERROR(Inv_SY_B!IF7/Inv_SY_B!$IS7-1,"")</f>
        <v/>
      </c>
      <c r="IG7" s="62">
        <f>IFERROR(Inv_SY_B!IG7/Inv_SY_B!$IS7-1,"")</f>
        <v>4.0609420614241776E-2</v>
      </c>
      <c r="IH7" s="62">
        <f>IFERROR(Inv_SY_B!IH7/Inv_SY_B!$IS7-1,"")</f>
        <v>-2.1008988195345801E-2</v>
      </c>
      <c r="II7" s="62">
        <f>IFERROR(Inv_SY_B!II7/Inv_SY_B!$IS7-1,"")</f>
        <v>2.8544232868162434E-2</v>
      </c>
      <c r="IJ7" s="62">
        <f>IFERROR(Inv_SY_B!IJ7/Inv_SY_B!$IS7-1,"")</f>
        <v>-1.8530221203349795E-2</v>
      </c>
      <c r="IK7" s="62">
        <f>IFERROR(Inv_SY_B!IK7/Inv_SY_B!$IS7-1,"")</f>
        <v>-1.7507105284069957E-2</v>
      </c>
      <c r="IL7" s="62" t="str">
        <f>IFERROR(Inv_SY_B!IL7/Inv_SY_B!$IS7-1,"")</f>
        <v/>
      </c>
      <c r="IM7" s="62" t="str">
        <f>IFERROR(Inv_SY_B!IM7/Inv_SY_B!$IS7-1,"")</f>
        <v/>
      </c>
      <c r="IN7" s="62">
        <f>IFERROR(Inv_SY_B!IN7/Inv_SY_B!$IS7-1,"")</f>
        <v>8.3482572748752704E-2</v>
      </c>
      <c r="IO7" s="62">
        <f>IFERROR(Inv_SY_B!IO7/Inv_SY_B!$IS7-1,"")</f>
        <v>1.0611197478757273E-2</v>
      </c>
      <c r="IP7" s="62">
        <f>IFERROR(Inv_SY_B!IP7/Inv_SY_B!$IS7-1,"")</f>
        <v>0.17239726588950033</v>
      </c>
      <c r="IQ7" s="62">
        <f>IFERROR(Inv_SY_B!IQ7/Inv_SY_B!$IS7-1,"")</f>
        <v>-1.5990173299704313E-2</v>
      </c>
      <c r="IR7" s="62">
        <f>IFERROR(Inv_SY_B!IR7/Inv_SY_B!$IS7-1,"")</f>
        <v>1.4400897658079836E-2</v>
      </c>
    </row>
    <row r="8" spans="2:253" x14ac:dyDescent="0.25">
      <c r="B8" s="85">
        <f t="shared" si="0"/>
        <v>45834</v>
      </c>
      <c r="C8" s="62">
        <f>IFERROR(Inv_SY_B!C8/Inv_SY_B!$IS8-1,"")</f>
        <v>2.4754513865814509E-3</v>
      </c>
      <c r="D8" s="62">
        <f>IFERROR(Inv_SY_B!D8/Inv_SY_B!$IS8-1,"")</f>
        <v>8.9270260737228657E-3</v>
      </c>
      <c r="E8" s="62">
        <f>IFERROR(Inv_SY_B!E8/Inv_SY_B!$IS8-1,"")</f>
        <v>2.8565335835680772E-2</v>
      </c>
      <c r="F8" s="62">
        <f>IFERROR(Inv_SY_B!F8/Inv_SY_B!$IS8-1,"")</f>
        <v>2.6030788637161129E-2</v>
      </c>
      <c r="G8" s="62">
        <f>IFERROR(Inv_SY_B!G8/Inv_SY_B!$IS8-1,"")</f>
        <v>1.2046468779593589E-2</v>
      </c>
      <c r="H8" s="62">
        <f>IFERROR(Inv_SY_B!H8/Inv_SY_B!$IS8-1,"")</f>
        <v>2.004004071338672E-2</v>
      </c>
      <c r="I8" s="62">
        <f>IFERROR(Inv_SY_B!I8/Inv_SY_B!$IS8-1,"")</f>
        <v>1.4049292789612533E-2</v>
      </c>
      <c r="J8" s="62">
        <f>IFERROR(Inv_SY_B!J8/Inv_SY_B!$IS8-1,"")</f>
        <v>1.8119929199356566E-2</v>
      </c>
      <c r="K8" s="62">
        <f>IFERROR(Inv_SY_B!K8/Inv_SY_B!$IS8-1,"")</f>
        <v>9.5424070438809849E-3</v>
      </c>
      <c r="L8" s="62">
        <f>IFERROR(Inv_SY_B!L8/Inv_SY_B!$IS8-1,"")</f>
        <v>1.2934092022264032E-2</v>
      </c>
      <c r="M8" s="62">
        <f>IFERROR(Inv_SY_B!M8/Inv_SY_B!$IS8-1,"")</f>
        <v>2.6568419861089376E-2</v>
      </c>
      <c r="N8" s="62">
        <f>IFERROR(Inv_SY_B!N8/Inv_SY_B!$IS8-1,"")</f>
        <v>1.9732822871141975E-2</v>
      </c>
      <c r="O8" s="62">
        <f>IFERROR(Inv_SY_B!O8/Inv_SY_B!$IS8-1,"")</f>
        <v>-9.4528721421166528E-3</v>
      </c>
      <c r="P8" s="62">
        <f>IFERROR(Inv_SY_B!P8/Inv_SY_B!$IS8-1,"")</f>
        <v>1.5494613092900789E-2</v>
      </c>
      <c r="Q8" s="62">
        <f>IFERROR(Inv_SY_B!Q8/Inv_SY_B!$IS8-1,"")</f>
        <v>4.7559530617067303E-3</v>
      </c>
      <c r="R8" s="62">
        <f>IFERROR(Inv_SY_B!R8/Inv_SY_B!$IS8-1,"")</f>
        <v>3.2198638504825627E-3</v>
      </c>
      <c r="S8" s="62">
        <f>IFERROR(Inv_SY_B!S8/Inv_SY_B!$IS8-1,"")</f>
        <v>-3.1549063760976104E-3</v>
      </c>
      <c r="T8" s="62">
        <f>IFERROR(Inv_SY_B!T8/Inv_SY_B!$IS8-1,"")</f>
        <v>-7.7631740097700019E-3</v>
      </c>
      <c r="U8" s="62">
        <f>IFERROR(Inv_SY_B!U8/Inv_SY_B!$IS8-1,"")</f>
        <v>-9.1515623352995679E-3</v>
      </c>
      <c r="V8" s="62">
        <f>IFERROR(Inv_SY_B!V8/Inv_SY_B!$IS8-1,"")</f>
        <v>-6.0321196294289559E-3</v>
      </c>
      <c r="W8" s="62">
        <f>IFERROR(Inv_SY_B!W8/Inv_SY_B!$IS8-1,"")</f>
        <v>6.1384333518084144E-3</v>
      </c>
      <c r="X8" s="62">
        <f>IFERROR(Inv_SY_B!X8/Inv_SY_B!$IS8-1,"")</f>
        <v>8.135349326399588E-3</v>
      </c>
      <c r="Y8" s="62">
        <f>IFERROR(Inv_SY_B!Y8/Inv_SY_B!$IS8-1,"")</f>
        <v>-1.6382997698908497E-2</v>
      </c>
      <c r="Z8" s="62">
        <f>IFERROR(Inv_SY_B!Z8/Inv_SY_B!$IS8-1,"")</f>
        <v>4.8754266670241186E-3</v>
      </c>
      <c r="AA8" s="62">
        <f>IFERROR(Inv_SY_B!AA8/Inv_SY_B!$IS8-1,"")</f>
        <v>5.2404119667850413E-3</v>
      </c>
      <c r="AB8" s="62">
        <f>IFERROR(Inv_SY_B!AB8/Inv_SY_B!$IS8-1,"")</f>
        <v>-6.5283946053630304E-3</v>
      </c>
      <c r="AC8" s="62">
        <f>IFERROR(Inv_SY_B!AC8/Inv_SY_B!$IS8-1,"")</f>
        <v>-2.9002561372657665E-2</v>
      </c>
      <c r="AD8" s="62">
        <f>IFERROR(Inv_SY_B!AD8/Inv_SY_B!$IS8-1,"")</f>
        <v>-1.4035538288935112E-2</v>
      </c>
      <c r="AE8" s="62">
        <f>IFERROR(Inv_SY_B!AE8/Inv_SY_B!$IS8-1,"")</f>
        <v>-7.4815576543789675E-3</v>
      </c>
      <c r="AF8" s="62">
        <f>IFERROR(Inv_SY_B!AF8/Inv_SY_B!$IS8-1,"")</f>
        <v>-1.4035538288935112E-2</v>
      </c>
      <c r="AG8" s="62">
        <f>IFERROR(Inv_SY_B!AG8/Inv_SY_B!$IS8-1,"")</f>
        <v>-2.8235829663807221E-2</v>
      </c>
      <c r="AH8" s="62">
        <f>IFERROR(Inv_SY_B!AH8/Inv_SY_B!$IS8-1,"")</f>
        <v>-2.0452977660271765E-2</v>
      </c>
      <c r="AI8" s="62">
        <f>IFERROR(Inv_SY_B!AI8/Inv_SY_B!$IS8-1,"")</f>
        <v>5.5098685448569107E-3</v>
      </c>
      <c r="AJ8" s="62">
        <f>IFERROR(Inv_SY_B!AJ8/Inv_SY_B!$IS8-1,"")</f>
        <v>2.641223969513562E-2</v>
      </c>
      <c r="AK8" s="62">
        <f>IFERROR(Inv_SY_B!AK8/Inv_SY_B!$IS8-1,"")</f>
        <v>-8.6080230759434384E-3</v>
      </c>
      <c r="AL8" s="62">
        <f>IFERROR(Inv_SY_B!AL8/Inv_SY_B!$IS8-1,"")</f>
        <v>-3.4070069323258734E-3</v>
      </c>
      <c r="AM8" s="62">
        <f>IFERROR(Inv_SY_B!AM8/Inv_SY_B!$IS8-1,"")</f>
        <v>-1.4652082437511815E-3</v>
      </c>
      <c r="AN8" s="62">
        <f>IFERROR(Inv_SY_B!AN8/Inv_SY_B!$IS8-1,"")</f>
        <v>-2.335447950369518E-2</v>
      </c>
      <c r="AO8" s="62">
        <f>IFERROR(Inv_SY_B!AO8/Inv_SY_B!$IS8-1,"")</f>
        <v>-7.993587391453727E-3</v>
      </c>
      <c r="AP8" s="62">
        <f>IFERROR(Inv_SY_B!AP8/Inv_SY_B!$IS8-1,"")</f>
        <v>9.8250474587462389E-3</v>
      </c>
      <c r="AQ8" s="62">
        <f>IFERROR(Inv_SY_B!AQ8/Inv_SY_B!$IS8-1,"")</f>
        <v>-1.2832268406809733E-2</v>
      </c>
      <c r="AR8" s="62">
        <f>IFERROR(Inv_SY_B!AR8/Inv_SY_B!$IS8-1,"")</f>
        <v>-2.2048803674154516E-2</v>
      </c>
      <c r="AS8" s="62">
        <f>IFERROR(Inv_SY_B!AS8/Inv_SY_B!$IS8-1,"")</f>
        <v>-6.3038892591071871E-3</v>
      </c>
      <c r="AT8" s="62">
        <f>IFERROR(Inv_SY_B!AT8/Inv_SY_B!$IS8-1,"")</f>
        <v>-1.4521966539156383E-2</v>
      </c>
      <c r="AU8" s="62">
        <f>IFERROR(Inv_SY_B!AU8/Inv_SY_B!$IS8-1,"")</f>
        <v>4.6791486011452665E-3</v>
      </c>
      <c r="AV8" s="62">
        <f>IFERROR(Inv_SY_B!AV8/Inv_SY_B!$IS8-1,"")</f>
        <v>1.0055460840429964E-2</v>
      </c>
      <c r="AW8" s="62">
        <f>IFERROR(Inv_SY_B!AW8/Inv_SY_B!$IS8-1,"")</f>
        <v>3.1135192127824673E-3</v>
      </c>
      <c r="AX8" s="62">
        <f>IFERROR(Inv_SY_B!AX8/Inv_SY_B!$IS8-1,"")</f>
        <v>-7.2255427858417542E-3</v>
      </c>
      <c r="AY8" s="62">
        <f>IFERROR(Inv_SY_B!AY8/Inv_SY_B!$IS8-1,"")</f>
        <v>7.6990999904120727E-3</v>
      </c>
      <c r="AZ8" s="62">
        <f>IFERROR(Inv_SY_B!AZ8/Inv_SY_B!$IS8-1,"")</f>
        <v>-2.5775356100584235E-2</v>
      </c>
      <c r="BA8" s="62">
        <f>IFERROR(Inv_SY_B!BA8/Inv_SY_B!$IS8-1,"")</f>
        <v>1.4126097250173997E-2</v>
      </c>
      <c r="BB8" s="62">
        <f>IFERROR(Inv_SY_B!BB8/Inv_SY_B!$IS8-1,"")</f>
        <v>1.1821963433337634E-2</v>
      </c>
      <c r="BC8" s="62">
        <f>IFERROR(Inv_SY_B!BC8/Inv_SY_B!$IS8-1,"")</f>
        <v>4.8071560354141507E-3</v>
      </c>
      <c r="BD8" s="62">
        <f>IFERROR(Inv_SY_B!BD8/Inv_SY_B!$IS8-1,"")</f>
        <v>9.2447470900616224E-3</v>
      </c>
      <c r="BE8" s="62">
        <f>IFERROR(Inv_SY_B!BE8/Inv_SY_B!$IS8-1,"")</f>
        <v>-2.2550986685516139E-2</v>
      </c>
      <c r="BF8" s="62">
        <f>IFERROR(Inv_SY_B!BF8/Inv_SY_B!$IS8-1,"")</f>
        <v>4.3975322457543431E-3</v>
      </c>
      <c r="BG8" s="62">
        <f>IFERROR(Inv_SY_B!BG8/Inv_SY_B!$IS8-1,"")</f>
        <v>-3.6584022842209851E-3</v>
      </c>
      <c r="BH8" s="62">
        <f>IFERROR(Inv_SY_B!BH8/Inv_SY_B!$IS8-1,"")</f>
        <v>1.1284332209409387E-2</v>
      </c>
      <c r="BI8" s="62">
        <f>IFERROR(Inv_SY_B!BI8/Inv_SY_B!$IS8-1,"")</f>
        <v>-4.2728379687108076E-3</v>
      </c>
      <c r="BJ8" s="62">
        <f>IFERROR(Inv_SY_B!BJ8/Inv_SY_B!$IS8-1,"")</f>
        <v>6.3091099308332232E-3</v>
      </c>
      <c r="BK8" s="62">
        <f>IFERROR(Inv_SY_B!BK8/Inv_SY_B!$IS8-1,"")</f>
        <v>6.2152378123696561E-3</v>
      </c>
      <c r="BL8" s="62">
        <f>IFERROR(Inv_SY_B!BL8/Inv_SY_B!$IS8-1,"")</f>
        <v>1.5322848988607474E-2</v>
      </c>
      <c r="BM8" s="62">
        <f>IFERROR(Inv_SY_B!BM8/Inv_SY_B!$IS8-1,"")</f>
        <v>4.2183218377780385E-3</v>
      </c>
      <c r="BN8" s="62">
        <f>IFERROR(Inv_SY_B!BN8/Inv_SY_B!$IS8-1,"")</f>
        <v>8.7009918827748223E-2</v>
      </c>
      <c r="BO8" s="62">
        <f>IFERROR(Inv_SY_B!BO8/Inv_SY_B!$IS8-1,"")</f>
        <v>1.0486747426658338E-2</v>
      </c>
      <c r="BP8" s="62">
        <f>IFERROR(Inv_SY_B!BP8/Inv_SY_B!$IS8-1,"")</f>
        <v>5.6124790797906776E-4</v>
      </c>
      <c r="BQ8" s="62">
        <f>IFERROR(Inv_SY_B!BQ8/Inv_SY_B!$IS8-1,"")</f>
        <v>1.3606190132528839E-2</v>
      </c>
      <c r="BR8" s="62">
        <f>IFERROR(Inv_SY_B!BR8/Inv_SY_B!$IS8-1,"")</f>
        <v>-1.0285905137434326E-2</v>
      </c>
      <c r="BS8" s="62">
        <f>IFERROR(Inv_SY_B!BS8/Inv_SY_B!$IS8-1,"")</f>
        <v>6.7528690362979038E-3</v>
      </c>
      <c r="BT8" s="62">
        <f>IFERROR(Inv_SY_B!BT8/Inv_SY_B!$IS8-1,"")</f>
        <v>1.2997523364524088E-3</v>
      </c>
      <c r="BU8" s="62">
        <f>IFERROR(Inv_SY_B!BU8/Inv_SY_B!$IS8-1,"")</f>
        <v>8.9033939320115607E-3</v>
      </c>
      <c r="BV8" s="62">
        <f>IFERROR(Inv_SY_B!BV8/Inv_SY_B!$IS8-1,"")</f>
        <v>8.3892557308495874E-4</v>
      </c>
      <c r="BW8" s="62">
        <f>IFERROR(Inv_SY_B!BW8/Inv_SY_B!$IS8-1,"")</f>
        <v>2.2448988859546937E-4</v>
      </c>
      <c r="BX8" s="62">
        <f>IFERROR(Inv_SY_B!BX8/Inv_SY_B!$IS8-1,"")</f>
        <v>-6.9716363813920879E-4</v>
      </c>
      <c r="BY8" s="62">
        <f>IFERROR(Inv_SY_B!BY8/Inv_SY_B!$IS8-1,"")</f>
        <v>-5.5017093376900084E-3</v>
      </c>
      <c r="BZ8" s="62">
        <f>IFERROR(Inv_SY_B!BZ8/Inv_SY_B!$IS8-1,"")</f>
        <v>-2.1408766502811094E-2</v>
      </c>
      <c r="CA8" s="62">
        <f>IFERROR(Inv_SY_B!CA8/Inv_SY_B!$IS8-1,"")</f>
        <v>3.8513671928748217E-3</v>
      </c>
      <c r="CB8" s="62">
        <f>IFERROR(Inv_SY_B!CB8/Inv_SY_B!$IS8-1,"")</f>
        <v>-6.9716363813920879E-4</v>
      </c>
      <c r="CC8" s="62">
        <f>IFERROR(Inv_SY_B!CC8/Inv_SY_B!$IS8-1,"")</f>
        <v>-8.7616319970658108E-3</v>
      </c>
      <c r="CD8" s="62">
        <f>IFERROR(Inv_SY_B!CD8/Inv_SY_B!$IS8-1,"")</f>
        <v>2.1209692609143183E-3</v>
      </c>
      <c r="CE8" s="62">
        <f>IFERROR(Inv_SY_B!CE8/Inv_SY_B!$IS8-1,"")</f>
        <v>5.9848244306859311E-3</v>
      </c>
      <c r="CF8" s="62">
        <f>IFERROR(Inv_SY_B!CF8/Inv_SY_B!$IS8-1,"")</f>
        <v>1.0285874222113689E-2</v>
      </c>
      <c r="CG8" s="62">
        <f>IFERROR(Inv_SY_B!CG8/Inv_SY_B!$IS8-1,"")</f>
        <v>-6.2035917757774506E-4</v>
      </c>
      <c r="CH8" s="62">
        <f>IFERROR(Inv_SY_B!CH8/Inv_SY_B!$IS8-1,"")</f>
        <v>9.9018519193077026E-3</v>
      </c>
      <c r="CI8" s="62">
        <f>IFERROR(Inv_SY_B!CI8/Inv_SY_B!$IS8-1,"")</f>
        <v>-3.5389286789037078E-3</v>
      </c>
      <c r="CJ8" s="62">
        <f>IFERROR(Inv_SY_B!CJ8/Inv_SY_B!$IS8-1,"")</f>
        <v>3.9111039955332938E-3</v>
      </c>
      <c r="CK8" s="62">
        <f>IFERROR(Inv_SY_B!CK8/Inv_SY_B!$IS8-1,"")</f>
        <v>5.523997667318703E-3</v>
      </c>
      <c r="CL8" s="62">
        <f>IFERROR(Inv_SY_B!CL8/Inv_SY_B!$IS8-1,"")</f>
        <v>5.9080199701246894E-3</v>
      </c>
      <c r="CM8" s="62">
        <f>IFERROR(Inv_SY_B!CM8/Inv_SY_B!$IS8-1,"")</f>
        <v>-1.6595686974308799E-2</v>
      </c>
      <c r="CN8" s="62">
        <f>IFERROR(Inv_SY_B!CN8/Inv_SY_B!$IS8-1,"")</f>
        <v>-2.227921705583813E-2</v>
      </c>
      <c r="CO8" s="62">
        <f>IFERROR(Inv_SY_B!CO8/Inv_SY_B!$IS8-1,"")</f>
        <v>-1.0144112287167495E-2</v>
      </c>
      <c r="CP8" s="62">
        <f>IFERROR(Inv_SY_B!CP8/Inv_SY_B!$IS8-1,"")</f>
        <v>-2.0494990356647036E-2</v>
      </c>
      <c r="CQ8" s="62">
        <f>IFERROR(Inv_SY_B!CQ8/Inv_SY_B!$IS8-1,"")</f>
        <v>1.8657560423285036E-2</v>
      </c>
      <c r="CR8" s="62">
        <f>IFERROR(Inv_SY_B!CR8/Inv_SY_B!$IS8-1,"")</f>
        <v>8.8265894714505411E-3</v>
      </c>
      <c r="CS8" s="62">
        <f>IFERROR(Inv_SY_B!CS8/Inv_SY_B!$IS8-1,"")</f>
        <v>-3.5218610210011603E-3</v>
      </c>
      <c r="CT8" s="62">
        <f>IFERROR(Inv_SY_B!CT8/Inv_SY_B!$IS8-1,"")</f>
        <v>-8.9152409181880721E-3</v>
      </c>
      <c r="CU8" s="62">
        <f>IFERROR(Inv_SY_B!CU8/Inv_SY_B!$IS8-1,"")</f>
        <v>-1.0988961353340709E-2</v>
      </c>
      <c r="CV8" s="62">
        <f>IFERROR(Inv_SY_B!CV8/Inv_SY_B!$IS8-1,"")</f>
        <v>1.43565106318575E-2</v>
      </c>
      <c r="CW8" s="62">
        <f>IFERROR(Inv_SY_B!CW8/Inv_SY_B!$IS8-1,"")</f>
        <v>-4.9982134295665226E-3</v>
      </c>
      <c r="CX8" s="62">
        <f>IFERROR(Inv_SY_B!CX8/Inv_SY_B!$IS8-1,"")</f>
        <v>4.5255396800232273E-3</v>
      </c>
      <c r="CY8" s="62">
        <f>IFERROR(Inv_SY_B!CY8/Inv_SY_B!$IS8-1,"")</f>
        <v>7.0600868785428705E-3</v>
      </c>
      <c r="CZ8" s="62">
        <f>IFERROR(Inv_SY_B!CZ8/Inv_SY_B!$IS8-1,"")</f>
        <v>-9.4528721421166528E-3</v>
      </c>
      <c r="DA8" s="62">
        <f>IFERROR(Inv_SY_B!DA8/Inv_SY_B!$IS8-1,"")</f>
        <v>6.0851219140145574E-4</v>
      </c>
      <c r="DB8" s="62">
        <f>IFERROR(Inv_SY_B!DB8/Inv_SY_B!$IS8-1,"")</f>
        <v>-1.1757005958952682E-2</v>
      </c>
      <c r="DC8" s="62">
        <f>IFERROR(Inv_SY_B!DC8/Inv_SY_B!$IS8-1,"")</f>
        <v>-7.1402044963292388E-3</v>
      </c>
      <c r="DD8" s="62">
        <f>IFERROR(Inv_SY_B!DD8/Inv_SY_B!$IS8-1,"")</f>
        <v>-6.1833514244859611E-2</v>
      </c>
      <c r="DE8" s="62">
        <f>IFERROR(Inv_SY_B!DE8/Inv_SY_B!$IS8-1,"")</f>
        <v>1.9280529936726021E-2</v>
      </c>
      <c r="DF8" s="62">
        <f>IFERROR(Inv_SY_B!DF8/Inv_SY_B!$IS8-1,"")</f>
        <v>-1.5138894706976158E-2</v>
      </c>
      <c r="DG8" s="62">
        <f>IFERROR(Inv_SY_B!DG8/Inv_SY_B!$IS8-1,"")</f>
        <v>9.1338073136955078E-3</v>
      </c>
      <c r="DH8" s="62">
        <f>IFERROR(Inv_SY_B!DH8/Inv_SY_B!$IS8-1,"")</f>
        <v>-6.5257688118394164E-3</v>
      </c>
      <c r="DI8" s="62">
        <f>IFERROR(Inv_SY_B!DI8/Inv_SY_B!$IS8-1,"")</f>
        <v>-5.1104661026944997E-3</v>
      </c>
      <c r="DJ8" s="62">
        <f>IFERROR(Inv_SY_B!DJ8/Inv_SY_B!$IS8-1,"")</f>
        <v>4.1060691646503944E-3</v>
      </c>
      <c r="DK8" s="62">
        <f>IFERROR(Inv_SY_B!DK8/Inv_SY_B!$IS8-1,"")</f>
        <v>-2.3612602836318164E-3</v>
      </c>
      <c r="DL8" s="62">
        <f>IFERROR(Inv_SY_B!DL8/Inv_SY_B!$IS8-1,"")</f>
        <v>1.8715188761857515E-3</v>
      </c>
      <c r="DM8" s="62">
        <f>IFERROR(Inv_SY_B!DM8/Inv_SY_B!$IS8-1,"")</f>
        <v>1.2359594657266104E-2</v>
      </c>
      <c r="DN8" s="62">
        <f>IFERROR(Inv_SY_B!DN8/Inv_SY_B!$IS8-1,"")</f>
        <v>-2.3738501806501167E-2</v>
      </c>
      <c r="DO8" s="62">
        <f>IFERROR(Inv_SY_B!DO8/Inv_SY_B!$IS8-1,"")</f>
        <v>-1.5276109768668111E-2</v>
      </c>
      <c r="DP8" s="62">
        <f>IFERROR(Inv_SY_B!DP8/Inv_SY_B!$IS8-1,"")</f>
        <v>-2.2910720398230278E-2</v>
      </c>
      <c r="DQ8" s="62">
        <f>IFERROR(Inv_SY_B!DQ8/Inv_SY_B!$IS8-1,"")</f>
        <v>-1.3898997025715176E-2</v>
      </c>
      <c r="DR8" s="62">
        <f>IFERROR(Inv_SY_B!DR8/Inv_SY_B!$IS8-1,"")</f>
        <v>6.2920422729306758E-3</v>
      </c>
      <c r="DS8" s="62">
        <f>IFERROR(Inv_SY_B!DS8/Inv_SY_B!$IS8-1,"")</f>
        <v>1.8734364883846277E-2</v>
      </c>
      <c r="DT8" s="62">
        <f>IFERROR(Inv_SY_B!DT8/Inv_SY_B!$IS8-1,"")</f>
        <v>-4.3528451144438707E-2</v>
      </c>
      <c r="DU8" s="62">
        <f>IFERROR(Inv_SY_B!DU8/Inv_SY_B!$IS8-1,"")</f>
        <v>-7.6025271790780224E-2</v>
      </c>
      <c r="DV8" s="62">
        <f>IFERROR(Inv_SY_B!DV8/Inv_SY_B!$IS8-1,"")</f>
        <v>2.0677969420643816E-3</v>
      </c>
      <c r="DW8" s="62">
        <f>IFERROR(Inv_SY_B!DW8/Inv_SY_B!$IS8-1,"")</f>
        <v>5.4471932067574613E-3</v>
      </c>
      <c r="DX8" s="62">
        <f>IFERROR(Inv_SY_B!DX8/Inv_SY_B!$IS8-1,"")</f>
        <v>2.0763307710156553E-3</v>
      </c>
      <c r="DY8" s="62">
        <f>IFERROR(Inv_SY_B!DY8/Inv_SY_B!$IS8-1,"")</f>
        <v>-9.5296766026777835E-3</v>
      </c>
      <c r="DZ8" s="62">
        <f>IFERROR(Inv_SY_B!DZ8/Inv_SY_B!$IS8-1,"")</f>
        <v>-1.045133012941224E-2</v>
      </c>
      <c r="EA8" s="62">
        <f>IFERROR(Inv_SY_B!EA8/Inv_SY_B!$IS8-1,"")</f>
        <v>-2.2978991029840246E-2</v>
      </c>
      <c r="EB8" s="62">
        <f>IFERROR(Inv_SY_B!EB8/Inv_SY_B!$IS8-1,"")</f>
        <v>-1.1236442392926871E-2</v>
      </c>
      <c r="EC8" s="62">
        <f>IFERROR(Inv_SY_B!EC8/Inv_SY_B!$IS8-1,"")</f>
        <v>-1.3476244268438187E-2</v>
      </c>
      <c r="ED8" s="62">
        <f>IFERROR(Inv_SY_B!ED8/Inv_SY_B!$IS8-1,"")</f>
        <v>-1.3334451418171356E-2</v>
      </c>
      <c r="EE8" s="62">
        <f>IFERROR(Inv_SY_B!EE8/Inv_SY_B!$IS8-1,"")</f>
        <v>-1.0002319436900553E-2</v>
      </c>
      <c r="EF8" s="62">
        <f>IFERROR(Inv_SY_B!EF8/Inv_SY_B!$IS8-1,"")</f>
        <v>7.4510914050363031E-3</v>
      </c>
      <c r="EG8" s="62">
        <f>IFERROR(Inv_SY_B!EG8/Inv_SY_B!$IS8-1,"")</f>
        <v>-3.9865966360910221E-3</v>
      </c>
      <c r="EH8" s="62">
        <f>IFERROR(Inv_SY_B!EH8/Inv_SY_B!$IS8-1,"")</f>
        <v>-1.5387225182261766E-2</v>
      </c>
      <c r="EI8" s="62">
        <f>IFERROR(Inv_SY_B!EI8/Inv_SY_B!$IS8-1,"")</f>
        <v>2.5382913997682444E-3</v>
      </c>
      <c r="EJ8" s="62">
        <f>IFERROR(Inv_SY_B!EJ8/Inv_SY_B!$IS8-1,"")</f>
        <v>4.689353389611739E-3</v>
      </c>
      <c r="EK8" s="62">
        <f>IFERROR(Inv_SY_B!EK8/Inv_SY_B!$IS8-1,"")</f>
        <v>-3.7294037410955383E-3</v>
      </c>
      <c r="EL8" s="62">
        <f>IFERROR(Inv_SY_B!EL8/Inv_SY_B!$IS8-1,"")</f>
        <v>-1.3884037831898288E-3</v>
      </c>
      <c r="EM8" s="62">
        <f>IFERROR(Inv_SY_B!EM8/Inv_SY_B!$IS8-1,"")</f>
        <v>-1.6382997698908497E-2</v>
      </c>
      <c r="EN8" s="62">
        <f>IFERROR(Inv_SY_B!EN8/Inv_SY_B!$IS8-1,"")</f>
        <v>-2.0849472482314169E-2</v>
      </c>
      <c r="EO8" s="62">
        <f>IFERROR(Inv_SY_B!EO8/Inv_SY_B!$IS8-1,"")</f>
        <v>4.9095619828292136E-3</v>
      </c>
      <c r="EP8" s="62">
        <f>IFERROR(Inv_SY_B!EP8/Inv_SY_B!$IS8-1,"")</f>
        <v>1.0699436702058307E-2</v>
      </c>
      <c r="EQ8" s="62">
        <f>IFERROR(Inv_SY_B!EQ8/Inv_SY_B!$IS8-1,"")</f>
        <v>-2.3200870582572586E-2</v>
      </c>
      <c r="ER8" s="62">
        <f>IFERROR(Inv_SY_B!ER8/Inv_SY_B!$IS8-1,"")</f>
        <v>-9.8605265866339442E-3</v>
      </c>
      <c r="ES8" s="62">
        <f>IFERROR(Inv_SY_B!ES8/Inv_SY_B!$IS8-1,"")</f>
        <v>-1.6365273592625185E-2</v>
      </c>
      <c r="ET8" s="62">
        <f>IFERROR(Inv_SY_B!ET8/Inv_SY_B!$IS8-1,"")</f>
        <v>9.9951671789511032E-4</v>
      </c>
      <c r="EU8" s="62">
        <f>IFERROR(Inv_SY_B!EU8/Inv_SY_B!$IS8-1,"")</f>
        <v>-1.8438994027777822E-2</v>
      </c>
      <c r="EV8" s="62">
        <f>IFERROR(Inv_SY_B!EV8/Inv_SY_B!$IS8-1,"")</f>
        <v>-4.7559839770273671E-3</v>
      </c>
      <c r="EW8" s="62">
        <f>IFERROR(Inv_SY_B!EW8/Inv_SY_B!$IS8-1,"")</f>
        <v>-5.9234930881446601E-6</v>
      </c>
      <c r="EX8" s="62">
        <f>IFERROR(Inv_SY_B!EX8/Inv_SY_B!$IS8-1,"")</f>
        <v>-1.2985877327932105E-2</v>
      </c>
      <c r="EY8" s="62">
        <f>IFERROR(Inv_SY_B!EY8/Inv_SY_B!$IS8-1,"")</f>
        <v>7.4014400365924882E-3</v>
      </c>
      <c r="EZ8" s="62">
        <f>IFERROR(Inv_SY_B!EZ8/Inv_SY_B!$IS8-1,"")</f>
        <v>-9.2992632209940584E-3</v>
      </c>
      <c r="FA8" s="62">
        <f>IFERROR(Inv_SY_B!FA8/Inv_SY_B!$IS8-1,"")</f>
        <v>-2.5658613320531209E-2</v>
      </c>
      <c r="FB8" s="62">
        <f>IFERROR(Inv_SY_B!FB8/Inv_SY_B!$IS8-1,"")</f>
        <v>-1.8362189567216691E-2</v>
      </c>
      <c r="FC8" s="62">
        <f>IFERROR(Inv_SY_B!FC8/Inv_SY_B!$IS8-1,"")</f>
        <v>-2.6964289150071652E-2</v>
      </c>
      <c r="FD8" s="62">
        <f>IFERROR(Inv_SY_B!FD8/Inv_SY_B!$IS8-1,"")</f>
        <v>-9.1456542998717971E-3</v>
      </c>
      <c r="FE8" s="62">
        <f>IFERROR(Inv_SY_B!FE8/Inv_SY_B!$IS8-1,"")</f>
        <v>1.7256679813826281E-3</v>
      </c>
      <c r="FF8" s="62">
        <f>IFERROR(Inv_SY_B!FF8/Inv_SY_B!$IS8-1,"")</f>
        <v>-1.2644621145211365E-2</v>
      </c>
      <c r="FG8" s="62">
        <f>IFERROR(Inv_SY_B!FG8/Inv_SY_B!$IS8-1,"")</f>
        <v>-1.1876479564270292E-2</v>
      </c>
      <c r="FH8" s="62">
        <f>IFERROR(Inv_SY_B!FH8/Inv_SY_B!$IS8-1,"")</f>
        <v>-1.683919202540618E-2</v>
      </c>
      <c r="FI8" s="62">
        <f>IFERROR(Inv_SY_B!FI8/Inv_SY_B!$IS8-1,"")</f>
        <v>-1.8781122988459686E-2</v>
      </c>
      <c r="FJ8" s="62">
        <f>IFERROR(Inv_SY_B!FJ8/Inv_SY_B!$IS8-1,"")</f>
        <v>-9.7360401027715149E-3</v>
      </c>
      <c r="FK8" s="62">
        <f>IFERROR(Inv_SY_B!FK8/Inv_SY_B!$IS8-1,"")</f>
        <v>-6.3527648249189772E-3</v>
      </c>
      <c r="FL8" s="62">
        <f>IFERROR(Inv_SY_B!FL8/Inv_SY_B!$IS8-1,"")</f>
        <v>-1.485376180878073E-2</v>
      </c>
      <c r="FM8" s="62">
        <f>IFERROR(Inv_SY_B!FM8/Inv_SY_B!$IS8-1,"")</f>
        <v>-1.6994546502450469E-2</v>
      </c>
      <c r="FN8" s="62">
        <f>IFERROR(Inv_SY_B!FN8/Inv_SY_B!$IS8-1,"")</f>
        <v>1.9328072841082733E-3</v>
      </c>
      <c r="FO8" s="62">
        <f>IFERROR(Inv_SY_B!FO8/Inv_SY_B!$IS8-1,"")</f>
        <v>-5.7313469167417086E-3</v>
      </c>
      <c r="FP8" s="62">
        <f>IFERROR(Inv_SY_B!FP8/Inv_SY_B!$IS8-1,"")</f>
        <v>1.042551869586128E-2</v>
      </c>
      <c r="FQ8" s="62">
        <f>IFERROR(Inv_SY_B!FQ8/Inv_SY_B!$IS8-1,"")</f>
        <v>1.4771008181118095E-3</v>
      </c>
      <c r="FR8" s="62">
        <f>IFERROR(Inv_SY_B!FR8/Inv_SY_B!$IS8-1,"")</f>
        <v>-7.1730364637123678E-3</v>
      </c>
      <c r="FS8" s="62">
        <f>IFERROR(Inv_SY_B!FS8/Inv_SY_B!$IS8-1,"")</f>
        <v>-1.8435890817250167E-2</v>
      </c>
      <c r="FT8" s="62">
        <f>IFERROR(Inv_SY_B!FT8/Inv_SY_B!$IS8-1,"")</f>
        <v>6.0267987468165529E-5</v>
      </c>
      <c r="FU8" s="62">
        <f>IFERROR(Inv_SY_B!FU8/Inv_SY_B!$IS8-1,"")</f>
        <v>-1.8850169422701346E-2</v>
      </c>
      <c r="FV8" s="62">
        <f>IFERROR(Inv_SY_B!FV8/Inv_SY_B!$IS8-1,"")</f>
        <v>-1.2644621145211365E-2</v>
      </c>
      <c r="FW8" s="62">
        <f>IFERROR(Inv_SY_B!FW8/Inv_SY_B!$IS8-1,"")</f>
        <v>-1.2100880475556353E-2</v>
      </c>
      <c r="FX8" s="62">
        <f>IFERROR(Inv_SY_B!FX8/Inv_SY_B!$IS8-1,"")</f>
        <v>2.8131493206926539E-3</v>
      </c>
      <c r="FY8" s="62">
        <f>IFERROR(Inv_SY_B!FY8/Inv_SY_B!$IS8-1,"")</f>
        <v>-1.1876479564270292E-2</v>
      </c>
      <c r="FZ8" s="62">
        <f>IFERROR(Inv_SY_B!FZ8/Inv_SY_B!$IS8-1,"")</f>
        <v>1.0580873172905347E-2</v>
      </c>
      <c r="GA8" s="62">
        <f>IFERROR(Inv_SY_B!GA8/Inv_SY_B!$IS8-1,"")</f>
        <v>-7.2848916871843805E-3</v>
      </c>
      <c r="GB8" s="62">
        <f>IFERROR(Inv_SY_B!GB8/Inv_SY_B!$IS8-1,"")</f>
        <v>-1.8504937251491937E-2</v>
      </c>
      <c r="GC8" s="62">
        <f>IFERROR(Inv_SY_B!GC8/Inv_SY_B!$IS8-1,"")</f>
        <v>-2.6100045018100149E-2</v>
      </c>
      <c r="GD8" s="62">
        <f>IFERROR(Inv_SY_B!GD8/Inv_SY_B!$IS8-1,"")</f>
        <v>2.243131268184162E-2</v>
      </c>
      <c r="GE8" s="62">
        <f>IFERROR(Inv_SY_B!GE8/Inv_SY_B!$IS8-1,"")</f>
        <v>2.4665893334399058E-3</v>
      </c>
      <c r="GF8" s="62">
        <f>IFERROR(Inv_SY_B!GF8/Inv_SY_B!$IS8-1,"")</f>
        <v>-9.3908079315621062E-3</v>
      </c>
      <c r="GG8" s="62">
        <f>IFERROR(Inv_SY_B!GG8/Inv_SY_B!$IS8-1,"")</f>
        <v>2.2228023079244874E-3</v>
      </c>
      <c r="GH8" s="62">
        <f>IFERROR(Inv_SY_B!GH8/Inv_SY_B!$IS8-1,"")</f>
        <v>2.2973724569055332E-3</v>
      </c>
      <c r="GI8" s="62">
        <f>IFERROR(Inv_SY_B!GI8/Inv_SY_B!$IS8-1,"")</f>
        <v>-1.2074245452129428E-3</v>
      </c>
      <c r="GJ8" s="62">
        <f>IFERROR(Inv_SY_B!GJ8/Inv_SY_B!$IS8-1,"")</f>
        <v>-1.6892968575152434E-2</v>
      </c>
      <c r="GK8" s="62">
        <f>IFERROR(Inv_SY_B!GK8/Inv_SY_B!$IS8-1,"")</f>
        <v>3.4345672288693674E-3</v>
      </c>
      <c r="GL8" s="62">
        <f>IFERROR(Inv_SY_B!GL8/Inv_SY_B!$IS8-1,"")</f>
        <v>-1.5367760365466721E-3</v>
      </c>
      <c r="GM8" s="62">
        <f>IFERROR(Inv_SY_B!GM8/Inv_SY_B!$IS8-1,"")</f>
        <v>-9.9303536689199223E-4</v>
      </c>
      <c r="GN8" s="62">
        <f>IFERROR(Inv_SY_B!GN8/Inv_SY_B!$IS8-1,"")</f>
        <v>1.6479907428605944E-3</v>
      </c>
      <c r="GO8" s="62">
        <f>IFERROR(Inv_SY_B!GO8/Inv_SY_B!$IS8-1,"")</f>
        <v>2.0363769354712069E-3</v>
      </c>
      <c r="GP8" s="62">
        <f>IFERROR(Inv_SY_B!GP8/Inv_SY_B!$IS8-1,"")</f>
        <v>-7.2848916871843805E-3</v>
      </c>
      <c r="GQ8" s="62">
        <f>IFERROR(Inv_SY_B!GQ8/Inv_SY_B!$IS8-1,"")</f>
        <v>-2.6242573758565868E-3</v>
      </c>
      <c r="GR8" s="62">
        <f>IFERROR(Inv_SY_B!GR8/Inv_SY_B!$IS8-1,"")</f>
        <v>1.0658550411427381E-2</v>
      </c>
      <c r="GS8" s="62" t="str">
        <f>IFERROR(Inv_SY_B!GS8/Inv_SY_B!$IS8-1,"")</f>
        <v/>
      </c>
      <c r="GT8" s="62" t="str">
        <f>IFERROR(Inv_SY_B!GT8/Inv_SY_B!$IS8-1,"")</f>
        <v/>
      </c>
      <c r="GU8" s="62">
        <f>IFERROR(Inv_SY_B!GU8/Inv_SY_B!$IS8-1,"")</f>
        <v>6.5018475610538085E-2</v>
      </c>
      <c r="GV8" s="62">
        <f>IFERROR(Inv_SY_B!GV8/Inv_SY_B!$IS8-1,"")</f>
        <v>-1.3497846541397074E-2</v>
      </c>
      <c r="GW8" s="62">
        <f>IFERROR(Inv_SY_B!GW8/Inv_SY_B!$IS8-1,"")</f>
        <v>-1.2779135387530172E-2</v>
      </c>
      <c r="GX8" s="62" t="str">
        <f>IFERROR(Inv_SY_B!GX8/Inv_SY_B!$IS8-1,"")</f>
        <v/>
      </c>
      <c r="GY8" s="62">
        <f>IFERROR(Inv_SY_B!GY8/Inv_SY_B!$IS8-1,"")</f>
        <v>1.1112349015425238E-2</v>
      </c>
      <c r="GZ8" s="62">
        <f>IFERROR(Inv_SY_B!GZ8/Inv_SY_B!$IS8-1,"")</f>
        <v>-1.2371441643442282E-2</v>
      </c>
      <c r="HA8" s="62">
        <f>IFERROR(Inv_SY_B!HA8/Inv_SY_B!$IS8-1,"")</f>
        <v>-8.1471963125759883E-3</v>
      </c>
      <c r="HB8" s="62">
        <f>IFERROR(Inv_SY_B!HB8/Inv_SY_B!$IS8-1,"")</f>
        <v>-1.5674033447574343E-2</v>
      </c>
      <c r="HC8" s="62">
        <f>IFERROR(Inv_SY_B!HC8/Inv_SY_B!$IS8-1,"")</f>
        <v>-7.7396809870022842E-4</v>
      </c>
      <c r="HD8" s="62">
        <f>IFERROR(Inv_SY_B!HD8/Inv_SY_B!$IS8-1,"")</f>
        <v>-4.7678000478831306E-3</v>
      </c>
      <c r="HE8" s="62">
        <f>IFERROR(Inv_SY_B!HE8/Inv_SY_B!$IS8-1,"")</f>
        <v>2.2344174530223082E-2</v>
      </c>
      <c r="HF8" s="62">
        <f>IFERROR(Inv_SY_B!HF8/Inv_SY_B!$IS8-1,"")</f>
        <v>1.6199817685326412E-2</v>
      </c>
      <c r="HG8" s="62">
        <f>IFERROR(Inv_SY_B!HG8/Inv_SY_B!$IS8-1,"")</f>
        <v>-6.9716363813920879E-4</v>
      </c>
      <c r="HH8" s="62">
        <f>IFERROR(Inv_SY_B!HH8/Inv_SY_B!$IS8-1,"")</f>
        <v>-9.2224587604330388E-3</v>
      </c>
      <c r="HI8" s="62">
        <f>IFERROR(Inv_SY_B!HI8/Inv_SY_B!$IS8-1,"")</f>
        <v>7.6745225630323599E-3</v>
      </c>
      <c r="HJ8" s="62">
        <f>IFERROR(Inv_SY_B!HJ8/Inv_SY_B!$IS8-1,"")</f>
        <v>1.7582297975428318E-2</v>
      </c>
      <c r="HK8" s="62">
        <f>IFERROR(Inv_SY_B!HK8/Inv_SY_B!$IS8-1,"")</f>
        <v>1.2658278670559575E-2</v>
      </c>
      <c r="HL8" s="62">
        <f>IFERROR(Inv_SY_B!HL8/Inv_SY_B!$IS8-1,"")</f>
        <v>3.5597210891506803E-2</v>
      </c>
      <c r="HM8" s="62">
        <f>IFERROR(Inv_SY_B!HM8/Inv_SY_B!$IS8-1,"")</f>
        <v>5.7022678293254581E-2</v>
      </c>
      <c r="HN8" s="62">
        <f>IFERROR(Inv_SY_B!HN8/Inv_SY_B!$IS8-1,"")</f>
        <v>4.1043360654416272E-2</v>
      </c>
      <c r="HO8" s="62">
        <f>IFERROR(Inv_SY_B!HO8/Inv_SY_B!$IS8-1,"")</f>
        <v>4.4089226756072408E-2</v>
      </c>
      <c r="HP8" s="62">
        <f>IFERROR(Inv_SY_B!HP8/Inv_SY_B!$IS8-1,"")</f>
        <v>2.7268086827831883E-2</v>
      </c>
      <c r="HQ8" s="62">
        <f>IFERROR(Inv_SY_B!HQ8/Inv_SY_B!$IS8-1,"")</f>
        <v>-1.4312832315377055E-2</v>
      </c>
      <c r="HR8" s="62">
        <f>IFERROR(Inv_SY_B!HR8/Inv_SY_B!$IS8-1,"")</f>
        <v>5.6708165360477292E-3</v>
      </c>
      <c r="HS8" s="62">
        <f>IFERROR(Inv_SY_B!HS8/Inv_SY_B!$IS8-1,"")</f>
        <v>1.1311981815211203E-2</v>
      </c>
      <c r="HT8" s="62">
        <f>IFERROR(Inv_SY_B!HT8/Inv_SY_B!$IS8-1,"")</f>
        <v>8.1524169843023575E-3</v>
      </c>
      <c r="HU8" s="62">
        <f>IFERROR(Inv_SY_B!HU8/Inv_SY_B!$IS8-1,"")</f>
        <v>3.4855863257887698E-4</v>
      </c>
      <c r="HV8" s="62">
        <f>IFERROR(Inv_SY_B!HV8/Inv_SY_B!$IS8-1,"")</f>
        <v>-7.1488774442229897E-4</v>
      </c>
      <c r="HW8" s="62">
        <f>IFERROR(Inv_SY_B!HW8/Inv_SY_B!$IS8-1,"")</f>
        <v>1.0943320404517287E-2</v>
      </c>
      <c r="HX8" s="62">
        <f>IFERROR(Inv_SY_B!HX8/Inv_SY_B!$IS8-1,"")</f>
        <v>7.9344761218551607E-3</v>
      </c>
      <c r="HY8" s="62">
        <f>IFERROR(Inv_SY_B!HY8/Inv_SY_B!$IS8-1,"")</f>
        <v>2.214789646434423E-2</v>
      </c>
      <c r="HZ8" s="62">
        <f>IFERROR(Inv_SY_B!HZ8/Inv_SY_B!$IS8-1,"")</f>
        <v>1.0268806564210919E-2</v>
      </c>
      <c r="IA8" s="62">
        <f>IFERROR(Inv_SY_B!IA8/Inv_SY_B!$IS8-1,"")</f>
        <v>-1.1148836372643967E-2</v>
      </c>
      <c r="IB8" s="62">
        <f>IFERROR(Inv_SY_B!IB8/Inv_SY_B!$IS8-1,"")</f>
        <v>-2.9941489878667626E-3</v>
      </c>
      <c r="IC8" s="62">
        <f>IFERROR(Inv_SY_B!IC8/Inv_SY_B!$IS8-1,"")</f>
        <v>-1.704433960406726E-2</v>
      </c>
      <c r="ID8" s="62">
        <f>IFERROR(Inv_SY_B!ID8/Inv_SY_B!$IS8-1,"")</f>
        <v>-1.0487879053405536E-2</v>
      </c>
      <c r="IE8" s="62">
        <f>IFERROR(Inv_SY_B!IE8/Inv_SY_B!$IS8-1,"")</f>
        <v>-1.3271217535956392E-2</v>
      </c>
      <c r="IF8" s="62" t="str">
        <f>IFERROR(Inv_SY_B!IF8/Inv_SY_B!$IS8-1,"")</f>
        <v/>
      </c>
      <c r="IG8" s="62">
        <f>IFERROR(Inv_SY_B!IG8/Inv_SY_B!$IS8-1,"")</f>
        <v>4.5364577885247614E-2</v>
      </c>
      <c r="IH8" s="62">
        <f>IFERROR(Inv_SY_B!IH8/Inv_SY_B!$IS8-1,"")</f>
        <v>-1.6731158164933091E-2</v>
      </c>
      <c r="II8" s="62">
        <f>IFERROR(Inv_SY_B!II8/Inv_SY_B!$IS8-1,"")</f>
        <v>4.7172649325673444E-2</v>
      </c>
      <c r="IJ8" s="62">
        <f>IFERROR(Inv_SY_B!IJ8/Inv_SY_B!$IS8-1,"")</f>
        <v>-2.1228435491033371E-2</v>
      </c>
      <c r="IK8" s="62">
        <f>IFERROR(Inv_SY_B!IK8/Inv_SY_B!$IS8-1,"")</f>
        <v>-1.8080036117695597E-2</v>
      </c>
      <c r="IL8" s="62" t="str">
        <f>IFERROR(Inv_SY_B!IL8/Inv_SY_B!$IS8-1,"")</f>
        <v/>
      </c>
      <c r="IM8" s="62" t="str">
        <f>IFERROR(Inv_SY_B!IM8/Inv_SY_B!$IS8-1,"")</f>
        <v/>
      </c>
      <c r="IN8" s="62">
        <f>IFERROR(Inv_SY_B!IN8/Inv_SY_B!$IS8-1,"")</f>
        <v>8.0838596153438358E-2</v>
      </c>
      <c r="IO8" s="62">
        <f>IFERROR(Inv_SY_B!IO8/Inv_SY_B!$IS8-1,"")</f>
        <v>2.7428798355808803E-2</v>
      </c>
      <c r="IP8" s="62">
        <f>IFERROR(Inv_SY_B!IP8/Inv_SY_B!$IS8-1,"")</f>
        <v>0.17712455139076821</v>
      </c>
      <c r="IQ8" s="62">
        <f>IFERROR(Inv_SY_B!IQ8/Inv_SY_B!$IS8-1,"")</f>
        <v>-2.3417856611011145E-2</v>
      </c>
      <c r="IR8" s="62">
        <f>IFERROR(Inv_SY_B!IR8/Inv_SY_B!$IS8-1,"")</f>
        <v>2.5424568355169042E-2</v>
      </c>
    </row>
    <row r="9" spans="2:253" x14ac:dyDescent="0.25">
      <c r="B9" s="85">
        <f t="shared" si="0"/>
        <v>45835</v>
      </c>
      <c r="C9" s="62">
        <f>IFERROR(Inv_SY_B!C9/Inv_SY_B!$IS9-1,"")</f>
        <v>3.0272060237686915E-2</v>
      </c>
      <c r="D9" s="62">
        <f>IFERROR(Inv_SY_B!D9/Inv_SY_B!$IS9-1,"")</f>
        <v>3.2431121525052342E-2</v>
      </c>
      <c r="E9" s="62">
        <f>IFERROR(Inv_SY_B!E9/Inv_SY_B!$IS9-1,"")</f>
        <v>3.0885127022988179E-2</v>
      </c>
      <c r="F9" s="62">
        <f>IFERROR(Inv_SY_B!F9/Inv_SY_B!$IS9-1,"")</f>
        <v>4.0414317272780664E-2</v>
      </c>
      <c r="G9" s="62">
        <f>IFERROR(Inv_SY_B!G9/Inv_SY_B!$IS9-1,"")</f>
        <v>3.9548027250072337E-2</v>
      </c>
      <c r="H9" s="62">
        <f>IFERROR(Inv_SY_B!H9/Inv_SY_B!$IS9-1,"")</f>
        <v>3.7382302193301298E-2</v>
      </c>
      <c r="I9" s="62">
        <f>IFERROR(Inv_SY_B!I9/Inv_SY_B!$IS9-1,"")</f>
        <v>2.3608290832237699E-2</v>
      </c>
      <c r="J9" s="62">
        <f>IFERROR(Inv_SY_B!J9/Inv_SY_B!$IS9-1,"")</f>
        <v>3.7902076206926205E-2</v>
      </c>
      <c r="K9" s="62">
        <f>IFERROR(Inv_SY_B!K9/Inv_SY_B!$IS9-1,"")</f>
        <v>-2.8745315415068529E-4</v>
      </c>
      <c r="L9" s="62">
        <f>IFERROR(Inv_SY_B!L9/Inv_SY_B!$IS9-1,"")</f>
        <v>6.2824903780698271E-3</v>
      </c>
      <c r="M9" s="62">
        <f>IFERROR(Inv_SY_B!M9/Inv_SY_B!$IS9-1,"")</f>
        <v>3.0971756025258923E-2</v>
      </c>
      <c r="N9" s="62">
        <f>IFERROR(Inv_SY_B!N9/Inv_SY_B!$IS9-1,"")</f>
        <v>3.8421850220551335E-2</v>
      </c>
      <c r="O9" s="62">
        <f>IFERROR(Inv_SY_B!O9/Inv_SY_B!$IS9-1,"")</f>
        <v>-8.3578110057018762E-3</v>
      </c>
      <c r="P9" s="62">
        <f>IFERROR(Inv_SY_B!P9/Inv_SY_B!$IS9-1,"")</f>
        <v>1.7462808046151412E-3</v>
      </c>
      <c r="Q9" s="62">
        <f>IFERROR(Inv_SY_B!Q9/Inv_SY_B!$IS9-1,"")</f>
        <v>2.7939740945779556E-2</v>
      </c>
      <c r="R9" s="62">
        <f>IFERROR(Inv_SY_B!R9/Inv_SY_B!$IS9-1,"")</f>
        <v>3.1838046047967472E-2</v>
      </c>
      <c r="S9" s="62">
        <f>IFERROR(Inv_SY_B!S9/Inv_SY_B!$IS9-1,"")</f>
        <v>2.3088516818612792E-2</v>
      </c>
      <c r="T9" s="62">
        <f>IFERROR(Inv_SY_B!T9/Inv_SY_B!$IS9-1,"")</f>
        <v>2.1789081784550079E-2</v>
      </c>
      <c r="U9" s="62">
        <f>IFERROR(Inv_SY_B!U9/Inv_SY_B!$IS9-1,"")</f>
        <v>8.4485454322336118E-4</v>
      </c>
      <c r="V9" s="62">
        <f>IFERROR(Inv_SY_B!V9/Inv_SY_B!$IS9-1,"")</f>
        <v>2.8439853648578595E-3</v>
      </c>
      <c r="W9" s="62">
        <f>IFERROR(Inv_SY_B!W9/Inv_SY_B!$IS9-1,"")</f>
        <v>1.1480230514320011E-2</v>
      </c>
      <c r="X9" s="62">
        <f>IFERROR(Inv_SY_B!X9/Inv_SY_B!$IS9-1,"")</f>
        <v>1.5118648609695473E-2</v>
      </c>
      <c r="Y9" s="62">
        <f>IFERROR(Inv_SY_B!Y9/Inv_SY_B!$IS9-1,"")</f>
        <v>5.8826642137430607E-3</v>
      </c>
      <c r="Z9" s="62">
        <f>IFERROR(Inv_SY_B!Z9/Inv_SY_B!$IS9-1,"")</f>
        <v>1.8932875963473261E-3</v>
      </c>
      <c r="AA9" s="62">
        <f>IFERROR(Inv_SY_B!AA9/Inv_SY_B!$IS9-1,"")</f>
        <v>1.3799222267416589E-2</v>
      </c>
      <c r="AB9" s="62">
        <f>IFERROR(Inv_SY_B!AB9/Inv_SY_B!$IS9-1,"")</f>
        <v>1.2039987144377928E-2</v>
      </c>
      <c r="AC9" s="62">
        <f>IFERROR(Inv_SY_B!AC9/Inv_SY_B!$IS9-1,"")</f>
        <v>-2.322468054925908E-2</v>
      </c>
      <c r="AD9" s="62">
        <f>IFERROR(Inv_SY_B!AD9/Inv_SY_B!$IS9-1,"")</f>
        <v>1.8603059589922477E-2</v>
      </c>
      <c r="AE9" s="62">
        <f>IFERROR(Inv_SY_B!AE9/Inv_SY_B!$IS9-1,"")</f>
        <v>1.4598874596070344E-2</v>
      </c>
      <c r="AF9" s="62">
        <f>IFERROR(Inv_SY_B!AF9/Inv_SY_B!$IS9-1,"")</f>
        <v>-2.2131822366765364E-2</v>
      </c>
      <c r="AG9" s="62">
        <f>IFERROR(Inv_SY_B!AG9/Inv_SY_B!$IS9-1,"")</f>
        <v>-2.5519978900024998E-2</v>
      </c>
      <c r="AH9" s="62">
        <f>IFERROR(Inv_SY_B!AH9/Inv_SY_B!$IS9-1,"")</f>
        <v>-1.658756622143176E-2</v>
      </c>
      <c r="AI9" s="62">
        <f>IFERROR(Inv_SY_B!AI9/Inv_SY_B!$IS9-1,"")</f>
        <v>2.2975562736113897E-3</v>
      </c>
      <c r="AJ9" s="62">
        <f>IFERROR(Inv_SY_B!AJ9/Inv_SY_B!$IS9-1,"")</f>
        <v>7.0565194128568987E-3</v>
      </c>
      <c r="AK9" s="62">
        <f>IFERROR(Inv_SY_B!AK9/Inv_SY_B!$IS9-1,"")</f>
        <v>-1.0003762048847897E-2</v>
      </c>
      <c r="AL9" s="62">
        <f>IFERROR(Inv_SY_B!AL9/Inv_SY_B!$IS9-1,"")</f>
        <v>-1.2972797930624114E-2</v>
      </c>
      <c r="AM9" s="62">
        <f>IFERROR(Inv_SY_B!AM9/Inv_SY_B!$IS9-1,"")</f>
        <v>-2.380409849014109E-3</v>
      </c>
      <c r="AN9" s="62">
        <f>IFERROR(Inv_SY_B!AN9/Inv_SY_B!$IS9-1,"")</f>
        <v>-2.1092274339515327E-2</v>
      </c>
      <c r="AO9" s="62">
        <f>IFERROR(Inv_SY_B!AO9/Inv_SY_B!$IS9-1,"")</f>
        <v>-4.7193929103266363E-3</v>
      </c>
      <c r="AP9" s="62">
        <f>IFERROR(Inv_SY_B!AP9/Inv_SY_B!$IS9-1,"")</f>
        <v>1.5898309630133056E-2</v>
      </c>
      <c r="AQ9" s="62">
        <f>IFERROR(Inv_SY_B!AQ9/Inv_SY_B!$IS9-1,"")</f>
        <v>-1.1909600098806483E-2</v>
      </c>
      <c r="AR9" s="62">
        <f>IFERROR(Inv_SY_B!AR9/Inv_SY_B!$IS9-1,"")</f>
        <v>-1.8406775269119491E-2</v>
      </c>
      <c r="AS9" s="62">
        <f>IFERROR(Inv_SY_B!AS9/Inv_SY_B!$IS9-1,"")</f>
        <v>-3.3333288739932909E-3</v>
      </c>
      <c r="AT9" s="62">
        <f>IFERROR(Inv_SY_B!AT9/Inv_SY_B!$IS9-1,"")</f>
        <v>-1.2169487105618937E-2</v>
      </c>
      <c r="AU9" s="62">
        <f>IFERROR(Inv_SY_B!AU9/Inv_SY_B!$IS9-1,"")</f>
        <v>1.035405348479923E-2</v>
      </c>
      <c r="AV9" s="62">
        <f>IFERROR(Inv_SY_B!AV9/Inv_SY_B!$IS9-1,"")</f>
        <v>1.4079100582445214E-2</v>
      </c>
      <c r="AW9" s="62">
        <f>IFERROR(Inv_SY_B!AW9/Inv_SY_B!$IS9-1,"")</f>
        <v>-3.0821377671471084E-2</v>
      </c>
      <c r="AX9" s="62">
        <f>IFERROR(Inv_SY_B!AX9/Inv_SY_B!$IS9-1,"")</f>
        <v>1.6911532577152943E-3</v>
      </c>
      <c r="AY9" s="62">
        <f>IFERROR(Inv_SY_B!AY9/Inv_SY_B!$IS9-1,"")</f>
        <v>1.4598874596070566E-2</v>
      </c>
      <c r="AZ9" s="62">
        <f>IFERROR(Inv_SY_B!AZ9/Inv_SY_B!$IS9-1,"")</f>
        <v>-2.8812651021892677E-2</v>
      </c>
      <c r="BA9" s="62">
        <f>IFERROR(Inv_SY_B!BA9/Inv_SY_B!$IS9-1,"")</f>
        <v>1.4512245593799378E-2</v>
      </c>
      <c r="BB9" s="62">
        <f>IFERROR(Inv_SY_B!BB9/Inv_SY_B!$IS9-1,"")</f>
        <v>1.615819663694551E-2</v>
      </c>
      <c r="BC9" s="62">
        <f>IFERROR(Inv_SY_B!BC9/Inv_SY_B!$IS9-1,"")</f>
        <v>1.8932875963473261E-3</v>
      </c>
      <c r="BD9" s="62">
        <f>IFERROR(Inv_SY_B!BD9/Inv_SY_B!$IS9-1,"")</f>
        <v>1.1595735850681521E-2</v>
      </c>
      <c r="BE9" s="62">
        <f>IFERROR(Inv_SY_B!BE9/Inv_SY_B!$IS9-1,"")</f>
        <v>-3.0821377671471084E-2</v>
      </c>
      <c r="BF9" s="62">
        <f>IFERROR(Inv_SY_B!BF9/Inv_SY_B!$IS9-1,"")</f>
        <v>1.970291153921444E-3</v>
      </c>
      <c r="BG9" s="62">
        <f>IFERROR(Inv_SY_B!BG9/Inv_SY_B!$IS9-1,"")</f>
        <v>1.0440682487070196E-2</v>
      </c>
      <c r="BH9" s="62">
        <f>IFERROR(Inv_SY_B!BH9/Inv_SY_B!$IS9-1,"")</f>
        <v>2.1355936773195916E-2</v>
      </c>
      <c r="BI9" s="62">
        <f>IFERROR(Inv_SY_B!BI9/Inv_SY_B!$IS9-1,"")</f>
        <v>1.2220577214350214E-4</v>
      </c>
      <c r="BJ9" s="62">
        <f>IFERROR(Inv_SY_B!BJ9/Inv_SY_B!$IS9-1,"")</f>
        <v>5.3584476871808562E-3</v>
      </c>
      <c r="BK9" s="62">
        <f>IFERROR(Inv_SY_B!BK9/Inv_SY_B!$IS9-1,"")</f>
        <v>1.1306972509778523E-2</v>
      </c>
      <c r="BL9" s="62">
        <f>IFERROR(Inv_SY_B!BL9/Inv_SY_B!$IS9-1,"")</f>
        <v>1.4807897133500392E-2</v>
      </c>
      <c r="BM9" s="62">
        <f>IFERROR(Inv_SY_B!BM9/Inv_SY_B!$IS9-1,"")</f>
        <v>4.5499103326531731E-3</v>
      </c>
      <c r="BN9" s="62">
        <f>IFERROR(Inv_SY_B!BN9/Inv_SY_B!$IS9-1,"")</f>
        <v>6.489583625308204E-2</v>
      </c>
      <c r="BO9" s="62">
        <f>IFERROR(Inv_SY_B!BO9/Inv_SY_B!$IS9-1,"")</f>
        <v>6.7622817752621689E-3</v>
      </c>
      <c r="BP9" s="62">
        <f>IFERROR(Inv_SY_B!BP9/Inv_SY_B!$IS9-1,"")</f>
        <v>1.2199917610108635E-2</v>
      </c>
      <c r="BQ9" s="62">
        <f>IFERROR(Inv_SY_B!BQ9/Inv_SY_B!$IS9-1,"")</f>
        <v>1.6997831582032052E-2</v>
      </c>
      <c r="BR9" s="62">
        <f>IFERROR(Inv_SY_B!BR9/Inv_SY_B!$IS9-1,"")</f>
        <v>6.849240774926546E-4</v>
      </c>
      <c r="BS9" s="62">
        <f>IFERROR(Inv_SY_B!BS9/Inv_SY_B!$IS9-1,"")</f>
        <v>-1.6007488285765259E-3</v>
      </c>
      <c r="BT9" s="62">
        <f>IFERROR(Inv_SY_B!BT9/Inv_SY_B!$IS9-1,"")</f>
        <v>2.1846021911087199E-4</v>
      </c>
      <c r="BU9" s="62">
        <f>IFERROR(Inv_SY_B!BU9/Inv_SY_B!$IS9-1,"")</f>
        <v>6.5423773848825029E-3</v>
      </c>
      <c r="BV9" s="62">
        <f>IFERROR(Inv_SY_B!BV9/Inv_SY_B!$IS9-1,"")</f>
        <v>1.5032019607424729E-2</v>
      </c>
      <c r="BW9" s="62">
        <f>IFERROR(Inv_SY_B!BW9/Inv_SY_B!$IS9-1,"")</f>
        <v>9.8342794711743231E-3</v>
      </c>
      <c r="BX9" s="62">
        <f>IFERROR(Inv_SY_B!BX9/Inv_SY_B!$IS9-1,"")</f>
        <v>7.4952964098615737E-3</v>
      </c>
      <c r="BY9" s="62">
        <f>IFERROR(Inv_SY_B!BY9/Inv_SY_B!$IS9-1,"")</f>
        <v>4.665415669014239E-3</v>
      </c>
      <c r="BZ9" s="62">
        <f>IFERROR(Inv_SY_B!BZ9/Inv_SY_B!$IS9-1,"")</f>
        <v>-8.8872104640239646E-3</v>
      </c>
      <c r="CA9" s="62">
        <f>IFERROR(Inv_SY_B!CA9/Inv_SY_B!$IS9-1,"")</f>
        <v>8.9224134788423726E-4</v>
      </c>
      <c r="CB9" s="62">
        <f>IFERROR(Inv_SY_B!CB9/Inv_SY_B!$IS9-1,"")</f>
        <v>1.4252358586986924E-2</v>
      </c>
      <c r="CC9" s="62">
        <f>IFERROR(Inv_SY_B!CC9/Inv_SY_B!$IS9-1,"")</f>
        <v>1.1740117521132687E-2</v>
      </c>
      <c r="CD9" s="62">
        <f>IFERROR(Inv_SY_B!CD9/Inv_SY_B!$IS9-1,"")</f>
        <v>9.800960624146926E-3</v>
      </c>
      <c r="CE9" s="62">
        <f>IFERROR(Inv_SY_B!CE9/Inv_SY_B!$IS9-1,"")</f>
        <v>7.9284414212157373E-3</v>
      </c>
      <c r="CF9" s="62">
        <f>IFERROR(Inv_SY_B!CF9/Inv_SY_B!$IS9-1,"")</f>
        <v>2.8173302872362971E-3</v>
      </c>
      <c r="CG9" s="62">
        <f>IFERROR(Inv_SY_B!CG9/Inv_SY_B!$IS9-1,"")</f>
        <v>1.3386068564278597E-2</v>
      </c>
      <c r="CH9" s="62">
        <f>IFERROR(Inv_SY_B!CH9/Inv_SY_B!$IS9-1,"")</f>
        <v>1.633145464148722E-2</v>
      </c>
      <c r="CI9" s="62">
        <f>IFERROR(Inv_SY_B!CI9/Inv_SY_B!$IS9-1,"")</f>
        <v>1.2952923552924434E-2</v>
      </c>
      <c r="CJ9" s="62">
        <f>IFERROR(Inv_SY_B!CJ9/Inv_SY_B!$IS9-1,"")</f>
        <v>3.8568783144863339E-3</v>
      </c>
      <c r="CK9" s="62">
        <f>IFERROR(Inv_SY_B!CK9/Inv_SY_B!$IS9-1,"")</f>
        <v>3.8568783144863339E-3</v>
      </c>
      <c r="CL9" s="62">
        <f>IFERROR(Inv_SY_B!CL9/Inv_SY_B!$IS9-1,"")</f>
        <v>-3.0131379451381335E-4</v>
      </c>
      <c r="CM9" s="62">
        <f>IFERROR(Inv_SY_B!CM9/Inv_SY_B!$IS9-1,"")</f>
        <v>3.9171822365280384E-4</v>
      </c>
      <c r="CN9" s="62">
        <f>IFERROR(Inv_SY_B!CN9/Inv_SY_B!$IS9-1,"")</f>
        <v>-9.9171330465770424E-3</v>
      </c>
      <c r="CO9" s="62">
        <f>IFERROR(Inv_SY_B!CO9/Inv_SY_B!$IS9-1,"")</f>
        <v>-5.0277921584107599E-3</v>
      </c>
      <c r="CP9" s="62">
        <f>IFERROR(Inv_SY_B!CP9/Inv_SY_B!$IS9-1,"")</f>
        <v>-1.9626245070316628E-2</v>
      </c>
      <c r="CQ9" s="62">
        <f>IFERROR(Inv_SY_B!CQ9/Inv_SY_B!$IS9-1,"")</f>
        <v>1.0960456500695326E-2</v>
      </c>
      <c r="CR9" s="62">
        <f>IFERROR(Inv_SY_B!CR9/Inv_SY_B!$IS9-1,"")</f>
        <v>9.7476504689033572E-3</v>
      </c>
      <c r="CS9" s="62">
        <f>IFERROR(Inv_SY_B!CS9/Inv_SY_B!$IS9-1,"")</f>
        <v>1.3828839020329609E-2</v>
      </c>
      <c r="CT9" s="62">
        <f>IFERROR(Inv_SY_B!CT9/Inv_SY_B!$IS9-1,"")</f>
        <v>1.4425616591528856E-2</v>
      </c>
      <c r="CU9" s="62">
        <f>IFERROR(Inv_SY_B!CU9/Inv_SY_B!$IS9-1,"")</f>
        <v>-0.33754801963489145</v>
      </c>
      <c r="CV9" s="62">
        <f>IFERROR(Inv_SY_B!CV9/Inv_SY_B!$IS9-1,"")</f>
        <v>1.581168062786209E-2</v>
      </c>
      <c r="CW9" s="62">
        <f>IFERROR(Inv_SY_B!CW9/Inv_SY_B!$IS9-1,"")</f>
        <v>1.3819213575632761E-2</v>
      </c>
      <c r="CX9" s="62">
        <f>IFERROR(Inv_SY_B!CX9/Inv_SY_B!$IS9-1,"")</f>
        <v>1.1653488518861943E-2</v>
      </c>
      <c r="CY9" s="62">
        <f>IFERROR(Inv_SY_B!CY9/Inv_SY_B!$IS9-1,"")</f>
        <v>7.0621513985074102E-3</v>
      </c>
      <c r="CZ9" s="62">
        <f>IFERROR(Inv_SY_B!CZ9/Inv_SY_B!$IS9-1,"")</f>
        <v>1.6244825639216254E-2</v>
      </c>
      <c r="DA9" s="62">
        <f>IFERROR(Inv_SY_B!DA9/Inv_SY_B!$IS9-1,"")</f>
        <v>2.326177482315428E-2</v>
      </c>
      <c r="DB9" s="62">
        <f>IFERROR(Inv_SY_B!DB9/Inv_SY_B!$IS9-1,"")</f>
        <v>-2.3084741391744545E-2</v>
      </c>
      <c r="DC9" s="62">
        <f>IFERROR(Inv_SY_B!DC9/Inv_SY_B!$IS9-1,"")</f>
        <v>5.0504334568846065E-3</v>
      </c>
      <c r="DD9" s="62">
        <f>IFERROR(Inv_SY_B!DD9/Inv_SY_B!$IS9-1,"")</f>
        <v>2.1182678768654206E-2</v>
      </c>
      <c r="DE9" s="62">
        <f>IFERROR(Inv_SY_B!DE9/Inv_SY_B!$IS9-1,"")</f>
        <v>1.2442774983996374E-2</v>
      </c>
      <c r="DF9" s="62">
        <f>IFERROR(Inv_SY_B!DF9/Inv_SY_B!$IS9-1,"")</f>
        <v>-2.6669686583409846E-2</v>
      </c>
      <c r="DG9" s="62">
        <f>IFERROR(Inv_SY_B!DG9/Inv_SY_B!$IS9-1,"")</f>
        <v>1.5118648609695473E-2</v>
      </c>
      <c r="DH9" s="62">
        <f>IFERROR(Inv_SY_B!DH9/Inv_SY_B!$IS9-1,"")</f>
        <v>1.3751835462755713E-2</v>
      </c>
      <c r="DI9" s="62">
        <f>IFERROR(Inv_SY_B!DI9/Inv_SY_B!$IS9-1,"")</f>
        <v>1.7877449143551605E-2</v>
      </c>
      <c r="DJ9" s="62">
        <f>IFERROR(Inv_SY_B!DJ9/Inv_SY_B!$IS9-1,"")</f>
        <v>6.6023513095314623E-3</v>
      </c>
      <c r="DK9" s="62">
        <f>IFERROR(Inv_SY_B!DK9/Inv_SY_B!$IS9-1,"")</f>
        <v>5.512454802329092E-3</v>
      </c>
      <c r="DL9" s="62">
        <f>IFERROR(Inv_SY_B!DL9/Inv_SY_B!$IS9-1,"")</f>
        <v>1.7062988438440785E-2</v>
      </c>
      <c r="DM9" s="62">
        <f>IFERROR(Inv_SY_B!DM9/Inv_SY_B!$IS9-1,"")</f>
        <v>-1.8606358353890906E-3</v>
      </c>
      <c r="DN9" s="62">
        <f>IFERROR(Inv_SY_B!DN9/Inv_SY_B!$IS9-1,"")</f>
        <v>-2.7156304498474171E-2</v>
      </c>
      <c r="DO9" s="62">
        <f>IFERROR(Inv_SY_B!DO9/Inv_SY_B!$IS9-1,"")</f>
        <v>-2.9532877996703899E-2</v>
      </c>
      <c r="DP9" s="62">
        <f>IFERROR(Inv_SY_B!DP9/Inv_SY_B!$IS9-1,"")</f>
        <v>-1.7742619585042974E-2</v>
      </c>
      <c r="DQ9" s="62">
        <f>IFERROR(Inv_SY_B!DQ9/Inv_SY_B!$IS9-1,"")</f>
        <v>-1.2814391900301758E-2</v>
      </c>
      <c r="DR9" s="62">
        <f>IFERROR(Inv_SY_B!DR9/Inv_SY_B!$IS9-1,"")</f>
        <v>1.8410550695987293E-2</v>
      </c>
      <c r="DS9" s="62">
        <f>IFERROR(Inv_SY_B!DS9/Inv_SY_B!$IS9-1,"")</f>
        <v>2.8979288973029815E-2</v>
      </c>
      <c r="DT9" s="62">
        <f>IFERROR(Inv_SY_B!DT9/Inv_SY_B!$IS9-1,"")</f>
        <v>-4.8082021269230113E-2</v>
      </c>
      <c r="DU9" s="62">
        <f>IFERROR(Inv_SY_B!DU9/Inv_SY_B!$IS9-1,"")</f>
        <v>-5.4781330778175152E-2</v>
      </c>
      <c r="DV9" s="62">
        <f>IFERROR(Inv_SY_B!DV9/Inv_SY_B!$IS9-1,"")</f>
        <v>4.5202214569606269E-5</v>
      </c>
      <c r="DW9" s="62">
        <f>IFERROR(Inv_SY_B!DW9/Inv_SY_B!$IS9-1,"")</f>
        <v>8.2749574302991569E-3</v>
      </c>
      <c r="DX9" s="62">
        <f>IFERROR(Inv_SY_B!DX9/Inv_SY_B!$IS9-1,"")</f>
        <v>-1.5894534203265032E-2</v>
      </c>
      <c r="DY9" s="62">
        <f>IFERROR(Inv_SY_B!DY9/Inv_SY_B!$IS9-1,"")</f>
        <v>-3.0131379451381335E-4</v>
      </c>
      <c r="DZ9" s="62">
        <f>IFERROR(Inv_SY_B!DZ9/Inv_SY_B!$IS9-1,"")</f>
        <v>-1.1563084089723175E-2</v>
      </c>
      <c r="EA9" s="62">
        <f>IFERROR(Inv_SY_B!EA9/Inv_SY_B!$IS9-1,"")</f>
        <v>-2.4287921978839777E-2</v>
      </c>
      <c r="EB9" s="62">
        <f>IFERROR(Inv_SY_B!EB9/Inv_SY_B!$IS9-1,"")</f>
        <v>-2.2824854384932203E-2</v>
      </c>
      <c r="EC9" s="62">
        <f>IFERROR(Inv_SY_B!EC9/Inv_SY_B!$IS9-1,"")</f>
        <v>-2.5863533233816849E-2</v>
      </c>
      <c r="ED9" s="62">
        <f>IFERROR(Inv_SY_B!ED9/Inv_SY_B!$IS9-1,"")</f>
        <v>-1.5707948659912319E-2</v>
      </c>
      <c r="EE9" s="62">
        <f>IFERROR(Inv_SY_B!EE9/Inv_SY_B!$IS9-1,"")</f>
        <v>-1.3388956906816074E-2</v>
      </c>
      <c r="EF9" s="62">
        <f>IFERROR(Inv_SY_B!EF9/Inv_SY_B!$IS9-1,"")</f>
        <v>3.2583506624332959E-3</v>
      </c>
      <c r="EG9" s="62">
        <f>IFERROR(Inv_SY_B!EG9/Inv_SY_B!$IS9-1,"")</f>
        <v>-5.0889292137197284E-3</v>
      </c>
      <c r="EH9" s="62">
        <f>IFERROR(Inv_SY_B!EH9/Inv_SY_B!$IS9-1,"")</f>
        <v>-1.9807984235919784E-2</v>
      </c>
      <c r="EI9" s="62">
        <f>IFERROR(Inv_SY_B!EI9/Inv_SY_B!$IS9-1,"")</f>
        <v>-8.7282560049229962E-3</v>
      </c>
      <c r="EJ9" s="62">
        <f>IFERROR(Inv_SY_B!EJ9/Inv_SY_B!$IS9-1,"")</f>
        <v>-1.3338069940447173E-2</v>
      </c>
      <c r="EK9" s="62">
        <f>IFERROR(Inv_SY_B!EK9/Inv_SY_B!$IS9-1,"")</f>
        <v>-1.8916153802471802E-2</v>
      </c>
      <c r="EL9" s="62">
        <f>IFERROR(Inv_SY_B!EL9/Inv_SY_B!$IS9-1,"")</f>
        <v>-2.3015438189927906E-2</v>
      </c>
      <c r="EM9" s="62">
        <f>IFERROR(Inv_SY_B!EM9/Inv_SY_B!$IS9-1,"")</f>
        <v>-1.4428504934066111E-2</v>
      </c>
      <c r="EN9" s="62">
        <f>IFERROR(Inv_SY_B!EN9/Inv_SY_B!$IS9-1,"")</f>
        <v>-2.3544541480720604E-2</v>
      </c>
      <c r="EO9" s="62">
        <f>IFERROR(Inv_SY_B!EO9/Inv_SY_B!$IS9-1,"")</f>
        <v>-2.2391709373577817E-2</v>
      </c>
      <c r="EP9" s="62">
        <f>IFERROR(Inv_SY_B!EP9/Inv_SY_B!$IS9-1,"")</f>
        <v>-1.5947844358508712E-2</v>
      </c>
      <c r="EQ9" s="62">
        <f>IFERROR(Inv_SY_B!EQ9/Inv_SY_B!$IS9-1,"")</f>
        <v>-2.0139355314536145E-2</v>
      </c>
      <c r="ER9" s="62">
        <f>IFERROR(Inv_SY_B!ER9/Inv_SY_B!$IS9-1,"")</f>
        <v>-1.5548018194181723E-2</v>
      </c>
      <c r="ES9" s="62">
        <f>IFERROR(Inv_SY_B!ES9/Inv_SY_B!$IS9-1,"")</f>
        <v>-2.0139355314536145E-2</v>
      </c>
      <c r="ET9" s="62">
        <f>IFERROR(Inv_SY_B!ET9/Inv_SY_B!$IS9-1,"")</f>
        <v>-2.2257828188250284E-2</v>
      </c>
      <c r="EU9" s="62">
        <f>IFERROR(Inv_SY_B!EU9/Inv_SY_B!$IS9-1,"")</f>
        <v>-1.5228157262720088E-2</v>
      </c>
      <c r="EV9" s="62">
        <f>IFERROR(Inv_SY_B!EV9/Inv_SY_B!$IS9-1,"")</f>
        <v>-2.3944367645047593E-2</v>
      </c>
      <c r="EW9" s="62">
        <f>IFERROR(Inv_SY_B!EW9/Inv_SY_B!$IS9-1,"")</f>
        <v>-1.946631460458581E-2</v>
      </c>
      <c r="EX9" s="62">
        <f>IFERROR(Inv_SY_B!EX9/Inv_SY_B!$IS9-1,"")</f>
        <v>-2.7069675496203316E-2</v>
      </c>
      <c r="EY9" s="62">
        <f>IFERROR(Inv_SY_B!EY9/Inv_SY_B!$IS9-1,"")</f>
        <v>-1.2121359882135141E-2</v>
      </c>
      <c r="EZ9" s="62">
        <f>IFERROR(Inv_SY_B!EZ9/Inv_SY_B!$IS9-1,"")</f>
        <v>-2.5596982457599116E-2</v>
      </c>
      <c r="FA9" s="62">
        <f>IFERROR(Inv_SY_B!FA9/Inv_SY_B!$IS9-1,"")</f>
        <v>-2.0139355314536145E-2</v>
      </c>
      <c r="FB9" s="62">
        <f>IFERROR(Inv_SY_B!FB9/Inv_SY_B!$IS9-1,"")</f>
        <v>-2.5337095450786662E-2</v>
      </c>
      <c r="FC9" s="62">
        <f>IFERROR(Inv_SY_B!FC9/Inv_SY_B!$IS9-1,"")</f>
        <v>-7.664778987535148E-3</v>
      </c>
      <c r="FD9" s="62">
        <f>IFERROR(Inv_SY_B!FD9/Inv_SY_B!$IS9-1,"")</f>
        <v>-1.1996229101077338E-2</v>
      </c>
      <c r="FE9" s="62">
        <f>IFERROR(Inv_SY_B!FE9/Inv_SY_B!$IS9-1,"")</f>
        <v>-4.1845983167543288E-4</v>
      </c>
      <c r="FF9" s="62">
        <f>IFERROR(Inv_SY_B!FF9/Inv_SY_B!$IS9-1,"")</f>
        <v>-1.9255345723181438E-2</v>
      </c>
      <c r="FG9" s="62">
        <f>IFERROR(Inv_SY_B!FG9/Inv_SY_B!$IS9-1,"")</f>
        <v>-1.6393307246642563E-2</v>
      </c>
      <c r="FH9" s="62">
        <f>IFERROR(Inv_SY_B!FH9/Inv_SY_B!$IS9-1,"")</f>
        <v>-8.7417349930385413E-3</v>
      </c>
      <c r="FI9" s="62">
        <f>IFERROR(Inv_SY_B!FI9/Inv_SY_B!$IS9-1,"")</f>
        <v>-2.4259045644749233E-2</v>
      </c>
      <c r="FJ9" s="62">
        <f>IFERROR(Inv_SY_B!FJ9/Inv_SY_B!$IS9-1,"")</f>
        <v>-2.2779352282729315E-2</v>
      </c>
      <c r="FK9" s="62">
        <f>IFERROR(Inv_SY_B!FK9/Inv_SY_B!$IS9-1,"")</f>
        <v>-2.0636452144480177E-3</v>
      </c>
      <c r="FL9" s="62">
        <f>IFERROR(Inv_SY_B!FL9/Inv_SY_B!$IS9-1,"")</f>
        <v>-1.0795393622326732E-2</v>
      </c>
      <c r="FM9" s="62">
        <f>IFERROR(Inv_SY_B!FM9/Inv_SY_B!$IS9-1,"")</f>
        <v>-1.0318776602560198E-2</v>
      </c>
      <c r="FN9" s="62">
        <f>IFERROR(Inv_SY_B!FN9/Inv_SY_B!$IS9-1,"")</f>
        <v>-2.8542368534807516E-2</v>
      </c>
      <c r="FO9" s="62">
        <f>IFERROR(Inv_SY_B!FO9/Inv_SY_B!$IS9-1,"")</f>
        <v>-7.0770799607660084E-3</v>
      </c>
      <c r="FP9" s="62">
        <f>IFERROR(Inv_SY_B!FP9/Inv_SY_B!$IS9-1,"")</f>
        <v>-1.3907422398448666E-2</v>
      </c>
      <c r="FQ9" s="62">
        <f>IFERROR(Inv_SY_B!FQ9/Inv_SY_B!$IS9-1,"")</f>
        <v>-1.2477571339149507E-2</v>
      </c>
      <c r="FR9" s="62">
        <f>IFERROR(Inv_SY_B!FR9/Inv_SY_B!$IS9-1,"")</f>
        <v>-2.7533061904713829E-2</v>
      </c>
      <c r="FS9" s="62">
        <f>IFERROR(Inv_SY_B!FS9/Inv_SY_B!$IS9-1,"")</f>
        <v>-1.6237550050640315E-2</v>
      </c>
      <c r="FT9" s="62">
        <f>IFERROR(Inv_SY_B!FT9/Inv_SY_B!$IS9-1,"")</f>
        <v>-5.3283160426522702E-3</v>
      </c>
      <c r="FU9" s="62">
        <f>IFERROR(Inv_SY_B!FU9/Inv_SY_B!$IS9-1,"")</f>
        <v>-2.3324502468736852E-2</v>
      </c>
      <c r="FV9" s="62">
        <f>IFERROR(Inv_SY_B!FV9/Inv_SY_B!$IS9-1,"")</f>
        <v>-1.6539329617894505E-2</v>
      </c>
      <c r="FW9" s="62">
        <f>IFERROR(Inv_SY_B!FW9/Inv_SY_B!$IS9-1,"")</f>
        <v>-6.9894665380146881E-3</v>
      </c>
      <c r="FX9" s="62">
        <f>IFERROR(Inv_SY_B!FX9/Inv_SY_B!$IS9-1,"")</f>
        <v>-1.7765917536411324E-2</v>
      </c>
      <c r="FY9" s="62">
        <f>IFERROR(Inv_SY_B!FY9/Inv_SY_B!$IS9-1,"")</f>
        <v>-2.5349346016764196E-2</v>
      </c>
      <c r="FZ9" s="62">
        <f>IFERROR(Inv_SY_B!FZ9/Inv_SY_B!$IS9-1,"")</f>
        <v>-1.0317537909338981E-3</v>
      </c>
      <c r="GA9" s="62">
        <f>IFERROR(Inv_SY_B!GA9/Inv_SY_B!$IS9-1,"")</f>
        <v>-1.9807984235919784E-2</v>
      </c>
      <c r="GB9" s="62">
        <f>IFERROR(Inv_SY_B!GB9/Inv_SY_B!$IS9-1,"")</f>
        <v>-2.3324502468736852E-2</v>
      </c>
      <c r="GC9" s="62">
        <f>IFERROR(Inv_SY_B!GC9/Inv_SY_B!$IS9-1,"")</f>
        <v>-1.5225128276626698E-2</v>
      </c>
      <c r="GD9" s="62">
        <f>IFERROR(Inv_SY_B!GD9/Inv_SY_B!$IS9-1,"")</f>
        <v>2.2595834056606812E-2</v>
      </c>
      <c r="GE9" s="62">
        <f>IFERROR(Inv_SY_B!GE9/Inv_SY_B!$IS9-1,"")</f>
        <v>-7.9195167179889614E-3</v>
      </c>
      <c r="GF9" s="62">
        <f>IFERROR(Inv_SY_B!GF9/Inv_SY_B!$IS9-1,"")</f>
        <v>-1.2966648934595981E-2</v>
      </c>
      <c r="GG9" s="62">
        <f>IFERROR(Inv_SY_B!GG9/Inv_SY_B!$IS9-1,"")</f>
        <v>-5.1600982709700816E-3</v>
      </c>
      <c r="GH9" s="62">
        <f>IFERROR(Inv_SY_B!GH9/Inv_SY_B!$IS9-1,"")</f>
        <v>-4.6554449559229605E-3</v>
      </c>
      <c r="GI9" s="62">
        <f>IFERROR(Inv_SY_B!GI9/Inv_SY_B!$IS9-1,"")</f>
        <v>7.5403434910426004E-3</v>
      </c>
      <c r="GJ9" s="62">
        <f>IFERROR(Inv_SY_B!GJ9/Inv_SY_B!$IS9-1,"")</f>
        <v>-2.1425462809787854E-2</v>
      </c>
      <c r="GK9" s="62">
        <f>IFERROR(Inv_SY_B!GK9/Inv_SY_B!$IS9-1,"")</f>
        <v>-8.1284410337804092E-3</v>
      </c>
      <c r="GL9" s="62">
        <f>IFERROR(Inv_SY_B!GL9/Inv_SY_B!$IS9-1,"")</f>
        <v>-4.8867443919864417E-3</v>
      </c>
      <c r="GM9" s="62">
        <f>IFERROR(Inv_SY_B!GM9/Inv_SY_B!$IS9-1,"")</f>
        <v>-1.7765917536411324E-2</v>
      </c>
      <c r="GN9" s="62">
        <f>IFERROR(Inv_SY_B!GN9/Inv_SY_B!$IS9-1,"")</f>
        <v>-2.696408823206653E-3</v>
      </c>
      <c r="GO9" s="62">
        <f>IFERROR(Inv_SY_B!GO9/Inv_SY_B!$IS9-1,"")</f>
        <v>-9.0045752612922803E-3</v>
      </c>
      <c r="GP9" s="62">
        <f>IFERROR(Inv_SY_B!GP9/Inv_SY_B!$IS9-1,"")</f>
        <v>-2.4774991356506515E-2</v>
      </c>
      <c r="GQ9" s="62">
        <f>IFERROR(Inv_SY_B!GQ9/Inv_SY_B!$IS9-1,"")</f>
        <v>5.2063219089506507E-3</v>
      </c>
      <c r="GR9" s="62">
        <f>IFERROR(Inv_SY_B!GR9/Inv_SY_B!$IS9-1,"")</f>
        <v>-1.5137514853875489E-2</v>
      </c>
      <c r="GS9" s="62" t="str">
        <f>IFERROR(Inv_SY_B!GS9/Inv_SY_B!$IS9-1,"")</f>
        <v/>
      </c>
      <c r="GT9" s="62" t="str">
        <f>IFERROR(Inv_SY_B!GT9/Inv_SY_B!$IS9-1,"")</f>
        <v/>
      </c>
      <c r="GU9" s="62">
        <f>IFERROR(Inv_SY_B!GU9/Inv_SY_B!$IS9-1,"")</f>
        <v>-0.9998982852084155</v>
      </c>
      <c r="GV9" s="62">
        <f>IFERROR(Inv_SY_B!GV9/Inv_SY_B!$IS9-1,"")</f>
        <v>-1.9756999883709381E-2</v>
      </c>
      <c r="GW9" s="62">
        <f>IFERROR(Inv_SY_B!GW9/Inv_SY_B!$IS9-1,"")</f>
        <v>-1.7960376596663719E-2</v>
      </c>
      <c r="GX9" s="62" t="str">
        <f>IFERROR(Inv_SY_B!GX9/Inv_SY_B!$IS9-1,"")</f>
        <v/>
      </c>
      <c r="GY9" s="62">
        <f>IFERROR(Inv_SY_B!GY9/Inv_SY_B!$IS9-1,"")</f>
        <v>1.0334276255299146E-2</v>
      </c>
      <c r="GZ9" s="62">
        <f>IFERROR(Inv_SY_B!GZ9/Inv_SY_B!$IS9-1,"")</f>
        <v>3.9435073167572998E-3</v>
      </c>
      <c r="HA9" s="62">
        <f>IFERROR(Inv_SY_B!HA9/Inv_SY_B!$IS9-1,"")</f>
        <v>1.4512245593799378E-2</v>
      </c>
      <c r="HB9" s="62">
        <f>IFERROR(Inv_SY_B!HB9/Inv_SY_B!$IS9-1,"")</f>
        <v>-2.2564967378119749E-2</v>
      </c>
      <c r="HC9" s="62">
        <f>IFERROR(Inv_SY_B!HC9/Inv_SY_B!$IS9-1,"")</f>
        <v>1.4512245593799378E-2</v>
      </c>
      <c r="HD9" s="62">
        <f>IFERROR(Inv_SY_B!HD9/Inv_SY_B!$IS9-1,"")</f>
        <v>5.1563133485488244E-3</v>
      </c>
      <c r="HE9" s="62">
        <f>IFERROR(Inv_SY_B!HE9/Inv_SY_B!$IS9-1,"")</f>
        <v>1.1566859516591199E-2</v>
      </c>
      <c r="HF9" s="62">
        <f>IFERROR(Inv_SY_B!HF9/Inv_SY_B!$IS9-1,"")</f>
        <v>1.7717518677820454E-2</v>
      </c>
      <c r="HG9" s="62">
        <f>IFERROR(Inv_SY_B!HG9/Inv_SY_B!$IS9-1,"")</f>
        <v>3.9171822365280384E-4</v>
      </c>
      <c r="HH9" s="62">
        <f>IFERROR(Inv_SY_B!HH9/Inv_SY_B!$IS9-1,"")</f>
        <v>-1.9532952298640271E-2</v>
      </c>
      <c r="HI9" s="62">
        <f>IFERROR(Inv_SY_B!HI9/Inv_SY_B!$IS9-1,"")</f>
        <v>-2.7269258580974176E-3</v>
      </c>
      <c r="HJ9" s="62">
        <f>IFERROR(Inv_SY_B!HJ9/Inv_SY_B!$IS9-1,"")</f>
        <v>1.7777822599864823E-3</v>
      </c>
      <c r="HK9" s="62">
        <f>IFERROR(Inv_SY_B!HK9/Inv_SY_B!$IS9-1,"")</f>
        <v>1.8141038244477992E-2</v>
      </c>
      <c r="HL9" s="62">
        <f>IFERROR(Inv_SY_B!HL9/Inv_SY_B!$IS9-1,"")</f>
        <v>4.0010048595516601E-2</v>
      </c>
      <c r="HM9" s="62">
        <f>IFERROR(Inv_SY_B!HM9/Inv_SY_B!$IS9-1,"")</f>
        <v>6.0787068841301917E-2</v>
      </c>
      <c r="HN9" s="62">
        <f>IFERROR(Inv_SY_B!HN9/Inv_SY_B!$IS9-1,"")</f>
        <v>5.6540191600554568E-2</v>
      </c>
      <c r="HO9" s="62">
        <f>IFERROR(Inv_SY_B!HO9/Inv_SY_B!$IS9-1,"")</f>
        <v>5.2811226218435259E-2</v>
      </c>
      <c r="HP9" s="62">
        <f>IFERROR(Inv_SY_B!HP9/Inv_SY_B!$IS9-1,"")</f>
        <v>1.6847426755326245E-2</v>
      </c>
      <c r="HQ9" s="62">
        <f>IFERROR(Inv_SY_B!HQ9/Inv_SY_B!$IS9-1,"")</f>
        <v>-1.3500673606603342E-2</v>
      </c>
      <c r="HR9" s="62">
        <f>IFERROR(Inv_SY_B!HR9/Inv_SY_B!$IS9-1,"")</f>
        <v>4.3874177337313025E-3</v>
      </c>
      <c r="HS9" s="62">
        <f>IFERROR(Inv_SY_B!HS9/Inv_SY_B!$IS9-1,"")</f>
        <v>3.830056961737216E-2</v>
      </c>
      <c r="HT9" s="62">
        <f>IFERROR(Inv_SY_B!HT9/Inv_SY_B!$IS9-1,"")</f>
        <v>2.1298184105015272E-2</v>
      </c>
      <c r="HU9" s="62">
        <f>IFERROR(Inv_SY_B!HU9/Inv_SY_B!$IS9-1,"")</f>
        <v>9.1612387612238777E-3</v>
      </c>
      <c r="HV9" s="62">
        <f>IFERROR(Inv_SY_B!HV9/Inv_SY_B!$IS9-1,"")</f>
        <v>1.3879187500282164E-2</v>
      </c>
      <c r="HW9" s="62">
        <f>IFERROR(Inv_SY_B!HW9/Inv_SY_B!$IS9-1,"")</f>
        <v>4.4122038569972544E-2</v>
      </c>
      <c r="HX9" s="62">
        <f>IFERROR(Inv_SY_B!HX9/Inv_SY_B!$IS9-1,"")</f>
        <v>2.7553242320263793E-2</v>
      </c>
      <c r="HY9" s="62">
        <f>IFERROR(Inv_SY_B!HY9/Inv_SY_B!$IS9-1,"")</f>
        <v>1.6677970650570417E-2</v>
      </c>
      <c r="HZ9" s="62">
        <f>IFERROR(Inv_SY_B!HZ9/Inv_SY_B!$IS9-1,"")</f>
        <v>2.7621288729173799E-4</v>
      </c>
      <c r="IA9" s="62">
        <f>IFERROR(Inv_SY_B!IA9/Inv_SY_B!$IS9-1,"")</f>
        <v>-1.9538404473608328E-2</v>
      </c>
      <c r="IB9" s="62">
        <f>IFERROR(Inv_SY_B!IB9/Inv_SY_B!$IS9-1,"")</f>
        <v>-9.3842334265473726E-3</v>
      </c>
      <c r="IC9" s="62">
        <f>IFERROR(Inv_SY_B!IC9/Inv_SY_B!$IS9-1,"")</f>
        <v>-1.0642272317333501E-2</v>
      </c>
      <c r="ID9" s="62">
        <f>IFERROR(Inv_SY_B!ID9/Inv_SY_B!$IS9-1,"")</f>
        <v>-1.2239782019919487E-2</v>
      </c>
      <c r="IE9" s="62">
        <f>IFERROR(Inv_SY_B!IE9/Inv_SY_B!$IS9-1,"")</f>
        <v>-1.7140941787452735E-2</v>
      </c>
      <c r="IF9" s="62" t="str">
        <f>IFERROR(Inv_SY_B!IF9/Inv_SY_B!$IS9-1,"")</f>
        <v/>
      </c>
      <c r="IG9" s="62">
        <f>IFERROR(Inv_SY_B!IG9/Inv_SY_B!$IS9-1,"")</f>
        <v>6.1568173157042771E-2</v>
      </c>
      <c r="IH9" s="62">
        <f>IFERROR(Inv_SY_B!IH9/Inv_SY_B!$IS9-1,"")</f>
        <v>-1.6232179112847356E-2</v>
      </c>
      <c r="II9" s="62">
        <f>IFERROR(Inv_SY_B!II9/Inv_SY_B!$IS9-1,"")</f>
        <v>2.9880023514117227E-3</v>
      </c>
      <c r="IJ9" s="62">
        <f>IFERROR(Inv_SY_B!IJ9/Inv_SY_B!$IS9-1,"")</f>
        <v>-2.0373768922252289E-2</v>
      </c>
      <c r="IK9" s="62">
        <f>IFERROR(Inv_SY_B!IK9/Inv_SY_B!$IS9-1,"")</f>
        <v>-1.9089104869756013E-2</v>
      </c>
      <c r="IL9" s="62" t="str">
        <f>IFERROR(Inv_SY_B!IL9/Inv_SY_B!$IS9-1,"")</f>
        <v/>
      </c>
      <c r="IM9" s="62" t="str">
        <f>IFERROR(Inv_SY_B!IM9/Inv_SY_B!$IS9-1,"")</f>
        <v/>
      </c>
      <c r="IN9" s="62">
        <f>IFERROR(Inv_SY_B!IN9/Inv_SY_B!$IS9-1,"")</f>
        <v>8.3844504787408347E-2</v>
      </c>
      <c r="IO9" s="62">
        <f>IFERROR(Inv_SY_B!IO9/Inv_SY_B!$IS9-1,"")</f>
        <v>3.5590656919063379E-2</v>
      </c>
      <c r="IP9" s="62">
        <f>IFERROR(Inv_SY_B!IP9/Inv_SY_B!$IS9-1,"")</f>
        <v>0.18760175362074216</v>
      </c>
      <c r="IQ9" s="62">
        <f>IFERROR(Inv_SY_B!IQ9/Inv_SY_B!$IS9-1,"")</f>
        <v>7.3297118367565695E-3</v>
      </c>
      <c r="IR9" s="62">
        <f>IFERROR(Inv_SY_B!IR9/Inv_SY_B!$IS9-1,"")</f>
        <v>1.1791189843366912E-2</v>
      </c>
    </row>
    <row r="10" spans="2:253" x14ac:dyDescent="0.25">
      <c r="B10" s="85">
        <f t="shared" si="0"/>
        <v>45836</v>
      </c>
      <c r="C10" s="62">
        <f>IFERROR(Inv_SY_B!C10/Inv_SY_B!$IS10-1,"")</f>
        <v>8.0356835665498227E-3</v>
      </c>
      <c r="D10" s="62">
        <f>IFERROR(Inv_SY_B!D10/Inv_SY_B!$IS10-1,"")</f>
        <v>2.73470800969422E-2</v>
      </c>
      <c r="E10" s="62">
        <f>IFERROR(Inv_SY_B!E10/Inv_SY_B!$IS10-1,"")</f>
        <v>3.4154921094997626E-4</v>
      </c>
      <c r="F10" s="62">
        <f>IFERROR(Inv_SY_B!F10/Inv_SY_B!$IS10-1,"")</f>
        <v>3.0477067678622571E-3</v>
      </c>
      <c r="G10" s="62">
        <f>IFERROR(Inv_SY_B!G10/Inv_SY_B!$IS10-1,"")</f>
        <v>2.6098084301444224E-2</v>
      </c>
      <c r="H10" s="62">
        <f>IFERROR(Inv_SY_B!H10/Inv_SY_B!$IS10-1,"")</f>
        <v>2.4176552308370347E-2</v>
      </c>
      <c r="I10" s="62">
        <f>IFERROR(Inv_SY_B!I10/Inv_SY_B!$IS10-1,"")</f>
        <v>3.1046029183609436E-2</v>
      </c>
      <c r="J10" s="62">
        <f>IFERROR(Inv_SY_B!J10/Inv_SY_B!$IS10-1,"")</f>
        <v>3.1046029183609436E-2</v>
      </c>
      <c r="K10" s="62">
        <f>IFERROR(Inv_SY_B!K10/Inv_SY_B!$IS10-1,"")</f>
        <v>1.8281292153619733E-2</v>
      </c>
      <c r="L10" s="62">
        <f>IFERROR(Inv_SY_B!L10/Inv_SY_B!$IS10-1,"")</f>
        <v>2.3377194999251616E-2</v>
      </c>
      <c r="M10" s="62">
        <f>IFERROR(Inv_SY_B!M10/Inv_SY_B!$IS10-1,"")</f>
        <v>8.3559388987288763E-3</v>
      </c>
      <c r="N10" s="62">
        <f>IFERROR(Inv_SY_B!N10/Inv_SY_B!$IS10-1,"")</f>
        <v>3.8644086939555677E-2</v>
      </c>
      <c r="O10" s="62">
        <f>IFERROR(Inv_SY_B!O10/Inv_SY_B!$IS10-1,"")</f>
        <v>-2.224445809097253E-2</v>
      </c>
      <c r="P10" s="62">
        <f>IFERROR(Inv_SY_B!P10/Inv_SY_B!$IS10-1,"")</f>
        <v>-2.9607199756318536E-3</v>
      </c>
      <c r="Q10" s="62">
        <f>IFERROR(Inv_SY_B!Q10/Inv_SY_B!$IS10-1,"")</f>
        <v>2.3447971427663195E-2</v>
      </c>
      <c r="R10" s="62">
        <f>IFERROR(Inv_SY_B!R10/Inv_SY_B!$IS10-1,"")</f>
        <v>1.3872336995511825E-2</v>
      </c>
      <c r="S10" s="62">
        <f>IFERROR(Inv_SY_B!S10/Inv_SY_B!$IS10-1,"")</f>
        <v>1.7619324382005752E-2</v>
      </c>
      <c r="T10" s="62">
        <f>IFERROR(Inv_SY_B!T10/Inv_SY_B!$IS10-1,"")</f>
        <v>1.6058079637633282E-2</v>
      </c>
      <c r="U10" s="62">
        <f>IFERROR(Inv_SY_B!U10/Inv_SY_B!$IS10-1,"")</f>
        <v>1.1110134755468071E-2</v>
      </c>
      <c r="V10" s="62">
        <f>IFERROR(Inv_SY_B!V10/Inv_SY_B!$IS10-1,"")</f>
        <v>1.4280662544039924E-2</v>
      </c>
      <c r="W10" s="62">
        <f>IFERROR(Inv_SY_B!W10/Inv_SY_B!$IS10-1,"")</f>
        <v>-1.0066749084866822E-2</v>
      </c>
      <c r="X10" s="62">
        <f>IFERROR(Inv_SY_B!X10/Inv_SY_B!$IS10-1,"")</f>
        <v>-1.0115295675062752E-3</v>
      </c>
      <c r="Y10" s="62">
        <f>IFERROR(Inv_SY_B!Y10/Inv_SY_B!$IS10-1,"")</f>
        <v>-1.3965857754145938E-2</v>
      </c>
      <c r="Z10" s="62">
        <f>IFERROR(Inv_SY_B!Z10/Inv_SY_B!$IS10-1,"")</f>
        <v>1.2056667181685965E-2</v>
      </c>
      <c r="AA10" s="62">
        <f>IFERROR(Inv_SY_B!AA10/Inv_SY_B!$IS10-1,"")</f>
        <v>-5.9914999828895033E-3</v>
      </c>
      <c r="AB10" s="62">
        <f>IFERROR(Inv_SY_B!AB10/Inv_SY_B!$IS10-1,"")</f>
        <v>7.3631473689741433E-3</v>
      </c>
      <c r="AC10" s="62">
        <f>IFERROR(Inv_SY_B!AC10/Inv_SY_B!$IS10-1,"")</f>
        <v>-2.6551892308779634E-2</v>
      </c>
      <c r="AD10" s="62">
        <f>IFERROR(Inv_SY_B!AD10/Inv_SY_B!$IS10-1,"")</f>
        <v>-1.0887848172647985E-2</v>
      </c>
      <c r="AE10" s="62">
        <f>IFERROR(Inv_SY_B!AE10/Inv_SY_B!$IS10-1,"")</f>
        <v>-1.821063879402951E-3</v>
      </c>
      <c r="AF10" s="62">
        <f>IFERROR(Inv_SY_B!AF10/Inv_SY_B!$IS10-1,"")</f>
        <v>-1.6346422390009607E-2</v>
      </c>
      <c r="AG10" s="62">
        <f>IFERROR(Inv_SY_B!AG10/Inv_SY_B!$IS10-1,"")</f>
        <v>-9.0374840311694404E-3</v>
      </c>
      <c r="AH10" s="62">
        <f>IFERROR(Inv_SY_B!AH10/Inv_SY_B!$IS10-1,"")</f>
        <v>-2.7448607238880873E-2</v>
      </c>
      <c r="AI10" s="62">
        <f>IFERROR(Inv_SY_B!AI10/Inv_SY_B!$IS10-1,"")</f>
        <v>-1.4563674001873084E-2</v>
      </c>
      <c r="AJ10" s="62">
        <f>IFERROR(Inv_SY_B!AJ10/Inv_SY_B!$IS10-1,"")</f>
        <v>-2.1959071129358243E-3</v>
      </c>
      <c r="AK10" s="62">
        <f>IFERROR(Inv_SY_B!AK10/Inv_SY_B!$IS10-1,"")</f>
        <v>1.0853930489724828E-2</v>
      </c>
      <c r="AL10" s="62">
        <f>IFERROR(Inv_SY_B!AL10/Inv_SY_B!$IS10-1,"")</f>
        <v>-2.3764995907583741E-2</v>
      </c>
      <c r="AM10" s="62">
        <f>IFERROR(Inv_SY_B!AM10/Inv_SY_B!$IS10-1,"")</f>
        <v>1.0853930489724828E-2</v>
      </c>
      <c r="AN10" s="62">
        <f>IFERROR(Inv_SY_B!AN10/Inv_SY_B!$IS10-1,"")</f>
        <v>5.4416153759000441E-3</v>
      </c>
      <c r="AO10" s="62">
        <f>IFERROR(Inv_SY_B!AO10/Inv_SY_B!$IS10-1,"")</f>
        <v>-9.3437218434359148E-2</v>
      </c>
      <c r="AP10" s="62">
        <f>IFERROR(Inv_SY_B!AP10/Inv_SY_B!$IS10-1,"")</f>
        <v>1.4288668927344483E-2</v>
      </c>
      <c r="AQ10" s="62">
        <f>IFERROR(Inv_SY_B!AQ10/Inv_SY_B!$IS10-1,"")</f>
        <v>1.5849913671716953E-2</v>
      </c>
      <c r="AR10" s="62">
        <f>IFERROR(Inv_SY_B!AR10/Inv_SY_B!$IS10-1,"")</f>
        <v>1.2311092251139133E-2</v>
      </c>
      <c r="AS10" s="62">
        <f>IFERROR(Inv_SY_B!AS10/Inv_SY_B!$IS10-1,"")</f>
        <v>1.0853930489724828E-2</v>
      </c>
      <c r="AT10" s="62">
        <f>IFERROR(Inv_SY_B!AT10/Inv_SY_B!$IS10-1,"")</f>
        <v>5.0252834440676075E-3</v>
      </c>
      <c r="AU10" s="62">
        <f>IFERROR(Inv_SY_B!AU10/Inv_SY_B!$IS10-1,"")</f>
        <v>4.4563219390814091E-4</v>
      </c>
      <c r="AV10" s="62">
        <f>IFERROR(Inv_SY_B!AV10/Inv_SY_B!$IS10-1,"")</f>
        <v>-4.1340190562513257E-3</v>
      </c>
      <c r="AW10" s="62">
        <f>IFERROR(Inv_SY_B!AW10/Inv_SY_B!$IS10-1,"")</f>
        <v>-1.0411023566959221E-2</v>
      </c>
      <c r="AX10" s="62">
        <f>IFERROR(Inv_SY_B!AX10/Inv_SY_B!$IS10-1,"")</f>
        <v>7.3151090691472298E-3</v>
      </c>
      <c r="AY10" s="62">
        <f>IFERROR(Inv_SY_B!AY10/Inv_SY_B!$IS10-1,"")</f>
        <v>-4.0007928380648705E-3</v>
      </c>
      <c r="AZ10" s="62">
        <f>IFERROR(Inv_SY_B!AZ10/Inv_SY_B!$IS10-1,"")</f>
        <v>-2.7881592447986825E-2</v>
      </c>
      <c r="BA10" s="62">
        <f>IFERROR(Inv_SY_B!BA10/Inv_SY_B!$IS10-1,"")</f>
        <v>1.0853930489724828E-2</v>
      </c>
      <c r="BB10" s="62">
        <f>IFERROR(Inv_SY_B!BB10/Inv_SY_B!$IS10-1,"")</f>
        <v>1.4600917876218977E-2</v>
      </c>
      <c r="BC10" s="62">
        <f>IFERROR(Inv_SY_B!BC10/Inv_SY_B!$IS10-1,"")</f>
        <v>1.1409039732168447E-2</v>
      </c>
      <c r="BD10" s="62">
        <f>IFERROR(Inv_SY_B!BD10/Inv_SY_B!$IS10-1,"")</f>
        <v>1.6497541121234471E-2</v>
      </c>
      <c r="BE10" s="62">
        <f>IFERROR(Inv_SY_B!BE10/Inv_SY_B!$IS10-1,"")</f>
        <v>-1.7136385542717791E-2</v>
      </c>
      <c r="BF10" s="62">
        <f>IFERROR(Inv_SY_B!BF10/Inv_SY_B!$IS10-1,"")</f>
        <v>1.7792796020269286E-2</v>
      </c>
      <c r="BG10" s="62">
        <f>IFERROR(Inv_SY_B!BG10/Inv_SY_B!$IS10-1,"")</f>
        <v>2.1030933267856655E-2</v>
      </c>
      <c r="BH10" s="62">
        <f>IFERROR(Inv_SY_B!BH10/Inv_SY_B!$IS10-1,"")</f>
        <v>-9.2188222638861061E-2</v>
      </c>
      <c r="BI10" s="62">
        <f>IFERROR(Inv_SY_B!BI10/Inv_SY_B!$IS10-1,"")</f>
        <v>-3.8564644350294053E-3</v>
      </c>
      <c r="BJ10" s="62">
        <f>IFERROR(Inv_SY_B!BJ10/Inv_SY_B!$IS10-1,"")</f>
        <v>9.5586755906900134E-3</v>
      </c>
      <c r="BK10" s="62">
        <f>IFERROR(Inv_SY_B!BK10/Inv_SY_B!$IS10-1,"")</f>
        <v>3.2190941996149247E-2</v>
      </c>
      <c r="BL10" s="62">
        <f>IFERROR(Inv_SY_B!BL10/Inv_SY_B!$IS10-1,"")</f>
        <v>-1.911625779285786E-2</v>
      </c>
      <c r="BM10" s="62">
        <f>IFERROR(Inv_SY_B!BM10/Inv_SY_B!$IS10-1,"")</f>
        <v>2.5841880035701204E-2</v>
      </c>
      <c r="BN10" s="62">
        <f>IFERROR(Inv_SY_B!BN10/Inv_SY_B!$IS10-1,"")</f>
        <v>4.7720840867183423E-2</v>
      </c>
      <c r="BO10" s="62">
        <f>IFERROR(Inv_SY_B!BO10/Inv_SY_B!$IS10-1,"")</f>
        <v>1.8892339327417185E-2</v>
      </c>
      <c r="BP10" s="62">
        <f>IFERROR(Inv_SY_B!BP10/Inv_SY_B!$IS10-1,"")</f>
        <v>3.4955559425453586E-4</v>
      </c>
      <c r="BQ10" s="62">
        <f>IFERROR(Inv_SY_B!BQ10/Inv_SY_B!$IS10-1,"")</f>
        <v>1.4761045542308393E-2</v>
      </c>
      <c r="BR10" s="62">
        <f>IFERROR(Inv_SY_B!BR10/Inv_SY_B!$IS10-1,"")</f>
        <v>1.6946279894061167E-3</v>
      </c>
      <c r="BS10" s="62">
        <f>IFERROR(Inv_SY_B!BS10/Inv_SY_B!$IS10-1,"")</f>
        <v>1.3351922080721002E-2</v>
      </c>
      <c r="BT10" s="62">
        <f>IFERROR(Inv_SY_B!BT10/Inv_SY_B!$IS10-1,"")</f>
        <v>3.0477067678622571E-3</v>
      </c>
      <c r="BU10" s="62">
        <f>IFERROR(Inv_SY_B!BU10/Inv_SY_B!$IS10-1,"")</f>
        <v>6.4824452054819126E-3</v>
      </c>
      <c r="BV10" s="62">
        <f>IFERROR(Inv_SY_B!BV10/Inv_SY_B!$IS10-1,"")</f>
        <v>2.1158145802583572E-2</v>
      </c>
      <c r="BW10" s="62">
        <f>IFERROR(Inv_SY_B!BW10/Inv_SY_B!$IS10-1,"")</f>
        <v>8.9804367964778642E-3</v>
      </c>
      <c r="BX10" s="62">
        <f>IFERROR(Inv_SY_B!BX10/Inv_SY_B!$IS10-1,"")</f>
        <v>-5.2789318687910258E-3</v>
      </c>
      <c r="BY10" s="62">
        <f>IFERROR(Inv_SY_B!BY10/Inv_SY_B!$IS10-1,"")</f>
        <v>-7.5571927179864939E-3</v>
      </c>
      <c r="BZ10" s="62">
        <f>IFERROR(Inv_SY_B!BZ10/Inv_SY_B!$IS10-1,"")</f>
        <v>2.1433667622328123E-4</v>
      </c>
      <c r="CA10" s="62">
        <f>IFERROR(Inv_SY_B!CA10/Inv_SY_B!$IS10-1,"")</f>
        <v>9.096084555320294E-3</v>
      </c>
      <c r="CB10" s="62">
        <f>IFERROR(Inv_SY_B!CB10/Inv_SY_B!$IS10-1,"")</f>
        <v>9.3967687283105228E-3</v>
      </c>
      <c r="CC10" s="62">
        <f>IFERROR(Inv_SY_B!CC10/Inv_SY_B!$IS10-1,"")</f>
        <v>1.3039673131846286E-2</v>
      </c>
      <c r="CD10" s="62">
        <f>IFERROR(Inv_SY_B!CD10/Inv_SY_B!$IS10-1,"")</f>
        <v>1.9372722325685654E-2</v>
      </c>
      <c r="CE10" s="62">
        <f>IFERROR(Inv_SY_B!CE10/Inv_SY_B!$IS10-1,"")</f>
        <v>-3.0931892266695682E-3</v>
      </c>
      <c r="CF10" s="62">
        <f>IFERROR(Inv_SY_B!CF10/Inv_SY_B!$IS10-1,"")</f>
        <v>1.0853930489724828E-2</v>
      </c>
      <c r="CG10" s="62">
        <f>IFERROR(Inv_SY_B!CG10/Inv_SY_B!$IS10-1,"")</f>
        <v>1.9180569126378444E-2</v>
      </c>
      <c r="CH10" s="62">
        <f>IFERROR(Inv_SY_B!CH10/Inv_SY_B!$IS10-1,"")</f>
        <v>6.3783622225235259E-3</v>
      </c>
      <c r="CI10" s="62">
        <f>IFERROR(Inv_SY_B!CI10/Inv_SY_B!$IS10-1,"")</f>
        <v>2.022139895596009E-2</v>
      </c>
      <c r="CJ10" s="62">
        <f>IFERROR(Inv_SY_B!CJ10/Inv_SY_B!$IS10-1,"")</f>
        <v>5.6497813418165954E-3</v>
      </c>
      <c r="CK10" s="62">
        <f>IFERROR(Inv_SY_B!CK10/Inv_SY_B!$IS10-1,"")</f>
        <v>-4.7585169540002026E-3</v>
      </c>
      <c r="CL10" s="62">
        <f>IFERROR(Inv_SY_B!CL10/Inv_SY_B!$IS10-1,"")</f>
        <v>1.824382227975474E-2</v>
      </c>
      <c r="CM10" s="62">
        <f>IFERROR(Inv_SY_B!CM10/Inv_SY_B!$IS10-1,"")</f>
        <v>1.0021266626059511E-2</v>
      </c>
      <c r="CN10" s="62">
        <f>IFERROR(Inv_SY_B!CN10/Inv_SY_B!$IS10-1,"")</f>
        <v>-3.7176871244185561E-3</v>
      </c>
      <c r="CO10" s="62">
        <f>IFERROR(Inv_SY_B!CO10/Inv_SY_B!$IS10-1,"")</f>
        <v>-3.8009535107851322E-3</v>
      </c>
      <c r="CP10" s="62">
        <f>IFERROR(Inv_SY_B!CP10/Inv_SY_B!$IS10-1,"")</f>
        <v>-2.1363755927480188E-2</v>
      </c>
      <c r="CQ10" s="62">
        <f>IFERROR(Inv_SY_B!CQ10/Inv_SY_B!$IS10-1,"")</f>
        <v>4.4563219390814091E-4</v>
      </c>
      <c r="CR10" s="62">
        <f>IFERROR(Inv_SY_B!CR10/Inv_SY_B!$IS10-1,"")</f>
        <v>-0.11113132553724769</v>
      </c>
      <c r="CS10" s="62">
        <f>IFERROR(Inv_SY_B!CS10/Inv_SY_B!$IS10-1,"")</f>
        <v>1.8440423469786804E-2</v>
      </c>
      <c r="CT10" s="62">
        <f>IFERROR(Inv_SY_B!CT10/Inv_SY_B!$IS10-1,"")</f>
        <v>1.4496834893260813E-2</v>
      </c>
      <c r="CU10" s="62">
        <f>IFERROR(Inv_SY_B!CU10/Inv_SY_B!$IS10-1,"")</f>
        <v>-1</v>
      </c>
      <c r="CV10" s="62">
        <f>IFERROR(Inv_SY_B!CV10/Inv_SY_B!$IS10-1,"")</f>
        <v>1.179067733634831E-2</v>
      </c>
      <c r="CW10" s="62">
        <f>IFERROR(Inv_SY_B!CW10/Inv_SY_B!$IS10-1,"")</f>
        <v>-2.8850232607532389E-3</v>
      </c>
      <c r="CX10" s="62">
        <f>IFERROR(Inv_SY_B!CX10/Inv_SY_B!$IS10-1,"")</f>
        <v>-6.8401766131636066E-3</v>
      </c>
      <c r="CY10" s="62">
        <f>IFERROR(Inv_SY_B!CY10/Inv_SY_B!$IS10-1,"")</f>
        <v>3.984453614485961E-3</v>
      </c>
      <c r="CZ10" s="62">
        <f>IFERROR(Inv_SY_B!CZ10/Inv_SY_B!$IS10-1,"")</f>
        <v>-9.5463341700759985E-3</v>
      </c>
      <c r="DA10" s="62">
        <f>IFERROR(Inv_SY_B!DA10/Inv_SY_B!$IS10-1,"")</f>
        <v>-1.4278614993389338E-3</v>
      </c>
      <c r="DB10" s="62">
        <f>IFERROR(Inv_SY_B!DB10/Inv_SY_B!$IS10-1,"")</f>
        <v>-1.089941294853225E-2</v>
      </c>
      <c r="DC10" s="62">
        <f>IFERROR(Inv_SY_B!DC10/Inv_SY_B!$IS10-1,"")</f>
        <v>-9.1300022382433399E-3</v>
      </c>
      <c r="DD10" s="62">
        <f>IFERROR(Inv_SY_B!DD10/Inv_SY_B!$IS10-1,"")</f>
        <v>6.4824452054819126E-3</v>
      </c>
      <c r="DE10" s="62">
        <f>IFERROR(Inv_SY_B!DE10/Inv_SY_B!$IS10-1,"")</f>
        <v>2.6198100601453334E-3</v>
      </c>
      <c r="DF10" s="62">
        <f>IFERROR(Inv_SY_B!DF10/Inv_SY_B!$IS10-1,"")</f>
        <v>-2.255632399775509E-2</v>
      </c>
      <c r="DG10" s="62">
        <f>IFERROR(Inv_SY_B!DG10/Inv_SY_B!$IS10-1,"")</f>
        <v>-2.1724043176181707E-2</v>
      </c>
      <c r="DH10" s="62">
        <f>IFERROR(Inv_SY_B!DH10/Inv_SY_B!$IS10-1,"")</f>
        <v>2.2326188166891914E-2</v>
      </c>
      <c r="DI10" s="62">
        <f>IFERROR(Inv_SY_B!DI10/Inv_SY_B!$IS10-1,"")</f>
        <v>-8.4894915738853438E-3</v>
      </c>
      <c r="DJ10" s="62">
        <f>IFERROR(Inv_SY_B!DJ10/Inv_SY_B!$IS10-1,"")</f>
        <v>-2.0787296329558114E-2</v>
      </c>
      <c r="DK10" s="62">
        <f>IFERROR(Inv_SY_B!DK10/Inv_SY_B!$IS10-1,"")</f>
        <v>-2.1249887364927611E-2</v>
      </c>
      <c r="DL10" s="62">
        <f>IFERROR(Inv_SY_B!DL10/Inv_SY_B!$IS10-1,"")</f>
        <v>-8.6674112028737316E-3</v>
      </c>
      <c r="DM10" s="62">
        <f>IFERROR(Inv_SY_B!DM10/Inv_SY_B!$IS10-1,"")</f>
        <v>6.3783622225235259E-3</v>
      </c>
      <c r="DN10" s="62">
        <f>IFERROR(Inv_SY_B!DN10/Inv_SY_B!$IS10-1,"")</f>
        <v>-4.8625999369583672E-3</v>
      </c>
      <c r="DO10" s="62">
        <f>IFERROR(Inv_SY_B!DO10/Inv_SY_B!$IS10-1,"")</f>
        <v>-1.3351822530597968E-2</v>
      </c>
      <c r="DP10" s="62">
        <f>IFERROR(Inv_SY_B!DP10/Inv_SY_B!$IS10-1,"")</f>
        <v>-2.4858097440810911E-2</v>
      </c>
      <c r="DQ10" s="62">
        <f>IFERROR(Inv_SY_B!DQ10/Inv_SY_B!$IS10-1,"")</f>
        <v>-1.0147702516056456E-2</v>
      </c>
      <c r="DR10" s="62">
        <f>IFERROR(Inv_SY_B!DR10/Inv_SY_B!$IS10-1,"")</f>
        <v>-6.8401766131636066E-3</v>
      </c>
      <c r="DS10" s="62">
        <f>IFERROR(Inv_SY_B!DS10/Inv_SY_B!$IS10-1,"")</f>
        <v>6.6906111713982419E-3</v>
      </c>
      <c r="DT10" s="62">
        <f>IFERROR(Inv_SY_B!DT10/Inv_SY_B!$IS10-1,"")</f>
        <v>-7.5743111331470603E-2</v>
      </c>
      <c r="DU10" s="62">
        <f>IFERROR(Inv_SY_B!DU10/Inv_SY_B!$IS10-1,"")</f>
        <v>-7.019201890703497E-2</v>
      </c>
      <c r="DV10" s="62">
        <f>IFERROR(Inv_SY_B!DV10/Inv_SY_B!$IS10-1,"")</f>
        <v>-4.9666829199166429E-3</v>
      </c>
      <c r="DW10" s="62">
        <f>IFERROR(Inv_SY_B!DW10/Inv_SY_B!$IS10-1,"")</f>
        <v>-2.0579130363641784E-2</v>
      </c>
      <c r="DX10" s="62">
        <f>IFERROR(Inv_SY_B!DX10/Inv_SY_B!$IS10-1,"")</f>
        <v>-2.0232187087114495E-2</v>
      </c>
      <c r="DY10" s="62">
        <f>IFERROR(Inv_SY_B!DY10/Inv_SY_B!$IS10-1,"")</f>
        <v>-4.9666829199166429E-3</v>
      </c>
      <c r="DZ10" s="62">
        <f>IFERROR(Inv_SY_B!DZ10/Inv_SY_B!$IS10-1,"")</f>
        <v>-1.537498121573333E-2</v>
      </c>
      <c r="EA10" s="62">
        <f>IFERROR(Inv_SY_B!EA10/Inv_SY_B!$IS10-1,"")</f>
        <v>8.4484571058027758E-3</v>
      </c>
      <c r="EB10" s="62">
        <f>IFERROR(Inv_SY_B!EB10/Inv_SY_B!$IS10-1,"")</f>
        <v>-4.33290773294015E-4</v>
      </c>
      <c r="EC10" s="62">
        <f>IFERROR(Inv_SY_B!EC10/Inv_SY_B!$IS10-1,"")</f>
        <v>-8.0450864714501691E-2</v>
      </c>
      <c r="ED10" s="62">
        <f>IFERROR(Inv_SY_B!ED10/Inv_SY_B!$IS10-1,"")</f>
        <v>6.1141515734761676E-3</v>
      </c>
      <c r="EE10" s="62">
        <f>IFERROR(Inv_SY_B!EE10/Inv_SY_B!$IS10-1,"")</f>
        <v>2.0333488322222593E-2</v>
      </c>
      <c r="EF10" s="62">
        <f>IFERROR(Inv_SY_B!EF10/Inv_SY_B!$IS10-1,"")</f>
        <v>2.7582904477910342E-2</v>
      </c>
      <c r="EG10" s="62">
        <f>IFERROR(Inv_SY_B!EG10/Inv_SY_B!$IS10-1,"")</f>
        <v>3.6300764116941497E-2</v>
      </c>
      <c r="EH10" s="62">
        <f>IFERROR(Inv_SY_B!EH10/Inv_SY_B!$IS10-1,"")</f>
        <v>-9.3683741048083968E-3</v>
      </c>
      <c r="EI10" s="62">
        <f>IFERROR(Inv_SY_B!EI10/Inv_SY_B!$IS10-1,"")</f>
        <v>3.5134743566598958E-2</v>
      </c>
      <c r="EJ10" s="62">
        <f>IFERROR(Inv_SY_B!EJ10/Inv_SY_B!$IS10-1,"")</f>
        <v>3.0276324606838267E-2</v>
      </c>
      <c r="EK10" s="62">
        <f>IFERROR(Inv_SY_B!EK10/Inv_SY_B!$IS10-1,"")</f>
        <v>2.5875186590247568E-2</v>
      </c>
      <c r="EL10" s="62">
        <f>IFERROR(Inv_SY_B!EL10/Inv_SY_B!$IS10-1,"")</f>
        <v>-8.812898630349264E-2</v>
      </c>
      <c r="EM10" s="62">
        <f>IFERROR(Inv_SY_B!EM10/Inv_SY_B!$IS10-1,"")</f>
        <v>8.323913365511082E-3</v>
      </c>
      <c r="EN10" s="62">
        <f>IFERROR(Inv_SY_B!EN10/Inv_SY_B!$IS10-1,"")</f>
        <v>-1.3581551355531074E-2</v>
      </c>
      <c r="EO10" s="62">
        <f>IFERROR(Inv_SY_B!EO10/Inv_SY_B!$IS10-1,"")</f>
        <v>2.0013232990043761E-2</v>
      </c>
      <c r="EP10" s="62">
        <f>IFERROR(Inv_SY_B!EP10/Inv_SY_B!$IS10-1,"")</f>
        <v>3.1958756880319461E-2</v>
      </c>
      <c r="EQ10" s="62">
        <f>IFERROR(Inv_SY_B!EQ10/Inv_SY_B!$IS10-1,"")</f>
        <v>-9.0259192552850642E-3</v>
      </c>
      <c r="ER10" s="62">
        <f>IFERROR(Inv_SY_B!ER10/Inv_SY_B!$IS10-1,"")</f>
        <v>1.1014058155814244E-2</v>
      </c>
      <c r="ES10" s="62">
        <f>IFERROR(Inv_SY_B!ES10/Inv_SY_B!$IS10-1,"")</f>
        <v>3.3599557167367511E-3</v>
      </c>
      <c r="ET10" s="62">
        <f>IFERROR(Inv_SY_B!ET10/Inv_SY_B!$IS10-1,"")</f>
        <v>2.5539093176186523E-2</v>
      </c>
      <c r="EU10" s="62">
        <f>IFERROR(Inv_SY_B!EU10/Inv_SY_B!$IS10-1,"")</f>
        <v>4.4808493793631055E-3</v>
      </c>
      <c r="EV10" s="62">
        <f>IFERROR(Inv_SY_B!EV10/Inv_SY_B!$IS10-1,"")</f>
        <v>1.5913964738152764E-2</v>
      </c>
      <c r="EW10" s="62">
        <f>IFERROR(Inv_SY_B!EW10/Inv_SY_B!$IS10-1,"")</f>
        <v>1.5337505140230467E-2</v>
      </c>
      <c r="EX10" s="62">
        <f>IFERROR(Inv_SY_B!EX10/Inv_SY_B!$IS10-1,"")</f>
        <v>-3.0931892266695682E-3</v>
      </c>
      <c r="EY10" s="62">
        <f>IFERROR(Inv_SY_B!EY10/Inv_SY_B!$IS10-1,"")</f>
        <v>-6.1694196118775579E-3</v>
      </c>
      <c r="EZ10" s="62">
        <f>IFERROR(Inv_SY_B!EZ10/Inv_SY_B!$IS10-1,"")</f>
        <v>-1.2564740675862773E-2</v>
      </c>
      <c r="FA10" s="62">
        <f>IFERROR(Inv_SY_B!FA10/Inv_SY_B!$IS10-1,"")</f>
        <v>-1.5687230164607824E-2</v>
      </c>
      <c r="FB10" s="62">
        <f>IFERROR(Inv_SY_B!FB10/Inv_SY_B!$IS10-1,"")</f>
        <v>-1.1211661897406744E-2</v>
      </c>
      <c r="FC10" s="62">
        <f>IFERROR(Inv_SY_B!FC10/Inv_SY_B!$IS10-1,"")</f>
        <v>7.1069431032309005E-3</v>
      </c>
      <c r="FD10" s="62">
        <f>IFERROR(Inv_SY_B!FD10/Inv_SY_B!$IS10-1,"")</f>
        <v>2.781945671190611E-2</v>
      </c>
      <c r="FE10" s="62">
        <f>IFERROR(Inv_SY_B!FE10/Inv_SY_B!$IS10-1,"")</f>
        <v>1.8867137416333835E-2</v>
      </c>
      <c r="FF10" s="62">
        <f>IFERROR(Inv_SY_B!FF10/Inv_SY_B!$IS10-1,"")</f>
        <v>-9.9756764747784832E-3</v>
      </c>
      <c r="FG10" s="62">
        <f>IFERROR(Inv_SY_B!FG10/Inv_SY_B!$IS10-1,"")</f>
        <v>1.3264660589958011E-2</v>
      </c>
      <c r="FH10" s="62">
        <f>IFERROR(Inv_SY_B!FH10/Inv_SY_B!$IS10-1,"")</f>
        <v>-2.3133894490796836E-2</v>
      </c>
      <c r="FI10" s="62">
        <f>IFERROR(Inv_SY_B!FI10/Inv_SY_B!$IS10-1,"")</f>
        <v>-1.7051873718948229E-2</v>
      </c>
      <c r="FJ10" s="62">
        <f>IFERROR(Inv_SY_B!FJ10/Inv_SY_B!$IS10-1,"")</f>
        <v>-2.2666046739116097E-2</v>
      </c>
      <c r="FK10" s="62">
        <f>IFERROR(Inv_SY_B!FK10/Inv_SY_B!$IS10-1,"")</f>
        <v>1.1393269583235499E-2</v>
      </c>
      <c r="FL10" s="62">
        <f>IFERROR(Inv_SY_B!FL10/Inv_SY_B!$IS10-1,"")</f>
        <v>-5.7187297822361982E-3</v>
      </c>
      <c r="FM10" s="62">
        <f>IFERROR(Inv_SY_B!FM10/Inv_SY_B!$IS10-1,"")</f>
        <v>-7.5545643598311507E-3</v>
      </c>
      <c r="FN10" s="62">
        <f>IFERROR(Inv_SY_B!FN10/Inv_SY_B!$IS10-1,"")</f>
        <v>-2.2104629437099454E-2</v>
      </c>
      <c r="FO10" s="62">
        <f>IFERROR(Inv_SY_B!FO10/Inv_SY_B!$IS10-1,"")</f>
        <v>-1.6502152610723519E-2</v>
      </c>
      <c r="FP10" s="62">
        <f>IFERROR(Inv_SY_B!FP10/Inv_SY_B!$IS10-1,"")</f>
        <v>-2.987090211499821E-2</v>
      </c>
      <c r="FQ10" s="62">
        <f>IFERROR(Inv_SY_B!FQ10/Inv_SY_B!$IS10-1,"")</f>
        <v>-3.628087209960329E-4</v>
      </c>
      <c r="FR10" s="62">
        <f>IFERROR(Inv_SY_B!FR10/Inv_SY_B!$IS10-1,"")</f>
        <v>-2.0371721364874307E-2</v>
      </c>
      <c r="FS10" s="62">
        <f>IFERROR(Inv_SY_B!FS10/Inv_SY_B!$IS10-1,"")</f>
        <v>-1.5086913161889703E-2</v>
      </c>
      <c r="FT10" s="62">
        <f>IFERROR(Inv_SY_B!FT10/Inv_SY_B!$IS10-1,"")</f>
        <v>-9.7375718509496223E-2</v>
      </c>
      <c r="FU10" s="62">
        <f>IFERROR(Inv_SY_B!FU10/Inv_SY_B!$IS10-1,"")</f>
        <v>-4.9006330945322585E-4</v>
      </c>
      <c r="FV10" s="62">
        <f>IFERROR(Inv_SY_B!FV10/Inv_SY_B!$IS10-1,"")</f>
        <v>9.7090176771850167E-3</v>
      </c>
      <c r="FW10" s="62">
        <f>IFERROR(Inv_SY_B!FW10/Inv_SY_B!$IS10-1,"")</f>
        <v>2.6341005249432392E-2</v>
      </c>
      <c r="FX10" s="62">
        <f>IFERROR(Inv_SY_B!FX10/Inv_SY_B!$IS10-1,"")</f>
        <v>1.560389934836115E-2</v>
      </c>
      <c r="FY10" s="62">
        <f>IFERROR(Inv_SY_B!FY10/Inv_SY_B!$IS10-1,"")</f>
        <v>2.5041623013031256E-3</v>
      </c>
      <c r="FZ10" s="62">
        <f>IFERROR(Inv_SY_B!FZ10/Inv_SY_B!$IS10-1,"")</f>
        <v>6.3405138650842741E-3</v>
      </c>
      <c r="GA10" s="62">
        <f>IFERROR(Inv_SY_B!GA10/Inv_SY_B!$IS10-1,"")</f>
        <v>-1.6656002544449322E-2</v>
      </c>
      <c r="GB10" s="62">
        <f>IFERROR(Inv_SY_B!GB10/Inv_SY_B!$IS10-1,"")</f>
        <v>-1.171840934978885E-2</v>
      </c>
      <c r="GC10" s="62">
        <f>IFERROR(Inv_SY_B!GC10/Inv_SY_B!$IS10-1,"")</f>
        <v>-1.7332582369956717E-2</v>
      </c>
      <c r="GD10" s="62">
        <f>IFERROR(Inv_SY_B!GD10/Inv_SY_B!$IS10-1,"")</f>
        <v>2.0656655066512375E-2</v>
      </c>
      <c r="GE10" s="62">
        <f>IFERROR(Inv_SY_B!GE10/Inv_SY_B!$IS10-1,"")</f>
        <v>-7.8136800376849003E-3</v>
      </c>
      <c r="GF10" s="62">
        <f>IFERROR(Inv_SY_B!GF10/Inv_SY_B!$IS10-1,"")</f>
        <v>1.2048256435588156E-2</v>
      </c>
      <c r="GG10" s="62">
        <f>IFERROR(Inv_SY_B!GG10/Inv_SY_B!$IS10-1,"")</f>
        <v>-1.1680981529654466E-2</v>
      </c>
      <c r="GH10" s="62">
        <f>IFERROR(Inv_SY_B!GH10/Inv_SY_B!$IS10-1,"")</f>
        <v>4.4563219390814091E-4</v>
      </c>
      <c r="GI10" s="62">
        <f>IFERROR(Inv_SY_B!GI10/Inv_SY_B!$IS10-1,"")</f>
        <v>-2.6940303798470566E-2</v>
      </c>
      <c r="GJ10" s="62">
        <f>IFERROR(Inv_SY_B!GJ10/Inv_SY_B!$IS10-1,"")</f>
        <v>-9.3904864004643263E-2</v>
      </c>
      <c r="GK10" s="62">
        <f>IFERROR(Inv_SY_B!GK10/Inv_SY_B!$IS10-1,"")</f>
        <v>-4.8176550124992001E-3</v>
      </c>
      <c r="GL10" s="62">
        <f>IFERROR(Inv_SY_B!GL10/Inv_SY_B!$IS10-1,"")</f>
        <v>1.8025011463308704E-2</v>
      </c>
      <c r="GM10" s="62">
        <f>IFERROR(Inv_SY_B!GM10/Inv_SY_B!$IS10-1,"")</f>
        <v>9.7090176771850167E-3</v>
      </c>
      <c r="GN10" s="62">
        <f>IFERROR(Inv_SY_B!GN10/Inv_SY_B!$IS10-1,"")</f>
        <v>2.2656704204947031E-2</v>
      </c>
      <c r="GO10" s="62">
        <f>IFERROR(Inv_SY_B!GO10/Inv_SY_B!$IS10-1,"")</f>
        <v>6.2352481209562161E-3</v>
      </c>
      <c r="GP10" s="62">
        <f>IFERROR(Inv_SY_B!GP10/Inv_SY_B!$IS10-1,"")</f>
        <v>-5.2387179890117652E-3</v>
      </c>
      <c r="GQ10" s="62">
        <f>IFERROR(Inv_SY_B!GQ10/Inv_SY_B!$IS10-1,"")</f>
        <v>4.8667934472901297E-3</v>
      </c>
      <c r="GR10" s="62">
        <f>IFERROR(Inv_SY_B!GR10/Inv_SY_B!$IS10-1,"")</f>
        <v>-5.0175950324515828E-4</v>
      </c>
      <c r="GS10" s="62" t="str">
        <f>IFERROR(Inv_SY_B!GS10/Inv_SY_B!$IS10-1,"")</f>
        <v/>
      </c>
      <c r="GT10" s="62" t="str">
        <f>IFERROR(Inv_SY_B!GT10/Inv_SY_B!$IS10-1,"")</f>
        <v/>
      </c>
      <c r="GU10" s="62">
        <f>IFERROR(Inv_SY_B!GU10/Inv_SY_B!$IS10-1,"")</f>
        <v>-1</v>
      </c>
      <c r="GV10" s="62">
        <f>IFERROR(Inv_SY_B!GV10/Inv_SY_B!$IS10-1,"")</f>
        <v>-5.4817665550445094E-3</v>
      </c>
      <c r="GW10" s="62">
        <f>IFERROR(Inv_SY_B!GW10/Inv_SY_B!$IS10-1,"")</f>
        <v>-1.5328824682270814E-2</v>
      </c>
      <c r="GX10" s="62" t="str">
        <f>IFERROR(Inv_SY_B!GX10/Inv_SY_B!$IS10-1,"")</f>
        <v/>
      </c>
      <c r="GY10" s="62">
        <f>IFERROR(Inv_SY_B!GY10/Inv_SY_B!$IS10-1,"")</f>
        <v>-1.7941839742822152E-2</v>
      </c>
      <c r="GZ10" s="62">
        <f>IFERROR(Inv_SY_B!GZ10/Inv_SY_B!$IS10-1,"")</f>
        <v>1.0749847506766663E-2</v>
      </c>
      <c r="HA10" s="62">
        <f>IFERROR(Inv_SY_B!HA10/Inv_SY_B!$IS10-1,"")</f>
        <v>-4.9666829199166429E-3</v>
      </c>
      <c r="HB10" s="62">
        <f>IFERROR(Inv_SY_B!HB10/Inv_SY_B!$IS10-1,"")</f>
        <v>-1.7401104482134278E-3</v>
      </c>
      <c r="HC10" s="62">
        <f>IFERROR(Inv_SY_B!HC10/Inv_SY_B!$IS10-1,"")</f>
        <v>-0.10717617218483733</v>
      </c>
      <c r="HD10" s="62">
        <f>IFERROR(Inv_SY_B!HD10/Inv_SY_B!$IS10-1,"")</f>
        <v>2.1262228785541737E-2</v>
      </c>
      <c r="HE10" s="62">
        <f>IFERROR(Inv_SY_B!HE10/Inv_SY_B!$IS10-1,"")</f>
        <v>5.753864324774538E-3</v>
      </c>
      <c r="HF10" s="62">
        <f>IFERROR(Inv_SY_B!HF10/Inv_SY_B!$IS10-1,"")</f>
        <v>1.3872336995511825E-2</v>
      </c>
      <c r="HG10" s="62">
        <f>IFERROR(Inv_SY_B!HG10/Inv_SY_B!$IS10-1,"")</f>
        <v>-1.4542317352068013E-2</v>
      </c>
      <c r="HH10" s="62">
        <f>IFERROR(Inv_SY_B!HH10/Inv_SY_B!$IS10-1,"")</f>
        <v>-4.1340190562513257E-3</v>
      </c>
      <c r="HI10" s="62">
        <f>IFERROR(Inv_SY_B!HI10/Inv_SY_B!$IS10-1,"")</f>
        <v>-1.2981072607695543E-2</v>
      </c>
      <c r="HJ10" s="62">
        <f>IFERROR(Inv_SY_B!HJ10/Inv_SY_B!$IS10-1,"")</f>
        <v>-1.225249172698839E-2</v>
      </c>
      <c r="HK10" s="62">
        <f>IFERROR(Inv_SY_B!HK10/Inv_SY_B!$IS10-1,"")</f>
        <v>-1.6994049839527126E-2</v>
      </c>
      <c r="HL10" s="62">
        <f>IFERROR(Inv_SY_B!HL10/Inv_SY_B!$IS10-1,"")</f>
        <v>5.7483106854983923E-2</v>
      </c>
      <c r="HM10" s="62">
        <f>IFERROR(Inv_SY_B!HM10/Inv_SY_B!$IS10-1,"")</f>
        <v>5.9087467031168517E-2</v>
      </c>
      <c r="HN10" s="62">
        <f>IFERROR(Inv_SY_B!HN10/Inv_SY_B!$IS10-1,"")</f>
        <v>4.6642255902717533E-2</v>
      </c>
      <c r="HO10" s="62">
        <f>IFERROR(Inv_SY_B!HO10/Inv_SY_B!$IS10-1,"")</f>
        <v>4.6849676088191794E-2</v>
      </c>
      <c r="HP10" s="62">
        <f>IFERROR(Inv_SY_B!HP10/Inv_SY_B!$IS10-1,"")</f>
        <v>2.7974439210041391E-2</v>
      </c>
      <c r="HQ10" s="62">
        <f>IFERROR(Inv_SY_B!HQ10/Inv_SY_B!$IS10-1,"")</f>
        <v>-8.5637787955992195E-3</v>
      </c>
      <c r="HR10" s="62">
        <f>IFERROR(Inv_SY_B!HR10/Inv_SY_B!$IS10-1,"")</f>
        <v>-1.5407968316253906E-2</v>
      </c>
      <c r="HS10" s="62">
        <f>IFERROR(Inv_SY_B!HS10/Inv_SY_B!$IS10-1,"")</f>
        <v>5.5914948713600143E-3</v>
      </c>
      <c r="HT10" s="62">
        <f>IFERROR(Inv_SY_B!HT10/Inv_SY_B!$IS10-1,"")</f>
        <v>-3.208836985511887E-3</v>
      </c>
      <c r="HU10" s="62">
        <f>IFERROR(Inv_SY_B!HU10/Inv_SY_B!$IS10-1,"")</f>
        <v>-2.5302896513281659E-2</v>
      </c>
      <c r="HV10" s="62">
        <f>IFERROR(Inv_SY_B!HV10/Inv_SY_B!$IS10-1,"")</f>
        <v>-2.4246053917091004E-2</v>
      </c>
      <c r="HW10" s="62">
        <f>IFERROR(Inv_SY_B!HW10/Inv_SY_B!$IS10-1,"")</f>
        <v>2.0679364080975926E-2</v>
      </c>
      <c r="HX10" s="62">
        <f>IFERROR(Inv_SY_B!HX10/Inv_SY_B!$IS10-1,"")</f>
        <v>-6.0875765825431083E-3</v>
      </c>
      <c r="HY10" s="62">
        <f>IFERROR(Inv_SY_B!HY10/Inv_SY_B!$IS10-1,"")</f>
        <v>-1.1720512036313191E-2</v>
      </c>
      <c r="HZ10" s="62">
        <f>IFERROR(Inv_SY_B!HZ10/Inv_SY_B!$IS10-1,"")</f>
        <v>-2.5612095359945908E-3</v>
      </c>
      <c r="IA10" s="62">
        <f>IFERROR(Inv_SY_B!IA10/Inv_SY_B!$IS10-1,"")</f>
        <v>5.2608652073597995E-3</v>
      </c>
      <c r="IB10" s="62">
        <f>IFERROR(Inv_SY_B!IB10/Inv_SY_B!$IS10-1,"")</f>
        <v>1.4761773395336242E-2</v>
      </c>
      <c r="IC10" s="62">
        <f>IFERROR(Inv_SY_B!IC10/Inv_SY_B!$IS10-1,"")</f>
        <v>-1.8599370128353443E-2</v>
      </c>
      <c r="ID10" s="62">
        <f>IFERROR(Inv_SY_B!ID10/Inv_SY_B!$IS10-1,"")</f>
        <v>-1.3776939457183723E-2</v>
      </c>
      <c r="IE10" s="62">
        <f>IFERROR(Inv_SY_B!IE10/Inv_SY_B!$IS10-1,"")</f>
        <v>-1.3140666514898092E-2</v>
      </c>
      <c r="IF10" s="62" t="str">
        <f>IFERROR(Inv_SY_B!IF10/Inv_SY_B!$IS10-1,"")</f>
        <v/>
      </c>
      <c r="IG10" s="62">
        <f>IFERROR(Inv_SY_B!IG10/Inv_SY_B!$IS10-1,"")</f>
        <v>5.7960951741364175E-2</v>
      </c>
      <c r="IH10" s="62">
        <f>IFERROR(Inv_SY_B!IH10/Inv_SY_B!$IS10-1,"")</f>
        <v>-1.1711956277351887E-2</v>
      </c>
      <c r="II10" s="62">
        <f>IFERROR(Inv_SY_B!II10/Inv_SY_B!$IS10-1,"")</f>
        <v>2.3812649814585196E-3</v>
      </c>
      <c r="IJ10" s="62">
        <f>IFERROR(Inv_SY_B!IJ10/Inv_SY_B!$IS10-1,"")</f>
        <v>-2.8955999845045044E-2</v>
      </c>
      <c r="IK10" s="62">
        <f>IFERROR(Inv_SY_B!IK10/Inv_SY_B!$IS10-1,"")</f>
        <v>-1.5360424155179686E-2</v>
      </c>
      <c r="IL10" s="62" t="str">
        <f>IFERROR(Inv_SY_B!IL10/Inv_SY_B!$IS10-1,"")</f>
        <v/>
      </c>
      <c r="IM10" s="62" t="str">
        <f>IFERROR(Inv_SY_B!IM10/Inv_SY_B!$IS10-1,"")</f>
        <v/>
      </c>
      <c r="IN10" s="62">
        <f>IFERROR(Inv_SY_B!IN10/Inv_SY_B!$IS10-1,"")</f>
        <v>4.655928782852814E-2</v>
      </c>
      <c r="IO10" s="62">
        <f>IFERROR(Inv_SY_B!IO10/Inv_SY_B!$IS10-1,"")</f>
        <v>4.1041910894914935E-2</v>
      </c>
      <c r="IP10" s="62">
        <f>IFERROR(Inv_SY_B!IP10/Inv_SY_B!$IS10-1,"")</f>
        <v>0.18091562059241806</v>
      </c>
      <c r="IQ10" s="62">
        <f>IFERROR(Inv_SY_B!IQ10/Inv_SY_B!$IS10-1,"")</f>
        <v>-2.0002913383395327E-2</v>
      </c>
      <c r="IR10" s="62">
        <f>IFERROR(Inv_SY_B!IR10/Inv_SY_B!$IS10-1,"")</f>
        <v>3.5334273550005069E-3</v>
      </c>
    </row>
    <row r="11" spans="2:253" x14ac:dyDescent="0.25">
      <c r="B11" s="85">
        <f t="shared" si="0"/>
        <v>45837</v>
      </c>
      <c r="C11" s="62">
        <f>IFERROR(Inv_SY_B!C11/Inv_SY_B!$IS11-1,"")</f>
        <v>-5.0875554420343194E-3</v>
      </c>
      <c r="D11" s="62">
        <f>IFERROR(Inv_SY_B!D11/Inv_SY_B!$IS11-1,"")</f>
        <v>1.5617084696631034E-2</v>
      </c>
      <c r="E11" s="62">
        <f>IFERROR(Inv_SY_B!E11/Inv_SY_B!$IS11-1,"")</f>
        <v>1.7614900850361881E-2</v>
      </c>
      <c r="F11" s="62">
        <f>IFERROR(Inv_SY_B!F11/Inv_SY_B!$IS11-1,"")</f>
        <v>1.4073317668748198E-2</v>
      </c>
      <c r="G11" s="62">
        <f>IFERROR(Inv_SY_B!G11/Inv_SY_B!$IS11-1,"")</f>
        <v>1.1258213088490843E-2</v>
      </c>
      <c r="H11" s="62">
        <f>IFERROR(Inv_SY_B!H11/Inv_SY_B!$IS11-1,"")</f>
        <v>1.1712262214338853E-2</v>
      </c>
      <c r="I11" s="62">
        <f>IFERROR(Inv_SY_B!I11/Inv_SY_B!$IS11-1,"")</f>
        <v>1.643437312315732E-2</v>
      </c>
      <c r="J11" s="62">
        <f>IFERROR(Inv_SY_B!J11/Inv_SY_B!$IS11-1,"")</f>
        <v>1.9975956304771003E-2</v>
      </c>
      <c r="K11" s="62">
        <f>IFERROR(Inv_SY_B!K11/Inv_SY_B!$IS11-1,"")</f>
        <v>1.0909503359839867E-2</v>
      </c>
      <c r="L11" s="62">
        <f>IFERROR(Inv_SY_B!L11/Inv_SY_B!$IS11-1,"")</f>
        <v>1.5442729832305435E-2</v>
      </c>
      <c r="M11" s="62">
        <f>IFERROR(Inv_SY_B!M11/Inv_SY_B!$IS11-1,"")</f>
        <v>1.0531734487134292E-2</v>
      </c>
      <c r="N11" s="62">
        <f>IFERROR(Inv_SY_B!N11/Inv_SY_B!$IS11-1,"")</f>
        <v>-8.5928146935803085E-3</v>
      </c>
      <c r="O11" s="62">
        <f>IFERROR(Inv_SY_B!O11/Inv_SY_B!$IS11-1,"")</f>
        <v>-9.537236875343913E-3</v>
      </c>
      <c r="P11" s="62">
        <f>IFERROR(Inv_SY_B!P11/Inv_SY_B!$IS11-1,"")</f>
        <v>3.9293682749937275E-2</v>
      </c>
      <c r="Q11" s="62">
        <f>IFERROR(Inv_SY_B!Q11/Inv_SY_B!$IS11-1,"")</f>
        <v>1.4073317668748198E-2</v>
      </c>
      <c r="R11" s="62">
        <f>IFERROR(Inv_SY_B!R11/Inv_SY_B!$IS11-1,"")</f>
        <v>4.8652013965522212E-3</v>
      </c>
      <c r="S11" s="62">
        <f>IFERROR(Inv_SY_B!S11/Inv_SY_B!$IS11-1,"")</f>
        <v>5.8096235783158257E-3</v>
      </c>
      <c r="T11" s="62">
        <f>IFERROR(Inv_SY_B!T11/Inv_SY_B!$IS11-1,"")</f>
        <v>4.6290958511112645E-3</v>
      </c>
      <c r="U11" s="62">
        <f>IFERROR(Inv_SY_B!U11/Inv_SY_B!$IS11-1,"")</f>
        <v>7.9890593823859213E-3</v>
      </c>
      <c r="V11" s="62">
        <f>IFERROR(Inv_SY_B!V11/Inv_SY_B!$IS11-1,"")</f>
        <v>1.1258213088490843E-2</v>
      </c>
      <c r="W11" s="62">
        <f>IFERROR(Inv_SY_B!W11/Inv_SY_B!$IS11-1,"")</f>
        <v>2.2680403967021423E-3</v>
      </c>
      <c r="X11" s="62">
        <f>IFERROR(Inv_SY_B!X11/Inv_SY_B!$IS11-1,"")</f>
        <v>1.7614900850361881E-2</v>
      </c>
      <c r="Y11" s="62">
        <f>IFERROR(Inv_SY_B!Y11/Inv_SY_B!$IS11-1,"")</f>
        <v>-1.0536144952209225E-2</v>
      </c>
      <c r="Z11" s="62">
        <f>IFERROR(Inv_SY_B!Z11/Inv_SY_B!$IS11-1,"")</f>
        <v>1.6827882365558766E-2</v>
      </c>
      <c r="AA11" s="62">
        <f>IFERROR(Inv_SY_B!AA11/Inv_SY_B!$IS11-1,"")</f>
        <v>-1.8164170266454338E-2</v>
      </c>
      <c r="AB11" s="62">
        <f>IFERROR(Inv_SY_B!AB11/Inv_SY_B!$IS11-1,"")</f>
        <v>1.234793099052589E-2</v>
      </c>
      <c r="AC11" s="62">
        <f>IFERROR(Inv_SY_B!AC11/Inv_SY_B!$IS11-1,"")</f>
        <v>-1.7074452364419401E-2</v>
      </c>
      <c r="AD11" s="62">
        <f>IFERROR(Inv_SY_B!AD11/Inv_SY_B!$IS11-1,"")</f>
        <v>5.2849445884473045E-3</v>
      </c>
      <c r="AE11" s="62">
        <f>IFERROR(Inv_SY_B!AE11/Inv_SY_B!$IS11-1,"")</f>
        <v>1.3679808426346529E-2</v>
      </c>
      <c r="AF11" s="62">
        <f>IFERROR(Inv_SY_B!AF11/Inv_SY_B!$IS11-1,"")</f>
        <v>-9.1961955319290745E-3</v>
      </c>
      <c r="AG11" s="62">
        <f>IFERROR(Inv_SY_B!AG11/Inv_SY_B!$IS11-1,"")</f>
        <v>-1.0112032899772805E-3</v>
      </c>
      <c r="AH11" s="62">
        <f>IFERROR(Inv_SY_B!AH11/Inv_SY_B!$IS11-1,"")</f>
        <v>-3.7528860984839429E-2</v>
      </c>
      <c r="AI11" s="62">
        <f>IFERROR(Inv_SY_B!AI11/Inv_SY_B!$IS11-1,"")</f>
        <v>-7.5631940484852667E-3</v>
      </c>
      <c r="AJ11" s="62">
        <f>IFERROR(Inv_SY_B!AJ11/Inv_SY_B!$IS11-1,"")</f>
        <v>1.0188038774595842E-2</v>
      </c>
      <c r="AK11" s="62">
        <f>IFERROR(Inv_SY_B!AK11/Inv_SY_B!$IS11-1,"")</f>
        <v>2.2680403967021423E-3</v>
      </c>
      <c r="AL11" s="62">
        <f>IFERROR(Inv_SY_B!AL11/Inv_SY_B!$IS11-1,"")</f>
        <v>1.024578531533904E-2</v>
      </c>
      <c r="AM11" s="62">
        <f>IFERROR(Inv_SY_B!AM11/Inv_SY_B!$IS11-1,"")</f>
        <v>1.0531734487134292E-2</v>
      </c>
      <c r="AN11" s="62">
        <f>IFERROR(Inv_SY_B!AN11/Inv_SY_B!$IS11-1,"")</f>
        <v>-2.1342514147389857E-2</v>
      </c>
      <c r="AO11" s="62">
        <f>IFERROR(Inv_SY_B!AO11/Inv_SY_B!$IS11-1,"")</f>
        <v>-3.6345982393207743E-3</v>
      </c>
      <c r="AP11" s="62">
        <f>IFERROR(Inv_SY_B!AP11/Inv_SY_B!$IS11-1,"")</f>
        <v>1.5253845395952537E-2</v>
      </c>
      <c r="AQ11" s="62">
        <f>IFERROR(Inv_SY_B!AQ11/Inv_SY_B!$IS11-1,"")</f>
        <v>-1.3078820056957596E-2</v>
      </c>
      <c r="AR11" s="62">
        <f>IFERROR(Inv_SY_B!AR11/Inv_SY_B!$IS11-1,"")</f>
        <v>-1.5321822738646351E-2</v>
      </c>
      <c r="AS11" s="62">
        <f>IFERROR(Inv_SY_B!AS11/Inv_SY_B!$IS11-1,"")</f>
        <v>-1.2735427849116521E-3</v>
      </c>
      <c r="AT11" s="62">
        <f>IFERROR(Inv_SY_B!AT11/Inv_SY_B!$IS11-1,"")</f>
        <v>-3.2911685873994845E-2</v>
      </c>
      <c r="AU11" s="62">
        <f>IFERROR(Inv_SY_B!AU11/Inv_SY_B!$IS11-1,"")</f>
        <v>6.9901513055203868E-3</v>
      </c>
      <c r="AV11" s="62">
        <f>IFERROR(Inv_SY_B!AV11/Inv_SY_B!$IS11-1,"")</f>
        <v>1.0531734487134292E-2</v>
      </c>
      <c r="AW11" s="62">
        <f>IFERROR(Inv_SY_B!AW11/Inv_SY_B!$IS11-1,"")</f>
        <v>-1.8164170266454338E-2</v>
      </c>
      <c r="AX11" s="62">
        <f>IFERROR(Inv_SY_B!AX11/Inv_SY_B!$IS11-1,"")</f>
        <v>-1.2735427849116521E-3</v>
      </c>
      <c r="AY11" s="62">
        <f>IFERROR(Inv_SY_B!AY11/Inv_SY_B!$IS11-1,"")</f>
        <v>-4.2356282132438583E-4</v>
      </c>
      <c r="AZ11" s="62">
        <f>IFERROR(Inv_SY_B!AZ11/Inv_SY_B!$IS11-1,"")</f>
        <v>-2.3996340478145806E-2</v>
      </c>
      <c r="BA11" s="62">
        <f>IFERROR(Inv_SY_B!BA11/Inv_SY_B!$IS11-1,"")</f>
        <v>3.4485681239067034E-3</v>
      </c>
      <c r="BB11" s="62">
        <f>IFERROR(Inv_SY_B!BB11/Inv_SY_B!$IS11-1,"")</f>
        <v>8.1706790327249479E-3</v>
      </c>
      <c r="BC11" s="62">
        <f>IFERROR(Inv_SY_B!BC11/Inv_SY_B!$IS11-1,"")</f>
        <v>2.1025314284508489E-2</v>
      </c>
      <c r="BD11" s="62">
        <f>IFERROR(Inv_SY_B!BD11/Inv_SY_B!$IS11-1,"")</f>
        <v>8.4330185276595415E-3</v>
      </c>
      <c r="BE11" s="62">
        <f>IFERROR(Inv_SY_B!BE11/Inv_SY_B!$IS11-1,"")</f>
        <v>-3.2350350085746937E-3</v>
      </c>
      <c r="BF11" s="62">
        <f>IFERROR(Inv_SY_B!BF11/Inv_SY_B!$IS11-1,"")</f>
        <v>1.6121916593661023E-3</v>
      </c>
      <c r="BG11" s="62">
        <f>IFERROR(Inv_SY_B!BG11/Inv_SY_B!$IS11-1,"")</f>
        <v>8.6428901236070832E-3</v>
      </c>
      <c r="BH11" s="62">
        <f>IFERROR(Inv_SY_B!BH11/Inv_SY_B!$IS11-1,"")</f>
        <v>-4.4717337586841488E-4</v>
      </c>
      <c r="BI11" s="62">
        <f>IFERROR(Inv_SY_B!BI11/Inv_SY_B!$IS11-1,"")</f>
        <v>7.3836605479220552E-3</v>
      </c>
      <c r="BJ11" s="62">
        <f>IFERROR(Inv_SY_B!BJ11/Inv_SY_B!$IS11-1,"")</f>
        <v>-2.0529261713093439E-2</v>
      </c>
      <c r="BK11" s="62">
        <f>IFERROR(Inv_SY_B!BK11/Inv_SY_B!$IS11-1,"")</f>
        <v>1.0531734487134292E-2</v>
      </c>
      <c r="BL11" s="62">
        <f>IFERROR(Inv_SY_B!BL11/Inv_SY_B!$IS11-1,"")</f>
        <v>2.5009293660239518E-2</v>
      </c>
      <c r="BM11" s="62">
        <f>IFERROR(Inv_SY_B!BM11/Inv_SY_B!$IS11-1,"")</f>
        <v>2.1156484031975786E-2</v>
      </c>
      <c r="BN11" s="62">
        <f>IFERROR(Inv_SY_B!BN11/Inv_SY_B!$IS11-1,"")</f>
        <v>3.8153862875394795E-2</v>
      </c>
      <c r="BO11" s="62">
        <f>IFERROR(Inv_SY_B!BO11/Inv_SY_B!$IS11-1,"")</f>
        <v>5.8096235783158257E-3</v>
      </c>
      <c r="BP11" s="62">
        <f>IFERROR(Inv_SY_B!BP11/Inv_SY_B!$IS11-1,"")</f>
        <v>1.4507519701758564E-3</v>
      </c>
      <c r="BQ11" s="62">
        <f>IFERROR(Inv_SY_B!BQ11/Inv_SY_B!$IS11-1,"")</f>
        <v>1.1258213088490843E-2</v>
      </c>
      <c r="BR11" s="62">
        <f>IFERROR(Inv_SY_B!BR11/Inv_SY_B!$IS11-1,"")</f>
        <v>-2.5792195580699451E-2</v>
      </c>
      <c r="BS11" s="62">
        <f>IFERROR(Inv_SY_B!BS11/Inv_SY_B!$IS11-1,"")</f>
        <v>-2.4540705121163242E-3</v>
      </c>
      <c r="BT11" s="62">
        <f>IFERROR(Inv_SY_B!BT11/Inv_SY_B!$IS11-1,"")</f>
        <v>1.0875126694975812E-3</v>
      </c>
      <c r="BU11" s="62">
        <f>IFERROR(Inv_SY_B!BU11/Inv_SY_B!$IS11-1,"")</f>
        <v>5.8096235783158257E-3</v>
      </c>
      <c r="BV11" s="62">
        <f>IFERROR(Inv_SY_B!BV11/Inv_SY_B!$IS11-1,"")</f>
        <v>-1.0717764602548474E-2</v>
      </c>
      <c r="BW11" s="62">
        <f>IFERROR(Inv_SY_B!BW11/Inv_SY_B!$IS11-1,"")</f>
        <v>-9.537236875343913E-3</v>
      </c>
      <c r="BX11" s="62">
        <f>IFERROR(Inv_SY_B!BX11/Inv_SY_B!$IS11-1,"")</f>
        <v>-9.3015057707090953E-5</v>
      </c>
      <c r="BY11" s="62">
        <f>IFERROR(Inv_SY_B!BY11/Inv_SY_B!$IS11-1,"")</f>
        <v>1.2630450446609043E-2</v>
      </c>
      <c r="BZ11" s="62">
        <f>IFERROR(Inv_SY_B!BZ11/Inv_SY_B!$IS11-1,"")</f>
        <v>3.815468976009484E-5</v>
      </c>
      <c r="CA11" s="62">
        <f>IFERROR(Inv_SY_B!CA11/Inv_SY_B!$IS11-1,"")</f>
        <v>1.4729166406084016E-2</v>
      </c>
      <c r="CB11" s="62">
        <f>IFERROR(Inv_SY_B!CB11/Inv_SY_B!$IS11-1,"")</f>
        <v>2.2680403967021423E-3</v>
      </c>
      <c r="CC11" s="62">
        <f>IFERROR(Inv_SY_B!CC11/Inv_SY_B!$IS11-1,"")</f>
        <v>-2.4540705121163242E-3</v>
      </c>
      <c r="CD11" s="62">
        <f>IFERROR(Inv_SY_B!CD11/Inv_SY_B!$IS11-1,"")</f>
        <v>1.3437648892560938E-2</v>
      </c>
      <c r="CE11" s="62">
        <f>IFERROR(Inv_SY_B!CE11/Inv_SY_B!$IS11-1,"")</f>
        <v>8.1706790327249479E-3</v>
      </c>
      <c r="CF11" s="62">
        <f>IFERROR(Inv_SY_B!CF11/Inv_SY_B!$IS11-1,"")</f>
        <v>1.5253845395952537E-2</v>
      </c>
      <c r="CG11" s="62">
        <f>IFERROR(Inv_SY_B!CG11/Inv_SY_B!$IS11-1,"")</f>
        <v>-1.2735427849116521E-3</v>
      </c>
      <c r="CH11" s="62">
        <f>IFERROR(Inv_SY_B!CH11/Inv_SY_B!$IS11-1,"")</f>
        <v>5.8096235783158257E-3</v>
      </c>
      <c r="CI11" s="62">
        <f>IFERROR(Inv_SY_B!CI11/Inv_SY_B!$IS11-1,"")</f>
        <v>-1.0717764602548474E-2</v>
      </c>
      <c r="CJ11" s="62">
        <f>IFERROR(Inv_SY_B!CJ11/Inv_SY_B!$IS11-1,"")</f>
        <v>1.0875126694975812E-3</v>
      </c>
      <c r="CK11" s="62">
        <f>IFERROR(Inv_SY_B!CK11/Inv_SY_B!$IS11-1,"")</f>
        <v>-8.3567091481392408E-3</v>
      </c>
      <c r="CL11" s="62">
        <f>IFERROR(Inv_SY_B!CL11/Inv_SY_B!$IS11-1,"")</f>
        <v>-4.8151259665254464E-3</v>
      </c>
      <c r="CM11" s="62">
        <f>IFERROR(Inv_SY_B!CM11/Inv_SY_B!$IS11-1,"")</f>
        <v>-8.5928146935803085E-3</v>
      </c>
      <c r="CN11" s="62">
        <f>IFERROR(Inv_SY_B!CN11/Inv_SY_B!$IS11-1,"")</f>
        <v>-1.5203769965925873E-2</v>
      </c>
      <c r="CO11" s="62">
        <f>IFERROR(Inv_SY_B!CO11/Inv_SY_B!$IS11-1,"")</f>
        <v>-3.5968213520501946E-3</v>
      </c>
      <c r="CP11" s="62">
        <f>IFERROR(Inv_SY_B!CP11/Inv_SY_B!$IS11-1,"")</f>
        <v>-1.8164170266454338E-2</v>
      </c>
      <c r="CQ11" s="62">
        <f>IFERROR(Inv_SY_B!CQ11/Inv_SY_B!$IS11-1,"")</f>
        <v>1.2892789941543414E-2</v>
      </c>
      <c r="CR11" s="62">
        <f>IFERROR(Inv_SY_B!CR11/Inv_SY_B!$IS11-1,"")</f>
        <v>-1.8745353147539667E-2</v>
      </c>
      <c r="CS11" s="62">
        <f>IFERROR(Inv_SY_B!CS11/Inv_SY_B!$IS11-1,"")</f>
        <v>-5.2086352089270038E-3</v>
      </c>
      <c r="CT11" s="62">
        <f>IFERROR(Inv_SY_B!CT11/Inv_SY_B!$IS11-1,"")</f>
        <v>-3.6345982393207743E-3</v>
      </c>
      <c r="CU11" s="62">
        <f>IFERROR(Inv_SY_B!CU11/Inv_SY_B!$IS11-1,"")</f>
        <v>-1</v>
      </c>
      <c r="CV11" s="62">
        <f>IFERROR(Inv_SY_B!CV11/Inv_SY_B!$IS11-1,"")</f>
        <v>-9.3015057707090953E-5</v>
      </c>
      <c r="CW11" s="62">
        <f>IFERROR(Inv_SY_B!CW11/Inv_SY_B!$IS11-1,"")</f>
        <v>5.8096235783158257E-3</v>
      </c>
      <c r="CX11" s="62">
        <f>IFERROR(Inv_SY_B!CX11/Inv_SY_B!$IS11-1,"")</f>
        <v>-9.537236875343913E-3</v>
      </c>
      <c r="CY11" s="62">
        <f>IFERROR(Inv_SY_B!CY11/Inv_SY_B!$IS11-1,"")</f>
        <v>-1.6620403238571502E-2</v>
      </c>
      <c r="CZ11" s="62">
        <f>IFERROR(Inv_SY_B!CZ11/Inv_SY_B!$IS11-1,"")</f>
        <v>9.351206759929731E-3</v>
      </c>
      <c r="DA11" s="62">
        <f>IFERROR(Inv_SY_B!DA11/Inv_SY_B!$IS11-1,"")</f>
        <v>-1.3078820056957596E-2</v>
      </c>
      <c r="DB11" s="62">
        <f>IFERROR(Inv_SY_B!DB11/Inv_SY_B!$IS11-1,"")</f>
        <v>5.8096235783158257E-3</v>
      </c>
      <c r="DC11" s="62">
        <f>IFERROR(Inv_SY_B!DC11/Inv_SY_B!$IS11-1,"")</f>
        <v>1.2630450446609043E-2</v>
      </c>
      <c r="DD11" s="62">
        <f>IFERROR(Inv_SY_B!DD11/Inv_SY_B!$IS11-1,"")</f>
        <v>-7.1761814209346797E-3</v>
      </c>
      <c r="DE11" s="62">
        <f>IFERROR(Inv_SY_B!DE11/Inv_SY_B!$IS11-1,"")</f>
        <v>3.1518894081882687E-2</v>
      </c>
      <c r="DF11" s="62">
        <f>IFERROR(Inv_SY_B!DF11/Inv_SY_B!$IS11-1,"")</f>
        <v>4.551289239448808E-3</v>
      </c>
      <c r="DG11" s="62">
        <f>IFERROR(Inv_SY_B!DG11/Inv_SY_B!$IS11-1,"")</f>
        <v>-4.8151259665254464E-3</v>
      </c>
      <c r="DH11" s="62">
        <f>IFERROR(Inv_SY_B!DH11/Inv_SY_B!$IS11-1,"")</f>
        <v>4.2355866087095961E-3</v>
      </c>
      <c r="DI11" s="62">
        <f>IFERROR(Inv_SY_B!DI11/Inv_SY_B!$IS11-1,"")</f>
        <v>3.6301877742459521E-3</v>
      </c>
      <c r="DJ11" s="62">
        <f>IFERROR(Inv_SY_B!DJ11/Inv_SY_B!$IS11-1,"")</f>
        <v>3.6301877742459521E-3</v>
      </c>
      <c r="DK11" s="62">
        <f>IFERROR(Inv_SY_B!DK11/Inv_SY_B!$IS11-1,"")</f>
        <v>-1.9584839531329612E-2</v>
      </c>
      <c r="DL11" s="62">
        <f>IFERROR(Inv_SY_B!DL11/Inv_SY_B!$IS11-1,"")</f>
        <v>-2.65106021975966E-2</v>
      </c>
      <c r="DM11" s="62">
        <f>IFERROR(Inv_SY_B!DM11/Inv_SY_B!$IS11-1,"")</f>
        <v>1.5253845395952537E-2</v>
      </c>
      <c r="DN11" s="62">
        <f>IFERROR(Inv_SY_B!DN11/Inv_SY_B!$IS11-1,"")</f>
        <v>-1.2134397875193992E-2</v>
      </c>
      <c r="DO11" s="62">
        <f>IFERROR(Inv_SY_B!DO11/Inv_SY_B!$IS11-1,"")</f>
        <v>-3.2522794571414604E-3</v>
      </c>
      <c r="DP11" s="62">
        <f>IFERROR(Inv_SY_B!DP11/Inv_SY_B!$IS11-1,"")</f>
        <v>-2.3047720864463161E-2</v>
      </c>
      <c r="DQ11" s="62">
        <f>IFERROR(Inv_SY_B!DQ11/Inv_SY_B!$IS11-1,"")</f>
        <v>-2.0605612697146558E-3</v>
      </c>
      <c r="DR11" s="62">
        <f>IFERROR(Inv_SY_B!DR11/Inv_SY_B!$IS11-1,"")</f>
        <v>6.9901513055203868E-3</v>
      </c>
      <c r="DS11" s="62">
        <f>IFERROR(Inv_SY_B!DS11/Inv_SY_B!$IS11-1,"")</f>
        <v>-1.4613506102323481E-2</v>
      </c>
      <c r="DT11" s="62">
        <f>IFERROR(Inv_SY_B!DT11/Inv_SY_B!$IS11-1,"")</f>
        <v>-5.6627176216060504E-2</v>
      </c>
      <c r="DU11" s="62">
        <f>IFERROR(Inv_SY_B!DU11/Inv_SY_B!$IS11-1,"")</f>
        <v>-7.3416903891859286E-2</v>
      </c>
      <c r="DV11" s="62">
        <f>IFERROR(Inv_SY_B!DV11/Inv_SY_B!$IS11-1,"")</f>
        <v>8.1706790327249479E-3</v>
      </c>
      <c r="DW11" s="62">
        <f>IFERROR(Inv_SY_B!DW11/Inv_SY_B!$IS11-1,"")</f>
        <v>-2.1578619692830814E-2</v>
      </c>
      <c r="DX11" s="62">
        <f>IFERROR(Inv_SY_B!DX11/Inv_SY_B!$IS11-1,"")</f>
        <v>5.2849445884473045E-3</v>
      </c>
      <c r="DY11" s="62">
        <f>IFERROR(Inv_SY_B!DY11/Inv_SY_B!$IS11-1,"")</f>
        <v>-1.7446772647614628E-2</v>
      </c>
      <c r="DZ11" s="62">
        <f>IFERROR(Inv_SY_B!DZ11/Inv_SY_B!$IS11-1,"")</f>
        <v>-8.7108674663005647E-3</v>
      </c>
      <c r="EA11" s="62">
        <f>IFERROR(Inv_SY_B!EA11/Inv_SY_B!$IS11-1,"")</f>
        <v>-2.1473683894857043E-2</v>
      </c>
      <c r="EB11" s="62">
        <f>IFERROR(Inv_SY_B!EB11/Inv_SY_B!$IS11-1,"")</f>
        <v>2.8714212350511303E-3</v>
      </c>
      <c r="EC11" s="62">
        <f>IFERROR(Inv_SY_B!EC11/Inv_SY_B!$IS11-1,"")</f>
        <v>-1.6311649832994823E-2</v>
      </c>
      <c r="ED11" s="62">
        <f>IFERROR(Inv_SY_B!ED11/Inv_SY_B!$IS11-1,"")</f>
        <v>-1.1645709947081251E-3</v>
      </c>
      <c r="EE11" s="62">
        <f>IFERROR(Inv_SY_B!EE11/Inv_SY_B!$IS11-1,"")</f>
        <v>5.3737364175019398E-3</v>
      </c>
      <c r="EF11" s="62">
        <f>IFERROR(Inv_SY_B!EF11/Inv_SY_B!$IS11-1,"")</f>
        <v>-1.3508102866850225E-2</v>
      </c>
      <c r="EG11" s="62">
        <f>IFERROR(Inv_SY_B!EG11/Inv_SY_B!$IS11-1,"")</f>
        <v>-9.2111470485986002E-3</v>
      </c>
      <c r="EH11" s="62">
        <f>IFERROR(Inv_SY_B!EH11/Inv_SY_B!$IS11-1,"")</f>
        <v>-7.7784156705821283E-3</v>
      </c>
      <c r="EI11" s="62">
        <f>IFERROR(Inv_SY_B!EI11/Inv_SY_B!$IS11-1,"")</f>
        <v>-1.6044173620677227E-2</v>
      </c>
      <c r="EJ11" s="62">
        <f>IFERROR(Inv_SY_B!EJ11/Inv_SY_B!$IS11-1,"")</f>
        <v>-4.8027428085477553E-3</v>
      </c>
      <c r="EK11" s="62">
        <f>IFERROR(Inv_SY_B!EK11/Inv_SY_B!$IS11-1,"")</f>
        <v>-1.2889935620605031E-2</v>
      </c>
      <c r="EL11" s="62">
        <f>IFERROR(Inv_SY_B!EL11/Inv_SY_B!$IS11-1,"")</f>
        <v>1.643437312315732E-2</v>
      </c>
      <c r="EM11" s="62">
        <f>IFERROR(Inv_SY_B!EM11/Inv_SY_B!$IS11-1,"")</f>
        <v>1.5597237603792724E-3</v>
      </c>
      <c r="EN11" s="62">
        <f>IFERROR(Inv_SY_B!EN11/Inv_SY_B!$IS11-1,"")</f>
        <v>-1.3805298658314369E-2</v>
      </c>
      <c r="EO11" s="62">
        <f>IFERROR(Inv_SY_B!EO11/Inv_SY_B!$IS11-1,"")</f>
        <v>-1.2735427849116521E-3</v>
      </c>
      <c r="EP11" s="62">
        <f>IFERROR(Inv_SY_B!EP11/Inv_SY_B!$IS11-1,"")</f>
        <v>2.6623235507184706E-2</v>
      </c>
      <c r="EQ11" s="62">
        <f>IFERROR(Inv_SY_B!EQ11/Inv_SY_B!$IS11-1,"")</f>
        <v>-1.8863405920260146E-2</v>
      </c>
      <c r="ER11" s="62">
        <f>IFERROR(Inv_SY_B!ER11/Inv_SY_B!$IS11-1,"")</f>
        <v>8.5339183334034452E-3</v>
      </c>
      <c r="ES11" s="62">
        <f>IFERROR(Inv_SY_B!ES11/Inv_SY_B!$IS11-1,"")</f>
        <v>1.2055654422180595E-3</v>
      </c>
      <c r="ET11" s="62">
        <f>IFERROR(Inv_SY_B!ET11/Inv_SY_B!$IS11-1,"")</f>
        <v>1.482456258606013E-2</v>
      </c>
      <c r="EU11" s="62">
        <f>IFERROR(Inv_SY_B!EU11/Inv_SY_B!$IS11-1,"")</f>
        <v>3.6301877742459521E-3</v>
      </c>
      <c r="EV11" s="62">
        <f>IFERROR(Inv_SY_B!EV11/Inv_SY_B!$IS11-1,"")</f>
        <v>2.8911643101458218E-2</v>
      </c>
      <c r="EW11" s="62">
        <f>IFERROR(Inv_SY_B!EW11/Inv_SY_B!$IS11-1,"")</f>
        <v>1.7905492290904546E-2</v>
      </c>
      <c r="EX11" s="62">
        <f>IFERROR(Inv_SY_B!EX11/Inv_SY_B!$IS11-1,"")</f>
        <v>2.1156484031975786E-2</v>
      </c>
      <c r="EY11" s="62">
        <f>IFERROR(Inv_SY_B!EY11/Inv_SY_B!$IS11-1,"")</f>
        <v>-1.8506896737672252E-3</v>
      </c>
      <c r="EZ11" s="62">
        <f>IFERROR(Inv_SY_B!EZ11/Inv_SY_B!$IS11-1,"")</f>
        <v>-2.4540705121163242E-3</v>
      </c>
      <c r="FA11" s="62">
        <f>IFERROR(Inv_SY_B!FA11/Inv_SY_B!$IS11-1,"")</f>
        <v>6.1637818964772606E-3</v>
      </c>
      <c r="FB11" s="62">
        <f>IFERROR(Inv_SY_B!FB11/Inv_SY_B!$IS11-1,"")</f>
        <v>-7.4122869663756363E-3</v>
      </c>
      <c r="FC11" s="62">
        <f>IFERROR(Inv_SY_B!FC11/Inv_SY_B!$IS11-1,"")</f>
        <v>1.0531734487134292E-2</v>
      </c>
      <c r="FD11" s="62">
        <f>IFERROR(Inv_SY_B!FD11/Inv_SY_B!$IS11-1,"")</f>
        <v>2.847575594064411E-2</v>
      </c>
      <c r="FE11" s="62">
        <f>IFERROR(Inv_SY_B!FE11/Inv_SY_B!$IS11-1,"")</f>
        <v>1.2463507131650786E-2</v>
      </c>
      <c r="FF11" s="62">
        <f>IFERROR(Inv_SY_B!FF11/Inv_SY_B!$IS11-1,"")</f>
        <v>-1.1415349168623967E-2</v>
      </c>
      <c r="FG11" s="62">
        <f>IFERROR(Inv_SY_B!FG11/Inv_SY_B!$IS11-1,"")</f>
        <v>1.8506821093065007E-3</v>
      </c>
      <c r="FH11" s="62">
        <f>IFERROR(Inv_SY_B!FH11/Inv_SY_B!$IS11-1,"")</f>
        <v>-2.3354777318761233E-2</v>
      </c>
      <c r="FI11" s="62">
        <f>IFERROR(Inv_SY_B!FI11/Inv_SY_B!$IS11-1,"")</f>
        <v>-7.7008604108033119E-3</v>
      </c>
      <c r="FJ11" s="62">
        <f>IFERROR(Inv_SY_B!FJ11/Inv_SY_B!$IS11-1,"")</f>
        <v>-2.1497532939851127E-2</v>
      </c>
      <c r="FK11" s="62">
        <f>IFERROR(Inv_SY_B!FK11/Inv_SY_B!$IS11-1,"")</f>
        <v>1.0340942127182062E-2</v>
      </c>
      <c r="FL11" s="62">
        <f>IFERROR(Inv_SY_B!FL11/Inv_SY_B!$IS11-1,"")</f>
        <v>-3.9651460029380692E-3</v>
      </c>
      <c r="FM11" s="62">
        <f>IFERROR(Inv_SY_B!FM11/Inv_SY_B!$IS11-1,"")</f>
        <v>-1.3803234798651309E-2</v>
      </c>
      <c r="FN11" s="62">
        <f>IFERROR(Inv_SY_B!FN11/Inv_SY_B!$IS11-1,"")</f>
        <v>-4.9090877997946314E-2</v>
      </c>
      <c r="FO11" s="62">
        <f>IFERROR(Inv_SY_B!FO11/Inv_SY_B!$IS11-1,"")</f>
        <v>-2.5801723375222796E-3</v>
      </c>
      <c r="FP11" s="62">
        <f>IFERROR(Inv_SY_B!FP11/Inv_SY_B!$IS11-1,"")</f>
        <v>-2.4367240825892922E-2</v>
      </c>
      <c r="FQ11" s="62">
        <f>IFERROR(Inv_SY_B!FQ11/Inv_SY_B!$IS11-1,"")</f>
        <v>-9.6960715150041787E-3</v>
      </c>
      <c r="FR11" s="62">
        <f>IFERROR(Inv_SY_B!FR11/Inv_SY_B!$IS11-1,"")</f>
        <v>-7.5183198204190615E-3</v>
      </c>
      <c r="FS11" s="62">
        <f>IFERROR(Inv_SY_B!FS11/Inv_SY_B!$IS11-1,"")</f>
        <v>-3.4557304018656421E-3</v>
      </c>
      <c r="FT11" s="62">
        <f>IFERROR(Inv_SY_B!FT11/Inv_SY_B!$IS11-1,"")</f>
        <v>-6.0128216021184455E-2</v>
      </c>
      <c r="FU11" s="62">
        <f>IFERROR(Inv_SY_B!FU11/Inv_SY_B!$IS11-1,"")</f>
        <v>-1.3325657672645819E-2</v>
      </c>
      <c r="FV11" s="62">
        <f>IFERROR(Inv_SY_B!FV11/Inv_SY_B!$IS11-1,"")</f>
        <v>-4.2516922785413858E-3</v>
      </c>
      <c r="FW11" s="62">
        <f>IFERROR(Inv_SY_B!FW11/Inv_SY_B!$IS11-1,"")</f>
        <v>1.0075621501623333E-2</v>
      </c>
      <c r="FX11" s="62">
        <f>IFERROR(Inv_SY_B!FX11/Inv_SY_B!$IS11-1,"")</f>
        <v>-1.6191120428678873E-2</v>
      </c>
      <c r="FY11" s="62">
        <f>IFERROR(Inv_SY_B!FY11/Inv_SY_B!$IS11-1,"")</f>
        <v>-1.7252402930913346E-2</v>
      </c>
      <c r="FZ11" s="62">
        <f>IFERROR(Inv_SY_B!FZ11/Inv_SY_B!$IS11-1,"")</f>
        <v>8.8816786866097175E-3</v>
      </c>
      <c r="GA11" s="62">
        <f>IFERROR(Inv_SY_B!GA11/Inv_SY_B!$IS11-1,"")</f>
        <v>5.8876374735752357E-3</v>
      </c>
      <c r="GB11" s="62">
        <f>IFERROR(Inv_SY_B!GB11/Inv_SY_B!$IS11-1,"")</f>
        <v>-1.1945990419741204E-2</v>
      </c>
      <c r="GC11" s="62">
        <f>IFERROR(Inv_SY_B!GC11/Inv_SY_B!$IS11-1,"")</f>
        <v>-1.6191120428678873E-2</v>
      </c>
      <c r="GD11" s="62">
        <f>IFERROR(Inv_SY_B!GD11/Inv_SY_B!$IS11-1,"")</f>
        <v>-5.2659069569860328E-4</v>
      </c>
      <c r="GE11" s="62">
        <f>IFERROR(Inv_SY_B!GE11/Inv_SY_B!$IS11-1,"")</f>
        <v>-1.6154383726678434E-2</v>
      </c>
      <c r="GF11" s="62">
        <f>IFERROR(Inv_SY_B!GF11/Inv_SY_B!$IS11-1,"")</f>
        <v>1.0340942127182062E-2</v>
      </c>
      <c r="GG11" s="62">
        <f>IFERROR(Inv_SY_B!GG11/Inv_SY_B!$IS11-1,"")</f>
        <v>-1.4435387776291497E-3</v>
      </c>
      <c r="GH11" s="62">
        <f>IFERROR(Inv_SY_B!GH11/Inv_SY_B!$IS11-1,"")</f>
        <v>-7.7475568409016704E-3</v>
      </c>
      <c r="GI11" s="62">
        <f>IFERROR(Inv_SY_B!GI11/Inv_SY_B!$IS11-1,"")</f>
        <v>-9.4668344945214589E-3</v>
      </c>
      <c r="GJ11" s="62">
        <f>IFERROR(Inv_SY_B!GJ11/Inv_SY_B!$IS11-1,"")</f>
        <v>-5.9048438685604943E-3</v>
      </c>
      <c r="GK11" s="62">
        <f>IFERROR(Inv_SY_B!GK11/Inv_SY_B!$IS11-1,"")</f>
        <v>-1.9772948873720053E-2</v>
      </c>
      <c r="GL11" s="62">
        <f>IFERROR(Inv_SY_B!GL11/Inv_SY_B!$IS11-1,"")</f>
        <v>-4.0129037155386404E-3</v>
      </c>
      <c r="GM11" s="62">
        <f>IFERROR(Inv_SY_B!GM11/Inv_SY_B!$IS11-1,"")</f>
        <v>6.1356102120782019E-3</v>
      </c>
      <c r="GN11" s="62">
        <f>IFERROR(Inv_SY_B!GN11/Inv_SY_B!$IS11-1,"")</f>
        <v>-3.0577494635276592E-3</v>
      </c>
      <c r="GO11" s="62">
        <f>IFERROR(Inv_SY_B!GO11/Inv_SY_B!$IS11-1,"")</f>
        <v>-4.2516922785413858E-3</v>
      </c>
      <c r="GP11" s="62">
        <f>IFERROR(Inv_SY_B!GP11/Inv_SY_B!$IS11-1,"")</f>
        <v>-1.022140635361013E-2</v>
      </c>
      <c r="GQ11" s="62">
        <f>IFERROR(Inv_SY_B!GQ11/Inv_SY_B!$IS11-1,"")</f>
        <v>-1.2848080546640439E-2</v>
      </c>
      <c r="GR11" s="62">
        <f>IFERROR(Inv_SY_B!GR11/Inv_SY_B!$IS11-1,"")</f>
        <v>-1.7385063243692711E-2</v>
      </c>
      <c r="GS11" s="62" t="str">
        <f>IFERROR(Inv_SY_B!GS11/Inv_SY_B!$IS11-1,"")</f>
        <v/>
      </c>
      <c r="GT11" s="62" t="str">
        <f>IFERROR(Inv_SY_B!GT11/Inv_SY_B!$IS11-1,"")</f>
        <v/>
      </c>
      <c r="GU11" s="62">
        <f>IFERROR(Inv_SY_B!GU11/Inv_SY_B!$IS11-1,"")</f>
        <v>-1</v>
      </c>
      <c r="GV11" s="62">
        <f>IFERROR(Inv_SY_B!GV11/Inv_SY_B!$IS11-1,"")</f>
        <v>-4.8030323018652954E-3</v>
      </c>
      <c r="GW11" s="62">
        <f>IFERROR(Inv_SY_B!GW11/Inv_SY_B!$IS11-1,"")</f>
        <v>-2.9121466812090935E-3</v>
      </c>
      <c r="GX11" s="62" t="str">
        <f>IFERROR(Inv_SY_B!GX11/Inv_SY_B!$IS11-1,"")</f>
        <v/>
      </c>
      <c r="GY11" s="62">
        <f>IFERROR(Inv_SY_B!GY11/Inv_SY_B!$IS11-1,"")</f>
        <v>-1.9356227576878826E-3</v>
      </c>
      <c r="GZ11" s="62">
        <f>IFERROR(Inv_SY_B!GZ11/Inv_SY_B!$IS11-1,"")</f>
        <v>2.2680403967021423E-3</v>
      </c>
      <c r="HA11" s="62">
        <f>IFERROR(Inv_SY_B!HA11/Inv_SY_B!$IS11-1,"")</f>
        <v>-1.627701103072976E-3</v>
      </c>
      <c r="HB11" s="62">
        <f>IFERROR(Inv_SY_B!HB11/Inv_SY_B!$IS11-1,"")</f>
        <v>-8.7108674663005647E-3</v>
      </c>
      <c r="HC11" s="62">
        <f>IFERROR(Inv_SY_B!HC11/Inv_SY_B!$IS11-1,"")</f>
        <v>-7.294234193655158E-3</v>
      </c>
      <c r="HD11" s="62">
        <f>IFERROR(Inv_SY_B!HD11/Inv_SY_B!$IS11-1,"")</f>
        <v>-3.9887565574822093E-3</v>
      </c>
      <c r="HE11" s="62">
        <f>IFERROR(Inv_SY_B!HE11/Inv_SY_B!$IS11-1,"")</f>
        <v>-1.3078820056957596E-2</v>
      </c>
      <c r="HF11" s="62">
        <f>IFERROR(Inv_SY_B!HF11/Inv_SY_B!$IS11-1,"")</f>
        <v>1.9138820785407074E-3</v>
      </c>
      <c r="HG11" s="62">
        <f>IFERROR(Inv_SY_B!HG11/Inv_SY_B!$IS11-1,"")</f>
        <v>-8.7108674663005647E-3</v>
      </c>
      <c r="HH11" s="62">
        <f>IFERROR(Inv_SY_B!HH11/Inv_SY_B!$IS11-1,"")</f>
        <v>-6.8327892130937151E-4</v>
      </c>
      <c r="HI11" s="62">
        <f>IFERROR(Inv_SY_B!HI11/Inv_SY_B!$IS11-1,"")</f>
        <v>5.8096235783158257E-3</v>
      </c>
      <c r="HJ11" s="62">
        <f>IFERROR(Inv_SY_B!HJ11/Inv_SY_B!$IS11-1,"")</f>
        <v>-1.7564825420335106E-2</v>
      </c>
      <c r="HK11" s="62">
        <f>IFERROR(Inv_SY_B!HK11/Inv_SY_B!$IS11-1,"")</f>
        <v>8.5379543256332013E-3</v>
      </c>
      <c r="HL11" s="62">
        <f>IFERROR(Inv_SY_B!HL11/Inv_SY_B!$IS11-1,"")</f>
        <v>5.0407337717156109E-2</v>
      </c>
      <c r="HM11" s="62">
        <f>IFERROR(Inv_SY_B!HM11/Inv_SY_B!$IS11-1,"")</f>
        <v>6.1773933540888448E-2</v>
      </c>
      <c r="HN11" s="62">
        <f>IFERROR(Inv_SY_B!HN11/Inv_SY_B!$IS11-1,"")</f>
        <v>4.3141367836634359E-2</v>
      </c>
      <c r="HO11" s="62">
        <f>IFERROR(Inv_SY_B!HO11/Inv_SY_B!$IS11-1,"")</f>
        <v>3.5848318129161338E-2</v>
      </c>
      <c r="HP11" s="62">
        <f>IFERROR(Inv_SY_B!HP11/Inv_SY_B!$IS11-1,"")</f>
        <v>5.5280766704557394E-2</v>
      </c>
      <c r="HQ11" s="62">
        <f>IFERROR(Inv_SY_B!HQ11/Inv_SY_B!$IS11-1,"")</f>
        <v>-2.2103980083984953E-2</v>
      </c>
      <c r="HR11" s="62">
        <f>IFERROR(Inv_SY_B!HR11/Inv_SY_B!$IS11-1,"")</f>
        <v>-1.4175657328105329E-2</v>
      </c>
      <c r="HS11" s="62">
        <f>IFERROR(Inv_SY_B!HS11/Inv_SY_B!$IS11-1,"")</f>
        <v>-1.9689775329303383E-2</v>
      </c>
      <c r="HT11" s="62">
        <f>IFERROR(Inv_SY_B!HT11/Inv_SY_B!$IS11-1,"")</f>
        <v>5.2849445884473045E-3</v>
      </c>
      <c r="HU11" s="62">
        <f>IFERROR(Inv_SY_B!HU11/Inv_SY_B!$IS11-1,"")</f>
        <v>-1.8164170266454338E-2</v>
      </c>
      <c r="HV11" s="62">
        <f>IFERROR(Inv_SY_B!HV11/Inv_SY_B!$IS11-1,"")</f>
        <v>-1.9253888168489386E-2</v>
      </c>
      <c r="HW11" s="62">
        <f>IFERROR(Inv_SY_B!HW11/Inv_SY_B!$IS11-1,"")</f>
        <v>1.7709343068538219E-2</v>
      </c>
      <c r="HX11" s="62">
        <f>IFERROR(Inv_SY_B!HX11/Inv_SY_B!$IS11-1,"")</f>
        <v>1.7796520500700908E-2</v>
      </c>
      <c r="HY11" s="62">
        <f>IFERROR(Inv_SY_B!HY11/Inv_SY_B!$IS11-1,"")</f>
        <v>2.1368706492348455E-3</v>
      </c>
      <c r="HZ11" s="62">
        <f>IFERROR(Inv_SY_B!HZ11/Inv_SY_B!$IS11-1,"")</f>
        <v>-1.6331829794143604E-2</v>
      </c>
      <c r="IA11" s="62">
        <f>IFERROR(Inv_SY_B!IA11/Inv_SY_B!$IS11-1,"")</f>
        <v>-1.9130056588712585E-2</v>
      </c>
      <c r="IB11" s="62">
        <f>IFERROR(Inv_SY_B!IB11/Inv_SY_B!$IS11-1,"")</f>
        <v>-1.5281449712477913E-2</v>
      </c>
      <c r="IC11" s="62">
        <f>IFERROR(Inv_SY_B!IC11/Inv_SY_B!$IS11-1,"")</f>
        <v>-9.3336027219331763E-3</v>
      </c>
      <c r="ID11" s="62">
        <f>IFERROR(Inv_SY_B!ID11/Inv_SY_B!$IS11-1,"")</f>
        <v>-6.7574981865951012E-3</v>
      </c>
      <c r="IE11" s="62">
        <f>IFERROR(Inv_SY_B!IE11/Inv_SY_B!$IS11-1,"")</f>
        <v>-3.8377921026698791E-3</v>
      </c>
      <c r="IF11" s="62" t="str">
        <f>IFERROR(Inv_SY_B!IF11/Inv_SY_B!$IS11-1,"")</f>
        <v/>
      </c>
      <c r="IG11" s="62">
        <f>IFERROR(Inv_SY_B!IG11/Inv_SY_B!$IS11-1,"")</f>
        <v>4.4900361690461743E-2</v>
      </c>
      <c r="IH11" s="62">
        <f>IFERROR(Inv_SY_B!IH11/Inv_SY_B!$IS11-1,"")</f>
        <v>-1.3697613457497315E-3</v>
      </c>
      <c r="II11" s="62">
        <f>IFERROR(Inv_SY_B!II11/Inv_SY_B!$IS11-1,"")</f>
        <v>9.8974210814721797E-3</v>
      </c>
      <c r="IJ11" s="62">
        <f>IFERROR(Inv_SY_B!IJ11/Inv_SY_B!$IS11-1,"")</f>
        <v>-1.5365678482496592E-2</v>
      </c>
      <c r="IK11" s="62">
        <f>IFERROR(Inv_SY_B!IK11/Inv_SY_B!$IS11-1,"")</f>
        <v>-1.6680943122017733E-2</v>
      </c>
      <c r="IL11" s="62" t="str">
        <f>IFERROR(Inv_SY_B!IL11/Inv_SY_B!$IS11-1,"")</f>
        <v/>
      </c>
      <c r="IM11" s="62" t="str">
        <f>IFERROR(Inv_SY_B!IM11/Inv_SY_B!$IS11-1,"")</f>
        <v/>
      </c>
      <c r="IN11" s="62">
        <f>IFERROR(Inv_SY_B!IN11/Inv_SY_B!$IS11-1,"")</f>
        <v>3.8153862875394795E-2</v>
      </c>
      <c r="IO11" s="62">
        <f>IFERROR(Inv_SY_B!IO11/Inv_SY_B!$IS11-1,"")</f>
        <v>5.1081381631060907E-2</v>
      </c>
      <c r="IP11" s="62">
        <f>IFERROR(Inv_SY_B!IP11/Inv_SY_B!$IS11-1,"")</f>
        <v>0.15726597077238735</v>
      </c>
      <c r="IQ11" s="62">
        <f>IFERROR(Inv_SY_B!IQ11/Inv_SY_B!$IS11-1,"")</f>
        <v>-9.3336027219331763E-3</v>
      </c>
      <c r="IR11" s="62">
        <f>IFERROR(Inv_SY_B!IR11/Inv_SY_B!$IS11-1,"")</f>
        <v>-7.2216992810630876E-3</v>
      </c>
    </row>
    <row r="12" spans="2:253" x14ac:dyDescent="0.25">
      <c r="B12" s="85">
        <f t="shared" si="0"/>
        <v>45838</v>
      </c>
      <c r="C12" s="62">
        <f>IFERROR(Inv_SY_B!C12/Inv_SY_B!$IS12-1,"")</f>
        <v>2.1952642007517342E-2</v>
      </c>
      <c r="D12" s="62">
        <f>IFERROR(Inv_SY_B!D12/Inv_SY_B!$IS12-1,"")</f>
        <v>1.2272441068339246E-2</v>
      </c>
      <c r="E12" s="62">
        <f>IFERROR(Inv_SY_B!E12/Inv_SY_B!$IS12-1,"")</f>
        <v>1.4231529353649242E-2</v>
      </c>
      <c r="F12" s="62">
        <f>IFERROR(Inv_SY_B!F12/Inv_SY_B!$IS12-1,"")</f>
        <v>8.2390240103484835E-3</v>
      </c>
      <c r="G12" s="62">
        <f>IFERROR(Inv_SY_B!G12/Inv_SY_B!$IS12-1,"")</f>
        <v>6.7408976745231275E-3</v>
      </c>
      <c r="H12" s="62">
        <f>IFERROR(Inv_SY_B!H12/Inv_SY_B!$IS12-1,"")</f>
        <v>9.7371503461736175E-3</v>
      </c>
      <c r="I12" s="62">
        <f>IFERROR(Inv_SY_B!I12/Inv_SY_B!$IS12-1,"")</f>
        <v>1.4231529353649242E-2</v>
      </c>
      <c r="J12" s="62">
        <f>IFERROR(Inv_SY_B!J12/Inv_SY_B!$IS12-1,"")</f>
        <v>1.722778202529951E-2</v>
      </c>
      <c r="K12" s="62">
        <f>IFERROR(Inv_SY_B!K12/Inv_SY_B!$IS12-1,"")</f>
        <v>8.179098956915265E-3</v>
      </c>
      <c r="L12" s="62">
        <f>IFERROR(Inv_SY_B!L12/Inv_SY_B!$IS12-1,"")</f>
        <v>1.24937028040919E-2</v>
      </c>
      <c r="M12" s="62">
        <f>IFERROR(Inv_SY_B!M12/Inv_SY_B!$IS12-1,"")</f>
        <v>3.5205298055201562E-2</v>
      </c>
      <c r="N12" s="62">
        <f>IFERROR(Inv_SY_B!N12/Inv_SY_B!$IS12-1,"")</f>
        <v>2.7714666376075892E-2</v>
      </c>
      <c r="O12" s="62">
        <f>IFERROR(Inv_SY_B!O12/Inv_SY_B!$IS12-1,"")</f>
        <v>2.0224034696949778E-2</v>
      </c>
      <c r="P12" s="62">
        <f>IFERROR(Inv_SY_B!P12/Inv_SY_B!$IS12-1,"")</f>
        <v>3.6158651177999657E-2</v>
      </c>
      <c r="Q12" s="62">
        <f>IFERROR(Inv_SY_B!Q12/Inv_SY_B!$IS12-1,"")</f>
        <v>9.7371503461736175E-3</v>
      </c>
      <c r="R12" s="62">
        <f>IFERROR(Inv_SY_B!R12/Inv_SY_B!$IS12-1,"")</f>
        <v>8.2390240103484835E-3</v>
      </c>
      <c r="S12" s="62">
        <f>IFERROR(Inv_SY_B!S12/Inv_SY_B!$IS12-1,"")</f>
        <v>3.7446450028728595E-3</v>
      </c>
      <c r="T12" s="62">
        <f>IFERROR(Inv_SY_B!T12/Inv_SY_B!$IS12-1,"")</f>
        <v>-2.2478603404278985E-3</v>
      </c>
      <c r="U12" s="62">
        <f>IFERROR(Inv_SY_B!U12/Inv_SY_B!$IS12-1,"")</f>
        <v>9.5066693714311867E-3</v>
      </c>
      <c r="V12" s="62">
        <f>IFERROR(Inv_SY_B!V12/Inv_SY_B!$IS12-1,"")</f>
        <v>5.3580118260692089E-3</v>
      </c>
      <c r="W12" s="62">
        <f>IFERROR(Inv_SY_B!W12/Inv_SY_B!$IS12-1,"")</f>
        <v>9.7371503461736175E-3</v>
      </c>
      <c r="X12" s="62">
        <f>IFERROR(Inv_SY_B!X12/Inv_SY_B!$IS12-1,"")</f>
        <v>1.2733403017823886E-2</v>
      </c>
      <c r="Y12" s="62">
        <f>IFERROR(Inv_SY_B!Y12/Inv_SY_B!$IS12-1,"")</f>
        <v>8.1237835229772681E-3</v>
      </c>
      <c r="Z12" s="62">
        <f>IFERROR(Inv_SY_B!Z12/Inv_SY_B!$IS12-1,"")</f>
        <v>1.6062572652991047E-2</v>
      </c>
      <c r="AA12" s="62">
        <f>IFERROR(Inv_SY_B!AA12/Inv_SY_B!$IS12-1,"")</f>
        <v>1.3655326916793387E-2</v>
      </c>
      <c r="AB12" s="62">
        <f>IFERROR(Inv_SY_B!AB12/Inv_SY_B!$IS12-1,"")</f>
        <v>3.9751259776150683E-3</v>
      </c>
      <c r="AC12" s="62">
        <f>IFERROR(Inv_SY_B!AC12/Inv_SY_B!$IS12-1,"")</f>
        <v>1.6421098613701224E-2</v>
      </c>
      <c r="AD12" s="62">
        <f>IFERROR(Inv_SY_B!AD12/Inv_SY_B!$IS12-1,"")</f>
        <v>5.4092298204564404E-3</v>
      </c>
      <c r="AE12" s="62">
        <f>IFERROR(Inv_SY_B!AE12/Inv_SY_B!$IS12-1,"")</f>
        <v>9.4042333826569457E-3</v>
      </c>
      <c r="AF12" s="62">
        <f>IFERROR(Inv_SY_B!AF12/Inv_SY_B!$IS12-1,"")</f>
        <v>1.3399236944857451E-2</v>
      </c>
      <c r="AG12" s="62">
        <f>IFERROR(Inv_SY_B!AG12/Inv_SY_B!$IS12-1,"")</f>
        <v>1.0735901236723633E-2</v>
      </c>
      <c r="AH12" s="62">
        <f>IFERROR(Inv_SY_B!AH12/Inv_SY_B!$IS12-1,"")</f>
        <v>2.7458941123226221E-3</v>
      </c>
      <c r="AI12" s="62">
        <f>IFERROR(Inv_SY_B!AI12/Inv_SY_B!$IS12-1,"")</f>
        <v>2.0439567023566196E-2</v>
      </c>
      <c r="AJ12" s="62">
        <f>IFERROR(Inv_SY_B!AJ12/Inv_SY_B!$IS12-1,"")</f>
        <v>3.3028749540696234E-2</v>
      </c>
      <c r="AK12" s="62">
        <f>IFERROR(Inv_SY_B!AK12/Inv_SY_B!$IS12-1,"")</f>
        <v>-8.2403656837286565E-3</v>
      </c>
      <c r="AL12" s="62">
        <f>IFERROR(Inv_SY_B!AL12/Inv_SY_B!$IS12-1,"")</f>
        <v>-4.3499486149178868E-3</v>
      </c>
      <c r="AM12" s="62">
        <f>IFERROR(Inv_SY_B!AM12/Inv_SY_B!$IS12-1,"")</f>
        <v>8.2390240103484835E-3</v>
      </c>
      <c r="AN12" s="62">
        <f>IFERROR(Inv_SY_B!AN12/Inv_SY_B!$IS12-1,"")</f>
        <v>-5.2441130120782775E-3</v>
      </c>
      <c r="AO12" s="62">
        <f>IFERROR(Inv_SY_B!AO12/Inv_SY_B!$IS12-1,"")</f>
        <v>-2.3221629041980441E-2</v>
      </c>
      <c r="AP12" s="62">
        <f>IFERROR(Inv_SY_B!AP12/Inv_SY_B!$IS12-1,"")</f>
        <v>6.7408976745231275E-3</v>
      </c>
      <c r="AQ12" s="62">
        <f>IFERROR(Inv_SY_B!AQ12/Inv_SY_B!$IS12-1,"")</f>
        <v>8.2390240103484835E-3</v>
      </c>
      <c r="AR12" s="62">
        <f>IFERROR(Inv_SY_B!AR12/Inv_SY_B!$IS12-1,"")</f>
        <v>-1.7229123698679794E-2</v>
      </c>
      <c r="AS12" s="62">
        <f>IFERROR(Inv_SY_B!AS12/Inv_SY_B!$IS12-1,"")</f>
        <v>2.9212792711900804E-2</v>
      </c>
      <c r="AT12" s="62">
        <f>IFERROR(Inv_SY_B!AT12/Inv_SY_B!$IS12-1,"")</f>
        <v>1.2733403017823886E-2</v>
      </c>
      <c r="AU12" s="62">
        <f>IFERROR(Inv_SY_B!AU12/Inv_SY_B!$IS12-1,"")</f>
        <v>2.4718413704425402E-2</v>
      </c>
      <c r="AV12" s="62">
        <f>IFERROR(Inv_SY_B!AV12/Inv_SY_B!$IS12-1,"")</f>
        <v>8.2390240103484835E-3</v>
      </c>
      <c r="AW12" s="62">
        <f>IFERROR(Inv_SY_B!AW12/Inv_SY_B!$IS12-1,"")</f>
        <v>-5.6871851354361458E-2</v>
      </c>
      <c r="AX12" s="62">
        <f>IFERROR(Inv_SY_B!AX12/Inv_SY_B!$IS12-1,"")</f>
        <v>1.2433777750658903E-2</v>
      </c>
      <c r="AY12" s="62">
        <f>IFERROR(Inv_SY_B!AY12/Inv_SY_B!$IS12-1,"")</f>
        <v>-4.9348952338771679E-2</v>
      </c>
      <c r="AZ12" s="62">
        <f>IFERROR(Inv_SY_B!AZ12/Inv_SY_B!$IS12-1,"")</f>
        <v>-5.2225354903555954E-2</v>
      </c>
      <c r="BA12" s="62">
        <f>IFERROR(Inv_SY_B!BA12/Inv_SY_B!$IS12-1,"")</f>
        <v>-5.2441130120782775E-3</v>
      </c>
      <c r="BB12" s="62">
        <f>IFERROR(Inv_SY_B!BB12/Inv_SY_B!$IS12-1,"")</f>
        <v>1.5729655689474376E-2</v>
      </c>
      <c r="BC12" s="62">
        <f>IFERROR(Inv_SY_B!BC12/Inv_SY_B!$IS12-1,"")</f>
        <v>8.2558404189025936E-5</v>
      </c>
      <c r="BD12" s="62">
        <f>IFERROR(Inv_SY_B!BD12/Inv_SY_B!$IS12-1,"")</f>
        <v>1.7394240507057956E-2</v>
      </c>
      <c r="BE12" s="62">
        <f>IFERROR(Inv_SY_B!BE12/Inv_SY_B!$IS12-1,"")</f>
        <v>-1.7353156774679857E-4</v>
      </c>
      <c r="BF12" s="62">
        <f>IFERROR(Inv_SY_B!BF12/Inv_SY_B!$IS12-1,"")</f>
        <v>1.6062572652991047E-2</v>
      </c>
      <c r="BG12" s="62">
        <f>IFERROR(Inv_SY_B!BG12/Inv_SY_B!$IS12-1,"")</f>
        <v>1.8725908361124644E-2</v>
      </c>
      <c r="BH12" s="62">
        <f>IFERROR(Inv_SY_B!BH12/Inv_SY_B!$IS12-1,"")</f>
        <v>1.8725908361124644E-2</v>
      </c>
      <c r="BI12" s="62">
        <f>IFERROR(Inv_SY_B!BI12/Inv_SY_B!$IS12-1,"")</f>
        <v>6.7408976745231275E-3</v>
      </c>
      <c r="BJ12" s="62">
        <f>IFERROR(Inv_SY_B!BJ12/Inv_SY_B!$IS12-1,"")</f>
        <v>2.0057576215191331E-2</v>
      </c>
      <c r="BK12" s="62">
        <f>IFERROR(Inv_SY_B!BK12/Inv_SY_B!$IS12-1,"")</f>
        <v>3.7446450028728595E-3</v>
      </c>
      <c r="BL12" s="62">
        <f>IFERROR(Inv_SY_B!BL12/Inv_SY_B!$IS12-1,"")</f>
        <v>2.7767794978149185E-2</v>
      </c>
      <c r="BM12" s="62">
        <f>IFERROR(Inv_SY_B!BM12/Inv_SY_B!$IS12-1,"")</f>
        <v>8.2390240103484835E-3</v>
      </c>
      <c r="BN12" s="62">
        <f>IFERROR(Inv_SY_B!BN12/Inv_SY_B!$IS12-1,"")</f>
        <v>4.3259488230562804E-2</v>
      </c>
      <c r="BO12" s="62">
        <f>IFERROR(Inv_SY_B!BO12/Inv_SY_B!$IS12-1,"")</f>
        <v>5.3580118260692089E-3</v>
      </c>
      <c r="BP12" s="62">
        <f>IFERROR(Inv_SY_B!BP12/Inv_SY_B!$IS12-1,"")</f>
        <v>1.2093542807072311E-3</v>
      </c>
      <c r="BQ12" s="62">
        <f>IFERROR(Inv_SY_B!BQ12/Inv_SY_B!$IS12-1,"")</f>
        <v>6.7408976745231275E-3</v>
      </c>
      <c r="BR12" s="62">
        <f>IFERROR(Inv_SY_B!BR12/Inv_SY_B!$IS12-1,"")</f>
        <v>1.5038212765247305E-2</v>
      </c>
      <c r="BS12" s="62">
        <f>IFERROR(Inv_SY_B!BS12/Inv_SY_B!$IS12-1,"")</f>
        <v>-8.2403656837286565E-3</v>
      </c>
      <c r="BT12" s="62">
        <f>IFERROR(Inv_SY_B!BT12/Inv_SY_B!$IS12-1,"")</f>
        <v>-5.2441130120782775E-3</v>
      </c>
      <c r="BU12" s="62">
        <f>IFERROR(Inv_SY_B!BU12/Inv_SY_B!$IS12-1,"")</f>
        <v>9.7371503461736175E-3</v>
      </c>
      <c r="BV12" s="62">
        <f>IFERROR(Inv_SY_B!BV12/Inv_SY_B!$IS12-1,"")</f>
        <v>5.2427713386979935E-3</v>
      </c>
      <c r="BW12" s="62">
        <f>IFERROR(Inv_SY_B!BW12/Inv_SY_B!$IS12-1,"")</f>
        <v>2.3220287368600045E-2</v>
      </c>
      <c r="BX12" s="62">
        <f>IFERROR(Inv_SY_B!BX12/Inv_SY_B!$IS12-1,"")</f>
        <v>1.722778202529951E-2</v>
      </c>
      <c r="BY12" s="62">
        <f>IFERROR(Inv_SY_B!BY12/Inv_SY_B!$IS12-1,"")</f>
        <v>2.2454578352511856E-2</v>
      </c>
      <c r="BZ12" s="62">
        <f>IFERROR(Inv_SY_B!BZ12/Inv_SY_B!$IS12-1,"")</f>
        <v>8.2558404189025936E-5</v>
      </c>
      <c r="CA12" s="62">
        <f>IFERROR(Inv_SY_B!CA12/Inv_SY_B!$IS12-1,"")</f>
        <v>1.4730904798924138E-2</v>
      </c>
      <c r="CB12" s="62">
        <f>IFERROR(Inv_SY_B!CB12/Inv_SY_B!$IS12-1,"")</f>
        <v>2.2465186670477255E-3</v>
      </c>
      <c r="CC12" s="62">
        <f>IFERROR(Inv_SY_B!CC12/Inv_SY_B!$IS12-1,"")</f>
        <v>1.0785838781251389E-2</v>
      </c>
      <c r="CD12" s="62">
        <f>IFERROR(Inv_SY_B!CD12/Inv_SY_B!$IS12-1,"")</f>
        <v>1.0889555219885327E-2</v>
      </c>
      <c r="CE12" s="62">
        <f>IFERROR(Inv_SY_B!CE12/Inv_SY_B!$IS12-1,"")</f>
        <v>7.4839233122236948E-4</v>
      </c>
      <c r="CF12" s="62">
        <f>IFERROR(Inv_SY_B!CF12/Inv_SY_B!$IS12-1,"")</f>
        <v>8.2390240103484835E-3</v>
      </c>
      <c r="CG12" s="62">
        <f>IFERROR(Inv_SY_B!CG12/Inv_SY_B!$IS12-1,"")</f>
        <v>-6.7422393479034115E-3</v>
      </c>
      <c r="CH12" s="62">
        <f>IFERROR(Inv_SY_B!CH12/Inv_SY_B!$IS12-1,"")</f>
        <v>2.2465186670477255E-3</v>
      </c>
      <c r="CI12" s="62">
        <f>IFERROR(Inv_SY_B!CI12/Inv_SY_B!$IS12-1,"")</f>
        <v>9.7371503461736175E-3</v>
      </c>
      <c r="CJ12" s="62">
        <f>IFERROR(Inv_SY_B!CJ12/Inv_SY_B!$IS12-1,"")</f>
        <v>-1.8727250034504928E-2</v>
      </c>
      <c r="CK12" s="62">
        <f>IFERROR(Inv_SY_B!CK12/Inv_SY_B!$IS12-1,"")</f>
        <v>2.0224034696949778E-2</v>
      </c>
      <c r="CL12" s="62">
        <f>IFERROR(Inv_SY_B!CL12/Inv_SY_B!$IS12-1,"")</f>
        <v>-1.8727250034504928E-2</v>
      </c>
      <c r="CM12" s="62">
        <f>IFERROR(Inv_SY_B!CM12/Inv_SY_B!$IS12-1,"")</f>
        <v>-1.7229123698679794E-2</v>
      </c>
      <c r="CN12" s="62">
        <f>IFERROR(Inv_SY_B!CN12/Inv_SY_B!$IS12-1,"")</f>
        <v>-2.2478603404278985E-3</v>
      </c>
      <c r="CO12" s="62">
        <f>IFERROR(Inv_SY_B!CO12/Inv_SY_B!$IS12-1,"")</f>
        <v>-2.0297286434449613E-2</v>
      </c>
      <c r="CP12" s="62">
        <f>IFERROR(Inv_SY_B!CP12/Inv_SY_B!$IS12-1,"")</f>
        <v>-1.7353156774679857E-4</v>
      </c>
      <c r="CQ12" s="62">
        <f>IFERROR(Inv_SY_B!CQ12/Inv_SY_B!$IS12-1,"")</f>
        <v>-7.4973400460265349E-4</v>
      </c>
      <c r="CR12" s="62">
        <f>IFERROR(Inv_SY_B!CR12/Inv_SY_B!$IS12-1,"")</f>
        <v>-5.0187903086833741E-2</v>
      </c>
      <c r="CS12" s="62">
        <f>IFERROR(Inv_SY_B!CS12/Inv_SY_B!$IS12-1,"")</f>
        <v>6.7408976745231275E-3</v>
      </c>
      <c r="CT12" s="62">
        <f>IFERROR(Inv_SY_B!CT12/Inv_SY_B!$IS12-1,"")</f>
        <v>-8.2403656837286565E-3</v>
      </c>
      <c r="CU12" s="62">
        <f>IFERROR(Inv_SY_B!CU12/Inv_SY_B!$IS12-1,"")</f>
        <v>-0.9288389990483038</v>
      </c>
      <c r="CV12" s="62">
        <f>IFERROR(Inv_SY_B!CV12/Inv_SY_B!$IS12-1,"")</f>
        <v>1.2733403017823886E-2</v>
      </c>
      <c r="CW12" s="62">
        <f>IFERROR(Inv_SY_B!CW12/Inv_SY_B!$IS12-1,"")</f>
        <v>2.3220287368600045E-2</v>
      </c>
      <c r="CX12" s="62">
        <f>IFERROR(Inv_SY_B!CX12/Inv_SY_B!$IS12-1,"")</f>
        <v>6.7408976745231275E-3</v>
      </c>
      <c r="CY12" s="62">
        <f>IFERROR(Inv_SY_B!CY12/Inv_SY_B!$IS12-1,"")</f>
        <v>-1.4532496294194508E-2</v>
      </c>
      <c r="CZ12" s="62">
        <f>IFERROR(Inv_SY_B!CZ12/Inv_SY_B!$IS12-1,"")</f>
        <v>2.5767102139503173E-2</v>
      </c>
      <c r="DA12" s="62">
        <f>IFERROR(Inv_SY_B!DA12/Inv_SY_B!$IS12-1,"")</f>
        <v>-1.4382683660611906E-2</v>
      </c>
      <c r="DB12" s="62">
        <f>IFERROR(Inv_SY_B!DB12/Inv_SY_B!$IS12-1,"")</f>
        <v>-7.4973400460265349E-4</v>
      </c>
      <c r="DC12" s="62">
        <f>IFERROR(Inv_SY_B!DC12/Inv_SY_B!$IS12-1,"")</f>
        <v>5.4092298204564404E-3</v>
      </c>
      <c r="DD12" s="62">
        <f>IFERROR(Inv_SY_B!DD12/Inv_SY_B!$IS12-1,"")</f>
        <v>-2.9214134385281088E-2</v>
      </c>
      <c r="DE12" s="62">
        <f>IFERROR(Inv_SY_B!DE12/Inv_SY_B!$IS12-1,"")</f>
        <v>1.6462073009211098E-2</v>
      </c>
      <c r="DF12" s="62">
        <f>IFERROR(Inv_SY_B!DF12/Inv_SY_B!$IS12-1,"")</f>
        <v>-1.1041145196806879E-2</v>
      </c>
      <c r="DG12" s="62">
        <f>IFERROR(Inv_SY_B!DG12/Inv_SY_B!$IS12-1,"")</f>
        <v>5.2427713386979935E-3</v>
      </c>
      <c r="DH12" s="62">
        <f>IFERROR(Inv_SY_B!DH12/Inv_SY_B!$IS12-1,"")</f>
        <v>6.7408976745231275E-3</v>
      </c>
      <c r="DI12" s="62">
        <f>IFERROR(Inv_SY_B!DI12/Inv_SY_B!$IS12-1,"")</f>
        <v>5.3580118260692089E-3</v>
      </c>
      <c r="DJ12" s="62">
        <f>IFERROR(Inv_SY_B!DJ12/Inv_SY_B!$IS12-1,"")</f>
        <v>2.7484185401333461E-2</v>
      </c>
      <c r="DK12" s="62">
        <f>IFERROR(Inv_SY_B!DK12/Inv_SY_B!$IS12-1,"")</f>
        <v>6.7408976745231275E-3</v>
      </c>
      <c r="DL12" s="62">
        <f>IFERROR(Inv_SY_B!DL12/Inv_SY_B!$IS12-1,"")</f>
        <v>9.4042333826569457E-3</v>
      </c>
      <c r="DM12" s="62">
        <f>IFERROR(Inv_SY_B!DM12/Inv_SY_B!$IS12-1,"")</f>
        <v>6.7408976745231275E-3</v>
      </c>
      <c r="DN12" s="62">
        <f>IFERROR(Inv_SY_B!DN12/Inv_SY_B!$IS12-1,"")</f>
        <v>8.2390240103484835E-3</v>
      </c>
      <c r="DO12" s="62">
        <f>IFERROR(Inv_SY_B!DO12/Inv_SY_B!$IS12-1,"")</f>
        <v>6.3559659161045445E-3</v>
      </c>
      <c r="DP12" s="62">
        <f>IFERROR(Inv_SY_B!DP12/Inv_SY_B!$IS12-1,"")</f>
        <v>-2.5219130823080693E-2</v>
      </c>
      <c r="DQ12" s="62">
        <f>IFERROR(Inv_SY_B!DQ12/Inv_SY_B!$IS12-1,"")</f>
        <v>5.4092298204564404E-3</v>
      </c>
      <c r="DR12" s="62">
        <f>IFERROR(Inv_SY_B!DR12/Inv_SY_B!$IS12-1,"")</f>
        <v>8.2390240103484835E-3</v>
      </c>
      <c r="DS12" s="62">
        <f>IFERROR(Inv_SY_B!DS12/Inv_SY_B!$IS12-1,"")</f>
        <v>-1.9326500568835003E-2</v>
      </c>
      <c r="DT12" s="62">
        <f>IFERROR(Inv_SY_B!DT12/Inv_SY_B!$IS12-1,"")</f>
        <v>-5.7179159320684625E-2</v>
      </c>
      <c r="DU12" s="62">
        <f>IFERROR(Inv_SY_B!DU12/Inv_SY_B!$IS12-1,"")</f>
        <v>-3.1877470093414906E-2</v>
      </c>
      <c r="DV12" s="62">
        <f>IFERROR(Inv_SY_B!DV12/Inv_SY_B!$IS12-1,"")</f>
        <v>7.4839233122236948E-4</v>
      </c>
      <c r="DW12" s="62">
        <f>IFERROR(Inv_SY_B!DW12/Inv_SY_B!$IS12-1,"")</f>
        <v>2.2465186670477255E-3</v>
      </c>
      <c r="DX12" s="62">
        <f>IFERROR(Inv_SY_B!DX12/Inv_SY_B!$IS12-1,"")</f>
        <v>4.0775619663895313E-3</v>
      </c>
      <c r="DY12" s="62">
        <f>IFERROR(Inv_SY_B!DY12/Inv_SY_B!$IS12-1,"")</f>
        <v>9.7371503461736175E-3</v>
      </c>
      <c r="DZ12" s="62">
        <f>IFERROR(Inv_SY_B!DZ12/Inv_SY_B!$IS12-1,"")</f>
        <v>2.4718413704425402E-2</v>
      </c>
      <c r="EA12" s="62">
        <f>IFERROR(Inv_SY_B!EA12/Inv_SY_B!$IS12-1,"")</f>
        <v>-3.9867477217815916E-2</v>
      </c>
      <c r="EB12" s="62">
        <f>IFERROR(Inv_SY_B!EB12/Inv_SY_B!$IS12-1,"")</f>
        <v>2.6715915485525654E-2</v>
      </c>
      <c r="EC12" s="62">
        <f>IFERROR(Inv_SY_B!EC12/Inv_SY_B!$IS12-1,"")</f>
        <v>2.1952642007517342E-2</v>
      </c>
      <c r="ED12" s="62">
        <f>IFERROR(Inv_SY_B!ED12/Inv_SY_B!$IS12-1,"")</f>
        <v>3.024995709824152E-2</v>
      </c>
      <c r="EE12" s="62">
        <f>IFERROR(Inv_SY_B!EE12/Inv_SY_B!$IS12-1,"")</f>
        <v>2.1952642007517342E-2</v>
      </c>
      <c r="EF12" s="62">
        <f>IFERROR(Inv_SY_B!EF12/Inv_SY_B!$IS12-1,"")</f>
        <v>2.0361911819510858E-4</v>
      </c>
      <c r="EG12" s="62">
        <f>IFERROR(Inv_SY_B!EG12/Inv_SY_B!$IS12-1,"")</f>
        <v>9.7895323858878669E-3</v>
      </c>
      <c r="EH12" s="62">
        <f>IFERROR(Inv_SY_B!EH12/Inv_SY_B!$IS12-1,"")</f>
        <v>8.3909319255193182E-3</v>
      </c>
      <c r="EI12" s="62">
        <f>IFERROR(Inv_SY_B!EI12/Inv_SY_B!$IS12-1,"")</f>
        <v>-5.595072678163282E-3</v>
      </c>
      <c r="EJ12" s="62">
        <f>IFERROR(Inv_SY_B!EJ12/Inv_SY_B!$IS12-1,"")</f>
        <v>1.9579735608465487E-2</v>
      </c>
      <c r="EK12" s="62">
        <f>IFERROR(Inv_SY_B!EK12/Inv_SY_B!$IS12-1,"")</f>
        <v>1.1055501521699762E-2</v>
      </c>
      <c r="EL12" s="62">
        <f>IFERROR(Inv_SY_B!EL12/Inv_SY_B!$IS12-1,"")</f>
        <v>2.1722161032775134E-2</v>
      </c>
      <c r="EM12" s="62">
        <f>IFERROR(Inv_SY_B!EM12/Inv_SY_B!$IS12-1,"")</f>
        <v>-6.2582293009444401E-3</v>
      </c>
      <c r="EN12" s="62">
        <f>IFERROR(Inv_SY_B!EN12/Inv_SY_B!$IS12-1,"")</f>
        <v>-1.1236618355379036E-2</v>
      </c>
      <c r="EO12" s="62">
        <f>IFERROR(Inv_SY_B!EO12/Inv_SY_B!$IS12-1,"")</f>
        <v>2.3220287368600045E-2</v>
      </c>
      <c r="EP12" s="62">
        <f>IFERROR(Inv_SY_B!EP12/Inv_SY_B!$IS12-1,"")</f>
        <v>-1.9533933446103102E-2</v>
      </c>
      <c r="EQ12" s="62">
        <f>IFERROR(Inv_SY_B!EQ12/Inv_SY_B!$IS12-1,"")</f>
        <v>2.1722161032775134E-2</v>
      </c>
      <c r="ER12" s="62">
        <f>IFERROR(Inv_SY_B!ER12/Inv_SY_B!$IS12-1,"")</f>
        <v>-1.649158457950417E-2</v>
      </c>
      <c r="ES12" s="62">
        <f>IFERROR(Inv_SY_B!ES12/Inv_SY_B!$IS12-1,"")</f>
        <v>-3.5961740426705413E-3</v>
      </c>
      <c r="ET12" s="62">
        <f>IFERROR(Inv_SY_B!ET12/Inv_SY_B!$IS12-1,"")</f>
        <v>1.2134152483493699E-2</v>
      </c>
      <c r="EU12" s="62">
        <f>IFERROR(Inv_SY_B!EU12/Inv_SY_B!$IS12-1,"")</f>
        <v>2.1952642007517342E-2</v>
      </c>
      <c r="EV12" s="62">
        <f>IFERROR(Inv_SY_B!EV12/Inv_SY_B!$IS12-1,"")</f>
        <v>1.5038212765247305E-2</v>
      </c>
      <c r="EW12" s="62">
        <f>IFERROR(Inv_SY_B!EW12/Inv_SY_B!$IS12-1,"")</f>
        <v>2.1814353422672017E-2</v>
      </c>
      <c r="EX12" s="62">
        <f>IFERROR(Inv_SY_B!EX12/Inv_SY_B!$IS12-1,"")</f>
        <v>1.602928095663958E-2</v>
      </c>
      <c r="EY12" s="62">
        <f>IFERROR(Inv_SY_B!EY12/Inv_SY_B!$IS12-1,"")</f>
        <v>1.3665570515670744E-2</v>
      </c>
      <c r="EZ12" s="62">
        <f>IFERROR(Inv_SY_B!EZ12/Inv_SY_B!$IS12-1,"")</f>
        <v>1.7677219926046872E-2</v>
      </c>
      <c r="FA12" s="62">
        <f>IFERROR(Inv_SY_B!FA12/Inv_SY_B!$IS12-1,"")</f>
        <v>1.7970807663001409E-3</v>
      </c>
      <c r="FB12" s="62">
        <f>IFERROR(Inv_SY_B!FB12/Inv_SY_B!$IS12-1,"")</f>
        <v>2.4718413704425402E-2</v>
      </c>
      <c r="FC12" s="62">
        <f>IFERROR(Inv_SY_B!FC12/Inv_SY_B!$IS12-1,"")</f>
        <v>3.7446450028728595E-3</v>
      </c>
      <c r="FD12" s="62">
        <f>IFERROR(Inv_SY_B!FD12/Inv_SY_B!$IS12-1,"")</f>
        <v>2.6216540040250536E-2</v>
      </c>
      <c r="FE12" s="62">
        <f>IFERROR(Inv_SY_B!FE12/Inv_SY_B!$IS12-1,"")</f>
        <v>1.5144796620421008E-3</v>
      </c>
      <c r="FF12" s="62">
        <f>IFERROR(Inv_SY_B!FF12/Inv_SY_B!$IS12-1,"")</f>
        <v>1.4696289001013163E-2</v>
      </c>
      <c r="FG12" s="62">
        <f>IFERROR(Inv_SY_B!FG12/Inv_SY_B!$IS12-1,"")</f>
        <v>-7.4080732749368661E-3</v>
      </c>
      <c r="FH12" s="62">
        <f>IFERROR(Inv_SY_B!FH12/Inv_SY_B!$IS12-1,"")</f>
        <v>-1.6667326322745257E-2</v>
      </c>
      <c r="FI12" s="62">
        <f>IFERROR(Inv_SY_B!FI12/Inv_SY_B!$IS12-1,"")</f>
        <v>1.548753426146221E-2</v>
      </c>
      <c r="FJ12" s="62">
        <f>IFERROR(Inv_SY_B!FJ12/Inv_SY_B!$IS12-1,"")</f>
        <v>-2.0876077708112839E-2</v>
      </c>
      <c r="FK12" s="62">
        <f>IFERROR(Inv_SY_B!FK12/Inv_SY_B!$IS12-1,"")</f>
        <v>-1.5488875934842494E-2</v>
      </c>
      <c r="FL12" s="62">
        <f>IFERROR(Inv_SY_B!FL12/Inv_SY_B!$IS12-1,"")</f>
        <v>-1.6727932342694651E-2</v>
      </c>
      <c r="FM12" s="62">
        <f>IFERROR(Inv_SY_B!FM12/Inv_SY_B!$IS12-1,"")</f>
        <v>2.1211436145561979E-2</v>
      </c>
      <c r="FN12" s="62">
        <f>IFERROR(Inv_SY_B!FN12/Inv_SY_B!$IS12-1,"")</f>
        <v>-5.589288923437008E-2</v>
      </c>
      <c r="FO12" s="62">
        <f>IFERROR(Inv_SY_B!FO12/Inv_SY_B!$IS12-1,"")</f>
        <v>-1.3637025325280772E-2</v>
      </c>
      <c r="FP12" s="62">
        <f>IFERROR(Inv_SY_B!FP12/Inv_SY_B!$IS12-1,"")</f>
        <v>-9.4552099487795749E-3</v>
      </c>
      <c r="FQ12" s="62">
        <f>IFERROR(Inv_SY_B!FQ12/Inv_SY_B!$IS12-1,"")</f>
        <v>1.5272046190531352E-2</v>
      </c>
      <c r="FR12" s="62">
        <f>IFERROR(Inv_SY_B!FR12/Inv_SY_B!$IS12-1,"")</f>
        <v>-1.2364298906345494E-2</v>
      </c>
      <c r="FS12" s="62">
        <f>IFERROR(Inv_SY_B!FS12/Inv_SY_B!$IS12-1,"")</f>
        <v>-4.7144723883016937E-3</v>
      </c>
      <c r="FT12" s="62">
        <f>IFERROR(Inv_SY_B!FT12/Inv_SY_B!$IS12-1,"")</f>
        <v>-2.8364288172958552E-2</v>
      </c>
      <c r="FU12" s="62">
        <f>IFERROR(Inv_SY_B!FU12/Inv_SY_B!$IS12-1,"")</f>
        <v>-4.7144723883016937E-3</v>
      </c>
      <c r="FV12" s="62">
        <f>IFERROR(Inv_SY_B!FV12/Inv_SY_B!$IS12-1,"")</f>
        <v>-1.1212784527309005E-2</v>
      </c>
      <c r="FW12" s="62">
        <f>IFERROR(Inv_SY_B!FW12/Inv_SY_B!$IS12-1,"")</f>
        <v>-9.0915738290839876E-3</v>
      </c>
      <c r="FX12" s="62">
        <f>IFERROR(Inv_SY_B!FX12/Inv_SY_B!$IS12-1,"")</f>
        <v>-7.8794534300981045E-3</v>
      </c>
      <c r="FY12" s="62">
        <f>IFERROR(Inv_SY_B!FY12/Inv_SY_B!$IS12-1,"")</f>
        <v>-2.4916479038065487E-2</v>
      </c>
      <c r="FZ12" s="62">
        <f>IFERROR(Inv_SY_B!FZ12/Inv_SY_B!$IS12-1,"")</f>
        <v>-1.3637025325280772E-2</v>
      </c>
      <c r="GA12" s="62">
        <f>IFERROR(Inv_SY_B!GA12/Inv_SY_B!$IS12-1,"")</f>
        <v>1.2586733306624298E-2</v>
      </c>
      <c r="GB12" s="62">
        <f>IFERROR(Inv_SY_B!GB12/Inv_SY_B!$IS12-1,"")</f>
        <v>-1.5488875934842494E-2</v>
      </c>
      <c r="GC12" s="62">
        <f>IFERROR(Inv_SY_B!GC12/Inv_SY_B!$IS12-1,"")</f>
        <v>-2.4916479038065487E-2</v>
      </c>
      <c r="GD12" s="62">
        <f>IFERROR(Inv_SY_B!GD12/Inv_SY_B!$IS12-1,"")</f>
        <v>-2.1237020226921977E-2</v>
      </c>
      <c r="GE12" s="62">
        <f>IFERROR(Inv_SY_B!GE12/Inv_SY_B!$IS12-1,"")</f>
        <v>-5.595072678163282E-3</v>
      </c>
      <c r="GF12" s="62">
        <f>IFERROR(Inv_SY_B!GF12/Inv_SY_B!$IS12-1,"")</f>
        <v>-8.7548737182545633E-3</v>
      </c>
      <c r="GG12" s="62">
        <f>IFERROR(Inv_SY_B!GG12/Inv_SY_B!$IS12-1,"")</f>
        <v>6.5447793178334823E-3</v>
      </c>
      <c r="GH12" s="62">
        <f>IFERROR(Inv_SY_B!GH12/Inv_SY_B!$IS12-1,"")</f>
        <v>9.4538682753992909E-3</v>
      </c>
      <c r="GI12" s="62">
        <f>IFERROR(Inv_SY_B!GI12/Inv_SY_B!$IS12-1,"")</f>
        <v>-6.181881118496757E-2</v>
      </c>
      <c r="GJ12" s="62">
        <f>IFERROR(Inv_SY_B!GJ12/Inv_SY_B!$IS12-1,"")</f>
        <v>-1.9581077281845771E-2</v>
      </c>
      <c r="GK12" s="62">
        <f>IFERROR(Inv_SY_B!GK12/Inv_SY_B!$IS12-1,"")</f>
        <v>-4.8491524326335078E-3</v>
      </c>
      <c r="GL12" s="62">
        <f>IFERROR(Inv_SY_B!GL12/Inv_SY_B!$IS12-1,"")</f>
        <v>-2.272792831767434E-2</v>
      </c>
      <c r="GM12" s="62">
        <f>IFERROR(Inv_SY_B!GM12/Inv_SY_B!$IS12-1,"")</f>
        <v>-6.0612728316192799E-3</v>
      </c>
      <c r="GN12" s="62">
        <f>IFERROR(Inv_SY_B!GN12/Inv_SY_B!$IS12-1,"")</f>
        <v>-1.2121874826548362E-2</v>
      </c>
      <c r="GO12" s="62">
        <f>IFERROR(Inv_SY_B!GO12/Inv_SY_B!$IS12-1,"")</f>
        <v>-7.5764233303515782E-3</v>
      </c>
      <c r="GP12" s="62">
        <f>IFERROR(Inv_SY_B!GP12/Inv_SY_B!$IS12-1,"")</f>
        <v>-2.4249116346618527E-3</v>
      </c>
      <c r="GQ12" s="62">
        <f>IFERROR(Inv_SY_B!GQ12/Inv_SY_B!$IS12-1,"")</f>
        <v>-1.090975442756259E-2</v>
      </c>
      <c r="GR12" s="62">
        <f>IFERROR(Inv_SY_B!GR12/Inv_SY_B!$IS12-1,"")</f>
        <v>-6.7083669008649593E-7</v>
      </c>
      <c r="GS12" s="62" t="str">
        <f>IFERROR(Inv_SY_B!GS12/Inv_SY_B!$IS12-1,"")</f>
        <v/>
      </c>
      <c r="GT12" s="62" t="str">
        <f>IFERROR(Inv_SY_B!GT12/Inv_SY_B!$IS12-1,"")</f>
        <v/>
      </c>
      <c r="GU12" s="62">
        <f>IFERROR(Inv_SY_B!GU12/Inv_SY_B!$IS12-1,"")</f>
        <v>-1</v>
      </c>
      <c r="GV12" s="62">
        <f>IFERROR(Inv_SY_B!GV12/Inv_SY_B!$IS12-1,"")</f>
        <v>-2.5795242447889777E-2</v>
      </c>
      <c r="GW12" s="62">
        <f>IFERROR(Inv_SY_B!GW12/Inv_SY_B!$IS12-1,"")</f>
        <v>-3.0303680811336053E-2</v>
      </c>
      <c r="GX12" s="62" t="str">
        <f>IFERROR(Inv_SY_B!GX12/Inv_SY_B!$IS12-1,"")</f>
        <v/>
      </c>
      <c r="GY12" s="62">
        <f>IFERROR(Inv_SY_B!GY12/Inv_SY_B!$IS12-1,"")</f>
        <v>-4.7853566221606192E-3</v>
      </c>
      <c r="GZ12" s="62">
        <f>IFERROR(Inv_SY_B!GZ12/Inv_SY_B!$IS12-1,"")</f>
        <v>2.1722161032775134E-2</v>
      </c>
      <c r="HA12" s="62">
        <f>IFERROR(Inv_SY_B!HA12/Inv_SY_B!$IS12-1,"")</f>
        <v>-2.1423877438990102E-2</v>
      </c>
      <c r="HB12" s="62">
        <f>IFERROR(Inv_SY_B!HB12/Inv_SY_B!$IS12-1,"")</f>
        <v>-2.0225376370330062E-2</v>
      </c>
      <c r="HC12" s="62">
        <f>IFERROR(Inv_SY_B!HC12/Inv_SY_B!$IS12-1,"")</f>
        <v>2.6216540040250536E-2</v>
      </c>
      <c r="HD12" s="62">
        <f>IFERROR(Inv_SY_B!HD12/Inv_SY_B!$IS12-1,"")</f>
        <v>-7.4973400460265349E-4</v>
      </c>
      <c r="HE12" s="62">
        <f>IFERROR(Inv_SY_B!HE12/Inv_SY_B!$IS12-1,"")</f>
        <v>7.4839233122236948E-4</v>
      </c>
      <c r="HF12" s="62">
        <f>IFERROR(Inv_SY_B!HF12/Inv_SY_B!$IS12-1,"")</f>
        <v>-1.4083058393446812E-2</v>
      </c>
      <c r="HG12" s="62">
        <f>IFERROR(Inv_SY_B!HG12/Inv_SY_B!$IS12-1,"")</f>
        <v>3.7446450028728595E-3</v>
      </c>
      <c r="HH12" s="62">
        <f>IFERROR(Inv_SY_B!HH12/Inv_SY_B!$IS12-1,"")</f>
        <v>-1.6480060530767116E-2</v>
      </c>
      <c r="HI12" s="62">
        <f>IFERROR(Inv_SY_B!HI12/Inv_SY_B!$IS12-1,"")</f>
        <v>-3.7459866762530325E-3</v>
      </c>
      <c r="HJ12" s="62">
        <f>IFERROR(Inv_SY_B!HJ12/Inv_SY_B!$IS12-1,"")</f>
        <v>-9.7384920195537905E-3</v>
      </c>
      <c r="HK12" s="62">
        <f>IFERROR(Inv_SY_B!HK12/Inv_SY_B!$IS12-1,"")</f>
        <v>1.0735901236723633E-2</v>
      </c>
      <c r="HL12" s="62">
        <f>IFERROR(Inv_SY_B!HL12/Inv_SY_B!$IS12-1,"")</f>
        <v>3.071091904772616E-2</v>
      </c>
      <c r="HM12" s="62">
        <f>IFERROR(Inv_SY_B!HM12/Inv_SY_B!$IS12-1,"")</f>
        <v>5.1499518529087185E-2</v>
      </c>
      <c r="HN12" s="62">
        <f>IFERROR(Inv_SY_B!HN12/Inv_SY_B!$IS12-1,"")</f>
        <v>2.6421165446621764E-2</v>
      </c>
      <c r="HO12" s="62">
        <f>IFERROR(Inv_SY_B!HO12/Inv_SY_B!$IS12-1,"")</f>
        <v>3.2392201894827721E-2</v>
      </c>
      <c r="HP12" s="62">
        <f>IFERROR(Inv_SY_B!HP12/Inv_SY_B!$IS12-1,"")</f>
        <v>3.8243817614069808E-2</v>
      </c>
      <c r="HQ12" s="62">
        <f>IFERROR(Inv_SY_B!HQ12/Inv_SY_B!$IS12-1,"")</f>
        <v>-3.0303680811335831E-2</v>
      </c>
      <c r="HR12" s="62">
        <f>IFERROR(Inv_SY_B!HR12/Inv_SY_B!$IS12-1,"")</f>
        <v>-7.5069210138960507E-3</v>
      </c>
      <c r="HS12" s="62">
        <f>IFERROR(Inv_SY_B!HS12/Inv_SY_B!$IS12-1,"")</f>
        <v>1.24937028040919E-2</v>
      </c>
      <c r="HT12" s="62">
        <f>IFERROR(Inv_SY_B!HT12/Inv_SY_B!$IS12-1,"")</f>
        <v>1.3399236944857451E-2</v>
      </c>
      <c r="HU12" s="62">
        <f>IFERROR(Inv_SY_B!HU12/Inv_SY_B!$IS12-1,"")</f>
        <v>1.2272441068339246E-2</v>
      </c>
      <c r="HV12" s="62">
        <f>IFERROR(Inv_SY_B!HV12/Inv_SY_B!$IS12-1,"")</f>
        <v>-2.9393032646548578E-3</v>
      </c>
      <c r="HW12" s="62">
        <f>IFERROR(Inv_SY_B!HW12/Inv_SY_B!$IS12-1,"")</f>
        <v>2.5437514345621581E-2</v>
      </c>
      <c r="HX12" s="62">
        <f>IFERROR(Inv_SY_B!HX12/Inv_SY_B!$IS12-1,"")</f>
        <v>2.1952642007517342E-2</v>
      </c>
      <c r="HY12" s="62">
        <f>IFERROR(Inv_SY_B!HY12/Inv_SY_B!$IS12-1,"")</f>
        <v>1.0735901236723633E-2</v>
      </c>
      <c r="HZ12" s="62">
        <f>IFERROR(Inv_SY_B!HZ12/Inv_SY_B!$IS12-1,"")</f>
        <v>5.4092298204564404E-3</v>
      </c>
      <c r="IA12" s="62">
        <f>IFERROR(Inv_SY_B!IA12/Inv_SY_B!$IS12-1,"")</f>
        <v>-6.9936731385312756E-3</v>
      </c>
      <c r="IB12" s="62">
        <f>IFERROR(Inv_SY_B!IB12/Inv_SY_B!$IS12-1,"")</f>
        <v>-2.4531678911403287E-2</v>
      </c>
      <c r="IC12" s="62">
        <f>IFERROR(Inv_SY_B!IC12/Inv_SY_B!$IS12-1,"")</f>
        <v>-7.7767109245030497E-4</v>
      </c>
      <c r="ID12" s="62">
        <f>IFERROR(Inv_SY_B!ID12/Inv_SY_B!$IS12-1,"")</f>
        <v>-3.3676719449842185E-3</v>
      </c>
      <c r="IE12" s="62">
        <f>IFERROR(Inv_SY_B!IE12/Inv_SY_B!$IS12-1,"")</f>
        <v>-1.090975442756259E-2</v>
      </c>
      <c r="IF12" s="62" t="str">
        <f>IFERROR(Inv_SY_B!IF12/Inv_SY_B!$IS12-1,"")</f>
        <v/>
      </c>
      <c r="IG12" s="62">
        <f>IFERROR(Inv_SY_B!IG12/Inv_SY_B!$IS12-1,"")</f>
        <v>5.7457541396582323E-2</v>
      </c>
      <c r="IH12" s="62">
        <f>IFERROR(Inv_SY_B!IH12/Inv_SY_B!$IS12-1,"")</f>
        <v>-1.2191536918444212E-2</v>
      </c>
      <c r="II12" s="62">
        <f>IFERROR(Inv_SY_B!II12/Inv_SY_B!$IS12-1,"")</f>
        <v>2.9844017876781148E-3</v>
      </c>
      <c r="IJ12" s="62">
        <f>IFERROR(Inv_SY_B!IJ12/Inv_SY_B!$IS12-1,"")</f>
        <v>-1.0849896630081735E-2</v>
      </c>
      <c r="IK12" s="62">
        <f>IFERROR(Inv_SY_B!IK12/Inv_SY_B!$IS12-1,"")</f>
        <v>-1.4763675696132905E-2</v>
      </c>
      <c r="IL12" s="62" t="str">
        <f>IFERROR(Inv_SY_B!IL12/Inv_SY_B!$IS12-1,"")</f>
        <v/>
      </c>
      <c r="IM12" s="62" t="str">
        <f>IFERROR(Inv_SY_B!IM12/Inv_SY_B!$IS12-1,"")</f>
        <v/>
      </c>
      <c r="IN12" s="62">
        <f>IFERROR(Inv_SY_B!IN12/Inv_SY_B!$IS12-1,"")</f>
        <v>6.8337841313028225E-2</v>
      </c>
      <c r="IO12" s="62">
        <f>IFERROR(Inv_SY_B!IO12/Inv_SY_B!$IS12-1,"")</f>
        <v>6.2695211869473466E-2</v>
      </c>
      <c r="IP12" s="62">
        <f>IFERROR(Inv_SY_B!IP12/Inv_SY_B!$IS12-1,"")</f>
        <v>0.18878912213374566</v>
      </c>
      <c r="IQ12" s="62">
        <f>IFERROR(Inv_SY_B!IQ12/Inv_SY_B!$IS12-1,"")</f>
        <v>-1.1655674673092253E-2</v>
      </c>
      <c r="IR12" s="62">
        <f>IFERROR(Inv_SY_B!IR12/Inv_SY_B!$IS12-1,"")</f>
        <v>-3.3174181970990757E-3</v>
      </c>
    </row>
    <row r="13" spans="2:253" x14ac:dyDescent="0.25">
      <c r="B13" s="85">
        <f t="shared" si="0"/>
        <v>45839</v>
      </c>
      <c r="C13" s="62">
        <f>IFERROR(Inv_SY_B!C13/Inv_SY_B!$IS13-1,"")</f>
        <v>1.8336802648593498E-2</v>
      </c>
      <c r="D13" s="62">
        <f>IFERROR(Inv_SY_B!D13/Inv_SY_B!$IS13-1,"")</f>
        <v>3.6682095150420757E-2</v>
      </c>
      <c r="E13" s="62">
        <f>IFERROR(Inv_SY_B!E13/Inv_SY_B!$IS13-1,"")</f>
        <v>3.907621351150814E-2</v>
      </c>
      <c r="F13" s="62">
        <f>IFERROR(Inv_SY_B!F13/Inv_SY_B!$IS13-1,"")</f>
        <v>3.3826459996834091E-2</v>
      </c>
      <c r="G13" s="62">
        <f>IFERROR(Inv_SY_B!G13/Inv_SY_B!$IS13-1,"")</f>
        <v>3.3566856801053868E-2</v>
      </c>
      <c r="H13" s="62">
        <f>IFERROR(Inv_SY_B!H13/Inv_SY_B!$IS13-1,"")</f>
        <v>3.2701512815118461E-2</v>
      </c>
      <c r="I13" s="62">
        <f>IFERROR(Inv_SY_B!I13/Inv_SY_B!$IS13-1,"")</f>
        <v>3.7951266329792288E-2</v>
      </c>
      <c r="J13" s="62">
        <f>IFERROR(Inv_SY_B!J13/Inv_SY_B!$IS13-1,"")</f>
        <v>4.0951125481034634E-2</v>
      </c>
      <c r="K13" s="62">
        <f>IFERROR(Inv_SY_B!K13/Inv_SY_B!$IS13-1,"")</f>
        <v>-9.8242339136602519E-2</v>
      </c>
      <c r="L13" s="62">
        <f>IFERROR(Inv_SY_B!L13/Inv_SY_B!$IS13-1,"")</f>
        <v>-2.2645888525299696E-2</v>
      </c>
      <c r="M13" s="62">
        <f>IFERROR(Inv_SY_B!M13/Inv_SY_B!$IS13-1,"")</f>
        <v>6.1387665948871906E-2</v>
      </c>
      <c r="N13" s="62">
        <f>IFERROR(Inv_SY_B!N13/Inv_SY_B!$IS13-1,"")</f>
        <v>5.4450491661623968E-2</v>
      </c>
      <c r="O13" s="62">
        <f>IFERROR(Inv_SY_B!O13/Inv_SY_B!$IS13-1,"")</f>
        <v>-9.6714976961771448E-3</v>
      </c>
      <c r="P13" s="62">
        <f>IFERROR(Inv_SY_B!P13/Inv_SY_B!$IS13-1,"")</f>
        <v>6.4404569754382246E-2</v>
      </c>
      <c r="Q13" s="62">
        <f>IFERROR(Inv_SY_B!Q13/Inv_SY_B!$IS13-1,"")</f>
        <v>3.6451336754171226E-2</v>
      </c>
      <c r="R13" s="62">
        <f>IFERROR(Inv_SY_B!R13/Inv_SY_B!$IS13-1,"")</f>
        <v>3.6826319148076436E-2</v>
      </c>
      <c r="S13" s="62">
        <f>IFERROR(Inv_SY_B!S13/Inv_SY_B!$IS13-1,"")</f>
        <v>2.6514303315681387E-2</v>
      </c>
      <c r="T13" s="62">
        <f>IFERROR(Inv_SY_B!T13/Inv_SY_B!$IS13-1,"")</f>
        <v>2.2576988179676016E-2</v>
      </c>
      <c r="U13" s="62">
        <f>IFERROR(Inv_SY_B!U13/Inv_SY_B!$IS13-1,"")</f>
        <v>3.6682095150420757E-2</v>
      </c>
      <c r="V13" s="62">
        <f>IFERROR(Inv_SY_B!V13/Inv_SY_B!$IS13-1,"")</f>
        <v>3.4951407178550165E-2</v>
      </c>
      <c r="W13" s="62">
        <f>IFERROR(Inv_SY_B!W13/Inv_SY_B!$IS13-1,"")</f>
        <v>3.7951266329792288E-2</v>
      </c>
      <c r="X13" s="62">
        <f>IFERROR(Inv_SY_B!X13/Inv_SY_B!$IS13-1,"")</f>
        <v>4.4325967026181967E-2</v>
      </c>
      <c r="Y13" s="62">
        <f>IFERROR(Inv_SY_B!Y13/Inv_SY_B!$IS13-1,"")</f>
        <v>1.6433045879535868E-2</v>
      </c>
      <c r="Z13" s="62">
        <f>IFERROR(Inv_SY_B!Z13/Inv_SY_B!$IS13-1,"")</f>
        <v>5.3617197452945797E-2</v>
      </c>
      <c r="AA13" s="62">
        <f>IFERROR(Inv_SY_B!AA13/Inv_SY_B!$IS13-1,"")</f>
        <v>4.7758498170391572E-2</v>
      </c>
      <c r="AB13" s="62">
        <f>IFERROR(Inv_SY_B!AB13/Inv_SY_B!$IS13-1,"")</f>
        <v>4.0489608688535572E-2</v>
      </c>
      <c r="AC13" s="62">
        <f>IFERROR(Inv_SY_B!AC13/Inv_SY_B!$IS13-1,"")</f>
        <v>3.4259131989801794E-2</v>
      </c>
      <c r="AD13" s="62">
        <f>IFERROR(Inv_SY_B!AD13/Inv_SY_B!$IS13-1,"")</f>
        <v>3.8117925171527789E-2</v>
      </c>
      <c r="AE13" s="62">
        <f>IFERROR(Inv_SY_B!AE13/Inv_SY_B!$IS13-1,"")</f>
        <v>4.8950749884346889E-2</v>
      </c>
      <c r="AF13" s="62">
        <f>IFERROR(Inv_SY_B!AF13/Inv_SY_B!$IS13-1,"")</f>
        <v>4.1195214574498706E-3</v>
      </c>
      <c r="AG13" s="62">
        <f>IFERROR(Inv_SY_B!AG13/Inv_SY_B!$IS13-1,"")</f>
        <v>2.5285194357880902E-2</v>
      </c>
      <c r="AH13" s="62">
        <f>IFERROR(Inv_SY_B!AH13/Inv_SY_B!$IS13-1,"")</f>
        <v>1.9952111422339325E-2</v>
      </c>
      <c r="AI13" s="62">
        <f>IFERROR(Inv_SY_B!AI13/Inv_SY_B!$IS13-1,"")</f>
        <v>1.8519395672040861E-2</v>
      </c>
      <c r="AJ13" s="62">
        <f>IFERROR(Inv_SY_B!AJ13/Inv_SY_B!$IS13-1,"")</f>
        <v>3.2476557004456952E-2</v>
      </c>
      <c r="AK13" s="62">
        <f>IFERROR(Inv_SY_B!AK13/Inv_SY_B!$IS13-1,"")</f>
        <v>2.0702076210149745E-2</v>
      </c>
      <c r="AL13" s="62">
        <f>IFERROR(Inv_SY_B!AL13/Inv_SY_B!$IS13-1,"")</f>
        <v>-1.1860546806666705E-2</v>
      </c>
      <c r="AM13" s="62">
        <f>IFERROR(Inv_SY_B!AM13/Inv_SY_B!$IS13-1,"")</f>
        <v>4.952815666128263E-3</v>
      </c>
      <c r="AN13" s="62">
        <f>IFERROR(Inv_SY_B!AN13/Inv_SY_B!$IS13-1,"")</f>
        <v>-2.2983372679814318E-2</v>
      </c>
      <c r="AO13" s="62">
        <f>IFERROR(Inv_SY_B!AO13/Inv_SY_B!$IS13-1,"")</f>
        <v>-2.5468322119771569E-3</v>
      </c>
      <c r="AP13" s="62">
        <f>IFERROR(Inv_SY_B!AP13/Inv_SY_B!$IS13-1,"")</f>
        <v>6.4527452417493247E-3</v>
      </c>
      <c r="AQ13" s="62">
        <f>IFERROR(Inv_SY_B!AQ13/Inv_SY_B!$IS13-1,"")</f>
        <v>-1.3796304029135231E-2</v>
      </c>
      <c r="AR13" s="62">
        <f>IFERROR(Inv_SY_B!AR13/Inv_SY_B!$IS13-1,"")</f>
        <v>-8.1715681205561941E-3</v>
      </c>
      <c r="AS13" s="62">
        <f>IFERROR(Inv_SY_B!AS13/Inv_SY_B!$IS13-1,"")</f>
        <v>7.5776924234651766E-3</v>
      </c>
      <c r="AT13" s="62">
        <f>IFERROR(Inv_SY_B!AT13/Inv_SY_B!$IS13-1,"")</f>
        <v>7.2027100295599666E-3</v>
      </c>
      <c r="AU13" s="62">
        <f>IFERROR(Inv_SY_B!AU13/Inv_SY_B!$IS13-1,"")</f>
        <v>1.4702357907665498E-2</v>
      </c>
      <c r="AV13" s="62">
        <f>IFERROR(Inv_SY_B!AV13/Inv_SY_B!$IS13-1,"")</f>
        <v>-1.0608953680940281E-2</v>
      </c>
      <c r="AW13" s="62">
        <f>IFERROR(Inv_SY_B!AW13/Inv_SY_B!$IS13-1,"")</f>
        <v>-8.3157921182120953E-3</v>
      </c>
      <c r="AX13" s="62">
        <f>IFERROR(Inv_SY_B!AX13/Inv_SY_B!$IS13-1,"")</f>
        <v>1.0952533968612732E-2</v>
      </c>
      <c r="AY13" s="62">
        <f>IFERROR(Inv_SY_B!AY13/Inv_SY_B!$IS13-1,"")</f>
        <v>1.0652548053488475E-2</v>
      </c>
      <c r="AZ13" s="62">
        <f>IFERROR(Inv_SY_B!AZ13/Inv_SY_B!$IS13-1,"")</f>
        <v>-1.1306420933604344E-2</v>
      </c>
      <c r="BA13" s="62">
        <f>IFERROR(Inv_SY_B!BA13/Inv_SY_B!$IS13-1,"")</f>
        <v>1.6952252271096979E-2</v>
      </c>
      <c r="BB13" s="62">
        <f>IFERROR(Inv_SY_B!BB13/Inv_SY_B!$IS13-1,"")</f>
        <v>2.7076776906539202E-2</v>
      </c>
      <c r="BC13" s="62">
        <f>IFERROR(Inv_SY_B!BC13/Inv_SY_B!$IS13-1,"")</f>
        <v>-1.171306850743925E-2</v>
      </c>
      <c r="BD13" s="62">
        <f>IFERROR(Inv_SY_B!BD13/Inv_SY_B!$IS13-1,"")</f>
        <v>-6.7133032553688965E-3</v>
      </c>
      <c r="BE13" s="62">
        <f>IFERROR(Inv_SY_B!BE13/Inv_SY_B!$IS13-1,"")</f>
        <v>-1.1777168061953058E-2</v>
      </c>
      <c r="BF13" s="62">
        <f>IFERROR(Inv_SY_B!BF13/Inv_SY_B!$IS13-1,"")</f>
        <v>-6.7133032553688965E-3</v>
      </c>
      <c r="BG13" s="62">
        <f>IFERROR(Inv_SY_B!BG13/Inv_SY_B!$IS13-1,"")</f>
        <v>-9.8042348526519607E-2</v>
      </c>
      <c r="BH13" s="62">
        <f>IFERROR(Inv_SY_B!BH13/Inv_SY_B!$IS13-1,"")</f>
        <v>1.05775515747073E-2</v>
      </c>
      <c r="BI13" s="62">
        <f>IFERROR(Inv_SY_B!BI13/Inv_SY_B!$IS13-1,"")</f>
        <v>-2.0046010594223174E-2</v>
      </c>
      <c r="BJ13" s="62">
        <f>IFERROR(Inv_SY_B!BJ13/Inv_SY_B!$IS13-1,"")</f>
        <v>-1.6712833759509604E-2</v>
      </c>
      <c r="BK13" s="62">
        <f>IFERROR(Inv_SY_B!BK13/Inv_SY_B!$IS13-1,"")</f>
        <v>-1.0046480090082577E-2</v>
      </c>
      <c r="BL13" s="62">
        <f>IFERROR(Inv_SY_B!BL13/Inv_SY_B!$IS13-1,"")</f>
        <v>-1.1860546806666705E-2</v>
      </c>
      <c r="BM13" s="62">
        <f>IFERROR(Inv_SY_B!BM13/Inv_SY_B!$IS13-1,"")</f>
        <v>1.2029917270757196E-3</v>
      </c>
      <c r="BN13" s="62">
        <f>IFERROR(Inv_SY_B!BN13/Inv_SY_B!$IS13-1,"")</f>
        <v>4.4724459288043583E-2</v>
      </c>
      <c r="BO13" s="62">
        <f>IFERROR(Inv_SY_B!BO13/Inv_SY_B!$IS13-1,"")</f>
        <v>1.4356220313291423E-2</v>
      </c>
      <c r="BP13" s="62">
        <f>IFERROR(Inv_SY_B!BP13/Inv_SY_B!$IS13-1,"")</f>
        <v>1.0721775572363201E-2</v>
      </c>
      <c r="BQ13" s="62">
        <f>IFERROR(Inv_SY_B!BQ13/Inv_SY_B!$IS13-1,"")</f>
        <v>1.0721775572363201E-2</v>
      </c>
      <c r="BR13" s="62">
        <f>IFERROR(Inv_SY_B!BR13/Inv_SY_B!$IS13-1,"")</f>
        <v>-1.5238544005694021E-2</v>
      </c>
      <c r="BS13" s="62">
        <f>IFERROR(Inv_SY_B!BS13/Inv_SY_B!$IS13-1,"")</f>
        <v>-2.1718498180717249E-3</v>
      </c>
      <c r="BT13" s="62">
        <f>IFERROR(Inv_SY_B!BT13/Inv_SY_B!$IS13-1,"")</f>
        <v>4.952815666128263E-3</v>
      </c>
      <c r="BU13" s="62">
        <f>IFERROR(Inv_SY_B!BU13/Inv_SY_B!$IS13-1,"")</f>
        <v>5.8902716508915098E-3</v>
      </c>
      <c r="BV13" s="62">
        <f>IFERROR(Inv_SY_B!BV13/Inv_SY_B!$IS13-1,"")</f>
        <v>-1.97960223316197E-2</v>
      </c>
      <c r="BW13" s="62">
        <f>IFERROR(Inv_SY_B!BW13/Inv_SY_B!$IS13-1,"")</f>
        <v>-7.9840769236034781E-3</v>
      </c>
      <c r="BX13" s="62">
        <f>IFERROR(Inv_SY_B!BX13/Inv_SY_B!$IS13-1,"")</f>
        <v>1.488984910461788E-2</v>
      </c>
      <c r="BY13" s="62">
        <f>IFERROR(Inv_SY_B!BY13/Inv_SY_B!$IS13-1,"")</f>
        <v>-1.7135380032987646E-3</v>
      </c>
      <c r="BZ13" s="62">
        <f>IFERROR(Inv_SY_B!BZ13/Inv_SY_B!$IS13-1,"")</f>
        <v>-2.0046010594223174E-2</v>
      </c>
      <c r="CA13" s="62">
        <f>IFERROR(Inv_SY_B!CA13/Inv_SY_B!$IS13-1,"")</f>
        <v>-1.6712833759509604E-2</v>
      </c>
      <c r="CB13" s="62">
        <f>IFERROR(Inv_SY_B!CB13/Inv_SY_B!$IS13-1,"")</f>
        <v>1.2029917270757196E-3</v>
      </c>
      <c r="CC13" s="62">
        <f>IFERROR(Inv_SY_B!CC13/Inv_SY_B!$IS13-1,"")</f>
        <v>1.9529565148861394E-3</v>
      </c>
      <c r="CD13" s="62">
        <f>IFERROR(Inv_SY_B!CD13/Inv_SY_B!$IS13-1,"")</f>
        <v>-1.8699919949434984E-2</v>
      </c>
      <c r="CE13" s="62">
        <f>IFERROR(Inv_SY_B!CE13/Inv_SY_B!$IS13-1,"")</f>
        <v>-8.1715681205561941E-3</v>
      </c>
      <c r="CF13" s="62">
        <f>IFERROR(Inv_SY_B!CF13/Inv_SY_B!$IS13-1,"")</f>
        <v>-1.7171145574282676E-2</v>
      </c>
      <c r="CG13" s="62">
        <f>IFERROR(Inv_SY_B!CG13/Inv_SY_B!$IS13-1,"")</f>
        <v>1.2264972347281189E-2</v>
      </c>
      <c r="CH13" s="62">
        <f>IFERROR(Inv_SY_B!CH13/Inv_SY_B!$IS13-1,"")</f>
        <v>-1.0469026363560952E-3</v>
      </c>
      <c r="CI13" s="62">
        <f>IFERROR(Inv_SY_B!CI13/Inv_SY_B!$IS13-1,"")</f>
        <v>-1.585870719561433E-2</v>
      </c>
      <c r="CJ13" s="62">
        <f>IFERROR(Inv_SY_B!CJ13/Inv_SY_B!$IS13-1,"")</f>
        <v>-1.9046057543809058E-2</v>
      </c>
      <c r="CK13" s="62">
        <f>IFERROR(Inv_SY_B!CK13/Inv_SY_B!$IS13-1,"")</f>
        <v>-1.7733619165140602E-2</v>
      </c>
      <c r="CL13" s="62">
        <f>IFERROR(Inv_SY_B!CL13/Inv_SY_B!$IS13-1,"")</f>
        <v>-1.984358621119231E-3</v>
      </c>
      <c r="CM13" s="62">
        <f>IFERROR(Inv_SY_B!CM13/Inv_SY_B!$IS13-1,"")</f>
        <v>-4.4217441815034286E-3</v>
      </c>
      <c r="CN13" s="62">
        <f>IFERROR(Inv_SY_B!CN13/Inv_SY_B!$IS13-1,"")</f>
        <v>-1.3796304029135231E-2</v>
      </c>
      <c r="CO13" s="62">
        <f>IFERROR(Inv_SY_B!CO13/Inv_SY_B!$IS13-1,"")</f>
        <v>-1.724614205306374E-2</v>
      </c>
      <c r="CP13" s="62">
        <f>IFERROR(Inv_SY_B!CP13/Inv_SY_B!$IS13-1,"")</f>
        <v>-2.7180291011600355E-2</v>
      </c>
      <c r="CQ13" s="62">
        <f>IFERROR(Inv_SY_B!CQ13/Inv_SY_B!$IS13-1,"")</f>
        <v>4.952815666128263E-3</v>
      </c>
      <c r="CR13" s="62">
        <f>IFERROR(Inv_SY_B!CR13/Inv_SY_B!$IS13-1,"")</f>
        <v>-1.9421039937714379E-2</v>
      </c>
      <c r="CS13" s="62">
        <f>IFERROR(Inv_SY_B!CS13/Inv_SY_B!$IS13-1,"")</f>
        <v>6.1968578100080052E-4</v>
      </c>
      <c r="CT13" s="62">
        <f>IFERROR(Inv_SY_B!CT13/Inv_SY_B!$IS13-1,"")</f>
        <v>-2.3593410150243299E-3</v>
      </c>
      <c r="CU13" s="62">
        <f>IFERROR(Inv_SY_B!CU13/Inv_SY_B!$IS13-1,"")</f>
        <v>-0.11879137432261133</v>
      </c>
      <c r="CV13" s="62">
        <f>IFERROR(Inv_SY_B!CV13/Inv_SY_B!$IS13-1,"")</f>
        <v>-2.3170863876767034E-2</v>
      </c>
      <c r="CW13" s="62">
        <f>IFERROR(Inv_SY_B!CW13/Inv_SY_B!$IS13-1,"")</f>
        <v>1.05775515747073E-2</v>
      </c>
      <c r="CX13" s="62">
        <f>IFERROR(Inv_SY_B!CX13/Inv_SY_B!$IS13-1,"")</f>
        <v>1.7514725861955238E-2</v>
      </c>
      <c r="CY13" s="62">
        <f>IFERROR(Inv_SY_B!CY13/Inv_SY_B!$IS13-1,"")</f>
        <v>-2.5468322119771569E-3</v>
      </c>
      <c r="CZ13" s="62">
        <f>IFERROR(Inv_SY_B!CZ13/Inv_SY_B!$IS13-1,"")</f>
        <v>8.7026396051810284E-3</v>
      </c>
      <c r="DA13" s="62">
        <f>IFERROR(Inv_SY_B!DA13/Inv_SY_B!$IS13-1,"")</f>
        <v>-6.719202424507742E-4</v>
      </c>
      <c r="DB13" s="62">
        <f>IFERROR(Inv_SY_B!DB13/Inv_SY_B!$IS13-1,"")</f>
        <v>1.3764901922902473E-2</v>
      </c>
      <c r="DC13" s="62">
        <f>IFERROR(Inv_SY_B!DC13/Inv_SY_B!$IS13-1,"")</f>
        <v>1.7952205321510872E-2</v>
      </c>
      <c r="DD13" s="62">
        <f>IFERROR(Inv_SY_B!DD13/Inv_SY_B!$IS13-1,"")</f>
        <v>-1.9046057543809058E-2</v>
      </c>
      <c r="DE13" s="62">
        <f>IFERROR(Inv_SY_B!DE13/Inv_SY_B!$IS13-1,"")</f>
        <v>1.6196388314146937E-3</v>
      </c>
      <c r="DF13" s="62">
        <f>IFERROR(Inv_SY_B!DF13/Inv_SY_B!$IS13-1,"")</f>
        <v>1.872916780088163E-3</v>
      </c>
      <c r="DG13" s="62">
        <f>IFERROR(Inv_SY_B!DG13/Inv_SY_B!$IS13-1,"")</f>
        <v>-1.7546127968187997E-2</v>
      </c>
      <c r="DH13" s="62">
        <f>IFERROR(Inv_SY_B!DH13/Inv_SY_B!$IS13-1,"")</f>
        <v>6.9527217669564934E-3</v>
      </c>
      <c r="DI13" s="62">
        <f>IFERROR(Inv_SY_B!DI13/Inv_SY_B!$IS13-1,"")</f>
        <v>3.9720924820683123E-3</v>
      </c>
      <c r="DJ13" s="62">
        <f>IFERROR(Inv_SY_B!DJ13/Inv_SY_B!$IS13-1,"")</f>
        <v>6.048918048312979E-3</v>
      </c>
      <c r="DK13" s="62">
        <f>IFERROR(Inv_SY_B!DK13/Inv_SY_B!$IS13-1,"")</f>
        <v>-1.6712833759509604E-2</v>
      </c>
      <c r="DL13" s="62">
        <f>IFERROR(Inv_SY_B!DL13/Inv_SY_B!$IS13-1,"")</f>
        <v>-1.171306850743925E-2</v>
      </c>
      <c r="DM13" s="62">
        <f>IFERROR(Inv_SY_B!DM13/Inv_SY_B!$IS13-1,"")</f>
        <v>-4.4217441815034286E-3</v>
      </c>
      <c r="DN13" s="62">
        <f>IFERROR(Inv_SY_B!DN13/Inv_SY_B!$IS13-1,"")</f>
        <v>-1.7546127968187997E-2</v>
      </c>
      <c r="DO13" s="62">
        <f>IFERROR(Inv_SY_B!DO13/Inv_SY_B!$IS13-1,"")</f>
        <v>-2.5259047866915241E-2</v>
      </c>
      <c r="DP13" s="62">
        <f>IFERROR(Inv_SY_B!DP13/Inv_SY_B!$IS13-1,"")</f>
        <v>-2.1712599011579847E-2</v>
      </c>
      <c r="DQ13" s="62">
        <f>IFERROR(Inv_SY_B!DQ13/Inv_SY_B!$IS13-1,"")</f>
        <v>4.7861568243927621E-3</v>
      </c>
      <c r="DR13" s="62">
        <f>IFERROR(Inv_SY_B!DR13/Inv_SY_B!$IS13-1,"")</f>
        <v>-1.4218850302611941E-3</v>
      </c>
      <c r="DS13" s="62">
        <f>IFERROR(Inv_SY_B!DS13/Inv_SY_B!$IS13-1,"")</f>
        <v>9.8275867868968803E-3</v>
      </c>
      <c r="DT13" s="62">
        <f>IFERROR(Inv_SY_B!DT13/Inv_SY_B!$IS13-1,"")</f>
        <v>-7.2710204582696947E-2</v>
      </c>
      <c r="DU13" s="62">
        <f>IFERROR(Inv_SY_B!DU13/Inv_SY_B!$IS13-1,"")</f>
        <v>-4.2544954228539433E-2</v>
      </c>
      <c r="DV13" s="62">
        <f>IFERROR(Inv_SY_B!DV13/Inv_SY_B!$IS13-1,"")</f>
        <v>6.4051813621768261E-4</v>
      </c>
      <c r="DW13" s="62">
        <f>IFERROR(Inv_SY_B!DW13/Inv_SY_B!$IS13-1,"")</f>
        <v>3.8278684844124111E-3</v>
      </c>
      <c r="DX13" s="62">
        <f>IFERROR(Inv_SY_B!DX13/Inv_SY_B!$IS13-1,"")</f>
        <v>-1.8379422176866389E-2</v>
      </c>
      <c r="DY13" s="62">
        <f>IFERROR(Inv_SY_B!DY13/Inv_SY_B!$IS13-1,"")</f>
        <v>-1.7546127968187997E-2</v>
      </c>
      <c r="DZ13" s="62">
        <f>IFERROR(Inv_SY_B!DZ13/Inv_SY_B!$IS13-1,"")</f>
        <v>4.2028508783178431E-3</v>
      </c>
      <c r="EA13" s="62">
        <f>IFERROR(Inv_SY_B!EA13/Inv_SY_B!$IS13-1,"")</f>
        <v>-2.0879304802901566E-2</v>
      </c>
      <c r="EB13" s="62">
        <f>IFERROR(Inv_SY_B!EB13/Inv_SY_B!$IS13-1,"")</f>
        <v>3.2862272487717004E-3</v>
      </c>
      <c r="EC13" s="62">
        <f>IFERROR(Inv_SY_B!EC13/Inv_SY_B!$IS13-1,"")</f>
        <v>-1.0046480090082577E-2</v>
      </c>
      <c r="ED13" s="62">
        <f>IFERROR(Inv_SY_B!ED13/Inv_SY_B!$IS13-1,"")</f>
        <v>1.6433045879535868E-2</v>
      </c>
      <c r="EE13" s="62">
        <f>IFERROR(Inv_SY_B!EE13/Inv_SY_B!$IS13-1,"")</f>
        <v>-1.8699919949434984E-2</v>
      </c>
      <c r="EF13" s="62">
        <f>IFERROR(Inv_SY_B!EF13/Inv_SY_B!$IS13-1,"")</f>
        <v>-1.8227914138924772E-2</v>
      </c>
      <c r="EG13" s="62">
        <f>IFERROR(Inv_SY_B!EG13/Inv_SY_B!$IS13-1,"")</f>
        <v>1.2029917270757196E-3</v>
      </c>
      <c r="EH13" s="62">
        <f>IFERROR(Inv_SY_B!EH13/Inv_SY_B!$IS13-1,"")</f>
        <v>-1.6300557079341749E-2</v>
      </c>
      <c r="EI13" s="62">
        <f>IFERROR(Inv_SY_B!EI13/Inv_SY_B!$IS13-1,"")</f>
        <v>-1.4550202198700068E-2</v>
      </c>
      <c r="EJ13" s="62">
        <f>IFERROR(Inv_SY_B!EJ13/Inv_SY_B!$IS13-1,"")</f>
        <v>-5.7984277954913344E-3</v>
      </c>
      <c r="EK13" s="62">
        <f>IFERROR(Inv_SY_B!EK13/Inv_SY_B!$IS13-1,"")</f>
        <v>7.5926917192212784E-3</v>
      </c>
      <c r="EL13" s="62">
        <f>IFERROR(Inv_SY_B!EL13/Inv_SY_B!$IS13-1,"")</f>
        <v>1.05775515747073E-2</v>
      </c>
      <c r="EM13" s="62">
        <f>IFERROR(Inv_SY_B!EM13/Inv_SY_B!$IS13-1,"")</f>
        <v>2.3355797767017794E-2</v>
      </c>
      <c r="EN13" s="62">
        <f>IFERROR(Inv_SY_B!EN13/Inv_SY_B!$IS13-1,"")</f>
        <v>1.8856009040154609E-2</v>
      </c>
      <c r="EO13" s="62">
        <f>IFERROR(Inv_SY_B!EO13/Inv_SY_B!$IS13-1,"")</f>
        <v>-3.4842881967401818E-3</v>
      </c>
      <c r="EP13" s="62">
        <f>IFERROR(Inv_SY_B!EP13/Inv_SY_B!$IS13-1,"")</f>
        <v>-5.2005537688453174E-3</v>
      </c>
      <c r="EQ13" s="62">
        <f>IFERROR(Inv_SY_B!EQ13/Inv_SY_B!$IS13-1,"")</f>
        <v>-1.9421039937714379E-2</v>
      </c>
      <c r="ER13" s="62">
        <f>IFERROR(Inv_SY_B!ER13/Inv_SY_B!$IS13-1,"")</f>
        <v>7.2603996286222383E-3</v>
      </c>
      <c r="ES13" s="62">
        <f>IFERROR(Inv_SY_B!ES13/Inv_SY_B!$IS13-1,"")</f>
        <v>2.2576988179676016E-2</v>
      </c>
      <c r="ET13" s="62">
        <f>IFERROR(Inv_SY_B!ET13/Inv_SY_B!$IS13-1,"")</f>
        <v>-0.11845048123724289</v>
      </c>
      <c r="EU13" s="62">
        <f>IFERROR(Inv_SY_B!EU13/Inv_SY_B!$IS13-1,"")</f>
        <v>2.2836591375456683E-2</v>
      </c>
      <c r="EV13" s="62">
        <f>IFERROR(Inv_SY_B!EV13/Inv_SY_B!$IS13-1,"")</f>
        <v>2.110590340358609E-2</v>
      </c>
      <c r="EW13" s="62">
        <f>IFERROR(Inv_SY_B!EW13/Inv_SY_B!$IS13-1,"")</f>
        <v>3.3764774114031226E-4</v>
      </c>
      <c r="EX13" s="62">
        <f>IFERROR(Inv_SY_B!EX13/Inv_SY_B!$IS13-1,"")</f>
        <v>-8.1715681205561941E-3</v>
      </c>
      <c r="EY13" s="62">
        <f>IFERROR(Inv_SY_B!EY13/Inv_SY_B!$IS13-1,"")</f>
        <v>2.4285241307466787E-2</v>
      </c>
      <c r="EZ13" s="62">
        <f>IFERROR(Inv_SY_B!EZ13/Inv_SY_B!$IS13-1,"")</f>
        <v>-8.1715681205561941E-3</v>
      </c>
      <c r="FA13" s="62">
        <f>IFERROR(Inv_SY_B!FA13/Inv_SY_B!$IS13-1,"")</f>
        <v>3.0779036966017692E-3</v>
      </c>
      <c r="FB13" s="62">
        <f>IFERROR(Inv_SY_B!FB13/Inv_SY_B!$IS13-1,"")</f>
        <v>1.3764901922902473E-2</v>
      </c>
      <c r="FC13" s="62">
        <f>IFERROR(Inv_SY_B!FC13/Inv_SY_B!$IS13-1,"")</f>
        <v>-1.7546127968187997E-2</v>
      </c>
      <c r="FD13" s="62">
        <f>IFERROR(Inv_SY_B!FD13/Inv_SY_B!$IS13-1,"")</f>
        <v>1.0015077983849707E-2</v>
      </c>
      <c r="FE13" s="62">
        <f>IFERROR(Inv_SY_B!FE13/Inv_SY_B!$IS13-1,"")</f>
        <v>3.0992095144375398E-3</v>
      </c>
      <c r="FF13" s="62">
        <f>IFERROR(Inv_SY_B!FF13/Inv_SY_B!$IS13-1,"")</f>
        <v>1.2580298451247085E-2</v>
      </c>
      <c r="FG13" s="62">
        <f>IFERROR(Inv_SY_B!FG13/Inv_SY_B!$IS13-1,"")</f>
        <v>-5.5391159613221719E-3</v>
      </c>
      <c r="FH13" s="62">
        <f>IFERROR(Inv_SY_B!FH13/Inv_SY_B!$IS13-1,"")</f>
        <v>-1.4725237686764148E-2</v>
      </c>
      <c r="FI13" s="62">
        <f>IFERROR(Inv_SY_B!FI13/Inv_SY_B!$IS13-1,"")</f>
        <v>1.7889708255860226E-2</v>
      </c>
      <c r="FJ13" s="62">
        <f>IFERROR(Inv_SY_B!FJ13/Inv_SY_B!$IS13-1,"")</f>
        <v>-0.10498520436518999</v>
      </c>
      <c r="FK13" s="62">
        <f>IFERROR(Inv_SY_B!FK13/Inv_SY_B!$IS13-1,"")</f>
        <v>-2.0708858260217289E-2</v>
      </c>
      <c r="FL13" s="62">
        <f>IFERROR(Inv_SY_B!FL13/Inv_SY_B!$IS13-1,"")</f>
        <v>6.4820620470911194E-3</v>
      </c>
      <c r="FM13" s="62">
        <f>IFERROR(Inv_SY_B!FM13/Inv_SY_B!$IS13-1,"")</f>
        <v>1.5235003353553545E-2</v>
      </c>
      <c r="FN13" s="62">
        <f>IFERROR(Inv_SY_B!FN13/Inv_SY_B!$IS13-1,"")</f>
        <v>-0.10835625820938888</v>
      </c>
      <c r="FO13" s="62">
        <f>IFERROR(Inv_SY_B!FO13/Inv_SY_B!$IS13-1,"")</f>
        <v>1.0304837106412723E-2</v>
      </c>
      <c r="FP13" s="62">
        <f>IFERROR(Inv_SY_B!FP13/Inv_SY_B!$IS13-1,"")</f>
        <v>-7.3527429295012769E-3</v>
      </c>
      <c r="FQ13" s="62">
        <f>IFERROR(Inv_SY_B!FQ13/Inv_SY_B!$IS13-1,"")</f>
        <v>-3.7120047777664533E-3</v>
      </c>
      <c r="FR13" s="62">
        <f>IFERROR(Inv_SY_B!FR13/Inv_SY_B!$IS13-1,"")</f>
        <v>1.0209548194888285E-3</v>
      </c>
      <c r="FS13" s="62">
        <f>IFERROR(Inv_SY_B!FS13/Inv_SY_B!$IS13-1,"")</f>
        <v>-3.5164836548028378E-3</v>
      </c>
      <c r="FT13" s="62">
        <f>IFERROR(Inv_SY_B!FT13/Inv_SY_B!$IS13-1,"")</f>
        <v>-6.0784845763940387E-3</v>
      </c>
      <c r="FU13" s="62">
        <f>IFERROR(Inv_SY_B!FU13/Inv_SY_B!$IS13-1,"")</f>
        <v>-1.7337804416018399E-2</v>
      </c>
      <c r="FV13" s="62">
        <f>IFERROR(Inv_SY_B!FV13/Inv_SY_B!$IS13-1,"")</f>
        <v>-6.6681605060479932E-2</v>
      </c>
      <c r="FW13" s="62">
        <f>IFERROR(Inv_SY_B!FW13/Inv_SY_B!$IS13-1,"")</f>
        <v>-6.3818794223718944E-3</v>
      </c>
      <c r="FX13" s="62">
        <f>IFERROR(Inv_SY_B!FX13/Inv_SY_B!$IS13-1,"")</f>
        <v>-7.3299883160529156E-3</v>
      </c>
      <c r="FY13" s="62">
        <f>IFERROR(Inv_SY_B!FY13/Inv_SY_B!$IS13-1,"")</f>
        <v>-1.1567459638636146E-3</v>
      </c>
      <c r="FZ13" s="62">
        <f>IFERROR(Inv_SY_B!FZ13/Inv_SY_B!$IS13-1,"")</f>
        <v>-1.586296835918144E-2</v>
      </c>
      <c r="GA13" s="62">
        <f>IFERROR(Inv_SY_B!GA13/Inv_SY_B!$IS13-1,"")</f>
        <v>-2.9978599864645128E-3</v>
      </c>
      <c r="GB13" s="62">
        <f>IFERROR(Inv_SY_B!GB13/Inv_SY_B!$IS13-1,"")</f>
        <v>-2.5765439026515624E-2</v>
      </c>
      <c r="GC13" s="62">
        <f>IFERROR(Inv_SY_B!GC13/Inv_SY_B!$IS13-1,"")</f>
        <v>-5.5391159613221719E-3</v>
      </c>
      <c r="GD13" s="62">
        <f>IFERROR(Inv_SY_B!GD13/Inv_SY_B!$IS13-1,"")</f>
        <v>-6.1737734879174777E-4</v>
      </c>
      <c r="GE13" s="62">
        <f>IFERROR(Inv_SY_B!GE13/Inv_SY_B!$IS13-1,"")</f>
        <v>1.3805546867696084E-2</v>
      </c>
      <c r="GF13" s="62">
        <f>IFERROR(Inv_SY_B!GF13/Inv_SY_B!$IS13-1,"")</f>
        <v>-1.7337804416018399E-2</v>
      </c>
      <c r="GG13" s="62">
        <f>IFERROR(Inv_SY_B!GG13/Inv_SY_B!$IS13-1,"")</f>
        <v>-7.898853652261395E-3</v>
      </c>
      <c r="GH13" s="62">
        <f>IFERROR(Inv_SY_B!GH13/Inv_SY_B!$IS13-1,"")</f>
        <v>-2.0641437183333333E-2</v>
      </c>
      <c r="GI13" s="62">
        <f>IFERROR(Inv_SY_B!GI13/Inv_SY_B!$IS13-1,"")</f>
        <v>3.0233608029428538E-3</v>
      </c>
      <c r="GJ13" s="62">
        <f>IFERROR(Inv_SY_B!GJ13/Inv_SY_B!$IS13-1,"")</f>
        <v>-0.13357433408233832</v>
      </c>
      <c r="GK13" s="62">
        <f>IFERROR(Inv_SY_B!GK13/Inv_SY_B!$IS13-1,"")</f>
        <v>3.0992095144375398E-3</v>
      </c>
      <c r="GL13" s="62">
        <f>IFERROR(Inv_SY_B!GL13/Inv_SY_B!$IS13-1,"")</f>
        <v>1.8268951813332546E-2</v>
      </c>
      <c r="GM13" s="62">
        <f>IFERROR(Inv_SY_B!GM13/Inv_SY_B!$IS13-1,"")</f>
        <v>-6.9322606028632272E-4</v>
      </c>
      <c r="GN13" s="62">
        <f>IFERROR(Inv_SY_B!GN13/Inv_SY_B!$IS13-1,"")</f>
        <v>-4.4856616350100742E-3</v>
      </c>
      <c r="GO13" s="62">
        <f>IFERROR(Inv_SY_B!GO13/Inv_SY_B!$IS13-1,"")</f>
        <v>-2.5723300853463194E-2</v>
      </c>
      <c r="GP13" s="62">
        <f>IFERROR(Inv_SY_B!GP13/Inv_SY_B!$IS13-1,"")</f>
        <v>-2.5894438476481429E-3</v>
      </c>
      <c r="GQ13" s="62">
        <f>IFERROR(Inv_SY_B!GQ13/Inv_SY_B!$IS13-1,"")</f>
        <v>-9.036584324678576E-3</v>
      </c>
      <c r="GR13" s="62">
        <f>IFERROR(Inv_SY_B!GR13/Inv_SY_B!$IS13-1,"")</f>
        <v>-1.3208263456874758E-2</v>
      </c>
      <c r="GS13" s="62" t="str">
        <f>IFERROR(Inv_SY_B!GS13/Inv_SY_B!$IS13-1,"")</f>
        <v/>
      </c>
      <c r="GT13" s="62" t="str">
        <f>IFERROR(Inv_SY_B!GT13/Inv_SY_B!$IS13-1,"")</f>
        <v/>
      </c>
      <c r="GU13" s="62">
        <f>IFERROR(Inv_SY_B!GU13/Inv_SY_B!$IS13-1,"")</f>
        <v>-1</v>
      </c>
      <c r="GV13" s="62">
        <f>IFERROR(Inv_SY_B!GV13/Inv_SY_B!$IS13-1,"")</f>
        <v>2.5179418081462401E-3</v>
      </c>
      <c r="GW13" s="62">
        <f>IFERROR(Inv_SY_B!GW13/Inv_SY_B!$IS13-1,"")</f>
        <v>-1.7666687717891483E-2</v>
      </c>
      <c r="GX13" s="62" t="str">
        <f>IFERROR(Inv_SY_B!GX13/Inv_SY_B!$IS13-1,"")</f>
        <v/>
      </c>
      <c r="GY13" s="62">
        <f>IFERROR(Inv_SY_B!GY13/Inv_SY_B!$IS13-1,"")</f>
        <v>-2.3091407593711311E-2</v>
      </c>
      <c r="GZ13" s="62">
        <f>IFERROR(Inv_SY_B!GZ13/Inv_SY_B!$IS13-1,"")</f>
        <v>1.2029917270757196E-3</v>
      </c>
      <c r="HA13" s="62">
        <f>IFERROR(Inv_SY_B!HA13/Inv_SY_B!$IS13-1,"")</f>
        <v>-1.192139205960896E-2</v>
      </c>
      <c r="HB13" s="62">
        <f>IFERROR(Inv_SY_B!HB13/Inv_SY_B!$IS13-1,"")</f>
        <v>4.952815666128263E-3</v>
      </c>
      <c r="HC13" s="62">
        <f>IFERROR(Inv_SY_B!HC13/Inv_SY_B!$IS13-1,"")</f>
        <v>4.952815666128263E-3</v>
      </c>
      <c r="HD13" s="62">
        <f>IFERROR(Inv_SY_B!HD13/Inv_SY_B!$IS13-1,"")</f>
        <v>-1.1546409665703528E-2</v>
      </c>
      <c r="HE13" s="62">
        <f>IFERROR(Inv_SY_B!HE13/Inv_SY_B!$IS13-1,"")</f>
        <v>-9.0667694779715924E-2</v>
      </c>
      <c r="HF13" s="62">
        <f>IFERROR(Inv_SY_B!HF13/Inv_SY_B!$IS13-1,"")</f>
        <v>1.132751636251772E-2</v>
      </c>
      <c r="HG13" s="62">
        <f>IFERROR(Inv_SY_B!HG13/Inv_SY_B!$IS13-1,"")</f>
        <v>-1.97960223316197E-2</v>
      </c>
      <c r="HH13" s="62">
        <f>IFERROR(Inv_SY_B!HH13/Inv_SY_B!$IS13-1,"")</f>
        <v>8.2800933317028758E-4</v>
      </c>
      <c r="HI13" s="62">
        <f>IFERROR(Inv_SY_B!HI13/Inv_SY_B!$IS13-1,"")</f>
        <v>-1.1358918468751034E-2</v>
      </c>
      <c r="HJ13" s="62">
        <f>IFERROR(Inv_SY_B!HJ13/Inv_SY_B!$IS13-1,"")</f>
        <v>1.3389919528996819E-2</v>
      </c>
      <c r="HK13" s="62">
        <f>IFERROR(Inv_SY_B!HK13/Inv_SY_B!$IS13-1,"")</f>
        <v>-1.6712833759509604E-2</v>
      </c>
      <c r="HL13" s="62">
        <f>IFERROR(Inv_SY_B!HL13/Inv_SY_B!$IS13-1,"")</f>
        <v>2.9118347717801418E-2</v>
      </c>
      <c r="HM13" s="62">
        <f>IFERROR(Inv_SY_B!HM13/Inv_SY_B!$IS13-1,"")</f>
        <v>5.8145571193863876E-2</v>
      </c>
      <c r="HN13" s="62">
        <f>IFERROR(Inv_SY_B!HN13/Inv_SY_B!$IS13-1,"")</f>
        <v>1.106706061108631E-2</v>
      </c>
      <c r="HO13" s="62">
        <f>IFERROR(Inv_SY_B!HO13/Inv_SY_B!$IS13-1,"")</f>
        <v>2.0034395960186746E-2</v>
      </c>
      <c r="HP13" s="62">
        <f>IFERROR(Inv_SY_B!HP13/Inv_SY_B!$IS13-1,"")</f>
        <v>4.6398361886542228E-2</v>
      </c>
      <c r="HQ13" s="62">
        <f>IFERROR(Inv_SY_B!HQ13/Inv_SY_B!$IS13-1,"")</f>
        <v>-5.5391159613222829E-3</v>
      </c>
      <c r="HR13" s="62">
        <f>IFERROR(Inv_SY_B!HR13/Inv_SY_B!$IS13-1,"")</f>
        <v>-1.1113725644045669E-2</v>
      </c>
      <c r="HS13" s="62">
        <f>IFERROR(Inv_SY_B!HS13/Inv_SY_B!$IS13-1,"")</f>
        <v>5.0728100321779657E-3</v>
      </c>
      <c r="HT13" s="62">
        <f>IFERROR(Inv_SY_B!HT13/Inv_SY_B!$IS13-1,"")</f>
        <v>-4.2134206293339416E-3</v>
      </c>
      <c r="HU13" s="62">
        <f>IFERROR(Inv_SY_B!HU13/Inv_SY_B!$IS13-1,"")</f>
        <v>-1.6276956788816244E-2</v>
      </c>
      <c r="HV13" s="62">
        <f>IFERROR(Inv_SY_B!HV13/Inv_SY_B!$IS13-1,"")</f>
        <v>-8.3157921182120953E-3</v>
      </c>
      <c r="HW13" s="62">
        <f>IFERROR(Inv_SY_B!HW13/Inv_SY_B!$IS13-1,"")</f>
        <v>1.6052294525724431E-2</v>
      </c>
      <c r="HX13" s="62">
        <f>IFERROR(Inv_SY_B!HX13/Inv_SY_B!$IS13-1,"")</f>
        <v>-5.7197601604063175E-3</v>
      </c>
      <c r="HY13" s="62">
        <f>IFERROR(Inv_SY_B!HY13/Inv_SY_B!$IS13-1,"")</f>
        <v>-4.0467617875981077E-3</v>
      </c>
      <c r="HZ13" s="62">
        <f>IFERROR(Inv_SY_B!HZ13/Inv_SY_B!$IS13-1,"")</f>
        <v>-2.3545846270672355E-2</v>
      </c>
      <c r="IA13" s="62">
        <f>IFERROR(Inv_SY_B!IA13/Inv_SY_B!$IS13-1,"")</f>
        <v>-2.2977180342077519E-3</v>
      </c>
      <c r="IB13" s="62">
        <f>IFERROR(Inv_SY_B!IB13/Inv_SY_B!$IS13-1,"")</f>
        <v>-4.5759577201224255E-3</v>
      </c>
      <c r="IC13" s="62">
        <f>IFERROR(Inv_SY_B!IC13/Inv_SY_B!$IS13-1,"")</f>
        <v>2.6874863309821251E-2</v>
      </c>
      <c r="ID13" s="62">
        <f>IFERROR(Inv_SY_B!ID13/Inv_SY_B!$IS13-1,"")</f>
        <v>7.5705378772290555E-3</v>
      </c>
      <c r="IE13" s="62">
        <f>IFERROR(Inv_SY_B!IE13/Inv_SY_B!$IS13-1,"")</f>
        <v>5.2482563401143878E-3</v>
      </c>
      <c r="IF13" s="62" t="str">
        <f>IFERROR(Inv_SY_B!IF13/Inv_SY_B!$IS13-1,"")</f>
        <v/>
      </c>
      <c r="IG13" s="62">
        <f>IFERROR(Inv_SY_B!IG13/Inv_SY_B!$IS13-1,"")</f>
        <v>4.0026883565912108E-2</v>
      </c>
      <c r="IH13" s="62">
        <f>IFERROR(Inv_SY_B!IH13/Inv_SY_B!$IS13-1,"")</f>
        <v>-2.0069520462179691E-2</v>
      </c>
      <c r="II13" s="62">
        <f>IFERROR(Inv_SY_B!II13/Inv_SY_B!$IS13-1,"")</f>
        <v>-1.3740336507656936E-2</v>
      </c>
      <c r="IJ13" s="62">
        <f>IFERROR(Inv_SY_B!IJ13/Inv_SY_B!$IS13-1,"")</f>
        <v>-1.6775962108651954E-2</v>
      </c>
      <c r="IK13" s="62">
        <f>IFERROR(Inv_SY_B!IK13/Inv_SY_B!$IS13-1,"")</f>
        <v>-1.0077073059282071E-2</v>
      </c>
      <c r="IL13" s="62" t="str">
        <f>IFERROR(Inv_SY_B!IL13/Inv_SY_B!$IS13-1,"")</f>
        <v/>
      </c>
      <c r="IM13" s="62" t="str">
        <f>IFERROR(Inv_SY_B!IM13/Inv_SY_B!$IS13-1,"")</f>
        <v/>
      </c>
      <c r="IN13" s="62">
        <f>IFERROR(Inv_SY_B!IN13/Inv_SY_B!$IS13-1,"")</f>
        <v>7.1297663039211701E-2</v>
      </c>
      <c r="IO13" s="62">
        <f>IFERROR(Inv_SY_B!IO13/Inv_SY_B!$IS13-1,"")</f>
        <v>5.5343278897270309E-2</v>
      </c>
      <c r="IP13" s="62">
        <f>IFERROR(Inv_SY_B!IP13/Inv_SY_B!$IS13-1,"")</f>
        <v>0.18108456334521406</v>
      </c>
      <c r="IQ13" s="62">
        <f>IFERROR(Inv_SY_B!IQ13/Inv_SY_B!$IS13-1,"")</f>
        <v>-4.8260084173569195E-3</v>
      </c>
      <c r="IR13" s="62">
        <f>IFERROR(Inv_SY_B!IR13/Inv_SY_B!$IS13-1,"")</f>
        <v>1.075011809926596E-2</v>
      </c>
    </row>
    <row r="14" spans="2:253" x14ac:dyDescent="0.25">
      <c r="B14" s="85">
        <f t="shared" si="0"/>
        <v>45840</v>
      </c>
      <c r="C14" s="62">
        <f>IFERROR(Inv_SY_B!C14/Inv_SY_B!$IS14-1,"")</f>
        <v>7.3391126053850009E-3</v>
      </c>
      <c r="D14" s="62">
        <f>IFERROR(Inv_SY_B!D14/Inv_SY_B!$IS14-1,"")</f>
        <v>2.6752500214482389E-2</v>
      </c>
      <c r="E14" s="62">
        <f>IFERROR(Inv_SY_B!E14/Inv_SY_B!$IS14-1,"")</f>
        <v>2.4685333941291354E-2</v>
      </c>
      <c r="F14" s="62">
        <f>IFERROR(Inv_SY_B!F14/Inv_SY_B!$IS14-1,"")</f>
        <v>2.5853732269616847E-2</v>
      </c>
      <c r="G14" s="62">
        <f>IFERROR(Inv_SY_B!G14/Inv_SY_B!$IS14-1,"")</f>
        <v>1.3810241808417612E-2</v>
      </c>
      <c r="H14" s="62">
        <f>IFERROR(Inv_SY_B!H14/Inv_SY_B!$IS14-1,"")</f>
        <v>1.5338147314689188E-2</v>
      </c>
      <c r="I14" s="62">
        <f>IFERROR(Inv_SY_B!I14/Inv_SY_B!$IS14-1,"")</f>
        <v>2.3516935612966083E-2</v>
      </c>
      <c r="J14" s="62">
        <f>IFERROR(Inv_SY_B!J14/Inv_SY_B!$IS14-1,"")</f>
        <v>2.2348537284640813E-2</v>
      </c>
      <c r="K14" s="62">
        <f>IFERROR(Inv_SY_B!K14/Inv_SY_B!$IS14-1,"")</f>
        <v>-2.9762028158667686E-2</v>
      </c>
      <c r="L14" s="62">
        <f>IFERROR(Inv_SY_B!L14/Inv_SY_B!$IS14-1,"")</f>
        <v>1.5104467649023956E-2</v>
      </c>
      <c r="M14" s="62">
        <f>IFERROR(Inv_SY_B!M14/Inv_SY_B!$IS14-1,"")</f>
        <v>4.6884902179472387E-2</v>
      </c>
      <c r="N14" s="62">
        <f>IFERROR(Inv_SY_B!N14/Inv_SY_B!$IS14-1,"")</f>
        <v>3.7537715552869777E-2</v>
      </c>
      <c r="O14" s="62">
        <f>IFERROR(Inv_SY_B!O14/Inv_SY_B!$IS14-1,"")</f>
        <v>-2.2050599191720699E-2</v>
      </c>
      <c r="P14" s="62">
        <f>IFERROR(Inv_SY_B!P14/Inv_SY_B!$IS14-1,"")</f>
        <v>4.7734646418254201E-2</v>
      </c>
      <c r="Q14" s="62">
        <f>IFERROR(Inv_SY_B!Q14/Inv_SY_B!$IS14-1,"")</f>
        <v>3.052732558291793E-2</v>
      </c>
      <c r="R14" s="62">
        <f>IFERROR(Inv_SY_B!R14/Inv_SY_B!$IS14-1,"")</f>
        <v>2.7022130597942118E-2</v>
      </c>
      <c r="S14" s="62">
        <f>IFERROR(Inv_SY_B!S14/Inv_SY_B!$IS14-1,"")</f>
        <v>2.9358927254592659E-2</v>
      </c>
      <c r="T14" s="62">
        <f>IFERROR(Inv_SY_B!T14/Inv_SY_B!$IS14-1,"")</f>
        <v>2.9358927254592659E-2</v>
      </c>
      <c r="U14" s="62">
        <f>IFERROR(Inv_SY_B!U14/Inv_SY_B!$IS14-1,"")</f>
        <v>3.7537715552869777E-2</v>
      </c>
      <c r="V14" s="62">
        <f>IFERROR(Inv_SY_B!V14/Inv_SY_B!$IS14-1,"")</f>
        <v>3.7537715552869777E-2</v>
      </c>
      <c r="W14" s="62">
        <f>IFERROR(Inv_SY_B!W14/Inv_SY_B!$IS14-1,"")</f>
        <v>4.2211308866171082E-2</v>
      </c>
      <c r="X14" s="62">
        <f>IFERROR(Inv_SY_B!X14/Inv_SY_B!$IS14-1,"")</f>
        <v>3.8706113881195048E-2</v>
      </c>
      <c r="Y14" s="62">
        <f>IFERROR(Inv_SY_B!Y14/Inv_SY_B!$IS14-1,"")</f>
        <v>1.0574677206901306E-2</v>
      </c>
      <c r="Z14" s="62">
        <f>IFERROR(Inv_SY_B!Z14/Inv_SY_B!$IS14-1,"")</f>
        <v>4.5846325887627604E-2</v>
      </c>
      <c r="AA14" s="62">
        <f>IFERROR(Inv_SY_B!AA14/Inv_SY_B!$IS14-1,"")</f>
        <v>3.9694758620547388E-2</v>
      </c>
      <c r="AB14" s="62">
        <f>IFERROR(Inv_SY_B!AB14/Inv_SY_B!$IS14-1,"")</f>
        <v>3.3223629417514777E-2</v>
      </c>
      <c r="AC14" s="62">
        <f>IFERROR(Inv_SY_B!AC14/Inv_SY_B!$IS14-1,"")</f>
        <v>2.4595457146805E-2</v>
      </c>
      <c r="AD14" s="62">
        <f>IFERROR(Inv_SY_B!AD14/Inv_SY_B!$IS14-1,"")</f>
        <v>2.7151952634422827E-2</v>
      </c>
      <c r="AE14" s="62">
        <f>IFERROR(Inv_SY_B!AE14/Inv_SY_B!$IS14-1,"")</f>
        <v>2.9229105218112172E-2</v>
      </c>
      <c r="AF14" s="62">
        <f>IFERROR(Inv_SY_B!AF14/Inv_SY_B!$IS14-1,"")</f>
        <v>-1.646825162305543E-2</v>
      </c>
      <c r="AG14" s="62">
        <f>IFERROR(Inv_SY_B!AG14/Inv_SY_B!$IS14-1,"")</f>
        <v>-5.0439124127634738E-3</v>
      </c>
      <c r="AH14" s="62">
        <f>IFERROR(Inv_SY_B!AH14/Inv_SY_B!$IS14-1,"")</f>
        <v>3.4421986677335648E-2</v>
      </c>
      <c r="AI14" s="62">
        <f>IFERROR(Inv_SY_B!AI14/Inv_SY_B!$IS14-1,"")</f>
        <v>-3.0448367613914451E-3</v>
      </c>
      <c r="AJ14" s="62">
        <f>IFERROR(Inv_SY_B!AJ14/Inv_SY_B!$IS14-1,"")</f>
        <v>2.6664329346299809E-2</v>
      </c>
      <c r="AK14" s="62">
        <f>IFERROR(Inv_SY_B!AK14/Inv_SY_B!$IS14-1,"")</f>
        <v>2.4685333941291354E-2</v>
      </c>
      <c r="AL14" s="62">
        <f>IFERROR(Inv_SY_B!AL14/Inv_SY_B!$IS14-1,"")</f>
        <v>2.8045896145578064E-2</v>
      </c>
      <c r="AM14" s="62">
        <f>IFERROR(Inv_SY_B!AM14/Inv_SY_B!$IS14-1,"")</f>
        <v>3.5200918896219235E-2</v>
      </c>
      <c r="AN14" s="62">
        <f>IFERROR(Inv_SY_B!AN14/Inv_SY_B!$IS14-1,"")</f>
        <v>1.6506545643014237E-2</v>
      </c>
      <c r="AO14" s="62">
        <f>IFERROR(Inv_SY_B!AO14/Inv_SY_B!$IS14-1,"")</f>
        <v>-1.1535014236792929E-2</v>
      </c>
      <c r="AP14" s="62">
        <f>IFERROR(Inv_SY_B!AP14/Inv_SY_B!$IS14-1,"")</f>
        <v>1.7674943971339729E-2</v>
      </c>
      <c r="AQ14" s="62">
        <f>IFERROR(Inv_SY_B!AQ14/Inv_SY_B!$IS14-1,"")</f>
        <v>-1.1535014236792929E-2</v>
      </c>
      <c r="AR14" s="62">
        <f>IFERROR(Inv_SY_B!AR14/Inv_SY_B!$IS14-1,"")</f>
        <v>-1.9713802535070157E-2</v>
      </c>
      <c r="AS14" s="62">
        <f>IFERROR(Inv_SY_B!AS14/Inv_SY_B!$IS14-1,"")</f>
        <v>-2.1878276101905403E-3</v>
      </c>
      <c r="AT14" s="62">
        <f>IFERROR(Inv_SY_B!AT14/Inv_SY_B!$IS14-1,"")</f>
        <v>-1.0194292818651585E-3</v>
      </c>
      <c r="AU14" s="62">
        <f>IFERROR(Inv_SY_B!AU14/Inv_SY_B!$IS14-1,"")</f>
        <v>4.8225623597613065E-3</v>
      </c>
      <c r="AV14" s="62">
        <f>IFERROR(Inv_SY_B!AV14/Inv_SY_B!$IS14-1,"")</f>
        <v>9.4961556730623897E-3</v>
      </c>
      <c r="AW14" s="62">
        <f>IFERROR(Inv_SY_B!AW14/Inv_SY_B!$IS14-1,"")</f>
        <v>5.182069537707612E-3</v>
      </c>
      <c r="AX14" s="62">
        <f>IFERROR(Inv_SY_B!AX14/Inv_SY_B!$IS14-1,"")</f>
        <v>2.4857657031105429E-3</v>
      </c>
      <c r="AY14" s="62">
        <f>IFERROR(Inv_SY_B!AY14/Inv_SY_B!$IS14-1,"")</f>
        <v>1.6445189067164634E-3</v>
      </c>
      <c r="AZ14" s="62">
        <f>IFERROR(Inv_SY_B!AZ14/Inv_SY_B!$IS14-1,"")</f>
        <v>-1.6302079416360193E-2</v>
      </c>
      <c r="BA14" s="62">
        <f>IFERROR(Inv_SY_B!BA14/Inv_SY_B!$IS14-1,"")</f>
        <v>-5.6930225951664637E-3</v>
      </c>
      <c r="BB14" s="62">
        <f>IFERROR(Inv_SY_B!BB14/Inv_SY_B!$IS14-1,"")</f>
        <v>1.0664554001387883E-2</v>
      </c>
      <c r="BC14" s="62">
        <f>IFERROR(Inv_SY_B!BC14/Inv_SY_B!$IS14-1,"")</f>
        <v>2.6113376342577821E-2</v>
      </c>
      <c r="BD14" s="62">
        <f>IFERROR(Inv_SY_B!BD14/Inv_SY_B!$IS14-1,"")</f>
        <v>5.3418505056836985E-3</v>
      </c>
      <c r="BE14" s="62">
        <f>IFERROR(Inv_SY_B!BE14/Inv_SY_B!$IS14-1,"")</f>
        <v>-1.4231318071389887E-2</v>
      </c>
      <c r="BF14" s="62">
        <f>IFERROR(Inv_SY_B!BF14/Inv_SY_B!$IS14-1,"")</f>
        <v>2.195907117519913E-2</v>
      </c>
      <c r="BG14" s="62">
        <f>IFERROR(Inv_SY_B!BG14/Inv_SY_B!$IS14-1,"")</f>
        <v>-7.1210649964529305E-3</v>
      </c>
      <c r="BH14" s="62">
        <f>IFERROR(Inv_SY_B!BH14/Inv_SY_B!$IS14-1,"")</f>
        <v>-7.6965320623009981E-2</v>
      </c>
      <c r="BI14" s="62">
        <f>IFERROR(Inv_SY_B!BI14/Inv_SY_B!$IS14-1,"")</f>
        <v>-7.1210649964529305E-3</v>
      </c>
      <c r="BJ14" s="62">
        <f>IFERROR(Inv_SY_B!BJ14/Inv_SY_B!$IS14-1,"")</f>
        <v>1.1875453383047851E-3</v>
      </c>
      <c r="BK14" s="62">
        <f>IFERROR(Inv_SY_B!BK14/Inv_SY_B!$IS14-1,"")</f>
        <v>3.6541640314360357E-3</v>
      </c>
      <c r="BL14" s="62">
        <f>IFERROR(Inv_SY_B!BL14/Inv_SY_B!$IS14-1,"")</f>
        <v>6.1281663800378805E-3</v>
      </c>
      <c r="BM14" s="62">
        <f>IFERROR(Inv_SY_B!BM14/Inv_SY_B!$IS14-1,"")</f>
        <v>-6.4112939011431669E-2</v>
      </c>
      <c r="BN14" s="62">
        <f>IFERROR(Inv_SY_B!BN14/Inv_SY_B!$IS14-1,"")</f>
        <v>4.0526471151344667E-2</v>
      </c>
      <c r="BO14" s="62">
        <f>IFERROR(Inv_SY_B!BO14/Inv_SY_B!$IS14-1,"")</f>
        <v>6.2605910715463065E-3</v>
      </c>
      <c r="BP14" s="62">
        <f>IFERROR(Inv_SY_B!BP14/Inv_SY_B!$IS14-1,"")</f>
        <v>1.3810241808417612E-2</v>
      </c>
      <c r="BQ14" s="62">
        <f>IFERROR(Inv_SY_B!BQ14/Inv_SY_B!$IS14-1,"")</f>
        <v>1.5967284876095E-2</v>
      </c>
      <c r="BR14" s="62">
        <f>IFERROR(Inv_SY_B!BR14/Inv_SY_B!$IS14-1,"")</f>
        <v>-2.2859490342099775E-2</v>
      </c>
      <c r="BS14" s="62">
        <f>IFERROR(Inv_SY_B!BS14/Inv_SY_B!$IS14-1,"")</f>
        <v>1.0664554001387883E-2</v>
      </c>
      <c r="BT14" s="62">
        <f>IFERROR(Inv_SY_B!BT14/Inv_SY_B!$IS14-1,"")</f>
        <v>1.5338147314689188E-2</v>
      </c>
      <c r="BU14" s="62">
        <f>IFERROR(Inv_SY_B!BU14/Inv_SY_B!$IS14-1,"")</f>
        <v>1.4169748986363695E-2</v>
      </c>
      <c r="BV14" s="62">
        <f>IFERROR(Inv_SY_B!BV14/Inv_SY_B!$IS14-1,"")</f>
        <v>-8.0298192518170053E-3</v>
      </c>
      <c r="BW14" s="62">
        <f>IFERROR(Inv_SY_B!BW14/Inv_SY_B!$IS14-1,"")</f>
        <v>-1.9713802535070157E-2</v>
      </c>
      <c r="BX14" s="62">
        <f>IFERROR(Inv_SY_B!BX14/Inv_SY_B!$IS14-1,"")</f>
        <v>-9.1982175801422761E-3</v>
      </c>
      <c r="BY14" s="62">
        <f>IFERROR(Inv_SY_B!BY14/Inv_SY_B!$IS14-1,"")</f>
        <v>-4.005336120918801E-3</v>
      </c>
      <c r="BZ14" s="62">
        <f>IFERROR(Inv_SY_B!BZ14/Inv_SY_B!$IS14-1,"")</f>
        <v>-1.646825162305543E-2</v>
      </c>
      <c r="CA14" s="62">
        <f>IFERROR(Inv_SY_B!CA14/Inv_SY_B!$IS14-1,"")</f>
        <v>-2.9969743417036621E-2</v>
      </c>
      <c r="CB14" s="62">
        <f>IFERROR(Inv_SY_B!CB14/Inv_SY_B!$IS14-1,"")</f>
        <v>-4.5246242668411929E-3</v>
      </c>
      <c r="CC14" s="62">
        <f>IFERROR(Inv_SY_B!CC14/Inv_SY_B!$IS14-1,"")</f>
        <v>1.0664554001387883E-2</v>
      </c>
      <c r="CD14" s="62">
        <f>IFERROR(Inv_SY_B!CD14/Inv_SY_B!$IS14-1,"")</f>
        <v>-1.962392574058347E-2</v>
      </c>
      <c r="CE14" s="62">
        <f>IFERROR(Inv_SY_B!CE14/Inv_SY_B!$IS14-1,"")</f>
        <v>-2.321899752004597E-2</v>
      </c>
      <c r="CF14" s="62">
        <f>IFERROR(Inv_SY_B!CF14/Inv_SY_B!$IS14-1,"")</f>
        <v>8.327757344737341E-3</v>
      </c>
      <c r="CG14" s="62">
        <f>IFERROR(Inv_SY_B!CG14/Inv_SY_B!$IS14-1,"")</f>
        <v>1.0664554001387883E-2</v>
      </c>
      <c r="CH14" s="62">
        <f>IFERROR(Inv_SY_B!CH14/Inv_SY_B!$IS14-1,"")</f>
        <v>8.327757344737341E-3</v>
      </c>
      <c r="CI14" s="62">
        <f>IFERROR(Inv_SY_B!CI14/Inv_SY_B!$IS14-1,"")</f>
        <v>-1.7377005878419505E-2</v>
      </c>
      <c r="CJ14" s="62">
        <f>IFERROR(Inv_SY_B!CJ14/Inv_SY_B!$IS14-1,"")</f>
        <v>-6.8614209234918455E-3</v>
      </c>
      <c r="CK14" s="62">
        <f>IFERROR(Inv_SY_B!CK14/Inv_SY_B!$IS14-1,"")</f>
        <v>-1.7377005878419505E-2</v>
      </c>
      <c r="CL14" s="62">
        <f>IFERROR(Inv_SY_B!CL14/Inv_SY_B!$IS14-1,"")</f>
        <v>-1.0194292818651585E-3</v>
      </c>
      <c r="CM14" s="62">
        <f>IFERROR(Inv_SY_B!CM14/Inv_SY_B!$IS14-1,"")</f>
        <v>-1.9713802535070157E-2</v>
      </c>
      <c r="CN14" s="62">
        <f>IFERROR(Inv_SY_B!CN14/Inv_SY_B!$IS14-1,"")</f>
        <v>-1.3287611729280835E-2</v>
      </c>
      <c r="CO14" s="62">
        <f>IFERROR(Inv_SY_B!CO14/Inv_SY_B!$IS14-1,"")</f>
        <v>-1.1815429835591029E-2</v>
      </c>
      <c r="CP14" s="62">
        <f>IFERROR(Inv_SY_B!CP14/Inv_SY_B!$IS14-1,"")</f>
        <v>-2.8252098011293358E-2</v>
      </c>
      <c r="CQ14" s="62">
        <f>IFERROR(Inv_SY_B!CQ14/Inv_SY_B!$IS14-1,"")</f>
        <v>-5.1260557399853357E-2</v>
      </c>
      <c r="CR14" s="62">
        <f>IFERROR(Inv_SY_B!CR14/Inv_SY_B!$IS14-1,"")</f>
        <v>-4.5246242668411929E-3</v>
      </c>
      <c r="CS14" s="62">
        <f>IFERROR(Inv_SY_B!CS14/Inv_SY_B!$IS14-1,"")</f>
        <v>-5.0439124127634738E-3</v>
      </c>
      <c r="CT14" s="62">
        <f>IFERROR(Inv_SY_B!CT14/Inv_SY_B!$IS14-1,"")</f>
        <v>1.0664554001387883E-2</v>
      </c>
      <c r="CU14" s="62">
        <f>IFERROR(Inv_SY_B!CU14/Inv_SY_B!$IS14-1,"")</f>
        <v>-7.9302117279660522E-2</v>
      </c>
      <c r="CV14" s="62">
        <f>IFERROR(Inv_SY_B!CV14/Inv_SY_B!$IS14-1,"")</f>
        <v>-3.3562259385158111E-3</v>
      </c>
      <c r="CW14" s="62">
        <f>IFERROR(Inv_SY_B!CW14/Inv_SY_B!$IS14-1,"")</f>
        <v>-1.1535014236792929E-2</v>
      </c>
      <c r="CX14" s="62">
        <f>IFERROR(Inv_SY_B!CX14/Inv_SY_B!$IS14-1,"")</f>
        <v>-3.3562259385158111E-3</v>
      </c>
      <c r="CY14" s="62">
        <f>IFERROR(Inv_SY_B!CY14/Inv_SY_B!$IS14-1,"")</f>
        <v>-4.5246242668411929E-3</v>
      </c>
      <c r="CZ14" s="62">
        <f>IFERROR(Inv_SY_B!CZ14/Inv_SY_B!$IS14-1,"")</f>
        <v>7.1593590164118481E-3</v>
      </c>
      <c r="DA14" s="62">
        <f>IFERROR(Inv_SY_B!DA14/Inv_SY_B!$IS14-1,"")</f>
        <v>-1.6208607550094123E-2</v>
      </c>
      <c r="DB14" s="62">
        <f>IFERROR(Inv_SY_B!DB14/Inv_SY_B!$IS14-1,"")</f>
        <v>-2.1878276101905403E-3</v>
      </c>
      <c r="DC14" s="62">
        <f>IFERROR(Inv_SY_B!DC14/Inv_SY_B!$IS14-1,"")</f>
        <v>1.4896904646000131E-4</v>
      </c>
      <c r="DD14" s="62">
        <f>IFERROR(Inv_SY_B!DD14/Inv_SY_B!$IS14-1,"")</f>
        <v>-9.0986100562913563E-2</v>
      </c>
      <c r="DE14" s="62">
        <f>IFERROR(Inv_SY_B!DE14/Inv_SY_B!$IS14-1,"")</f>
        <v>4.3032742138389146E-3</v>
      </c>
      <c r="DF14" s="62">
        <f>IFERROR(Inv_SY_B!DF14/Inv_SY_B!$IS14-1,"")</f>
        <v>-9.5273548810622666E-3</v>
      </c>
      <c r="DG14" s="62">
        <f>IFERROR(Inv_SY_B!DG14/Inv_SY_B!$IS14-1,"")</f>
        <v>2.2348537284640813E-2</v>
      </c>
      <c r="DH14" s="62">
        <f>IFERROR(Inv_SY_B!DH14/Inv_SY_B!$IS14-1,"")</f>
        <v>1.5727613424130871E-2</v>
      </c>
      <c r="DI14" s="62">
        <f>IFERROR(Inv_SY_B!DI14/Inv_SY_B!$IS14-1,"")</f>
        <v>1.9202849477611084E-2</v>
      </c>
      <c r="DJ14" s="62">
        <f>IFERROR(Inv_SY_B!DJ14/Inv_SY_B!$IS14-1,"")</f>
        <v>8.4176341392236953E-3</v>
      </c>
      <c r="DK14" s="62">
        <f>IFERROR(Inv_SY_B!DK14/Inv_SY_B!$IS14-1,"")</f>
        <v>1.5727613424130871E-2</v>
      </c>
      <c r="DL14" s="62">
        <f>IFERROR(Inv_SY_B!DL14/Inv_SY_B!$IS14-1,"")</f>
        <v>1.6766189715975433E-2</v>
      </c>
      <c r="DM14" s="62">
        <f>IFERROR(Inv_SY_B!DM14/Inv_SY_B!$IS14-1,"")</f>
        <v>2.7022130597942118E-2</v>
      </c>
      <c r="DN14" s="62">
        <f>IFERROR(Inv_SY_B!DN14/Inv_SY_B!$IS14-1,"")</f>
        <v>-1.5040209221768852E-2</v>
      </c>
      <c r="DO14" s="62">
        <f>IFERROR(Inv_SY_B!DO14/Inv_SY_B!$IS14-1,"")</f>
        <v>-1.1614757715875612E-2</v>
      </c>
      <c r="DP14" s="62">
        <f>IFERROR(Inv_SY_B!DP14/Inv_SY_B!$IS14-1,"")</f>
        <v>-2.1661133082278905E-2</v>
      </c>
      <c r="DQ14" s="62">
        <f>IFERROR(Inv_SY_B!DQ14/Inv_SY_B!$IS14-1,"")</f>
        <v>4.3032742138389146E-3</v>
      </c>
      <c r="DR14" s="62">
        <f>IFERROR(Inv_SY_B!DR14/Inv_SY_B!$IS14-1,"")</f>
        <v>1.1832952329713153E-2</v>
      </c>
      <c r="DS14" s="62">
        <f>IFERROR(Inv_SY_B!DS14/Inv_SY_B!$IS14-1,"")</f>
        <v>2.5853732269616847E-2</v>
      </c>
      <c r="DT14" s="62">
        <f>IFERROR(Inv_SY_B!DT14/Inv_SY_B!$IS14-1,"")</f>
        <v>-6.0088455880533354E-2</v>
      </c>
      <c r="DU14" s="62">
        <f>IFERROR(Inv_SY_B!DU14/Inv_SY_B!$IS14-1,"")</f>
        <v>-3.5162624876260207E-2</v>
      </c>
      <c r="DV14" s="62">
        <f>IFERROR(Inv_SY_B!DV14/Inv_SY_B!$IS14-1,"")</f>
        <v>1.3001350658038424E-2</v>
      </c>
      <c r="DW14" s="62">
        <f>IFERROR(Inv_SY_B!DW14/Inv_SY_B!$IS14-1,"")</f>
        <v>1.8843342299665E-2</v>
      </c>
      <c r="DX14" s="62">
        <f>IFERROR(Inv_SY_B!DX14/Inv_SY_B!$IS14-1,"")</f>
        <v>-1.4391099039365862E-2</v>
      </c>
      <c r="DY14" s="62">
        <f>IFERROR(Inv_SY_B!DY14/Inv_SY_B!$IS14-1,"")</f>
        <v>-8.0298192518170053E-3</v>
      </c>
      <c r="DZ14" s="62">
        <f>IFERROR(Inv_SY_B!DZ14/Inv_SY_B!$IS14-1,"")</f>
        <v>-1.5040209221768852E-2</v>
      </c>
      <c r="EA14" s="62">
        <f>IFERROR(Inv_SY_B!EA14/Inv_SY_B!$IS14-1,"")</f>
        <v>1.1875453383047851E-3</v>
      </c>
      <c r="EB14" s="62">
        <f>IFERROR(Inv_SY_B!EB14/Inv_SY_B!$IS14-1,"")</f>
        <v>-2.4776861957813034E-2</v>
      </c>
      <c r="EC14" s="62">
        <f>IFERROR(Inv_SY_B!EC14/Inv_SY_B!$IS14-1,"")</f>
        <v>-2.609505494361597E-2</v>
      </c>
      <c r="ED14" s="62">
        <f>IFERROR(Inv_SY_B!ED14/Inv_SY_B!$IS14-1,"")</f>
        <v>2.1359892545288695E-2</v>
      </c>
      <c r="EE14" s="62">
        <f>IFERROR(Inv_SY_B!EE14/Inv_SY_B!$IS14-1,"")</f>
        <v>-3.4461027330023875E-3</v>
      </c>
      <c r="EF14" s="62">
        <f>IFERROR(Inv_SY_B!EF14/Inv_SY_B!$IS14-1,"")</f>
        <v>1.7143853822100708E-2</v>
      </c>
      <c r="EG14" s="62">
        <f>IFERROR(Inv_SY_B!EG14/Inv_SY_B!$IS14-1,"")</f>
        <v>-1.6118730755607658E-2</v>
      </c>
      <c r="EH14" s="62">
        <f>IFERROR(Inv_SY_B!EH14/Inv_SY_B!$IS14-1,"")</f>
        <v>-2.1572618057405846E-2</v>
      </c>
      <c r="EI14" s="62">
        <f>IFERROR(Inv_SY_B!EI14/Inv_SY_B!$IS14-1,"")</f>
        <v>-1.5027953295247864E-2</v>
      </c>
      <c r="EJ14" s="62">
        <f>IFERROR(Inv_SY_B!EJ14/Inv_SY_B!$IS14-1,"")</f>
        <v>1.3337086101465889E-3</v>
      </c>
      <c r="EK14" s="62">
        <f>IFERROR(Inv_SY_B!EK14/Inv_SY_B!$IS14-1,"")</f>
        <v>1.3982805253831554E-2</v>
      </c>
      <c r="EL14" s="62">
        <f>IFERROR(Inv_SY_B!EL14/Inv_SY_B!$IS14-1,"")</f>
        <v>1.3173673747854941E-3</v>
      </c>
      <c r="EM14" s="62">
        <f>IFERROR(Inv_SY_B!EM14/Inv_SY_B!$IS14-1,"")</f>
        <v>2.9988064815998472E-2</v>
      </c>
      <c r="EN14" s="62">
        <f>IFERROR(Inv_SY_B!EN14/Inv_SY_B!$IS14-1,"")</f>
        <v>1.1653198740740001E-2</v>
      </c>
      <c r="EO14" s="62">
        <f>IFERROR(Inv_SY_B!EO14/Inv_SY_B!$IS14-1,"")</f>
        <v>-8.0298192518170053E-3</v>
      </c>
      <c r="EP14" s="62">
        <f>IFERROR(Inv_SY_B!EP14/Inv_SY_B!$IS14-1,"")</f>
        <v>-4.5246242668411929E-3</v>
      </c>
      <c r="EQ14" s="62">
        <f>IFERROR(Inv_SY_B!EQ14/Inv_SY_B!$IS14-1,"")</f>
        <v>-1.2703412565118311E-2</v>
      </c>
      <c r="ER14" s="62">
        <f>IFERROR(Inv_SY_B!ER14/Inv_SY_B!$IS14-1,"")</f>
        <v>2.2438414079127389E-2</v>
      </c>
      <c r="ES14" s="62">
        <f>IFERROR(Inv_SY_B!ES14/Inv_SY_B!$IS14-1,"")</f>
        <v>-5.6930225951664637E-3</v>
      </c>
      <c r="ET14" s="62">
        <f>IFERROR(Inv_SY_B!ET14/Inv_SY_B!$IS14-1,"")</f>
        <v>1.0770772031235554E-2</v>
      </c>
      <c r="EU14" s="62">
        <f>IFERROR(Inv_SY_B!EU14/Inv_SY_B!$IS14-1,"")</f>
        <v>1.8124327943772389E-2</v>
      </c>
      <c r="EV14" s="62">
        <f>IFERROR(Inv_SY_B!EV14/Inv_SY_B!$IS14-1,"")</f>
        <v>2.7831021748321083E-2</v>
      </c>
      <c r="EW14" s="62">
        <f>IFERROR(Inv_SY_B!EW14/Inv_SY_B!$IS14-1,"")</f>
        <v>1.9202849477611084E-2</v>
      </c>
      <c r="EX14" s="62">
        <f>IFERROR(Inv_SY_B!EX14/Inv_SY_B!$IS14-1,"")</f>
        <v>5.9909606880865773E-3</v>
      </c>
      <c r="EY14" s="62">
        <f>IFERROR(Inv_SY_B!EY14/Inv_SY_B!$IS14-1,"")</f>
        <v>8.4575793812178279E-3</v>
      </c>
      <c r="EZ14" s="62">
        <f>IFERROR(Inv_SY_B!EZ14/Inv_SY_B!$IS14-1,"")</f>
        <v>-2.1878276101905403E-3</v>
      </c>
      <c r="FA14" s="62">
        <f>IFERROR(Inv_SY_B!FA14/Inv_SY_B!$IS14-1,"")</f>
        <v>-1.0366615908467658E-2</v>
      </c>
      <c r="FB14" s="62">
        <f>IFERROR(Inv_SY_B!FB14/Inv_SY_B!$IS14-1,"")</f>
        <v>-1.6208607550094123E-2</v>
      </c>
      <c r="FC14" s="62">
        <f>IFERROR(Inv_SY_B!FC14/Inv_SY_B!$IS14-1,"")</f>
        <v>-1.2703412565118311E-2</v>
      </c>
      <c r="FD14" s="62">
        <f>IFERROR(Inv_SY_B!FD14/Inv_SY_B!$IS14-1,"")</f>
        <v>2.0011740627990271E-2</v>
      </c>
      <c r="FE14" s="62">
        <f>IFERROR(Inv_SY_B!FE14/Inv_SY_B!$IS14-1,"")</f>
        <v>5.6059203298886029E-3</v>
      </c>
      <c r="FF14" s="62">
        <f>IFERROR(Inv_SY_B!FF14/Inv_SY_B!$IS14-1,"")</f>
        <v>5.6059203298886029E-3</v>
      </c>
      <c r="FG14" s="62">
        <f>IFERROR(Inv_SY_B!FG14/Inv_SY_B!$IS14-1,"")</f>
        <v>7.3127850595253729E-3</v>
      </c>
      <c r="FH14" s="62">
        <f>IFERROR(Inv_SY_B!FH14/Inv_SY_B!$IS14-1,"")</f>
        <v>-7.3925110727305343E-3</v>
      </c>
      <c r="FI14" s="62">
        <f>IFERROR(Inv_SY_B!FI14/Inv_SY_B!$IS14-1,"")</f>
        <v>-2.1406195969249087E-3</v>
      </c>
      <c r="FJ14" s="62">
        <f>IFERROR(Inv_SY_B!FJ14/Inv_SY_B!$IS14-1,"")</f>
        <v>-1.8946672319502866E-2</v>
      </c>
      <c r="FK14" s="62">
        <f>IFERROR(Inv_SY_B!FK14/Inv_SY_B!$IS14-1,"")</f>
        <v>-2.1406195969249087E-3</v>
      </c>
      <c r="FL14" s="62">
        <f>IFERROR(Inv_SY_B!FL14/Inv_SY_B!$IS14-1,"")</f>
        <v>-1.1930145307826545E-2</v>
      </c>
      <c r="FM14" s="62">
        <f>IFERROR(Inv_SY_B!FM14/Inv_SY_B!$IS14-1,"")</f>
        <v>-3.0245758039282311E-4</v>
      </c>
      <c r="FN14" s="62">
        <f>IFERROR(Inv_SY_B!FN14/Inv_SY_B!$IS14-1,"")</f>
        <v>1.9917324601459008E-2</v>
      </c>
      <c r="FO14" s="62">
        <f>IFERROR(Inv_SY_B!FO14/Inv_SY_B!$IS14-1,"")</f>
        <v>-1.8027591311236879E-2</v>
      </c>
      <c r="FP14" s="62">
        <f>IFERROR(Inv_SY_B!FP14/Inv_SY_B!$IS14-1,"")</f>
        <v>5.0859830737837175E-3</v>
      </c>
      <c r="FQ14" s="62">
        <f>IFERROR(Inv_SY_B!FQ14/Inv_SY_B!$IS14-1,"")</f>
        <v>1.7564477220297858E-2</v>
      </c>
      <c r="FR14" s="62">
        <f>IFERROR(Inv_SY_B!FR14/Inv_SY_B!$IS14-1,"")</f>
        <v>5.4834883868748463E-4</v>
      </c>
      <c r="FS14" s="62">
        <f>IFERROR(Inv_SY_B!FS14/Inv_SY_B!$IS14-1,"")</f>
        <v>1.3615054830492079E-2</v>
      </c>
      <c r="FT14" s="62">
        <f>IFERROR(Inv_SY_B!FT14/Inv_SY_B!$IS14-1,"")</f>
        <v>6.2203916325578312E-3</v>
      </c>
      <c r="FU14" s="62">
        <f>IFERROR(Inv_SY_B!FU14/Inv_SY_B!$IS14-1,"")</f>
        <v>-5.3609156059820307E-2</v>
      </c>
      <c r="FV14" s="62">
        <f>IFERROR(Inv_SY_B!FV14/Inv_SY_B!$IS14-1,"")</f>
        <v>-1.4482564565068134E-2</v>
      </c>
      <c r="FW14" s="62">
        <f>IFERROR(Inv_SY_B!FW14/Inv_SY_B!$IS14-1,"")</f>
        <v>1.2695973822226092E-2</v>
      </c>
      <c r="FX14" s="62">
        <f>IFERROR(Inv_SY_B!FX14/Inv_SY_B!$IS14-1,"")</f>
        <v>-1.8027591311236879E-2</v>
      </c>
      <c r="FY14" s="62">
        <f>IFERROR(Inv_SY_B!FY14/Inv_SY_B!$IS14-1,"")</f>
        <v>-9.4932676630526958E-3</v>
      </c>
      <c r="FZ14" s="62">
        <f>IFERROR(Inv_SY_B!FZ14/Inv_SY_B!$IS14-1,"")</f>
        <v>5.6059203298886029E-3</v>
      </c>
      <c r="GA14" s="62">
        <f>IFERROR(Inv_SY_B!GA14/Inv_SY_B!$IS14-1,"")</f>
        <v>-1.0664843453809469E-2</v>
      </c>
      <c r="GB14" s="62">
        <f>IFERROR(Inv_SY_B!GB14/Inv_SY_B!$IS14-1,"")</f>
        <v>-7.3925110727305343E-3</v>
      </c>
      <c r="GC14" s="62">
        <f>IFERROR(Inv_SY_B!GC14/Inv_SY_B!$IS14-1,"")</f>
        <v>-3.9863006602525175E-5</v>
      </c>
      <c r="GD14" s="62">
        <f>IFERROR(Inv_SY_B!GD14/Inv_SY_B!$IS14-1,"")</f>
        <v>-3.9892853964084152E-3</v>
      </c>
      <c r="GE14" s="62">
        <f>IFERROR(Inv_SY_B!GE14/Inv_SY_B!$IS14-1,"")</f>
        <v>2.3149257817339342E-2</v>
      </c>
      <c r="GF14" s="62">
        <f>IFERROR(Inv_SY_B!GF14/Inv_SY_B!$IS14-1,"")</f>
        <v>2.0967702896620199E-2</v>
      </c>
      <c r="GG14" s="62">
        <f>IFERROR(Inv_SY_B!GG14/Inv_SY_B!$IS14-1,"")</f>
        <v>-1.0795736749052542E-2</v>
      </c>
      <c r="GH14" s="62">
        <f>IFERROR(Inv_SY_B!GH14/Inv_SY_B!$IS14-1,"")</f>
        <v>6.2203916325578312E-3</v>
      </c>
      <c r="GI14" s="62">
        <f>IFERROR(Inv_SY_B!GI14/Inv_SY_B!$IS14-1,"")</f>
        <v>-1.6467779542922667E-2</v>
      </c>
      <c r="GJ14" s="62">
        <f>IFERROR(Inv_SY_B!GJ14/Inv_SY_B!$IS14-1,"")</f>
        <v>-6.3017336123708523E-3</v>
      </c>
      <c r="GK14" s="62">
        <f>IFERROR(Inv_SY_B!GK14/Inv_SY_B!$IS14-1,"")</f>
        <v>-8.5741866547867085E-3</v>
      </c>
      <c r="GL14" s="62">
        <f>IFERROR(Inv_SY_B!GL14/Inv_SY_B!$IS14-1,"")</f>
        <v>-1.9445602009704577E-2</v>
      </c>
      <c r="GM14" s="62">
        <f>IFERROR(Inv_SY_B!GM14/Inv_SY_B!$IS14-1,"")</f>
        <v>-0.10547158438340121</v>
      </c>
      <c r="GN14" s="62">
        <f>IFERROR(Inv_SY_B!GN14/Inv_SY_B!$IS14-1,"")</f>
        <v>-1.8027591311236879E-2</v>
      </c>
      <c r="GO14" s="62">
        <f>IFERROR(Inv_SY_B!GO14/Inv_SY_B!$IS14-1,"")</f>
        <v>-1.8027591311236879E-2</v>
      </c>
      <c r="GP14" s="62">
        <f>IFERROR(Inv_SY_B!GP14/Inv_SY_B!$IS14-1,"")</f>
        <v>-4.6387805280587613E-2</v>
      </c>
      <c r="GQ14" s="62">
        <f>IFERROR(Inv_SY_B!GQ14/Inv_SY_B!$IS14-1,"")</f>
        <v>-4.556489675795472E-3</v>
      </c>
      <c r="GR14" s="62">
        <f>IFERROR(Inv_SY_B!GR14/Inv_SY_B!$IS14-1,"")</f>
        <v>-1.566424014712442E-2</v>
      </c>
      <c r="GS14" s="62" t="str">
        <f>IFERROR(Inv_SY_B!GS14/Inv_SY_B!$IS14-1,"")</f>
        <v/>
      </c>
      <c r="GT14" s="62" t="str">
        <f>IFERROR(Inv_SY_B!GT14/Inv_SY_B!$IS14-1,"")</f>
        <v/>
      </c>
      <c r="GU14" s="62">
        <f>IFERROR(Inv_SY_B!GU14/Inv_SY_B!$IS14-1,"")</f>
        <v>-0.44165049278459789</v>
      </c>
      <c r="GV14" s="62">
        <f>IFERROR(Inv_SY_B!GV14/Inv_SY_B!$IS14-1,"")</f>
        <v>-1.9171348532734944E-3</v>
      </c>
      <c r="GW14" s="62">
        <f>IFERROR(Inv_SY_B!GW14/Inv_SY_B!$IS14-1,"")</f>
        <v>1.8303227384401932E-3</v>
      </c>
      <c r="GX14" s="62" t="str">
        <f>IFERROR(Inv_SY_B!GX14/Inv_SY_B!$IS14-1,"")</f>
        <v/>
      </c>
      <c r="GY14" s="62">
        <f>IFERROR(Inv_SY_B!GY14/Inv_SY_B!$IS14-1,"")</f>
        <v>-9.9547032776425848E-4</v>
      </c>
      <c r="GZ14" s="62">
        <f>IFERROR(Inv_SY_B!GZ14/Inv_SY_B!$IS14-1,"")</f>
        <v>-1.1535014236792929E-2</v>
      </c>
      <c r="HA14" s="62">
        <f>IFERROR(Inv_SY_B!HA14/Inv_SY_B!$IS14-1,"")</f>
        <v>-5.6930225951664637E-3</v>
      </c>
      <c r="HB14" s="62">
        <f>IFERROR(Inv_SY_B!HB14/Inv_SY_B!$IS14-1,"")</f>
        <v>-1.7377005878419505E-2</v>
      </c>
      <c r="HC14" s="62">
        <f>IFERROR(Inv_SY_B!HC14/Inv_SY_B!$IS14-1,"")</f>
        <v>-2.1878276101905403E-3</v>
      </c>
      <c r="HD14" s="62">
        <f>IFERROR(Inv_SY_B!HD14/Inv_SY_B!$IS14-1,"")</f>
        <v>-1.6208607550094123E-2</v>
      </c>
      <c r="HE14" s="62">
        <f>IFERROR(Inv_SY_B!HE14/Inv_SY_B!$IS14-1,"")</f>
        <v>-8.0298192518170053E-3</v>
      </c>
      <c r="HF14" s="62">
        <f>IFERROR(Inv_SY_B!HF14/Inv_SY_B!$IS14-1,"")</f>
        <v>1.5338147314689188E-2</v>
      </c>
      <c r="HG14" s="62">
        <f>IFERROR(Inv_SY_B!HG14/Inv_SY_B!$IS14-1,"")</f>
        <v>-9.1982175801422761E-3</v>
      </c>
      <c r="HH14" s="62">
        <f>IFERROR(Inv_SY_B!HH14/Inv_SY_B!$IS14-1,"")</f>
        <v>-2.1878276101905403E-3</v>
      </c>
      <c r="HI14" s="62">
        <f>IFERROR(Inv_SY_B!HI14/Inv_SY_B!$IS14-1,"")</f>
        <v>-5.6930225951664637E-3</v>
      </c>
      <c r="HJ14" s="62">
        <f>IFERROR(Inv_SY_B!HJ14/Inv_SY_B!$IS14-1,"")</f>
        <v>1.1832952329713153E-2</v>
      </c>
      <c r="HK14" s="62">
        <f>IFERROR(Inv_SY_B!HK14/Inv_SY_B!$IS14-1,"")</f>
        <v>5.3418505056836985E-3</v>
      </c>
      <c r="HL14" s="62">
        <f>IFERROR(Inv_SY_B!HL14/Inv_SY_B!$IS14-1,"")</f>
        <v>1.1875453383047851E-3</v>
      </c>
      <c r="HM14" s="62">
        <f>IFERROR(Inv_SY_B!HM14/Inv_SY_B!$IS14-1,"")</f>
        <v>4.3599991877086852E-2</v>
      </c>
      <c r="HN14" s="62">
        <f>IFERROR(Inv_SY_B!HN14/Inv_SY_B!$IS14-1,"")</f>
        <v>6.3158760131811542E-2</v>
      </c>
      <c r="HO14" s="62">
        <f>IFERROR(Inv_SY_B!HO14/Inv_SY_B!$IS14-1,"")</f>
        <v>3.0095128082157974E-2</v>
      </c>
      <c r="HP14" s="62">
        <f>IFERROR(Inv_SY_B!HP14/Inv_SY_B!$IS14-1,"")</f>
        <v>3.8570594325872065E-2</v>
      </c>
      <c r="HQ14" s="62">
        <f>IFERROR(Inv_SY_B!HQ14/Inv_SY_B!$IS14-1,"")</f>
        <v>-6.4007917526609504E-4</v>
      </c>
      <c r="HR14" s="62">
        <f>IFERROR(Inv_SY_B!HR14/Inv_SY_B!$IS14-1,"")</f>
        <v>-1.7799929043134433E-2</v>
      </c>
      <c r="HS14" s="62">
        <f>IFERROR(Inv_SY_B!HS14/Inv_SY_B!$IS14-1,"")</f>
        <v>-9.5721050452064471E-3</v>
      </c>
      <c r="HT14" s="62">
        <f>IFERROR(Inv_SY_B!HT14/Inv_SY_B!$IS14-1,"")</f>
        <v>-1.9281835372293443E-3</v>
      </c>
      <c r="HU14" s="62">
        <f>IFERROR(Inv_SY_B!HU14/Inv_SY_B!$IS14-1,"")</f>
        <v>-1.8545404206744776E-2</v>
      </c>
      <c r="HV14" s="62">
        <f>IFERROR(Inv_SY_B!HV14/Inv_SY_B!$IS14-1,"")</f>
        <v>-1.0995753469873581E-2</v>
      </c>
      <c r="HW14" s="62">
        <f>IFERROR(Inv_SY_B!HW14/Inv_SY_B!$IS14-1,"")</f>
        <v>1.1739480463446972E-2</v>
      </c>
      <c r="HX14" s="62">
        <f>IFERROR(Inv_SY_B!HX14/Inv_SY_B!$IS14-1,"")</f>
        <v>-1.962392574058347E-2</v>
      </c>
      <c r="HY14" s="62">
        <f>IFERROR(Inv_SY_B!HY14/Inv_SY_B!$IS14-1,"")</f>
        <v>-8.8960724538467151E-4</v>
      </c>
      <c r="HZ14" s="62">
        <f>IFERROR(Inv_SY_B!HZ14/Inv_SY_B!$IS14-1,"")</f>
        <v>-1.9583980498589559E-2</v>
      </c>
      <c r="IA14" s="62">
        <f>IFERROR(Inv_SY_B!IA14/Inv_SY_B!$IS14-1,"")</f>
        <v>-7.3925110727304233E-3</v>
      </c>
      <c r="IB14" s="62">
        <f>IFERROR(Inv_SY_B!IB14/Inv_SY_B!$IS14-1,"")</f>
        <v>-1.5270348286439028E-2</v>
      </c>
      <c r="IC14" s="62">
        <f>IFERROR(Inv_SY_B!IC14/Inv_SY_B!$IS14-1,"")</f>
        <v>-1.9512260632281953E-2</v>
      </c>
      <c r="ID14" s="62">
        <f>IFERROR(Inv_SY_B!ID14/Inv_SY_B!$IS14-1,"")</f>
        <v>1.9355439232215943E-4</v>
      </c>
      <c r="IE14" s="62">
        <f>IFERROR(Inv_SY_B!IE14/Inv_SY_B!$IS14-1,"")</f>
        <v>-2.9809222330536844E-3</v>
      </c>
      <c r="IF14" s="62" t="str">
        <f>IFERROR(Inv_SY_B!IF14/Inv_SY_B!$IS14-1,"")</f>
        <v/>
      </c>
      <c r="IG14" s="62">
        <f>IFERROR(Inv_SY_B!IG14/Inv_SY_B!$IS14-1,"")</f>
        <v>6.0477743416615271E-2</v>
      </c>
      <c r="IH14" s="62">
        <f>IFERROR(Inv_SY_B!IH14/Inv_SY_B!$IS14-1,"")</f>
        <v>7.5697570007138282E-4</v>
      </c>
      <c r="II14" s="62">
        <f>IFERROR(Inv_SY_B!II14/Inv_SY_B!$IS14-1,"")</f>
        <v>-3.5829300917730178E-3</v>
      </c>
      <c r="IJ14" s="62">
        <f>IFERROR(Inv_SY_B!IJ14/Inv_SY_B!$IS14-1,"")</f>
        <v>1.9355439232215943E-4</v>
      </c>
      <c r="IK14" s="62">
        <f>IFERROR(Inv_SY_B!IK14/Inv_SY_B!$IS14-1,"")</f>
        <v>-1.1028435940595882E-2</v>
      </c>
      <c r="IL14" s="62" t="str">
        <f>IFERROR(Inv_SY_B!IL14/Inv_SY_B!$IS14-1,"")</f>
        <v/>
      </c>
      <c r="IM14" s="62" t="str">
        <f>IFERROR(Inv_SY_B!IM14/Inv_SY_B!$IS14-1,"")</f>
        <v/>
      </c>
      <c r="IN14" s="62">
        <f>IFERROR(Inv_SY_B!IN14/Inv_SY_B!$IS14-1,"")</f>
        <v>4.4438224802289428E-2</v>
      </c>
      <c r="IO14" s="62">
        <f>IFERROR(Inv_SY_B!IO14/Inv_SY_B!$IS14-1,"")</f>
        <v>5.2506216707363329E-2</v>
      </c>
      <c r="IP14" s="62">
        <f>IFERROR(Inv_SY_B!IP14/Inv_SY_B!$IS14-1,"")</f>
        <v>0.16977410910729884</v>
      </c>
      <c r="IQ14" s="62">
        <f>IFERROR(Inv_SY_B!IQ14/Inv_SY_B!$IS14-1,"")</f>
        <v>-1.9512260632281953E-2</v>
      </c>
      <c r="IR14" s="62">
        <f>IFERROR(Inv_SY_B!IR14/Inv_SY_B!$IS14-1,"")</f>
        <v>-2.8069043363927459E-3</v>
      </c>
    </row>
    <row r="15" spans="2:253" x14ac:dyDescent="0.25">
      <c r="B15" s="85">
        <f t="shared" si="0"/>
        <v>45841</v>
      </c>
      <c r="C15" s="62">
        <f>IFERROR(Inv_SY_B!C15/Inv_SY_B!$IS15-1,"")</f>
        <v>6.7911424019424516E-3</v>
      </c>
      <c r="D15" s="62">
        <f>IFERROR(Inv_SY_B!D15/Inv_SY_B!$IS15-1,"")</f>
        <v>2.9142683208162934E-2</v>
      </c>
      <c r="E15" s="62">
        <f>IFERROR(Inv_SY_B!E15/Inv_SY_B!$IS15-1,"")</f>
        <v>2.9628586269167867E-2</v>
      </c>
      <c r="F15" s="62">
        <f>IFERROR(Inv_SY_B!F15/Inv_SY_B!$IS15-1,"")</f>
        <v>2.647021637263669E-2</v>
      </c>
      <c r="G15" s="62">
        <f>IFERROR(Inv_SY_B!G15/Inv_SY_B!$IS15-1,"")</f>
        <v>2.4283652598115157E-2</v>
      </c>
      <c r="H15" s="62">
        <f>IFERROR(Inv_SY_B!H15/Inv_SY_B!$IS15-1,"")</f>
        <v>2.4364636441615684E-2</v>
      </c>
      <c r="I15" s="62">
        <f>IFERROR(Inv_SY_B!I15/Inv_SY_B!$IS15-1,"")</f>
        <v>6.4672070279390148E-3</v>
      </c>
      <c r="J15" s="62">
        <f>IFERROR(Inv_SY_B!J15/Inv_SY_B!$IS15-1,"")</f>
        <v>1.2032572003870534E-3</v>
      </c>
      <c r="K15" s="62">
        <f>IFERROR(Inv_SY_B!K15/Inv_SY_B!$IS15-1,"")</f>
        <v>-2.5706054318058613E-2</v>
      </c>
      <c r="L15" s="62">
        <f>IFERROR(Inv_SY_B!L15/Inv_SY_B!$IS15-1,"")</f>
        <v>2.7859899127110399E-2</v>
      </c>
      <c r="M15" s="62">
        <f>IFERROR(Inv_SY_B!M15/Inv_SY_B!$IS15-1,"")</f>
        <v>1.2783946821001368E-2</v>
      </c>
      <c r="N15" s="62">
        <f>IFERROR(Inv_SY_B!N15/Inv_SY_B!$IS15-1,"")</f>
        <v>5.4144170624286225E-3</v>
      </c>
      <c r="O15" s="62">
        <f>IFERROR(Inv_SY_B!O15/Inv_SY_B!$IS15-1,"")</f>
        <v>-1.5641382247779223E-2</v>
      </c>
      <c r="P15" s="62">
        <f>IFERROR(Inv_SY_B!P15/Inv_SY_B!$IS15-1,"")</f>
        <v>2.2163348331912358E-2</v>
      </c>
      <c r="Q15" s="62">
        <f>IFERROR(Inv_SY_B!Q15/Inv_SY_B!$IS15-1,"")</f>
        <v>2.7523006338147082E-2</v>
      </c>
      <c r="R15" s="62">
        <f>IFERROR(Inv_SY_B!R15/Inv_SY_B!$IS15-1,"")</f>
        <v>2.4364636441615684E-2</v>
      </c>
      <c r="S15" s="62">
        <f>IFERROR(Inv_SY_B!S15/Inv_SY_B!$IS15-1,"")</f>
        <v>1.9100686614063944E-2</v>
      </c>
      <c r="T15" s="62">
        <f>IFERROR(Inv_SY_B!T15/Inv_SY_B!$IS15-1,"")</f>
        <v>1.8047896648553552E-2</v>
      </c>
      <c r="U15" s="62">
        <f>IFERROR(Inv_SY_B!U15/Inv_SY_B!$IS15-1,"")</f>
        <v>2.3311846476105513E-2</v>
      </c>
      <c r="V15" s="62">
        <f>IFERROR(Inv_SY_B!V15/Inv_SY_B!$IS15-1,"")</f>
        <v>2.3311846476105513E-2</v>
      </c>
      <c r="W15" s="62">
        <f>IFERROR(Inv_SY_B!W15/Inv_SY_B!$IS15-1,"")</f>
        <v>2.9628586269167867E-2</v>
      </c>
      <c r="X15" s="62">
        <f>IFERROR(Inv_SY_B!X15/Inv_SY_B!$IS15-1,"")</f>
        <v>2.9628586269167867E-2</v>
      </c>
      <c r="Y15" s="62">
        <f>IFERROR(Inv_SY_B!Y15/Inv_SY_B!$IS15-1,"")</f>
        <v>2.9039179139038751E-3</v>
      </c>
      <c r="Z15" s="62">
        <f>IFERROR(Inv_SY_B!Z15/Inv_SY_B!$IS15-1,"")</f>
        <v>3.5009512759554218E-2</v>
      </c>
      <c r="AA15" s="62">
        <f>IFERROR(Inv_SY_B!AA15/Inv_SY_B!$IS15-1,"")</f>
        <v>3.2058101574191866E-2</v>
      </c>
      <c r="AB15" s="62">
        <f>IFERROR(Inv_SY_B!AB15/Inv_SY_B!$IS15-1,"")</f>
        <v>2.2340040354095869E-2</v>
      </c>
      <c r="AC15" s="62">
        <f>IFERROR(Inv_SY_B!AC15/Inv_SY_B!$IS15-1,"")</f>
        <v>1.5537397500028804E-2</v>
      </c>
      <c r="AD15" s="62">
        <f>IFERROR(Inv_SY_B!AD15/Inv_SY_B!$IS15-1,"")</f>
        <v>1.8164873311387941E-2</v>
      </c>
      <c r="AE15" s="62">
        <f>IFERROR(Inv_SY_B!AE15/Inv_SY_B!$IS15-1,"")</f>
        <v>2.0972313219415728E-2</v>
      </c>
      <c r="AF15" s="62">
        <f>IFERROR(Inv_SY_B!AF15/Inv_SY_B!$IS15-1,"")</f>
        <v>-2.6754165217055537E-2</v>
      </c>
      <c r="AG15" s="62">
        <f>IFERROR(Inv_SY_B!AG15/Inv_SY_B!$IS15-1,"")</f>
        <v>-2.1139285401000074E-2</v>
      </c>
      <c r="AH15" s="62">
        <f>IFERROR(Inv_SY_B!AH15/Inv_SY_B!$IS15-1,"")</f>
        <v>-1.6460218887620615E-2</v>
      </c>
      <c r="AI15" s="62">
        <f>IFERROR(Inv_SY_B!AI15/Inv_SY_B!$IS15-1,"")</f>
        <v>-3.3505559994857492E-3</v>
      </c>
      <c r="AJ15" s="62">
        <f>IFERROR(Inv_SY_B!AJ15/Inv_SY_B!$IS15-1,"")</f>
        <v>2.7586573390316449E-2</v>
      </c>
      <c r="AK15" s="62">
        <f>IFERROR(Inv_SY_B!AK15/Inv_SY_B!$IS15-1,"")</f>
        <v>7.5199969934496291E-3</v>
      </c>
      <c r="AL15" s="62">
        <f>IFERROR(Inv_SY_B!AL15/Inv_SY_B!$IS15-1,"")</f>
        <v>6.1892178627487304E-4</v>
      </c>
      <c r="AM15" s="62">
        <f>IFERROR(Inv_SY_B!AM15/Inv_SY_B!$IS15-1,"")</f>
        <v>-2.1958122040841688E-2</v>
      </c>
      <c r="AN15" s="62">
        <f>IFERROR(Inv_SY_B!AN15/Inv_SY_B!$IS15-1,"")</f>
        <v>-2.3010912006351969E-2</v>
      </c>
      <c r="AO15" s="62">
        <f>IFERROR(Inv_SY_B!AO15/Inv_SY_B!$IS15-1,"")</f>
        <v>-1.7746962178800008E-2</v>
      </c>
      <c r="AP15" s="62">
        <f>IFERROR(Inv_SY_B!AP15/Inv_SY_B!$IS15-1,"")</f>
        <v>1.4889526752022153E-2</v>
      </c>
      <c r="AQ15" s="62">
        <f>IFERROR(Inv_SY_B!AQ15/Inv_SY_B!$IS15-1,"")</f>
        <v>-1.4588592282268831E-2</v>
      </c>
      <c r="AR15" s="62">
        <f>IFERROR(Inv_SY_B!AR15/Inv_SY_B!$IS15-1,"")</f>
        <v>-1.7220567196044811E-2</v>
      </c>
      <c r="AS15" s="62">
        <f>IFERROR(Inv_SY_B!AS15/Inv_SY_B!$IS15-1,"")</f>
        <v>-1.0377432420227151E-2</v>
      </c>
      <c r="AT15" s="62">
        <f>IFERROR(Inv_SY_B!AT15/Inv_SY_B!$IS15-1,"")</f>
        <v>-5.1134825926753003E-3</v>
      </c>
      <c r="AU15" s="62">
        <f>IFERROR(Inv_SY_B!AU15/Inv_SY_B!$IS15-1,"")</f>
        <v>1.2032572003870534E-3</v>
      </c>
      <c r="AV15" s="62">
        <f>IFERROR(Inv_SY_B!AV15/Inv_SY_B!$IS15-1,"")</f>
        <v>7.5199969934496291E-3</v>
      </c>
      <c r="AW15" s="62">
        <f>IFERROR(Inv_SY_B!AW15/Inv_SY_B!$IS15-1,"")</f>
        <v>9.7065607679711619E-3</v>
      </c>
      <c r="AX15" s="62">
        <f>IFERROR(Inv_SY_B!AX15/Inv_SY_B!$IS15-1,"")</f>
        <v>4.3616270969182303E-3</v>
      </c>
      <c r="AY15" s="62">
        <f>IFERROR(Inv_SY_B!AY15/Inv_SY_B!$IS15-1,"")</f>
        <v>-1.4497735126990374E-3</v>
      </c>
      <c r="AZ15" s="62">
        <f>IFERROR(Inv_SY_B!AZ15/Inv_SY_B!$IS15-1,"")</f>
        <v>-1.8631305749828853E-2</v>
      </c>
      <c r="BA15" s="62">
        <f>IFERROR(Inv_SY_B!BA15/Inv_SY_B!$IS15-1,"")</f>
        <v>1.2032572003870534E-3</v>
      </c>
      <c r="BB15" s="62">
        <f>IFERROR(Inv_SY_B!BB15/Inv_SY_B!$IS15-1,"")</f>
        <v>1.3836736786511983E-2</v>
      </c>
      <c r="BC15" s="62">
        <f>IFERROR(Inv_SY_B!BC15/Inv_SY_B!$IS15-1,"")</f>
        <v>3.5009512759554218E-2</v>
      </c>
      <c r="BD15" s="62">
        <f>IFERROR(Inv_SY_B!BD15/Inv_SY_B!$IS15-1,"")</f>
        <v>1.4421620100684152E-2</v>
      </c>
      <c r="BE15" s="62">
        <f>IFERROR(Inv_SY_B!BE15/Inv_SY_B!$IS15-1,"")</f>
        <v>-2.4306653502364717E-2</v>
      </c>
      <c r="BF15" s="62">
        <f>IFERROR(Inv_SY_B!BF15/Inv_SY_B!$IS15-1,"")</f>
        <v>1.1614180192656587E-2</v>
      </c>
      <c r="BG15" s="62">
        <f>IFERROR(Inv_SY_B!BG15/Inv_SY_B!$IS15-1,"")</f>
        <v>-5.2304592555096896E-3</v>
      </c>
      <c r="BH15" s="62">
        <f>IFERROR(Inv_SY_B!BH15/Inv_SY_B!$IS15-1,"")</f>
        <v>-9.0232273063362012E-4</v>
      </c>
      <c r="BI15" s="62">
        <f>IFERROR(Inv_SY_B!BI15/Inv_SY_B!$IS15-1,"")</f>
        <v>2.1908126522091509E-2</v>
      </c>
      <c r="BJ15" s="62">
        <f>IFERROR(Inv_SY_B!BJ15/Inv_SY_B!$IS15-1,"")</f>
        <v>3.5009512759554218E-2</v>
      </c>
      <c r="BK15" s="62">
        <f>IFERROR(Inv_SY_B!BK15/Inv_SY_B!$IS15-1,"")</f>
        <v>1.8047896648553552E-2</v>
      </c>
      <c r="BL15" s="62">
        <f>IFERROR(Inv_SY_B!BL15/Inv_SY_B!$IS15-1,"")</f>
        <v>-1.2619408486617134E-3</v>
      </c>
      <c r="BM15" s="62">
        <f>IFERROR(Inv_SY_B!BM15/Inv_SY_B!$IS15-1,"")</f>
        <v>4.3616270969182303E-3</v>
      </c>
      <c r="BN15" s="62">
        <f>IFERROR(Inv_SY_B!BN15/Inv_SY_B!$IS15-1,"")</f>
        <v>5.8585260743738932E-2</v>
      </c>
      <c r="BO15" s="62">
        <f>IFERROR(Inv_SY_B!BO15/Inv_SY_B!$IS15-1,"")</f>
        <v>2.9039179139038751E-3</v>
      </c>
      <c r="BP15" s="62">
        <f>IFERROR(Inv_SY_B!BP15/Inv_SY_B!$IS15-1,"")</f>
        <v>1.456559137801916E-2</v>
      </c>
      <c r="BQ15" s="62">
        <f>IFERROR(Inv_SY_B!BQ15/Inv_SY_B!$IS15-1,"")</f>
        <v>1.7481009744047871E-2</v>
      </c>
      <c r="BR15" s="62">
        <f>IFERROR(Inv_SY_B!BR15/Inv_SY_B!$IS15-1,"")</f>
        <v>-2.0419429014326473E-2</v>
      </c>
      <c r="BS15" s="62">
        <f>IFERROR(Inv_SY_B!BS15/Inv_SY_B!$IS15-1,"")</f>
        <v>4.3616270969182303E-3</v>
      </c>
      <c r="BT15" s="62">
        <f>IFERROR(Inv_SY_B!BT15/Inv_SY_B!$IS15-1,"")</f>
        <v>1.3836736786511983E-2</v>
      </c>
      <c r="BU15" s="62">
        <f>IFERROR(Inv_SY_B!BU15/Inv_SY_B!$IS15-1,"")</f>
        <v>1.0678366889980584E-2</v>
      </c>
      <c r="BV15" s="62">
        <f>IFERROR(Inv_SY_B!BV15/Inv_SY_B!$IS15-1,"")</f>
        <v>-1.4588592282268831E-2</v>
      </c>
      <c r="BW15" s="62">
        <f>IFERROR(Inv_SY_B!BW15/Inv_SY_B!$IS15-1,"")</f>
        <v>2.1206266545084729E-2</v>
      </c>
      <c r="BX15" s="62">
        <f>IFERROR(Inv_SY_B!BX15/Inv_SY_B!$IS15-1,"")</f>
        <v>1.2032572003870534E-3</v>
      </c>
      <c r="BY15" s="62">
        <f>IFERROR(Inv_SY_B!BY15/Inv_SY_B!$IS15-1,"")</f>
        <v>-4.2946459528339087E-3</v>
      </c>
      <c r="BZ15" s="62">
        <f>IFERROR(Inv_SY_B!BZ15/Inv_SY_B!$IS15-1,"")</f>
        <v>5.9993003766012354E-3</v>
      </c>
      <c r="CA15" s="62">
        <f>IFERROR(Inv_SY_B!CA15/Inv_SY_B!$IS15-1,"")</f>
        <v>1.1614180192656587E-2</v>
      </c>
      <c r="CB15" s="62">
        <f>IFERROR(Inv_SY_B!CB15/Inv_SY_B!$IS15-1,"")</f>
        <v>-9.0232273063362012E-4</v>
      </c>
      <c r="CC15" s="62">
        <f>IFERROR(Inv_SY_B!CC15/Inv_SY_B!$IS15-1,"")</f>
        <v>4.3616270969182303E-3</v>
      </c>
      <c r="CD15" s="62">
        <f>IFERROR(Inv_SY_B!CD15/Inv_SY_B!$IS15-1,"")</f>
        <v>1.5537397500028804E-2</v>
      </c>
      <c r="CE15" s="62">
        <f>IFERROR(Inv_SY_B!CE15/Inv_SY_B!$IS15-1,"")</f>
        <v>2.2259056510594899E-2</v>
      </c>
      <c r="CF15" s="62">
        <f>IFERROR(Inv_SY_B!CF15/Inv_SY_B!$IS15-1,"")</f>
        <v>-7.2190625236960848E-3</v>
      </c>
      <c r="CG15" s="62">
        <f>IFERROR(Inv_SY_B!CG15/Inv_SY_B!$IS15-1,"")</f>
        <v>1.2783946821001368E-2</v>
      </c>
      <c r="CH15" s="62">
        <f>IFERROR(Inv_SY_B!CH15/Inv_SY_B!$IS15-1,"")</f>
        <v>1.5046723487666114E-4</v>
      </c>
      <c r="CI15" s="62">
        <f>IFERROR(Inv_SY_B!CI15/Inv_SY_B!$IS15-1,"")</f>
        <v>-2.0905332075331184E-2</v>
      </c>
      <c r="CJ15" s="62">
        <f>IFERROR(Inv_SY_B!CJ15/Inv_SY_B!$IS15-1,"")</f>
        <v>-8.2718524892063661E-3</v>
      </c>
      <c r="CK15" s="62">
        <f>IFERROR(Inv_SY_B!CK15/Inv_SY_B!$IS15-1,"")</f>
        <v>-2.4063701971862472E-2</v>
      </c>
      <c r="CL15" s="62">
        <f>IFERROR(Inv_SY_B!CL15/Inv_SY_B!$IS15-1,"")</f>
        <v>-5.1134825926753003E-3</v>
      </c>
      <c r="CM15" s="62">
        <f>IFERROR(Inv_SY_B!CM15/Inv_SY_B!$IS15-1,"")</f>
        <v>-1.7746962178800008E-2</v>
      </c>
      <c r="CN15" s="62">
        <f>IFERROR(Inv_SY_B!CN15/Inv_SY_B!$IS15-1,"")</f>
        <v>-2.1958122040841688E-2</v>
      </c>
      <c r="CO15" s="62">
        <f>IFERROR(Inv_SY_B!CO15/Inv_SY_B!$IS15-1,"")</f>
        <v>-1.8631305749828853E-2</v>
      </c>
      <c r="CP15" s="62">
        <f>IFERROR(Inv_SY_B!CP15/Inv_SY_B!$IS15-1,"")</f>
        <v>-1.8475816770307185E-2</v>
      </c>
      <c r="CQ15" s="62">
        <f>IFERROR(Inv_SY_B!CQ15/Inv_SY_B!$IS15-1,"")</f>
        <v>1.4889526752022153E-2</v>
      </c>
      <c r="CR15" s="62">
        <f>IFERROR(Inv_SY_B!CR15/Inv_SY_B!$IS15-1,"")</f>
        <v>-1.5641382247779223E-2</v>
      </c>
      <c r="CS15" s="62">
        <f>IFERROR(Inv_SY_B!CS15/Inv_SY_B!$IS15-1,"")</f>
        <v>1.7229060008711938E-2</v>
      </c>
      <c r="CT15" s="62">
        <f>IFERROR(Inv_SY_B!CT15/Inv_SY_B!$IS15-1,"")</f>
        <v>1.1731156855491198E-2</v>
      </c>
      <c r="CU15" s="62">
        <f>IFERROR(Inv_SY_B!CU15/Inv_SY_B!$IS15-1,"")</f>
        <v>-1.7746962178800008E-2</v>
      </c>
      <c r="CV15" s="62">
        <f>IFERROR(Inv_SY_B!CV15/Inv_SY_B!$IS15-1,"")</f>
        <v>3.308837131407838E-3</v>
      </c>
      <c r="CW15" s="62">
        <f>IFERROR(Inv_SY_B!CW15/Inv_SY_B!$IS15-1,"")</f>
        <v>7.5199969934496291E-3</v>
      </c>
      <c r="CX15" s="62">
        <f>IFERROR(Inv_SY_B!CX15/Inv_SY_B!$IS15-1,"")</f>
        <v>-9.0232273063362012E-4</v>
      </c>
      <c r="CY15" s="62">
        <f>IFERROR(Inv_SY_B!CY15/Inv_SY_B!$IS15-1,"")</f>
        <v>1.1731156855491198E-2</v>
      </c>
      <c r="CZ15" s="62">
        <f>IFERROR(Inv_SY_B!CZ15/Inv_SY_B!$IS15-1,"")</f>
        <v>7.5199969934496291E-3</v>
      </c>
      <c r="DA15" s="62">
        <f>IFERROR(Inv_SY_B!DA15/Inv_SY_B!$IS15-1,"")</f>
        <v>-3.0079026616545157E-3</v>
      </c>
      <c r="DB15" s="62">
        <f>IFERROR(Inv_SY_B!DB15/Inv_SY_B!$IS15-1,"")</f>
        <v>-4.060692627164797E-3</v>
      </c>
      <c r="DC15" s="62">
        <f>IFERROR(Inv_SY_B!DC15/Inv_SY_B!$IS15-1,"")</f>
        <v>-1.487206044806122E-3</v>
      </c>
      <c r="DD15" s="62">
        <f>IFERROR(Inv_SY_B!DD15/Inv_SY_B!$IS15-1,"")</f>
        <v>1.2032572003870534E-3</v>
      </c>
      <c r="DE15" s="62">
        <f>IFERROR(Inv_SY_B!DE15/Inv_SY_B!$IS15-1,"")</f>
        <v>1.4421620100684152E-2</v>
      </c>
      <c r="DF15" s="62">
        <f>IFERROR(Inv_SY_B!DF15/Inv_SY_B!$IS15-1,"")</f>
        <v>-2.6841672683799556E-2</v>
      </c>
      <c r="DG15" s="62">
        <f>IFERROR(Inv_SY_B!DG15/Inv_SY_B!$IS15-1,"")</f>
        <v>1.9100686614063944E-2</v>
      </c>
      <c r="DH15" s="62">
        <f>IFERROR(Inv_SY_B!DH15/Inv_SY_B!$IS15-1,"")</f>
        <v>2.1908126522091509E-2</v>
      </c>
      <c r="DI15" s="62">
        <f>IFERROR(Inv_SY_B!DI15/Inv_SY_B!$IS15-1,"")</f>
        <v>1.8452815866057515E-2</v>
      </c>
      <c r="DJ15" s="62">
        <f>IFERROR(Inv_SY_B!DJ15/Inv_SY_B!$IS15-1,"")</f>
        <v>-4.8705310621728337E-3</v>
      </c>
      <c r="DK15" s="62">
        <f>IFERROR(Inv_SY_B!DK15/Inv_SY_B!$IS15-1,"")</f>
        <v>-2.3010912006351969E-2</v>
      </c>
      <c r="DL15" s="62">
        <f>IFERROR(Inv_SY_B!DL15/Inv_SY_B!$IS15-1,"")</f>
        <v>-1.2716965676917047E-2</v>
      </c>
      <c r="DM15" s="62">
        <f>IFERROR(Inv_SY_B!DM15/Inv_SY_B!$IS15-1,"")</f>
        <v>-5.1134825926753003E-3</v>
      </c>
      <c r="DN15" s="62">
        <f>IFERROR(Inv_SY_B!DN15/Inv_SY_B!$IS15-1,"")</f>
        <v>-2.1958122040841688E-2</v>
      </c>
      <c r="DO15" s="62">
        <f>IFERROR(Inv_SY_B!DO15/Inv_SY_B!$IS15-1,"")</f>
        <v>-2.00705671980278E-2</v>
      </c>
      <c r="DP15" s="62">
        <f>IFERROR(Inv_SY_B!DP15/Inv_SY_B!$IS15-1,"")</f>
        <v>-2.3010912006351969E-2</v>
      </c>
      <c r="DQ15" s="62">
        <f>IFERROR(Inv_SY_B!DQ15/Inv_SY_B!$IS15-1,"")</f>
        <v>2.2843939824767512E-2</v>
      </c>
      <c r="DR15" s="62">
        <f>IFERROR(Inv_SY_B!DR15/Inv_SY_B!$IS15-1,"")</f>
        <v>1.9100686614063944E-2</v>
      </c>
      <c r="DS15" s="62">
        <f>IFERROR(Inv_SY_B!DS15/Inv_SY_B!$IS15-1,"")</f>
        <v>2.8575796303657475E-2</v>
      </c>
      <c r="DT15" s="62">
        <f>IFERROR(Inv_SY_B!DT15/Inv_SY_B!$IS15-1,"")</f>
        <v>-5.0149497783953279E-2</v>
      </c>
      <c r="DU15" s="62">
        <f>IFERROR(Inv_SY_B!DU15/Inv_SY_B!$IS15-1,"")</f>
        <v>-2.9561605125083323E-2</v>
      </c>
      <c r="DV15" s="62">
        <f>IFERROR(Inv_SY_B!DV15/Inv_SY_B!$IS15-1,"")</f>
        <v>7.5199969934496291E-3</v>
      </c>
      <c r="DW15" s="62">
        <f>IFERROR(Inv_SY_B!DW15/Inv_SY_B!$IS15-1,"")</f>
        <v>1.4889526752022153E-2</v>
      </c>
      <c r="DX15" s="62">
        <f>IFERROR(Inv_SY_B!DX15/Inv_SY_B!$IS15-1,"")</f>
        <v>-1.3652778979592939E-2</v>
      </c>
      <c r="DY15" s="62">
        <f>IFERROR(Inv_SY_B!DY15/Inv_SY_B!$IS15-1,"")</f>
        <v>-1.7746962178800008E-2</v>
      </c>
      <c r="DZ15" s="62">
        <f>IFERROR(Inv_SY_B!DZ15/Inv_SY_B!$IS15-1,"")</f>
        <v>-7.2190625236960848E-3</v>
      </c>
      <c r="EA15" s="62">
        <f>IFERROR(Inv_SY_B!EA15/Inv_SY_B!$IS15-1,"")</f>
        <v>-7.8507365030022758E-3</v>
      </c>
      <c r="EB15" s="62">
        <f>IFERROR(Inv_SY_B!EB15/Inv_SY_B!$IS15-1,"")</f>
        <v>1.9753031750948669E-3</v>
      </c>
      <c r="EC15" s="62">
        <f>IFERROR(Inv_SY_B!EC15/Inv_SY_B!$IS15-1,"")</f>
        <v>-5.8423371841824778E-3</v>
      </c>
      <c r="ED15" s="62">
        <f>IFERROR(Inv_SY_B!ED15/Inv_SY_B!$IS15-1,"")</f>
        <v>3.0982791383058483E-3</v>
      </c>
      <c r="EE15" s="62">
        <f>IFERROR(Inv_SY_B!EE15/Inv_SY_B!$IS15-1,"")</f>
        <v>1.0872728114382557E-2</v>
      </c>
      <c r="EF15" s="62">
        <f>IFERROR(Inv_SY_B!EF15/Inv_SY_B!$IS15-1,"")</f>
        <v>-1.5737090426461986E-2</v>
      </c>
      <c r="EG15" s="62">
        <f>IFERROR(Inv_SY_B!EG15/Inv_SY_B!$IS15-1,"")</f>
        <v>-1.6167777230534419E-2</v>
      </c>
      <c r="EH15" s="62">
        <f>IFERROR(Inv_SY_B!EH15/Inv_SY_B!$IS15-1,"")</f>
        <v>-4.6684395618004082E-3</v>
      </c>
      <c r="EI15" s="62">
        <f>IFERROR(Inv_SY_B!EI15/Inv_SY_B!$IS15-1,"")</f>
        <v>-2.3047722844306895E-2</v>
      </c>
      <c r="EJ15" s="62">
        <f>IFERROR(Inv_SY_B!EJ15/Inv_SY_B!$IS15-1,"")</f>
        <v>1.0369155851159606E-2</v>
      </c>
      <c r="EK15" s="62">
        <f>IFERROR(Inv_SY_B!EK15/Inv_SY_B!$IS15-1,"")</f>
        <v>-3.4711302464790483E-3</v>
      </c>
      <c r="EL15" s="62">
        <f>IFERROR(Inv_SY_B!EL15/Inv_SY_B!$IS15-1,"")</f>
        <v>2.2560471658974457E-3</v>
      </c>
      <c r="EM15" s="62">
        <f>IFERROR(Inv_SY_B!EM15/Inv_SY_B!$IS15-1,"")</f>
        <v>-1.9447622892316829E-2</v>
      </c>
      <c r="EN15" s="62">
        <f>IFERROR(Inv_SY_B!EN15/Inv_SY_B!$IS15-1,"")</f>
        <v>-5.2592535109766692E-3</v>
      </c>
      <c r="EO15" s="62">
        <f>IFERROR(Inv_SY_B!EO15/Inv_SY_B!$IS15-1,"")</f>
        <v>9.2044609382662124E-3</v>
      </c>
      <c r="EP15" s="62">
        <f>IFERROR(Inv_SY_B!EP15/Inv_SY_B!$IS15-1,"")</f>
        <v>2.9039179139038751E-3</v>
      </c>
      <c r="EQ15" s="62">
        <f>IFERROR(Inv_SY_B!EQ15/Inv_SY_B!$IS15-1,"")</f>
        <v>-2.5537607923576955E-2</v>
      </c>
      <c r="ER15" s="62">
        <f>IFERROR(Inv_SY_B!ER15/Inv_SY_B!$IS15-1,"")</f>
        <v>9.3178383191672154E-3</v>
      </c>
      <c r="ES15" s="62">
        <f>IFERROR(Inv_SY_B!ES15/Inv_SY_B!$IS15-1,"")</f>
        <v>1.1941714848593188E-2</v>
      </c>
      <c r="ET15" s="62">
        <f>IFERROR(Inv_SY_B!ET15/Inv_SY_B!$IS15-1,"")</f>
        <v>-5.7083023617415685E-2</v>
      </c>
      <c r="EU15" s="62">
        <f>IFERROR(Inv_SY_B!EU15/Inv_SY_B!$IS15-1,"")</f>
        <v>-6.6197820817901487E-3</v>
      </c>
      <c r="EV15" s="62">
        <f>IFERROR(Inv_SY_B!EV15/Inv_SY_B!$IS15-1,"")</f>
        <v>4.8475301579231633E-3</v>
      </c>
      <c r="EW15" s="62">
        <f>IFERROR(Inv_SY_B!EW15/Inv_SY_B!$IS15-1,"")</f>
        <v>1.932111791894231E-3</v>
      </c>
      <c r="EX15" s="62">
        <f>IFERROR(Inv_SY_B!EX15/Inv_SY_B!$IS15-1,"")</f>
        <v>3.308837131407838E-3</v>
      </c>
      <c r="EY15" s="62">
        <f>IFERROR(Inv_SY_B!EY15/Inv_SY_B!$IS15-1,"")</f>
        <v>3.1918604685734486E-3</v>
      </c>
      <c r="EZ15" s="62">
        <f>IFERROR(Inv_SY_B!EZ15/Inv_SY_B!$IS15-1,"")</f>
        <v>7.5199969934496291E-3</v>
      </c>
      <c r="FA15" s="62">
        <f>IFERROR(Inv_SY_B!FA15/Inv_SY_B!$IS15-1,"")</f>
        <v>1.2032572003870534E-3</v>
      </c>
      <c r="FB15" s="62">
        <f>IFERROR(Inv_SY_B!FB15/Inv_SY_B!$IS15-1,"")</f>
        <v>-7.2190625236960848E-3</v>
      </c>
      <c r="FC15" s="62">
        <f>IFERROR(Inv_SY_B!FC15/Inv_SY_B!$IS15-1,"")</f>
        <v>-4.060692627164797E-3</v>
      </c>
      <c r="FD15" s="62">
        <f>IFERROR(Inv_SY_B!FD15/Inv_SY_B!$IS15-1,"")</f>
        <v>-1.1430222385737654E-2</v>
      </c>
      <c r="FE15" s="62">
        <f>IFERROR(Inv_SY_B!FE15/Inv_SY_B!$IS15-1,"")</f>
        <v>4.0625390385347071E-3</v>
      </c>
      <c r="FF15" s="62">
        <f>IFERROR(Inv_SY_B!FF15/Inv_SY_B!$IS15-1,"")</f>
        <v>-1.1908763279151469E-2</v>
      </c>
      <c r="FG15" s="62">
        <f>IFERROR(Inv_SY_B!FG15/Inv_SY_B!$IS15-1,"")</f>
        <v>-1.0962315734399652E-2</v>
      </c>
      <c r="FH15" s="62">
        <f>IFERROR(Inv_SY_B!FH15/Inv_SY_B!$IS15-1,"")</f>
        <v>-5.5202423520769317E-3</v>
      </c>
      <c r="FI15" s="62">
        <f>IFERROR(Inv_SY_B!FI15/Inv_SY_B!$IS15-1,"")</f>
        <v>-5.5139274213023004E-4</v>
      </c>
      <c r="FJ15" s="62">
        <f>IFERROR(Inv_SY_B!FJ15/Inv_SY_B!$IS15-1,"")</f>
        <v>-0.11128575547808728</v>
      </c>
      <c r="FK15" s="62">
        <f>IFERROR(Inv_SY_B!FK15/Inv_SY_B!$IS15-1,"")</f>
        <v>4.1808449816285176E-3</v>
      </c>
      <c r="FL15" s="62">
        <f>IFERROR(Inv_SY_B!FL15/Inv_SY_B!$IS15-1,"")</f>
        <v>-1.3612368859704627E-2</v>
      </c>
      <c r="FM15" s="62">
        <f>IFERROR(Inv_SY_B!FM15/Inv_SY_B!$IS15-1,"")</f>
        <v>-0.15032671669909781</v>
      </c>
      <c r="FN15" s="62">
        <f>IFERROR(Inv_SY_B!FN15/Inv_SY_B!$IS15-1,"")</f>
        <v>-0.15009010481291007</v>
      </c>
      <c r="FO15" s="62">
        <f>IFERROR(Inv_SY_B!FO15/Inv_SY_B!$IS15-1,"")</f>
        <v>-1.7232530718380157E-2</v>
      </c>
      <c r="FP15" s="62">
        <f>IFERROR(Inv_SY_B!FP15/Inv_SY_B!$IS15-1,"")</f>
        <v>-9.5237154663770918E-3</v>
      </c>
      <c r="FQ15" s="62">
        <f>IFERROR(Inv_SY_B!FQ15/Inv_SY_B!$IS15-1,"")</f>
        <v>9.8973881519293094E-3</v>
      </c>
      <c r="FR15" s="62">
        <f>IFERROR(Inv_SY_B!FR15/Inv_SY_B!$IS15-1,"")</f>
        <v>-1.1568042163040748E-2</v>
      </c>
      <c r="FS15" s="62">
        <f>IFERROR(Inv_SY_B!FS15/Inv_SY_B!$IS15-1,"")</f>
        <v>-1.0962315734399652E-2</v>
      </c>
      <c r="FT15" s="62">
        <f>IFERROR(Inv_SY_B!FT15/Inv_SY_B!$IS15-1,"")</f>
        <v>-1.9745348949696151E-2</v>
      </c>
      <c r="FU15" s="62">
        <f>IFERROR(Inv_SY_B!FU15/Inv_SY_B!$IS15-1,"")</f>
        <v>-2.2319686271421002E-2</v>
      </c>
      <c r="FV15" s="62">
        <f>IFERROR(Inv_SY_B!FV15/Inv_SY_B!$IS15-1,"")</f>
        <v>-1.7232530718380157E-2</v>
      </c>
      <c r="FW15" s="62">
        <f>IFERROR(Inv_SY_B!FW15/Inv_SY_B!$IS15-1,"")</f>
        <v>-2.1491544669763107E-2</v>
      </c>
      <c r="FX15" s="62">
        <f>IFERROR(Inv_SY_B!FX15/Inv_SY_B!$IS15-1,"")</f>
        <v>-2.1491544669763107E-2</v>
      </c>
      <c r="FY15" s="62">
        <f>IFERROR(Inv_SY_B!FY15/Inv_SY_B!$IS15-1,"")</f>
        <v>-2.1373238726669186E-2</v>
      </c>
      <c r="FZ15" s="62">
        <f>IFERROR(Inv_SY_B!FZ15/Inv_SY_B!$IS15-1,"")</f>
        <v>-1.6167777230534419E-2</v>
      </c>
      <c r="GA15" s="62">
        <f>IFERROR(Inv_SY_B!GA15/Inv_SY_B!$IS15-1,"")</f>
        <v>-7.3221328699697441E-3</v>
      </c>
      <c r="GB15" s="62">
        <f>IFERROR(Inv_SY_B!GB15/Inv_SY_B!$IS15-1,"")</f>
        <v>-2.1373238726669186E-2</v>
      </c>
      <c r="GC15" s="62">
        <f>IFERROR(Inv_SY_B!GC15/Inv_SY_B!$IS15-1,"")</f>
        <v>-2.4212581360924412E-2</v>
      </c>
      <c r="GD15" s="62">
        <f>IFERROR(Inv_SY_B!GD15/Inv_SY_B!$IS15-1,"")</f>
        <v>1.0919551500261138E-2</v>
      </c>
      <c r="GE15" s="62">
        <f>IFERROR(Inv_SY_B!GE15/Inv_SY_B!$IS15-1,"")</f>
        <v>-1.9116325350722607E-2</v>
      </c>
      <c r="GF15" s="62">
        <f>IFERROR(Inv_SY_B!GF15/Inv_SY_B!$IS15-1,"")</f>
        <v>-2.2319686271421002E-2</v>
      </c>
      <c r="GG15" s="62">
        <f>IFERROR(Inv_SY_B!GG15/Inv_SY_B!$IS15-1,"")</f>
        <v>-4.4128987247173956E-3</v>
      </c>
      <c r="GH15" s="62">
        <f>IFERROR(Inv_SY_B!GH15/Inv_SY_B!$IS15-1,"")</f>
        <v>-1.3612368859704627E-2</v>
      </c>
      <c r="GI15" s="62">
        <f>IFERROR(Inv_SY_B!GI15/Inv_SY_B!$IS15-1,"")</f>
        <v>1.1941714848593188E-2</v>
      </c>
      <c r="GJ15" s="62">
        <f>IFERROR(Inv_SY_B!GJ15/Inv_SY_B!$IS15-1,"")</f>
        <v>-2.1082024097514807E-2</v>
      </c>
      <c r="GK15" s="62">
        <f>IFERROR(Inv_SY_B!GK15/Inv_SY_B!$IS15-1,"")</f>
        <v>-7.649749327768518E-3</v>
      </c>
      <c r="GL15" s="62">
        <f>IFERROR(Inv_SY_B!GL15/Inv_SY_B!$IS15-1,"")</f>
        <v>-5.5202423520769317E-3</v>
      </c>
      <c r="GM15" s="62">
        <f>IFERROR(Inv_SY_B!GM15/Inv_SY_B!$IS15-1,"")</f>
        <v>-5.5202423520769317E-3</v>
      </c>
      <c r="GN15" s="62">
        <f>IFERROR(Inv_SY_B!GN15/Inv_SY_B!$IS15-1,"")</f>
        <v>-1.2973516766997206E-2</v>
      </c>
      <c r="GO15" s="62">
        <f>IFERROR(Inv_SY_B!GO15/Inv_SY_B!$IS15-1,"")</f>
        <v>-4.4554888642313051E-3</v>
      </c>
      <c r="GP15" s="62">
        <f>IFERROR(Inv_SY_B!GP15/Inv_SY_B!$IS15-1,"")</f>
        <v>6.1920460142261824E-3</v>
      </c>
      <c r="GQ15" s="62">
        <f>IFERROR(Inv_SY_B!GQ15/Inv_SY_B!$IS15-1,"")</f>
        <v>1.3219419034008029E-2</v>
      </c>
      <c r="GR15" s="62">
        <f>IFERROR(Inv_SY_B!GR15/Inv_SY_B!$IS15-1,"")</f>
        <v>7.2567995020720311E-3</v>
      </c>
      <c r="GS15" s="62" t="str">
        <f>IFERROR(Inv_SY_B!GS15/Inv_SY_B!$IS15-1,"")</f>
        <v/>
      </c>
      <c r="GT15" s="62" t="str">
        <f>IFERROR(Inv_SY_B!GT15/Inv_SY_B!$IS15-1,"")</f>
        <v/>
      </c>
      <c r="GU15" s="62">
        <f>IFERROR(Inv_SY_B!GU15/Inv_SY_B!$IS15-1,"")</f>
        <v>7.1720740220035939E-2</v>
      </c>
      <c r="GV15" s="62">
        <f>IFERROR(Inv_SY_B!GV15/Inv_SY_B!$IS15-1,"")</f>
        <v>1.4511219246685192E-2</v>
      </c>
      <c r="GW15" s="62">
        <f>IFERROR(Inv_SY_B!GW15/Inv_SY_B!$IS15-1,"")</f>
        <v>2.4264544108691943E-3</v>
      </c>
      <c r="GX15" s="62" t="str">
        <f>IFERROR(Inv_SY_B!GX15/Inv_SY_B!$IS15-1,"")</f>
        <v/>
      </c>
      <c r="GY15" s="62">
        <f>IFERROR(Inv_SY_B!GY15/Inv_SY_B!$IS15-1,"")</f>
        <v>-5.6963669891644253E-3</v>
      </c>
      <c r="GZ15" s="62">
        <f>IFERROR(Inv_SY_B!GZ15/Inv_SY_B!$IS15-1,"")</f>
        <v>-1.6694172213289615E-2</v>
      </c>
      <c r="HA15" s="62">
        <f>IFERROR(Inv_SY_B!HA15/Inv_SY_B!$IS15-1,"")</f>
        <v>-1.9852542109820903E-2</v>
      </c>
      <c r="HB15" s="62">
        <f>IFERROR(Inv_SY_B!HB15/Inv_SY_B!$IS15-1,"")</f>
        <v>-1.9852542109820903E-2</v>
      </c>
      <c r="HC15" s="62">
        <f>IFERROR(Inv_SY_B!HC15/Inv_SY_B!$IS15-1,"")</f>
        <v>-4.060692627164797E-3</v>
      </c>
      <c r="HD15" s="62">
        <f>IFERROR(Inv_SY_B!HD15/Inv_SY_B!$IS15-1,"")</f>
        <v>1.1731156855491198E-2</v>
      </c>
      <c r="HE15" s="62">
        <f>IFERROR(Inv_SY_B!HE15/Inv_SY_B!$IS15-1,"")</f>
        <v>6.4672070279390148E-3</v>
      </c>
      <c r="HF15" s="62">
        <f>IFERROR(Inv_SY_B!HF15/Inv_SY_B!$IS15-1,"")</f>
        <v>3.308837131407838E-3</v>
      </c>
      <c r="HG15" s="62">
        <f>IFERROR(Inv_SY_B!HG15/Inv_SY_B!$IS15-1,"")</f>
        <v>1.4889526752022153E-2</v>
      </c>
      <c r="HH15" s="62">
        <f>IFERROR(Inv_SY_B!HH15/Inv_SY_B!$IS15-1,"")</f>
        <v>-1.5641382247779223E-2</v>
      </c>
      <c r="HI15" s="62">
        <f>IFERROR(Inv_SY_B!HI15/Inv_SY_B!$IS15-1,"")</f>
        <v>1.4889526752022153E-2</v>
      </c>
      <c r="HJ15" s="62">
        <f>IFERROR(Inv_SY_B!HJ15/Inv_SY_B!$IS15-1,"")</f>
        <v>2.2560471658974457E-3</v>
      </c>
      <c r="HK15" s="62">
        <f>IFERROR(Inv_SY_B!HK15/Inv_SY_B!$IS15-1,"")</f>
        <v>-1.8331845492972509E-2</v>
      </c>
      <c r="HL15" s="62">
        <f>IFERROR(Inv_SY_B!HL15/Inv_SY_B!$IS15-1,"")</f>
        <v>1.7229060008711938E-2</v>
      </c>
      <c r="HM15" s="62">
        <f>IFERROR(Inv_SY_B!HM15/Inv_SY_B!$IS15-1,"")</f>
        <v>4.6080963625392934E-2</v>
      </c>
      <c r="HN15" s="62">
        <f>IFERROR(Inv_SY_B!HN15/Inv_SY_B!$IS15-1,"")</f>
        <v>3.8528032480083185E-2</v>
      </c>
      <c r="HO15" s="62">
        <f>IFERROR(Inv_SY_B!HO15/Inv_SY_B!$IS15-1,"")</f>
        <v>2.9506475834296664E-2</v>
      </c>
      <c r="HP15" s="62">
        <f>IFERROR(Inv_SY_B!HP15/Inv_SY_B!$IS15-1,"")</f>
        <v>3.9786854337634958E-2</v>
      </c>
      <c r="HQ15" s="62">
        <f>IFERROR(Inv_SY_B!HQ15/Inv_SY_B!$IS15-1,"")</f>
        <v>-1.5694553458158511E-2</v>
      </c>
      <c r="HR15" s="62">
        <f>IFERROR(Inv_SY_B!HR15/Inv_SY_B!$IS15-1,"")</f>
        <v>2.2358518621388157E-3</v>
      </c>
      <c r="HS15" s="62">
        <f>IFERROR(Inv_SY_B!HS15/Inv_SY_B!$IS15-1,"")</f>
        <v>3.0891934227780249E-2</v>
      </c>
      <c r="HT15" s="62">
        <f>IFERROR(Inv_SY_B!HT15/Inv_SY_B!$IS15-1,"")</f>
        <v>-2.4230193474820139E-3</v>
      </c>
      <c r="HU15" s="62">
        <f>IFERROR(Inv_SY_B!HU15/Inv_SY_B!$IS15-1,"")</f>
        <v>2.9039179139038751E-3</v>
      </c>
      <c r="HV15" s="62">
        <f>IFERROR(Inv_SY_B!HV15/Inv_SY_B!$IS15-1,"")</f>
        <v>7.7629485239518736E-3</v>
      </c>
      <c r="HW15" s="62">
        <f>IFERROR(Inv_SY_B!HW15/Inv_SY_B!$IS15-1,"")</f>
        <v>1.2699723623760706E-2</v>
      </c>
      <c r="HX15" s="62">
        <f>IFERROR(Inv_SY_B!HX15/Inv_SY_B!$IS15-1,"")</f>
        <v>-3.8987249401631896E-3</v>
      </c>
      <c r="HY15" s="62">
        <f>IFERROR(Inv_SY_B!HY15/Inv_SY_B!$IS15-1,"")</f>
        <v>-3.3588326501580168E-3</v>
      </c>
      <c r="HZ15" s="62">
        <f>IFERROR(Inv_SY_B!HZ15/Inv_SY_B!$IS15-1,"")</f>
        <v>1.5357433403360155E-2</v>
      </c>
      <c r="IA15" s="62">
        <f>IFERROR(Inv_SY_B!IA15/Inv_SY_B!$IS15-1,"")</f>
        <v>-1.6058571744601347E-2</v>
      </c>
      <c r="IB15" s="62">
        <f>IFERROR(Inv_SY_B!IB15/Inv_SY_B!$IS15-1,"")</f>
        <v>-6.2300780106407938E-3</v>
      </c>
      <c r="IC15" s="62">
        <f>IFERROR(Inv_SY_B!IC15/Inv_SY_B!$IS15-1,"")</f>
        <v>-1.6058571744601347E-2</v>
      </c>
      <c r="ID15" s="62">
        <f>IFERROR(Inv_SY_B!ID15/Inv_SY_B!$IS15-1,"")</f>
        <v>-1.6746161841216134E-2</v>
      </c>
      <c r="IE15" s="62">
        <f>IFERROR(Inv_SY_B!IE15/Inv_SY_B!$IS15-1,"")</f>
        <v>-1.8723185601364212E-2</v>
      </c>
      <c r="IF15" s="62" t="str">
        <f>IFERROR(Inv_SY_B!IF15/Inv_SY_B!$IS15-1,"")</f>
        <v/>
      </c>
      <c r="IG15" s="62">
        <f>IFERROR(Inv_SY_B!IG15/Inv_SY_B!$IS15-1,"")</f>
        <v>3.5905991707447571E-2</v>
      </c>
      <c r="IH15" s="62">
        <f>IFERROR(Inv_SY_B!IH15/Inv_SY_B!$IS15-1,"")</f>
        <v>-1.6999998347471346E-2</v>
      </c>
      <c r="II15" s="62">
        <f>IFERROR(Inv_SY_B!II15/Inv_SY_B!$IS15-1,"")</f>
        <v>-4.2806785901073896E-3</v>
      </c>
      <c r="IJ15" s="62">
        <f>IFERROR(Inv_SY_B!IJ15/Inv_SY_B!$IS15-1,"")</f>
        <v>-1.7797770224273646E-2</v>
      </c>
      <c r="IK15" s="62">
        <f>IFERROR(Inv_SY_B!IK15/Inv_SY_B!$IS15-1,"")</f>
        <v>-1.6058571744601347E-2</v>
      </c>
      <c r="IL15" s="62" t="str">
        <f>IFERROR(Inv_SY_B!IL15/Inv_SY_B!$IS15-1,"")</f>
        <v/>
      </c>
      <c r="IM15" s="62" t="str">
        <f>IFERROR(Inv_SY_B!IM15/Inv_SY_B!$IS15-1,"")</f>
        <v/>
      </c>
      <c r="IN15" s="62">
        <f>IFERROR(Inv_SY_B!IN15/Inv_SY_B!$IS15-1,"")</f>
        <v>2.8037850333819891E-2</v>
      </c>
      <c r="IO15" s="62">
        <f>IFERROR(Inv_SY_B!IO15/Inv_SY_B!$IS15-1,"")</f>
        <v>5.3004483841927019E-2</v>
      </c>
      <c r="IP15" s="62">
        <f>IFERROR(Inv_SY_B!IP15/Inv_SY_B!$IS15-1,"")</f>
        <v>0.15295939703221562</v>
      </c>
      <c r="IQ15" s="62">
        <f>IFERROR(Inv_SY_B!IQ15/Inv_SY_B!$IS15-1,"")</f>
        <v>-2.0426791181917259E-2</v>
      </c>
      <c r="IR15" s="62">
        <f>IFERROR(Inv_SY_B!IR15/Inv_SY_B!$IS15-1,"")</f>
        <v>-1.8731661251018661E-2</v>
      </c>
    </row>
    <row r="16" spans="2:253" x14ac:dyDescent="0.25">
      <c r="B16" s="85">
        <f t="shared" si="0"/>
        <v>45842</v>
      </c>
      <c r="C16" s="62">
        <f>IFERROR(Inv_SY_B!C16/Inv_SY_B!$IS16-1,"")</f>
        <v>1.755403222119778E-2</v>
      </c>
      <c r="D16" s="62">
        <f>IFERROR(Inv_SY_B!D16/Inv_SY_B!$IS16-1,"")</f>
        <v>2.5020361598083074E-2</v>
      </c>
      <c r="E16" s="62">
        <f>IFERROR(Inv_SY_B!E16/Inv_SY_B!$IS16-1,"")</f>
        <v>1.2220939809137077E-2</v>
      </c>
      <c r="F16" s="62">
        <f>IFERROR(Inv_SY_B!F16/Inv_SY_B!$IS16-1,"")</f>
        <v>2.6086980080495259E-2</v>
      </c>
      <c r="G16" s="62">
        <f>IFERROR(Inv_SY_B!G16/Inv_SY_B!$IS16-1,"")</f>
        <v>1.755403222119778E-2</v>
      </c>
      <c r="H16" s="62">
        <f>IFERROR(Inv_SY_B!H16/Inv_SY_B!$IS16-1,"")</f>
        <v>1.799845658886956E-2</v>
      </c>
      <c r="I16" s="62">
        <f>IFERROR(Inv_SY_B!I16/Inv_SY_B!$IS16-1,"")</f>
        <v>2.2620470012655547E-2</v>
      </c>
      <c r="J16" s="62">
        <f>IFERROR(Inv_SY_B!J16/Inv_SY_B!$IS16-1,"")</f>
        <v>2.0309463300762554E-2</v>
      </c>
      <c r="K16" s="62">
        <f>IFERROR(Inv_SY_B!K16/Inv_SY_B!$IS16-1,"")</f>
        <v>-1.1628649457598672E-2</v>
      </c>
      <c r="L16" s="62">
        <f>IFERROR(Inv_SY_B!L16/Inv_SY_B!$IS16-1,"")</f>
        <v>-5.3581724051232626E-4</v>
      </c>
      <c r="M16" s="62">
        <f>IFERROR(Inv_SY_B!M16/Inv_SY_B!$IS16-1,"")</f>
        <v>7.5989263853510902E-3</v>
      </c>
      <c r="N16" s="62">
        <f>IFERROR(Inv_SY_B!N16/Inv_SY_B!$IS16-1,"")</f>
        <v>1.106543645319058E-2</v>
      </c>
      <c r="O16" s="62">
        <f>IFERROR(Inv_SY_B!O16/Inv_SY_B!$IS16-1,"")</f>
        <v>1.1412087459974574E-2</v>
      </c>
      <c r="P16" s="62">
        <f>IFERROR(Inv_SY_B!P16/Inv_SY_B!$IS16-1,"")</f>
        <v>9.6998415779812053E-3</v>
      </c>
      <c r="Q16" s="62">
        <f>IFERROR(Inv_SY_B!Q16/Inv_SY_B!$IS16-1,"")</f>
        <v>-6.2671138860069808E-3</v>
      </c>
      <c r="R16" s="62">
        <f>IFERROR(Inv_SY_B!R16/Inv_SY_B!$IS16-1,"")</f>
        <v>6.6590624967211021E-4</v>
      </c>
      <c r="S16" s="62">
        <f>IFERROR(Inv_SY_B!S16/Inv_SY_B!$IS16-1,"")</f>
        <v>1.5687449876976567E-2</v>
      </c>
      <c r="T16" s="62">
        <f>IFERROR(Inv_SY_B!T16/Inv_SY_B!$IS16-1,"")</f>
        <v>2.8397986792388252E-2</v>
      </c>
      <c r="U16" s="62">
        <f>IFERROR(Inv_SY_B!U16/Inv_SY_B!$IS16-1,"")</f>
        <v>1.5420795256373632E-2</v>
      </c>
      <c r="V16" s="62">
        <f>IFERROR(Inv_SY_B!V16/Inv_SY_B!$IS16-1,"")</f>
        <v>1.2220939809137077E-2</v>
      </c>
      <c r="W16" s="62">
        <f>IFERROR(Inv_SY_B!W16/Inv_SY_B!$IS16-1,"")</f>
        <v>1.9153959944816279E-2</v>
      </c>
      <c r="X16" s="62">
        <f>IFERROR(Inv_SY_B!X16/Inv_SY_B!$IS16-1,"")</f>
        <v>9.9099330972440836E-3</v>
      </c>
      <c r="Y16" s="62">
        <f>IFERROR(Inv_SY_B!Y16/Inv_SY_B!$IS16-1,"")</f>
        <v>2.9286835527731592E-2</v>
      </c>
      <c r="Z16" s="62">
        <f>IFERROR(Inv_SY_B!Z16/Inv_SY_B!$IS16-1,"")</f>
        <v>3.9439463304765887E-2</v>
      </c>
      <c r="AA16" s="62">
        <f>IFERROR(Inv_SY_B!AA16/Inv_SY_B!$IS16-1,"")</f>
        <v>3.0353454010143777E-2</v>
      </c>
      <c r="AB16" s="62">
        <f>IFERROR(Inv_SY_B!AB16/Inv_SY_B!$IS16-1,"")</f>
        <v>4.3152875799089774E-2</v>
      </c>
      <c r="AC16" s="62">
        <f>IFERROR(Inv_SY_B!AC16/Inv_SY_B!$IS16-1,"")</f>
        <v>3.5686546422204701E-2</v>
      </c>
      <c r="AD16" s="62">
        <f>IFERROR(Inv_SY_B!AD16/Inv_SY_B!$IS16-1,"")</f>
        <v>1.6842953232923286E-2</v>
      </c>
      <c r="AE16" s="62">
        <f>IFERROR(Inv_SY_B!AE16/Inv_SY_B!$IS16-1,"")</f>
        <v>3.9028617667095977E-2</v>
      </c>
      <c r="AF16" s="62">
        <f>IFERROR(Inv_SY_B!AF16/Inv_SY_B!$IS16-1,"")</f>
        <v>-5.4454226106672721E-3</v>
      </c>
      <c r="AG16" s="62">
        <f>IFERROR(Inv_SY_B!AG16/Inv_SY_B!$IS16-1,"")</f>
        <v>1.8897181421272613E-2</v>
      </c>
      <c r="AH16" s="62">
        <f>IFERROR(Inv_SY_B!AH16/Inv_SY_B!$IS16-1,"")</f>
        <v>2.3005637797971268E-2</v>
      </c>
      <c r="AI16" s="62">
        <f>IFERROR(Inv_SY_B!AI16/Inv_SY_B!$IS16-1,"")</f>
        <v>5.9624175050543293E-3</v>
      </c>
      <c r="AJ16" s="62">
        <f>IFERROR(Inv_SY_B!AJ16/Inv_SY_B!$IS16-1,"")</f>
        <v>1.533359748176899E-2</v>
      </c>
      <c r="AK16" s="62">
        <f>IFERROR(Inv_SY_B!AK16/Inv_SY_B!$IS16-1,"")</f>
        <v>-7.5381675775479939E-3</v>
      </c>
      <c r="AL16" s="62">
        <f>IFERROR(Inv_SY_B!AL16/Inv_SY_B!$IS16-1,"")</f>
        <v>-1.4988090870549198E-2</v>
      </c>
      <c r="AM16" s="62">
        <f>IFERROR(Inv_SY_B!AM16/Inv_SY_B!$IS16-1,"")</f>
        <v>-7.4441811886850617E-2</v>
      </c>
      <c r="AN16" s="62">
        <f>IFERROR(Inv_SY_B!AN16/Inv_SY_B!$IS16-1,"")</f>
        <v>6.4434230294045935E-3</v>
      </c>
      <c r="AO16" s="62">
        <f>IFERROR(Inv_SY_B!AO16/Inv_SY_B!$IS16-1,"")</f>
        <v>-1.6551093753930823E-2</v>
      </c>
      <c r="AP16" s="62">
        <f>IFERROR(Inv_SY_B!AP16/Inv_SY_B!$IS16-1,"")</f>
        <v>2.1696067327898527E-2</v>
      </c>
      <c r="AQ16" s="62">
        <f>IFERROR(Inv_SY_B!AQ16/Inv_SY_B!$IS16-1,"")</f>
        <v>1.8214096056186069E-3</v>
      </c>
      <c r="AR16" s="62">
        <f>IFERROR(Inv_SY_B!AR16/Inv_SY_B!$IS16-1,"")</f>
        <v>1.2220939809137077E-2</v>
      </c>
      <c r="AS16" s="62">
        <f>IFERROR(Inv_SY_B!AS16/Inv_SY_B!$IS16-1,"")</f>
        <v>-1.5048939391200444E-2</v>
      </c>
      <c r="AT16" s="62">
        <f>IFERROR(Inv_SY_B!AT16/Inv_SY_B!$IS16-1,"")</f>
        <v>-1.1004677645387595E-2</v>
      </c>
      <c r="AU16" s="62">
        <f>IFERROR(Inv_SY_B!AU16/Inv_SY_B!$IS16-1,"")</f>
        <v>8.9700692086158718E-4</v>
      </c>
      <c r="AV16" s="62">
        <f>IFERROR(Inv_SY_B!AV16/Inv_SY_B!$IS16-1,"")</f>
        <v>1.2798691487110325E-2</v>
      </c>
      <c r="AW16" s="62">
        <f>IFERROR(Inv_SY_B!AW16/Inv_SY_B!$IS16-1,"")</f>
        <v>1.8300665158886398E-2</v>
      </c>
      <c r="AX16" s="62">
        <f>IFERROR(Inv_SY_B!AX16/Inv_SY_B!$IS16-1,"")</f>
        <v>8.523329070108332E-3</v>
      </c>
      <c r="AY16" s="62">
        <f>IFERROR(Inv_SY_B!AY16/Inv_SY_B!$IS16-1,"")</f>
        <v>9.5586600770365404E-3</v>
      </c>
      <c r="AZ16" s="62">
        <f>IFERROR(Inv_SY_B!AZ16/Inv_SY_B!$IS16-1,"")</f>
        <v>-4.9729501273467758E-3</v>
      </c>
      <c r="BA16" s="62">
        <f>IFERROR(Inv_SY_B!BA16/Inv_SY_B!$IS16-1,"")</f>
        <v>2.296712101943954E-2</v>
      </c>
      <c r="BB16" s="62">
        <f>IFERROR(Inv_SY_B!BB16/Inv_SY_B!$IS16-1,"")</f>
        <v>2.7358033772036272E-2</v>
      </c>
      <c r="BC16" s="62">
        <f>IFERROR(Inv_SY_B!BC16/Inv_SY_B!$IS16-1,"")</f>
        <v>1.9924295515447277E-2</v>
      </c>
      <c r="BD16" s="62">
        <f>IFERROR(Inv_SY_B!BD16/Inv_SY_B!$IS16-1,"")</f>
        <v>2.6395114308747525E-2</v>
      </c>
      <c r="BE16" s="62">
        <f>IFERROR(Inv_SY_B!BE16/Inv_SY_B!$IS16-1,"")</f>
        <v>-4.2049848200100826E-3</v>
      </c>
      <c r="BF16" s="62">
        <f>IFERROR(Inv_SY_B!BF16/Inv_SY_B!$IS16-1,"")</f>
        <v>1.6842953232923286E-2</v>
      </c>
      <c r="BG16" s="62">
        <f>IFERROR(Inv_SY_B!BG16/Inv_SY_B!$IS16-1,"")</f>
        <v>-1.8078925969015613E-2</v>
      </c>
      <c r="BH16" s="62">
        <f>IFERROR(Inv_SY_B!BH16/Inv_SY_B!$IS16-1,"")</f>
        <v>-7.4226172419533665E-3</v>
      </c>
      <c r="BI16" s="62">
        <f>IFERROR(Inv_SY_B!BI16/Inv_SY_B!$IS16-1,"")</f>
        <v>3.4612027062145057E-2</v>
      </c>
      <c r="BJ16" s="62">
        <f>IFERROR(Inv_SY_B!BJ16/Inv_SY_B!$IS16-1,"")</f>
        <v>2.1978523703796382E-2</v>
      </c>
      <c r="BK16" s="62">
        <f>IFERROR(Inv_SY_B!BK16/Inv_SY_B!$IS16-1,"")</f>
        <v>1.799845658886956E-2</v>
      </c>
      <c r="BL16" s="62">
        <f>IFERROR(Inv_SY_B!BL16/Inv_SY_B!$IS16-1,"")</f>
        <v>-3.9437364456460511E-3</v>
      </c>
      <c r="BM16" s="62">
        <f>IFERROR(Inv_SY_B!BM16/Inv_SY_B!$IS16-1,"")</f>
        <v>-1.0889127309792968E-2</v>
      </c>
      <c r="BN16" s="62">
        <f>IFERROR(Inv_SY_B!BN16/Inv_SY_B!$IS16-1,"")</f>
        <v>5.4833295543791127E-2</v>
      </c>
      <c r="BO16" s="62">
        <f>IFERROR(Inv_SY_B!BO16/Inv_SY_B!$IS16-1,"")</f>
        <v>1.446083862220271E-2</v>
      </c>
      <c r="BP16" s="62">
        <f>IFERROR(Inv_SY_B!BP16/Inv_SY_B!$IS16-1,"")</f>
        <v>9.2344080583830479E-3</v>
      </c>
      <c r="BQ16" s="62">
        <f>IFERROR(Inv_SY_B!BQ16/Inv_SY_B!$IS16-1,"")</f>
        <v>1.9687269186022149E-2</v>
      </c>
      <c r="BR16" s="62">
        <f>IFERROR(Inv_SY_B!BR16/Inv_SY_B!$IS16-1,"")</f>
        <v>-1.4337860402925617E-2</v>
      </c>
      <c r="BS16" s="62">
        <f>IFERROR(Inv_SY_B!BS16/Inv_SY_B!$IS16-1,"")</f>
        <v>-7.0759662351694841E-3</v>
      </c>
      <c r="BT16" s="62">
        <f>IFERROR(Inv_SY_B!BT16/Inv_SY_B!$IS16-1,"")</f>
        <v>2.2836109479973388E-3</v>
      </c>
      <c r="BU16" s="62">
        <f>IFERROR(Inv_SY_B!BU16/Inv_SY_B!$IS16-1,"")</f>
        <v>7.8300270565405672E-3</v>
      </c>
      <c r="BV16" s="62">
        <f>IFERROR(Inv_SY_B!BV16/Inv_SY_B!$IS16-1,"")</f>
        <v>-1.2160181001334092E-2</v>
      </c>
      <c r="BW16" s="62">
        <f>IFERROR(Inv_SY_B!BW16/Inv_SY_B!$IS16-1,"")</f>
        <v>1.2914241822705064E-2</v>
      </c>
      <c r="BX16" s="62">
        <f>IFERROR(Inv_SY_B!BX16/Inv_SY_B!$IS16-1,"")</f>
        <v>2.3991612835918552E-3</v>
      </c>
      <c r="BY16" s="62">
        <f>IFERROR(Inv_SY_B!BY16/Inv_SY_B!$IS16-1,"")</f>
        <v>-5.1372883824146731E-3</v>
      </c>
      <c r="BZ16" s="62">
        <f>IFERROR(Inv_SY_B!BZ16/Inv_SY_B!$IS16-1,"")</f>
        <v>-2.5268724628238259E-2</v>
      </c>
      <c r="CA16" s="62">
        <f>IFERROR(Inv_SY_B!CA16/Inv_SY_B!$IS16-1,"")</f>
        <v>-1.717911541465611E-6</v>
      </c>
      <c r="CB16" s="62">
        <f>IFERROR(Inv_SY_B!CB16/Inv_SY_B!$IS16-1,"")</f>
        <v>-2.8006038181673798E-3</v>
      </c>
      <c r="CC16" s="62">
        <f>IFERROR(Inv_SY_B!CC16/Inv_SY_B!$IS16-1,"")</f>
        <v>-1.1466878987766216E-2</v>
      </c>
      <c r="CD16" s="62">
        <f>IFERROR(Inv_SY_B!CD16/Inv_SY_B!$IS16-1,"")</f>
        <v>-4.5172738602605733E-5</v>
      </c>
      <c r="CE16" s="62">
        <f>IFERROR(Inv_SY_B!CE16/Inv_SY_B!$IS16-1,"")</f>
        <v>1.1643188131164051E-2</v>
      </c>
      <c r="CF16" s="62">
        <f>IFERROR(Inv_SY_B!CF16/Inv_SY_B!$IS16-1,"")</f>
        <v>-5.1116105300603731E-3</v>
      </c>
      <c r="CG16" s="62">
        <f>IFERROR(Inv_SY_B!CG16/Inv_SY_B!$IS16-1,"")</f>
        <v>3.5546646395383519E-3</v>
      </c>
      <c r="CH16" s="62">
        <f>IFERROR(Inv_SY_B!CH16/Inv_SY_B!$IS16-1,"")</f>
        <v>-1.1235778316576739E-2</v>
      </c>
      <c r="CI16" s="62">
        <f>IFERROR(Inv_SY_B!CI16/Inv_SY_B!$IS16-1,"")</f>
        <v>-2.6488422615070673E-2</v>
      </c>
      <c r="CJ16" s="62">
        <f>IFERROR(Inv_SY_B!CJ16/Inv_SY_B!$IS16-1,"")</f>
        <v>-1.1004677645387595E-2</v>
      </c>
      <c r="CK16" s="62">
        <f>IFERROR(Inv_SY_B!CK16/Inv_SY_B!$IS16-1,"")</f>
        <v>-2.4177415903177679E-2</v>
      </c>
      <c r="CL16" s="62">
        <f>IFERROR(Inv_SY_B!CL16/Inv_SY_B!$IS16-1,"")</f>
        <v>2.3991612835918552E-3</v>
      </c>
      <c r="CM16" s="62">
        <f>IFERROR(Inv_SY_B!CM16/Inv_SY_B!$IS16-1,"")</f>
        <v>-1.0889127309792968E-2</v>
      </c>
      <c r="CN16" s="62">
        <f>IFERROR(Inv_SY_B!CN16/Inv_SY_B!$IS16-1,"")</f>
        <v>-1.3200134021685961E-2</v>
      </c>
      <c r="CO16" s="62">
        <f>IFERROR(Inv_SY_B!CO16/Inv_SY_B!$IS16-1,"")</f>
        <v>8.3384485331570168E-3</v>
      </c>
      <c r="CP16" s="62">
        <f>IFERROR(Inv_SY_B!CP16/Inv_SY_B!$IS16-1,"")</f>
        <v>-2.7243944040112544E-2</v>
      </c>
      <c r="CQ16" s="62">
        <f>IFERROR(Inv_SY_B!CQ16/Inv_SY_B!$IS16-1,"")</f>
        <v>1.0949886117595842E-2</v>
      </c>
      <c r="CR16" s="62">
        <f>IFERROR(Inv_SY_B!CR16/Inv_SY_B!$IS16-1,"")</f>
        <v>-1.3200134021685961E-2</v>
      </c>
      <c r="CS16" s="62">
        <f>IFERROR(Inv_SY_B!CS16/Inv_SY_B!$IS16-1,"")</f>
        <v>-8.8348991214435291E-3</v>
      </c>
      <c r="CT16" s="62">
        <f>IFERROR(Inv_SY_B!CT16/Inv_SY_B!$IS16-1,"")</f>
        <v>-7.6537179131428434E-3</v>
      </c>
      <c r="CU16" s="62">
        <f>IFERROR(Inv_SY_B!CU16/Inv_SY_B!$IS16-1,"")</f>
        <v>-2.013315415736483E-2</v>
      </c>
      <c r="CV16" s="62">
        <f>IFERROR(Inv_SY_B!CV16/Inv_SY_B!$IS16-1,"")</f>
        <v>1.8922859273626802E-2</v>
      </c>
      <c r="CW16" s="62">
        <f>IFERROR(Inv_SY_B!CW16/Inv_SY_B!$IS16-1,"")</f>
        <v>3.323563968349097E-3</v>
      </c>
      <c r="CX16" s="62">
        <f>IFERROR(Inv_SY_B!CX16/Inv_SY_B!$IS16-1,"")</f>
        <v>6.4434230294045935E-3</v>
      </c>
      <c r="CY16" s="62">
        <f>IFERROR(Inv_SY_B!CY16/Inv_SY_B!$IS16-1,"")</f>
        <v>1.9731711622789527E-2</v>
      </c>
      <c r="CZ16" s="62">
        <f>IFERROR(Inv_SY_B!CZ16/Inv_SY_B!$IS16-1,"")</f>
        <v>5.5035591407737172E-4</v>
      </c>
      <c r="DA16" s="62">
        <f>IFERROR(Inv_SY_B!DA16/Inv_SY_B!$IS16-1,"")</f>
        <v>9.5632820904603122E-3</v>
      </c>
      <c r="DB16" s="62">
        <f>IFERROR(Inv_SY_B!DB16/Inv_SY_B!$IS16-1,"")</f>
        <v>-7.8848185843319873E-3</v>
      </c>
      <c r="DC16" s="62">
        <f>IFERROR(Inv_SY_B!DC16/Inv_SY_B!$IS16-1,"")</f>
        <v>-1.6127409190083708E-2</v>
      </c>
      <c r="DD16" s="62">
        <f>IFERROR(Inv_SY_B!DD16/Inv_SY_B!$IS16-1,"")</f>
        <v>-1.6666644089525451E-2</v>
      </c>
      <c r="DE16" s="62">
        <f>IFERROR(Inv_SY_B!DE16/Inv_SY_B!$IS16-1,"")</f>
        <v>3.9013156463223453E-3</v>
      </c>
      <c r="DF16" s="62">
        <f>IFERROR(Inv_SY_B!DF16/Inv_SY_B!$IS16-1,"")</f>
        <v>-2.1490841606707112E-2</v>
      </c>
      <c r="DG16" s="62">
        <f>IFERROR(Inv_SY_B!DG16/Inv_SY_B!$IS16-1,"")</f>
        <v>-4.5338588520871248E-3</v>
      </c>
      <c r="DH16" s="62">
        <f>IFERROR(Inv_SY_B!DH16/Inv_SY_B!$IS16-1,"")</f>
        <v>-1.6024697780666286E-2</v>
      </c>
      <c r="DI16" s="62">
        <f>IFERROR(Inv_SY_B!DI16/Inv_SY_B!$IS16-1,"")</f>
        <v>-2.3830764896393797E-2</v>
      </c>
      <c r="DJ16" s="62">
        <f>IFERROR(Inv_SY_B!DJ16/Inv_SY_B!$IS16-1,"")</f>
        <v>9.127746210141785E-3</v>
      </c>
      <c r="DK16" s="62">
        <f>IFERROR(Inv_SY_B!DK16/Inv_SY_B!$IS16-1,"")</f>
        <v>8.6260404795257539E-3</v>
      </c>
      <c r="DL16" s="62">
        <f>IFERROR(Inv_SY_B!DL16/Inv_SY_B!$IS16-1,"")</f>
        <v>1.1501959943214901E-2</v>
      </c>
      <c r="DM16" s="62">
        <f>IFERROR(Inv_SY_B!DM16/Inv_SY_B!$IS16-1,"")</f>
        <v>1.2798691487110325E-2</v>
      </c>
      <c r="DN16" s="62">
        <f>IFERROR(Inv_SY_B!DN16/Inv_SY_B!$IS16-1,"")</f>
        <v>-2.3599664225204431E-2</v>
      </c>
      <c r="DO16" s="62">
        <f>IFERROR(Inv_SY_B!DO16/Inv_SY_B!$IS16-1,"")</f>
        <v>-2.6651754889372214E-2</v>
      </c>
      <c r="DP16" s="62">
        <f>IFERROR(Inv_SY_B!DP16/Inv_SY_B!$IS16-1,"")</f>
        <v>-2.1160268251539605E-2</v>
      </c>
      <c r="DQ16" s="62">
        <f>IFERROR(Inv_SY_B!DQ16/Inv_SY_B!$IS16-1,"")</f>
        <v>-2.6722145563955468E-3</v>
      </c>
      <c r="DR16" s="62">
        <f>IFERROR(Inv_SY_B!DR16/Inv_SY_B!$IS16-1,"")</f>
        <v>-1.6319993082741457E-2</v>
      </c>
      <c r="DS16" s="62">
        <f>IFERROR(Inv_SY_B!DS16/Inv_SY_B!$IS16-1,"")</f>
        <v>-4.1872078453032424E-3</v>
      </c>
      <c r="DT16" s="62">
        <f>IFERROR(Inv_SY_B!DT16/Inv_SY_B!$IS16-1,"")</f>
        <v>-9.2544697796679176E-2</v>
      </c>
      <c r="DU16" s="62">
        <f>IFERROR(Inv_SY_B!DU16/Inv_SY_B!$IS16-1,"")</f>
        <v>-5.6595704500565724E-2</v>
      </c>
      <c r="DV16" s="62">
        <f>IFERROR(Inv_SY_B!DV16/Inv_SY_B!$IS16-1,"")</f>
        <v>-2.764392597101728E-2</v>
      </c>
      <c r="DW16" s="62">
        <f>IFERROR(Inv_SY_B!DW16/Inv_SY_B!$IS16-1,"")</f>
        <v>-2.2097509862474052E-2</v>
      </c>
      <c r="DX16" s="62">
        <f>IFERROR(Inv_SY_B!DX16/Inv_SY_B!$IS16-1,"")</f>
        <v>-8.0132078461039313E-3</v>
      </c>
      <c r="DY16" s="62">
        <f>IFERROR(Inv_SY_B!DY16/Inv_SY_B!$IS16-1,"")</f>
        <v>-6.5197785039278533E-2</v>
      </c>
      <c r="DZ16" s="62">
        <f>IFERROR(Inv_SY_B!DZ16/Inv_SY_B!$IS16-1,"")</f>
        <v>-1.6666644089525451E-2</v>
      </c>
      <c r="EA16" s="62">
        <f>IFERROR(Inv_SY_B!EA16/Inv_SY_B!$IS16-1,"")</f>
        <v>-2.9171758186101959E-2</v>
      </c>
      <c r="EB16" s="62">
        <f>IFERROR(Inv_SY_B!EB16/Inv_SY_B!$IS16-1,"")</f>
        <v>-3.5026308522897676E-2</v>
      </c>
      <c r="EC16" s="62">
        <f>IFERROR(Inv_SY_B!EC16/Inv_SY_B!$IS16-1,"")</f>
        <v>-5.7535908940617886E-2</v>
      </c>
      <c r="ED16" s="62">
        <f>IFERROR(Inv_SY_B!ED16/Inv_SY_B!$IS16-1,"")</f>
        <v>-1.5617802581820217E-2</v>
      </c>
      <c r="EE16" s="62">
        <f>IFERROR(Inv_SY_B!EE16/Inv_SY_B!$IS16-1,"")</f>
        <v>-4.0983229717688197E-3</v>
      </c>
      <c r="EF16" s="62">
        <f>IFERROR(Inv_SY_B!EF16/Inv_SY_B!$IS16-1,"")</f>
        <v>5.9181942312471758E-3</v>
      </c>
      <c r="EG16" s="62">
        <f>IFERROR(Inv_SY_B!EG16/Inv_SY_B!$IS16-1,"")</f>
        <v>-3.2450281858390495E-3</v>
      </c>
      <c r="EH16" s="62">
        <f>IFERROR(Inv_SY_B!EH16/Inv_SY_B!$IS16-1,"")</f>
        <v>-6.0497499680002287E-3</v>
      </c>
      <c r="EI16" s="62">
        <f>IFERROR(Inv_SY_B!EI16/Inv_SY_B!$IS16-1,"")</f>
        <v>-2.8056028566494584E-2</v>
      </c>
      <c r="EJ16" s="62">
        <f>IFERROR(Inv_SY_B!EJ16/Inv_SY_B!$IS16-1,"")</f>
        <v>7.5423632840110333E-3</v>
      </c>
      <c r="EK16" s="62">
        <f>IFERROR(Inv_SY_B!EK16/Inv_SY_B!$IS16-1,"")</f>
        <v>-5.3581724051232626E-4</v>
      </c>
      <c r="EL16" s="62">
        <f>IFERROR(Inv_SY_B!EL16/Inv_SY_B!$IS16-1,"")</f>
        <v>1.1874288802353306E-2</v>
      </c>
      <c r="EM16" s="62">
        <f>IFERROR(Inv_SY_B!EM16/Inv_SY_B!$IS16-1,"")</f>
        <v>-8.4714587496587113E-3</v>
      </c>
      <c r="EN16" s="62">
        <f>IFERROR(Inv_SY_B!EN16/Inv_SY_B!$IS16-1,"")</f>
        <v>-1.9457629118504016E-2</v>
      </c>
      <c r="EO16" s="62">
        <f>IFERROR(Inv_SY_B!EO16/Inv_SY_B!$IS16-1,"")</f>
        <v>1.4185295514246299E-2</v>
      </c>
      <c r="EP16" s="62">
        <f>IFERROR(Inv_SY_B!EP16/Inv_SY_B!$IS16-1,"")</f>
        <v>5.8212289146641893E-3</v>
      </c>
      <c r="EQ16" s="62">
        <f>IFERROR(Inv_SY_B!EQ16/Inv_SY_B!$IS16-1,"")</f>
        <v>-2.1866409191284686E-2</v>
      </c>
      <c r="ER16" s="62">
        <f>IFERROR(Inv_SY_B!ER16/Inv_SY_B!$IS16-1,"")</f>
        <v>-4.2049848200100826E-3</v>
      </c>
      <c r="ES16" s="62">
        <f>IFERROR(Inv_SY_B!ES16/Inv_SY_B!$IS16-1,"")</f>
        <v>-1.4355637377632458E-2</v>
      </c>
      <c r="ET16" s="62">
        <f>IFERROR(Inv_SY_B!ET16/Inv_SY_B!$IS16-1,"")</f>
        <v>1.5062723267240674E-3</v>
      </c>
      <c r="EU16" s="62">
        <f>IFERROR(Inv_SY_B!EU16/Inv_SY_B!$IS16-1,"")</f>
        <v>-1.9030981725539076E-2</v>
      </c>
      <c r="EV16" s="62">
        <f>IFERROR(Inv_SY_B!EV16/Inv_SY_B!$IS16-1,"")</f>
        <v>-1.5384386139797313E-3</v>
      </c>
      <c r="EW16" s="62">
        <f>IFERROR(Inv_SY_B!EW16/Inv_SY_B!$IS16-1,"")</f>
        <v>6.8878473970763743E-3</v>
      </c>
      <c r="EX16" s="62">
        <f>IFERROR(Inv_SY_B!EX16/Inv_SY_B!$IS16-1,"")</f>
        <v>-1.4139997910315172E-3</v>
      </c>
      <c r="EY16" s="62">
        <f>IFERROR(Inv_SY_B!EY16/Inv_SY_B!$IS16-1,"")</f>
        <v>-1.1710818585132676E-2</v>
      </c>
      <c r="EZ16" s="62">
        <f>IFERROR(Inv_SY_B!EZ16/Inv_SY_B!$IS16-1,"")</f>
        <v>2.3991612835918552E-3</v>
      </c>
      <c r="FA16" s="62">
        <f>IFERROR(Inv_SY_B!FA16/Inv_SY_B!$IS16-1,"")</f>
        <v>-1.227573133692883E-2</v>
      </c>
      <c r="FB16" s="62">
        <f>IFERROR(Inv_SY_B!FB16/Inv_SY_B!$IS16-1,"")</f>
        <v>-2.1866409191284686E-2</v>
      </c>
      <c r="FC16" s="62">
        <f>IFERROR(Inv_SY_B!FC16/Inv_SY_B!$IS16-1,"")</f>
        <v>-1.1466878987766216E-2</v>
      </c>
      <c r="FD16" s="62">
        <f>IFERROR(Inv_SY_B!FD16/Inv_SY_B!$IS16-1,"")</f>
        <v>-2.1288657513311438E-2</v>
      </c>
      <c r="FE16" s="62">
        <f>IFERROR(Inv_SY_B!FE16/Inv_SY_B!$IS16-1,"")</f>
        <v>-5.4924014087245343E-3</v>
      </c>
      <c r="FF16" s="62">
        <f>IFERROR(Inv_SY_B!FF16/Inv_SY_B!$IS16-1,"")</f>
        <v>-7.8296695605254429E-3</v>
      </c>
      <c r="FG16" s="62">
        <f>IFERROR(Inv_SY_B!FG16/Inv_SY_B!$IS16-1,"")</f>
        <v>-1.7268027197120395E-3</v>
      </c>
      <c r="FH16" s="62">
        <f>IFERROR(Inv_SY_B!FH16/Inv_SY_B!$IS16-1,"")</f>
        <v>-2.6876796265635772E-3</v>
      </c>
      <c r="FI16" s="62">
        <f>IFERROR(Inv_SY_B!FI16/Inv_SY_B!$IS16-1,"")</f>
        <v>4.8175481053303049E-3</v>
      </c>
      <c r="FJ16" s="62">
        <f>IFERROR(Inv_SY_B!FJ16/Inv_SY_B!$IS16-1,"")</f>
        <v>-1.8866769166251962E-2</v>
      </c>
      <c r="FK16" s="62">
        <f>IFERROR(Inv_SY_B!FK16/Inv_SY_B!$IS16-1,"")</f>
        <v>4.7407767760368591E-2</v>
      </c>
      <c r="FL16" s="62">
        <f>IFERROR(Inv_SY_B!FL16/Inv_SY_B!$IS16-1,"")</f>
        <v>-7.5772446001308724E-3</v>
      </c>
      <c r="FM16" s="62">
        <f>IFERROR(Inv_SY_B!FM16/Inv_SY_B!$IS16-1,"")</f>
        <v>-1.250420586412726E-2</v>
      </c>
      <c r="FN16" s="62">
        <f>IFERROR(Inv_SY_B!FN16/Inv_SY_B!$IS16-1,"")</f>
        <v>5.5852613982665389E-4</v>
      </c>
      <c r="FO16" s="62">
        <f>IFERROR(Inv_SY_B!FO16/Inv_SY_B!$IS16-1,"")</f>
        <v>6.3108027578697712E-3</v>
      </c>
      <c r="FP16" s="62">
        <f>IFERROR(Inv_SY_B!FP16/Inv_SY_B!$IS16-1,"")</f>
        <v>1.9588094592166705E-3</v>
      </c>
      <c r="FQ16" s="62">
        <f>IFERROR(Inv_SY_B!FQ16/Inv_SY_B!$IS16-1,"")</f>
        <v>4.6513423700911272E-3</v>
      </c>
      <c r="FR16" s="62">
        <f>IFERROR(Inv_SY_B!FR16/Inv_SY_B!$IS16-1,"")</f>
        <v>-2.9775008773867961E-3</v>
      </c>
      <c r="FS16" s="62">
        <f>IFERROR(Inv_SY_B!FS16/Inv_SY_B!$IS16-1,"")</f>
        <v>-3.8043744102017607E-3</v>
      </c>
      <c r="FT16" s="62">
        <f>IFERROR(Inv_SY_B!FT16/Inv_SY_B!$IS16-1,"")</f>
        <v>3.112791599369169E-2</v>
      </c>
      <c r="FU16" s="62">
        <f>IFERROR(Inv_SY_B!FU16/Inv_SY_B!$IS16-1,"")</f>
        <v>-2.8735234696077749E-2</v>
      </c>
      <c r="FV16" s="62">
        <f>IFERROR(Inv_SY_B!FV16/Inv_SY_B!$IS16-1,"")</f>
        <v>-1.367283994002777E-2</v>
      </c>
      <c r="FW16" s="62">
        <f>IFERROR(Inv_SY_B!FW16/Inv_SY_B!$IS16-1,"")</f>
        <v>-1.6243834907008647E-2</v>
      </c>
      <c r="FX16" s="62">
        <f>IFERROR(Inv_SY_B!FX16/Inv_SY_B!$IS16-1,"")</f>
        <v>-5.4924014087245343E-3</v>
      </c>
      <c r="FY16" s="62">
        <f>IFERROR(Inv_SY_B!FY16/Inv_SY_B!$IS16-1,"")</f>
        <v>-2.9358506203224666E-2</v>
      </c>
      <c r="FZ16" s="62">
        <f>IFERROR(Inv_SY_B!FZ16/Inv_SY_B!$IS16-1,"")</f>
        <v>-2.0100327357480019E-2</v>
      </c>
      <c r="GA16" s="62">
        <f>IFERROR(Inv_SY_B!GA16/Inv_SY_B!$IS16-1,"")</f>
        <v>5.3848849900410833E-3</v>
      </c>
      <c r="GB16" s="62">
        <f>IFERROR(Inv_SY_B!GB16/Inv_SY_B!$IS16-1,"")</f>
        <v>-8.9983036364259528E-3</v>
      </c>
      <c r="GC16" s="62">
        <f>IFERROR(Inv_SY_B!GC16/Inv_SY_B!$IS16-1,"")</f>
        <v>-4.7392816709220797E-3</v>
      </c>
      <c r="GD16" s="62">
        <f>IFERROR(Inv_SY_B!GD16/Inv_SY_B!$IS16-1,"")</f>
        <v>-2.732248594654485E-2</v>
      </c>
      <c r="GE16" s="62">
        <f>IFERROR(Inv_SY_B!GE16/Inv_SY_B!$IS16-1,"")</f>
        <v>7.6502371987097195E-3</v>
      </c>
      <c r="GF16" s="62">
        <f>IFERROR(Inv_SY_B!GF16/Inv_SY_B!$IS16-1,"")</f>
        <v>4.4020337672325827E-3</v>
      </c>
      <c r="GG16" s="62">
        <f>IFERROR(Inv_SY_B!GG16/Inv_SY_B!$IS16-1,"")</f>
        <v>6.5585531819609688E-3</v>
      </c>
      <c r="GH16" s="62">
        <f>IFERROR(Inv_SY_B!GH16/Inv_SY_B!$IS16-1,"")</f>
        <v>-3.9872007189648562E-3</v>
      </c>
      <c r="GI16" s="62">
        <f>IFERROR(Inv_SY_B!GI16/Inv_SY_B!$IS16-1,"")</f>
        <v>-1.5190455506630673E-3</v>
      </c>
      <c r="GJ16" s="62">
        <f>IFERROR(Inv_SY_B!GJ16/Inv_SY_B!$IS16-1,"")</f>
        <v>-1.6189897949659415E-2</v>
      </c>
      <c r="GK16" s="62">
        <f>IFERROR(Inv_SY_B!GK16/Inv_SY_B!$IS16-1,"")</f>
        <v>-1.6010108091828568E-2</v>
      </c>
      <c r="GL16" s="62">
        <f>IFERROR(Inv_SY_B!GL16/Inv_SY_B!$IS16-1,"")</f>
        <v>-1.7178742167728966E-2</v>
      </c>
      <c r="GM16" s="62">
        <f>IFERROR(Inv_SY_B!GM16/Inv_SY_B!$IS16-1,"")</f>
        <v>-2.0684644395430274E-2</v>
      </c>
      <c r="GN16" s="62">
        <f>IFERROR(Inv_SY_B!GN16/Inv_SY_B!$IS16-1,"")</f>
        <v>-1.250420586412726E-2</v>
      </c>
      <c r="GO16" s="62">
        <f>IFERROR(Inv_SY_B!GO16/Inv_SY_B!$IS16-1,"")</f>
        <v>-2.2671322324461118E-2</v>
      </c>
      <c r="GP16" s="62">
        <f>IFERROR(Inv_SY_B!GP16/Inv_SY_B!$IS16-1,"")</f>
        <v>-1.6010108091828568E-2</v>
      </c>
      <c r="GQ16" s="62">
        <f>IFERROR(Inv_SY_B!GQ16/Inv_SY_B!$IS16-1,"")</f>
        <v>7.5963002413603764E-3</v>
      </c>
      <c r="GR16" s="62">
        <f>IFERROR(Inv_SY_B!GR16/Inv_SY_B!$IS16-1,"")</f>
        <v>-1.6477561722188727E-2</v>
      </c>
      <c r="GS16" s="62" t="str">
        <f>IFERROR(Inv_SY_B!GS16/Inv_SY_B!$IS16-1,"")</f>
        <v/>
      </c>
      <c r="GT16" s="62" t="str">
        <f>IFERROR(Inv_SY_B!GT16/Inv_SY_B!$IS16-1,"")</f>
        <v/>
      </c>
      <c r="GU16" s="62">
        <f>IFERROR(Inv_SY_B!GU16/Inv_SY_B!$IS16-1,"")</f>
        <v>3.7081030480344834E-2</v>
      </c>
      <c r="GV16" s="62">
        <f>IFERROR(Inv_SY_B!GV16/Inv_SY_B!$IS16-1,"")</f>
        <v>-1.2932428752459479E-2</v>
      </c>
      <c r="GW16" s="62">
        <f>IFERROR(Inv_SY_B!GW16/Inv_SY_B!$IS16-1,"")</f>
        <v>-1.6067114632116408E-2</v>
      </c>
      <c r="GX16" s="62" t="str">
        <f>IFERROR(Inv_SY_B!GX16/Inv_SY_B!$IS16-1,"")</f>
        <v/>
      </c>
      <c r="GY16" s="62">
        <f>IFERROR(Inv_SY_B!GY16/Inv_SY_B!$IS16-1,"")</f>
        <v>-1.5184156188560616E-2</v>
      </c>
      <c r="GZ16" s="62">
        <f>IFERROR(Inv_SY_B!GZ16/Inv_SY_B!$IS16-1,"")</f>
        <v>-2.3599664225204431E-2</v>
      </c>
      <c r="HA16" s="62">
        <f>IFERROR(Inv_SY_B!HA16/Inv_SY_B!$IS16-1,"")</f>
        <v>-1.8977650801418444E-2</v>
      </c>
      <c r="HB16" s="62">
        <f>IFERROR(Inv_SY_B!HB16/Inv_SY_B!$IS16-1,"")</f>
        <v>-1.2044630665739353E-2</v>
      </c>
      <c r="HC16" s="62">
        <f>IFERROR(Inv_SY_B!HC16/Inv_SY_B!$IS16-1,"")</f>
        <v>-1.0889127309792968E-2</v>
      </c>
      <c r="HD16" s="62">
        <f>IFERROR(Inv_SY_B!HD16/Inv_SY_B!$IS16-1,"")</f>
        <v>-1.6666644089525451E-2</v>
      </c>
      <c r="HE16" s="62">
        <f>IFERROR(Inv_SY_B!HE16/Inv_SY_B!$IS16-1,"")</f>
        <v>-2.1288657513311438E-2</v>
      </c>
      <c r="HF16" s="62">
        <f>IFERROR(Inv_SY_B!HF16/Inv_SY_B!$IS16-1,"")</f>
        <v>1.590308934429352E-3</v>
      </c>
      <c r="HG16" s="62">
        <f>IFERROR(Inv_SY_B!HG16/Inv_SY_B!$IS16-1,"")</f>
        <v>-8.8092212690892291E-3</v>
      </c>
      <c r="HH16" s="62">
        <f>IFERROR(Inv_SY_B!HH16/Inv_SY_B!$IS16-1,"")</f>
        <v>-5.1116105300603731E-3</v>
      </c>
      <c r="HI16" s="62">
        <f>IFERROR(Inv_SY_B!HI16/Inv_SY_B!$IS16-1,"")</f>
        <v>-1.8762011334102491E-3</v>
      </c>
      <c r="HJ16" s="62">
        <f>IFERROR(Inv_SY_B!HJ16/Inv_SY_B!$IS16-1,"")</f>
        <v>2.2158268670277037E-2</v>
      </c>
      <c r="HK16" s="62">
        <f>IFERROR(Inv_SY_B!HK16/Inv_SY_B!$IS16-1,"")</f>
        <v>-1.1916241403967631E-2</v>
      </c>
      <c r="HL16" s="62">
        <f>IFERROR(Inv_SY_B!HL16/Inv_SY_B!$IS16-1,"")</f>
        <v>-1.8078925969015613E-2</v>
      </c>
      <c r="HM16" s="62">
        <f>IFERROR(Inv_SY_B!HM16/Inv_SY_B!$IS16-1,"")</f>
        <v>5.1425259223923936E-2</v>
      </c>
      <c r="HN16" s="62">
        <f>IFERROR(Inv_SY_B!HN16/Inv_SY_B!$IS16-1,"")</f>
        <v>3.7608895765002481E-2</v>
      </c>
      <c r="HO16" s="62">
        <f>IFERROR(Inv_SY_B!HO16/Inv_SY_B!$IS16-1,"")</f>
        <v>5.4188531915708271E-2</v>
      </c>
      <c r="HP16" s="62">
        <f>IFERROR(Inv_SY_B!HP16/Inv_SY_B!$IS16-1,"")</f>
        <v>7.1597149873949384E-2</v>
      </c>
      <c r="HQ16" s="62">
        <f>IFERROR(Inv_SY_B!HQ16/Inv_SY_B!$IS16-1,"")</f>
        <v>-4.2495683438781295E-3</v>
      </c>
      <c r="HR16" s="62">
        <f>IFERROR(Inv_SY_B!HR16/Inv_SY_B!$IS16-1,"")</f>
        <v>-1.693214965630041E-2</v>
      </c>
      <c r="HS16" s="62">
        <f>IFERROR(Inv_SY_B!HS16/Inv_SY_B!$IS16-1,"")</f>
        <v>1.1999083164795366E-2</v>
      </c>
      <c r="HT16" s="62">
        <f>IFERROR(Inv_SY_B!HT16/Inv_SY_B!$IS16-1,"")</f>
        <v>2.6687787333128377E-3</v>
      </c>
      <c r="HU16" s="62">
        <f>IFERROR(Inv_SY_B!HU16/Inv_SY_B!$IS16-1,"")</f>
        <v>-1.7644377698403213E-2</v>
      </c>
      <c r="HV16" s="62">
        <f>IFERROR(Inv_SY_B!HV16/Inv_SY_B!$IS16-1,"")</f>
        <v>-2.7117189446330681E-3</v>
      </c>
      <c r="HW16" s="62">
        <f>IFERROR(Inv_SY_B!HW16/Inv_SY_B!$IS16-1,"")</f>
        <v>2.2980987059711078E-2</v>
      </c>
      <c r="HX16" s="62">
        <f>IFERROR(Inv_SY_B!HX16/Inv_SY_B!$IS16-1,"")</f>
        <v>-1.2844594527548492E-2</v>
      </c>
      <c r="HY16" s="62">
        <f>IFERROR(Inv_SY_B!HY16/Inv_SY_B!$IS16-1,"")</f>
        <v>-1.0288320057160183E-3</v>
      </c>
      <c r="HZ16" s="62">
        <f>IFERROR(Inv_SY_B!HZ16/Inv_SY_B!$IS16-1,"")</f>
        <v>-8.8348991214435291E-3</v>
      </c>
      <c r="IA16" s="62">
        <f>IFERROR(Inv_SY_B!IA16/Inv_SY_B!$IS16-1,"")</f>
        <v>-1.3552980034806983E-2</v>
      </c>
      <c r="IB16" s="62">
        <f>IFERROR(Inv_SY_B!IB16/Inv_SY_B!$IS16-1,"")</f>
        <v>-8.330512735911344E-3</v>
      </c>
      <c r="IC16" s="62">
        <f>IFERROR(Inv_SY_B!IC16/Inv_SY_B!$IS16-1,"")</f>
        <v>1.1617600061510025E-2</v>
      </c>
      <c r="ID16" s="62">
        <f>IFERROR(Inv_SY_B!ID16/Inv_SY_B!$IS16-1,"")</f>
        <v>3.0054439086255602E-3</v>
      </c>
      <c r="IE16" s="62">
        <f>IFERROR(Inv_SY_B!IE16/Inv_SY_B!$IS16-1,"")</f>
        <v>9.6998415779812053E-3</v>
      </c>
      <c r="IF16" s="62" t="str">
        <f>IFERROR(Inv_SY_B!IF16/Inv_SY_B!$IS16-1,"")</f>
        <v/>
      </c>
      <c r="IG16" s="62">
        <f>IFERROR(Inv_SY_B!IG16/Inv_SY_B!$IS16-1,"")</f>
        <v>3.1308821739437054E-2</v>
      </c>
      <c r="IH16" s="62">
        <f>IFERROR(Inv_SY_B!IH16/Inv_SY_B!$IS16-1,"")</f>
        <v>1.1204290043508092E-2</v>
      </c>
      <c r="II16" s="62">
        <f>IFERROR(Inv_SY_B!II16/Inv_SY_B!$IS16-1,"")</f>
        <v>-1.4579839521323579E-2</v>
      </c>
      <c r="IJ16" s="62">
        <f>IFERROR(Inv_SY_B!IJ16/Inv_SY_B!$IS16-1,"")</f>
        <v>-1.4307653512121821E-2</v>
      </c>
      <c r="IK16" s="62">
        <f>IFERROR(Inv_SY_B!IK16/Inv_SY_B!$IS16-1,"")</f>
        <v>-3.683904605457089E-4</v>
      </c>
      <c r="IL16" s="62" t="str">
        <f>IFERROR(Inv_SY_B!IL16/Inv_SY_B!$IS16-1,"")</f>
        <v/>
      </c>
      <c r="IM16" s="62" t="str">
        <f>IFERROR(Inv_SY_B!IM16/Inv_SY_B!$IS16-1,"")</f>
        <v/>
      </c>
      <c r="IN16" s="62">
        <f>IFERROR(Inv_SY_B!IN16/Inv_SY_B!$IS16-1,"")</f>
        <v>3.2911332188969356E-2</v>
      </c>
      <c r="IO16" s="62">
        <f>IFERROR(Inv_SY_B!IO16/Inv_SY_B!$IS16-1,"")</f>
        <v>6.1442122731641957E-2</v>
      </c>
      <c r="IP16" s="62">
        <f>IFERROR(Inv_SY_B!IP16/Inv_SY_B!$IS16-1,"")</f>
        <v>0.19037681373665971</v>
      </c>
      <c r="IQ16" s="62">
        <f>IFERROR(Inv_SY_B!IQ16/Inv_SY_B!$IS16-1,"")</f>
        <v>-1.3552980034806983E-2</v>
      </c>
      <c r="IR16" s="62">
        <f>IFERROR(Inv_SY_B!IR16/Inv_SY_B!$IS16-1,"")</f>
        <v>1.0490559161675073E-2</v>
      </c>
    </row>
    <row r="17" spans="2:252" x14ac:dyDescent="0.25">
      <c r="B17" s="85">
        <f t="shared" si="0"/>
        <v>45843</v>
      </c>
      <c r="C17" s="62">
        <f>IFERROR(Inv_SY_B!C17/Inv_SY_B!$IS17-1,"")</f>
        <v>-9.208679956371868E-3</v>
      </c>
      <c r="D17" s="62">
        <f>IFERROR(Inv_SY_B!D17/Inv_SY_B!$IS17-1,"")</f>
        <v>8.5378648596432516E-3</v>
      </c>
      <c r="E17" s="62">
        <f>IFERROR(Inv_SY_B!E17/Inv_SY_B!$IS17-1,"")</f>
        <v>5.4149898616793202E-3</v>
      </c>
      <c r="F17" s="62">
        <f>IFERROR(Inv_SY_B!F17/Inv_SY_B!$IS17-1,"")</f>
        <v>1.3085887149317799E-3</v>
      </c>
      <c r="G17" s="62">
        <f>IFERROR(Inv_SY_B!G17/Inv_SY_B!$IS17-1,"")</f>
        <v>4.3992693388861248E-4</v>
      </c>
      <c r="H17" s="62">
        <f>IFERROR(Inv_SY_B!H17/Inv_SY_B!$IS17-1,"")</f>
        <v>-1.4912302487599671E-3</v>
      </c>
      <c r="I17" s="62">
        <f>IFERROR(Inv_SY_B!I17/Inv_SY_B!$IS17-1,"")</f>
        <v>1.4019160137213049E-3</v>
      </c>
      <c r="J17" s="62">
        <f>IFERROR(Inv_SY_B!J17/Inv_SY_B!$IS17-1,"")</f>
        <v>5.6016444592588144E-3</v>
      </c>
      <c r="K17" s="62">
        <f>IFERROR(Inv_SY_B!K17/Inv_SY_B!$IS17-1,"")</f>
        <v>-7.1535234536422632E-2</v>
      </c>
      <c r="L17" s="62">
        <f>IFERROR(Inv_SY_B!L17/Inv_SY_B!$IS17-1,"")</f>
        <v>3.3655223802571133E-3</v>
      </c>
      <c r="M17" s="62">
        <f>IFERROR(Inv_SY_B!M17/Inv_SY_B!$IS17-1,"")</f>
        <v>1.5307683533390071E-2</v>
      </c>
      <c r="N17" s="62">
        <f>IFERROR(Inv_SY_B!N17/Inv_SY_B!$IS17-1,"")</f>
        <v>1.2787846466067343E-2</v>
      </c>
      <c r="O17" s="62">
        <f>IFERROR(Inv_SY_B!O17/Inv_SY_B!$IS17-1,"")</f>
        <v>-2.0996635695812116E-2</v>
      </c>
      <c r="P17" s="62">
        <f>IFERROR(Inv_SY_B!P17/Inv_SY_B!$IS17-1,"")</f>
        <v>3.1555117822691603E-2</v>
      </c>
      <c r="Q17" s="62">
        <f>IFERROR(Inv_SY_B!Q17/Inv_SY_B!$IS17-1,"")</f>
        <v>2.428516300408079E-3</v>
      </c>
      <c r="R17" s="62">
        <f>IFERROR(Inv_SY_B!R17/Inv_SY_B!$IS17-1,"")</f>
        <v>2.1485344040390597E-3</v>
      </c>
      <c r="S17" s="62">
        <f>IFERROR(Inv_SY_B!S17/Inv_SY_B!$IS17-1,"")</f>
        <v>-2.2863181671606503E-2</v>
      </c>
      <c r="T17" s="62">
        <f>IFERROR(Inv_SY_B!T17/Inv_SY_B!$IS17-1,"")</f>
        <v>-2.2769854372816978E-2</v>
      </c>
      <c r="U17" s="62">
        <f>IFERROR(Inv_SY_B!U17/Inv_SY_B!$IS17-1,"")</f>
        <v>-2.0063362707914867E-2</v>
      </c>
      <c r="V17" s="62">
        <f>IFERROR(Inv_SY_B!V17/Inv_SY_B!$IS17-1,"")</f>
        <v>-1.7823507536961603E-2</v>
      </c>
      <c r="W17" s="62">
        <f>IFERROR(Inv_SY_B!W17/Inv_SY_B!$IS17-1,"")</f>
        <v>-9.3126645602170655E-4</v>
      </c>
      <c r="X17" s="62">
        <f>IFERROR(Inv_SY_B!X17/Inv_SY_B!$IS17-1,"")</f>
        <v>8.2148088253710672E-3</v>
      </c>
      <c r="Y17" s="62">
        <f>IFERROR(Inv_SY_B!Y17/Inv_SY_B!$IS17-1,"")</f>
        <v>-1.4291428228919711E-2</v>
      </c>
      <c r="Z17" s="62">
        <f>IFERROR(Inv_SY_B!Z17/Inv_SY_B!$IS17-1,"")</f>
        <v>1.1667918880590822E-2</v>
      </c>
      <c r="AA17" s="62">
        <f>IFERROR(Inv_SY_B!AA17/Inv_SY_B!$IS17-1,"")</f>
        <v>-6.2796385789712916E-3</v>
      </c>
      <c r="AB17" s="62">
        <f>IFERROR(Inv_SY_B!AB17/Inv_SY_B!$IS17-1,"")</f>
        <v>-8.519493749924556E-3</v>
      </c>
      <c r="AC17" s="62">
        <f>IFERROR(Inv_SY_B!AC17/Inv_SY_B!$IS17-1,"")</f>
        <v>-9.4671247837894157E-3</v>
      </c>
      <c r="AD17" s="62">
        <f>IFERROR(Inv_SY_B!AD17/Inv_SY_B!$IS17-1,"")</f>
        <v>-2.6007881343712569E-3</v>
      </c>
      <c r="AE17" s="62">
        <f>IFERROR(Inv_SY_B!AE17/Inv_SY_B!$IS17-1,"")</f>
        <v>-1.8541697440535021E-3</v>
      </c>
      <c r="AF17" s="62">
        <f>IFERROR(Inv_SY_B!AF17/Inv_SY_B!$IS17-1,"")</f>
        <v>-3.5617912506201943E-2</v>
      </c>
      <c r="AG17" s="62">
        <f>IFERROR(Inv_SY_B!AG17/Inv_SY_B!$IS17-1,"")</f>
        <v>-8.2419048612166756E-3</v>
      </c>
      <c r="AH17" s="62">
        <f>IFERROR(Inv_SY_B!AH17/Inv_SY_B!$IS17-1,"")</f>
        <v>-1.3564241505081842E-3</v>
      </c>
      <c r="AI17" s="62">
        <f>IFERROR(Inv_SY_B!AI17/Inv_SY_B!$IS17-1,"")</f>
        <v>-2.5596967169173479E-2</v>
      </c>
      <c r="AJ17" s="62">
        <f>IFERROR(Inv_SY_B!AJ17/Inv_SY_B!$IS17-1,"")</f>
        <v>8.5039128340416159E-3</v>
      </c>
      <c r="AK17" s="62">
        <f>IFERROR(Inv_SY_B!AK17/Inv_SY_B!$IS17-1,"")</f>
        <v>-3.6208985398536897E-2</v>
      </c>
      <c r="AL17" s="62">
        <f>IFERROR(Inv_SY_B!AL17/Inv_SY_B!$IS17-1,"")</f>
        <v>-4.3614064743758285E-2</v>
      </c>
      <c r="AM17" s="62">
        <f>IFERROR(Inv_SY_B!AM17/Inv_SY_B!$IS17-1,"")</f>
        <v>-4.806155234483156E-2</v>
      </c>
      <c r="AN17" s="62">
        <f>IFERROR(Inv_SY_B!AN17/Inv_SY_B!$IS17-1,"")</f>
        <v>-4.5261733381139924E-2</v>
      </c>
      <c r="AO17" s="62">
        <f>IFERROR(Inv_SY_B!AO17/Inv_SY_B!$IS17-1,"")</f>
        <v>-5.2541262686738199E-2</v>
      </c>
      <c r="AP17" s="62">
        <f>IFERROR(Inv_SY_B!AP17/Inv_SY_B!$IS17-1,"")</f>
        <v>-5.5527736248009441E-2</v>
      </c>
      <c r="AQ17" s="62">
        <f>IFERROR(Inv_SY_B!AQ17/Inv_SY_B!$IS17-1,"")</f>
        <v>-4.2461914417448288E-2</v>
      </c>
      <c r="AR17" s="62">
        <f>IFERROR(Inv_SY_B!AR17/Inv_SY_B!$IS17-1,"")</f>
        <v>-5.5527736248009441E-2</v>
      </c>
      <c r="AS17" s="62">
        <f>IFERROR(Inv_SY_B!AS17/Inv_SY_B!$IS17-1,"")</f>
        <v>-4.6381660966616667E-2</v>
      </c>
      <c r="AT17" s="62">
        <f>IFERROR(Inv_SY_B!AT17/Inv_SY_B!$IS17-1,"")</f>
        <v>-3.4249112123952652E-2</v>
      </c>
      <c r="AU17" s="62">
        <f>IFERROR(Inv_SY_B!AU17/Inv_SY_B!$IS17-1,"")</f>
        <v>-2.8182837702620755E-2</v>
      </c>
      <c r="AV17" s="62">
        <f>IFERROR(Inv_SY_B!AV17/Inv_SY_B!$IS17-1,"")</f>
        <v>-1.4837033975690583E-2</v>
      </c>
      <c r="AW17" s="62">
        <f>IFERROR(Inv_SY_B!AW17/Inv_SY_B!$IS17-1,"")</f>
        <v>-1.5411355814396344E-2</v>
      </c>
      <c r="AX17" s="62">
        <f>IFERROR(Inv_SY_B!AX17/Inv_SY_B!$IS17-1,"")</f>
        <v>-2.892945609293851E-2</v>
      </c>
      <c r="AY17" s="62">
        <f>IFERROR(Inv_SY_B!AY17/Inv_SY_B!$IS17-1,"")</f>
        <v>-1.0163202852301212E-2</v>
      </c>
      <c r="AZ17" s="62">
        <f>IFERROR(Inv_SY_B!AZ17/Inv_SY_B!$IS17-1,"")</f>
        <v>-2.3243957050668618E-2</v>
      </c>
      <c r="BA17" s="62">
        <f>IFERROR(Inv_SY_B!BA17/Inv_SY_B!$IS17-1,"")</f>
        <v>-8.6774322555686068E-3</v>
      </c>
      <c r="BB17" s="62">
        <f>IFERROR(Inv_SY_B!BB17/Inv_SY_B!$IS17-1,"")</f>
        <v>-2.0511940414985608E-3</v>
      </c>
      <c r="BC17" s="62">
        <f>IFERROR(Inv_SY_B!BC17/Inv_SY_B!$IS17-1,"")</f>
        <v>1.7557908404208789E-2</v>
      </c>
      <c r="BD17" s="62">
        <f>IFERROR(Inv_SY_B!BD17/Inv_SY_B!$IS17-1,"")</f>
        <v>-1.073063282894271E-2</v>
      </c>
      <c r="BE17" s="62">
        <f>IFERROR(Inv_SY_B!BE17/Inv_SY_B!$IS17-1,"")</f>
        <v>-2.3940035119180303E-2</v>
      </c>
      <c r="BF17" s="62">
        <f>IFERROR(Inv_SY_B!BF17/Inv_SY_B!$IS17-1,"")</f>
        <v>1.8636357190223274E-2</v>
      </c>
      <c r="BG17" s="62">
        <f>IFERROR(Inv_SY_B!BG17/Inv_SY_B!$IS17-1,"")</f>
        <v>-7.7511499962921837E-2</v>
      </c>
      <c r="BH17" s="62">
        <f>IFERROR(Inv_SY_B!BH17/Inv_SY_B!$IS17-1,"")</f>
        <v>5.5083171604692893E-3</v>
      </c>
      <c r="BI17" s="62">
        <f>IFERROR(Inv_SY_B!BI17/Inv_SY_B!$IS17-1,"")</f>
        <v>-9.2373960483070894E-3</v>
      </c>
      <c r="BJ17" s="62">
        <f>IFERROR(Inv_SY_B!BJ17/Inv_SY_B!$IS17-1,"")</f>
        <v>2.7084981967775423E-3</v>
      </c>
      <c r="BK17" s="62">
        <f>IFERROR(Inv_SY_B!BK17/Inv_SY_B!$IS17-1,"")</f>
        <v>-1.4650379378110978E-2</v>
      </c>
      <c r="BL17" s="62">
        <f>IFERROR(Inv_SY_B!BL17/Inv_SY_B!$IS17-1,"")</f>
        <v>6.156019230089127E-3</v>
      </c>
      <c r="BM17" s="62">
        <f>IFERROR(Inv_SY_B!BM17/Inv_SY_B!$IS17-1,"")</f>
        <v>-5.6909586942974766E-3</v>
      </c>
      <c r="BN17" s="62">
        <f>IFERROR(Inv_SY_B!BN17/Inv_SY_B!$IS17-1,"")</f>
        <v>3.1105742490588062E-2</v>
      </c>
      <c r="BO17" s="62">
        <f>IFERROR(Inv_SY_B!BO17/Inv_SY_B!$IS17-1,"")</f>
        <v>8.7963096870606883E-3</v>
      </c>
      <c r="BP17" s="62">
        <f>IFERROR(Inv_SY_B!BP17/Inv_SY_B!$IS17-1,"")</f>
        <v>1.3103723477355889E-2</v>
      </c>
      <c r="BQ17" s="62">
        <f>IFERROR(Inv_SY_B!BQ17/Inv_SY_B!$IS17-1,"")</f>
        <v>1.2242240719296582E-2</v>
      </c>
      <c r="BR17" s="62">
        <f>IFERROR(Inv_SY_B!BR17/Inv_SY_B!$IS17-1,"")</f>
        <v>7.0733441709427414E-3</v>
      </c>
      <c r="BS17" s="62">
        <f>IFERROR(Inv_SY_B!BS17/Inv_SY_B!$IS17-1,"")</f>
        <v>-2.3796454659503863E-2</v>
      </c>
      <c r="BT17" s="62">
        <f>IFERROR(Inv_SY_B!BT17/Inv_SY_B!$IS17-1,"")</f>
        <v>-1.6330270756325982E-2</v>
      </c>
      <c r="BU17" s="62">
        <f>IFERROR(Inv_SY_B!BU17/Inv_SY_B!$IS17-1,"")</f>
        <v>-2.0996635695812116E-2</v>
      </c>
      <c r="BV17" s="62">
        <f>IFERROR(Inv_SY_B!BV17/Inv_SY_B!$IS17-1,"")</f>
        <v>-2.6596273623195499E-2</v>
      </c>
      <c r="BW17" s="62">
        <f>IFERROR(Inv_SY_B!BW17/Inv_SY_B!$IS17-1,"")</f>
        <v>-2.0996635695812116E-2</v>
      </c>
      <c r="BX17" s="62">
        <f>IFERROR(Inv_SY_B!BX17/Inv_SY_B!$IS17-1,"")</f>
        <v>1.7267556807974094E-2</v>
      </c>
      <c r="BY17" s="62">
        <f>IFERROR(Inv_SY_B!BY17/Inv_SY_B!$IS17-1,"")</f>
        <v>-6.997540877353714E-3</v>
      </c>
      <c r="BZ17" s="62">
        <f>IFERROR(Inv_SY_B!BZ17/Inv_SY_B!$IS17-1,"")</f>
        <v>-1.0315844834321575E-2</v>
      </c>
      <c r="CA17" s="62">
        <f>IFERROR(Inv_SY_B!CA17/Inv_SY_B!$IS17-1,"")</f>
        <v>1.3741858853695499E-2</v>
      </c>
      <c r="CB17" s="62">
        <f>IFERROR(Inv_SY_B!CB17/Inv_SY_B!$IS17-1,"")</f>
        <v>1.7267556807974094E-2</v>
      </c>
      <c r="CC17" s="62">
        <f>IFERROR(Inv_SY_B!CC17/Inv_SY_B!$IS17-1,"")</f>
        <v>1.8200829795871343E-2</v>
      </c>
      <c r="CD17" s="62">
        <f>IFERROR(Inv_SY_B!CD17/Inv_SY_B!$IS17-1,"")</f>
        <v>1.9995585541827454E-2</v>
      </c>
      <c r="CE17" s="62">
        <f>IFERROR(Inv_SY_B!CE17/Inv_SY_B!$IS17-1,"")</f>
        <v>6.0682809532073279E-3</v>
      </c>
      <c r="CF17" s="62">
        <f>IFERROR(Inv_SY_B!CF17/Inv_SY_B!$IS17-1,"")</f>
        <v>2.7533559674843611E-2</v>
      </c>
      <c r="CG17" s="62">
        <f>IFERROR(Inv_SY_B!CG17/Inv_SY_B!$IS17-1,"")</f>
        <v>1.0734645892693573E-2</v>
      </c>
      <c r="CH17" s="62">
        <f>IFERROR(Inv_SY_B!CH17/Inv_SY_B!$IS17-1,"")</f>
        <v>1.0734645892693573E-2</v>
      </c>
      <c r="CI17" s="62">
        <f>IFERROR(Inv_SY_B!CI17/Inv_SY_B!$IS17-1,"")</f>
        <v>-5.5795726086282915E-4</v>
      </c>
      <c r="CJ17" s="62">
        <f>IFERROR(Inv_SY_B!CJ17/Inv_SY_B!$IS17-1,"")</f>
        <v>1.5214356234600324E-2</v>
      </c>
      <c r="CK17" s="62">
        <f>IFERROR(Inv_SY_B!CK17/Inv_SY_B!$IS17-1,"")</f>
        <v>2.2418617028288068E-3</v>
      </c>
      <c r="CL17" s="62">
        <f>IFERROR(Inv_SY_B!CL17/Inv_SY_B!$IS17-1,"")</f>
        <v>3.2684619895158029E-3</v>
      </c>
      <c r="CM17" s="62">
        <f>IFERROR(Inv_SY_B!CM17/Inv_SY_B!$IS17-1,"")</f>
        <v>-2.2863181671606503E-2</v>
      </c>
      <c r="CN17" s="62">
        <f>IFERROR(Inv_SY_B!CN17/Inv_SY_B!$IS17-1,"")</f>
        <v>-2.6596273623195499E-2</v>
      </c>
      <c r="CO17" s="62">
        <f>IFERROR(Inv_SY_B!CO17/Inv_SY_B!$IS17-1,"")</f>
        <v>2.1642740575236186E-2</v>
      </c>
      <c r="CP17" s="62">
        <f>IFERROR(Inv_SY_B!CP17/Inv_SY_B!$IS17-1,"")</f>
        <v>-3.4277828215887984E-2</v>
      </c>
      <c r="CQ17" s="62">
        <f>IFERROR(Inv_SY_B!CQ17/Inv_SY_B!$IS17-1,"")</f>
        <v>4.0132745011456139E-2</v>
      </c>
      <c r="CR17" s="62">
        <f>IFERROR(Inv_SY_B!CR17/Inv_SY_B!$IS17-1,"")</f>
        <v>2.7440232376053864E-2</v>
      </c>
      <c r="CS17" s="62">
        <f>IFERROR(Inv_SY_B!CS17/Inv_SY_B!$IS17-1,"")</f>
        <v>2.1208042756873491E-2</v>
      </c>
      <c r="CT17" s="62">
        <f>IFERROR(Inv_SY_B!CT17/Inv_SY_B!$IS17-1,"")</f>
        <v>3.8079544438082147E-2</v>
      </c>
      <c r="CU17" s="62">
        <f>IFERROR(Inv_SY_B!CU17/Inv_SY_B!$IS17-1,"")</f>
        <v>-8.864086853148212E-3</v>
      </c>
      <c r="CV17" s="62">
        <f>IFERROR(Inv_SY_B!CV17/Inv_SY_B!$IS17-1,"")</f>
        <v>5.3571876037176169E-2</v>
      </c>
      <c r="CW17" s="62">
        <f>IFERROR(Inv_SY_B!CW17/Inv_SY_B!$IS17-1,"")</f>
        <v>3.5746361968339135E-2</v>
      </c>
      <c r="CX17" s="62">
        <f>IFERROR(Inv_SY_B!CX17/Inv_SY_B!$IS17-1,"")</f>
        <v>4.0879363401773672E-2</v>
      </c>
      <c r="CY17" s="62">
        <f>IFERROR(Inv_SY_B!CY17/Inv_SY_B!$IS17-1,"")</f>
        <v>5.7304967988765165E-2</v>
      </c>
      <c r="CZ17" s="62">
        <f>IFERROR(Inv_SY_B!CZ17/Inv_SY_B!$IS17-1,"")</f>
        <v>3.9852763115086898E-2</v>
      </c>
      <c r="DA17" s="62">
        <f>IFERROR(Inv_SY_B!DA17/Inv_SY_B!$IS17-1,"")</f>
        <v>5.4038512531124683E-2</v>
      </c>
      <c r="DB17" s="62">
        <f>IFERROR(Inv_SY_B!DB17/Inv_SY_B!$IS17-1,"")</f>
        <v>4.0132745011456139E-2</v>
      </c>
      <c r="DC17" s="62">
        <f>IFERROR(Inv_SY_B!DC17/Inv_SY_B!$IS17-1,"")</f>
        <v>2.6600286686946362E-2</v>
      </c>
      <c r="DD17" s="62">
        <f>IFERROR(Inv_SY_B!DD17/Inv_SY_B!$IS17-1,"")</f>
        <v>2.6600286686946362E-2</v>
      </c>
      <c r="DE17" s="62">
        <f>IFERROR(Inv_SY_B!DE17/Inv_SY_B!$IS17-1,"")</f>
        <v>5.6050234305036417E-2</v>
      </c>
      <c r="DF17" s="62">
        <f>IFERROR(Inv_SY_B!DF17/Inv_SY_B!$IS17-1,"")</f>
        <v>4.6672368997743741E-2</v>
      </c>
      <c r="DG17" s="62">
        <f>IFERROR(Inv_SY_B!DG17/Inv_SY_B!$IS17-1,"")</f>
        <v>2.8373505363951335E-2</v>
      </c>
      <c r="DH17" s="62">
        <f>IFERROR(Inv_SY_B!DH17/Inv_SY_B!$IS17-1,"")</f>
        <v>3.8712096129879026E-2</v>
      </c>
      <c r="DI17" s="62">
        <f>IFERROR(Inv_SY_B!DI17/Inv_SY_B!$IS17-1,"")</f>
        <v>3.3693161394965365E-2</v>
      </c>
      <c r="DJ17" s="62">
        <f>IFERROR(Inv_SY_B!DJ17/Inv_SY_B!$IS17-1,"")</f>
        <v>2.835196829499953E-2</v>
      </c>
      <c r="DK17" s="62">
        <f>IFERROR(Inv_SY_B!DK17/Inv_SY_B!$IS17-1,"")</f>
        <v>3.4481258584745156E-2</v>
      </c>
      <c r="DL17" s="62">
        <f>IFERROR(Inv_SY_B!DL17/Inv_SY_B!$IS17-1,"")</f>
        <v>3.3651682595503107E-2</v>
      </c>
      <c r="DM17" s="62">
        <f>IFERROR(Inv_SY_B!DM17/Inv_SY_B!$IS17-1,"")</f>
        <v>4.5079091847311181E-2</v>
      </c>
      <c r="DN17" s="62">
        <f>IFERROR(Inv_SY_B!DN17/Inv_SY_B!$IS17-1,"")</f>
        <v>-7.930813865250963E-3</v>
      </c>
      <c r="DO17" s="62">
        <f>IFERROR(Inv_SY_B!DO17/Inv_SY_B!$IS17-1,"")</f>
        <v>-4.598320523053756E-3</v>
      </c>
      <c r="DP17" s="62">
        <f>IFERROR(Inv_SY_B!DP17/Inv_SY_B!$IS17-1,"")</f>
        <v>-1.1075513537357473E-3</v>
      </c>
      <c r="DQ17" s="62">
        <f>IFERROR(Inv_SY_B!DQ17/Inv_SY_B!$IS17-1,"")</f>
        <v>4.0951951300832512E-2</v>
      </c>
      <c r="DR17" s="62">
        <f>IFERROR(Inv_SY_B!DR17/Inv_SY_B!$IS17-1,"")</f>
        <v>4.4519128054572921E-2</v>
      </c>
      <c r="DS17" s="62">
        <f>IFERROR(Inv_SY_B!DS17/Inv_SY_B!$IS17-1,"")</f>
        <v>3.9292799322348637E-2</v>
      </c>
      <c r="DT17" s="62">
        <f>IFERROR(Inv_SY_B!DT17/Inv_SY_B!$IS17-1,"")</f>
        <v>-3.014271097720489E-2</v>
      </c>
      <c r="DU17" s="62">
        <f>IFERROR(Inv_SY_B!DU17/Inv_SY_B!$IS17-1,"")</f>
        <v>6.5245477472903879E-3</v>
      </c>
      <c r="DV17" s="62">
        <f>IFERROR(Inv_SY_B!DV17/Inv_SY_B!$IS17-1,"")</f>
        <v>1.8014175198291849E-2</v>
      </c>
      <c r="DW17" s="62">
        <f>IFERROR(Inv_SY_B!DW17/Inv_SY_B!$IS17-1,"")</f>
        <v>2.6133650192997848E-2</v>
      </c>
      <c r="DX17" s="62">
        <f>IFERROR(Inv_SY_B!DX17/Inv_SY_B!$IS17-1,"")</f>
        <v>5.1072778369584571E-2</v>
      </c>
      <c r="DY17" s="62">
        <f>IFERROR(Inv_SY_B!DY17/Inv_SY_B!$IS17-1,"")</f>
        <v>-4.7128279356934422E-2</v>
      </c>
      <c r="DZ17" s="62">
        <f>IFERROR(Inv_SY_B!DZ17/Inv_SY_B!$IS17-1,"")</f>
        <v>-5.8327555211701076E-2</v>
      </c>
      <c r="EA17" s="62">
        <f>IFERROR(Inv_SY_B!EA17/Inv_SY_B!$IS17-1,"")</f>
        <v>-5.7767591418962705E-2</v>
      </c>
      <c r="EB17" s="62">
        <f>IFERROR(Inv_SY_B!EB17/Inv_SY_B!$IS17-1,"")</f>
        <v>-5.8431252210356277E-2</v>
      </c>
      <c r="EC17" s="62">
        <f>IFERROR(Inv_SY_B!EC17/Inv_SY_B!$IS17-1,"")</f>
        <v>-5.4091931651244374E-2</v>
      </c>
      <c r="ED17" s="62">
        <f>IFERROR(Inv_SY_B!ED17/Inv_SY_B!$IS17-1,"")</f>
        <v>-5.3316597168991287E-2</v>
      </c>
      <c r="EE17" s="62">
        <f>IFERROR(Inv_SY_B!EE17/Inv_SY_B!$IS17-1,"")</f>
        <v>-4.1169690280359772E-2</v>
      </c>
      <c r="EF17" s="62">
        <f>IFERROR(Inv_SY_B!EF17/Inv_SY_B!$IS17-1,"")</f>
        <v>-4.9079668331628579E-2</v>
      </c>
      <c r="EG17" s="62">
        <f>IFERROR(Inv_SY_B!EG17/Inv_SY_B!$IS17-1,"")</f>
        <v>-4.5956793333664758E-2</v>
      </c>
      <c r="EH17" s="62">
        <f>IFERROR(Inv_SY_B!EH17/Inv_SY_B!$IS17-1,"")</f>
        <v>-3.1145163641128071E-2</v>
      </c>
      <c r="EI17" s="62">
        <f>IFERROR(Inv_SY_B!EI17/Inv_SY_B!$IS17-1,"")</f>
        <v>-4.4214248663954514E-2</v>
      </c>
      <c r="EJ17" s="62">
        <f>IFERROR(Inv_SY_B!EJ17/Inv_SY_B!$IS17-1,"")</f>
        <v>-2.0080004988468292E-2</v>
      </c>
      <c r="EK17" s="62">
        <f>IFERROR(Inv_SY_B!EK17/Inv_SY_B!$IS17-1,"")</f>
        <v>-4.044604476359015E-2</v>
      </c>
      <c r="EL17" s="62">
        <f>IFERROR(Inv_SY_B!EL17/Inv_SY_B!$IS17-1,"")</f>
        <v>-4.5261733381139924E-2</v>
      </c>
      <c r="EM17" s="62">
        <f>IFERROR(Inv_SY_B!EM17/Inv_SY_B!$IS17-1,"")</f>
        <v>-4.8578441999666988E-2</v>
      </c>
      <c r="EN17" s="62">
        <f>IFERROR(Inv_SY_B!EN17/Inv_SY_B!$IS17-1,"")</f>
        <v>-3.6000793732005931E-2</v>
      </c>
      <c r="EO17" s="62">
        <f>IFERROR(Inv_SY_B!EO17/Inv_SY_B!$IS17-1,"")</f>
        <v>-3.4622421319111418E-2</v>
      </c>
      <c r="EP17" s="62">
        <f>IFERROR(Inv_SY_B!EP17/Inv_SY_B!$IS17-1,"")</f>
        <v>-5.1507483377067564E-2</v>
      </c>
      <c r="EQ17" s="62">
        <f>IFERROR(Inv_SY_B!EQ17/Inv_SY_B!$IS17-1,"")</f>
        <v>-5.6461009235906578E-2</v>
      </c>
      <c r="ER17" s="62">
        <f>IFERROR(Inv_SY_B!ER17/Inv_SY_B!$IS17-1,"")</f>
        <v>-4.0308207522300799E-2</v>
      </c>
      <c r="ES17" s="62">
        <f>IFERROR(Inv_SY_B!ES17/Inv_SY_B!$IS17-1,"")</f>
        <v>-4.087535033802292E-2</v>
      </c>
      <c r="ET17" s="62">
        <f>IFERROR(Inv_SY_B!ET17/Inv_SY_B!$IS17-1,"")</f>
        <v>-5.2134016292019525E-2</v>
      </c>
      <c r="EU17" s="62">
        <f>IFERROR(Inv_SY_B!EU17/Inv_SY_B!$IS17-1,"")</f>
        <v>-4.7200069586772586E-2</v>
      </c>
      <c r="EV17" s="62">
        <f>IFERROR(Inv_SY_B!EV17/Inv_SY_B!$IS17-1,"")</f>
        <v>-4.3754138554536692E-2</v>
      </c>
      <c r="EW17" s="62">
        <f>IFERROR(Inv_SY_B!EW17/Inv_SY_B!$IS17-1,"")</f>
        <v>-5.1507483377067564E-2</v>
      </c>
      <c r="EX17" s="62">
        <f>IFERROR(Inv_SY_B!EX17/Inv_SY_B!$IS17-1,"")</f>
        <v>-3.5929003502167656E-2</v>
      </c>
      <c r="EY17" s="62">
        <f>IFERROR(Inv_SY_B!EY17/Inv_SY_B!$IS17-1,"")</f>
        <v>-3.553495490727776E-2</v>
      </c>
      <c r="EZ17" s="62">
        <f>IFERROR(Inv_SY_B!EZ17/Inv_SY_B!$IS17-1,"")</f>
        <v>-3.6862276490064905E-2</v>
      </c>
      <c r="FA17" s="62">
        <f>IFERROR(Inv_SY_B!FA17/Inv_SY_B!$IS17-1,"")</f>
        <v>-4.5261733381139924E-2</v>
      </c>
      <c r="FB17" s="62">
        <f>IFERROR(Inv_SY_B!FB17/Inv_SY_B!$IS17-1,"")</f>
        <v>-3.4435766721532257E-2</v>
      </c>
      <c r="FC17" s="62">
        <f>IFERROR(Inv_SY_B!FC17/Inv_SY_B!$IS17-1,"")</f>
        <v>-4.8994825332728809E-2</v>
      </c>
      <c r="FD17" s="62">
        <f>IFERROR(Inv_SY_B!FD17/Inv_SY_B!$IS17-1,"")</f>
        <v>-4.1901950624710027E-2</v>
      </c>
      <c r="FE17" s="62">
        <f>IFERROR(Inv_SY_B!FE17/Inv_SY_B!$IS17-1,"")</f>
        <v>1.2661672154814507E-3</v>
      </c>
      <c r="FF17" s="62">
        <f>IFERROR(Inv_SY_B!FF17/Inv_SY_B!$IS17-1,"")</f>
        <v>-1.8838441911299797E-2</v>
      </c>
      <c r="FG17" s="62">
        <f>IFERROR(Inv_SY_B!FG17/Inv_SY_B!$IS17-1,"")</f>
        <v>-1.6352895556032587E-2</v>
      </c>
      <c r="FH17" s="62">
        <f>IFERROR(Inv_SY_B!FH17/Inv_SY_B!$IS17-1,"")</f>
        <v>-2.402977290647812E-2</v>
      </c>
      <c r="FI17" s="62">
        <f>IFERROR(Inv_SY_B!FI17/Inv_SY_B!$IS17-1,"")</f>
        <v>-2.2561517675518505E-2</v>
      </c>
      <c r="FJ17" s="62">
        <f>IFERROR(Inv_SY_B!FJ17/Inv_SY_B!$IS17-1,"")</f>
        <v>-1.7527499740800145E-2</v>
      </c>
      <c r="FK17" s="62">
        <f>IFERROR(Inv_SY_B!FK17/Inv_SY_B!$IS17-1,"")</f>
        <v>-8.3134025731756989E-4</v>
      </c>
      <c r="FL17" s="62">
        <f>IFERROR(Inv_SY_B!FL17/Inv_SY_B!$IS17-1,"")</f>
        <v>-2.6823652860246794E-2</v>
      </c>
      <c r="FM17" s="62">
        <f>IFERROR(Inv_SY_B!FM17/Inv_SY_B!$IS17-1,"")</f>
        <v>-3.264448925764829E-3</v>
      </c>
      <c r="FN17" s="62">
        <f>IFERROR(Inv_SY_B!FN17/Inv_SY_B!$IS17-1,"")</f>
        <v>-9.1374698496028417E-3</v>
      </c>
      <c r="FO17" s="62">
        <f>IFERROR(Inv_SY_B!FO17/Inv_SY_B!$IS17-1,"")</f>
        <v>-2.3205705630051643E-3</v>
      </c>
      <c r="FP17" s="62">
        <f>IFERROR(Inv_SY_B!FP17/Inv_SY_B!$IS17-1,"")</f>
        <v>-2.6008141954822261E-2</v>
      </c>
      <c r="FQ17" s="62">
        <f>IFERROR(Inv_SY_B!FQ17/Inv_SY_B!$IS17-1,"")</f>
        <v>-2.6823652860246794E-2</v>
      </c>
      <c r="FR17" s="62">
        <f>IFERROR(Inv_SY_B!FR17/Inv_SY_B!$IS17-1,"")</f>
        <v>-1.9574667034252369E-2</v>
      </c>
      <c r="FS17" s="62">
        <f>IFERROR(Inv_SY_B!FS17/Inv_SY_B!$IS17-1,"")</f>
        <v>-1.3332484795201549E-2</v>
      </c>
      <c r="FT17" s="62">
        <f>IFERROR(Inv_SY_B!FT17/Inv_SY_B!$IS17-1,"")</f>
        <v>-3.5362858942395992E-3</v>
      </c>
      <c r="FU17" s="62">
        <f>IFERROR(Inv_SY_B!FU17/Inv_SY_B!$IS17-1,"")</f>
        <v>-4.1019583436152529E-2</v>
      </c>
      <c r="FV17" s="62">
        <f>IFERROR(Inv_SY_B!FV17/Inv_SY_B!$IS17-1,"")</f>
        <v>-4.1019583436152529E-2</v>
      </c>
      <c r="FW17" s="62">
        <f>IFERROR(Inv_SY_B!FW17/Inv_SY_B!$IS17-1,"")</f>
        <v>-2.3085894543718344E-2</v>
      </c>
      <c r="FX17" s="62">
        <f>IFERROR(Inv_SY_B!FX17/Inv_SY_B!$IS17-1,"")</f>
        <v>-2.4973651269237673E-2</v>
      </c>
      <c r="FY17" s="62">
        <f>IFERROR(Inv_SY_B!FY17/Inv_SY_B!$IS17-1,"")</f>
        <v>-2.2561517675518505E-2</v>
      </c>
      <c r="FZ17" s="62">
        <f>IFERROR(Inv_SY_B!FZ17/Inv_SY_B!$IS17-1,"")</f>
        <v>7.1182130645919273E-3</v>
      </c>
      <c r="GA17" s="62">
        <f>IFERROR(Inv_SY_B!GA17/Inv_SY_B!$IS17-1,"")</f>
        <v>-1.3719716944026072E-2</v>
      </c>
      <c r="GB17" s="62">
        <f>IFERROR(Inv_SY_B!GB17/Inv_SY_B!$IS17-1,"")</f>
        <v>-1.6688496751680493E-2</v>
      </c>
      <c r="GC17" s="62">
        <f>IFERROR(Inv_SY_B!GC17/Inv_SY_B!$IS17-1,"")</f>
        <v>-1.5010490773440965E-2</v>
      </c>
      <c r="GD17" s="62">
        <f>IFERROR(Inv_SY_B!GD17/Inv_SY_B!$IS17-1,"")</f>
        <v>2.9265374968385327E-2</v>
      </c>
      <c r="GE17" s="62">
        <f>IFERROR(Inv_SY_B!GE17/Inv_SY_B!$IS17-1,"")</f>
        <v>-2.3652221561374254E-2</v>
      </c>
      <c r="GF17" s="62">
        <f>IFERROR(Inv_SY_B!GF17/Inv_SY_B!$IS17-1,"")</f>
        <v>-2.0044508708159436E-2</v>
      </c>
      <c r="GG17" s="62">
        <f>IFERROR(Inv_SY_B!GG17/Inv_SY_B!$IS17-1,"")</f>
        <v>-1.0966496365883871E-2</v>
      </c>
      <c r="GH17" s="62">
        <f>IFERROR(Inv_SY_B!GH17/Inv_SY_B!$IS17-1,"")</f>
        <v>-2.5011406403748215E-2</v>
      </c>
      <c r="GI17" s="62">
        <f>IFERROR(Inv_SY_B!GI17/Inv_SY_B!$IS17-1,"")</f>
        <v>-7.3035937500961268E-2</v>
      </c>
      <c r="GJ17" s="62">
        <f>IFERROR(Inv_SY_B!GJ17/Inv_SY_B!$IS17-1,"")</f>
        <v>-8.9520410076419865E-2</v>
      </c>
      <c r="GK17" s="62">
        <f>IFERROR(Inv_SY_B!GK17/Inv_SY_B!$IS17-1,"")</f>
        <v>3.6258631223808901E-3</v>
      </c>
      <c r="GL17" s="62">
        <f>IFERROR(Inv_SY_B!GL17/Inv_SY_B!$IS17-1,"")</f>
        <v>3.0715172133584101E-2</v>
      </c>
      <c r="GM17" s="62">
        <f>IFERROR(Inv_SY_B!GM17/Inv_SY_B!$IS17-1,"")</f>
        <v>5.2304563390723757E-3</v>
      </c>
      <c r="GN17" s="62">
        <f>IFERROR(Inv_SY_B!GN17/Inv_SY_B!$IS17-1,"")</f>
        <v>-1.3647110916121474E-2</v>
      </c>
      <c r="GO17" s="62">
        <f>IFERROR(Inv_SY_B!GO17/Inv_SY_B!$IS17-1,"")</f>
        <v>2.9676905934548525E-2</v>
      </c>
      <c r="GP17" s="62">
        <f>IFERROR(Inv_SY_B!GP17/Inv_SY_B!$IS17-1,"")</f>
        <v>-1.3647110916121474E-2</v>
      </c>
      <c r="GQ17" s="62">
        <f>IFERROR(Inv_SY_B!GQ17/Inv_SY_B!$IS17-1,"")</f>
        <v>3.7964157959578415E-2</v>
      </c>
      <c r="GR17" s="62">
        <f>IFERROR(Inv_SY_B!GR17/Inv_SY_B!$IS17-1,"")</f>
        <v>2.9393742425720459E-2</v>
      </c>
      <c r="GS17" s="62" t="str">
        <f>IFERROR(Inv_SY_B!GS17/Inv_SY_B!$IS17-1,"")</f>
        <v/>
      </c>
      <c r="GT17" s="62" t="str">
        <f>IFERROR(Inv_SY_B!GT17/Inv_SY_B!$IS17-1,"")</f>
        <v/>
      </c>
      <c r="GU17" s="62">
        <f>IFERROR(Inv_SY_B!GU17/Inv_SY_B!$IS17-1,"")</f>
        <v>5.5031869584733606E-2</v>
      </c>
      <c r="GV17" s="62">
        <f>IFERROR(Inv_SY_B!GV17/Inv_SY_B!$IS17-1,"")</f>
        <v>1.39166037188998E-4</v>
      </c>
      <c r="GW17" s="62">
        <f>IFERROR(Inv_SY_B!GW17/Inv_SY_B!$IS17-1,"")</f>
        <v>-1.7445645790642228E-2</v>
      </c>
      <c r="GX17" s="62" t="str">
        <f>IFERROR(Inv_SY_B!GX17/Inv_SY_B!$IS17-1,"")</f>
        <v/>
      </c>
      <c r="GY17" s="62">
        <f>IFERROR(Inv_SY_B!GY17/Inv_SY_B!$IS17-1,"")</f>
        <v>-1.2972912085578936E-2</v>
      </c>
      <c r="GZ17" s="62">
        <f>IFERROR(Inv_SY_B!GZ17/Inv_SY_B!$IS17-1,"")</f>
        <v>-1.7263543744223231E-2</v>
      </c>
      <c r="HA17" s="62">
        <f>IFERROR(Inv_SY_B!HA17/Inv_SY_B!$IS17-1,"")</f>
        <v>-1.3530451792634235E-2</v>
      </c>
      <c r="HB17" s="62">
        <f>IFERROR(Inv_SY_B!HB17/Inv_SY_B!$IS17-1,"")</f>
        <v>8.0281542277915729E-3</v>
      </c>
      <c r="HC17" s="62">
        <f>IFERROR(Inv_SY_B!HC17/Inv_SY_B!$IS17-1,"")</f>
        <v>1.9040775484978845E-2</v>
      </c>
      <c r="HD17" s="62">
        <f>IFERROR(Inv_SY_B!HD17/Inv_SY_B!$IS17-1,"")</f>
        <v>2.8933469156689373E-2</v>
      </c>
      <c r="HE17" s="62">
        <f>IFERROR(Inv_SY_B!HE17/Inv_SY_B!$IS17-1,"")</f>
        <v>2.5013722607520883E-2</v>
      </c>
      <c r="HF17" s="62">
        <f>IFERROR(Inv_SY_B!HF17/Inv_SY_B!$IS17-1,"")</f>
        <v>6.0851405342774445E-2</v>
      </c>
      <c r="HG17" s="62">
        <f>IFERROR(Inv_SY_B!HG17/Inv_SY_B!$IS17-1,"")</f>
        <v>4.0319399609035411E-2</v>
      </c>
      <c r="HH17" s="62">
        <f>IFERROR(Inv_SY_B!HH17/Inv_SY_B!$IS17-1,"")</f>
        <v>2.8951527943565925E-3</v>
      </c>
      <c r="HI17" s="62">
        <f>IFERROR(Inv_SY_B!HI17/Inv_SY_B!$IS17-1,"")</f>
        <v>3.5653034669549388E-2</v>
      </c>
      <c r="HJ17" s="62">
        <f>IFERROR(Inv_SY_B!HJ17/Inv_SY_B!$IS17-1,"")</f>
        <v>4.9092165695269419E-2</v>
      </c>
      <c r="HK17" s="62">
        <f>IFERROR(Inv_SY_B!HK17/Inv_SY_B!$IS17-1,"")</f>
        <v>-1.6952452748257518E-2</v>
      </c>
      <c r="HL17" s="62">
        <f>IFERROR(Inv_SY_B!HL17/Inv_SY_B!$IS17-1,"")</f>
        <v>5.7875301481368879E-2</v>
      </c>
      <c r="HM17" s="62">
        <f>IFERROR(Inv_SY_B!HM17/Inv_SY_B!$IS17-1,"")</f>
        <v>6.6815032273811692E-2</v>
      </c>
      <c r="HN17" s="62">
        <f>IFERROR(Inv_SY_B!HN17/Inv_SY_B!$IS17-1,"")</f>
        <v>7.0162778190989261E-2</v>
      </c>
      <c r="HO17" s="62">
        <f>IFERROR(Inv_SY_B!HO17/Inv_SY_B!$IS17-1,"")</f>
        <v>6.8860877000975762E-2</v>
      </c>
      <c r="HP17" s="62">
        <f>IFERROR(Inv_SY_B!HP17/Inv_SY_B!$IS17-1,"")</f>
        <v>6.5475933906940842E-2</v>
      </c>
      <c r="HQ17" s="62">
        <f>IFERROR(Inv_SY_B!HQ17/Inv_SY_B!$IS17-1,"")</f>
        <v>2.5021937564557284E-2</v>
      </c>
      <c r="HR17" s="62">
        <f>IFERROR(Inv_SY_B!HR17/Inv_SY_B!$IS17-1,"")</f>
        <v>4.9835203555358421E-2</v>
      </c>
      <c r="HS17" s="62">
        <f>IFERROR(Inv_SY_B!HS17/Inv_SY_B!$IS17-1,"")</f>
        <v>6.6081467166950514E-2</v>
      </c>
      <c r="HT17" s="62">
        <f>IFERROR(Inv_SY_B!HT17/Inv_SY_B!$IS17-1,"")</f>
        <v>7.7785125223176266E-2</v>
      </c>
      <c r="HU17" s="62">
        <f>IFERROR(Inv_SY_B!HU17/Inv_SY_B!$IS17-1,"")</f>
        <v>7.2804478610842605E-2</v>
      </c>
      <c r="HV17" s="62">
        <f>IFERROR(Inv_SY_B!HV17/Inv_SY_B!$IS17-1,"")</f>
        <v>5.4971785519021932E-2</v>
      </c>
      <c r="HW17" s="62">
        <f>IFERROR(Inv_SY_B!HW17/Inv_SY_B!$IS17-1,"")</f>
        <v>7.6026424125983372E-2</v>
      </c>
      <c r="HX17" s="62">
        <f>IFERROR(Inv_SY_B!HX17/Inv_SY_B!$IS17-1,"")</f>
        <v>7.814567171080844E-2</v>
      </c>
      <c r="HY17" s="62">
        <f>IFERROR(Inv_SY_B!HY17/Inv_SY_B!$IS17-1,"")</f>
        <v>6.9074577336135423E-2</v>
      </c>
      <c r="HZ17" s="62">
        <f>IFERROR(Inv_SY_B!HZ17/Inv_SY_B!$IS17-1,"")</f>
        <v>7.2475838892027689E-2</v>
      </c>
      <c r="IA17" s="62">
        <f>IFERROR(Inv_SY_B!IA17/Inv_SY_B!$IS17-1,"")</f>
        <v>2.4713073826804655E-2</v>
      </c>
      <c r="IB17" s="62">
        <f>IFERROR(Inv_SY_B!IB17/Inv_SY_B!$IS17-1,"")</f>
        <v>4.0064062583775373E-2</v>
      </c>
      <c r="IC17" s="62">
        <f>IFERROR(Inv_SY_B!IC17/Inv_SY_B!$IS17-1,"")</f>
        <v>1.0966332543535184E-2</v>
      </c>
      <c r="ID17" s="62">
        <f>IFERROR(Inv_SY_B!ID17/Inv_SY_B!$IS17-1,"")</f>
        <v>2.7126103791238476E-2</v>
      </c>
      <c r="IE17" s="62">
        <f>IFERROR(Inv_SY_B!IE17/Inv_SY_B!$IS17-1,"")</f>
        <v>2.7141019399934185E-2</v>
      </c>
      <c r="IF17" s="62" t="str">
        <f>IFERROR(Inv_SY_B!IF17/Inv_SY_B!$IS17-1,"")</f>
        <v/>
      </c>
      <c r="IG17" s="62">
        <f>IFERROR(Inv_SY_B!IG17/Inv_SY_B!$IS17-1,"")</f>
        <v>5.8308586461144785E-2</v>
      </c>
      <c r="IH17" s="62">
        <f>IFERROR(Inv_SY_B!IH17/Inv_SY_B!$IS17-1,"")</f>
        <v>1.3399886306406206E-2</v>
      </c>
      <c r="II17" s="62">
        <f>IFERROR(Inv_SY_B!II17/Inv_SY_B!$IS17-1,"")</f>
        <v>1.4091642759607392E-2</v>
      </c>
      <c r="IJ17" s="62">
        <f>IFERROR(Inv_SY_B!IJ17/Inv_SY_B!$IS17-1,"")</f>
        <v>2.6193878247772195E-2</v>
      </c>
      <c r="IK17" s="62">
        <f>IFERROR(Inv_SY_B!IK17/Inv_SY_B!$IS17-1,"")</f>
        <v>3.2748140914912627E-2</v>
      </c>
      <c r="IL17" s="62" t="str">
        <f>IFERROR(Inv_SY_B!IL17/Inv_SY_B!$IS17-1,"")</f>
        <v/>
      </c>
      <c r="IM17" s="62" t="str">
        <f>IFERROR(Inv_SY_B!IM17/Inv_SY_B!$IS17-1,"")</f>
        <v/>
      </c>
      <c r="IN17" s="62">
        <f>IFERROR(Inv_SY_B!IN17/Inv_SY_B!$IS17-1,"")</f>
        <v>4.5687035818737787E-2</v>
      </c>
      <c r="IO17" s="62">
        <f>IFERROR(Inv_SY_B!IO17/Inv_SY_B!$IS17-1,"")</f>
        <v>3.8917149630668391E-2</v>
      </c>
      <c r="IP17" s="62">
        <f>IFERROR(Inv_SY_B!IP17/Inv_SY_B!$IS17-1,"")</f>
        <v>0.19422041368116583</v>
      </c>
      <c r="IQ17" s="62">
        <f>IFERROR(Inv_SY_B!IQ17/Inv_SY_B!$IS17-1,"")</f>
        <v>-2.0302663474042304E-2</v>
      </c>
      <c r="IR17" s="62">
        <f>IFERROR(Inv_SY_B!IR17/Inv_SY_B!$IS17-1,"")</f>
        <v>-2.3203292350031712E-2</v>
      </c>
    </row>
    <row r="18" spans="2:252" x14ac:dyDescent="0.25">
      <c r="B18" s="85">
        <f t="shared" si="0"/>
        <v>45844</v>
      </c>
      <c r="C18" s="62">
        <f>IFERROR(Inv_SY_B!C18/Inv_SY_B!$IS18-1,"")</f>
        <v>-2.2734026532357676E-2</v>
      </c>
      <c r="D18" s="62">
        <f>IFERROR(Inv_SY_B!D18/Inv_SY_B!$IS18-1,"")</f>
        <v>-1.834159047727324E-3</v>
      </c>
      <c r="E18" s="62">
        <f>IFERROR(Inv_SY_B!E18/Inv_SY_B!$IS18-1,"")</f>
        <v>1.7860334760855245E-4</v>
      </c>
      <c r="F18" s="62">
        <f>IFERROR(Inv_SY_B!F18/Inv_SY_B!$IS18-1,"")</f>
        <v>-6.757937508196088E-4</v>
      </c>
      <c r="G18" s="62">
        <f>IFERROR(Inv_SY_B!G18/Inv_SY_B!$IS18-1,"")</f>
        <v>-1.0608160020048496E-2</v>
      </c>
      <c r="H18" s="62">
        <f>IFERROR(Inv_SY_B!H18/Inv_SY_B!$IS18-1,"")</f>
        <v>-1.2103354942298084E-2</v>
      </c>
      <c r="I18" s="62">
        <f>IFERROR(Inv_SY_B!I18/Inv_SY_B!$IS18-1,"")</f>
        <v>-3.9865825072292749E-3</v>
      </c>
      <c r="J18" s="62">
        <f>IFERROR(Inv_SY_B!J18/Inv_SY_B!$IS18-1,"")</f>
        <v>-1.209791937337279E-3</v>
      </c>
      <c r="K18" s="62">
        <f>IFERROR(Inv_SY_B!K18/Inv_SY_B!$IS18-1,"")</f>
        <v>-1.3478934270767406E-2</v>
      </c>
      <c r="L18" s="62">
        <f>IFERROR(Inv_SY_B!L18/Inv_SY_B!$IS18-1,"")</f>
        <v>-7.634858117518073E-3</v>
      </c>
      <c r="M18" s="62">
        <f>IFERROR(Inv_SY_B!M18/Inv_SY_B!$IS18-1,"")</f>
        <v>2.8485942801970143E-3</v>
      </c>
      <c r="N18" s="62">
        <f>IFERROR(Inv_SY_B!N18/Inv_SY_B!$IS18-1,"")</f>
        <v>1.0644967803354888E-2</v>
      </c>
      <c r="O18" s="62">
        <f>IFERROR(Inv_SY_B!O18/Inv_SY_B!$IS18-1,"")</f>
        <v>7.1260153412633365E-4</v>
      </c>
      <c r="P18" s="62">
        <f>IFERROR(Inv_SY_B!P18/Inv_SY_B!$IS18-1,"")</f>
        <v>1.793647031380563E-2</v>
      </c>
      <c r="Q18" s="62">
        <f>IFERROR(Inv_SY_B!Q18/Inv_SY_B!$IS18-1,"")</f>
        <v>-8.4721672739778153E-3</v>
      </c>
      <c r="R18" s="62">
        <f>IFERROR(Inv_SY_B!R18/Inv_SY_B!$IS18-1,"")</f>
        <v>-1.3918948776458162E-2</v>
      </c>
      <c r="S18" s="62">
        <f>IFERROR(Inv_SY_B!S18/Inv_SY_B!$IS18-1,"")</f>
        <v>-1.1462557118476768E-2</v>
      </c>
      <c r="T18" s="62">
        <f>IFERROR(Inv_SY_B!T18/Inv_SY_B!$IS18-1,"")</f>
        <v>-1.4025748413761585E-2</v>
      </c>
      <c r="U18" s="62">
        <f>IFERROR(Inv_SY_B!U18/Inv_SY_B!$IS18-1,"")</f>
        <v>-1.1396834264751465E-2</v>
      </c>
      <c r="V18" s="62">
        <f>IFERROR(Inv_SY_B!V18/Inv_SY_B!$IS18-1,"")</f>
        <v>-1.1298249984163622E-2</v>
      </c>
      <c r="W18" s="62">
        <f>IFERROR(Inv_SY_B!W18/Inv_SY_B!$IS18-1,"")</f>
        <v>-6.2293748906034896E-3</v>
      </c>
      <c r="X18" s="62">
        <f>IFERROR(Inv_SY_B!X18/Inv_SY_B!$IS18-1,"")</f>
        <v>-7.2973712636388299E-3</v>
      </c>
      <c r="Y18" s="62">
        <f>IFERROR(Inv_SY_B!Y18/Inv_SY_B!$IS18-1,"")</f>
        <v>-2.3029779374121206E-2</v>
      </c>
      <c r="Z18" s="62">
        <f>IFERROR(Inv_SY_B!Z18/Inv_SY_B!$IS18-1,"")</f>
        <v>-2.2540550576386487E-3</v>
      </c>
      <c r="AA18" s="62">
        <f>IFERROR(Inv_SY_B!AA18/Inv_SY_B!$IS18-1,"")</f>
        <v>-1.5384062059636827E-3</v>
      </c>
      <c r="AB18" s="62">
        <f>IFERROR(Inv_SY_B!AB18/Inv_SY_B!$IS18-1,"")</f>
        <v>-1.0312407178284855E-2</v>
      </c>
      <c r="AC18" s="62">
        <f>IFERROR(Inv_SY_B!AC18/Inv_SY_B!$IS18-1,"")</f>
        <v>-1.731189110002429E-2</v>
      </c>
      <c r="AD18" s="62">
        <f>IFERROR(Inv_SY_B!AD18/Inv_SY_B!$IS18-1,"")</f>
        <v>-1.3196983228286219E-2</v>
      </c>
      <c r="AE18" s="62">
        <f>IFERROR(Inv_SY_B!AE18/Inv_SY_B!$IS18-1,"")</f>
        <v>-6.52604054978001E-3</v>
      </c>
      <c r="AF18" s="62">
        <f>IFERROR(Inv_SY_B!AF18/Inv_SY_B!$IS18-1,"")</f>
        <v>-1.6304140676236978E-2</v>
      </c>
      <c r="AG18" s="62">
        <f>IFERROR(Inv_SY_B!AG18/Inv_SY_B!$IS18-1,"")</f>
        <v>-1.6968671752792375E-2</v>
      </c>
      <c r="AH18" s="62">
        <f>IFERROR(Inv_SY_B!AH18/Inv_SY_B!$IS18-1,"")</f>
        <v>-7.7601696919542551E-3</v>
      </c>
      <c r="AI18" s="62">
        <f>IFERROR(Inv_SY_B!AI18/Inv_SY_B!$IS18-1,"")</f>
        <v>-1.1372885724891812E-2</v>
      </c>
      <c r="AJ18" s="62">
        <f>IFERROR(Inv_SY_B!AJ18/Inv_SY_B!$IS18-1,"")</f>
        <v>-1.0411088455687389E-3</v>
      </c>
      <c r="AK18" s="62">
        <f>IFERROR(Inv_SY_B!AK18/Inv_SY_B!$IS18-1,"")</f>
        <v>-2.0540526289277272E-2</v>
      </c>
      <c r="AL18" s="62">
        <f>IFERROR(Inv_SY_B!AL18/Inv_SY_B!$IS18-1,"")</f>
        <v>-2.8049694899539346E-2</v>
      </c>
      <c r="AM18" s="62">
        <f>IFERROR(Inv_SY_B!AM18/Inv_SY_B!$IS18-1,"")</f>
        <v>-1.1248957843869811E-2</v>
      </c>
      <c r="AN18" s="62">
        <f>IFERROR(Inv_SY_B!AN18/Inv_SY_B!$IS18-1,"")</f>
        <v>-2.5987307791757619E-2</v>
      </c>
      <c r="AO18" s="62">
        <f>IFERROR(Inv_SY_B!AO18/Inv_SY_B!$IS18-1,"")</f>
        <v>-2.919129691086364E-2</v>
      </c>
      <c r="AP18" s="62">
        <f>IFERROR(Inv_SY_B!AP18/Inv_SY_B!$IS18-1,"")</f>
        <v>-2.4385313232204497E-2</v>
      </c>
      <c r="AQ18" s="62">
        <f>IFERROR(Inv_SY_B!AQ18/Inv_SY_B!$IS18-1,"")</f>
        <v>-2.2783318672651487E-2</v>
      </c>
      <c r="AR18" s="62">
        <f>IFERROR(Inv_SY_B!AR18/Inv_SY_B!$IS18-1,"")</f>
        <v>-1.6375340434439334E-2</v>
      </c>
      <c r="AS18" s="62">
        <f>IFERROR(Inv_SY_B!AS18/Inv_SY_B!$IS18-1,"")</f>
        <v>-1.8511333180510015E-2</v>
      </c>
      <c r="AT18" s="62">
        <f>IFERROR(Inv_SY_B!AT18/Inv_SY_B!$IS18-1,"")</f>
        <v>-7.8313694501566111E-3</v>
      </c>
      <c r="AU18" s="62">
        <f>IFERROR(Inv_SY_B!AU18/Inv_SY_B!$IS18-1,"")</f>
        <v>-1.3171351315333313E-2</v>
      </c>
      <c r="AV18" s="62">
        <f>IFERROR(Inv_SY_B!AV18/Inv_SY_B!$IS18-1,"")</f>
        <v>-2.865729872434597E-2</v>
      </c>
      <c r="AW18" s="62">
        <f>IFERROR(Inv_SY_B!AW18/Inv_SY_B!$IS18-1,"")</f>
        <v>-2.3029779374121206E-2</v>
      </c>
      <c r="AX18" s="62">
        <f>IFERROR(Inv_SY_B!AX18/Inv_SY_B!$IS18-1,"")</f>
        <v>-1.2103354942298084E-2</v>
      </c>
      <c r="AY18" s="62">
        <f>IFERROR(Inv_SY_B!AY18/Inv_SY_B!$IS18-1,"")</f>
        <v>-1.9835648683073859E-2</v>
      </c>
      <c r="AZ18" s="62">
        <f>IFERROR(Inv_SY_B!AZ18/Inv_SY_B!$IS18-1,"")</f>
        <v>-1.8810372164959954E-2</v>
      </c>
      <c r="BA18" s="62">
        <f>IFERROR(Inv_SY_B!BA18/Inv_SY_B!$IS18-1,"")</f>
        <v>-1.2103354942298084E-2</v>
      </c>
      <c r="BB18" s="62">
        <f>IFERROR(Inv_SY_B!BB18/Inv_SY_B!$IS18-1,"")</f>
        <v>-2.0326927014670315E-2</v>
      </c>
      <c r="BC18" s="62">
        <f>IFERROR(Inv_SY_B!BC18/Inv_SY_B!$IS18-1,"")</f>
        <v>4.6760547407240782E-3</v>
      </c>
      <c r="BD18" s="62">
        <f>IFERROR(Inv_SY_B!BD18/Inv_SY_B!$IS18-1,"")</f>
        <v>-2.5227843704265895E-2</v>
      </c>
      <c r="BE18" s="62">
        <f>IFERROR(Inv_SY_B!BE18/Inv_SY_B!$IS18-1,"")</f>
        <v>-2.3029779374121206E-2</v>
      </c>
      <c r="BF18" s="62">
        <f>IFERROR(Inv_SY_B!BF18/Inv_SY_B!$IS18-1,"")</f>
        <v>-2.9185861341940456E-3</v>
      </c>
      <c r="BG18" s="62">
        <f>IFERROR(Inv_SY_B!BG18/Inv_SY_B!$IS18-1,"")</f>
        <v>4.7709877516606269E-3</v>
      </c>
      <c r="BH18" s="62">
        <f>IFERROR(Inv_SY_B!BH18/Inv_SY_B!$IS18-1,"")</f>
        <v>6.0525833993030353E-3</v>
      </c>
      <c r="BI18" s="62">
        <f>IFERROR(Inv_SY_B!BI18/Inv_SY_B!$IS18-1,"")</f>
        <v>-7.1905716263354069E-3</v>
      </c>
      <c r="BJ18" s="62">
        <f>IFERROR(Inv_SY_B!BJ18/Inv_SY_B!$IS18-1,"")</f>
        <v>4.6760547407240782E-3</v>
      </c>
      <c r="BK18" s="62">
        <f>IFERROR(Inv_SY_B!BK18/Inv_SY_B!$IS18-1,"")</f>
        <v>-2.0326927014670315E-2</v>
      </c>
      <c r="BL18" s="62">
        <f>IFERROR(Inv_SY_B!BL18/Inv_SY_B!$IS18-1,"")</f>
        <v>6.8672477454123637E-3</v>
      </c>
      <c r="BM18" s="62">
        <f>IFERROR(Inv_SY_B!BM18/Inv_SY_B!$IS18-1,"")</f>
        <v>-1.5307344061403994E-2</v>
      </c>
      <c r="BN18" s="62">
        <f>IFERROR(Inv_SY_B!BN18/Inv_SY_B!$IS18-1,"")</f>
        <v>-9.5555642216713643E-3</v>
      </c>
      <c r="BO18" s="62">
        <f>IFERROR(Inv_SY_B!BO18/Inv_SY_B!$IS18-1,"")</f>
        <v>1.7586944228084933E-2</v>
      </c>
      <c r="BP18" s="62">
        <f>IFERROR(Inv_SY_B!BP18/Inv_SY_B!$IS18-1,"")</f>
        <v>1.4925168652212051E-2</v>
      </c>
      <c r="BQ18" s="62">
        <f>IFERROR(Inv_SY_B!BQ18/Inv_SY_B!$IS18-1,"")</f>
        <v>2.2910495379830254E-2</v>
      </c>
      <c r="BR18" s="62">
        <f>IFERROR(Inv_SY_B!BR18/Inv_SY_B!$IS18-1,"")</f>
        <v>3.8942283442366943E-5</v>
      </c>
      <c r="BS18" s="62">
        <f>IFERROR(Inv_SY_B!BS18/Inv_SY_B!$IS18-1,"")</f>
        <v>-1.4986945149493502E-2</v>
      </c>
      <c r="BT18" s="62">
        <f>IFERROR(Inv_SY_B!BT18/Inv_SY_B!$IS18-1,"")</f>
        <v>6.3729823112135264E-3</v>
      </c>
      <c r="BU18" s="62">
        <f>IFERROR(Inv_SY_B!BU18/Inv_SY_B!$IS18-1,"")</f>
        <v>1.438295510897869E-2</v>
      </c>
      <c r="BV18" s="62">
        <f>IFERROR(Inv_SY_B!BV18/Inv_SY_B!$IS18-1,"")</f>
        <v>1.4601989952509609E-3</v>
      </c>
      <c r="BW18" s="62">
        <f>IFERROR(Inv_SY_B!BW18/Inv_SY_B!$IS18-1,"")</f>
        <v>1.2460561637515077E-2</v>
      </c>
      <c r="BX18" s="62">
        <f>IFERROR(Inv_SY_B!BX18/Inv_SY_B!$IS18-1,"")</f>
        <v>1.5557751119317675E-2</v>
      </c>
      <c r="BY18" s="62">
        <f>IFERROR(Inv_SY_B!BY18/Inv_SY_B!$IS18-1,"")</f>
        <v>2.6035982201431107E-2</v>
      </c>
      <c r="BZ18" s="62">
        <f>IFERROR(Inv_SY_B!BZ18/Inv_SY_B!$IS18-1,"")</f>
        <v>6.954447003199693E-3</v>
      </c>
      <c r="CA18" s="62">
        <f>IFERROR(Inv_SY_B!CA18/Inv_SY_B!$IS18-1,"")</f>
        <v>3.1542096835746714E-2</v>
      </c>
      <c r="CB18" s="62">
        <f>IFERROR(Inv_SY_B!CB18/Inv_SY_B!$IS18-1,"")</f>
        <v>1.3635357647854063E-2</v>
      </c>
      <c r="CC18" s="62">
        <f>IFERROR(Inv_SY_B!CC18/Inv_SY_B!$IS18-1,"")</f>
        <v>-8.7925661858884174E-3</v>
      </c>
      <c r="CD18" s="62">
        <f>IFERROR(Inv_SY_B!CD18/Inv_SY_B!$IS18-1,"")</f>
        <v>4.8695720322484704E-3</v>
      </c>
      <c r="CE18" s="62">
        <f>IFERROR(Inv_SY_B!CE18/Inv_SY_B!$IS18-1,"")</f>
        <v>-1.6375340434439334E-2</v>
      </c>
      <c r="CF18" s="62">
        <f>IFERROR(Inv_SY_B!CF18/Inv_SY_B!$IS18-1,"")</f>
        <v>2.2072528994833363E-2</v>
      </c>
      <c r="CG18" s="62">
        <f>IFERROR(Inv_SY_B!CG18/Inv_SY_B!$IS18-1,"")</f>
        <v>-6.5497738025140917E-3</v>
      </c>
      <c r="CH18" s="62">
        <f>IFERROR(Inv_SY_B!CH18/Inv_SY_B!$IS18-1,"")</f>
        <v>-2.2890118309955132E-2</v>
      </c>
      <c r="CI18" s="62">
        <f>IFERROR(Inv_SY_B!CI18/Inv_SY_B!$IS18-1,"")</f>
        <v>-1.1035358569262632E-2</v>
      </c>
      <c r="CJ18" s="62">
        <f>IFERROR(Inv_SY_B!CJ18/Inv_SY_B!$IS18-1,"")</f>
        <v>-4.6273803310504791E-3</v>
      </c>
      <c r="CK18" s="62">
        <f>IFERROR(Inv_SY_B!CK18/Inv_SY_B!$IS18-1,"")</f>
        <v>3.7029913786252866E-3</v>
      </c>
      <c r="CL18" s="62">
        <f>IFERROR(Inv_SY_B!CL18/Inv_SY_B!$IS18-1,"")</f>
        <v>-4.2001817818363429E-3</v>
      </c>
      <c r="CM18" s="62">
        <f>IFERROR(Inv_SY_B!CM18/Inv_SY_B!$IS18-1,"")</f>
        <v>3.9165906532323547E-3</v>
      </c>
      <c r="CN18" s="62">
        <f>IFERROR(Inv_SY_B!CN18/Inv_SY_B!$IS18-1,"")</f>
        <v>-6.8701727144246938E-3</v>
      </c>
      <c r="CO18" s="62">
        <f>IFERROR(Inv_SY_B!CO18/Inv_SY_B!$IS18-1,"")</f>
        <v>2.925490019055399E-3</v>
      </c>
      <c r="CP18" s="62">
        <f>IFERROR(Inv_SY_B!CP18/Inv_SY_B!$IS18-1,"")</f>
        <v>9.1086960975272913E-3</v>
      </c>
      <c r="CQ18" s="62">
        <f>IFERROR(Inv_SY_B!CQ18/Inv_SY_B!$IS18-1,"")</f>
        <v>2.8480507233045405E-2</v>
      </c>
      <c r="CR18" s="62">
        <f>IFERROR(Inv_SY_B!CR18/Inv_SY_B!$IS18-1,"")</f>
        <v>7.1205797723383757E-3</v>
      </c>
      <c r="CS18" s="62">
        <f>IFERROR(Inv_SY_B!CS18/Inv_SY_B!$IS18-1,"")</f>
        <v>5.055786784470051E-3</v>
      </c>
      <c r="CT18" s="62">
        <f>IFERROR(Inv_SY_B!CT18/Inv_SY_B!$IS18-1,"")</f>
        <v>7.5477783215525118E-3</v>
      </c>
      <c r="CU18" s="62">
        <f>IFERROR(Inv_SY_B!CU18/Inv_SY_B!$IS18-1,"")</f>
        <v>-2.8764098361649504E-2</v>
      </c>
      <c r="CV18" s="62">
        <f>IFERROR(Inv_SY_B!CV18/Inv_SY_B!$IS18-1,"")</f>
        <v>3.0189301429902171E-2</v>
      </c>
      <c r="CW18" s="62">
        <f>IFERROR(Inv_SY_B!CW18/Inv_SY_B!$IS18-1,"")</f>
        <v>2.2713326818654567E-2</v>
      </c>
      <c r="CX18" s="62">
        <f>IFERROR(Inv_SY_B!CX18/Inv_SY_B!$IS18-1,"")</f>
        <v>2.8485942801970143E-3</v>
      </c>
      <c r="CY18" s="62">
        <f>IFERROR(Inv_SY_B!CY18/Inv_SY_B!$IS18-1,"")</f>
        <v>-5.6953767040859304E-3</v>
      </c>
      <c r="CZ18" s="62">
        <f>IFERROR(Inv_SY_B!CZ18/Inv_SY_B!$IS18-1,"")</f>
        <v>-4.6273803310504791E-3</v>
      </c>
      <c r="DA18" s="62">
        <f>IFERROR(Inv_SY_B!DA18/Inv_SY_B!$IS18-1,"")</f>
        <v>9.2565725184090564E-3</v>
      </c>
      <c r="DB18" s="62">
        <f>IFERROR(Inv_SY_B!DB18/Inv_SY_B!$IS18-1,"")</f>
        <v>2.2926926093261635E-2</v>
      </c>
      <c r="DC18" s="62">
        <f>IFERROR(Inv_SY_B!DC18/Inv_SY_B!$IS18-1,"")</f>
        <v>2.0814666599924925E-2</v>
      </c>
      <c r="DD18" s="62">
        <f>IFERROR(Inv_SY_B!DD18/Inv_SY_B!$IS18-1,"")</f>
        <v>-2.7055304164792848E-2</v>
      </c>
      <c r="DE18" s="62">
        <f>IFERROR(Inv_SY_B!DE18/Inv_SY_B!$IS18-1,"")</f>
        <v>1.8631207348386081E-2</v>
      </c>
      <c r="DF18" s="62">
        <f>IFERROR(Inv_SY_B!DF18/Inv_SY_B!$IS18-1,"")</f>
        <v>2.6042945755344826E-2</v>
      </c>
      <c r="DG18" s="62">
        <f>IFERROR(Inv_SY_B!DG18/Inv_SY_B!$IS18-1,"")</f>
        <v>1.4596554383585758E-2</v>
      </c>
      <c r="DH18" s="62">
        <f>IFERROR(Inv_SY_B!DH18/Inv_SY_B!$IS18-1,"")</f>
        <v>2.0150135523369528E-2</v>
      </c>
      <c r="DI18" s="62">
        <f>IFERROR(Inv_SY_B!DI18/Inv_SY_B!$IS18-1,"")</f>
        <v>1.305206732104236E-2</v>
      </c>
      <c r="DJ18" s="62">
        <f>IFERROR(Inv_SY_B!DJ18/Inv_SY_B!$IS18-1,"")</f>
        <v>1.8967124156315185E-2</v>
      </c>
      <c r="DK18" s="62">
        <f>IFERROR(Inv_SY_B!DK18/Inv_SY_B!$IS18-1,"")</f>
        <v>2.4896786070193411E-2</v>
      </c>
      <c r="DL18" s="62">
        <f>IFERROR(Inv_SY_B!DL18/Inv_SY_B!$IS18-1,"")</f>
        <v>2.2143728753035719E-2</v>
      </c>
      <c r="DM18" s="62">
        <f>IFERROR(Inv_SY_B!DM18/Inv_SY_B!$IS18-1,"")</f>
        <v>2.0256935160673173E-2</v>
      </c>
      <c r="DN18" s="62">
        <f>IFERROR(Inv_SY_B!DN18/Inv_SY_B!$IS18-1,"")</f>
        <v>-1.4239347688368764E-2</v>
      </c>
      <c r="DO18" s="62">
        <f>IFERROR(Inv_SY_B!DO18/Inv_SY_B!$IS18-1,"")</f>
        <v>-2.2134802976077617E-2</v>
      </c>
      <c r="DP18" s="62">
        <f>IFERROR(Inv_SY_B!DP18/Inv_SY_B!$IS18-1,"")</f>
        <v>-2.1240657244933736E-2</v>
      </c>
      <c r="DQ18" s="62">
        <f>IFERROR(Inv_SY_B!DQ18/Inv_SY_B!$IS18-1,"")</f>
        <v>2.1858929720226294E-2</v>
      </c>
      <c r="DR18" s="62">
        <f>IFERROR(Inv_SY_B!DR18/Inv_SY_B!$IS18-1,"")</f>
        <v>1.3528558010550418E-2</v>
      </c>
      <c r="DS18" s="62">
        <f>IFERROR(Inv_SY_B!DS18/Inv_SY_B!$IS18-1,"")</f>
        <v>1.5237352207407184E-2</v>
      </c>
      <c r="DT18" s="62">
        <f>IFERROR(Inv_SY_B!DT18/Inv_SY_B!$IS18-1,"")</f>
        <v>-3.5765407918214476E-2</v>
      </c>
      <c r="DU18" s="62">
        <f>IFERROR(Inv_SY_B!DU18/Inv_SY_B!$IS18-1,"")</f>
        <v>-1.5829475621554678E-2</v>
      </c>
      <c r="DV18" s="62">
        <f>IFERROR(Inv_SY_B!DV18/Inv_SY_B!$IS18-1,"")</f>
        <v>-1.0821759294655564E-2</v>
      </c>
      <c r="DW18" s="62">
        <f>IFERROR(Inv_SY_B!DW18/Inv_SY_B!$IS18-1,"")</f>
        <v>2.4213957309828782E-3</v>
      </c>
      <c r="DX18" s="62">
        <f>IFERROR(Inv_SY_B!DX18/Inv_SY_B!$IS18-1,"")</f>
        <v>7.239246036008895E-3</v>
      </c>
      <c r="DY18" s="62">
        <f>IFERROR(Inv_SY_B!DY18/Inv_SY_B!$IS18-1,"")</f>
        <v>-1.8511333180510015E-2</v>
      </c>
      <c r="DZ18" s="62">
        <f>IFERROR(Inv_SY_B!DZ18/Inv_SY_B!$IS18-1,"")</f>
        <v>-1.2103354942298084E-2</v>
      </c>
      <c r="EA18" s="62">
        <f>IFERROR(Inv_SY_B!EA18/Inv_SY_B!$IS18-1,"")</f>
        <v>-1.478521250125342E-2</v>
      </c>
      <c r="EB18" s="62">
        <f>IFERROR(Inv_SY_B!EB18/Inv_SY_B!$IS18-1,"")</f>
        <v>-9.7537629216202237E-3</v>
      </c>
      <c r="EC18" s="62">
        <f>IFERROR(Inv_SY_B!EC18/Inv_SY_B!$IS18-1,"")</f>
        <v>-2.3029779374121206E-2</v>
      </c>
      <c r="ED18" s="62">
        <f>IFERROR(Inv_SY_B!ED18/Inv_SY_B!$IS18-1,"")</f>
        <v>7.5313476081211306E-3</v>
      </c>
      <c r="EE18" s="62">
        <f>IFERROR(Inv_SY_B!EE18/Inv_SY_B!$IS18-1,"")</f>
        <v>-3.5539483890900669E-4</v>
      </c>
      <c r="EF18" s="62">
        <f>IFERROR(Inv_SY_B!EF18/Inv_SY_B!$IS18-1,"")</f>
        <v>2.2829835513894725E-2</v>
      </c>
      <c r="EG18" s="62">
        <f>IFERROR(Inv_SY_B!EG18/Inv_SY_B!$IS18-1,"")</f>
        <v>1.2998294077085415E-2</v>
      </c>
      <c r="EH18" s="62">
        <f>IFERROR(Inv_SY_B!EH18/Inv_SY_B!$IS18-1,"")</f>
        <v>-1.6215140978484088E-2</v>
      </c>
      <c r="EI18" s="62">
        <f>IFERROR(Inv_SY_B!EI18/Inv_SY_B!$IS18-1,"")</f>
        <v>-2.1898300699192186E-2</v>
      </c>
      <c r="EJ18" s="62">
        <f>IFERROR(Inv_SY_B!EJ18/Inv_SY_B!$IS18-1,"")</f>
        <v>2.0974658597377349E-2</v>
      </c>
      <c r="EK18" s="62">
        <f>IFERROR(Inv_SY_B!EK18/Inv_SY_B!$IS18-1,"")</f>
        <v>1.5023752932800116E-2</v>
      </c>
      <c r="EL18" s="62">
        <f>IFERROR(Inv_SY_B!EL18/Inv_SY_B!$IS18-1,"")</f>
        <v>1.566455075662132E-2</v>
      </c>
      <c r="EM18" s="62">
        <f>IFERROR(Inv_SY_B!EM18/Inv_SY_B!$IS18-1,"")</f>
        <v>2.5035492981393404E-3</v>
      </c>
      <c r="EN18" s="62">
        <f>IFERROR(Inv_SY_B!EN18/Inv_SY_B!$IS18-1,"")</f>
        <v>-5.4817774294788624E-3</v>
      </c>
      <c r="EO18" s="62">
        <f>IFERROR(Inv_SY_B!EO18/Inv_SY_B!$IS18-1,"")</f>
        <v>2.5276518113939384E-2</v>
      </c>
      <c r="EP18" s="62">
        <f>IFERROR(Inv_SY_B!EP18/Inv_SY_B!$IS18-1,"")</f>
        <v>1.7389775666909024E-2</v>
      </c>
      <c r="EQ18" s="62">
        <f>IFERROR(Inv_SY_B!EQ18/Inv_SY_B!$IS18-1,"")</f>
        <v>1.9941971817687421E-3</v>
      </c>
      <c r="ER18" s="62">
        <f>IFERROR(Inv_SY_B!ER18/Inv_SY_B!$IS18-1,"")</f>
        <v>5.5596619963635963E-3</v>
      </c>
      <c r="ES18" s="62">
        <f>IFERROR(Inv_SY_B!ES18/Inv_SY_B!$IS18-1,"")</f>
        <v>-2.4913875849797984E-3</v>
      </c>
      <c r="ET18" s="62">
        <f>IFERROR(Inv_SY_B!ET18/Inv_SY_B!$IS18-1,"")</f>
        <v>1.4790735542319577E-2</v>
      </c>
      <c r="EU18" s="62">
        <f>IFERROR(Inv_SY_B!EU18/Inv_SY_B!$IS18-1,"")</f>
        <v>-2.5001464985878852E-2</v>
      </c>
      <c r="EV18" s="62">
        <f>IFERROR(Inv_SY_B!EV18/Inv_SY_B!$IS18-1,"")</f>
        <v>4.5738191904847181E-3</v>
      </c>
      <c r="EW18" s="62">
        <f>IFERROR(Inv_SY_B!EW18/Inv_SY_B!$IS18-1,"")</f>
        <v>1.7389775666909024E-2</v>
      </c>
      <c r="EX18" s="62">
        <f>IFERROR(Inv_SY_B!EX18/Inv_SY_B!$IS18-1,"")</f>
        <v>1.8868539875727119E-2</v>
      </c>
      <c r="EY18" s="62">
        <f>IFERROR(Inv_SY_B!EY18/Inv_SY_B!$IS18-1,"")</f>
        <v>2.5656250157685356E-2</v>
      </c>
      <c r="EZ18" s="62">
        <f>IFERROR(Inv_SY_B!EZ18/Inv_SY_B!$IS18-1,"")</f>
        <v>2.4208521740904043E-2</v>
      </c>
      <c r="FA18" s="62">
        <f>IFERROR(Inv_SY_B!FA18/Inv_SY_B!$IS18-1,"")</f>
        <v>2.121813189640509E-2</v>
      </c>
      <c r="FB18" s="62">
        <f>IFERROR(Inv_SY_B!FB18/Inv_SY_B!$IS18-1,"")</f>
        <v>1.7159745678870575E-2</v>
      </c>
      <c r="FC18" s="62">
        <f>IFERROR(Inv_SY_B!FC18/Inv_SY_B!$IS18-1,"")</f>
        <v>2.2392927906743854E-2</v>
      </c>
      <c r="FD18" s="62">
        <f>IFERROR(Inv_SY_B!FD18/Inv_SY_B!$IS18-1,"")</f>
        <v>1.2465997206438928E-3</v>
      </c>
      <c r="FE18" s="62">
        <f>IFERROR(Inv_SY_B!FE18/Inv_SY_B!$IS18-1,"")</f>
        <v>-1.3093097811883725E-3</v>
      </c>
      <c r="FF18" s="62">
        <f>IFERROR(Inv_SY_B!FF18/Inv_SY_B!$IS18-1,"")</f>
        <v>-2.0751698299400156E-2</v>
      </c>
      <c r="FG18" s="62">
        <f>IFERROR(Inv_SY_B!FG18/Inv_SY_B!$IS18-1,"")</f>
        <v>-1.8663441754851462E-2</v>
      </c>
      <c r="FH18" s="62">
        <f>IFERROR(Inv_SY_B!FH18/Inv_SY_B!$IS18-1,"")</f>
        <v>-8.7725670300586867E-4</v>
      </c>
      <c r="FI18" s="62">
        <f>IFERROR(Inv_SY_B!FI18/Inv_SY_B!$IS18-1,"")</f>
        <v>-1.9719571501519817E-2</v>
      </c>
      <c r="FJ18" s="62">
        <f>IFERROR(Inv_SY_B!FJ18/Inv_SY_B!$IS18-1,"")</f>
        <v>-1.0118391986353448E-2</v>
      </c>
      <c r="FK18" s="62">
        <f>IFERROR(Inv_SY_B!FK18/Inv_SY_B!$IS18-1,"")</f>
        <v>4.475400876699398E-3</v>
      </c>
      <c r="FL18" s="62">
        <f>IFERROR(Inv_SY_B!FL18/Inv_SY_B!$IS18-1,"")</f>
        <v>-2.2177473457402286E-2</v>
      </c>
      <c r="FM18" s="62">
        <f>IFERROR(Inv_SY_B!FM18/Inv_SY_B!$IS18-1,"")</f>
        <v>2.0725397206118323E-2</v>
      </c>
      <c r="FN18" s="62">
        <f>IFERROR(Inv_SY_B!FN18/Inv_SY_B!$IS18-1,"")</f>
        <v>-1.203862788938681E-2</v>
      </c>
      <c r="FO18" s="62">
        <f>IFERROR(Inv_SY_B!FO18/Inv_SY_B!$IS18-1,"")</f>
        <v>-2.8204613898047959E-2</v>
      </c>
      <c r="FP18" s="62">
        <f>IFERROR(Inv_SY_B!FP18/Inv_SY_B!$IS18-1,"")</f>
        <v>-2.0103618682126401E-2</v>
      </c>
      <c r="FQ18" s="62">
        <f>IFERROR(Inv_SY_B!FQ18/Inv_SY_B!$IS18-1,"")</f>
        <v>-2.6325183007954167E-2</v>
      </c>
      <c r="FR18" s="62">
        <f>IFERROR(Inv_SY_B!FR18/Inv_SY_B!$IS18-1,"")</f>
        <v>-1.3882054356298745E-2</v>
      </c>
      <c r="FS18" s="62">
        <f>IFERROR(Inv_SY_B!FS18/Inv_SY_B!$IS18-1,"")</f>
        <v>-1.002238019120183E-2</v>
      </c>
      <c r="FT18" s="62">
        <f>IFERROR(Inv_SY_B!FT18/Inv_SY_B!$IS18-1,"")</f>
        <v>-1.1289735887203722E-2</v>
      </c>
      <c r="FU18" s="62">
        <f>IFERROR(Inv_SY_B!FU18/Inv_SY_B!$IS18-1,"")</f>
        <v>-1.203862788938681E-2</v>
      </c>
      <c r="FV18" s="62">
        <f>IFERROR(Inv_SY_B!FV18/Inv_SY_B!$IS18-1,"")</f>
        <v>1.4244601033380988E-2</v>
      </c>
      <c r="FW18" s="62">
        <f>IFERROR(Inv_SY_B!FW18/Inv_SY_B!$IS18-1,"")</f>
        <v>-4.1176547893746474E-3</v>
      </c>
      <c r="FX18" s="62">
        <f>IFERROR(Inv_SY_B!FX18/Inv_SY_B!$IS18-1,"")</f>
        <v>-1.167858365756802E-2</v>
      </c>
      <c r="FY18" s="62">
        <f>IFERROR(Inv_SY_B!FY18/Inv_SY_B!$IS18-1,"")</f>
        <v>-1.9719571501519817E-2</v>
      </c>
      <c r="FZ18" s="62">
        <f>IFERROR(Inv_SY_B!FZ18/Inv_SY_B!$IS18-1,"")</f>
        <v>2.028759924503909E-4</v>
      </c>
      <c r="GA18" s="62">
        <f>IFERROR(Inv_SY_B!GA18/Inv_SY_B!$IS18-1,"")</f>
        <v>6.018975121829806E-3</v>
      </c>
      <c r="GB18" s="62">
        <f>IFERROR(Inv_SY_B!GB18/Inv_SY_B!$IS18-1,"")</f>
        <v>-2.8360633065169449E-2</v>
      </c>
      <c r="GC18" s="62">
        <f>IFERROR(Inv_SY_B!GC18/Inv_SY_B!$IS18-1,"")</f>
        <v>-1.203862788938681E-2</v>
      </c>
      <c r="GD18" s="62">
        <f>IFERROR(Inv_SY_B!GD18/Inv_SY_B!$IS18-1,"")</f>
        <v>1.4114985109926259E-2</v>
      </c>
      <c r="GE18" s="62">
        <f>IFERROR(Inv_SY_B!GE18/Inv_SY_B!$IS18-1,"")</f>
        <v>2.0307928616838389E-3</v>
      </c>
      <c r="GF18" s="62">
        <f>IFERROR(Inv_SY_B!GF18/Inv_SY_B!$IS18-1,"")</f>
        <v>-1.203862788938681E-2</v>
      </c>
      <c r="GG18" s="62">
        <f>IFERROR(Inv_SY_B!GG18/Inv_SY_B!$IS18-1,"")</f>
        <v>-1.0978657670912439E-2</v>
      </c>
      <c r="GH18" s="62">
        <f>IFERROR(Inv_SY_B!GH18/Inv_SY_B!$IS18-1,"")</f>
        <v>-5.3792497776673498E-3</v>
      </c>
      <c r="GI18" s="62">
        <f>IFERROR(Inv_SY_B!GI18/Inv_SY_B!$IS18-1,"")</f>
        <v>-7.4531045529432349E-3</v>
      </c>
      <c r="GJ18" s="62">
        <f>IFERROR(Inv_SY_B!GJ18/Inv_SY_B!$IS18-1,"")</f>
        <v>9.0101118169394478E-3</v>
      </c>
      <c r="GK18" s="62">
        <f>IFERROR(Inv_SY_B!GK18/Inv_SY_B!$IS18-1,"")</f>
        <v>5.6035394697313556E-3</v>
      </c>
      <c r="GL18" s="62">
        <f>IFERROR(Inv_SY_B!GL18/Inv_SY_B!$IS18-1,"")</f>
        <v>1.2084335642468691E-2</v>
      </c>
      <c r="GM18" s="62">
        <f>IFERROR(Inv_SY_B!GM18/Inv_SY_B!$IS18-1,"")</f>
        <v>-8.0807076166765412E-2</v>
      </c>
      <c r="GN18" s="62">
        <f>IFERROR(Inv_SY_B!GN18/Inv_SY_B!$IS18-1,"")</f>
        <v>-8.7725670300586867E-4</v>
      </c>
      <c r="GO18" s="62">
        <f>IFERROR(Inv_SY_B!GO18/Inv_SY_B!$IS18-1,"")</f>
        <v>1.7484999119749656E-2</v>
      </c>
      <c r="GP18" s="62">
        <f>IFERROR(Inv_SY_B!GP18/Inv_SY_B!$IS18-1,"")</f>
        <v>1.2830086879065394E-3</v>
      </c>
      <c r="GQ18" s="62">
        <f>IFERROR(Inv_SY_B!GQ18/Inv_SY_B!$IS18-1,"")</f>
        <v>-5.0681715613759559E-3</v>
      </c>
      <c r="GR18" s="62">
        <f>IFERROR(Inv_SY_B!GR18/Inv_SY_B!$IS18-1,"")</f>
        <v>-7.2500396061975225E-3</v>
      </c>
      <c r="GS18" s="62" t="str">
        <f>IFERROR(Inv_SY_B!GS18/Inv_SY_B!$IS18-1,"")</f>
        <v/>
      </c>
      <c r="GT18" s="62" t="str">
        <f>IFERROR(Inv_SY_B!GT18/Inv_SY_B!$IS18-1,"")</f>
        <v/>
      </c>
      <c r="GU18" s="62">
        <f>IFERROR(Inv_SY_B!GU18/Inv_SY_B!$IS18-1,"")</f>
        <v>5.0835164824838186E-2</v>
      </c>
      <c r="GV18" s="62">
        <f>IFERROR(Inv_SY_B!GV18/Inv_SY_B!$IS18-1,"")</f>
        <v>-2.6263354135615424E-2</v>
      </c>
      <c r="GW18" s="62">
        <f>IFERROR(Inv_SY_B!GW18/Inv_SY_B!$IS18-1,"")</f>
        <v>-1.0493072162555239E-2</v>
      </c>
      <c r="GX18" s="62" t="str">
        <f>IFERROR(Inv_SY_B!GX18/Inv_SY_B!$IS18-1,"")</f>
        <v/>
      </c>
      <c r="GY18" s="62">
        <f>IFERROR(Inv_SY_B!GY18/Inv_SY_B!$IS18-1,"")</f>
        <v>7.6907131744849977E-3</v>
      </c>
      <c r="GZ18" s="62">
        <f>IFERROR(Inv_SY_B!GZ18/Inv_SY_B!$IS18-1,"")</f>
        <v>-1.4773345874886434E-2</v>
      </c>
      <c r="HA18" s="62">
        <f>IFERROR(Inv_SY_B!HA18/Inv_SY_B!$IS18-1,"")</f>
        <v>-1.3171351315333313E-2</v>
      </c>
      <c r="HB18" s="62">
        <f>IFERROR(Inv_SY_B!HB18/Inv_SY_B!$IS18-1,"")</f>
        <v>-2.0754125563884451E-2</v>
      </c>
      <c r="HC18" s="62">
        <f>IFERROR(Inv_SY_B!HC18/Inv_SY_B!$IS18-1,"")</f>
        <v>-1.5200544424100459E-2</v>
      </c>
      <c r="HD18" s="62">
        <f>IFERROR(Inv_SY_B!HD18/Inv_SY_B!$IS18-1,"")</f>
        <v>7.868177233463225E-3</v>
      </c>
      <c r="HE18" s="62">
        <f>IFERROR(Inv_SY_B!HE18/Inv_SY_B!$IS18-1,"")</f>
        <v>-8.5789669112813494E-3</v>
      </c>
      <c r="HF18" s="62">
        <f>IFERROR(Inv_SY_B!HF18/Inv_SY_B!$IS18-1,"")</f>
        <v>2.8485942801970143E-3</v>
      </c>
      <c r="HG18" s="62">
        <f>IFERROR(Inv_SY_B!HG18/Inv_SY_B!$IS18-1,"")</f>
        <v>8.188576145373716E-3</v>
      </c>
      <c r="HH18" s="62">
        <f>IFERROR(Inv_SY_B!HH18/Inv_SY_B!$IS18-1,"")</f>
        <v>-1.4239347688368764E-2</v>
      </c>
      <c r="HI18" s="62">
        <f>IFERROR(Inv_SY_B!HI18/Inv_SY_B!$IS18-1,"")</f>
        <v>1.5669986325543839E-3</v>
      </c>
      <c r="HJ18" s="62">
        <f>IFERROR(Inv_SY_B!HJ18/Inv_SY_B!$IS18-1,"")</f>
        <v>4.984587026267695E-3</v>
      </c>
      <c r="HK18" s="62">
        <f>IFERROR(Inv_SY_B!HK18/Inv_SY_B!$IS18-1,"")</f>
        <v>-1.3646016370015723E-2</v>
      </c>
      <c r="HL18" s="62">
        <f>IFERROR(Inv_SY_B!HL18/Inv_SY_B!$IS18-1,"")</f>
        <v>4.3313790191869872E-2</v>
      </c>
      <c r="HM18" s="62">
        <f>IFERROR(Inv_SY_B!HM18/Inv_SY_B!$IS18-1,"")</f>
        <v>7.140650028109552E-2</v>
      </c>
      <c r="HN18" s="62">
        <f>IFERROR(Inv_SY_B!HN18/Inv_SY_B!$IS18-1,"")</f>
        <v>7.5237512796999306E-2</v>
      </c>
      <c r="HO18" s="62">
        <f>IFERROR(Inv_SY_B!HO18/Inv_SY_B!$IS18-1,"")</f>
        <v>6.8213989851175771E-2</v>
      </c>
      <c r="HP18" s="62">
        <f>IFERROR(Inv_SY_B!HP18/Inv_SY_B!$IS18-1,"")</f>
        <v>6.5532281090043165E-2</v>
      </c>
      <c r="HQ18" s="62">
        <f>IFERROR(Inv_SY_B!HQ18/Inv_SY_B!$IS18-1,"")</f>
        <v>-1.9308092379441311E-2</v>
      </c>
      <c r="HR18" s="62">
        <f>IFERROR(Inv_SY_B!HR18/Inv_SY_B!$IS18-1,"")</f>
        <v>-2.5519578546766564E-3</v>
      </c>
      <c r="HS18" s="62">
        <f>IFERROR(Inv_SY_B!HS18/Inv_SY_B!$IS18-1,"")</f>
        <v>3.122312191900023E-2</v>
      </c>
      <c r="HT18" s="62">
        <f>IFERROR(Inv_SY_B!HT18/Inv_SY_B!$IS18-1,"")</f>
        <v>-2.2540550576386487E-3</v>
      </c>
      <c r="HU18" s="62">
        <f>IFERROR(Inv_SY_B!HU18/Inv_SY_B!$IS18-1,"")</f>
        <v>1.6108180019266838E-2</v>
      </c>
      <c r="HV18" s="62">
        <f>IFERROR(Inv_SY_B!HV18/Inv_SY_B!$IS18-1,"")</f>
        <v>1.1233693699090885E-3</v>
      </c>
      <c r="HW18" s="62">
        <f>IFERROR(Inv_SY_B!HW18/Inv_SY_B!$IS18-1,"")</f>
        <v>1.5023752932800116E-2</v>
      </c>
      <c r="HX18" s="62">
        <f>IFERROR(Inv_SY_B!HX18/Inv_SY_B!$IS18-1,"")</f>
        <v>6.5455048022424744E-3</v>
      </c>
      <c r="HY18" s="62">
        <f>IFERROR(Inv_SY_B!HY18/Inv_SY_B!$IS18-1,"")</f>
        <v>2.2618393807718018E-2</v>
      </c>
      <c r="HZ18" s="62">
        <f>IFERROR(Inv_SY_B!HZ18/Inv_SY_B!$IS18-1,"")</f>
        <v>9.137906254738537E-3</v>
      </c>
      <c r="IA18" s="62">
        <f>IFERROR(Inv_SY_B!IA18/Inv_SY_B!$IS18-1,"")</f>
        <v>-1.8466065579023638E-3</v>
      </c>
      <c r="IB18" s="62">
        <f>IFERROR(Inv_SY_B!IB18/Inv_SY_B!$IS18-1,"")</f>
        <v>-1.9033772964722195E-2</v>
      </c>
      <c r="IC18" s="62">
        <f>IFERROR(Inv_SY_B!IC18/Inv_SY_B!$IS18-1,"")</f>
        <v>9.2316774980587546E-3</v>
      </c>
      <c r="ID18" s="62">
        <f>IFERROR(Inv_SY_B!ID18/Inv_SY_B!$IS18-1,"")</f>
        <v>-1.534570083349962E-2</v>
      </c>
      <c r="IE18" s="62">
        <f>IFERROR(Inv_SY_B!IE18/Inv_SY_B!$IS18-1,"")</f>
        <v>-2.4136114078496362E-2</v>
      </c>
      <c r="IF18" s="62" t="str">
        <f>IFERROR(Inv_SY_B!IF18/Inv_SY_B!$IS18-1,"")</f>
        <v/>
      </c>
      <c r="IG18" s="62">
        <f>IFERROR(Inv_SY_B!IG18/Inv_SY_B!$IS18-1,"")</f>
        <v>9.3019162647876019E-3</v>
      </c>
      <c r="IH18" s="62">
        <f>IFERROR(Inv_SY_B!IH18/Inv_SY_B!$IS18-1,"")</f>
        <v>2.1644962899454168E-3</v>
      </c>
      <c r="II18" s="62">
        <f>IFERROR(Inv_SY_B!II18/Inv_SY_B!$IS18-1,"")</f>
        <v>-4.0854120223460244E-3</v>
      </c>
      <c r="IJ18" s="62">
        <f>IFERROR(Inv_SY_B!IJ18/Inv_SY_B!$IS18-1,"")</f>
        <v>-1.534570083349962E-2</v>
      </c>
      <c r="IK18" s="62">
        <f>IFERROR(Inv_SY_B!IK18/Inv_SY_B!$IS18-1,"")</f>
        <v>-2.7437442727172634E-2</v>
      </c>
      <c r="IL18" s="62" t="str">
        <f>IFERROR(Inv_SY_B!IL18/Inv_SY_B!$IS18-1,"")</f>
        <v/>
      </c>
      <c r="IM18" s="62" t="str">
        <f>IFERROR(Inv_SY_B!IM18/Inv_SY_B!$IS18-1,"")</f>
        <v/>
      </c>
      <c r="IN18" s="62">
        <f>IFERROR(Inv_SY_B!IN18/Inv_SY_B!$IS18-1,"")</f>
        <v>2.8584293714437603E-2</v>
      </c>
      <c r="IO18" s="62">
        <f>IFERROR(Inv_SY_B!IO18/Inv_SY_B!$IS18-1,"")</f>
        <v>4.0279523589377142E-2</v>
      </c>
      <c r="IP18" s="62">
        <f>IFERROR(Inv_SY_B!IP18/Inv_SY_B!$IS18-1,"")</f>
        <v>0.1708516396368247</v>
      </c>
      <c r="IQ18" s="62">
        <f>IFERROR(Inv_SY_B!IQ18/Inv_SY_B!$IS18-1,"")</f>
        <v>-1.8466065579023638E-3</v>
      </c>
      <c r="IR18" s="62">
        <f>IFERROR(Inv_SY_B!IR18/Inv_SY_B!$IS18-1,"")</f>
        <v>-1.7562888640277108E-2</v>
      </c>
    </row>
    <row r="19" spans="2:252" x14ac:dyDescent="0.25">
      <c r="B19" s="85">
        <f t="shared" si="0"/>
        <v>45845</v>
      </c>
      <c r="C19" s="62">
        <f>IFERROR(Inv_SY_B!C19/Inv_SY_B!$IS19-1,"")</f>
        <v>-1.4064554432136056E-3</v>
      </c>
      <c r="D19" s="62">
        <f>IFERROR(Inv_SY_B!D19/Inv_SY_B!$IS19-1,"")</f>
        <v>-1.0123566889393198E-2</v>
      </c>
      <c r="E19" s="62">
        <f>IFERROR(Inv_SY_B!E19/Inv_SY_B!$IS19-1,"")</f>
        <v>-3.4317530389071926E-5</v>
      </c>
      <c r="F19" s="62">
        <f>IFERROR(Inv_SY_B!F19/Inv_SY_B!$IS19-1,"")</f>
        <v>-4.2314452637347566E-3</v>
      </c>
      <c r="G19" s="62">
        <f>IFERROR(Inv_SY_B!G19/Inv_SY_B!$IS19-1,"")</f>
        <v>1.499248372179629E-3</v>
      </c>
      <c r="H19" s="62">
        <f>IFERROR(Inv_SY_B!H19/Inv_SY_B!$IS19-1,"")</f>
        <v>-1.4724264597099079E-2</v>
      </c>
      <c r="I19" s="62">
        <f>IFERROR(Inv_SY_B!I19/Inv_SY_B!$IS19-1,"")</f>
        <v>-9.4778549304168624E-3</v>
      </c>
      <c r="J19" s="62">
        <f>IFERROR(Inv_SY_B!J19/Inv_SY_B!$IS19-1,"")</f>
        <v>-6.3300091304075989E-3</v>
      </c>
      <c r="K19" s="62">
        <f>IFERROR(Inv_SY_B!K19/Inv_SY_B!$IS19-1,"")</f>
        <v>-2.7624505570637004E-3</v>
      </c>
      <c r="L19" s="62">
        <f>IFERROR(Inv_SY_B!L19/Inv_SY_B!$IS19-1,"")</f>
        <v>-2.7624505570637004E-3</v>
      </c>
      <c r="M19" s="62">
        <f>IFERROR(Inv_SY_B!M19/Inv_SY_B!$IS19-1,"")</f>
        <v>4.1628102029567238E-3</v>
      </c>
      <c r="N19" s="62">
        <f>IFERROR(Inv_SY_B!N19/Inv_SY_B!$IS19-1,"")</f>
        <v>8.3599379363024084E-3</v>
      </c>
      <c r="O19" s="62">
        <f>IFERROR(Inv_SY_B!O19/Inv_SY_B!$IS19-1,"")</f>
        <v>-1.5773546530435389E-2</v>
      </c>
      <c r="P19" s="62">
        <f>IFERROR(Inv_SY_B!P19/Inv_SY_B!$IS19-1,"")</f>
        <v>1.5323354402989375E-2</v>
      </c>
      <c r="Q19" s="62">
        <f>IFERROR(Inv_SY_B!Q19/Inv_SY_B!$IS19-1,"")</f>
        <v>-1.5773546530435389E-2</v>
      </c>
      <c r="R19" s="62">
        <f>IFERROR(Inv_SY_B!R19/Inv_SY_B!$IS19-1,"")</f>
        <v>-1.2625700730426126E-2</v>
      </c>
      <c r="S19" s="62">
        <f>IFERROR(Inv_SY_B!S19/Inv_SY_B!$IS19-1,"")</f>
        <v>-1.5773546530435389E-2</v>
      </c>
      <c r="T19" s="62">
        <f>IFERROR(Inv_SY_B!T19/Inv_SY_B!$IS19-1,"")</f>
        <v>-1.6822828463771922E-2</v>
      </c>
      <c r="U19" s="62">
        <f>IFERROR(Inv_SY_B!U19/Inv_SY_B!$IS19-1,"")</f>
        <v>-9.1549989509287499E-3</v>
      </c>
      <c r="V19" s="62">
        <f>IFERROR(Inv_SY_B!V19/Inv_SY_B!$IS19-1,"")</f>
        <v>-1.1092134827857536E-2</v>
      </c>
      <c r="W19" s="62">
        <f>IFERROR(Inv_SY_B!W19/Inv_SY_B!$IS19-1,"")</f>
        <v>-1.2625700730426126E-2</v>
      </c>
      <c r="X19" s="62">
        <f>IFERROR(Inv_SY_B!X19/Inv_SY_B!$IS19-1,"")</f>
        <v>-9.4778549304168624E-3</v>
      </c>
      <c r="Y19" s="62">
        <f>IFERROR(Inv_SY_B!Y19/Inv_SY_B!$IS19-1,"")</f>
        <v>-2.5620653904823487E-2</v>
      </c>
      <c r="Z19" s="62">
        <f>IFERROR(Inv_SY_B!Z19/Inv_SY_B!$IS19-1,"")</f>
        <v>-7.6124648267077433E-3</v>
      </c>
      <c r="AA19" s="62">
        <f>IFERROR(Inv_SY_B!AA19/Inv_SY_B!$IS19-1,"")</f>
        <v>-8.1864310124643014E-3</v>
      </c>
      <c r="AB19" s="62">
        <f>IFERROR(Inv_SY_B!AB19/Inv_SY_B!$IS19-1,"")</f>
        <v>-9.1549989509287499E-3</v>
      </c>
      <c r="AC19" s="62">
        <f>IFERROR(Inv_SY_B!AC19/Inv_SY_B!$IS19-1,"")</f>
        <v>-2.0777814212501466E-2</v>
      </c>
      <c r="AD19" s="62">
        <f>IFERROR(Inv_SY_B!AD19/Inv_SY_B!$IS19-1,"")</f>
        <v>-1.6939415345253672E-2</v>
      </c>
      <c r="AE19" s="62">
        <f>IFERROR(Inv_SY_B!AE19/Inv_SY_B!$IS19-1,"")</f>
        <v>-1.5074025241544442E-2</v>
      </c>
      <c r="AF19" s="62">
        <f>IFERROR(Inv_SY_B!AF19/Inv_SY_B!$IS19-1,"")</f>
        <v>-1.8804805448962902E-2</v>
      </c>
      <c r="AG19" s="62">
        <f>IFERROR(Inv_SY_B!AG19/Inv_SY_B!$IS19-1,"")</f>
        <v>-2.2535585656381252E-2</v>
      </c>
      <c r="AH19" s="62">
        <f>IFERROR(Inv_SY_B!AH19/Inv_SY_B!$IS19-1,"")</f>
        <v>-1.2275940085980652E-2</v>
      </c>
      <c r="AI19" s="62">
        <f>IFERROR(Inv_SY_B!AI19/Inv_SY_B!$IS19-1,"")</f>
        <v>-1.7243531125722855E-2</v>
      </c>
      <c r="AJ19" s="62">
        <f>IFERROR(Inv_SY_B!AJ19/Inv_SY_B!$IS19-1,"")</f>
        <v>5.739320631267919E-3</v>
      </c>
      <c r="AK19" s="62">
        <f>IFERROR(Inv_SY_B!AK19/Inv_SY_B!$IS19-1,"")</f>
        <v>-2.5531868510464073E-2</v>
      </c>
      <c r="AL19" s="62">
        <f>IFERROR(Inv_SY_B!AL19/Inv_SY_B!$IS19-1,"")</f>
        <v>-2.4273116343062173E-2</v>
      </c>
      <c r="AM19" s="62">
        <f>IFERROR(Inv_SY_B!AM19/Inv_SY_B!$IS19-1,"")</f>
        <v>-2.5525941703964383E-3</v>
      </c>
      <c r="AN19" s="62">
        <f>IFERROR(Inv_SY_B!AN19/Inv_SY_B!$IS19-1,"")</f>
        <v>-1.2625700730426126E-2</v>
      </c>
      <c r="AO19" s="62">
        <f>IFERROR(Inv_SY_B!AO19/Inv_SY_B!$IS19-1,"")</f>
        <v>2.0642463362838814E-3</v>
      </c>
      <c r="AP19" s="62">
        <f>IFERROR(Inv_SY_B!AP19/Inv_SY_B!$IS19-1,"")</f>
        <v>-1.4934120983766341E-2</v>
      </c>
      <c r="AQ19" s="62">
        <f>IFERROR(Inv_SY_B!AQ19/Inv_SY_B!$IS19-1,"")</f>
        <v>-1.2625700730426126E-2</v>
      </c>
      <c r="AR19" s="62">
        <f>IFERROR(Inv_SY_B!AR19/Inv_SY_B!$IS19-1,"")</f>
        <v>1.0149644029473492E-3</v>
      </c>
      <c r="AS19" s="62">
        <f>IFERROR(Inv_SY_B!AS19/Inv_SY_B!$IS19-1,"")</f>
        <v>-2.1328813970619143E-3</v>
      </c>
      <c r="AT19" s="62">
        <f>IFERROR(Inv_SY_B!AT19/Inv_SY_B!$IS19-1,"")</f>
        <v>-1.4724264597099079E-2</v>
      </c>
      <c r="AU19" s="62">
        <f>IFERROR(Inv_SY_B!AU19/Inv_SY_B!$IS19-1,"")</f>
        <v>-7.3792910637440201E-3</v>
      </c>
      <c r="AV19" s="62">
        <f>IFERROR(Inv_SY_B!AV19/Inv_SY_B!$IS19-1,"")</f>
        <v>-4.2314452637347566E-3</v>
      </c>
      <c r="AW19" s="62">
        <f>IFERROR(Inv_SY_B!AW19/Inv_SY_B!$IS19-1,"")</f>
        <v>-2.1649525357119392E-2</v>
      </c>
      <c r="AX19" s="62">
        <f>IFERROR(Inv_SY_B!AX19/Inv_SY_B!$IS19-1,"")</f>
        <v>-2.0810099810450233E-2</v>
      </c>
      <c r="AY19" s="62">
        <f>IFERROR(Inv_SY_B!AY19/Inv_SY_B!$IS19-1,"")</f>
        <v>-1.5857489085102316E-2</v>
      </c>
      <c r="AZ19" s="62">
        <f>IFERROR(Inv_SY_B!AZ19/Inv_SY_B!$IS19-1,"")</f>
        <v>-2.1901353021120173E-2</v>
      </c>
      <c r="BA19" s="62">
        <f>IFERROR(Inv_SY_B!BA19/Inv_SY_B!$IS19-1,"")</f>
        <v>-5.2807271970712888E-3</v>
      </c>
      <c r="BB19" s="62">
        <f>IFERROR(Inv_SY_B!BB19/Inv_SY_B!$IS19-1,"")</f>
        <v>-1.294048531042713E-2</v>
      </c>
      <c r="BC19" s="62">
        <f>IFERROR(Inv_SY_B!BC19/Inv_SY_B!$IS19-1,"")</f>
        <v>8.2433510548205469E-3</v>
      </c>
      <c r="BD19" s="62">
        <f>IFERROR(Inv_SY_B!BD19/Inv_SY_B!$IS19-1,"")</f>
        <v>-1.7965379902293743E-2</v>
      </c>
      <c r="BE19" s="62">
        <f>IFERROR(Inv_SY_B!BE19/Inv_SY_B!$IS19-1,"")</f>
        <v>-1.1092134827857536E-2</v>
      </c>
      <c r="BF19" s="62">
        <f>IFERROR(Inv_SY_B!BF19/Inv_SY_B!$IS19-1,"")</f>
        <v>8.2433510548205469E-3</v>
      </c>
      <c r="BG19" s="62">
        <f>IFERROR(Inv_SY_B!BG19/Inv_SY_B!$IS19-1,"")</f>
        <v>-2.0162945155801637E-3</v>
      </c>
      <c r="BH19" s="62">
        <f>IFERROR(Inv_SY_B!BH19/Inv_SY_B!$IS19-1,"")</f>
        <v>-2.1328813970619143E-3</v>
      </c>
      <c r="BI19" s="62">
        <f>IFERROR(Inv_SY_B!BI19/Inv_SY_B!$IS19-1,"")</f>
        <v>-1.6006720293399113E-2</v>
      </c>
      <c r="BJ19" s="62">
        <f>IFERROR(Inv_SY_B!BJ19/Inv_SY_B!$IS19-1,"")</f>
        <v>-6.6797697748531837E-3</v>
      </c>
      <c r="BK19" s="62">
        <f>IFERROR(Inv_SY_B!BK19/Inv_SY_B!$IS19-1,"")</f>
        <v>-1.105177783042155E-2</v>
      </c>
      <c r="BL19" s="62">
        <f>IFERROR(Inv_SY_B!BL19/Inv_SY_B!$IS19-1,"")</f>
        <v>-5.5271627665599565E-3</v>
      </c>
      <c r="BM19" s="62">
        <f>IFERROR(Inv_SY_B!BM19/Inv_SY_B!$IS19-1,"")</f>
        <v>-1.8921392330444764E-2</v>
      </c>
      <c r="BN19" s="62">
        <f>IFERROR(Inv_SY_B!BN19/Inv_SY_B!$IS19-1,"")</f>
        <v>1.5244411561609938E-2</v>
      </c>
      <c r="BO19" s="62">
        <f>IFERROR(Inv_SY_B!BO19/Inv_SY_B!$IS19-1,"")</f>
        <v>1.6608908212223827E-2</v>
      </c>
      <c r="BP19" s="62">
        <f>IFERROR(Inv_SY_B!BP19/Inv_SY_B!$IS19-1,"")</f>
        <v>1.0700643787591169E-2</v>
      </c>
      <c r="BQ19" s="62">
        <f>IFERROR(Inv_SY_B!BQ19/Inv_SY_B!$IS19-1,"")</f>
        <v>2.3485740575321268E-2</v>
      </c>
      <c r="BR19" s="62">
        <f>IFERROR(Inv_SY_B!BR19/Inv_SY_B!$IS19-1,"")</f>
        <v>2.0803891352580983E-3</v>
      </c>
      <c r="BS19" s="62">
        <f>IFERROR(Inv_SY_B!BS19/Inv_SY_B!$IS19-1,"")</f>
        <v>5.84166129629482E-3</v>
      </c>
      <c r="BT19" s="62">
        <f>IFERROR(Inv_SY_B!BT19/Inv_SY_B!$IS19-1,"")</f>
        <v>3.9529538162892397E-3</v>
      </c>
      <c r="BU19" s="62">
        <f>IFERROR(Inv_SY_B!BU19/Inv_SY_B!$IS19-1,"")</f>
        <v>1.3501419409650772E-2</v>
      </c>
      <c r="BV19" s="62">
        <f>IFERROR(Inv_SY_B!BV19/Inv_SY_B!$IS19-1,"")</f>
        <v>8.8845789029705635E-3</v>
      </c>
      <c r="BW19" s="62">
        <f>IFERROR(Inv_SY_B!BW19/Inv_SY_B!$IS19-1,"")</f>
        <v>2.0846392943005609E-2</v>
      </c>
      <c r="BX19" s="62">
        <f>IFERROR(Inv_SY_B!BX19/Inv_SY_B!$IS19-1,"")</f>
        <v>9.8289326429732427E-3</v>
      </c>
      <c r="BY19" s="62">
        <f>IFERROR(Inv_SY_B!BY19/Inv_SY_B!$IS19-1,"")</f>
        <v>2.3673722281365439E-3</v>
      </c>
      <c r="BZ19" s="62">
        <f>IFERROR(Inv_SY_B!BZ19/Inv_SY_B!$IS19-1,"")</f>
        <v>-1.7032684850439073E-2</v>
      </c>
      <c r="CA19" s="62">
        <f>IFERROR(Inv_SY_B!CA19/Inv_SY_B!$IS19-1,"")</f>
        <v>1.1601053241496961E-2</v>
      </c>
      <c r="CB19" s="62">
        <f>IFERROR(Inv_SY_B!CB19/Inv_SY_B!$IS19-1,"")</f>
        <v>-3.8117324904002325E-3</v>
      </c>
      <c r="CC19" s="62">
        <f>IFERROR(Inv_SY_B!CC19/Inv_SY_B!$IS19-1,"")</f>
        <v>-2.1229812583784868E-2</v>
      </c>
      <c r="CD19" s="62">
        <f>IFERROR(Inv_SY_B!CD19/Inv_SY_B!$IS19-1,"")</f>
        <v>1.3606347602984403E-2</v>
      </c>
      <c r="CE19" s="62">
        <f>IFERROR(Inv_SY_B!CE19/Inv_SY_B!$IS19-1,"")</f>
        <v>-1.7872110397108232E-2</v>
      </c>
      <c r="CF19" s="62">
        <f>IFERROR(Inv_SY_B!CF19/Inv_SY_B!$IS19-1,"")</f>
        <v>1.5599983276323615E-2</v>
      </c>
      <c r="CG19" s="62">
        <f>IFERROR(Inv_SY_B!CG19/Inv_SY_B!$IS19-1,"")</f>
        <v>-1.7452397623773708E-2</v>
      </c>
      <c r="CH19" s="62">
        <f>IFERROR(Inv_SY_B!CH19/Inv_SY_B!$IS19-1,"")</f>
        <v>-9.4778549304168624E-3</v>
      </c>
      <c r="CI19" s="62">
        <f>IFERROR(Inv_SY_B!CI19/Inv_SY_B!$IS19-1,"")</f>
        <v>-4.2314452637347566E-3</v>
      </c>
      <c r="CJ19" s="62">
        <f>IFERROR(Inv_SY_B!CJ19/Inv_SY_B!$IS19-1,"")</f>
        <v>3.1135282696201916E-3</v>
      </c>
      <c r="CK19" s="62">
        <f>IFERROR(Inv_SY_B!CK19/Inv_SY_B!$IS19-1,"")</f>
        <v>-2.9723069437310734E-3</v>
      </c>
      <c r="CL19" s="62">
        <f>IFERROR(Inv_SY_B!CL19/Inv_SY_B!$IS19-1,"")</f>
        <v>1.6445335629491353E-3</v>
      </c>
      <c r="CM19" s="62">
        <f>IFERROR(Inv_SY_B!CM19/Inv_SY_B!$IS19-1,"")</f>
        <v>2.7987436896192985E-3</v>
      </c>
      <c r="CN19" s="62">
        <f>IFERROR(Inv_SY_B!CN19/Inv_SY_B!$IS19-1,"")</f>
        <v>-1.1885276570592351E-3</v>
      </c>
      <c r="CO19" s="62">
        <f>IFERROR(Inv_SY_B!CO19/Inv_SY_B!$IS19-1,"")</f>
        <v>4.1879929693566798E-3</v>
      </c>
      <c r="CP19" s="62">
        <f>IFERROR(Inv_SY_B!CP19/Inv_SY_B!$IS19-1,"")</f>
        <v>1.2540922870673654E-2</v>
      </c>
      <c r="CQ19" s="62">
        <f>IFERROR(Inv_SY_B!CQ19/Inv_SY_B!$IS19-1,"")</f>
        <v>-2.1328813970619143E-3</v>
      </c>
      <c r="CR19" s="62">
        <f>IFERROR(Inv_SY_B!CR19/Inv_SY_B!$IS19-1,"")</f>
        <v>1.0149644029473492E-3</v>
      </c>
      <c r="CS19" s="62">
        <f>IFERROR(Inv_SY_B!CS19/Inv_SY_B!$IS19-1,"")</f>
        <v>7.4971950133366771E-3</v>
      </c>
      <c r="CT19" s="62">
        <f>IFERROR(Inv_SY_B!CT19/Inv_SY_B!$IS19-1,"")</f>
        <v>-2.0279532037282832E-3</v>
      </c>
      <c r="CU19" s="62">
        <f>IFERROR(Inv_SY_B!CU19/Inv_SY_B!$IS19-1,"")</f>
        <v>-2.9723069437310734E-3</v>
      </c>
      <c r="CV19" s="62">
        <f>IFERROR(Inv_SY_B!CV19/Inv_SY_B!$IS19-1,"")</f>
        <v>2.0321751976337454E-2</v>
      </c>
      <c r="CW19" s="62">
        <f>IFERROR(Inv_SY_B!CW19/Inv_SY_B!$IS19-1,"")</f>
        <v>6.7860150362977212E-3</v>
      </c>
      <c r="CX19" s="62">
        <f>IFERROR(Inv_SY_B!CX19/Inv_SY_B!$IS19-1,"")</f>
        <v>1.0668358189642513E-2</v>
      </c>
      <c r="CY19" s="62">
        <f>IFERROR(Inv_SY_B!CY19/Inv_SY_B!$IS19-1,"")</f>
        <v>-3.4317530389071926E-5</v>
      </c>
      <c r="CZ19" s="62">
        <f>IFERROR(Inv_SY_B!CZ19/Inv_SY_B!$IS19-1,"")</f>
        <v>8.0451533563015154E-3</v>
      </c>
      <c r="DA19" s="62">
        <f>IFERROR(Inv_SY_B!DA19/Inv_SY_B!$IS19-1,"")</f>
        <v>-2.1328813970619143E-3</v>
      </c>
      <c r="DB19" s="62">
        <f>IFERROR(Inv_SY_B!DB19/Inv_SY_B!$IS19-1,"")</f>
        <v>5.4219485229602959E-3</v>
      </c>
      <c r="DC19" s="62">
        <f>IFERROR(Inv_SY_B!DC19/Inv_SY_B!$IS19-1,"")</f>
        <v>-3.7884151141038824E-3</v>
      </c>
      <c r="DD19" s="62">
        <f>IFERROR(Inv_SY_B!DD19/Inv_SY_B!$IS19-1,"")</f>
        <v>3.1135282696201916E-3</v>
      </c>
      <c r="DE19" s="62">
        <f>IFERROR(Inv_SY_B!DE19/Inv_SY_B!$IS19-1,"")</f>
        <v>1.6637606521511694E-2</v>
      </c>
      <c r="DF19" s="62">
        <f>IFERROR(Inv_SY_B!DF19/Inv_SY_B!$IS19-1,"")</f>
        <v>-2.1461223306586841E-2</v>
      </c>
      <c r="DG19" s="62">
        <f>IFERROR(Inv_SY_B!DG19/Inv_SY_B!$IS19-1,"")</f>
        <v>-7.9039320304122862E-3</v>
      </c>
      <c r="DH19" s="62">
        <f>IFERROR(Inv_SY_B!DH19/Inv_SY_B!$IS19-1,"")</f>
        <v>2.0875637125803426E-3</v>
      </c>
      <c r="DI19" s="62">
        <f>IFERROR(Inv_SY_B!DI19/Inv_SY_B!$IS19-1,"")</f>
        <v>-8.283287806310824E-3</v>
      </c>
      <c r="DJ19" s="62">
        <f>IFERROR(Inv_SY_B!DJ19/Inv_SY_B!$IS19-1,"")</f>
        <v>9.6352190552804196E-3</v>
      </c>
      <c r="DK19" s="62">
        <f>IFERROR(Inv_SY_B!DK19/Inv_SY_B!$IS19-1,"")</f>
        <v>2.2140507327454095E-2</v>
      </c>
      <c r="DL19" s="62">
        <f>IFERROR(Inv_SY_B!DL19/Inv_SY_B!$IS19-1,"")</f>
        <v>1.3000095819278856E-2</v>
      </c>
      <c r="DM19" s="62">
        <f>IFERROR(Inv_SY_B!DM19/Inv_SY_B!$IS19-1,"")</f>
        <v>8.4648661296360395E-3</v>
      </c>
      <c r="DN19" s="62">
        <f>IFERROR(Inv_SY_B!DN19/Inv_SY_B!$IS19-1,"")</f>
        <v>4.5825229762912478E-3</v>
      </c>
      <c r="DO19" s="62">
        <f>IFERROR(Inv_SY_B!DO19/Inv_SY_B!$IS19-1,"")</f>
        <v>-1.8649330270111508E-2</v>
      </c>
      <c r="DP19" s="62">
        <f>IFERROR(Inv_SY_B!DP19/Inv_SY_B!$IS19-1,"")</f>
        <v>-1.0410549982271533E-2</v>
      </c>
      <c r="DQ19" s="62">
        <f>IFERROR(Inv_SY_B!DQ19/Inv_SY_B!$IS19-1,"")</f>
        <v>5.7250744148129584E-3</v>
      </c>
      <c r="DR19" s="62">
        <f>IFERROR(Inv_SY_B!DR19/Inv_SY_B!$IS19-1,"")</f>
        <v>-6.2250809370739679E-3</v>
      </c>
      <c r="DS19" s="62">
        <f>IFERROR(Inv_SY_B!DS19/Inv_SY_B!$IS19-1,"")</f>
        <v>-9.1630703504160804E-3</v>
      </c>
      <c r="DT19" s="62">
        <f>IFERROR(Inv_SY_B!DT19/Inv_SY_B!$IS19-1,"")</f>
        <v>-1.7872110397108232E-2</v>
      </c>
      <c r="DU19" s="62">
        <f>IFERROR(Inv_SY_B!DU19/Inv_SY_B!$IS19-1,"")</f>
        <v>2.4606417333219444E-3</v>
      </c>
      <c r="DV19" s="62">
        <f>IFERROR(Inv_SY_B!DV19/Inv_SY_B!$IS19-1,"")</f>
        <v>1.9377398236334775E-2</v>
      </c>
      <c r="DW19" s="62">
        <f>IFERROR(Inv_SY_B!DW19/Inv_SY_B!$IS19-1,"")</f>
        <v>-2.4062873803793128E-2</v>
      </c>
      <c r="DX19" s="62">
        <f>IFERROR(Inv_SY_B!DX19/Inv_SY_B!$IS19-1,"")</f>
        <v>2.3073202379308544E-2</v>
      </c>
      <c r="DY19" s="62">
        <f>IFERROR(Inv_SY_B!DY19/Inv_SY_B!$IS19-1,"")</f>
        <v>2.0642463362838814E-3</v>
      </c>
      <c r="DZ19" s="62">
        <f>IFERROR(Inv_SY_B!DZ19/Inv_SY_B!$IS19-1,"")</f>
        <v>-1.4724264597099079E-2</v>
      </c>
      <c r="EA19" s="62">
        <f>IFERROR(Inv_SY_B!EA19/Inv_SY_B!$IS19-1,"")</f>
        <v>-1.6006720293399113E-2</v>
      </c>
      <c r="EB19" s="62">
        <f>IFERROR(Inv_SY_B!EB19/Inv_SY_B!$IS19-1,"")</f>
        <v>-1.9737500500817462E-2</v>
      </c>
      <c r="EC19" s="62">
        <f>IFERROR(Inv_SY_B!EC19/Inv_SY_B!$IS19-1,"")</f>
        <v>-1.9809246274037018E-2</v>
      </c>
      <c r="ED19" s="62">
        <f>IFERROR(Inv_SY_B!ED19/Inv_SY_B!$IS19-1,"")</f>
        <v>-6.8304358986140956E-3</v>
      </c>
      <c r="EE19" s="62">
        <f>IFERROR(Inv_SY_B!EE19/Inv_SY_B!$IS19-1,"")</f>
        <v>-9.2518557447751615E-3</v>
      </c>
      <c r="EF19" s="62">
        <f>IFERROR(Inv_SY_B!EF19/Inv_SY_B!$IS19-1,"")</f>
        <v>1.3720814722984809E-2</v>
      </c>
      <c r="EG19" s="62">
        <f>IFERROR(Inv_SY_B!EG19/Inv_SY_B!$IS19-1,"")</f>
        <v>-8.3411984321202226E-4</v>
      </c>
      <c r="EH19" s="62">
        <f>IFERROR(Inv_SY_B!EH19/Inv_SY_B!$IS19-1,"")</f>
        <v>-1.0629863766317693E-2</v>
      </c>
      <c r="EI19" s="62">
        <f>IFERROR(Inv_SY_B!EI19/Inv_SY_B!$IS19-1,"")</f>
        <v>-1.1511480719397227E-2</v>
      </c>
      <c r="EJ19" s="62">
        <f>IFERROR(Inv_SY_B!EJ19/Inv_SY_B!$IS19-1,"")</f>
        <v>2.1206303983775987E-2</v>
      </c>
      <c r="EK19" s="62">
        <f>IFERROR(Inv_SY_B!EK19/Inv_SY_B!$IS19-1,"")</f>
        <v>1.7383762562995564E-2</v>
      </c>
      <c r="EL19" s="62">
        <f>IFERROR(Inv_SY_B!EL19/Inv_SY_B!$IS19-1,"")</f>
        <v>2.3154813196345936E-2</v>
      </c>
      <c r="EM19" s="62">
        <f>IFERROR(Inv_SY_B!EM19/Inv_SY_B!$IS19-1,"")</f>
        <v>-8.1864310124643014E-3</v>
      </c>
      <c r="EN19" s="62">
        <f>IFERROR(Inv_SY_B!EN19/Inv_SY_B!$IS19-1,"")</f>
        <v>-2.0777814212501466E-2</v>
      </c>
      <c r="EO19" s="62">
        <f>IFERROR(Inv_SY_B!EO19/Inv_SY_B!$IS19-1,"")</f>
        <v>2.1691745296175124E-3</v>
      </c>
      <c r="EP19" s="62">
        <f>IFERROR(Inv_SY_B!EP19/Inv_SY_B!$IS19-1,"")</f>
        <v>2.0095752790695753E-2</v>
      </c>
      <c r="EQ19" s="62">
        <f>IFERROR(Inv_SY_B!EQ19/Inv_SY_B!$IS19-1,"")</f>
        <v>-1.9970674263781074E-2</v>
      </c>
      <c r="ER19" s="62">
        <f>IFERROR(Inv_SY_B!ER19/Inv_SY_B!$IS19-1,"")</f>
        <v>2.6615298983367897E-3</v>
      </c>
      <c r="ES19" s="62">
        <f>IFERROR(Inv_SY_B!ES19/Inv_SY_B!$IS19-1,"")</f>
        <v>1.4346771762818733E-3</v>
      </c>
      <c r="ET19" s="62">
        <f>IFERROR(Inv_SY_B!ET19/Inv_SY_B!$IS19-1,"")</f>
        <v>1.6468025602992764E-2</v>
      </c>
      <c r="EU19" s="62">
        <f>IFERROR(Inv_SY_B!EU19/Inv_SY_B!$IS19-1,"")</f>
        <v>-4.3788750474926807E-4</v>
      </c>
      <c r="EV19" s="62">
        <f>IFERROR(Inv_SY_B!EV19/Inv_SY_B!$IS19-1,"")</f>
        <v>1.7093192181456107E-2</v>
      </c>
      <c r="EW19" s="62">
        <f>IFERROR(Inv_SY_B!EW19/Inv_SY_B!$IS19-1,"")</f>
        <v>2.5810303627635589E-2</v>
      </c>
      <c r="EX19" s="62">
        <f>IFERROR(Inv_SY_B!EX19/Inv_SY_B!$IS19-1,"")</f>
        <v>2.0111895589670192E-2</v>
      </c>
      <c r="EY19" s="62">
        <f>IFERROR(Inv_SY_B!EY19/Inv_SY_B!$IS19-1,"")</f>
        <v>-1.2182670580795252E-2</v>
      </c>
      <c r="EZ19" s="62">
        <f>IFERROR(Inv_SY_B!EZ19/Inv_SY_B!$IS19-1,"")</f>
        <v>2.0846392943005609E-2</v>
      </c>
      <c r="FA19" s="62">
        <f>IFERROR(Inv_SY_B!FA19/Inv_SY_B!$IS19-1,"")</f>
        <v>3.8480256229556087E-3</v>
      </c>
      <c r="FB19" s="62">
        <f>IFERROR(Inv_SY_B!FB19/Inv_SY_B!$IS19-1,"")</f>
        <v>-6.0152245504067059E-3</v>
      </c>
      <c r="FC19" s="62">
        <f>IFERROR(Inv_SY_B!FC19/Inv_SY_B!$IS19-1,"")</f>
        <v>-1.2625700730426126E-2</v>
      </c>
      <c r="FD19" s="62">
        <f>IFERROR(Inv_SY_B!FD19/Inv_SY_B!$IS19-1,"")</f>
        <v>-2.2803735483789556E-2</v>
      </c>
      <c r="FE19" s="62">
        <f>IFERROR(Inv_SY_B!FE19/Inv_SY_B!$IS19-1,"")</f>
        <v>7.1902270537989033E-3</v>
      </c>
      <c r="FF19" s="62">
        <f>IFERROR(Inv_SY_B!FF19/Inv_SY_B!$IS19-1,"")</f>
        <v>-9.2584596170828259E-3</v>
      </c>
      <c r="FG19" s="62">
        <f>IFERROR(Inv_SY_B!FG19/Inv_SY_B!$IS19-1,"")</f>
        <v>-1.6804810491179212E-2</v>
      </c>
      <c r="FH19" s="62">
        <f>IFERROR(Inv_SY_B!FH19/Inv_SY_B!$IS19-1,"")</f>
        <v>-3.5279494220661345E-3</v>
      </c>
      <c r="FI19" s="62">
        <f>IFERROR(Inv_SY_B!FI19/Inv_SY_B!$IS19-1,"")</f>
        <v>-1.4257917071171744E-2</v>
      </c>
      <c r="FJ19" s="62">
        <f>IFERROR(Inv_SY_B!FJ19/Inv_SY_B!$IS19-1,"")</f>
        <v>-7.6548600563375313E-3</v>
      </c>
      <c r="FK19" s="62">
        <f>IFERROR(Inv_SY_B!FK19/Inv_SY_B!$IS19-1,"")</f>
        <v>7.2491829200025393E-3</v>
      </c>
      <c r="FL19" s="62">
        <f>IFERROR(Inv_SY_B!FL19/Inv_SY_B!$IS19-1,"")</f>
        <v>2.0794882739005649E-2</v>
      </c>
      <c r="FM19" s="62">
        <f>IFERROR(Inv_SY_B!FM19/Inv_SY_B!$IS19-1,"")</f>
        <v>7.1687294461297846E-4</v>
      </c>
      <c r="FN19" s="62">
        <f>IFERROR(Inv_SY_B!FN19/Inv_SY_B!$IS19-1,"")</f>
        <v>-1.8974386367481832E-2</v>
      </c>
      <c r="FO19" s="62">
        <f>IFERROR(Inv_SY_B!FO19/Inv_SY_B!$IS19-1,"")</f>
        <v>-1.647465764043754E-2</v>
      </c>
      <c r="FP19" s="62">
        <f>IFERROR(Inv_SY_B!FP19/Inv_SY_B!$IS19-1,"")</f>
        <v>-1.4759749404299138E-2</v>
      </c>
      <c r="FQ19" s="62">
        <f>IFERROR(Inv_SY_B!FQ19/Inv_SY_B!$IS19-1,"")</f>
        <v>-8.7490809330814656E-3</v>
      </c>
      <c r="FR19" s="62">
        <f>IFERROR(Inv_SY_B!FR19/Inv_SY_B!$IS19-1,"")</f>
        <v>-2.3419187032324595E-2</v>
      </c>
      <c r="FS19" s="62">
        <f>IFERROR(Inv_SY_B!FS19/Inv_SY_B!$IS19-1,"")</f>
        <v>1.7342427214106504E-2</v>
      </c>
      <c r="FT19" s="62">
        <f>IFERROR(Inv_SY_B!FT19/Inv_SY_B!$IS19-1,"")</f>
        <v>9.3848002173719802E-3</v>
      </c>
      <c r="FU19" s="62">
        <f>IFERROR(Inv_SY_B!FU19/Inv_SY_B!$IS19-1,"")</f>
        <v>-1.4257917071171744E-2</v>
      </c>
      <c r="FV19" s="62">
        <f>IFERROR(Inv_SY_B!FV19/Inv_SY_B!$IS19-1,"")</f>
        <v>-8.8339773804149146E-3</v>
      </c>
      <c r="FW19" s="62">
        <f>IFERROR(Inv_SY_B!FW19/Inv_SY_B!$IS19-1,"")</f>
        <v>-1.405538238726467E-3</v>
      </c>
      <c r="FX19" s="62">
        <f>IFERROR(Inv_SY_B!FX19/Inv_SY_B!$IS19-1,"")</f>
        <v>1.4512545636320429E-2</v>
      </c>
      <c r="FY19" s="62">
        <f>IFERROR(Inv_SY_B!FY19/Inv_SY_B!$IS19-1,"")</f>
        <v>-8.5981539155994824E-3</v>
      </c>
      <c r="FZ19" s="62">
        <f>IFERROR(Inv_SY_B!FZ19/Inv_SY_B!$IS19-1,"")</f>
        <v>1.0267723269641316E-2</v>
      </c>
      <c r="GA19" s="62">
        <f>IFERROR(Inv_SY_B!GA19/Inv_SY_B!$IS19-1,"")</f>
        <v>2.2675665572241988E-2</v>
      </c>
      <c r="GB19" s="62">
        <f>IFERROR(Inv_SY_B!GB19/Inv_SY_B!$IS19-1,"")</f>
        <v>-1.0484741634123607E-2</v>
      </c>
      <c r="GC19" s="62">
        <f>IFERROR(Inv_SY_B!GC19/Inv_SY_B!$IS19-1,"")</f>
        <v>-2.274756180452997E-2</v>
      </c>
      <c r="GD19" s="62">
        <f>IFERROR(Inv_SY_B!GD19/Inv_SY_B!$IS19-1,"")</f>
        <v>1.8553616529398909E-2</v>
      </c>
      <c r="GE19" s="62">
        <f>IFERROR(Inv_SY_B!GE19/Inv_SY_B!$IS19-1,"")</f>
        <v>2.1046033337197567E-3</v>
      </c>
      <c r="GF19" s="62">
        <f>IFERROR(Inv_SY_B!GF19/Inv_SY_B!$IS19-1,"")</f>
        <v>-1.5201210930433806E-2</v>
      </c>
      <c r="GG19" s="62">
        <f>IFERROR(Inv_SY_B!GG19/Inv_SY_B!$IS19-1,"")</f>
        <v>-1.8529151665910182E-2</v>
      </c>
      <c r="GH19" s="62">
        <f>IFERROR(Inv_SY_B!GH19/Inv_SY_B!$IS19-1,"")</f>
        <v>2.6610015885522031E-3</v>
      </c>
      <c r="GI19" s="62">
        <f>IFERROR(Inv_SY_B!GI19/Inv_SY_B!$IS19-1,"")</f>
        <v>5.8191494293615698E-3</v>
      </c>
      <c r="GJ19" s="62">
        <f>IFERROR(Inv_SY_B!GJ19/Inv_SY_B!$IS19-1,"")</f>
        <v>-4.7524174124542462E-3</v>
      </c>
      <c r="GK19" s="62">
        <f>IFERROR(Inv_SY_B!GK19/Inv_SY_B!$IS19-1,"")</f>
        <v>-3.4433264705657773E-4</v>
      </c>
      <c r="GL19" s="62">
        <f>IFERROR(Inv_SY_B!GL19/Inv_SY_B!$IS19-1,"")</f>
        <v>-1.0956388563754582E-2</v>
      </c>
      <c r="GM19" s="62">
        <f>IFERROR(Inv_SY_B!GM19/Inv_SY_B!$IS19-1,"")</f>
        <v>-3.5279494220661345E-3</v>
      </c>
      <c r="GN19" s="62">
        <f>IFERROR(Inv_SY_B!GN19/Inv_SY_B!$IS19-1,"")</f>
        <v>1.2390134452980872E-2</v>
      </c>
      <c r="GO19" s="62">
        <f>IFERROR(Inv_SY_B!GO19/Inv_SY_B!$IS19-1,"")</f>
        <v>-1.0956388563754582E-2</v>
      </c>
      <c r="GP19" s="62">
        <f>IFERROR(Inv_SY_B!GP19/Inv_SY_B!$IS19-1,"")</f>
        <v>-6.7115661970754692E-3</v>
      </c>
      <c r="GQ19" s="62">
        <f>IFERROR(Inv_SY_B!GQ19/Inv_SY_B!$IS19-1,"")</f>
        <v>-5.4381194870717353E-3</v>
      </c>
      <c r="GR19" s="62">
        <f>IFERROR(Inv_SY_B!GR19/Inv_SY_B!$IS19-1,"")</f>
        <v>-8.8339773804149146E-3</v>
      </c>
      <c r="GS19" s="62" t="str">
        <f>IFERROR(Inv_SY_B!GS19/Inv_SY_B!$IS19-1,"")</f>
        <v/>
      </c>
      <c r="GT19" s="62" t="str">
        <f>IFERROR(Inv_SY_B!GT19/Inv_SY_B!$IS19-1,"")</f>
        <v/>
      </c>
      <c r="GU19" s="62">
        <f>IFERROR(Inv_SY_B!GU19/Inv_SY_B!$IS19-1,"")</f>
        <v>1.0245323151611307E-2</v>
      </c>
      <c r="GV19" s="62">
        <f>IFERROR(Inv_SY_B!GV19/Inv_SY_B!$IS19-1,"")</f>
        <v>8.2809464965016844E-4</v>
      </c>
      <c r="GW19" s="62">
        <f>IFERROR(Inv_SY_B!GW19/Inv_SY_B!$IS19-1,"")</f>
        <v>-1.2302307850750482E-2</v>
      </c>
      <c r="GX19" s="62" t="str">
        <f>IFERROR(Inv_SY_B!GX19/Inv_SY_B!$IS19-1,"")</f>
        <v/>
      </c>
      <c r="GY19" s="62">
        <f>IFERROR(Inv_SY_B!GY19/Inv_SY_B!$IS19-1,"")</f>
        <v>-1.7626823711393347E-2</v>
      </c>
      <c r="GZ19" s="62">
        <f>IFERROR(Inv_SY_B!GZ19/Inv_SY_B!$IS19-1,"")</f>
        <v>3.1135282696201916E-3</v>
      </c>
      <c r="HA19" s="62">
        <f>IFERROR(Inv_SY_B!HA19/Inv_SY_B!$IS19-1,"")</f>
        <v>-1.9970674263781074E-2</v>
      </c>
      <c r="HB19" s="62">
        <f>IFERROR(Inv_SY_B!HB19/Inv_SY_B!$IS19-1,"")</f>
        <v>-4.2314452637347566E-3</v>
      </c>
      <c r="HC19" s="62">
        <f>IFERROR(Inv_SY_B!HC19/Inv_SY_B!$IS19-1,"")</f>
        <v>-1.8921392330444764E-2</v>
      </c>
      <c r="HD19" s="62">
        <f>IFERROR(Inv_SY_B!HD19/Inv_SY_B!$IS19-1,"")</f>
        <v>-1.6088331110436283E-2</v>
      </c>
      <c r="HE19" s="62">
        <f>IFERROR(Inv_SY_B!HE19/Inv_SY_B!$IS19-1,"")</f>
        <v>-2.1019956197117606E-2</v>
      </c>
      <c r="HF19" s="62">
        <f>IFERROR(Inv_SY_B!HF19/Inv_SY_B!$IS19-1,"")</f>
        <v>1.22422810896472E-2</v>
      </c>
      <c r="HG19" s="62">
        <f>IFERROR(Inv_SY_B!HG19/Inv_SY_B!$IS19-1,"")</f>
        <v>-1.7872110397108232E-2</v>
      </c>
      <c r="HH19" s="62">
        <f>IFERROR(Inv_SY_B!HH19/Inv_SY_B!$IS19-1,"")</f>
        <v>-1.8921392330444764E-2</v>
      </c>
      <c r="HI19" s="62">
        <f>IFERROR(Inv_SY_B!HI19/Inv_SY_B!$IS19-1,"")</f>
        <v>2.462380790301677E-2</v>
      </c>
      <c r="HJ19" s="62">
        <f>IFERROR(Inv_SY_B!HJ19/Inv_SY_B!$IS19-1,"")</f>
        <v>1.4026060376318927E-2</v>
      </c>
      <c r="HK19" s="62">
        <f>IFERROR(Inv_SY_B!HK19/Inv_SY_B!$IS19-1,"")</f>
        <v>2.6897252091912405E-2</v>
      </c>
      <c r="HL19" s="62">
        <f>IFERROR(Inv_SY_B!HL19/Inv_SY_B!$IS19-1,"")</f>
        <v>3.6317472115643845E-2</v>
      </c>
      <c r="HM19" s="62">
        <f>IFERROR(Inv_SY_B!HM19/Inv_SY_B!$IS19-1,"")</f>
        <v>7.1451714623844476E-2</v>
      </c>
      <c r="HN19" s="62">
        <f>IFERROR(Inv_SY_B!HN19/Inv_SY_B!$IS19-1,"")</f>
        <v>7.232995373419171E-2</v>
      </c>
      <c r="HO19" s="62">
        <f>IFERROR(Inv_SY_B!HO19/Inv_SY_B!$IS19-1,"")</f>
        <v>7.6867522470986938E-2</v>
      </c>
      <c r="HP19" s="62">
        <f>IFERROR(Inv_SY_B!HP19/Inv_SY_B!$IS19-1,"")</f>
        <v>5.5643410637590929E-2</v>
      </c>
      <c r="HQ19" s="62">
        <f>IFERROR(Inv_SY_B!HQ19/Inv_SY_B!$IS19-1,"")</f>
        <v>-1.0889010430950141E-2</v>
      </c>
      <c r="HR19" s="62">
        <f>IFERROR(Inv_SY_B!HR19/Inv_SY_B!$IS19-1,"")</f>
        <v>-6.2442463034960705E-3</v>
      </c>
      <c r="HS19" s="62">
        <f>IFERROR(Inv_SY_B!HS19/Inv_SY_B!$IS19-1,"")</f>
        <v>1.7383762562995564E-2</v>
      </c>
      <c r="HT19" s="62">
        <f>IFERROR(Inv_SY_B!HT19/Inv_SY_B!$IS19-1,"")</f>
        <v>1.7477032068180964E-2</v>
      </c>
      <c r="HU19" s="62">
        <f>IFERROR(Inv_SY_B!HU19/Inv_SY_B!$IS19-1,"")</f>
        <v>1.564034027375949E-2</v>
      </c>
      <c r="HV19" s="62">
        <f>IFERROR(Inv_SY_B!HV19/Inv_SY_B!$IS19-1,"")</f>
        <v>-7.9927174247714783E-3</v>
      </c>
      <c r="HW19" s="62">
        <f>IFERROR(Inv_SY_B!HW19/Inv_SY_B!$IS19-1,"")</f>
        <v>6.3820783804731995E-2</v>
      </c>
      <c r="HX19" s="62">
        <f>IFERROR(Inv_SY_B!HX19/Inv_SY_B!$IS19-1,"")</f>
        <v>-1.1092134827857536E-2</v>
      </c>
      <c r="HY19" s="62">
        <f>IFERROR(Inv_SY_B!HY19/Inv_SY_B!$IS19-1,"")</f>
        <v>1.4585677407431774E-2</v>
      </c>
      <c r="HZ19" s="62">
        <f>IFERROR(Inv_SY_B!HZ19/Inv_SY_B!$IS19-1,"")</f>
        <v>5.7250744148129584E-3</v>
      </c>
      <c r="IA19" s="62">
        <f>IFERROR(Inv_SY_B!IA19/Inv_SY_B!$IS19-1,"")</f>
        <v>-7.3646157919490252E-3</v>
      </c>
      <c r="IB19" s="62">
        <f>IFERROR(Inv_SY_B!IB19/Inv_SY_B!$IS19-1,"")</f>
        <v>2.6207054818327968E-4</v>
      </c>
      <c r="IC19" s="62">
        <f>IFERROR(Inv_SY_B!IC19/Inv_SY_B!$IS19-1,"")</f>
        <v>4.6079601140691651E-3</v>
      </c>
      <c r="ID19" s="62">
        <f>IFERROR(Inv_SY_B!ID19/Inv_SY_B!$IS19-1,"")</f>
        <v>-1.687817779134404E-2</v>
      </c>
      <c r="IE19" s="62">
        <f>IFERROR(Inv_SY_B!IE19/Inv_SY_B!$IS19-1,"")</f>
        <v>1.9889320634113972E-2</v>
      </c>
      <c r="IF19" s="62" t="str">
        <f>IFERROR(Inv_SY_B!IF19/Inv_SY_B!$IS19-1,"")</f>
        <v/>
      </c>
      <c r="IG19" s="62">
        <f>IFERROR(Inv_SY_B!IG19/Inv_SY_B!$IS19-1,"")</f>
        <v>3.1661243524690574E-2</v>
      </c>
      <c r="IH19" s="62">
        <f>IFERROR(Inv_SY_B!IH19/Inv_SY_B!$IS19-1,"")</f>
        <v>-3.6865203725454654E-3</v>
      </c>
      <c r="II19" s="62">
        <f>IFERROR(Inv_SY_B!II19/Inv_SY_B!$IS19-1,"")</f>
        <v>1.1914967770143559E-2</v>
      </c>
      <c r="IJ19" s="62">
        <f>IFERROR(Inv_SY_B!IJ19/Inv_SY_B!$IS19-1,"")</f>
        <v>-1.8974386367481832E-2</v>
      </c>
      <c r="IK19" s="62">
        <f>IFERROR(Inv_SY_B!IK19/Inv_SY_B!$IS19-1,"")</f>
        <v>-1.7813409309928585E-2</v>
      </c>
      <c r="IL19" s="62" t="str">
        <f>IFERROR(Inv_SY_B!IL19/Inv_SY_B!$IS19-1,"")</f>
        <v/>
      </c>
      <c r="IM19" s="62" t="str">
        <f>IFERROR(Inv_SY_B!IM19/Inv_SY_B!$IS19-1,"")</f>
        <v/>
      </c>
      <c r="IN19" s="62">
        <f>IFERROR(Inv_SY_B!IN19/Inv_SY_B!$IS19-1,"")</f>
        <v>3.8664121170874255E-2</v>
      </c>
      <c r="IO19" s="62">
        <f>IFERROR(Inv_SY_B!IO19/Inv_SY_B!$IS19-1,"")</f>
        <v>3.1930954658210942E-2</v>
      </c>
      <c r="IP19" s="62">
        <f>IFERROR(Inv_SY_B!IP19/Inv_SY_B!$IS19-1,"")</f>
        <v>0.1637250143297353</v>
      </c>
      <c r="IQ19" s="62">
        <f>IFERROR(Inv_SY_B!IQ19/Inv_SY_B!$IS19-1,"")</f>
        <v>-1.0629863766317693E-2</v>
      </c>
      <c r="IR19" s="62">
        <f>IFERROR(Inv_SY_B!IR19/Inv_SY_B!$IS19-1,"")</f>
        <v>-1.8865274018089573E-2</v>
      </c>
    </row>
    <row r="20" spans="2:252" x14ac:dyDescent="0.25">
      <c r="B20" s="85">
        <f t="shared" si="0"/>
        <v>45846</v>
      </c>
      <c r="C20" s="62">
        <f>IFERROR(Inv_SY_B!C20/Inv_SY_B!$IS20-1,"")</f>
        <v>9.0597995607362147E-3</v>
      </c>
      <c r="D20" s="62">
        <f>IFERROR(Inv_SY_B!D20/Inv_SY_B!$IS20-1,"")</f>
        <v>2.3241947130107077E-2</v>
      </c>
      <c r="E20" s="62">
        <f>IFERROR(Inv_SY_B!E20/Inv_SY_B!$IS20-1,"")</f>
        <v>1.632815019003897E-2</v>
      </c>
      <c r="F20" s="62">
        <f>IFERROR(Inv_SY_B!F20/Inv_SY_B!$IS20-1,"")</f>
        <v>2.8619344750160369E-2</v>
      </c>
      <c r="G20" s="62">
        <f>IFERROR(Inv_SY_B!G20/Inv_SY_B!$IS20-1,"")</f>
        <v>1.6150873345421868E-2</v>
      </c>
      <c r="H20" s="62">
        <f>IFERROR(Inv_SY_B!H20/Inv_SY_B!$IS20-1,"")</f>
        <v>5.5733549499328294E-3</v>
      </c>
      <c r="I20" s="62">
        <f>IFERROR(Inv_SY_B!I20/Inv_SY_B!$IS20-1,"")</f>
        <v>7.801133963954765E-3</v>
      </c>
      <c r="J20" s="62">
        <f>IFERROR(Inv_SY_B!J20/Inv_SY_B!$IS20-1,"")</f>
        <v>-9.0224385902115678E-3</v>
      </c>
      <c r="K20" s="62">
        <f>IFERROR(Inv_SY_B!K20/Inv_SY_B!$IS20-1,"")</f>
        <v>2.5085626314125475E-2</v>
      </c>
      <c r="L20" s="62">
        <f>IFERROR(Inv_SY_B!L20/Inv_SY_B!$IS20-1,"")</f>
        <v>2.5823097987732746E-2</v>
      </c>
      <c r="M20" s="62">
        <f>IFERROR(Inv_SY_B!M20/Inv_SY_B!$IS20-1,"")</f>
        <v>2.4778346450122335E-2</v>
      </c>
      <c r="N20" s="62">
        <f>IFERROR(Inv_SY_B!N20/Inv_SY_B!$IS20-1,"")</f>
        <v>1.7864549510054228E-2</v>
      </c>
      <c r="O20" s="62">
        <f>IFERROR(Inv_SY_B!O20/Inv_SY_B!$IS20-1,"")</f>
        <v>2.2473747470099559E-2</v>
      </c>
      <c r="P20" s="62">
        <f>IFERROR(Inv_SY_B!P20/Inv_SY_B!$IS20-1,"")</f>
        <v>1.4530113189827887E-3</v>
      </c>
      <c r="Q20" s="62">
        <f>IFERROR(Inv_SY_B!Q20/Inv_SY_B!$IS20-1,"")</f>
        <v>1.9400948830069265E-2</v>
      </c>
      <c r="R20" s="62">
        <f>IFERROR(Inv_SY_B!R20/Inv_SY_B!$IS20-1,"")</f>
        <v>1.4945390802025393E-2</v>
      </c>
      <c r="S20" s="62">
        <f>IFERROR(Inv_SY_B!S20/Inv_SY_B!$IS20-1,"")</f>
        <v>1.3255351550008454E-2</v>
      </c>
      <c r="T20" s="62">
        <f>IFERROR(Inv_SY_B!T20/Inv_SY_B!$IS20-1,"")</f>
        <v>1.632815019003897E-2</v>
      </c>
      <c r="U20" s="62">
        <f>IFERROR(Inv_SY_B!U20/Inv_SY_B!$IS20-1,"")</f>
        <v>8.3506921822678049E-3</v>
      </c>
      <c r="V20" s="62">
        <f>IFERROR(Inv_SY_B!V20/Inv_SY_B!$IS20-1,"")</f>
        <v>1.189622907461052E-2</v>
      </c>
      <c r="W20" s="62">
        <f>IFERROR(Inv_SY_B!W20/Inv_SY_B!$IS20-1,"")</f>
        <v>6.3415546099403475E-3</v>
      </c>
      <c r="X20" s="62">
        <f>IFERROR(Inv_SY_B!X20/Inv_SY_B!$IS20-1,"")</f>
        <v>-9.0224385902115678E-3</v>
      </c>
      <c r="Y20" s="62">
        <f>IFERROR(Inv_SY_B!Y20/Inv_SY_B!$IS20-1,"")</f>
        <v>7.6415848037991729E-3</v>
      </c>
      <c r="Z20" s="62">
        <f>IFERROR(Inv_SY_B!Z20/Inv_SY_B!$IS20-1,"")</f>
        <v>1.7437771921161138E-2</v>
      </c>
      <c r="AA20" s="62">
        <f>IFERROR(Inv_SY_B!AA20/Inv_SY_B!$IS20-1,"")</f>
        <v>-1.4340743928725641E-2</v>
      </c>
      <c r="AB20" s="62">
        <f>IFERROR(Inv_SY_B!AB20/Inv_SY_B!$IS20-1,"")</f>
        <v>-1.5758958685662683E-2</v>
      </c>
      <c r="AC20" s="62">
        <f>IFERROR(Inv_SY_B!AC20/Inv_SY_B!$IS20-1,"")</f>
        <v>-1.4340743928725641E-2</v>
      </c>
      <c r="AD20" s="62">
        <f>IFERROR(Inv_SY_B!AD20/Inv_SY_B!$IS20-1,"")</f>
        <v>-1.0558837910226604E-2</v>
      </c>
      <c r="AE20" s="62">
        <f>IFERROR(Inv_SY_B!AE20/Inv_SY_B!$IS20-1,"")</f>
        <v>-9.1931496257687817E-3</v>
      </c>
      <c r="AF20" s="62">
        <f>IFERROR(Inv_SY_B!AF20/Inv_SY_B!$IS20-1,"")</f>
        <v>-1.3973058621371548E-2</v>
      </c>
      <c r="AG20" s="62">
        <f>IFERROR(Inv_SY_B!AG20/Inv_SY_B!$IS20-1,"")</f>
        <v>-1.7387279332516381E-2</v>
      </c>
      <c r="AH20" s="62">
        <f>IFERROR(Inv_SY_B!AH20/Inv_SY_B!$IS20-1,"")</f>
        <v>-2.0118655901432136E-2</v>
      </c>
      <c r="AI20" s="62">
        <f>IFERROR(Inv_SY_B!AI20/Inv_SY_B!$IS20-1,"")</f>
        <v>2.9716221391522524E-3</v>
      </c>
      <c r="AJ20" s="62">
        <f>IFERROR(Inv_SY_B!AJ20/Inv_SY_B!$IS20-1,"")</f>
        <v>-4.9546887838942677E-3</v>
      </c>
      <c r="AK20" s="62">
        <f>IFERROR(Inv_SY_B!AK20/Inv_SY_B!$IS20-1,"")</f>
        <v>-4.4132406301659044E-3</v>
      </c>
      <c r="AL20" s="62">
        <f>IFERROR(Inv_SY_B!AL20/Inv_SY_B!$IS20-1,"")</f>
        <v>-2.2351178157843932E-2</v>
      </c>
      <c r="AM20" s="62">
        <f>IFERROR(Inv_SY_B!AM20/Inv_SY_B!$IS20-1,"")</f>
        <v>1.6865889952044189E-2</v>
      </c>
      <c r="AN20" s="62">
        <f>IFERROR(Inv_SY_B!AN20/Inv_SY_B!$IS20-1,"")</f>
        <v>1.4791750870023712E-2</v>
      </c>
      <c r="AO20" s="62">
        <f>IFERROR(Inv_SY_B!AO20/Inv_SY_B!$IS20-1,"")</f>
        <v>7.1097542699478655E-3</v>
      </c>
      <c r="AP20" s="62">
        <f>IFERROR(Inv_SY_B!AP20/Inv_SY_B!$IS20-1,"")</f>
        <v>-3.2609411401546273E-3</v>
      </c>
      <c r="AQ20" s="62">
        <f>IFERROR(Inv_SY_B!AQ20/Inv_SY_B!$IS20-1,"")</f>
        <v>-1.286343689024938E-2</v>
      </c>
      <c r="AR20" s="62">
        <f>IFERROR(Inv_SY_B!AR20/Inv_SY_B!$IS20-1,"")</f>
        <v>-4.4132406301659044E-3</v>
      </c>
      <c r="AS20" s="62">
        <f>IFERROR(Inv_SY_B!AS20/Inv_SY_B!$IS20-1,"")</f>
        <v>-1.286343689024938E-2</v>
      </c>
      <c r="AT20" s="62">
        <f>IFERROR(Inv_SY_B!AT20/Inv_SY_B!$IS20-1,"")</f>
        <v>-8.9456186242107272E-3</v>
      </c>
      <c r="AU20" s="62">
        <f>IFERROR(Inv_SY_B!AU20/Inv_SY_B!$IS20-1,"")</f>
        <v>-1.5936235530279785E-2</v>
      </c>
      <c r="AV20" s="62">
        <f>IFERROR(Inv_SY_B!AV20/Inv_SY_B!$IS20-1,"")</f>
        <v>-1.2479337060245621E-2</v>
      </c>
      <c r="AW20" s="62">
        <f>IFERROR(Inv_SY_B!AW20/Inv_SY_B!$IS20-1,"")</f>
        <v>-1.3560725812410301E-2</v>
      </c>
      <c r="AX20" s="62">
        <f>IFERROR(Inv_SY_B!AX20/Inv_SY_B!$IS20-1,"")</f>
        <v>-9.0224385902115678E-3</v>
      </c>
      <c r="AY20" s="62">
        <f>IFERROR(Inv_SY_B!AY20/Inv_SY_B!$IS20-1,"")</f>
        <v>-1.1787957366238833E-2</v>
      </c>
      <c r="AZ20" s="62">
        <f>IFERROR(Inv_SY_B!AZ20/Inv_SY_B!$IS20-1,"")</f>
        <v>-2.4324975817562655E-2</v>
      </c>
      <c r="BA20" s="62">
        <f>IFERROR(Inv_SY_B!BA20/Inv_SY_B!$IS20-1,"")</f>
        <v>-1.5936235530279785E-2</v>
      </c>
      <c r="BB20" s="62">
        <f>IFERROR(Inv_SY_B!BB20/Inv_SY_B!$IS20-1,"")</f>
        <v>-1.1864777332239562E-2</v>
      </c>
      <c r="BC20" s="62">
        <f>IFERROR(Inv_SY_B!BC20/Inv_SY_B!$IS20-1,"")</f>
        <v>-7.1446171990817708E-3</v>
      </c>
      <c r="BD20" s="62">
        <f>IFERROR(Inv_SY_B!BD20/Inv_SY_B!$IS20-1,"")</f>
        <v>-1.4860756006269016E-2</v>
      </c>
      <c r="BE20" s="62">
        <f>IFERROR(Inv_SY_B!BE20/Inv_SY_B!$IS20-1,"")</f>
        <v>-2.2779121732501406E-2</v>
      </c>
      <c r="BF20" s="62">
        <f>IFERROR(Inv_SY_B!BF20/Inv_SY_B!$IS20-1,"")</f>
        <v>-1.6021591048058448E-2</v>
      </c>
      <c r="BG20" s="62">
        <f>IFERROR(Inv_SY_B!BG20/Inv_SY_B!$IS20-1,"")</f>
        <v>-1.7387279332516381E-2</v>
      </c>
      <c r="BH20" s="62">
        <f>IFERROR(Inv_SY_B!BH20/Inv_SY_B!$IS20-1,"")</f>
        <v>7.1097542699478655E-3</v>
      </c>
      <c r="BI20" s="62">
        <f>IFERROR(Inv_SY_B!BI20/Inv_SY_B!$IS20-1,"")</f>
        <v>-5.096084772394871E-3</v>
      </c>
      <c r="BJ20" s="62">
        <f>IFERROR(Inv_SY_B!BJ20/Inv_SY_B!$IS20-1,"")</f>
        <v>-1.6021591048058448E-2</v>
      </c>
      <c r="BK20" s="62">
        <f>IFERROR(Inv_SY_B!BK20/Inv_SY_B!$IS20-1,"")</f>
        <v>5.9574547799365885E-3</v>
      </c>
      <c r="BL20" s="62">
        <f>IFERROR(Inv_SY_B!BL20/Inv_SY_B!$IS20-1,"")</f>
        <v>3.3163519453604406E-2</v>
      </c>
      <c r="BM20" s="62">
        <f>IFERROR(Inv_SY_B!BM20/Inv_SY_B!$IS20-1,"")</f>
        <v>-2.0545433490325227E-2</v>
      </c>
      <c r="BN20" s="62">
        <f>IFERROR(Inv_SY_B!BN20/Inv_SY_B!$IS20-1,"")</f>
        <v>2.9618726752991487E-2</v>
      </c>
      <c r="BO20" s="62">
        <f>IFERROR(Inv_SY_B!BO20/Inv_SY_B!$IS20-1,"")</f>
        <v>-1.4340743928725641E-2</v>
      </c>
      <c r="BP20" s="62">
        <f>IFERROR(Inv_SY_B!BP20/Inv_SY_B!$IS20-1,"")</f>
        <v>-1.8595388199536766E-2</v>
      </c>
      <c r="BQ20" s="62">
        <f>IFERROR(Inv_SY_B!BQ20/Inv_SY_B!$IS20-1,"")</f>
        <v>-6.5405627655716891E-3</v>
      </c>
      <c r="BR20" s="62">
        <f>IFERROR(Inv_SY_B!BR20/Inv_SY_B!$IS20-1,"")</f>
        <v>-2.2859184947603417E-3</v>
      </c>
      <c r="BS20" s="62">
        <f>IFERROR(Inv_SY_B!BS20/Inv_SY_B!$IS20-1,"")</f>
        <v>-9.0224385902115678E-3</v>
      </c>
      <c r="BT20" s="62">
        <f>IFERROR(Inv_SY_B!BT20/Inv_SY_B!$IS20-1,"")</f>
        <v>-5.1814402901736445E-3</v>
      </c>
      <c r="BU20" s="62">
        <f>IFERROR(Inv_SY_B!BU20/Inv_SY_B!$IS20-1,"")</f>
        <v>-8.2542389302039387E-3</v>
      </c>
      <c r="BV20" s="62">
        <f>IFERROR(Inv_SY_B!BV20/Inv_SY_B!$IS20-1,"")</f>
        <v>-5.9496399501811625E-3</v>
      </c>
      <c r="BW20" s="62">
        <f>IFERROR(Inv_SY_B!BW20/Inv_SY_B!$IS20-1,"")</f>
        <v>1.4791750870023712E-2</v>
      </c>
      <c r="BX20" s="62">
        <f>IFERROR(Inv_SY_B!BX20/Inv_SY_B!$IS20-1,"")</f>
        <v>-9.0224385902115678E-3</v>
      </c>
      <c r="BY20" s="62">
        <f>IFERROR(Inv_SY_B!BY20/Inv_SY_B!$IS20-1,"")</f>
        <v>-9.1931496257687817E-3</v>
      </c>
      <c r="BZ20" s="62">
        <f>IFERROR(Inv_SY_B!BZ20/Inv_SY_B!$IS20-1,"")</f>
        <v>-5.0278003581720743E-3</v>
      </c>
      <c r="CA20" s="62">
        <f>IFERROR(Inv_SY_B!CA20/Inv_SY_B!$IS20-1,"")</f>
        <v>-1.8070123474745237E-2</v>
      </c>
      <c r="CB20" s="62">
        <f>IFERROR(Inv_SY_B!CB20/Inv_SY_B!$IS20-1,"")</f>
        <v>-1.1327037570234344E-2</v>
      </c>
      <c r="CC20" s="62">
        <f>IFERROR(Inv_SY_B!CC20/Inv_SY_B!$IS20-1,"")</f>
        <v>2.3469163779008539E-3</v>
      </c>
      <c r="CD20" s="62">
        <f>IFERROR(Inv_SY_B!CD20/Inv_SY_B!$IS20-1,"")</f>
        <v>-7.249670144040099E-3</v>
      </c>
      <c r="CE20" s="62">
        <f>IFERROR(Inv_SY_B!CE20/Inv_SY_B!$IS20-1,"")</f>
        <v>-2.4002331960359391E-2</v>
      </c>
      <c r="CF20" s="62">
        <f>IFERROR(Inv_SY_B!CF20/Inv_SY_B!$IS20-1,"")</f>
        <v>7.1097542699478655E-3</v>
      </c>
      <c r="CG20" s="62">
        <f>IFERROR(Inv_SY_B!CG20/Inv_SY_B!$IS20-1,"")</f>
        <v>-6.256919814184192E-3</v>
      </c>
      <c r="CH20" s="62">
        <f>IFERROR(Inv_SY_B!CH20/Inv_SY_B!$IS20-1,"")</f>
        <v>-8.2542389302039387E-3</v>
      </c>
      <c r="CI20" s="62">
        <f>IFERROR(Inv_SY_B!CI20/Inv_SY_B!$IS20-1,"")</f>
        <v>-2.6691030770385926E-2</v>
      </c>
      <c r="CJ20" s="62">
        <f>IFERROR(Inv_SY_B!CJ20/Inv_SY_B!$IS20-1,"")</f>
        <v>-4.4132406301659044E-3</v>
      </c>
      <c r="CK20" s="62">
        <f>IFERROR(Inv_SY_B!CK20/Inv_SY_B!$IS20-1,"")</f>
        <v>4.6515153579234081E-3</v>
      </c>
      <c r="CL20" s="62">
        <f>IFERROR(Inv_SY_B!CL20/Inv_SY_B!$IS20-1,"")</f>
        <v>-1.5936235530279785E-2</v>
      </c>
      <c r="CM20" s="62">
        <f>IFERROR(Inv_SY_B!CM20/Inv_SY_B!$IS20-1,"")</f>
        <v>7.5706740659522431E-3</v>
      </c>
      <c r="CN20" s="62">
        <f>IFERROR(Inv_SY_B!CN20/Inv_SY_B!$IS20-1,"")</f>
        <v>8.4925136579614424E-3</v>
      </c>
      <c r="CO20" s="62">
        <f>IFERROR(Inv_SY_B!CO20/Inv_SY_B!$IS20-1,"")</f>
        <v>3.3302119427105481E-3</v>
      </c>
      <c r="CP20" s="62">
        <f>IFERROR(Inv_SY_B!CP20/Inv_SY_B!$IS20-1,"")</f>
        <v>-6.5405627655716891E-3</v>
      </c>
      <c r="CQ20" s="62">
        <f>IFERROR(Inv_SY_B!CQ20/Inv_SY_B!$IS20-1,"")</f>
        <v>1.3255351550008454E-2</v>
      </c>
      <c r="CR20" s="62">
        <f>IFERROR(Inv_SY_B!CR20/Inv_SY_B!$IS20-1,"")</f>
        <v>-9.7906382502190858E-3</v>
      </c>
      <c r="CS20" s="62">
        <f>IFERROR(Inv_SY_B!CS20/Inv_SY_B!$IS20-1,"")</f>
        <v>5.3514306037081294E-3</v>
      </c>
      <c r="CT20" s="62">
        <f>IFERROR(Inv_SY_B!CT20/Inv_SY_B!$IS20-1,"")</f>
        <v>-1.5936235530279785E-2</v>
      </c>
      <c r="CU20" s="62">
        <f>IFERROR(Inv_SY_B!CU20/Inv_SY_B!$IS20-1,"")</f>
        <v>-5.1814402901736445E-3</v>
      </c>
      <c r="CV20" s="62">
        <f>IFERROR(Inv_SY_B!CV20/Inv_SY_B!$IS20-1,"")</f>
        <v>-9.0224385902115678E-3</v>
      </c>
      <c r="CW20" s="62">
        <f>IFERROR(Inv_SY_B!CW20/Inv_SY_B!$IS20-1,"")</f>
        <v>-3.6450409701583864E-3</v>
      </c>
      <c r="CX20" s="62">
        <f>IFERROR(Inv_SY_B!CX20/Inv_SY_B!$IS20-1,"")</f>
        <v>-1.3631636550257009E-2</v>
      </c>
      <c r="CY20" s="62">
        <f>IFERROR(Inv_SY_B!CY20/Inv_SY_B!$IS20-1,"")</f>
        <v>-6.7178396101886806E-3</v>
      </c>
      <c r="CZ20" s="62">
        <f>IFERROR(Inv_SY_B!CZ20/Inv_SY_B!$IS20-1,"")</f>
        <v>-2.1086416501432392E-3</v>
      </c>
      <c r="DA20" s="62">
        <f>IFERROR(Inv_SY_B!DA20/Inv_SY_B!$IS20-1,"")</f>
        <v>-1.8240834510302562E-2</v>
      </c>
      <c r="DB20" s="62">
        <f>IFERROR(Inv_SY_B!DB20/Inv_SY_B!$IS20-1,"")</f>
        <v>-6.7178396101886806E-3</v>
      </c>
      <c r="DC20" s="62">
        <f>IFERROR(Inv_SY_B!DC20/Inv_SY_B!$IS20-1,"")</f>
        <v>-3.8669653163828643E-3</v>
      </c>
      <c r="DD20" s="62">
        <f>IFERROR(Inv_SY_B!DD20/Inv_SY_B!$IS20-1,"")</f>
        <v>-9.0224385902115678E-3</v>
      </c>
      <c r="DE20" s="62">
        <f>IFERROR(Inv_SY_B!DE20/Inv_SY_B!$IS20-1,"")</f>
        <v>1.1292174641100328E-2</v>
      </c>
      <c r="DF20" s="62">
        <f>IFERROR(Inv_SY_B!DF20/Inv_SY_B!$IS20-1,"")</f>
        <v>-3.6175410157853749E-3</v>
      </c>
      <c r="DG20" s="62">
        <f>IFERROR(Inv_SY_B!DG20/Inv_SY_B!$IS20-1,"")</f>
        <v>-1.6477218541387506E-3</v>
      </c>
      <c r="DH20" s="62">
        <f>IFERROR(Inv_SY_B!DH20/Inv_SY_B!$IS20-1,"")</f>
        <v>6.5805500597202471E-3</v>
      </c>
      <c r="DI20" s="62">
        <f>IFERROR(Inv_SY_B!DI20/Inv_SY_B!$IS20-1,"")</f>
        <v>-6.256919814184192E-3</v>
      </c>
      <c r="DJ20" s="62">
        <f>IFERROR(Inv_SY_B!DJ20/Inv_SY_B!$IS20-1,"")</f>
        <v>9.981639152745414E-3</v>
      </c>
      <c r="DK20" s="62">
        <f>IFERROR(Inv_SY_B!DK20/Inv_SY_B!$IS20-1,"")</f>
        <v>4.6003020472564771E-3</v>
      </c>
      <c r="DL20" s="62">
        <f>IFERROR(Inv_SY_B!DL20/Inv_SY_B!$IS20-1,"")</f>
        <v>9.9947707708651912E-3</v>
      </c>
      <c r="DM20" s="62">
        <f>IFERROR(Inv_SY_B!DM20/Inv_SY_B!$IS20-1,"")</f>
        <v>1.5175850700027693E-2</v>
      </c>
      <c r="DN20" s="62">
        <f>IFERROR(Inv_SY_B!DN20/Inv_SY_B!$IS20-1,"")</f>
        <v>1.04898327739813E-2</v>
      </c>
      <c r="DO20" s="62">
        <f>IFERROR(Inv_SY_B!DO20/Inv_SY_B!$IS20-1,"")</f>
        <v>-1.7341817310333796E-2</v>
      </c>
      <c r="DP20" s="62">
        <f>IFERROR(Inv_SY_B!DP20/Inv_SY_B!$IS20-1,"")</f>
        <v>-2.8312785608179736E-2</v>
      </c>
      <c r="DQ20" s="62">
        <f>IFERROR(Inv_SY_B!DQ20/Inv_SY_B!$IS20-1,"")</f>
        <v>2.620054034792263E-3</v>
      </c>
      <c r="DR20" s="62">
        <f>IFERROR(Inv_SY_B!DR20/Inv_SY_B!$IS20-1,"")</f>
        <v>-1.1099820921334214E-3</v>
      </c>
      <c r="DS20" s="62">
        <f>IFERROR(Inv_SY_B!DS20/Inv_SY_B!$IS20-1,"")</f>
        <v>-8.3310588962045573E-3</v>
      </c>
      <c r="DT20" s="62">
        <f>IFERROR(Inv_SY_B!DT20/Inv_SY_B!$IS20-1,"")</f>
        <v>-2.8995629750408813E-2</v>
      </c>
      <c r="DU20" s="62">
        <f>IFERROR(Inv_SY_B!DU20/Inv_SY_B!$IS20-1,"")</f>
        <v>-7.3494704417504941E-3</v>
      </c>
      <c r="DV20" s="62">
        <f>IFERROR(Inv_SY_B!DV20/Inv_SY_B!$IS20-1,"")</f>
        <v>-3.6450409701583864E-3</v>
      </c>
      <c r="DW20" s="62">
        <f>IFERROR(Inv_SY_B!DW20/Inv_SY_B!$IS20-1,"")</f>
        <v>-2.3310952266352603E-2</v>
      </c>
      <c r="DX20" s="62">
        <f>IFERROR(Inv_SY_B!DX20/Inv_SY_B!$IS20-1,"")</f>
        <v>-2.8312785608179736E-2</v>
      </c>
      <c r="DY20" s="62">
        <f>IFERROR(Inv_SY_B!DY20/Inv_SY_B!$IS20-1,"")</f>
        <v>-1.286343689024938E-2</v>
      </c>
      <c r="DZ20" s="62">
        <f>IFERROR(Inv_SY_B!DZ20/Inv_SY_B!$IS20-1,"")</f>
        <v>-2.6306930940382167E-2</v>
      </c>
      <c r="EA20" s="62">
        <f>IFERROR(Inv_SY_B!EA20/Inv_SY_B!$IS20-1,"")</f>
        <v>-1.7387279332516381E-2</v>
      </c>
      <c r="EB20" s="62">
        <f>IFERROR(Inv_SY_B!EB20/Inv_SY_B!$IS20-1,"")</f>
        <v>-1.8070123474745237E-2</v>
      </c>
      <c r="EC20" s="62">
        <f>IFERROR(Inv_SY_B!EC20/Inv_SY_B!$IS20-1,"")</f>
        <v>-2.2708210994654365E-2</v>
      </c>
      <c r="ED20" s="62">
        <f>IFERROR(Inv_SY_B!ED20/Inv_SY_B!$IS20-1,"")</f>
        <v>9.2016210364300743E-3</v>
      </c>
      <c r="EE20" s="62">
        <f>IFERROR(Inv_SY_B!EE20/Inv_SY_B!$IS20-1,"")</f>
        <v>9.2725317742770041E-3</v>
      </c>
      <c r="EF20" s="62">
        <f>IFERROR(Inv_SY_B!EF20/Inv_SY_B!$IS20-1,"")</f>
        <v>3.3298379042933979E-2</v>
      </c>
      <c r="EG20" s="62">
        <f>IFERROR(Inv_SY_B!EG20/Inv_SY_B!$IS20-1,"")</f>
        <v>1.9092057358387926E-2</v>
      </c>
      <c r="EH20" s="62">
        <f>IFERROR(Inv_SY_B!EH20/Inv_SY_B!$IS20-1,"")</f>
        <v>-3.8572359811395174E-3</v>
      </c>
      <c r="EI20" s="62">
        <f>IFERROR(Inv_SY_B!EI20/Inv_SY_B!$IS20-1,"")</f>
        <v>-1.6766213484623704E-2</v>
      </c>
      <c r="EJ20" s="62">
        <f>IFERROR(Inv_SY_B!EJ20/Inv_SY_B!$IS20-1,"")</f>
        <v>1.0486072356065135E-2</v>
      </c>
      <c r="EK20" s="62">
        <f>IFERROR(Inv_SY_B!EK20/Inv_SY_B!$IS20-1,"")</f>
        <v>2.3610682966910934E-2</v>
      </c>
      <c r="EL20" s="62">
        <f>IFERROR(Inv_SY_B!EL20/Inv_SY_B!$IS20-1,"")</f>
        <v>2.3702866926111676E-2</v>
      </c>
      <c r="EM20" s="62">
        <f>IFERROR(Inv_SY_B!EM20/Inv_SY_B!$IS20-1,"")</f>
        <v>1.0123460628439052E-2</v>
      </c>
      <c r="EN20" s="62">
        <f>IFERROR(Inv_SY_B!EN20/Inv_SY_B!$IS20-1,"")</f>
        <v>-2.625374788699697E-2</v>
      </c>
      <c r="EO20" s="62">
        <f>IFERROR(Inv_SY_B!EO20/Inv_SY_B!$IS20-1,"")</f>
        <v>2.2857847300103318E-2</v>
      </c>
      <c r="EP20" s="62">
        <f>IFERROR(Inv_SY_B!EP20/Inv_SY_B!$IS20-1,"")</f>
        <v>1.5441765966953236E-2</v>
      </c>
      <c r="EQ20" s="62">
        <f>IFERROR(Inv_SY_B!EQ20/Inv_SY_B!$IS20-1,"")</f>
        <v>-4.1827807321636046E-3</v>
      </c>
      <c r="ER20" s="62">
        <f>IFERROR(Inv_SY_B!ER20/Inv_SY_B!$IS20-1,"")</f>
        <v>7.7124955416461027E-3</v>
      </c>
      <c r="ES20" s="62">
        <f>IFERROR(Inv_SY_B!ES20/Inv_SY_B!$IS20-1,"")</f>
        <v>4.4210554599213303E-3</v>
      </c>
      <c r="ET20" s="62">
        <f>IFERROR(Inv_SY_B!ET20/Inv_SY_B!$IS20-1,"")</f>
        <v>6.4812272753962397E-3</v>
      </c>
      <c r="EU20" s="62">
        <f>IFERROR(Inv_SY_B!EU20/Inv_SY_B!$IS20-1,"")</f>
        <v>-2.2850032470348003E-2</v>
      </c>
      <c r="EV20" s="62">
        <f>IFERROR(Inv_SY_B!EV20/Inv_SY_B!$IS20-1,"")</f>
        <v>1.6930891461737207E-2</v>
      </c>
      <c r="EW20" s="62">
        <f>IFERROR(Inv_SY_B!EW20/Inv_SY_B!$IS20-1,"")</f>
        <v>2.6574751808909447E-2</v>
      </c>
      <c r="EX20" s="62">
        <f>IFERROR(Inv_SY_B!EX20/Inv_SY_B!$IS20-1,"")</f>
        <v>1.9861868626073864E-2</v>
      </c>
      <c r="EY20" s="62">
        <f>IFERROR(Inv_SY_B!EY20/Inv_SY_B!$IS20-1,"")</f>
        <v>-1.0149131424889379E-2</v>
      </c>
      <c r="EZ20" s="62">
        <f>IFERROR(Inv_SY_B!EZ20/Inv_SY_B!$IS20-1,"")</f>
        <v>2.0015508558075323E-2</v>
      </c>
      <c r="FA20" s="62">
        <f>IFERROR(Inv_SY_B!FA20/Inv_SY_B!$IS20-1,"")</f>
        <v>5.1892551199290704E-3</v>
      </c>
      <c r="FB20" s="62">
        <f>IFERROR(Inv_SY_B!FB20/Inv_SY_B!$IS20-1,"")</f>
        <v>-1.7245418201394802E-3</v>
      </c>
      <c r="FC20" s="62">
        <f>IFERROR(Inv_SY_B!FC20/Inv_SY_B!$IS20-1,"")</f>
        <v>-9.0224385902115678E-3</v>
      </c>
      <c r="FD20" s="62">
        <f>IFERROR(Inv_SY_B!FD20/Inv_SY_B!$IS20-1,"")</f>
        <v>1.04898327739813E-2</v>
      </c>
      <c r="FE20" s="62">
        <f>IFERROR(Inv_SY_B!FE20/Inv_SY_B!$IS20-1,"")</f>
        <v>1.0784891279756792E-2</v>
      </c>
      <c r="FF20" s="62">
        <f>IFERROR(Inv_SY_B!FF20/Inv_SY_B!$IS20-1,"")</f>
        <v>2.1894978862616599E-2</v>
      </c>
      <c r="FG20" s="62">
        <f>IFERROR(Inv_SY_B!FG20/Inv_SY_B!$IS20-1,"")</f>
        <v>8.9720564760269461E-3</v>
      </c>
      <c r="FH20" s="62">
        <f>IFERROR(Inv_SY_B!FH20/Inv_SY_B!$IS20-1,"")</f>
        <v>-1.2989142289159705E-2</v>
      </c>
      <c r="FI20" s="62">
        <f>IFERROR(Inv_SY_B!FI20/Inv_SY_B!$IS20-1,"")</f>
        <v>-1.899739478152207E-2</v>
      </c>
      <c r="FJ20" s="62">
        <f>IFERROR(Inv_SY_B!FJ20/Inv_SY_B!$IS20-1,"")</f>
        <v>1.9278983815329553E-3</v>
      </c>
      <c r="FK20" s="62">
        <f>IFERROR(Inv_SY_B!FK20/Inv_SY_B!$IS20-1,"")</f>
        <v>3.6665266239674033E-2</v>
      </c>
      <c r="FL20" s="62">
        <f>IFERROR(Inv_SY_B!FL20/Inv_SY_B!$IS20-1,"")</f>
        <v>-1.2044396380015976E-2</v>
      </c>
      <c r="FM20" s="62">
        <f>IFERROR(Inv_SY_B!FM20/Inv_SY_B!$IS20-1,"")</f>
        <v>-1.2522984768200573E-2</v>
      </c>
      <c r="FN20" s="62">
        <f>IFERROR(Inv_SY_B!FN20/Inv_SY_B!$IS20-1,"")</f>
        <v>-6.7046483028957438E-3</v>
      </c>
      <c r="FO20" s="62">
        <f>IFERROR(Inv_SY_B!FO20/Inv_SY_B!$IS20-1,"")</f>
        <v>1.2494135523273719E-2</v>
      </c>
      <c r="FP20" s="62">
        <f>IFERROR(Inv_SY_B!FP20/Inv_SY_B!$IS20-1,"")</f>
        <v>8.0190233220658325E-3</v>
      </c>
      <c r="FQ20" s="62">
        <f>IFERROR(Inv_SY_B!FQ20/Inv_SY_B!$IS20-1,"")</f>
        <v>-4.6604612480229957E-3</v>
      </c>
      <c r="FR20" s="62">
        <f>IFERROR(Inv_SY_B!FR20/Inv_SY_B!$IS20-1,"")</f>
        <v>-1.2295418937636748E-3</v>
      </c>
      <c r="FS20" s="62">
        <f>IFERROR(Inv_SY_B!FS20/Inv_SY_B!$IS20-1,"")</f>
        <v>2.2093527436358507E-2</v>
      </c>
      <c r="FT20" s="62">
        <f>IFERROR(Inv_SY_B!FT20/Inv_SY_B!$IS20-1,"")</f>
        <v>2.0773093095508122E-2</v>
      </c>
      <c r="FU20" s="62">
        <f>IFERROR(Inv_SY_B!FU20/Inv_SY_B!$IS20-1,"")</f>
        <v>2.0574199219899114E-2</v>
      </c>
      <c r="FV20" s="62">
        <f>IFERROR(Inv_SY_B!FV20/Inv_SY_B!$IS20-1,"")</f>
        <v>-1.1901441406921731E-2</v>
      </c>
      <c r="FW20" s="62">
        <f>IFERROR(Inv_SY_B!FW20/Inv_SY_B!$IS20-1,"")</f>
        <v>-2.6740789157454703E-2</v>
      </c>
      <c r="FX20" s="62">
        <f>IFERROR(Inv_SY_B!FX20/Inv_SY_B!$IS20-1,"")</f>
        <v>-1.6407630776193449E-2</v>
      </c>
      <c r="FY20" s="62">
        <f>IFERROR(Inv_SY_B!FY20/Inv_SY_B!$IS20-1,"")</f>
        <v>-1.8652092914144935E-2</v>
      </c>
      <c r="FZ20" s="62">
        <f>IFERROR(Inv_SY_B!FZ20/Inv_SY_B!$IS20-1,"")</f>
        <v>-8.6383387602076978E-3</v>
      </c>
      <c r="GA20" s="62">
        <f>IFERROR(Inv_SY_B!GA20/Inv_SY_B!$IS20-1,"")</f>
        <v>-1.9634875152064524E-2</v>
      </c>
      <c r="GB20" s="62">
        <f>IFERROR(Inv_SY_B!GB20/Inv_SY_B!$IS20-1,"")</f>
        <v>-2.3486319057425042E-2</v>
      </c>
      <c r="GC20" s="62">
        <f>IFERROR(Inv_SY_B!GC20/Inv_SY_B!$IS20-1,"")</f>
        <v>-2.017142113060455E-2</v>
      </c>
      <c r="GD20" s="62">
        <f>IFERROR(Inv_SY_B!GD20/Inv_SY_B!$IS20-1,"")</f>
        <v>6.7314259988069836E-2</v>
      </c>
      <c r="GE20" s="62">
        <f>IFERROR(Inv_SY_B!GE20/Inv_SY_B!$IS20-1,"")</f>
        <v>-1.1459189399857905E-2</v>
      </c>
      <c r="GF20" s="62">
        <f>IFERROR(Inv_SY_B!GF20/Inv_SY_B!$IS20-1,"")</f>
        <v>-2.0862024865358819E-2</v>
      </c>
      <c r="GG20" s="62">
        <f>IFERROR(Inv_SY_B!GG20/Inv_SY_B!$IS20-1,"")</f>
        <v>8.0936085254192935E-3</v>
      </c>
      <c r="GH20" s="62">
        <f>IFERROR(Inv_SY_B!GH20/Inv_SY_B!$IS20-1,"")</f>
        <v>7.6460973052987491E-3</v>
      </c>
      <c r="GI20" s="62">
        <f>IFERROR(Inv_SY_B!GI20/Inv_SY_B!$IS20-1,"")</f>
        <v>-1.4729463700740575E-2</v>
      </c>
      <c r="GJ20" s="62">
        <f>IFERROR(Inv_SY_B!GJ20/Inv_SY_B!$IS20-1,"")</f>
        <v>-3.1400705642792293E-3</v>
      </c>
      <c r="GK20" s="62">
        <f>IFERROR(Inv_SY_B!GK20/Inv_SY_B!$IS20-1,"")</f>
        <v>-2.4176922792179312E-2</v>
      </c>
      <c r="GL20" s="62">
        <f>IFERROR(Inv_SY_B!GL20/Inv_SY_B!$IS20-1,"")</f>
        <v>-1.7184559977792002E-2</v>
      </c>
      <c r="GM20" s="62">
        <f>IFERROR(Inv_SY_B!GM20/Inv_SY_B!$IS20-1,"")</f>
        <v>-2.0292276784186436E-2</v>
      </c>
      <c r="GN20" s="62">
        <f>IFERROR(Inv_SY_B!GN20/Inv_SY_B!$IS20-1,"")</f>
        <v>-1.6407630776193449E-2</v>
      </c>
      <c r="GO20" s="62">
        <f>IFERROR(Inv_SY_B!GO20/Inv_SY_B!$IS20-1,"")</f>
        <v>-1.9593040502747683E-2</v>
      </c>
      <c r="GP20" s="62">
        <f>IFERROR(Inv_SY_B!GP20/Inv_SY_B!$IS20-1,"")</f>
        <v>-2.1846135187383653E-2</v>
      </c>
      <c r="GQ20" s="62">
        <f>IFERROR(Inv_SY_B!GQ20/Inv_SY_B!$IS20-1,"")</f>
        <v>-8.0167953989288554E-3</v>
      </c>
      <c r="GR20" s="62">
        <f>IFERROR(Inv_SY_B!GR20/Inv_SY_B!$IS20-1,"")</f>
        <v>-1.6407630776193449E-2</v>
      </c>
      <c r="GS20" s="62" t="str">
        <f>IFERROR(Inv_SY_B!GS20/Inv_SY_B!$IS20-1,"")</f>
        <v/>
      </c>
      <c r="GT20" s="62" t="str">
        <f>IFERROR(Inv_SY_B!GT20/Inv_SY_B!$IS20-1,"")</f>
        <v/>
      </c>
      <c r="GU20" s="62">
        <f>IFERROR(Inv_SY_B!GU20/Inv_SY_B!$IS20-1,"")</f>
        <v>4.5390014900299702E-2</v>
      </c>
      <c r="GV20" s="62">
        <f>IFERROR(Inv_SY_B!GV20/Inv_SY_B!$IS20-1,"")</f>
        <v>-7.5877394615920801E-3</v>
      </c>
      <c r="GW20" s="62">
        <f>IFERROR(Inv_SY_B!GW20/Inv_SY_B!$IS20-1,"")</f>
        <v>-2.2964155257976793E-2</v>
      </c>
      <c r="GX20" s="62" t="str">
        <f>IFERROR(Inv_SY_B!GX20/Inv_SY_B!$IS20-1,"")</f>
        <v/>
      </c>
      <c r="GY20" s="62">
        <f>IFERROR(Inv_SY_B!GY20/Inv_SY_B!$IS20-1,"")</f>
        <v>-1.7914756595835857E-2</v>
      </c>
      <c r="GZ20" s="62">
        <f>IFERROR(Inv_SY_B!GZ20/Inv_SY_B!$IS20-1,"")</f>
        <v>-2.3618232130355632E-2</v>
      </c>
      <c r="HA20" s="62">
        <f>IFERROR(Inv_SY_B!HA20/Inv_SY_B!$IS20-1,"")</f>
        <v>-1.9777233830317709E-2</v>
      </c>
      <c r="HB20" s="62">
        <f>IFERROR(Inv_SY_B!HB20/Inv_SY_B!$IS20-1,"")</f>
        <v>-1.8240834510302562E-2</v>
      </c>
      <c r="HC20" s="62">
        <f>IFERROR(Inv_SY_B!HC20/Inv_SY_B!$IS20-1,"")</f>
        <v>-1.5936235530279785E-2</v>
      </c>
      <c r="HD20" s="62">
        <f>IFERROR(Inv_SY_B!HD20/Inv_SY_B!$IS20-1,"")</f>
        <v>-1.8240834510302562E-2</v>
      </c>
      <c r="HE20" s="62">
        <f>IFERROR(Inv_SY_B!HE20/Inv_SY_B!$IS20-1,"")</f>
        <v>-2.2081832810340485E-2</v>
      </c>
      <c r="HF20" s="62">
        <f>IFERROR(Inv_SY_B!HF20/Inv_SY_B!$IS20-1,"")</f>
        <v>1.9016849000065505E-2</v>
      </c>
      <c r="HG20" s="62">
        <f>IFERROR(Inv_SY_B!HG20/Inv_SY_B!$IS20-1,"")</f>
        <v>-1.7242174952292744E-2</v>
      </c>
      <c r="HH20" s="62">
        <f>IFERROR(Inv_SY_B!HH20/Inv_SY_B!$IS20-1,"")</f>
        <v>-1.5936235530279785E-2</v>
      </c>
      <c r="HI20" s="62">
        <f>IFERROR(Inv_SY_B!HI20/Inv_SY_B!$IS20-1,"")</f>
        <v>-1.6473975292285115E-2</v>
      </c>
      <c r="HJ20" s="62">
        <f>IFERROR(Inv_SY_B!HJ20/Inv_SY_B!$IS20-1,"")</f>
        <v>-8.2542389302039387E-3</v>
      </c>
      <c r="HK20" s="62">
        <f>IFERROR(Inv_SY_B!HK20/Inv_SY_B!$IS20-1,"")</f>
        <v>-2.2850032470348003E-2</v>
      </c>
      <c r="HL20" s="62">
        <f>IFERROR(Inv_SY_B!HL20/Inv_SY_B!$IS20-1,"")</f>
        <v>2.6178176941691778E-2</v>
      </c>
      <c r="HM20" s="62">
        <f>IFERROR(Inv_SY_B!HM20/Inv_SY_B!$IS20-1,"")</f>
        <v>5.7236072165480989E-2</v>
      </c>
      <c r="HN20" s="62">
        <f>IFERROR(Inv_SY_B!HN20/Inv_SY_B!$IS20-1,"")</f>
        <v>6.4584368062373887E-2</v>
      </c>
      <c r="HO20" s="62">
        <f>IFERROR(Inv_SY_B!HO20/Inv_SY_B!$IS20-1,"")</f>
        <v>6.9697557290628653E-2</v>
      </c>
      <c r="HP20" s="62">
        <f>IFERROR(Inv_SY_B!HP20/Inv_SY_B!$IS20-1,"")</f>
        <v>5.5766412986102409E-2</v>
      </c>
      <c r="HQ20" s="62">
        <f>IFERROR(Inv_SY_B!HQ20/Inv_SY_B!$IS20-1,"")</f>
        <v>-1.243665930135629E-2</v>
      </c>
      <c r="HR20" s="62">
        <f>IFERROR(Inv_SY_B!HR20/Inv_SY_B!$IS20-1,"")</f>
        <v>-1.0976254155843912E-2</v>
      </c>
      <c r="HS20" s="62">
        <f>IFERROR(Inv_SY_B!HS20/Inv_SY_B!$IS20-1,"")</f>
        <v>1.9997071766235219E-2</v>
      </c>
      <c r="HT20" s="62">
        <f>IFERROR(Inv_SY_B!HT20/Inv_SY_B!$IS20-1,"")</f>
        <v>1.2999284996672689E-2</v>
      </c>
      <c r="HU20" s="62">
        <f>IFERROR(Inv_SY_B!HU20/Inv_SY_B!$IS20-1,"")</f>
        <v>4.7342445520783816E-3</v>
      </c>
      <c r="HV20" s="62">
        <f>IFERROR(Inv_SY_B!HV20/Inv_SY_B!$IS20-1,"")</f>
        <v>-9.5897244929862291E-3</v>
      </c>
      <c r="HW20" s="62">
        <f>IFERROR(Inv_SY_B!HW20/Inv_SY_B!$IS20-1,"")</f>
        <v>2.5085626314125475E-2</v>
      </c>
      <c r="HX20" s="62">
        <f>IFERROR(Inv_SY_B!HX20/Inv_SY_B!$IS20-1,"")</f>
        <v>1.5441765966953236E-2</v>
      </c>
      <c r="HY20" s="62">
        <f>IFERROR(Inv_SY_B!HY20/Inv_SY_B!$IS20-1,"")</f>
        <v>-1.7387279332516381E-2</v>
      </c>
      <c r="HZ20" s="62">
        <f>IFERROR(Inv_SY_B!HZ20/Inv_SY_B!$IS20-1,"")</f>
        <v>-2.2167188328119036E-2</v>
      </c>
      <c r="IA20" s="62">
        <f>IFERROR(Inv_SY_B!IA20/Inv_SY_B!$IS20-1,"")</f>
        <v>4.733128843303902E-5</v>
      </c>
      <c r="IB20" s="62">
        <f>IFERROR(Inv_SY_B!IB20/Inv_SY_B!$IS20-1,"")</f>
        <v>-2.032927341283397E-2</v>
      </c>
      <c r="IC20" s="62">
        <f>IFERROR(Inv_SY_B!IC20/Inv_SY_B!$IS20-1,"")</f>
        <v>1.5984340551993714E-2</v>
      </c>
      <c r="ID20" s="62">
        <f>IFERROR(Inv_SY_B!ID20/Inv_SY_B!$IS20-1,"")</f>
        <v>1.5264223837121449E-2</v>
      </c>
      <c r="IE20" s="62">
        <f>IFERROR(Inv_SY_B!IE20/Inv_SY_B!$IS20-1,"")</f>
        <v>-1.3817866770864939E-2</v>
      </c>
      <c r="IF20" s="62" t="str">
        <f>IFERROR(Inv_SY_B!IF20/Inv_SY_B!$IS20-1,"")</f>
        <v/>
      </c>
      <c r="IG20" s="62">
        <f>IFERROR(Inv_SY_B!IG20/Inv_SY_B!$IS20-1,"")</f>
        <v>3.3384009100498879E-2</v>
      </c>
      <c r="IH20" s="62">
        <f>IFERROR(Inv_SY_B!IH20/Inv_SY_B!$IS20-1,"")</f>
        <v>1.3758654775530843E-2</v>
      </c>
      <c r="II20" s="62">
        <f>IFERROR(Inv_SY_B!II20/Inv_SY_B!$IS20-1,"")</f>
        <v>3.5437997937703969E-5</v>
      </c>
      <c r="IJ20" s="62">
        <f>IFERROR(Inv_SY_B!IJ20/Inv_SY_B!$IS20-1,"")</f>
        <v>1.3652815122694895E-2</v>
      </c>
      <c r="IK20" s="62">
        <f>IFERROR(Inv_SY_B!IK20/Inv_SY_B!$IS20-1,"")</f>
        <v>8.4418175161093956E-4</v>
      </c>
      <c r="IL20" s="62" t="str">
        <f>IFERROR(Inv_SY_B!IL20/Inv_SY_B!$IS20-1,"")</f>
        <v/>
      </c>
      <c r="IM20" s="62" t="str">
        <f>IFERROR(Inv_SY_B!IM20/Inv_SY_B!$IS20-1,"")</f>
        <v/>
      </c>
      <c r="IN20" s="62">
        <f>IFERROR(Inv_SY_B!IN20/Inv_SY_B!$IS20-1,"")</f>
        <v>2.9618726752991487E-2</v>
      </c>
      <c r="IO20" s="62">
        <f>IFERROR(Inv_SY_B!IO20/Inv_SY_B!$IS20-1,"")</f>
        <v>2.1527946791516595E-2</v>
      </c>
      <c r="IP20" s="62">
        <f>IFERROR(Inv_SY_B!IP20/Inv_SY_B!$IS20-1,"")</f>
        <v>0.16836108794297666</v>
      </c>
      <c r="IQ20" s="62">
        <f>IFERROR(Inv_SY_B!IQ20/Inv_SY_B!$IS20-1,"")</f>
        <v>1.5984340551993714E-2</v>
      </c>
      <c r="IR20" s="62">
        <f>IFERROR(Inv_SY_B!IR20/Inv_SY_B!$IS20-1,"")</f>
        <v>5.137659620376045E-3</v>
      </c>
    </row>
    <row r="21" spans="2:252" x14ac:dyDescent="0.25">
      <c r="B21" s="85">
        <f t="shared" si="0"/>
        <v>45847</v>
      </c>
      <c r="C21" s="62">
        <f>IFERROR(Inv_SY_B!C21/Inv_SY_B!$IS21-1,"")</f>
        <v>-1.0950254267041659E-2</v>
      </c>
      <c r="D21" s="62">
        <f>IFERROR(Inv_SY_B!D21/Inv_SY_B!$IS21-1,"")</f>
        <v>7.2592088043641478E-3</v>
      </c>
      <c r="E21" s="62">
        <f>IFERROR(Inv_SY_B!E21/Inv_SY_B!$IS21-1,"")</f>
        <v>1.276803121839043E-2</v>
      </c>
      <c r="F21" s="62">
        <f>IFERROR(Inv_SY_B!F21/Inv_SY_B!$IS21-1,"")</f>
        <v>-1.7479910216889105E-2</v>
      </c>
      <c r="G21" s="62">
        <f>IFERROR(Inv_SY_B!G21/Inv_SY_B!$IS21-1,"")</f>
        <v>6.3763257463564926E-3</v>
      </c>
      <c r="H21" s="62">
        <f>IFERROR(Inv_SY_B!H21/Inv_SY_B!$IS21-1,"")</f>
        <v>2.3665651912390118E-3</v>
      </c>
      <c r="I21" s="62">
        <f>IFERROR(Inv_SY_B!I21/Inv_SY_B!$IS21-1,"")</f>
        <v>-6.4806587858784459E-3</v>
      </c>
      <c r="J21" s="62">
        <f>IFERROR(Inv_SY_B!J21/Inv_SY_B!$IS21-1,"")</f>
        <v>-8.8718004013156326E-3</v>
      </c>
      <c r="K21" s="62">
        <f>IFERROR(Inv_SY_B!K21/Inv_SY_B!$IS21-1,"")</f>
        <v>7.1488484221131632E-3</v>
      </c>
      <c r="L21" s="62">
        <f>IFERROR(Inv_SY_B!L21/Inv_SY_B!$IS21-1,"")</f>
        <v>1.36910118819491E-2</v>
      </c>
      <c r="M21" s="62">
        <f>IFERROR(Inv_SY_B!M21/Inv_SY_B!$IS21-1,"")</f>
        <v>6.9276606043278122E-4</v>
      </c>
      <c r="N21" s="62">
        <f>IFERROR(Inv_SY_B!N21/Inv_SY_B!$IS21-1,"")</f>
        <v>-1.2458512824471191E-2</v>
      </c>
      <c r="O21" s="62">
        <f>IFERROR(Inv_SY_B!O21/Inv_SY_B!$IS21-1,"")</f>
        <v>1.1692017491443663E-2</v>
      </c>
      <c r="P21" s="62">
        <f>IFERROR(Inv_SY_B!P21/Inv_SY_B!$IS21-1,"")</f>
        <v>1.8626328176211127E-2</v>
      </c>
      <c r="Q21" s="62">
        <f>IFERROR(Inv_SY_B!Q21/Inv_SY_B!$IS21-1,"")</f>
        <v>1.5637401156914921E-2</v>
      </c>
      <c r="R21" s="62">
        <f>IFERROR(Inv_SY_B!R21/Inv_SY_B!$IS21-1,"")</f>
        <v>-5.028047472855901E-4</v>
      </c>
      <c r="S21" s="62">
        <f>IFERROR(Inv_SY_B!S21/Inv_SY_B!$IS21-1,"")</f>
        <v>6.431505937481985E-3</v>
      </c>
      <c r="T21" s="62">
        <f>IFERROR(Inv_SY_B!T21/Inv_SY_B!$IS21-1,"")</f>
        <v>1.0376889602953243E-2</v>
      </c>
      <c r="U21" s="62">
        <f>IFERROR(Inv_SY_B!U21/Inv_SY_B!$IS21-1,"")</f>
        <v>1.3880831739420785E-2</v>
      </c>
      <c r="V21" s="62">
        <f>IFERROR(Inv_SY_B!V21/Inv_SY_B!$IS21-1,"")</f>
        <v>1.5425877090933904E-2</v>
      </c>
      <c r="W21" s="62">
        <f>IFERROR(Inv_SY_B!W21/Inv_SY_B!$IS21-1,"")</f>
        <v>-4.0895171704413702E-3</v>
      </c>
      <c r="X21" s="62">
        <f>IFERROR(Inv_SY_B!X21/Inv_SY_B!$IS21-1,"")</f>
        <v>-5.028047472855901E-4</v>
      </c>
      <c r="Y21" s="62">
        <f>IFERROR(Inv_SY_B!Y21/Inv_SY_B!$IS21-1,"")</f>
        <v>1.3108309063664114E-2</v>
      </c>
      <c r="Z21" s="62">
        <f>IFERROR(Inv_SY_B!Z21/Inv_SY_B!$IS21-1,"")</f>
        <v>-7.4105471918817223E-3</v>
      </c>
      <c r="AA21" s="62">
        <f>IFERROR(Inv_SY_B!AA21/Inv_SY_B!$IS21-1,"")</f>
        <v>1.3108309063664114E-2</v>
      </c>
      <c r="AB21" s="62">
        <f>IFERROR(Inv_SY_B!AB21/Inv_SY_B!$IS21-1,"")</f>
        <v>1.917813008746605E-2</v>
      </c>
      <c r="AC21" s="62">
        <f>IFERROR(Inv_SY_B!AC21/Inv_SY_B!$IS21-1,"")</f>
        <v>1.3660110974918815E-2</v>
      </c>
      <c r="AD21" s="62">
        <f>IFERROR(Inv_SY_B!AD21/Inv_SY_B!$IS21-1,"")</f>
        <v>1.5013047512884237E-2</v>
      </c>
      <c r="AE21" s="62">
        <f>IFERROR(Inv_SY_B!AE21/Inv_SY_B!$IS21-1,"")</f>
        <v>1.5650685277000642E-2</v>
      </c>
      <c r="AF21" s="62">
        <f>IFERROR(Inv_SY_B!AF21/Inv_SY_B!$IS21-1,"")</f>
        <v>1.1612312770929112E-2</v>
      </c>
      <c r="AG21" s="62">
        <f>IFERROR(Inv_SY_B!AG21/Inv_SY_B!$IS21-1,"")</f>
        <v>1.3631499023964766E-2</v>
      </c>
      <c r="AH21" s="62">
        <f>IFERROR(Inv_SY_B!AH21/Inv_SY_B!$IS21-1,"")</f>
        <v>1.5438139355628655E-2</v>
      </c>
      <c r="AI21" s="62">
        <f>IFERROR(Inv_SY_B!AI21/Inv_SY_B!$IS21-1,"")</f>
        <v>-2.5031744502813313E-2</v>
      </c>
      <c r="AJ21" s="62">
        <f>IFERROR(Inv_SY_B!AJ21/Inv_SY_B!$IS21-1,"")</f>
        <v>2.8321427277193667E-3</v>
      </c>
      <c r="AK21" s="62">
        <f>IFERROR(Inv_SY_B!AK21/Inv_SY_B!$IS21-1,"")</f>
        <v>-2.8479161647899875E-2</v>
      </c>
      <c r="AL21" s="62">
        <f>IFERROR(Inv_SY_B!AL21/Inv_SY_B!$IS21-1,"")</f>
        <v>-5.7162774497959701E-3</v>
      </c>
      <c r="AM21" s="62">
        <f>IFERROR(Inv_SY_B!AM21/Inv_SY_B!$IS21-1,"")</f>
        <v>-2.8939463627226658E-3</v>
      </c>
      <c r="AN21" s="62">
        <f>IFERROR(Inv_SY_B!AN21/Inv_SY_B!$IS21-1,"")</f>
        <v>-1.0067371209034115E-2</v>
      </c>
      <c r="AO21" s="62">
        <f>IFERROR(Inv_SY_B!AO21/Inv_SY_B!$IS21-1,"")</f>
        <v>-8.8718004013156326E-3</v>
      </c>
      <c r="AP21" s="62">
        <f>IFERROR(Inv_SY_B!AP21/Inv_SY_B!$IS21-1,"")</f>
        <v>-1.8436366863063935E-2</v>
      </c>
      <c r="AQ21" s="62">
        <f>IFERROR(Inv_SY_B!AQ21/Inv_SY_B!$IS21-1,"")</f>
        <v>-4.0895171704413702E-3</v>
      </c>
      <c r="AR21" s="62">
        <f>IFERROR(Inv_SY_B!AR21/Inv_SY_B!$IS21-1,"")</f>
        <v>-8.8718004013156326E-3</v>
      </c>
      <c r="AS21" s="62">
        <f>IFERROR(Inv_SY_B!AS21/Inv_SY_B!$IS21-1,"")</f>
        <v>5.4750492913071547E-3</v>
      </c>
      <c r="AT21" s="62">
        <f>IFERROR(Inv_SY_B!AT21/Inv_SY_B!$IS21-1,"")</f>
        <v>-2.9076947051759117E-2</v>
      </c>
      <c r="AU21" s="62">
        <f>IFERROR(Inv_SY_B!AU21/Inv_SY_B!$IS21-1,"")</f>
        <v>6.9276606043278122E-4</v>
      </c>
      <c r="AV21" s="62">
        <f>IFERROR(Inv_SY_B!AV21/Inv_SY_B!$IS21-1,"")</f>
        <v>-1.0067371209034115E-2</v>
      </c>
      <c r="AW21" s="62">
        <f>IFERROR(Inv_SY_B!AW21/Inv_SY_B!$IS21-1,"")</f>
        <v>-1.1170975031543517E-2</v>
      </c>
      <c r="AX21" s="62">
        <f>IFERROR(Inv_SY_B!AX21/Inv_SY_B!$IS21-1,"")</f>
        <v>-8.8718004013156326E-3</v>
      </c>
      <c r="AY21" s="62">
        <f>IFERROR(Inv_SY_B!AY21/Inv_SY_B!$IS21-1,"")</f>
        <v>-2.3266472926247062E-2</v>
      </c>
      <c r="AZ21" s="62">
        <f>IFERROR(Inv_SY_B!AZ21/Inv_SY_B!$IS21-1,"")</f>
        <v>-1.4084489122968447E-2</v>
      </c>
      <c r="BA21" s="62">
        <f>IFERROR(Inv_SY_B!BA21/Inv_SY_B!$IS21-1,"")</f>
        <v>6.9276606043278122E-4</v>
      </c>
      <c r="BB21" s="62">
        <f>IFERROR(Inv_SY_B!BB21/Inv_SY_B!$IS21-1,"")</f>
        <v>-8.8718004013156326E-3</v>
      </c>
      <c r="BC21" s="62">
        <f>IFERROR(Inv_SY_B!BC21/Inv_SY_B!$IS21-1,"")</f>
        <v>1.2781315338476151E-2</v>
      </c>
      <c r="BD21" s="62">
        <f>IFERROR(Inv_SY_B!BD21/Inv_SY_B!$IS21-1,"")</f>
        <v>-2.3351491294795745E-2</v>
      </c>
      <c r="BE21" s="62">
        <f>IFERROR(Inv_SY_B!BE21/Inv_SY_B!$IS21-1,"")</f>
        <v>-1.6688994144090641E-2</v>
      </c>
      <c r="BF21" s="62">
        <f>IFERROR(Inv_SY_B!BF21/Inv_SY_B!$IS21-1,"")</f>
        <v>1.7882417451408728E-2</v>
      </c>
      <c r="BG21" s="62">
        <f>IFERROR(Inv_SY_B!BG21/Inv_SY_B!$IS21-1,"")</f>
        <v>-8.4732767987426572E-3</v>
      </c>
      <c r="BH21" s="62">
        <f>IFERROR(Inv_SY_B!BH21/Inv_SY_B!$IS21-1,"")</f>
        <v>5.4750492913071547E-3</v>
      </c>
      <c r="BI21" s="62">
        <f>IFERROR(Inv_SY_B!BI21/Inv_SY_B!$IS21-1,"")</f>
        <v>4.2794784835886723E-3</v>
      </c>
      <c r="BJ21" s="62">
        <f>IFERROR(Inv_SY_B!BJ21/Inv_SY_B!$IS21-1,"")</f>
        <v>2.8560056144710799E-5</v>
      </c>
      <c r="BK21" s="62">
        <f>IFERROR(Inv_SY_B!BK21/Inv_SY_B!$IS21-1,"")</f>
        <v>-1.8197252701520283E-2</v>
      </c>
      <c r="BL21" s="62">
        <f>IFERROR(Inv_SY_B!BL21/Inv_SY_B!$IS21-1,"")</f>
        <v>2.7711306348078724E-2</v>
      </c>
      <c r="BM21" s="62">
        <f>IFERROR(Inv_SY_B!BM21/Inv_SY_B!$IS21-1,"")</f>
        <v>-1.6983755550041835E-3</v>
      </c>
      <c r="BN21" s="62">
        <f>IFERROR(Inv_SY_B!BN21/Inv_SY_B!$IS21-1,"")</f>
        <v>2.8700605076360075E-2</v>
      </c>
      <c r="BO21" s="62">
        <f>IFERROR(Inv_SY_B!BO21/Inv_SY_B!$IS21-1,"")</f>
        <v>1.1563263712150995E-2</v>
      </c>
      <c r="BP21" s="62">
        <f>IFERROR(Inv_SY_B!BP21/Inv_SY_B!$IS21-1,"")</f>
        <v>8.8042541558772669E-3</v>
      </c>
      <c r="BQ21" s="62">
        <f>IFERROR(Inv_SY_B!BQ21/Inv_SY_B!$IS21-1,"")</f>
        <v>1.9729931998720751E-2</v>
      </c>
      <c r="BR21" s="62">
        <f>IFERROR(Inv_SY_B!BR21/Inv_SY_B!$IS21-1,"")</f>
        <v>-2.4525048337190603E-3</v>
      </c>
      <c r="BS21" s="62">
        <f>IFERROR(Inv_SY_B!BS21/Inv_SY_B!$IS21-1,"")</f>
        <v>8.7030904721472346E-3</v>
      </c>
      <c r="BT21" s="62">
        <f>IFERROR(Inv_SY_B!BT21/Inv_SY_B!$IS21-1,"")</f>
        <v>4.9968209682196285E-3</v>
      </c>
      <c r="BU21" s="62">
        <f>IFERROR(Inv_SY_B!BU21/Inv_SY_B!$IS21-1,"")</f>
        <v>1.1333346249128073E-2</v>
      </c>
      <c r="BV21" s="62">
        <f>IFERROR(Inv_SY_B!BV21/Inv_SY_B!$IS21-1,"")</f>
        <v>7.2684055028851002E-3</v>
      </c>
      <c r="BW21" s="62">
        <f>IFERROR(Inv_SY_B!BW21/Inv_SY_B!$IS21-1,"")</f>
        <v>-1.1262942016752708E-2</v>
      </c>
      <c r="BX21" s="62">
        <f>IFERROR(Inv_SY_B!BX21/Inv_SY_B!$IS21-1,"")</f>
        <v>1.2887588299162367E-2</v>
      </c>
      <c r="BY21" s="62">
        <f>IFERROR(Inv_SY_B!BY21/Inv_SY_B!$IS21-1,"")</f>
        <v>-1.0598736012464638E-2</v>
      </c>
      <c r="BZ21" s="62">
        <f>IFERROR(Inv_SY_B!BZ21/Inv_SY_B!$IS21-1,"")</f>
        <v>-1.2724195226186397E-2</v>
      </c>
      <c r="CA21" s="62">
        <f>IFERROR(Inv_SY_B!CA21/Inv_SY_B!$IS21-1,"")</f>
        <v>-4.2223583712989177E-3</v>
      </c>
      <c r="CB21" s="62">
        <f>IFERROR(Inv_SY_B!CB21/Inv_SY_B!$IS21-1,"")</f>
        <v>-2.8939463627226658E-3</v>
      </c>
      <c r="CC21" s="62">
        <f>IFERROR(Inv_SY_B!CC21/Inv_SY_B!$IS21-1,"")</f>
        <v>4.3990355643603873E-3</v>
      </c>
      <c r="CD21" s="62">
        <f>IFERROR(Inv_SY_B!CD21/Inv_SY_B!$IS21-1,"")</f>
        <v>-5.652955918996283E-3</v>
      </c>
      <c r="CE21" s="62">
        <f>IFERROR(Inv_SY_B!CE21/Inv_SY_B!$IS21-1,"")</f>
        <v>-5.2850879781598525E-3</v>
      </c>
      <c r="CF21" s="62">
        <f>IFERROR(Inv_SY_B!CF21/Inv_SY_B!$IS21-1,"")</f>
        <v>-6.4806587858784459E-3</v>
      </c>
      <c r="CG21" s="62">
        <f>IFERROR(Inv_SY_B!CG21/Inv_SY_B!$IS21-1,"")</f>
        <v>8.5835333913755196E-3</v>
      </c>
      <c r="CH21" s="62">
        <f>IFERROR(Inv_SY_B!CH21/Inv_SY_B!$IS21-1,"")</f>
        <v>-4.0895171704413702E-3</v>
      </c>
      <c r="CI21" s="62">
        <f>IFERROR(Inv_SY_B!CI21/Inv_SY_B!$IS21-1,"")</f>
        <v>5.4750492913071547E-3</v>
      </c>
      <c r="CJ21" s="62">
        <f>IFERROR(Inv_SY_B!CJ21/Inv_SY_B!$IS21-1,"")</f>
        <v>3.0839076758699679E-3</v>
      </c>
      <c r="CK21" s="62">
        <f>IFERROR(Inv_SY_B!CK21/Inv_SY_B!$IS21-1,"")</f>
        <v>-1.0665156612893356E-2</v>
      </c>
      <c r="CL21" s="62">
        <f>IFERROR(Inv_SY_B!CL21/Inv_SY_B!$IS21-1,"")</f>
        <v>-5.0459738166160895E-3</v>
      </c>
      <c r="CM21" s="62">
        <f>IFERROR(Inv_SY_B!CM21/Inv_SY_B!$IS21-1,"")</f>
        <v>2.8447935143263159E-3</v>
      </c>
      <c r="CN21" s="62">
        <f>IFERROR(Inv_SY_B!CN21/Inv_SY_B!$IS21-1,"")</f>
        <v>-3.7308459281257811E-3</v>
      </c>
      <c r="CO21" s="62">
        <f>IFERROR(Inv_SY_B!CO21/Inv_SY_B!$IS21-1,"")</f>
        <v>-4.2628821559165253E-4</v>
      </c>
      <c r="CP21" s="62">
        <f>IFERROR(Inv_SY_B!CP21/Inv_SY_B!$IS21-1,"")</f>
        <v>6.4866861286074773E-3</v>
      </c>
      <c r="CQ21" s="62">
        <f>IFERROR(Inv_SY_B!CQ21/Inv_SY_B!$IS21-1,"")</f>
        <v>1.8883368681514856E-3</v>
      </c>
      <c r="CR21" s="62">
        <f>IFERROR(Inv_SY_B!CR21/Inv_SY_B!$IS21-1,"")</f>
        <v>1.8883368681514856E-3</v>
      </c>
      <c r="CS21" s="62">
        <f>IFERROR(Inv_SY_B!CS21/Inv_SY_B!$IS21-1,"")</f>
        <v>1.0912896630057567E-3</v>
      </c>
      <c r="CT21" s="62">
        <f>IFERROR(Inv_SY_B!CT21/Inv_SY_B!$IS21-1,"")</f>
        <v>3.3230218374138421E-3</v>
      </c>
      <c r="CU21" s="62">
        <f>IFERROR(Inv_SY_B!CU21/Inv_SY_B!$IS21-1,"")</f>
        <v>4.2794784835886723E-3</v>
      </c>
      <c r="CV21" s="62">
        <f>IFERROR(Inv_SY_B!CV21/Inv_SY_B!$IS21-1,"")</f>
        <v>-8.8718004013156326E-3</v>
      </c>
      <c r="CW21" s="62">
        <f>IFERROR(Inv_SY_B!CW21/Inv_SY_B!$IS21-1,"")</f>
        <v>1.0257332522181306E-2</v>
      </c>
      <c r="CX21" s="62">
        <f>IFERROR(Inv_SY_B!CX21/Inv_SY_B!$IS21-1,"")</f>
        <v>1.0855117926040547E-2</v>
      </c>
      <c r="CY21" s="62">
        <f>IFERROR(Inv_SY_B!CY21/Inv_SY_B!$IS21-1,"")</f>
        <v>3.0839076758699679E-3</v>
      </c>
      <c r="CZ21" s="62">
        <f>IFERROR(Inv_SY_B!CZ21/Inv_SY_B!$IS21-1,"")</f>
        <v>1.145290332990001E-2</v>
      </c>
      <c r="DA21" s="62">
        <f>IFERROR(Inv_SY_B!DA21/Inv_SY_B!$IS21-1,"")</f>
        <v>7.8661909067443414E-3</v>
      </c>
      <c r="DB21" s="62">
        <f>IFERROR(Inv_SY_B!DB21/Inv_SY_B!$IS21-1,"")</f>
        <v>1.0018218360637654E-2</v>
      </c>
      <c r="DC21" s="62">
        <f>IFERROR(Inv_SY_B!DC21/Inv_SY_B!$IS21-1,"")</f>
        <v>-1.1448919697953253E-2</v>
      </c>
      <c r="DD21" s="62">
        <f>IFERROR(Inv_SY_B!DD21/Inv_SY_B!$IS21-1,"")</f>
        <v>-8.2740149974561694E-3</v>
      </c>
      <c r="DE21" s="62">
        <f>IFERROR(Inv_SY_B!DE21/Inv_SY_B!$IS21-1,"")</f>
        <v>1.2462496456417949E-2</v>
      </c>
      <c r="DF21" s="62">
        <f>IFERROR(Inv_SY_B!DF21/Inv_SY_B!$IS21-1,"")</f>
        <v>-2.6007781991636891E-2</v>
      </c>
      <c r="DG21" s="62">
        <f>IFERROR(Inv_SY_B!DG21/Inv_SY_B!$IS21-1,"")</f>
        <v>-1.2338955743699365E-2</v>
      </c>
      <c r="DH21" s="62">
        <f>IFERROR(Inv_SY_B!DH21/Inv_SY_B!$IS21-1,"")</f>
        <v>-7.6230931132539315E-3</v>
      </c>
      <c r="DI21" s="62">
        <f>IFERROR(Inv_SY_B!DI21/Inv_SY_B!$IS21-1,"")</f>
        <v>-1.845476026010584E-2</v>
      </c>
      <c r="DJ21" s="62">
        <f>IFERROR(Inv_SY_B!DJ21/Inv_SY_B!$IS21-1,"")</f>
        <v>5.0520011593451208E-3</v>
      </c>
      <c r="DK21" s="62">
        <f>IFERROR(Inv_SY_B!DK21/Inv_SY_B!$IS21-1,"")</f>
        <v>1.5756958237686636E-2</v>
      </c>
      <c r="DL21" s="62">
        <f>IFERROR(Inv_SY_B!DL21/Inv_SY_B!$IS21-1,"")</f>
        <v>7.3613943434853724E-3</v>
      </c>
      <c r="DM21" s="62">
        <f>IFERROR(Inv_SY_B!DM21/Inv_SY_B!$IS21-1,"")</f>
        <v>4.8772638874479135E-3</v>
      </c>
      <c r="DN21" s="62">
        <f>IFERROR(Inv_SY_B!DN21/Inv_SY_B!$IS21-1,"")</f>
        <v>-5.2850879781598525E-3</v>
      </c>
      <c r="DO21" s="62">
        <f>IFERROR(Inv_SY_B!DO21/Inv_SY_B!$IS21-1,"")</f>
        <v>-2.6007781991636891E-2</v>
      </c>
      <c r="DP21" s="62">
        <f>IFERROR(Inv_SY_B!DP21/Inv_SY_B!$IS21-1,"")</f>
        <v>-2.1226032081073987E-2</v>
      </c>
      <c r="DQ21" s="62">
        <f>IFERROR(Inv_SY_B!DQ21/Inv_SY_B!$IS21-1,"")</f>
        <v>-2.7345369216936755E-3</v>
      </c>
      <c r="DR21" s="62">
        <f>IFERROR(Inv_SY_B!DR21/Inv_SY_B!$IS21-1,"")</f>
        <v>-1.6762567732258038E-2</v>
      </c>
      <c r="DS21" s="62">
        <f>IFERROR(Inv_SY_B!DS21/Inv_SY_B!$IS21-1,"")</f>
        <v>-2.0947065559273059E-2</v>
      </c>
      <c r="DT21" s="62">
        <f>IFERROR(Inv_SY_B!DT21/Inv_SY_B!$IS21-1,"")</f>
        <v>-2.3351491294795745E-2</v>
      </c>
      <c r="DU21" s="62">
        <f>IFERROR(Inv_SY_B!DU21/Inv_SY_B!$IS21-1,"")</f>
        <v>-7.3042742311956177E-3</v>
      </c>
      <c r="DV21" s="62">
        <f>IFERROR(Inv_SY_B!DV21/Inv_SY_B!$IS21-1,"")</f>
        <v>3.0839076758699679E-3</v>
      </c>
      <c r="DW21" s="62">
        <f>IFERROR(Inv_SY_B!DW21/Inv_SY_B!$IS21-1,"")</f>
        <v>-1.4849654439908377E-2</v>
      </c>
      <c r="DX21" s="62">
        <f>IFERROR(Inv_SY_B!DX21/Inv_SY_B!$IS21-1,"")</f>
        <v>7.2551213827991567E-3</v>
      </c>
      <c r="DY21" s="62">
        <f>IFERROR(Inv_SY_B!DY21/Inv_SY_B!$IS21-1,"")</f>
        <v>-8.8718004013156326E-3</v>
      </c>
      <c r="DZ21" s="62">
        <f>IFERROR(Inv_SY_B!DZ21/Inv_SY_B!$IS21-1,"")</f>
        <v>-4.0895171704413702E-3</v>
      </c>
      <c r="EA21" s="62">
        <f>IFERROR(Inv_SY_B!EA21/Inv_SY_B!$IS21-1,"")</f>
        <v>-2.7071044918809073E-2</v>
      </c>
      <c r="EB21" s="62">
        <f>IFERROR(Inv_SY_B!EB21/Inv_SY_B!$IS21-1,"")</f>
        <v>-2.7814955643611805E-2</v>
      </c>
      <c r="EC21" s="62">
        <f>IFERROR(Inv_SY_B!EC21/Inv_SY_B!$IS21-1,"")</f>
        <v>-1.5585390321581349E-2</v>
      </c>
      <c r="ED21" s="62">
        <f>IFERROR(Inv_SY_B!ED21/Inv_SY_B!$IS21-1,"")</f>
        <v>-7.9709909995473449E-4</v>
      </c>
      <c r="EE21" s="62">
        <f>IFERROR(Inv_SY_B!EE21/Inv_SY_B!$IS21-1,"")</f>
        <v>4.1686510480554162E-4</v>
      </c>
      <c r="EF21" s="62">
        <f>IFERROR(Inv_SY_B!EF21/Inv_SY_B!$IS21-1,"")</f>
        <v>2.371293852177736E-2</v>
      </c>
      <c r="EG21" s="62">
        <f>IFERROR(Inv_SY_B!EG21/Inv_SY_B!$IS21-1,"")</f>
        <v>1.4575600509500575E-2</v>
      </c>
      <c r="EH21" s="62">
        <f>IFERROR(Inv_SY_B!EH21/Inv_SY_B!$IS21-1,"")</f>
        <v>-1.4890621551501559E-2</v>
      </c>
      <c r="EI21" s="62">
        <f>IFERROR(Inv_SY_B!EI21/Inv_SY_B!$IS21-1,"")</f>
        <v>-5.5150054411826632E-3</v>
      </c>
      <c r="EJ21" s="62">
        <f>IFERROR(Inv_SY_B!EJ21/Inv_SY_B!$IS21-1,"")</f>
        <v>5.6464423091968641E-3</v>
      </c>
      <c r="EK21" s="62">
        <f>IFERROR(Inv_SY_B!EK21/Inv_SY_B!$IS21-1,"")</f>
        <v>2.1495698114735839E-2</v>
      </c>
      <c r="EL21" s="62">
        <f>IFERROR(Inv_SY_B!EL21/Inv_SY_B!$IS21-1,"")</f>
        <v>2.2571711841682607E-2</v>
      </c>
      <c r="EM21" s="62">
        <f>IFERROR(Inv_SY_B!EM21/Inv_SY_B!$IS21-1,"")</f>
        <v>-1.3493680644915962E-4</v>
      </c>
      <c r="EN21" s="62">
        <f>IFERROR(Inv_SY_B!EN21/Inv_SY_B!$IS21-1,"")</f>
        <v>-1.4040344970068008E-2</v>
      </c>
      <c r="EO21" s="62">
        <f>IFERROR(Inv_SY_B!EO21/Inv_SY_B!$IS21-1,"")</f>
        <v>5.4750492913071547E-3</v>
      </c>
      <c r="EP21" s="62">
        <f>IFERROR(Inv_SY_B!EP21/Inv_SY_B!$IS21-1,"")</f>
        <v>2.8338041814294224E-2</v>
      </c>
      <c r="EQ21" s="62">
        <f>IFERROR(Inv_SY_B!EQ21/Inv_SY_B!$IS21-1,"")</f>
        <v>-1.6643010651486212E-2</v>
      </c>
      <c r="ER21" s="62">
        <f>IFERROR(Inv_SY_B!ER21/Inv_SY_B!$IS21-1,"")</f>
        <v>8.8042541558772669E-3</v>
      </c>
      <c r="ES21" s="62">
        <f>IFERROR(Inv_SY_B!ES21/Inv_SY_B!$IS21-1,"")</f>
        <v>7.2684055028851002E-3</v>
      </c>
      <c r="ET21" s="62">
        <f>IFERROR(Inv_SY_B!ET21/Inv_SY_B!$IS21-1,"")</f>
        <v>1.8235050457321655E-2</v>
      </c>
      <c r="EU21" s="62">
        <f>IFERROR(Inv_SY_B!EU21/Inv_SY_B!$IS21-1,"")</f>
        <v>-2.231737363888886E-2</v>
      </c>
      <c r="EV21" s="62">
        <f>IFERROR(Inv_SY_B!EV21/Inv_SY_B!$IS21-1,"")</f>
        <v>1.7081282824698008E-2</v>
      </c>
      <c r="EW21" s="62">
        <f>IFERROR(Inv_SY_B!EW21/Inv_SY_B!$IS21-1,"")</f>
        <v>1.6419120531192544E-2</v>
      </c>
      <c r="EX21" s="62">
        <f>IFERROR(Inv_SY_B!EX21/Inv_SY_B!$IS21-1,"")</f>
        <v>1.8745885256983286E-2</v>
      </c>
      <c r="EY21" s="62">
        <f>IFERROR(Inv_SY_B!EY21/Inv_SY_B!$IS21-1,"")</f>
        <v>-1.8462935103235378E-2</v>
      </c>
      <c r="EZ21" s="62">
        <f>IFERROR(Inv_SY_B!EZ21/Inv_SY_B!$IS21-1,"")</f>
        <v>2.1615255195507777E-2</v>
      </c>
      <c r="FA21" s="62">
        <f>IFERROR(Inv_SY_B!FA21/Inv_SY_B!$IS21-1,"")</f>
        <v>4.2794784835886723E-3</v>
      </c>
      <c r="FB21" s="62">
        <f>IFERROR(Inv_SY_B!FB21/Inv_SY_B!$IS21-1,"")</f>
        <v>-2.2961609588634246E-3</v>
      </c>
      <c r="FC21" s="62">
        <f>IFERROR(Inv_SY_B!FC21/Inv_SY_B!$IS21-1,"")</f>
        <v>8.4639763106035826E-3</v>
      </c>
      <c r="FD21" s="62">
        <f>IFERROR(Inv_SY_B!FD21/Inv_SY_B!$IS21-1,"")</f>
        <v>6.1923917759383329E-3</v>
      </c>
      <c r="FE21" s="62">
        <f>IFERROR(Inv_SY_B!FE21/Inv_SY_B!$IS21-1,"")</f>
        <v>2.0286541275111203E-2</v>
      </c>
      <c r="FF21" s="62">
        <f>IFERROR(Inv_SY_B!FF21/Inv_SY_B!$IS21-1,"")</f>
        <v>3.9629239401812733E-3</v>
      </c>
      <c r="FG21" s="62">
        <f>IFERROR(Inv_SY_B!FG21/Inv_SY_B!$IS21-1,"")</f>
        <v>-1.2360693394748878E-2</v>
      </c>
      <c r="FH21" s="62">
        <f>IFERROR(Inv_SY_B!FH21/Inv_SY_B!$IS21-1,"")</f>
        <v>-4.8639209890772861E-3</v>
      </c>
      <c r="FI21" s="62">
        <f>IFERROR(Inv_SY_B!FI21/Inv_SY_B!$IS21-1,"")</f>
        <v>-2.0851661424111545E-2</v>
      </c>
      <c r="FJ21" s="62">
        <f>IFERROR(Inv_SY_B!FJ21/Inv_SY_B!$IS21-1,"")</f>
        <v>-2.3001273583443949E-2</v>
      </c>
      <c r="FK21" s="62">
        <f>IFERROR(Inv_SY_B!FK21/Inv_SY_B!$IS21-1,"")</f>
        <v>1.9668527779303391E-2</v>
      </c>
      <c r="FL21" s="62">
        <f>IFERROR(Inv_SY_B!FL21/Inv_SY_B!$IS21-1,"")</f>
        <v>-2.3659054904199617E-2</v>
      </c>
      <c r="FM21" s="62">
        <f>IFERROR(Inv_SY_B!FM21/Inv_SY_B!$IS21-1,"")</f>
        <v>-2.7293630579294792E-5</v>
      </c>
      <c r="FN21" s="62">
        <f>IFERROR(Inv_SY_B!FN21/Inv_SY_B!$IS21-1,"")</f>
        <v>-1.0748484275249548E-2</v>
      </c>
      <c r="FO21" s="62">
        <f>IFERROR(Inv_SY_B!FO21/Inv_SY_B!$IS21-1,"")</f>
        <v>-8.6123071919130822E-3</v>
      </c>
      <c r="FP21" s="62">
        <f>IFERROR(Inv_SY_B!FP21/Inv_SY_B!$IS21-1,"")</f>
        <v>-6.4793545268154729E-3</v>
      </c>
      <c r="FQ21" s="62">
        <f>IFERROR(Inv_SY_B!FQ21/Inv_SY_B!$IS21-1,"")</f>
        <v>-2.0873157545704846E-2</v>
      </c>
      <c r="FR21" s="62">
        <f>IFERROR(Inv_SY_B!FR21/Inv_SY_B!$IS21-1,"")</f>
        <v>-1.7158627734378484E-2</v>
      </c>
      <c r="FS21" s="62">
        <f>IFERROR(Inv_SY_B!FS21/Inv_SY_B!$IS21-1,"")</f>
        <v>1.0640156710107318E-2</v>
      </c>
      <c r="FT21" s="62">
        <f>IFERROR(Inv_SY_B!FT21/Inv_SY_B!$IS21-1,"")</f>
        <v>-1.4372730375883935E-2</v>
      </c>
      <c r="FU21" s="62">
        <f>IFERROR(Inv_SY_B!FU21/Inv_SY_B!$IS21-1,"")</f>
        <v>1.39682442497846E-3</v>
      </c>
      <c r="FV21" s="62">
        <f>IFERROR(Inv_SY_B!FV21/Inv_SY_B!$IS21-1,"")</f>
        <v>2.3910200486694233E-3</v>
      </c>
      <c r="FW21" s="62">
        <f>IFERROR(Inv_SY_B!FW21/Inv_SY_B!$IS21-1,"")</f>
        <v>-2.1792116743819534E-2</v>
      </c>
      <c r="FX21" s="62">
        <f>IFERROR(Inv_SY_B!FX21/Inv_SY_B!$IS21-1,"")</f>
        <v>9.6459610864163547E-3</v>
      </c>
      <c r="FY21" s="62">
        <f>IFERROR(Inv_SY_B!FY21/Inv_SY_B!$IS21-1,"")</f>
        <v>-2.5150885742776241E-2</v>
      </c>
      <c r="FZ21" s="62">
        <f>IFERROR(Inv_SY_B!FZ21/Inv_SY_B!$IS21-1,"")</f>
        <v>1.2064274765665184E-2</v>
      </c>
      <c r="GA21" s="62">
        <f>IFERROR(Inv_SY_B!GA21/Inv_SY_B!$IS21-1,"")</f>
        <v>2.2980079840830836E-3</v>
      </c>
      <c r="GB21" s="62">
        <f>IFERROR(Inv_SY_B!GB21/Inv_SY_B!$IS21-1,"")</f>
        <v>-2.0851661424111545E-2</v>
      </c>
      <c r="GC21" s="62">
        <f>IFERROR(Inv_SY_B!GC21/Inv_SY_B!$IS21-1,"")</f>
        <v>-2.3001273583443949E-2</v>
      </c>
      <c r="GD21" s="62">
        <f>IFERROR(Inv_SY_B!GD21/Inv_SY_B!$IS21-1,"")</f>
        <v>2.2656488680775189E-2</v>
      </c>
      <c r="GE21" s="62">
        <f>IFERROR(Inv_SY_B!GE21/Inv_SY_B!$IS21-1,"")</f>
        <v>-5.5150054411826632E-3</v>
      </c>
      <c r="GF21" s="62">
        <f>IFERROR(Inv_SY_B!GF21/Inv_SY_B!$IS21-1,"")</f>
        <v>-1.977685534444551E-2</v>
      </c>
      <c r="GG21" s="62">
        <f>IFERROR(Inv_SY_B!GG21/Inv_SY_B!$IS21-1,"")</f>
        <v>-1.8203339243814121E-2</v>
      </c>
      <c r="GH21" s="62">
        <f>IFERROR(Inv_SY_B!GH21/Inv_SY_B!$IS21-1,"")</f>
        <v>-2.0292762262685282E-2</v>
      </c>
      <c r="GI21" s="62">
        <f>IFERROR(Inv_SY_B!GI21/Inv_SY_B!$IS21-1,"")</f>
        <v>-7.640145092854933E-3</v>
      </c>
      <c r="GJ21" s="62">
        <f>IFERROR(Inv_SY_B!GJ21/Inv_SY_B!$IS21-1,"")</f>
        <v>-2.0024887516676082E-2</v>
      </c>
      <c r="GK21" s="62">
        <f>IFERROR(Inv_SY_B!GK21/Inv_SY_B!$IS21-1,"")</f>
        <v>2.3910200486694233E-3</v>
      </c>
      <c r="GL21" s="62">
        <f>IFERROR(Inv_SY_B!GL21/Inv_SY_B!$IS21-1,"")</f>
        <v>-7.2822346683261152E-3</v>
      </c>
      <c r="GM21" s="62">
        <f>IFERROR(Inv_SY_B!GM21/Inv_SY_B!$IS21-1,"")</f>
        <v>1.0855117926040547E-2</v>
      </c>
      <c r="GN21" s="62">
        <f>IFERROR(Inv_SY_B!GN21/Inv_SY_B!$IS21-1,"")</f>
        <v>4.8093337279184745E-3</v>
      </c>
      <c r="GO21" s="62">
        <f>IFERROR(Inv_SY_B!GO21/Inv_SY_B!$IS21-1,"")</f>
        <v>2.3910200486694233E-3</v>
      </c>
      <c r="GP21" s="62">
        <f>IFERROR(Inv_SY_B!GP21/Inv_SY_B!$IS21-1,"")</f>
        <v>1.4482588444914013E-2</v>
      </c>
      <c r="GQ21" s="62">
        <f>IFERROR(Inv_SY_B!GQ21/Inv_SY_B!$IS21-1,"")</f>
        <v>-1.1877030658899113E-2</v>
      </c>
      <c r="GR21" s="62">
        <f>IFERROR(Inv_SY_B!GR21/Inv_SY_B!$IS21-1,"")</f>
        <v>-2.1792116743819534E-2</v>
      </c>
      <c r="GS21" s="62" t="str">
        <f>IFERROR(Inv_SY_B!GS21/Inv_SY_B!$IS21-1,"")</f>
        <v/>
      </c>
      <c r="GT21" s="62" t="str">
        <f>IFERROR(Inv_SY_B!GT21/Inv_SY_B!$IS21-1,"")</f>
        <v/>
      </c>
      <c r="GU21" s="62">
        <f>IFERROR(Inv_SY_B!GU21/Inv_SY_B!$IS21-1,"")</f>
        <v>4.8616543661647471E-2</v>
      </c>
      <c r="GV21" s="62">
        <f>IFERROR(Inv_SY_B!GV21/Inv_SY_B!$IS21-1,"")</f>
        <v>-1.5599594836239183E-2</v>
      </c>
      <c r="GW21" s="62">
        <f>IFERROR(Inv_SY_B!GW21/Inv_SY_B!$IS21-1,"")</f>
        <v>-2.2057541415932191E-2</v>
      </c>
      <c r="GX21" s="62" t="str">
        <f>IFERROR(Inv_SY_B!GX21/Inv_SY_B!$IS21-1,"")</f>
        <v/>
      </c>
      <c r="GY21" s="62">
        <f>IFERROR(Inv_SY_B!GY21/Inv_SY_B!$IS21-1,"")</f>
        <v>-1.7037312028604701E-2</v>
      </c>
      <c r="GZ21" s="62">
        <f>IFERROR(Inv_SY_B!GZ21/Inv_SY_B!$IS21-1,"")</f>
        <v>-2.0827508478501011E-2</v>
      </c>
      <c r="HA21" s="62">
        <f>IFERROR(Inv_SY_B!HA21/Inv_SY_B!$IS21-1,"")</f>
        <v>-1.4849654439908377E-2</v>
      </c>
      <c r="HB21" s="62">
        <f>IFERROR(Inv_SY_B!HB21/Inv_SY_B!$IS21-1,"")</f>
        <v>-4.0895171704413702E-3</v>
      </c>
      <c r="HC21" s="62">
        <f>IFERROR(Inv_SY_B!HC21/Inv_SY_B!$IS21-1,"")</f>
        <v>-1.6983755550041835E-3</v>
      </c>
      <c r="HD21" s="62">
        <f>IFERROR(Inv_SY_B!HD21/Inv_SY_B!$IS21-1,"")</f>
        <v>-1.3654083632189673E-2</v>
      </c>
      <c r="HE21" s="62">
        <f>IFERROR(Inv_SY_B!HE21/Inv_SY_B!$IS21-1,"")</f>
        <v>-1.8436366863063935E-2</v>
      </c>
      <c r="HF21" s="62">
        <f>IFERROR(Inv_SY_B!HF21/Inv_SY_B!$IS21-1,"")</f>
        <v>3.8012501605011462E-3</v>
      </c>
      <c r="HG21" s="62">
        <f>IFERROR(Inv_SY_B!HG21/Inv_SY_B!$IS21-1,"")</f>
        <v>-1.8436366863063935E-2</v>
      </c>
      <c r="HH21" s="62">
        <f>IFERROR(Inv_SY_B!HH21/Inv_SY_B!$IS21-1,"")</f>
        <v>-6.4806587858784459E-3</v>
      </c>
      <c r="HI21" s="62">
        <f>IFERROR(Inv_SY_B!HI21/Inv_SY_B!$IS21-1,"")</f>
        <v>-2.8939463627226658E-3</v>
      </c>
      <c r="HJ21" s="62">
        <f>IFERROR(Inv_SY_B!HJ21/Inv_SY_B!$IS21-1,"")</f>
        <v>1.9702341903158116E-2</v>
      </c>
      <c r="HK21" s="62">
        <f>IFERROR(Inv_SY_B!HK21/Inv_SY_B!$IS21-1,"")</f>
        <v>-2.3351491294795745E-2</v>
      </c>
      <c r="HL21" s="62">
        <f>IFERROR(Inv_SY_B!HL21/Inv_SY_B!$IS21-1,"")</f>
        <v>2.64905272669822E-2</v>
      </c>
      <c r="HM21" s="62">
        <f>IFERROR(Inv_SY_B!HM21/Inv_SY_B!$IS21-1,"")</f>
        <v>3.4990603217460725E-2</v>
      </c>
      <c r="HN21" s="62">
        <f>IFERROR(Inv_SY_B!HN21/Inv_SY_B!$IS21-1,"")</f>
        <v>6.3438549355620211E-2</v>
      </c>
      <c r="HO21" s="62">
        <f>IFERROR(Inv_SY_B!HO21/Inv_SY_B!$IS21-1,"")</f>
        <v>6.4224799123257847E-2</v>
      </c>
      <c r="HP21" s="62">
        <f>IFERROR(Inv_SY_B!HP21/Inv_SY_B!$IS21-1,"")</f>
        <v>4.8714235525316507E-2</v>
      </c>
      <c r="HQ21" s="62">
        <f>IFERROR(Inv_SY_B!HQ21/Inv_SY_B!$IS21-1,"")</f>
        <v>-1.2713843963781946E-2</v>
      </c>
      <c r="HR21" s="62">
        <f>IFERROR(Inv_SY_B!HR21/Inv_SY_B!$IS21-1,"")</f>
        <v>-1.6522855286740579E-2</v>
      </c>
      <c r="HS21" s="62">
        <f>IFERROR(Inv_SY_B!HS21/Inv_SY_B!$IS21-1,"")</f>
        <v>9.3295695753916608E-3</v>
      </c>
      <c r="HT21" s="62">
        <f>IFERROR(Inv_SY_B!HT21/Inv_SY_B!$IS21-1,"")</f>
        <v>2.5791111126112209E-3</v>
      </c>
      <c r="HU21" s="62">
        <f>IFERROR(Inv_SY_B!HU21/Inv_SY_B!$IS21-1,"")</f>
        <v>-6.8673871770386086E-4</v>
      </c>
      <c r="HV21" s="62">
        <f>IFERROR(Inv_SY_B!HV21/Inv_SY_B!$IS21-1,"")</f>
        <v>-2.5297103959664335E-2</v>
      </c>
      <c r="HW21" s="62">
        <f>IFERROR(Inv_SY_B!HW21/Inv_SY_B!$IS21-1,"")</f>
        <v>1.6675156618014553E-2</v>
      </c>
      <c r="HX21" s="62">
        <f>IFERROR(Inv_SY_B!HX21/Inv_SY_B!$IS21-1,"")</f>
        <v>1.6970922442447023E-2</v>
      </c>
      <c r="HY21" s="62">
        <f>IFERROR(Inv_SY_B!HY21/Inv_SY_B!$IS21-1,"")</f>
        <v>1.3483301683092641E-4</v>
      </c>
      <c r="HZ21" s="62">
        <f>IFERROR(Inv_SY_B!HZ21/Inv_SY_B!$IS21-1,"")</f>
        <v>-1.5806111086083097E-2</v>
      </c>
      <c r="IA21" s="62">
        <f>IFERROR(Inv_SY_B!IA21/Inv_SY_B!$IS21-1,"")</f>
        <v>-1.0351632799680321E-2</v>
      </c>
      <c r="IB21" s="62">
        <f>IFERROR(Inv_SY_B!IB21/Inv_SY_B!$IS21-1,"")</f>
        <v>-1.6552437105446849E-2</v>
      </c>
      <c r="IC21" s="62">
        <f>IFERROR(Inv_SY_B!IC21/Inv_SY_B!$IS21-1,"")</f>
        <v>-1.9032758827753349E-2</v>
      </c>
      <c r="ID21" s="62">
        <f>IFERROR(Inv_SY_B!ID21/Inv_SY_B!$IS21-1,"")</f>
        <v>-2.1926467503777802E-2</v>
      </c>
      <c r="IE21" s="62">
        <f>IFERROR(Inv_SY_B!IE21/Inv_SY_B!$IS21-1,"")</f>
        <v>-1.332801886644841E-2</v>
      </c>
      <c r="IF21" s="62" t="str">
        <f>IFERROR(Inv_SY_B!IF21/Inv_SY_B!$IS21-1,"")</f>
        <v/>
      </c>
      <c r="IG21" s="62">
        <f>IFERROR(Inv_SY_B!IG21/Inv_SY_B!$IS21-1,"")</f>
        <v>4.4481519796060853E-2</v>
      </c>
      <c r="IH21" s="62">
        <f>IFERROR(Inv_SY_B!IH21/Inv_SY_B!$IS21-1,"")</f>
        <v>-9.325292776657168E-3</v>
      </c>
      <c r="II21" s="62">
        <f>IFERROR(Inv_SY_B!II21/Inv_SY_B!$IS21-1,"")</f>
        <v>1.9589922558551631E-2</v>
      </c>
      <c r="IJ21" s="62">
        <f>IFERROR(Inv_SY_B!IJ21/Inv_SY_B!$IS21-1,"")</f>
        <v>-2.5509154435998438E-2</v>
      </c>
      <c r="IK21" s="62">
        <f>IFERROR(Inv_SY_B!IK21/Inv_SY_B!$IS21-1,"")</f>
        <v>-1.9032758827753349E-2</v>
      </c>
      <c r="IL21" s="62" t="str">
        <f>IFERROR(Inv_SY_B!IL21/Inv_SY_B!$IS21-1,"")</f>
        <v/>
      </c>
      <c r="IM21" s="62" t="str">
        <f>IFERROR(Inv_SY_B!IM21/Inv_SY_B!$IS21-1,"")</f>
        <v/>
      </c>
      <c r="IN21" s="62">
        <f>IFERROR(Inv_SY_B!IN21/Inv_SY_B!$IS21-1,"")</f>
        <v>2.3363636956638345E-2</v>
      </c>
      <c r="IO21" s="62">
        <f>IFERROR(Inv_SY_B!IO21/Inv_SY_B!$IS21-1,"")</f>
        <v>1.819344909065812E-2</v>
      </c>
      <c r="IP21" s="62">
        <f>IFERROR(Inv_SY_B!IP21/Inv_SY_B!$IS21-1,"")</f>
        <v>0.17339963149721171</v>
      </c>
      <c r="IQ21" s="62">
        <f>IFERROR(Inv_SY_B!IQ21/Inv_SY_B!$IS21-1,"")</f>
        <v>-1.9032758827753349E-2</v>
      </c>
      <c r="IR21" s="62">
        <f>IFERROR(Inv_SY_B!IR21/Inv_SY_B!$IS21-1,"")</f>
        <v>-2.0510771436157649E-2</v>
      </c>
    </row>
    <row r="22" spans="2:252" x14ac:dyDescent="0.25">
      <c r="B22" s="85">
        <f t="shared" si="0"/>
        <v>45848</v>
      </c>
      <c r="C22" s="62">
        <f>IFERROR(Inv_SY_B!C22/Inv_SY_B!$IS22-1,"")</f>
        <v>-1.89620300061627E-2</v>
      </c>
      <c r="D22" s="62">
        <f>IFERROR(Inv_SY_B!D22/Inv_SY_B!$IS22-1,"")</f>
        <v>-1.0520038269173582E-2</v>
      </c>
      <c r="E22" s="62">
        <f>IFERROR(Inv_SY_B!E22/Inv_SY_B!$IS22-1,"")</f>
        <v>1.1122410428405782E-3</v>
      </c>
      <c r="F22" s="62">
        <f>IFERROR(Inv_SY_B!F22/Inv_SY_B!$IS22-1,"")</f>
        <v>5.791329486210639E-3</v>
      </c>
      <c r="G22" s="62">
        <f>IFERROR(Inv_SY_B!G22/Inv_SY_B!$IS22-1,"")</f>
        <v>-1.8176728449233459E-2</v>
      </c>
      <c r="H22" s="62">
        <f>IFERROR(Inv_SY_B!H22/Inv_SY_B!$IS22-1,"")</f>
        <v>-4.6302765922042743E-3</v>
      </c>
      <c r="I22" s="62">
        <f>IFERROR(Inv_SY_B!I22/Inv_SY_B!$IS22-1,"")</f>
        <v>-1.6387398716932733E-4</v>
      </c>
      <c r="J22" s="62">
        <f>IFERROR(Inv_SY_B!J22/Inv_SY_B!$IS22-1,"")</f>
        <v>2.3883560728505948E-3</v>
      </c>
      <c r="K22" s="62">
        <f>IFERROR(Inv_SY_B!K22/Inv_SY_B!$IS22-1,"")</f>
        <v>-6.0595254258155595E-3</v>
      </c>
      <c r="L22" s="62">
        <f>IFERROR(Inv_SY_B!L22/Inv_SY_B!$IS22-1,"")</f>
        <v>6.5995356718835385E-3</v>
      </c>
      <c r="M22" s="62">
        <f>IFERROR(Inv_SY_B!M22/Inv_SY_B!$IS22-1,"")</f>
        <v>1.1746532959590494E-2</v>
      </c>
      <c r="N22" s="62">
        <f>IFERROR(Inv_SY_B!N22/Inv_SY_B!$IS22-1,"")</f>
        <v>9.6196745762404667E-3</v>
      </c>
      <c r="O22" s="62">
        <f>IFERROR(Inv_SY_B!O22/Inv_SY_B!$IS22-1,"")</f>
        <v>1.4724134696280533E-2</v>
      </c>
      <c r="P22" s="62">
        <f>IFERROR(Inv_SY_B!P22/Inv_SY_B!$IS22-1,"")</f>
        <v>2.4140316811657181E-2</v>
      </c>
      <c r="Q22" s="62">
        <f>IFERROR(Inv_SY_B!Q22/Inv_SY_B!$IS22-1,"")</f>
        <v>1.4298763019610528E-2</v>
      </c>
      <c r="R22" s="62">
        <f>IFERROR(Inv_SY_B!R22/Inv_SY_B!$IS22-1,"")</f>
        <v>2.301888239134553E-2</v>
      </c>
      <c r="S22" s="62">
        <f>IFERROR(Inv_SY_B!S22/Inv_SY_B!$IS22-1,"")</f>
        <v>1.600024972629055E-2</v>
      </c>
      <c r="T22" s="62">
        <f>IFERROR(Inv_SY_B!T22/Inv_SY_B!$IS22-1,"")</f>
        <v>1.9828594816320599E-2</v>
      </c>
      <c r="U22" s="62">
        <f>IFERROR(Inv_SY_B!U22/Inv_SY_B!$IS22-1,"")</f>
        <v>1.3431659217167935E-2</v>
      </c>
      <c r="V22" s="62">
        <f>IFERROR(Inv_SY_B!V22/Inv_SY_B!$IS22-1,"")</f>
        <v>2.2855277900318605E-2</v>
      </c>
      <c r="W22" s="62">
        <f>IFERROR(Inv_SY_B!W22/Inv_SY_B!$IS22-1,"")</f>
        <v>-3.5668474005293715E-3</v>
      </c>
      <c r="X22" s="62">
        <f>IFERROR(Inv_SY_B!X22/Inv_SY_B!$IS22-1,"")</f>
        <v>-6.5444491372192992E-3</v>
      </c>
      <c r="Y22" s="62">
        <f>IFERROR(Inv_SY_B!Y22/Inv_SY_B!$IS22-1,"")</f>
        <v>2.1284674786460123E-2</v>
      </c>
      <c r="Z22" s="62">
        <f>IFERROR(Inv_SY_B!Z22/Inv_SY_B!$IS22-1,"")</f>
        <v>-2.4670008915324337E-2</v>
      </c>
      <c r="AA22" s="62">
        <f>IFERROR(Inv_SY_B!AA22/Inv_SY_B!$IS22-1,"")</f>
        <v>-4.0413004245074546E-3</v>
      </c>
      <c r="AB22" s="62">
        <f>IFERROR(Inv_SY_B!AB22/Inv_SY_B!$IS22-1,"")</f>
        <v>6.7565959832693867E-3</v>
      </c>
      <c r="AC22" s="62">
        <f>IFERROR(Inv_SY_B!AC22/Inv_SY_B!$IS22-1,"")</f>
        <v>2.4033230235712466E-2</v>
      </c>
      <c r="AD22" s="62">
        <f>IFERROR(Inv_SY_B!AD22/Inv_SY_B!$IS22-1,"")</f>
        <v>-2.0888927344924313E-2</v>
      </c>
      <c r="AE22" s="62">
        <f>IFERROR(Inv_SY_B!AE22/Inv_SY_B!$IS22-1,"")</f>
        <v>-4.2521684351642941E-3</v>
      </c>
      <c r="AF22" s="62">
        <f>IFERROR(Inv_SY_B!AF22/Inv_SY_B!$IS22-1,"")</f>
        <v>-1.3515818282644476E-2</v>
      </c>
      <c r="AG22" s="62">
        <f>IFERROR(Inv_SY_B!AG22/Inv_SY_B!$IS22-1,"")</f>
        <v>-3.3068980425643435E-3</v>
      </c>
      <c r="AH22" s="62">
        <f>IFERROR(Inv_SY_B!AH22/Inv_SY_B!$IS22-1,"")</f>
        <v>9.6075370795478676E-5</v>
      </c>
      <c r="AI22" s="62">
        <f>IFERROR(Inv_SY_B!AI22/Inv_SY_B!$IS22-1,"")</f>
        <v>-2.4306836650842545E-3</v>
      </c>
      <c r="AJ22" s="62">
        <f>IFERROR(Inv_SY_B!AJ22/Inv_SY_B!$IS22-1,"")</f>
        <v>3.0042899376565568E-3</v>
      </c>
      <c r="AK22" s="62">
        <f>IFERROR(Inv_SY_B!AK22/Inv_SY_B!$IS22-1,"")</f>
        <v>-6.5444491372192992E-3</v>
      </c>
      <c r="AL22" s="62">
        <f>IFERROR(Inv_SY_B!AL22/Inv_SY_B!$IS22-1,"")</f>
        <v>-2.1566871855000058E-2</v>
      </c>
      <c r="AM22" s="62">
        <f>IFERROR(Inv_SY_B!AM22/Inv_SY_B!$IS22-1,"")</f>
        <v>-1.3988453478944285E-2</v>
      </c>
      <c r="AN22" s="62">
        <f>IFERROR(Inv_SY_B!AN22/Inv_SY_B!$IS22-1,"")</f>
        <v>-5.2683341072093937E-3</v>
      </c>
      <c r="AO22" s="62">
        <f>IFERROR(Inv_SY_B!AO22/Inv_SY_B!$IS22-1,"")</f>
        <v>-4.2049049155343798E-3</v>
      </c>
      <c r="AP22" s="62">
        <f>IFERROR(Inv_SY_B!AP22/Inv_SY_B!$IS22-1,"")</f>
        <v>-1.1010851742254357E-2</v>
      </c>
      <c r="AQ22" s="62">
        <f>IFERROR(Inv_SY_B!AQ22/Inv_SY_B!$IS22-1,"")</f>
        <v>7.2801303545555474E-3</v>
      </c>
      <c r="AR22" s="62">
        <f>IFERROR(Inv_SY_B!AR22/Inv_SY_B!$IS22-1,"")</f>
        <v>1.4511448857945419E-2</v>
      </c>
      <c r="AS22" s="62">
        <f>IFERROR(Inv_SY_B!AS22/Inv_SY_B!$IS22-1,"")</f>
        <v>6.0040153245457528E-3</v>
      </c>
      <c r="AT22" s="62">
        <f>IFERROR(Inv_SY_B!AT22/Inv_SY_B!$IS22-1,"")</f>
        <v>1.1746532959590494E-2</v>
      </c>
      <c r="AU22" s="62">
        <f>IFERROR(Inv_SY_B!AU22/Inv_SY_B!$IS22-1,"")</f>
        <v>-1.5902626023959421E-2</v>
      </c>
      <c r="AV22" s="62">
        <f>IFERROR(Inv_SY_B!AV22/Inv_SY_B!$IS22-1,"")</f>
        <v>4.7279002945355142E-3</v>
      </c>
      <c r="AW22" s="62">
        <f>IFERROR(Inv_SY_B!AW22/Inv_SY_B!$IS22-1,"")</f>
        <v>-2.1906910844647354E-2</v>
      </c>
      <c r="AX22" s="62">
        <f>IFERROR(Inv_SY_B!AX22/Inv_SY_B!$IS22-1,"")</f>
        <v>-1.1861595095594257E-2</v>
      </c>
      <c r="AY22" s="62">
        <f>IFERROR(Inv_SY_B!AY22/Inv_SY_B!$IS22-1,"")</f>
        <v>-1.3409947998673233E-2</v>
      </c>
      <c r="AZ22" s="62">
        <f>IFERROR(Inv_SY_B!AZ22/Inv_SY_B!$IS22-1,"")</f>
        <v>-1.8310229713911497E-2</v>
      </c>
      <c r="BA22" s="62">
        <f>IFERROR(Inv_SY_B!BA22/Inv_SY_B!$IS22-1,"")</f>
        <v>-1.2286966772264374E-2</v>
      </c>
      <c r="BB22" s="62">
        <f>IFERROR(Inv_SY_B!BB22/Inv_SY_B!$IS22-1,"")</f>
        <v>-5.9063916222144019E-3</v>
      </c>
      <c r="BC22" s="62">
        <f>IFERROR(Inv_SY_B!BC22/Inv_SY_B!$IS22-1,"")</f>
        <v>-1.5784467224884247E-2</v>
      </c>
      <c r="BD22" s="62">
        <f>IFERROR(Inv_SY_B!BD22/Inv_SY_B!$IS22-1,"")</f>
        <v>-1.2003385654484333E-2</v>
      </c>
      <c r="BE22" s="62">
        <f>IFERROR(Inv_SY_B!BE22/Inv_SY_B!$IS22-1,"")</f>
        <v>-1.798040306000126E-2</v>
      </c>
      <c r="BF22" s="62">
        <f>IFERROR(Inv_SY_B!BF22/Inv_SY_B!$IS22-1,"")</f>
        <v>-7.0879796129642569E-3</v>
      </c>
      <c r="BG22" s="62">
        <f>IFERROR(Inv_SY_B!BG22/Inv_SY_B!$IS22-1,"")</f>
        <v>-1.4461088675244427E-2</v>
      </c>
      <c r="BH22" s="62">
        <f>IFERROR(Inv_SY_B!BH22/Inv_SY_B!$IS22-1,"")</f>
        <v>4.8811851165675435E-5</v>
      </c>
      <c r="BI22" s="62">
        <f>IFERROR(Inv_SY_B!BI22/Inv_SY_B!$IS22-1,"")</f>
        <v>-1.4461088675244427E-2</v>
      </c>
      <c r="BJ22" s="62">
        <f>IFERROR(Inv_SY_B!BJ22/Inv_SY_B!$IS22-1,"")</f>
        <v>-1.3704872361164244E-2</v>
      </c>
      <c r="BK22" s="62">
        <f>IFERROR(Inv_SY_B!BK22/Inv_SY_B!$IS22-1,"")</f>
        <v>-1.0372794227249349E-2</v>
      </c>
      <c r="BL22" s="62">
        <f>IFERROR(Inv_SY_B!BL22/Inv_SY_B!$IS22-1,"")</f>
        <v>1.7000492225278441E-2</v>
      </c>
      <c r="BM22" s="62">
        <f>IFERROR(Inv_SY_B!BM22/Inv_SY_B!$IS22-1,"")</f>
        <v>3.0264135878557141E-3</v>
      </c>
      <c r="BN22" s="62">
        <f>IFERROR(Inv_SY_B!BN22/Inv_SY_B!$IS22-1,"")</f>
        <v>2.1282663558697124E-4</v>
      </c>
      <c r="BO22" s="62">
        <f>IFERROR(Inv_SY_B!BO22/Inv_SY_B!$IS22-1,"")</f>
        <v>8.6683430630030145E-4</v>
      </c>
      <c r="BP22" s="62">
        <f>IFERROR(Inv_SY_B!BP22/Inv_SY_B!$IS22-1,"")</f>
        <v>1.0879429157147902E-2</v>
      </c>
      <c r="BQ22" s="62">
        <f>IFERROR(Inv_SY_B!BQ22/Inv_SY_B!$IS22-1,"")</f>
        <v>9.5051514325219522E-3</v>
      </c>
      <c r="BR22" s="62">
        <f>IFERROR(Inv_SY_B!BR22/Inv_SY_B!$IS22-1,"")</f>
        <v>1.1861056103309453E-2</v>
      </c>
      <c r="BS22" s="62">
        <f>IFERROR(Inv_SY_B!BS22/Inv_SY_B!$IS22-1,"")</f>
        <v>4.940586132870628E-3</v>
      </c>
      <c r="BT22" s="62">
        <f>IFERROR(Inv_SY_B!BT22/Inv_SY_B!$IS22-1,"")</f>
        <v>8.9955520450568649E-4</v>
      </c>
      <c r="BU22" s="62">
        <f>IFERROR(Inv_SY_B!BU22/Inv_SY_B!$IS22-1,"")</f>
        <v>-1.6387398716932733E-4</v>
      </c>
      <c r="BV22" s="62">
        <f>IFERROR(Inv_SY_B!BV22/Inv_SY_B!$IS22-1,"")</f>
        <v>1.324926881175692E-3</v>
      </c>
      <c r="BW22" s="62">
        <f>IFERROR(Inv_SY_B!BW22/Inv_SY_B!$IS22-1,"")</f>
        <v>7.0674445162206556E-3</v>
      </c>
      <c r="BX22" s="62">
        <f>IFERROR(Inv_SY_B!BX22/Inv_SY_B!$IS22-1,"")</f>
        <v>4.3025286178657307E-3</v>
      </c>
      <c r="BY22" s="62">
        <f>IFERROR(Inv_SY_B!BY22/Inv_SY_B!$IS22-1,"")</f>
        <v>-1.2003385654484333E-2</v>
      </c>
      <c r="BZ22" s="62">
        <f>IFERROR(Inv_SY_B!BZ22/Inv_SY_B!$IS22-1,"")</f>
        <v>-7.4660877700043482E-3</v>
      </c>
      <c r="CA22" s="62">
        <f>IFERROR(Inv_SY_B!CA22/Inv_SY_B!$IS22-1,"")</f>
        <v>-4.063114356644415E-3</v>
      </c>
      <c r="CB22" s="62">
        <f>IFERROR(Inv_SY_B!CB22/Inv_SY_B!$IS22-1,"")</f>
        <v>-6.1190774605494047E-3</v>
      </c>
      <c r="CC22" s="62">
        <f>IFERROR(Inv_SY_B!CC22/Inv_SY_B!$IS22-1,"")</f>
        <v>-1.4201139317279399E-2</v>
      </c>
      <c r="CD22" s="62">
        <f>IFERROR(Inv_SY_B!CD22/Inv_SY_B!$IS22-1,"")</f>
        <v>1.8143468558743381E-2</v>
      </c>
      <c r="CE22" s="62">
        <f>IFERROR(Inv_SY_B!CE22/Inv_SY_B!$IS22-1,"")</f>
        <v>-1.6387398716932733E-4</v>
      </c>
      <c r="CF22" s="62">
        <f>IFERROR(Inv_SY_B!CF22/Inv_SY_B!$IS22-1,"")</f>
        <v>1.4724134696280533E-2</v>
      </c>
      <c r="CG22" s="62">
        <f>IFERROR(Inv_SY_B!CG22/Inv_SY_B!$IS22-1,"")</f>
        <v>6.6420728395506501E-3</v>
      </c>
      <c r="CH22" s="62">
        <f>IFERROR(Inv_SY_B!CH22/Inv_SY_B!$IS22-1,"")</f>
        <v>7.0674445162206556E-3</v>
      </c>
      <c r="CI22" s="62">
        <f>IFERROR(Inv_SY_B!CI22/Inv_SY_B!$IS22-1,"")</f>
        <v>-3.5668474005293715E-3</v>
      </c>
      <c r="CJ22" s="62">
        <f>IFERROR(Inv_SY_B!CJ22/Inv_SY_B!$IS22-1,"")</f>
        <v>4.8811851165675435E-5</v>
      </c>
      <c r="CK22" s="62">
        <f>IFERROR(Inv_SY_B!CK22/Inv_SY_B!$IS22-1,"")</f>
        <v>7.9181878695604446E-3</v>
      </c>
      <c r="CL22" s="62">
        <f>IFERROR(Inv_SY_B!CL22/Inv_SY_B!$IS22-1,"")</f>
        <v>1.2809962151265397E-2</v>
      </c>
      <c r="CM22" s="62">
        <f>IFERROR(Inv_SY_B!CM22/Inv_SY_B!$IS22-1,"")</f>
        <v>1.7502985578456975E-3</v>
      </c>
      <c r="CN22" s="62">
        <f>IFERROR(Inv_SY_B!CN22/Inv_SY_B!$IS22-1,"")</f>
        <v>-1.2273031788442301E-3</v>
      </c>
      <c r="CO22" s="62">
        <f>IFERROR(Inv_SY_B!CO22/Inv_SY_B!$IS22-1,"")</f>
        <v>1.4766671863947645E-2</v>
      </c>
      <c r="CP22" s="62">
        <f>IFERROR(Inv_SY_B!CP22/Inv_SY_B!$IS22-1,"")</f>
        <v>1.7947143169511071E-2</v>
      </c>
      <c r="CQ22" s="62">
        <f>IFERROR(Inv_SY_B!CQ22/Inv_SY_B!$IS22-1,"")</f>
        <v>-5.2683341072093937E-3</v>
      </c>
      <c r="CR22" s="62">
        <f>IFERROR(Inv_SY_B!CR22/Inv_SY_B!$IS22-1,"")</f>
        <v>2.1317395684665508E-2</v>
      </c>
      <c r="CS22" s="62">
        <f>IFERROR(Inv_SY_B!CS22/Inv_SY_B!$IS22-1,"")</f>
        <v>2.2215402557635544E-2</v>
      </c>
      <c r="CT22" s="62">
        <f>IFERROR(Inv_SY_B!CT22/Inv_SY_B!$IS22-1,"")</f>
        <v>-1.6327997700629315E-2</v>
      </c>
      <c r="CU22" s="62">
        <f>IFERROR(Inv_SY_B!CU22/Inv_SY_B!$IS22-1,"")</f>
        <v>-1.5902626023959421E-2</v>
      </c>
      <c r="CV22" s="62">
        <f>IFERROR(Inv_SY_B!CV22/Inv_SY_B!$IS22-1,"")</f>
        <v>-1.2273031788442301E-3</v>
      </c>
      <c r="CW22" s="62">
        <f>IFERROR(Inv_SY_B!CW22/Inv_SY_B!$IS22-1,"")</f>
        <v>-3.3541615621942578E-3</v>
      </c>
      <c r="CX22" s="62">
        <f>IFERROR(Inv_SY_B!CX22/Inv_SY_B!$IS22-1,"")</f>
        <v>-1.4201139317279399E-2</v>
      </c>
      <c r="CY22" s="62">
        <f>IFERROR(Inv_SY_B!CY22/Inv_SY_B!$IS22-1,"")</f>
        <v>-1.6387398716932733E-4</v>
      </c>
      <c r="CZ22" s="62">
        <f>IFERROR(Inv_SY_B!CZ22/Inv_SY_B!$IS22-1,"")</f>
        <v>1.8977851462980588E-2</v>
      </c>
      <c r="DA22" s="62">
        <f>IFERROR(Inv_SY_B!DA22/Inv_SY_B!$IS22-1,"")</f>
        <v>-2.0369028628994257E-2</v>
      </c>
      <c r="DB22" s="62">
        <f>IFERROR(Inv_SY_B!DB22/Inv_SY_B!$IS22-1,"")</f>
        <v>3.0264135878557141E-3</v>
      </c>
      <c r="DC22" s="62">
        <f>IFERROR(Inv_SY_B!DC22/Inv_SY_B!$IS22-1,"")</f>
        <v>3.688102862675624E-3</v>
      </c>
      <c r="DD22" s="62">
        <f>IFERROR(Inv_SY_B!DD22/Inv_SY_B!$IS22-1,"")</f>
        <v>-1.8029484407309337E-2</v>
      </c>
      <c r="DE22" s="62">
        <f>IFERROR(Inv_SY_B!DE22/Inv_SY_B!$IS22-1,"")</f>
        <v>-7.4660877700043482E-3</v>
      </c>
      <c r="DF22" s="62">
        <f>IFERROR(Inv_SY_B!DF22/Inv_SY_B!$IS22-1,"")</f>
        <v>1.6430531179757235E-2</v>
      </c>
      <c r="DG22" s="62">
        <f>IFERROR(Inv_SY_B!DG22/Inv_SY_B!$IS22-1,"")</f>
        <v>-6.1190774605494047E-3</v>
      </c>
      <c r="DH22" s="62">
        <f>IFERROR(Inv_SY_B!DH22/Inv_SY_B!$IS22-1,"")</f>
        <v>-3.8740602781244249E-3</v>
      </c>
      <c r="DI22" s="62">
        <f>IFERROR(Inv_SY_B!DI22/Inv_SY_B!$IS22-1,"")</f>
        <v>4.2043659232493535E-3</v>
      </c>
      <c r="DJ22" s="62">
        <f>IFERROR(Inv_SY_B!DJ22/Inv_SY_B!$IS22-1,"")</f>
        <v>1.6521358632295424E-3</v>
      </c>
      <c r="DK22" s="62">
        <f>IFERROR(Inv_SY_B!DK22/Inv_SY_B!$IS22-1,"")</f>
        <v>1.5976617966475537E-2</v>
      </c>
      <c r="DL22" s="62">
        <f>IFERROR(Inv_SY_B!DL22/Inv_SY_B!$IS22-1,"")</f>
        <v>1.2303998419156414E-3</v>
      </c>
      <c r="DM22" s="62">
        <f>IFERROR(Inv_SY_B!DM22/Inv_SY_B!$IS22-1,"")</f>
        <v>-8.6713075205693269E-3</v>
      </c>
      <c r="DN22" s="62">
        <f>IFERROR(Inv_SY_B!DN22/Inv_SY_B!$IS22-1,"")</f>
        <v>-1.9092913598984351E-2</v>
      </c>
      <c r="DO22" s="62">
        <f>IFERROR(Inv_SY_B!DO22/Inv_SY_B!$IS22-1,"")</f>
        <v>-9.7876769142251074E-3</v>
      </c>
      <c r="DP22" s="62">
        <f>IFERROR(Inv_SY_B!DP22/Inv_SY_B!$IS22-1,"")</f>
        <v>-4.6302765922042743E-3</v>
      </c>
      <c r="DQ22" s="62">
        <f>IFERROR(Inv_SY_B!DQ22/Inv_SY_B!$IS22-1,"")</f>
        <v>-9.3566285552043604E-3</v>
      </c>
      <c r="DR22" s="62">
        <f>IFERROR(Inv_SY_B!DR22/Inv_SY_B!$IS22-1,"")</f>
        <v>1.8339793947975469E-2</v>
      </c>
      <c r="DS22" s="62">
        <f>IFERROR(Inv_SY_B!DS22/Inv_SY_B!$IS22-1,"")</f>
        <v>-1.6526748555143467E-3</v>
      </c>
      <c r="DT22" s="62">
        <f>IFERROR(Inv_SY_B!DT22/Inv_SY_B!$IS22-1,"")</f>
        <v>-1.0301898947804311E-2</v>
      </c>
      <c r="DU22" s="62">
        <f>IFERROR(Inv_SY_B!DU22/Inv_SY_B!$IS22-1,"")</f>
        <v>-1.2273031788444522E-3</v>
      </c>
      <c r="DV22" s="62">
        <f>IFERROR(Inv_SY_B!DV22/Inv_SY_B!$IS22-1,"")</f>
        <v>-3.3541615621942578E-3</v>
      </c>
      <c r="DW22" s="62">
        <f>IFERROR(Inv_SY_B!DW22/Inv_SY_B!$IS22-1,"")</f>
        <v>-1.7816798568974224E-2</v>
      </c>
      <c r="DX22" s="62">
        <f>IFERROR(Inv_SY_B!DX22/Inv_SY_B!$IS22-1,"")</f>
        <v>-1.4461088675244427E-2</v>
      </c>
      <c r="DY22" s="62">
        <f>IFERROR(Inv_SY_B!DY22/Inv_SY_B!$IS22-1,"")</f>
        <v>-1.9092913598984351E-2</v>
      </c>
      <c r="DZ22" s="62">
        <f>IFERROR(Inv_SY_B!DZ22/Inv_SY_B!$IS22-1,"")</f>
        <v>1.4086077181275636E-2</v>
      </c>
      <c r="EA22" s="62">
        <f>IFERROR(Inv_SY_B!EA22/Inv_SY_B!$IS22-1,"")</f>
        <v>-1.4272034596724437E-2</v>
      </c>
      <c r="EB22" s="62">
        <f>IFERROR(Inv_SY_B!EB22/Inv_SY_B!$IS22-1,"")</f>
        <v>-1.8998386559724301E-2</v>
      </c>
      <c r="EC22" s="62">
        <f>IFERROR(Inv_SY_B!EC22/Inv_SY_B!$IS22-1,"")</f>
        <v>-5.6119035383658256E-3</v>
      </c>
      <c r="ED22" s="62">
        <f>IFERROR(Inv_SY_B!ED22/Inv_SY_B!$IS22-1,"")</f>
        <v>6.7050891706799121E-4</v>
      </c>
      <c r="EE22" s="62">
        <f>IFERROR(Inv_SY_B!EE22/Inv_SY_B!$IS22-1,"")</f>
        <v>-4.4339512029719641E-3</v>
      </c>
      <c r="EF22" s="62">
        <f>IFERROR(Inv_SY_B!EF22/Inv_SY_B!$IS22-1,"")</f>
        <v>-2.2495887012344284E-2</v>
      </c>
      <c r="EG22" s="62">
        <f>IFERROR(Inv_SY_B!EG22/Inv_SY_B!$IS22-1,"")</f>
        <v>-2.0918590987489161E-2</v>
      </c>
      <c r="EH22" s="62">
        <f>IFERROR(Inv_SY_B!EH22/Inv_SY_B!$IS22-1,"")</f>
        <v>-2.0124365549231249E-2</v>
      </c>
      <c r="EI22" s="62">
        <f>IFERROR(Inv_SY_B!EI22/Inv_SY_B!$IS22-1,"")</f>
        <v>6.0850739132816134E-3</v>
      </c>
      <c r="EJ22" s="62">
        <f>IFERROR(Inv_SY_B!EJ22/Inv_SY_B!$IS22-1,"")</f>
        <v>-2.3102710942698779E-2</v>
      </c>
      <c r="EK22" s="62">
        <f>IFERROR(Inv_SY_B!EK22/Inv_SY_B!$IS22-1,"")</f>
        <v>3.9452164094626596E-3</v>
      </c>
      <c r="EL22" s="62">
        <f>IFERROR(Inv_SY_B!EL22/Inv_SY_B!$IS22-1,"")</f>
        <v>8.1308737078955584E-3</v>
      </c>
      <c r="EM22" s="62">
        <f>IFERROR(Inv_SY_B!EM22/Inv_SY_B!$IS22-1,"")</f>
        <v>-1.3268593718425814E-2</v>
      </c>
      <c r="EN22" s="62">
        <f>IFERROR(Inv_SY_B!EN22/Inv_SY_B!$IS22-1,"")</f>
        <v>3.2227389770880244E-3</v>
      </c>
      <c r="EO22" s="62">
        <f>IFERROR(Inv_SY_B!EO22/Inv_SY_B!$IS22-1,"")</f>
        <v>-6.3317632988842965E-3</v>
      </c>
      <c r="EP22" s="62">
        <f>IFERROR(Inv_SY_B!EP22/Inv_SY_B!$IS22-1,"")</f>
        <v>2.1677325564924743E-2</v>
      </c>
      <c r="EQ22" s="62">
        <f>IFERROR(Inv_SY_B!EQ22/Inv_SY_B!$IS22-1,"")</f>
        <v>-6.5444491372192992E-3</v>
      </c>
      <c r="ER22" s="62">
        <f>IFERROR(Inv_SY_B!ER22/Inv_SY_B!$IS22-1,"")</f>
        <v>3.1493595026540033E-2</v>
      </c>
      <c r="ES22" s="62">
        <f>IFERROR(Inv_SY_B!ES22/Inv_SY_B!$IS22-1,"")</f>
        <v>-1.9092913598984351E-2</v>
      </c>
      <c r="ET22" s="62">
        <f>IFERROR(Inv_SY_B!ET22/Inv_SY_B!$IS22-1,"")</f>
        <v>-8.5746321395080427E-3</v>
      </c>
      <c r="EU22" s="62">
        <f>IFERROR(Inv_SY_B!EU22/Inv_SY_B!$IS22-1,"")</f>
        <v>-1.2927449752551112E-3</v>
      </c>
      <c r="EV22" s="62">
        <f>IFERROR(Inv_SY_B!EV22/Inv_SY_B!$IS22-1,"")</f>
        <v>6.7050891706799121E-4</v>
      </c>
      <c r="EW22" s="62">
        <f>IFERROR(Inv_SY_B!EW22/Inv_SY_B!$IS22-1,"")</f>
        <v>5.5786436478757473E-3</v>
      </c>
      <c r="EX22" s="62">
        <f>IFERROR(Inv_SY_B!EX22/Inv_SY_B!$IS22-1,"")</f>
        <v>1.7502985578456975E-3</v>
      </c>
      <c r="EY22" s="62">
        <f>IFERROR(Inv_SY_B!EY22/Inv_SY_B!$IS22-1,"")</f>
        <v>-1.5028250910804397E-2</v>
      </c>
      <c r="EZ22" s="62">
        <f>IFERROR(Inv_SY_B!EZ22/Inv_SY_B!$IS22-1,"")</f>
        <v>1.1108475444585375E-2</v>
      </c>
      <c r="FA22" s="62">
        <f>IFERROR(Inv_SY_B!FA22/Inv_SY_B!$IS22-1,"")</f>
        <v>6.6420728395506501E-3</v>
      </c>
      <c r="FB22" s="62">
        <f>IFERROR(Inv_SY_B!FB22/Inv_SY_B!$IS22-1,"")</f>
        <v>1.0683103767915592E-2</v>
      </c>
      <c r="FC22" s="62">
        <f>IFERROR(Inv_SY_B!FC22/Inv_SY_B!$IS22-1,"")</f>
        <v>-4.4175907538693826E-3</v>
      </c>
      <c r="FD22" s="62">
        <f>IFERROR(Inv_SY_B!FD22/Inv_SY_B!$IS22-1,"")</f>
        <v>-1.7816798568974224E-2</v>
      </c>
      <c r="FE22" s="62">
        <f>IFERROR(Inv_SY_B!FE22/Inv_SY_B!$IS22-1,"")</f>
        <v>-3.6441877053785543E-3</v>
      </c>
      <c r="FF22" s="62">
        <f>IFERROR(Inv_SY_B!FF22/Inv_SY_B!$IS22-1,"")</f>
        <v>-1.7410761968516542E-2</v>
      </c>
      <c r="FG22" s="62">
        <f>IFERROR(Inv_SY_B!FG22/Inv_SY_B!$IS22-1,"")</f>
        <v>-8.041843372769919E-3</v>
      </c>
      <c r="FH22" s="62">
        <f>IFERROR(Inv_SY_B!FH22/Inv_SY_B!$IS22-1,"")</f>
        <v>-8.376447608332227E-3</v>
      </c>
      <c r="FI22" s="62">
        <f>IFERROR(Inv_SY_B!FI22/Inv_SY_B!$IS22-1,"")</f>
        <v>-1.1341719272528472E-5</v>
      </c>
      <c r="FJ22" s="62">
        <f>IFERROR(Inv_SY_B!FJ22/Inv_SY_B!$IS22-1,"")</f>
        <v>-1.1483486938554388E-2</v>
      </c>
      <c r="FK22" s="62">
        <f>IFERROR(Inv_SY_B!FK22/Inv_SY_B!$IS22-1,"")</f>
        <v>9.7399817171170966E-3</v>
      </c>
      <c r="FL22" s="62">
        <f>IFERROR(Inv_SY_B!FL22/Inv_SY_B!$IS22-1,"")</f>
        <v>3.1702665548749565E-3</v>
      </c>
      <c r="FM22" s="62">
        <f>IFERROR(Inv_SY_B!FM22/Inv_SY_B!$IS22-1,"")</f>
        <v>-6.0103176568552241E-3</v>
      </c>
      <c r="FN22" s="62">
        <f>IFERROR(Inv_SY_B!FN22/Inv_SY_B!$IS22-1,"")</f>
        <v>-2.2382024896872021E-2</v>
      </c>
      <c r="FO22" s="62">
        <f>IFERROR(Inv_SY_B!FO22/Inv_SY_B!$IS22-1,"")</f>
        <v>-5.1499067654091624E-3</v>
      </c>
      <c r="FP22" s="62">
        <f>IFERROR(Inv_SY_B!FP22/Inv_SY_B!$IS22-1,"")</f>
        <v>-8.1871572122139691E-3</v>
      </c>
      <c r="FQ22" s="62">
        <f>IFERROR(Inv_SY_B!FQ22/Inv_SY_B!$IS22-1,"")</f>
        <v>2.0309651512481874E-2</v>
      </c>
      <c r="FR22" s="62">
        <f>IFERROR(Inv_SY_B!FR22/Inv_SY_B!$IS22-1,"")</f>
        <v>-1.2110630877208428E-2</v>
      </c>
      <c r="FS22" s="62">
        <f>IFERROR(Inv_SY_B!FS22/Inv_SY_B!$IS22-1,"")</f>
        <v>-1.5307535344981638E-2</v>
      </c>
      <c r="FT22" s="62">
        <f>IFERROR(Inv_SY_B!FT22/Inv_SY_B!$IS22-1,"")</f>
        <v>-7.5676613703727913E-3</v>
      </c>
      <c r="FU22" s="62">
        <f>IFERROR(Inv_SY_B!FU22/Inv_SY_B!$IS22-1,"")</f>
        <v>1.2225613181294559E-2</v>
      </c>
      <c r="FV22" s="62">
        <f>IFERROR(Inv_SY_B!FV22/Inv_SY_B!$IS22-1,"")</f>
        <v>-1.3754015679870446E-2</v>
      </c>
      <c r="FW22" s="62">
        <f>IFERROR(Inv_SY_B!FW22/Inv_SY_B!$IS22-1,"")</f>
        <v>-1.6980556522793622E-2</v>
      </c>
      <c r="FX22" s="62">
        <f>IFERROR(Inv_SY_B!FX22/Inv_SY_B!$IS22-1,"")</f>
        <v>-1.3969118402732073E-2</v>
      </c>
      <c r="FY22" s="62">
        <f>IFERROR(Inv_SY_B!FY22/Inv_SY_B!$IS22-1,"")</f>
        <v>-1.1865891779197169E-2</v>
      </c>
      <c r="FZ22" s="62">
        <f>IFERROR(Inv_SY_B!FZ22/Inv_SY_B!$IS22-1,"")</f>
        <v>-2.1282610980024264E-2</v>
      </c>
      <c r="GA22" s="62">
        <f>IFERROR(Inv_SY_B!GA22/Inv_SY_B!$IS22-1,"")</f>
        <v>1.859412456584475E-2</v>
      </c>
      <c r="GB22" s="62">
        <f>IFERROR(Inv_SY_B!GB22/Inv_SY_B!$IS22-1,"")</f>
        <v>-1.0336272416626158E-2</v>
      </c>
      <c r="GC22" s="62">
        <f>IFERROR(Inv_SY_B!GC22/Inv_SY_B!$IS22-1,"")</f>
        <v>-2.2764429737514691E-2</v>
      </c>
      <c r="GD22" s="62">
        <f>IFERROR(Inv_SY_B!GD22/Inv_SY_B!$IS22-1,"")</f>
        <v>8.5392305174987193E-3</v>
      </c>
      <c r="GE22" s="62">
        <f>IFERROR(Inv_SY_B!GE22/Inv_SY_B!$IS22-1,"")</f>
        <v>2.0778244521054035E-2</v>
      </c>
      <c r="GF22" s="62">
        <f>IFERROR(Inv_SY_B!GF22/Inv_SY_B!$IS22-1,"")</f>
        <v>-1.7219559548195318E-2</v>
      </c>
      <c r="GG22" s="62">
        <f>IFERROR(Inv_SY_B!GG22/Inv_SY_B!$IS22-1,"")</f>
        <v>-1.7066597611938072E-2</v>
      </c>
      <c r="GH22" s="62">
        <f>IFERROR(Inv_SY_B!GH22/Inv_SY_B!$IS22-1,"")</f>
        <v>-8.108116793553044E-2</v>
      </c>
      <c r="GI22" s="62">
        <f>IFERROR(Inv_SY_B!GI22/Inv_SY_B!$IS22-1,"")</f>
        <v>1.5182776432982603E-3</v>
      </c>
      <c r="GJ22" s="62">
        <f>IFERROR(Inv_SY_B!GJ22/Inv_SY_B!$IS22-1,"")</f>
        <v>1.0651870183264966E-2</v>
      </c>
      <c r="GK22" s="62">
        <f>IFERROR(Inv_SY_B!GK22/Inv_SY_B!$IS22-1,"")</f>
        <v>4.5297157633599205E-3</v>
      </c>
      <c r="GL22" s="62">
        <f>IFERROR(Inv_SY_B!GL22/Inv_SY_B!$IS22-1,"")</f>
        <v>-8.376447608332227E-3</v>
      </c>
      <c r="GM22" s="62">
        <f>IFERROR(Inv_SY_B!GM22/Inv_SY_B!$IS22-1,"")</f>
        <v>1.3133824677821204E-2</v>
      </c>
      <c r="GN22" s="62">
        <f>IFERROR(Inv_SY_B!GN22/Inv_SY_B!$IS22-1,"")</f>
        <v>-1.4829529294178134E-2</v>
      </c>
      <c r="GO22" s="62">
        <f>IFERROR(Inv_SY_B!GO22/Inv_SY_B!$IS22-1,"")</f>
        <v>-4.0743931511014742E-3</v>
      </c>
      <c r="GP22" s="62">
        <f>IFERROR(Inv_SY_B!GP22/Inv_SY_B!$IS22-1,"")</f>
        <v>2.2766130612916768E-4</v>
      </c>
      <c r="GQ22" s="62">
        <f>IFERROR(Inv_SY_B!GQ22/Inv_SY_B!$IS22-1,"")</f>
        <v>1.4424441014990297E-2</v>
      </c>
      <c r="GR22" s="62">
        <f>IFERROR(Inv_SY_B!GR22/Inv_SY_B!$IS22-1,"")</f>
        <v>-1.3754015679870446E-2</v>
      </c>
      <c r="GS22" s="62" t="str">
        <f>IFERROR(Inv_SY_B!GS22/Inv_SY_B!$IS22-1,"")</f>
        <v/>
      </c>
      <c r="GT22" s="62" t="str">
        <f>IFERROR(Inv_SY_B!GT22/Inv_SY_B!$IS22-1,"")</f>
        <v/>
      </c>
      <c r="GU22" s="62">
        <f>IFERROR(Inv_SY_B!GU22/Inv_SY_B!$IS22-1,"")</f>
        <v>5.6080587313526165E-2</v>
      </c>
      <c r="GV22" s="62">
        <f>IFERROR(Inv_SY_B!GV22/Inv_SY_B!$IS22-1,"")</f>
        <v>-4.1744015092481934E-3</v>
      </c>
      <c r="GW22" s="62">
        <f>IFERROR(Inv_SY_B!GW22/Inv_SY_B!$IS22-1,"")</f>
        <v>-5.7007795922497939E-3</v>
      </c>
      <c r="GX22" s="62" t="str">
        <f>IFERROR(Inv_SY_B!GX22/Inv_SY_B!$IS22-1,"")</f>
        <v/>
      </c>
      <c r="GY22" s="62">
        <f>IFERROR(Inv_SY_B!GY22/Inv_SY_B!$IS22-1,"")</f>
        <v>-6.3224592020604264E-3</v>
      </c>
      <c r="GZ22" s="62">
        <f>IFERROR(Inv_SY_B!GZ22/Inv_SY_B!$IS22-1,"")</f>
        <v>-6.757134975554302E-3</v>
      </c>
      <c r="HA22" s="62">
        <f>IFERROR(Inv_SY_B!HA22/Inv_SY_B!$IS22-1,"")</f>
        <v>-1.3137710125604274E-2</v>
      </c>
      <c r="HB22" s="62">
        <f>IFERROR(Inv_SY_B!HB22/Inv_SY_B!$IS22-1,"")</f>
        <v>-8.8839933589043296E-3</v>
      </c>
      <c r="HC22" s="62">
        <f>IFERROR(Inv_SY_B!HC22/Inv_SY_B!$IS22-1,"")</f>
        <v>-4.6302765922042743E-3</v>
      </c>
      <c r="HD22" s="62">
        <f>IFERROR(Inv_SY_B!HD22/Inv_SY_B!$IS22-1,"")</f>
        <v>-1.5264568508954302E-2</v>
      </c>
      <c r="HE22" s="62">
        <f>IFERROR(Inv_SY_B!HE22/Inv_SY_B!$IS22-1,"")</f>
        <v>-1.1010851742254357E-2</v>
      </c>
      <c r="HF22" s="62">
        <f>IFERROR(Inv_SY_B!HF22/Inv_SY_B!$IS22-1,"")</f>
        <v>-2.5034182088543577E-3</v>
      </c>
      <c r="HG22" s="62">
        <f>IFERROR(Inv_SY_B!HG22/Inv_SY_B!$IS22-1,"")</f>
        <v>-4.6302765922042743E-3</v>
      </c>
      <c r="HH22" s="62">
        <f>IFERROR(Inv_SY_B!HH22/Inv_SY_B!$IS22-1,"")</f>
        <v>1.7502985578456975E-3</v>
      </c>
      <c r="HI22" s="62">
        <f>IFERROR(Inv_SY_B!HI22/Inv_SY_B!$IS22-1,"")</f>
        <v>-1.5264568508954302E-2</v>
      </c>
      <c r="HJ22" s="62">
        <f>IFERROR(Inv_SY_B!HJ22/Inv_SY_B!$IS22-1,"")</f>
        <v>1.3448019666270516E-2</v>
      </c>
      <c r="HK22" s="62">
        <f>IFERROR(Inv_SY_B!HK22/Inv_SY_B!$IS22-1,"")</f>
        <v>-7.4660877700043482E-3</v>
      </c>
      <c r="HL22" s="62">
        <f>IFERROR(Inv_SY_B!HL22/Inv_SY_B!$IS22-1,"")</f>
        <v>4.3011351194835568E-2</v>
      </c>
      <c r="HM22" s="62">
        <f>IFERROR(Inv_SY_B!HM22/Inv_SY_B!$IS22-1,"")</f>
        <v>2.155779830712734E-2</v>
      </c>
      <c r="HN22" s="62">
        <f>IFERROR(Inv_SY_B!HN22/Inv_SY_B!$IS22-1,"")</f>
        <v>6.4790266744322311E-2</v>
      </c>
      <c r="HO22" s="62">
        <f>IFERROR(Inv_SY_B!HO22/Inv_SY_B!$IS22-1,"")</f>
        <v>8.1744175935379193E-2</v>
      </c>
      <c r="HP22" s="62">
        <f>IFERROR(Inv_SY_B!HP22/Inv_SY_B!$IS22-1,"")</f>
        <v>5.2786899037054136E-2</v>
      </c>
      <c r="HQ22" s="62">
        <f>IFERROR(Inv_SY_B!HQ22/Inv_SY_B!$IS22-1,"")</f>
        <v>-6.5668532731478768E-3</v>
      </c>
      <c r="HR22" s="62">
        <f>IFERROR(Inv_SY_B!HR22/Inv_SY_B!$IS22-1,"")</f>
        <v>5.0230706323082241E-3</v>
      </c>
      <c r="HS22" s="62">
        <f>IFERROR(Inv_SY_B!HS22/Inv_SY_B!$IS22-1,"")</f>
        <v>1.8646061555178006E-2</v>
      </c>
      <c r="HT22" s="62">
        <f>IFERROR(Inv_SY_B!HT22/Inv_SY_B!$IS22-1,"")</f>
        <v>1.1439320081995552E-2</v>
      </c>
      <c r="HU22" s="62">
        <f>IFERROR(Inv_SY_B!HU22/Inv_SY_B!$IS22-1,"")</f>
        <v>-1.6017149167678268E-2</v>
      </c>
      <c r="HV22" s="62">
        <f>IFERROR(Inv_SY_B!HV22/Inv_SY_B!$IS22-1,"")</f>
        <v>-1.5035522221516717E-2</v>
      </c>
      <c r="HW22" s="62">
        <f>IFERROR(Inv_SY_B!HW22/Inv_SY_B!$IS22-1,"")</f>
        <v>8.1941367043673496E-2</v>
      </c>
      <c r="HX22" s="62">
        <f>IFERROR(Inv_SY_B!HX22/Inv_SY_B!$IS22-1,"")</f>
        <v>-3.8449750352752554E-3</v>
      </c>
      <c r="HY22" s="62">
        <f>IFERROR(Inv_SY_B!HY22/Inv_SY_B!$IS22-1,"")</f>
        <v>-9.9237907907643308E-3</v>
      </c>
      <c r="HZ22" s="62">
        <f>IFERROR(Inv_SY_B!HZ22/Inv_SY_B!$IS22-1,"")</f>
        <v>-1.7944654144043115E-3</v>
      </c>
      <c r="IA22" s="62">
        <f>IFERROR(Inv_SY_B!IA22/Inv_SY_B!$IS22-1,"")</f>
        <v>-2.0455292815171999E-2</v>
      </c>
      <c r="IB22" s="62">
        <f>IFERROR(Inv_SY_B!IB22/Inv_SY_B!$IS22-1,"")</f>
        <v>5.8613040477406564E-3</v>
      </c>
      <c r="IC22" s="62">
        <f>IFERROR(Inv_SY_B!IC22/Inv_SY_B!$IS22-1,"")</f>
        <v>8.2250702330324277E-3</v>
      </c>
      <c r="ID22" s="62">
        <f>IFERROR(Inv_SY_B!ID22/Inv_SY_B!$IS22-1,"")</f>
        <v>-1.1271039804863991E-2</v>
      </c>
      <c r="IE22" s="62">
        <f>IFERROR(Inv_SY_B!IE22/Inv_SY_B!$IS22-1,"")</f>
        <v>-1.7984369229480657E-2</v>
      </c>
      <c r="IF22" s="62" t="str">
        <f>IFERROR(Inv_SY_B!IF22/Inv_SY_B!$IS22-1,"")</f>
        <v/>
      </c>
      <c r="IG22" s="62">
        <f>IFERROR(Inv_SY_B!IG22/Inv_SY_B!$IS22-1,"")</f>
        <v>2.0335778000009075E-2</v>
      </c>
      <c r="IH22" s="62">
        <f>IFERROR(Inv_SY_B!IH22/Inv_SY_B!$IS22-1,"")</f>
        <v>2.1020924516077288E-2</v>
      </c>
      <c r="II22" s="62">
        <f>IFERROR(Inv_SY_B!II22/Inv_SY_B!$IS22-1,"")</f>
        <v>-2.3035537646925675E-2</v>
      </c>
      <c r="IJ22" s="62">
        <f>IFERROR(Inv_SY_B!IJ22/Inv_SY_B!$IS22-1,"")</f>
        <v>1.1885697767390013E-2</v>
      </c>
      <c r="IK22" s="62">
        <f>IFERROR(Inv_SY_B!IK22/Inv_SY_B!$IS22-1,"")</f>
        <v>-9.4243839504780658E-3</v>
      </c>
      <c r="IL22" s="62" t="str">
        <f>IFERROR(Inv_SY_B!IL22/Inv_SY_B!$IS22-1,"")</f>
        <v/>
      </c>
      <c r="IM22" s="62" t="str">
        <f>IFERROR(Inv_SY_B!IM22/Inv_SY_B!$IS22-1,"")</f>
        <v/>
      </c>
      <c r="IN22" s="62">
        <f>IFERROR(Inv_SY_B!IN22/Inv_SY_B!$IS22-1,"")</f>
        <v>2.0625333301619309E-2</v>
      </c>
      <c r="IO22" s="62">
        <f>IFERROR(Inv_SY_B!IO22/Inv_SY_B!$IS22-1,"")</f>
        <v>1.4691465084749389E-2</v>
      </c>
      <c r="IP22" s="62">
        <f>IFERROR(Inv_SY_B!IP22/Inv_SY_B!$IS22-1,"")</f>
        <v>0.16313047225846833</v>
      </c>
      <c r="IQ22" s="62">
        <f>IFERROR(Inv_SY_B!IQ22/Inv_SY_B!$IS22-1,"")</f>
        <v>-2.0455292815171999E-2</v>
      </c>
      <c r="IR22" s="62">
        <f>IFERROR(Inv_SY_B!IR22/Inv_SY_B!$IS22-1,"")</f>
        <v>-4.1064980351106506E-3</v>
      </c>
    </row>
    <row r="23" spans="2:252" x14ac:dyDescent="0.25">
      <c r="B23" s="85">
        <f t="shared" si="0"/>
        <v>45849</v>
      </c>
      <c r="C23" s="62">
        <f>IFERROR(Inv_SY_B!C23/Inv_SY_B!$IS23-1,"")</f>
        <v>-9.4220301635864478E-3</v>
      </c>
      <c r="D23" s="62">
        <f>IFERROR(Inv_SY_B!D23/Inv_SY_B!$IS23-1,"")</f>
        <v>9.1012823928005027E-3</v>
      </c>
      <c r="E23" s="62">
        <f>IFERROR(Inv_SY_B!E23/Inv_SY_B!$IS23-1,"")</f>
        <v>7.3925131617760265E-3</v>
      </c>
      <c r="F23" s="62">
        <f>IFERROR(Inv_SY_B!F23/Inv_SY_B!$IS23-1,"")</f>
        <v>8.3008923440677229E-3</v>
      </c>
      <c r="G23" s="62">
        <f>IFERROR(Inv_SY_B!G23/Inv_SY_B!$IS23-1,"")</f>
        <v>3.1555277450714403E-3</v>
      </c>
      <c r="H23" s="62">
        <f>IFERROR(Inv_SY_B!H23/Inv_SY_B!$IS23-1,"")</f>
        <v>1.0338588857321529E-3</v>
      </c>
      <c r="I23" s="62">
        <f>IFERROR(Inv_SY_B!I23/Inv_SY_B!$IS23-1,"")</f>
        <v>1.4467585140467421E-3</v>
      </c>
      <c r="J23" s="62">
        <f>IFERROR(Inv_SY_B!J23/Inv_SY_B!$IS23-1,"")</f>
        <v>6.6492938308095884E-3</v>
      </c>
      <c r="K23" s="62">
        <f>IFERROR(Inv_SY_B!K23/Inv_SY_B!$IS23-1,"")</f>
        <v>2.2956801498612567E-3</v>
      </c>
      <c r="L23" s="62">
        <f>IFERROR(Inv_SY_B!L23/Inv_SY_B!$IS23-1,"")</f>
        <v>-7.9310178442327794E-3</v>
      </c>
      <c r="M23" s="62">
        <f>IFERROR(Inv_SY_B!M23/Inv_SY_B!$IS23-1,"")</f>
        <v>1.4467585140467421E-3</v>
      </c>
      <c r="N23" s="62">
        <f>IFERROR(Inv_SY_B!N23/Inv_SY_B!$IS23-1,"")</f>
        <v>3.3460968042933192E-3</v>
      </c>
      <c r="O23" s="62">
        <f>IFERROR(Inv_SY_B!O23/Inv_SY_B!$IS23-1,"")</f>
        <v>6.6492938308095884E-3</v>
      </c>
      <c r="P23" s="62">
        <f>IFERROR(Inv_SY_B!P23/Inv_SY_B!$IS23-1,"")</f>
        <v>1.1679162030277634E-2</v>
      </c>
      <c r="Q23" s="62">
        <f>IFERROR(Inv_SY_B!Q23/Inv_SY_B!$IS23-1,"")</f>
        <v>1.2547970344001236E-4</v>
      </c>
      <c r="R23" s="62">
        <f>IFERROR(Inv_SY_B!R23/Inv_SY_B!$IS23-1,"")</f>
        <v>-6.6021040752546556E-2</v>
      </c>
      <c r="S23" s="62">
        <f>IFERROR(Inv_SY_B!S23/Inv_SY_B!$IS23-1,"")</f>
        <v>3.3460968042933192E-3</v>
      </c>
      <c r="T23" s="62">
        <f>IFERROR(Inv_SY_B!T23/Inv_SY_B!$IS23-1,"")</f>
        <v>9.9524908573258575E-3</v>
      </c>
      <c r="U23" s="62">
        <f>IFERROR(Inv_SY_B!U23/Inv_SY_B!$IS23-1,"")</f>
        <v>-6.5585343937035745E-4</v>
      </c>
      <c r="V23" s="62">
        <f>IFERROR(Inv_SY_B!V23/Inv_SY_B!$IS23-1,"")</f>
        <v>1.6309752712946324E-3</v>
      </c>
      <c r="W23" s="62">
        <f>IFERROR(Inv_SY_B!W23/Inv_SY_B!$IS23-1,"")</f>
        <v>4.9976953175516758E-3</v>
      </c>
      <c r="X23" s="62">
        <f>IFERROR(Inv_SY_B!X23/Inv_SY_B!$IS23-1,"")</f>
        <v>8.6869903440645047E-4</v>
      </c>
      <c r="Y23" s="62">
        <f>IFERROR(Inv_SY_B!Y23/Inv_SY_B!$IS23-1,"")</f>
        <v>5.4423564557364301E-3</v>
      </c>
      <c r="Z23" s="62">
        <f>IFERROR(Inv_SY_B!Z23/Inv_SY_B!$IS23-1,"")</f>
        <v>-1.5427072963073551E-2</v>
      </c>
      <c r="AA23" s="62">
        <f>IFERROR(Inv_SY_B!AA23/Inv_SY_B!$IS23-1,"")</f>
        <v>7.729185166401642E-3</v>
      </c>
      <c r="AB23" s="62">
        <f>IFERROR(Inv_SY_B!AB23/Inv_SY_B!$IS23-1,"")</f>
        <v>3.9178039819596222E-3</v>
      </c>
      <c r="AC23" s="62">
        <f>IFERROR(Inv_SY_B!AC23/Inv_SY_B!$IS23-1,"")</f>
        <v>7.729185166401642E-3</v>
      </c>
      <c r="AD23" s="62">
        <f>IFERROR(Inv_SY_B!AD23/Inv_SY_B!$IS23-1,"")</f>
        <v>-1.8583461232855703E-2</v>
      </c>
      <c r="AE23" s="62">
        <f>IFERROR(Inv_SY_B!AE23/Inv_SY_B!$IS23-1,"")</f>
        <v>-2.0051548800196217E-2</v>
      </c>
      <c r="AF23" s="62">
        <f>IFERROR(Inv_SY_B!AF23/Inv_SY_B!$IS23-1,"")</f>
        <v>-1.7115373665515299E-2</v>
      </c>
      <c r="AG23" s="62">
        <f>IFERROR(Inv_SY_B!AG23/Inv_SY_B!$IS23-1,"")</f>
        <v>-1.344515474716379E-2</v>
      </c>
      <c r="AH23" s="62">
        <f>IFERROR(Inv_SY_B!AH23/Inv_SY_B!$IS23-1,"")</f>
        <v>-1.7849417449185334E-2</v>
      </c>
      <c r="AI23" s="62">
        <f>IFERROR(Inv_SY_B!AI23/Inv_SY_B!$IS23-1,"")</f>
        <v>-9.3622526049152999E-3</v>
      </c>
      <c r="AJ23" s="62">
        <f>IFERROR(Inv_SY_B!AJ23/Inv_SY_B!$IS23-1,"")</f>
        <v>-5.7808343108865956E-2</v>
      </c>
      <c r="AK23" s="62">
        <f>IFERROR(Inv_SY_B!AK23/Inv_SY_B!$IS23-1,"")</f>
        <v>-1.2922148551298918E-2</v>
      </c>
      <c r="AL23" s="62">
        <f>IFERROR(Inv_SY_B!AL23/Inv_SY_B!$IS23-1,"")</f>
        <v>-1.8262298658870413E-2</v>
      </c>
      <c r="AM23" s="62">
        <f>IFERROR(Inv_SY_B!AM23/Inv_SY_B!$IS23-1,"")</f>
        <v>8.3008923440677229E-3</v>
      </c>
      <c r="AN23" s="62">
        <f>IFERROR(Inv_SY_B!AN23/Inv_SY_B!$IS23-1,"")</f>
        <v>-1.6086987354807514E-3</v>
      </c>
      <c r="AO23" s="62">
        <f>IFERROR(Inv_SY_B!AO23/Inv_SY_B!$IS23-1,"")</f>
        <v>4.2899777777272163E-5</v>
      </c>
      <c r="AP23" s="62">
        <f>IFERROR(Inv_SY_B!AP23/Inv_SY_B!$IS23-1,"")</f>
        <v>-1.2426668997321255E-2</v>
      </c>
      <c r="AQ23" s="62">
        <f>IFERROR(Inv_SY_B!AQ23/Inv_SY_B!$IS23-1,"")</f>
        <v>-1.1848609517681186E-2</v>
      </c>
      <c r="AR23" s="62">
        <f>IFERROR(Inv_SY_B!AR23/Inv_SY_B!$IS23-1,"")</f>
        <v>-6.3157544982664904E-3</v>
      </c>
      <c r="AS23" s="62">
        <f>IFERROR(Inv_SY_B!AS23/Inv_SY_B!$IS23-1,"")</f>
        <v>-1.0306392558404598E-3</v>
      </c>
      <c r="AT23" s="62">
        <f>IFERROR(Inv_SY_B!AT23/Inv_SY_B!$IS23-1,"")</f>
        <v>-9.8666913017714242E-3</v>
      </c>
      <c r="AU23" s="62">
        <f>IFERROR(Inv_SY_B!AU23/Inv_SY_B!$IS23-1,"")</f>
        <v>5.8234945741806321E-3</v>
      </c>
      <c r="AV23" s="62">
        <f>IFERROR(Inv_SY_B!AV23/Inv_SY_B!$IS23-1,"")</f>
        <v>8.3008923440677229E-3</v>
      </c>
      <c r="AW23" s="62">
        <f>IFERROR(Inv_SY_B!AW23/Inv_SY_B!$IS23-1,"")</f>
        <v>-1.5901378177137326E-2</v>
      </c>
      <c r="AX23" s="62">
        <f>IFERROR(Inv_SY_B!AX23/Inv_SY_B!$IS23-1,"")</f>
        <v>4.2899777777272163E-5</v>
      </c>
      <c r="AY23" s="62">
        <f>IFERROR(Inv_SY_B!AY23/Inv_SY_B!$IS23-1,"")</f>
        <v>-1.4590263049689578E-2</v>
      </c>
      <c r="AZ23" s="62">
        <f>IFERROR(Inv_SY_B!AZ23/Inv_SY_B!$IS23-1,"")</f>
        <v>-1.3797495763325673E-2</v>
      </c>
      <c r="BA23" s="62">
        <f>IFERROR(Inv_SY_B!BA23/Inv_SY_B!$IS23-1,"")</f>
        <v>-1.8124683868061764E-2</v>
      </c>
      <c r="BB23" s="62">
        <f>IFERROR(Inv_SY_B!BB23/Inv_SY_B!$IS23-1,"")</f>
        <v>-1.3169888328287582E-2</v>
      </c>
      <c r="BC23" s="62">
        <f>IFERROR(Inv_SY_B!BC23/Inv_SY_B!$IS23-1,"")</f>
        <v>5.7133880066300158E-3</v>
      </c>
      <c r="BD23" s="62">
        <f>IFERROR(Inv_SY_B!BD23/Inv_SY_B!$IS23-1,"")</f>
        <v>-2.0051548800196217E-2</v>
      </c>
      <c r="BE23" s="62">
        <f>IFERROR(Inv_SY_B!BE23/Inv_SY_B!$IS23-1,"")</f>
        <v>-1.7425930650914023E-2</v>
      </c>
      <c r="BF23" s="62">
        <f>IFERROR(Inv_SY_B!BF23/Inv_SY_B!$IS23-1,"")</f>
        <v>-2.3236664109893557E-4</v>
      </c>
      <c r="BG23" s="62">
        <f>IFERROR(Inv_SY_B!BG23/Inv_SY_B!$IS23-1,"")</f>
        <v>6.3740274119332696E-3</v>
      </c>
      <c r="BH23" s="62">
        <f>IFERROR(Inv_SY_B!BH23/Inv_SY_B!$IS23-1,"")</f>
        <v>1.1438929519258068E-2</v>
      </c>
      <c r="BI23" s="62">
        <f>IFERROR(Inv_SY_B!BI23/Inv_SY_B!$IS23-1,"")</f>
        <v>6.3740274119332696E-3</v>
      </c>
      <c r="BJ23" s="62">
        <f>IFERROR(Inv_SY_B!BJ23/Inv_SY_B!$IS23-1,"")</f>
        <v>6.3740274119332696E-3</v>
      </c>
      <c r="BK23" s="62">
        <f>IFERROR(Inv_SY_B!BK23/Inv_SY_B!$IS23-1,"")</f>
        <v>-8.0499329371873651E-3</v>
      </c>
      <c r="BL23" s="62">
        <f>IFERROR(Inv_SY_B!BL23/Inv_SY_B!$IS23-1,"")</f>
        <v>2.4882491322182343E-3</v>
      </c>
      <c r="BM23" s="62">
        <f>IFERROR(Inv_SY_B!BM23/Inv_SY_B!$IS23-1,"")</f>
        <v>-1.3252468253950322E-2</v>
      </c>
      <c r="BN23" s="62">
        <f>IFERROR(Inv_SY_B!BN23/Inv_SY_B!$IS23-1,"")</f>
        <v>1.4016251587909645E-2</v>
      </c>
      <c r="BO23" s="62">
        <f>IFERROR(Inv_SY_B!BO23/Inv_SY_B!$IS23-1,"")</f>
        <v>2.9835196036163802E-2</v>
      </c>
      <c r="BP23" s="62">
        <f>IFERROR(Inv_SY_B!BP23/Inv_SY_B!$IS23-1,"")</f>
        <v>3.2122024746828792E-2</v>
      </c>
      <c r="BQ23" s="62">
        <f>IFERROR(Inv_SY_B!BQ23/Inv_SY_B!$IS23-1,"")</f>
        <v>3.7457958405047176E-2</v>
      </c>
      <c r="BR23" s="62">
        <f>IFERROR(Inv_SY_B!BR23/Inv_SY_B!$IS23-1,"")</f>
        <v>1.8096141988082959E-2</v>
      </c>
      <c r="BS23" s="62">
        <f>IFERROR(Inv_SY_B!BS23/Inv_SY_B!$IS23-1,"")</f>
        <v>5.9665606106394709E-2</v>
      </c>
      <c r="BT23" s="62">
        <f>IFERROR(Inv_SY_B!BT23/Inv_SY_B!$IS23-1,"")</f>
        <v>6.2555903504596388E-2</v>
      </c>
      <c r="BU23" s="62">
        <f>IFERROR(Inv_SY_B!BU23/Inv_SY_B!$IS23-1,"")</f>
        <v>5.7601107964821985E-2</v>
      </c>
      <c r="BV23" s="62">
        <f>IFERROR(Inv_SY_B!BV23/Inv_SY_B!$IS23-1,"")</f>
        <v>4.6700557777318519E-2</v>
      </c>
      <c r="BW23" s="62">
        <f>IFERROR(Inv_SY_B!BW23/Inv_SY_B!$IS23-1,"")</f>
        <v>8.6869903440645047E-4</v>
      </c>
      <c r="BX23" s="62">
        <f>IFERROR(Inv_SY_B!BX23/Inv_SY_B!$IS23-1,"")</f>
        <v>5.7518528039159023E-2</v>
      </c>
      <c r="BY23" s="62">
        <f>IFERROR(Inv_SY_B!BY23/Inv_SY_B!$IS23-1,"")</f>
        <v>5.5041130269271932E-2</v>
      </c>
      <c r="BZ23" s="62">
        <f>IFERROR(Inv_SY_B!BZ23/Inv_SY_B!$IS23-1,"")</f>
        <v>4.6012391730127611E-2</v>
      </c>
      <c r="CA23" s="62">
        <f>IFERROR(Inv_SY_B!CA23/Inv_SY_B!$IS23-1,"")</f>
        <v>6.3556038159847006E-2</v>
      </c>
      <c r="CB23" s="62">
        <f>IFERROR(Inv_SY_B!CB23/Inv_SY_B!$IS23-1,"")</f>
        <v>6.2555903504596388E-2</v>
      </c>
      <c r="CC23" s="62">
        <f>IFERROR(Inv_SY_B!CC23/Inv_SY_B!$IS23-1,"")</f>
        <v>6.2721063355922091E-2</v>
      </c>
      <c r="CD23" s="62">
        <f>IFERROR(Inv_SY_B!CD23/Inv_SY_B!$IS23-1,"")</f>
        <v>6.6653138277871005E-2</v>
      </c>
      <c r="CE23" s="62">
        <f>IFERROR(Inv_SY_B!CE23/Inv_SY_B!$IS23-1,"")</f>
        <v>4.5544438818037714E-2</v>
      </c>
      <c r="CF23" s="62">
        <f>IFERROR(Inv_SY_B!CF23/Inv_SY_B!$IS23-1,"")</f>
        <v>5.743594811349606E-2</v>
      </c>
      <c r="CG23" s="62">
        <f>IFERROR(Inv_SY_B!CG23/Inv_SY_B!$IS23-1,"")</f>
        <v>4.6865717628644221E-2</v>
      </c>
      <c r="CH23" s="62">
        <f>IFERROR(Inv_SY_B!CH23/Inv_SY_B!$IS23-1,"")</f>
        <v>2.1513680450132577E-2</v>
      </c>
      <c r="CI23" s="62">
        <f>IFERROR(Inv_SY_B!CI23/Inv_SY_B!$IS23-1,"")</f>
        <v>4.339736075080225E-2</v>
      </c>
      <c r="CJ23" s="62">
        <f>IFERROR(Inv_SY_B!CJ23/Inv_SY_B!$IS23-1,"")</f>
        <v>5.305921205336217E-2</v>
      </c>
      <c r="CK23" s="62">
        <f>IFERROR(Inv_SY_B!CK23/Inv_SY_B!$IS23-1,"")</f>
        <v>2.7211695320873197E-2</v>
      </c>
      <c r="CL23" s="62">
        <f>IFERROR(Inv_SY_B!CL23/Inv_SY_B!$IS23-1,"")</f>
        <v>2.0605301267840659E-2</v>
      </c>
      <c r="CM23" s="62">
        <f>IFERROR(Inv_SY_B!CM23/Inv_SY_B!$IS23-1,"")</f>
        <v>3.1423271529680941E-2</v>
      </c>
      <c r="CN23" s="62">
        <f>IFERROR(Inv_SY_B!CN23/Inv_SY_B!$IS23-1,"")</f>
        <v>2.3578178591705079E-2</v>
      </c>
      <c r="CO23" s="62">
        <f>IFERROR(Inv_SY_B!CO23/Inv_SY_B!$IS23-1,"")</f>
        <v>1.1333227214409769E-2</v>
      </c>
      <c r="CP23" s="62">
        <f>IFERROR(Inv_SY_B!CP23/Inv_SY_B!$IS23-1,"")</f>
        <v>2.4118124259500995E-2</v>
      </c>
      <c r="CQ23" s="62">
        <f>IFERROR(Inv_SY_B!CQ23/Inv_SY_B!$IS23-1,"")</f>
        <v>1.6558884910358174E-2</v>
      </c>
      <c r="CR23" s="62">
        <f>IFERROR(Inv_SY_B!CR23/Inv_SY_B!$IS23-1,"")</f>
        <v>1.3255687883842127E-2</v>
      </c>
      <c r="CS23" s="62">
        <f>IFERROR(Inv_SY_B!CS23/Inv_SY_B!$IS23-1,"")</f>
        <v>2.2009160004109907E-2</v>
      </c>
      <c r="CT23" s="62">
        <f>IFERROR(Inv_SY_B!CT23/Inv_SY_B!$IS23-1,"")</f>
        <v>1.4907286397100261E-2</v>
      </c>
      <c r="CU23" s="62">
        <f>IFERROR(Inv_SY_B!CU23/Inv_SY_B!$IS23-1,"")</f>
        <v>1.9862081936874443E-2</v>
      </c>
      <c r="CV23" s="62">
        <f>IFERROR(Inv_SY_B!CV23/Inv_SY_B!$IS23-1,"")</f>
        <v>1.1604089370583992E-2</v>
      </c>
      <c r="CW23" s="62">
        <f>IFERROR(Inv_SY_B!CW23/Inv_SY_B!$IS23-1,"")</f>
        <v>2.3991078220019668E-2</v>
      </c>
      <c r="CX23" s="62">
        <f>IFERROR(Inv_SY_B!CX23/Inv_SY_B!$IS23-1,"")</f>
        <v>1.5733085653729217E-2</v>
      </c>
      <c r="CY23" s="62">
        <f>IFERROR(Inv_SY_B!CY23/Inv_SY_B!$IS23-1,"")</f>
        <v>1.4081487140471083E-2</v>
      </c>
      <c r="CZ23" s="62">
        <f>IFERROR(Inv_SY_B!CZ23/Inv_SY_B!$IS23-1,"")</f>
        <v>6.6492938308095884E-3</v>
      </c>
      <c r="DA23" s="62">
        <f>IFERROR(Inv_SY_B!DA23/Inv_SY_B!$IS23-1,"")</f>
        <v>3.3460968042933192E-3</v>
      </c>
      <c r="DB23" s="62">
        <f>IFERROR(Inv_SY_B!DB23/Inv_SY_B!$IS23-1,"")</f>
        <v>4.2899777777272163E-5</v>
      </c>
      <c r="DC23" s="62">
        <f>IFERROR(Inv_SY_B!DC23/Inv_SY_B!$IS23-1,"")</f>
        <v>1.7091066653519116E-2</v>
      </c>
      <c r="DD23" s="62">
        <f>IFERROR(Inv_SY_B!DD23/Inv_SY_B!$IS23-1,"")</f>
        <v>1.5733085653729217E-2</v>
      </c>
      <c r="DE23" s="62">
        <f>IFERROR(Inv_SY_B!DE23/Inv_SY_B!$IS23-1,"")</f>
        <v>1.3714465248636065E-2</v>
      </c>
      <c r="DF23" s="62">
        <f>IFERROR(Inv_SY_B!DF23/Inv_SY_B!$IS23-1,"")</f>
        <v>1.8348070586480691E-2</v>
      </c>
      <c r="DG23" s="62">
        <f>IFERROR(Inv_SY_B!DG23/Inv_SY_B!$IS23-1,"")</f>
        <v>3.7038706474758598E-2</v>
      </c>
      <c r="DH23" s="62">
        <f>IFERROR(Inv_SY_B!DH23/Inv_SY_B!$IS23-1,"")</f>
        <v>3.8304932001589798E-2</v>
      </c>
      <c r="DI23" s="62">
        <f>IFERROR(Inv_SY_B!DI23/Inv_SY_B!$IS23-1,"")</f>
        <v>2.2212433667280207E-2</v>
      </c>
      <c r="DJ23" s="62">
        <f>IFERROR(Inv_SY_B!DJ23/Inv_SY_B!$IS23-1,"")</f>
        <v>4.3708623547531689E-2</v>
      </c>
      <c r="DK23" s="62">
        <f>IFERROR(Inv_SY_B!DK23/Inv_SY_B!$IS23-1,"")</f>
        <v>3.2285772975493732E-2</v>
      </c>
      <c r="DL23" s="62">
        <f>IFERROR(Inv_SY_B!DL23/Inv_SY_B!$IS23-1,"")</f>
        <v>4.4764517297888107E-2</v>
      </c>
      <c r="DM23" s="62">
        <f>IFERROR(Inv_SY_B!DM23/Inv_SY_B!$IS23-1,"")</f>
        <v>8.6869903440645047E-4</v>
      </c>
      <c r="DN23" s="62">
        <f>IFERROR(Inv_SY_B!DN23/Inv_SY_B!$IS23-1,"")</f>
        <v>3.712128640042156E-2</v>
      </c>
      <c r="DO23" s="62">
        <f>IFERROR(Inv_SY_B!DO23/Inv_SY_B!$IS23-1,"")</f>
        <v>-1.7650035784124385E-2</v>
      </c>
      <c r="DP23" s="62">
        <f>IFERROR(Inv_SY_B!DP23/Inv_SY_B!$IS23-1,"")</f>
        <v>-1.4179198530834158E-2</v>
      </c>
      <c r="DQ23" s="62">
        <f>IFERROR(Inv_SY_B!DQ23/Inv_SY_B!$IS23-1,"")</f>
        <v>2.1201711842072868E-2</v>
      </c>
      <c r="DR23" s="62">
        <f>IFERROR(Inv_SY_B!DR23/Inv_SY_B!$IS23-1,"")</f>
        <v>2.5064617253637289E-2</v>
      </c>
      <c r="DS23" s="62">
        <f>IFERROR(Inv_SY_B!DS23/Inv_SY_B!$IS23-1,"")</f>
        <v>1.4742126545774337E-2</v>
      </c>
      <c r="DT23" s="62">
        <f>IFERROR(Inv_SY_B!DT23/Inv_SY_B!$IS23-1,"")</f>
        <v>-1.4913242314504416E-2</v>
      </c>
      <c r="DU23" s="62">
        <f>IFERROR(Inv_SY_B!DU23/Inv_SY_B!$IS23-1,"")</f>
        <v>7.108071195603527E-3</v>
      </c>
      <c r="DV23" s="62">
        <f>IFERROR(Inv_SY_B!DV23/Inv_SY_B!$IS23-1,"")</f>
        <v>-9.2060518964681703E-3</v>
      </c>
      <c r="DW23" s="62">
        <f>IFERROR(Inv_SY_B!DW23/Inv_SY_B!$IS23-1,"")</f>
        <v>1.3090528032516202E-2</v>
      </c>
      <c r="DX23" s="62">
        <f>IFERROR(Inv_SY_B!DX23/Inv_SY_B!$IS23-1,"")</f>
        <v>3.0450663516317977E-2</v>
      </c>
      <c r="DY23" s="62">
        <f>IFERROR(Inv_SY_B!DY23/Inv_SY_B!$IS23-1,"")</f>
        <v>-5.6111449672997971E-2</v>
      </c>
      <c r="DZ23" s="62">
        <f>IFERROR(Inv_SY_B!DZ23/Inv_SY_B!$IS23-1,"")</f>
        <v>-5.9910126253491569E-2</v>
      </c>
      <c r="EA23" s="62">
        <f>IFERROR(Inv_SY_B!EA23/Inv_SY_B!$IS23-1,"")</f>
        <v>-5.2349475281687874E-2</v>
      </c>
      <c r="EB23" s="62">
        <f>IFERROR(Inv_SY_B!EB23/Inv_SY_B!$IS23-1,"")</f>
        <v>-5.3817562849028278E-2</v>
      </c>
      <c r="EC23" s="62">
        <f>IFERROR(Inv_SY_B!EC23/Inv_SY_B!$IS23-1,"")</f>
        <v>-5.9351123679773465E-2</v>
      </c>
      <c r="ED23" s="62">
        <f>IFERROR(Inv_SY_B!ED23/Inv_SY_B!$IS23-1,"")</f>
        <v>-4.5630151415783193E-2</v>
      </c>
      <c r="EE23" s="62">
        <f>IFERROR(Inv_SY_B!EE23/Inv_SY_B!$IS23-1,"")</f>
        <v>-4.2581046468229689E-2</v>
      </c>
      <c r="EF23" s="62">
        <f>IFERROR(Inv_SY_B!EF23/Inv_SY_B!$IS23-1,"")</f>
        <v>-5.9489719359207771E-2</v>
      </c>
      <c r="EG23" s="62">
        <f>IFERROR(Inv_SY_B!EG23/Inv_SY_B!$IS23-1,"")</f>
        <v>-6.0226008906202111E-2</v>
      </c>
      <c r="EH23" s="62">
        <f>IFERROR(Inv_SY_B!EH23/Inv_SY_B!$IS23-1,"")</f>
        <v>-5.6371316571937169E-2</v>
      </c>
      <c r="EI23" s="62">
        <f>IFERROR(Inv_SY_B!EI23/Inv_SY_B!$IS23-1,"")</f>
        <v>-6.5622578174173163E-2</v>
      </c>
      <c r="EJ23" s="62">
        <f>IFERROR(Inv_SY_B!EJ23/Inv_SY_B!$IS23-1,"")</f>
        <v>-5.3287562704525282E-2</v>
      </c>
      <c r="EK23" s="62">
        <f>IFERROR(Inv_SY_B!EK23/Inv_SY_B!$IS23-1,"")</f>
        <v>-4.9472023649700492E-2</v>
      </c>
      <c r="EL23" s="62">
        <f>IFERROR(Inv_SY_B!EL23/Inv_SY_B!$IS23-1,"")</f>
        <v>-5.6937248929627038E-2</v>
      </c>
      <c r="EM23" s="62">
        <f>IFERROR(Inv_SY_B!EM23/Inv_SY_B!$IS23-1,"")</f>
        <v>-4.2581046468229689E-2</v>
      </c>
      <c r="EN23" s="62">
        <f>IFERROR(Inv_SY_B!EN23/Inv_SY_B!$IS23-1,"")</f>
        <v>-7.5358924654428949E-2</v>
      </c>
      <c r="EO23" s="62">
        <f>IFERROR(Inv_SY_B!EO23/Inv_SY_B!$IS23-1,"")</f>
        <v>-5.6937248929627038E-2</v>
      </c>
      <c r="EP23" s="62">
        <f>IFERROR(Inv_SY_B!EP23/Inv_SY_B!$IS23-1,"")</f>
        <v>-6.3162504864215152E-2</v>
      </c>
      <c r="EQ23" s="62">
        <f>IFERROR(Inv_SY_B!EQ23/Inv_SY_B!$IS23-1,"")</f>
        <v>-6.51952414959176E-2</v>
      </c>
      <c r="ER23" s="62">
        <f>IFERROR(Inv_SY_B!ER23/Inv_SY_B!$IS23-1,"")</f>
        <v>-4.2581046468229689E-2</v>
      </c>
      <c r="ES23" s="62">
        <f>IFERROR(Inv_SY_B!ES23/Inv_SY_B!$IS23-1,"")</f>
        <v>-4.5376059336820429E-2</v>
      </c>
      <c r="ET23" s="62">
        <f>IFERROR(Inv_SY_B!ET23/Inv_SY_B!$IS23-1,"")</f>
        <v>-4.9580128279659075E-2</v>
      </c>
      <c r="EU23" s="62">
        <f>IFERROR(Inv_SY_B!EU23/Inv_SY_B!$IS23-1,"")</f>
        <v>-5.3252913784666789E-2</v>
      </c>
      <c r="EV23" s="62">
        <f>IFERROR(Inv_SY_B!EV23/Inv_SY_B!$IS23-1,"")</f>
        <v>-5.5539742495331779E-2</v>
      </c>
      <c r="EW23" s="62">
        <f>IFERROR(Inv_SY_B!EW23/Inv_SY_B!$IS23-1,"")</f>
        <v>-5.1728361310889981E-2</v>
      </c>
      <c r="EX23" s="62">
        <f>IFERROR(Inv_SY_B!EX23/Inv_SY_B!$IS23-1,"")</f>
        <v>-7.4279033318837007E-2</v>
      </c>
      <c r="EY23" s="62">
        <f>IFERROR(Inv_SY_B!EY23/Inv_SY_B!$IS23-1,"")</f>
        <v>-0.16906243688526001</v>
      </c>
      <c r="EZ23" s="62">
        <f>IFERROR(Inv_SY_B!EZ23/Inv_SY_B!$IS23-1,"")</f>
        <v>-6.7672639265804579E-2</v>
      </c>
      <c r="FA23" s="62">
        <f>IFERROR(Inv_SY_B!FA23/Inv_SY_B!$IS23-1,"")</f>
        <v>-7.0975836292320849E-2</v>
      </c>
      <c r="FB23" s="62">
        <f>IFERROR(Inv_SY_B!FB23/Inv_SY_B!$IS23-1,"")</f>
        <v>-7.4279033318837007E-2</v>
      </c>
      <c r="FC23" s="62">
        <f>IFERROR(Inv_SY_B!FC23/Inv_SY_B!$IS23-1,"")</f>
        <v>-6.3543642982659354E-2</v>
      </c>
      <c r="FD23" s="62">
        <f>IFERROR(Inv_SY_B!FD23/Inv_SY_B!$IS23-1,"")</f>
        <v>-6.9324237779062825E-2</v>
      </c>
      <c r="FE23" s="62">
        <f>IFERROR(Inv_SY_B!FE23/Inv_SY_B!$IS23-1,"")</f>
        <v>1.975885702979574E-2</v>
      </c>
      <c r="FF23" s="62">
        <f>IFERROR(Inv_SY_B!FF23/Inv_SY_B!$IS23-1,"")</f>
        <v>1.7253307012523589E-2</v>
      </c>
      <c r="FG23" s="62">
        <f>IFERROR(Inv_SY_B!FG23/Inv_SY_B!$IS23-1,"")</f>
        <v>-2.9766894232300389E-3</v>
      </c>
      <c r="FH23" s="62">
        <f>IFERROR(Inv_SY_B!FH23/Inv_SY_B!$IS23-1,"")</f>
        <v>-1.6321063218924348E-2</v>
      </c>
      <c r="FI23" s="62">
        <f>IFERROR(Inv_SY_B!FI23/Inv_SY_B!$IS23-1,"")</f>
        <v>-1.9309163609893321E-2</v>
      </c>
      <c r="FJ23" s="62">
        <f>IFERROR(Inv_SY_B!FJ23/Inv_SY_B!$IS23-1,"")</f>
        <v>-3.1251664612904628E-3</v>
      </c>
      <c r="FK23" s="62">
        <f>IFERROR(Inv_SY_B!FK23/Inv_SY_B!$IS23-1,"")</f>
        <v>1.0386244002221767E-2</v>
      </c>
      <c r="FL23" s="62">
        <f>IFERROR(Inv_SY_B!FL23/Inv_SY_B!$IS23-1,"")</f>
        <v>-4.2585390934923861E-4</v>
      </c>
      <c r="FM23" s="62">
        <f>IFERROR(Inv_SY_B!FM23/Inv_SY_B!$IS23-1,"")</f>
        <v>1.975885702979574E-2</v>
      </c>
      <c r="FN23" s="62">
        <f>IFERROR(Inv_SY_B!FN23/Inv_SY_B!$IS23-1,"")</f>
        <v>-1.1142926516561791E-2</v>
      </c>
      <c r="FO23" s="62">
        <f>IFERROR(Inv_SY_B!FO23/Inv_SY_B!$IS23-1,"")</f>
        <v>1.3077390317069781E-2</v>
      </c>
      <c r="FP23" s="62">
        <f>IFERROR(Inv_SY_B!FP23/Inv_SY_B!$IS23-1,"")</f>
        <v>1.6972685410589161E-2</v>
      </c>
      <c r="FQ23" s="62">
        <f>IFERROR(Inv_SY_B!FQ23/Inv_SY_B!$IS23-1,"")</f>
        <v>1.3124160584058853E-2</v>
      </c>
      <c r="FR23" s="62">
        <f>IFERROR(Inv_SY_B!FR23/Inv_SY_B!$IS23-1,"")</f>
        <v>2.322653825370069E-2</v>
      </c>
      <c r="FS23" s="62">
        <f>IFERROR(Inv_SY_B!FS23/Inv_SY_B!$IS23-1,"")</f>
        <v>-3.3711436301769315E-2</v>
      </c>
      <c r="FT23" s="62">
        <f>IFERROR(Inv_SY_B!FT23/Inv_SY_B!$IS23-1,"")</f>
        <v>2.7075063080230777E-2</v>
      </c>
      <c r="FU23" s="62">
        <f>IFERROR(Inv_SY_B!FU23/Inv_SY_B!$IS23-1,"")</f>
        <v>2.5233947808279478E-2</v>
      </c>
      <c r="FV23" s="62">
        <f>IFERROR(Inv_SY_B!FV23/Inv_SY_B!$IS23-1,"")</f>
        <v>-2.2899831221998568E-3</v>
      </c>
      <c r="FW23" s="62">
        <f>IFERROR(Inv_SY_B!FW23/Inv_SY_B!$IS23-1,"")</f>
        <v>5.496402307088033E-4</v>
      </c>
      <c r="FX23" s="62">
        <f>IFERROR(Inv_SY_B!FX23/Inv_SY_B!$IS23-1,"")</f>
        <v>1.2242206977979064E-2</v>
      </c>
      <c r="FY23" s="62">
        <f>IFERROR(Inv_SY_B!FY23/Inv_SY_B!$IS23-1,"")</f>
        <v>-9.6581561359558865E-3</v>
      </c>
      <c r="FZ23" s="62">
        <f>IFERROR(Inv_SY_B!FZ23/Inv_SY_B!$IS23-1,"")</f>
        <v>-1.1207264474727419E-3</v>
      </c>
      <c r="GA23" s="62">
        <f>IFERROR(Inv_SY_B!GA23/Inv_SY_B!$IS23-1,"")</f>
        <v>-1.2427823961316586E-2</v>
      </c>
      <c r="GB23" s="62">
        <f>IFERROR(Inv_SY_B!GB23/Inv_SY_B!$IS23-1,"")</f>
        <v>-1.7824393229287638E-2</v>
      </c>
      <c r="GC23" s="62">
        <f>IFERROR(Inv_SY_B!GC23/Inv_SY_B!$IS23-1,"")</f>
        <v>-1.3370082087470259E-2</v>
      </c>
      <c r="GD23" s="62">
        <f>IFERROR(Inv_SY_B!GD23/Inv_SY_B!$IS23-1,"")</f>
        <v>1.0237766964161343E-2</v>
      </c>
      <c r="GE23" s="62">
        <f>IFERROR(Inv_SY_B!GE23/Inv_SY_B!$IS23-1,"")</f>
        <v>-1.0115008560757754E-2</v>
      </c>
      <c r="GF23" s="62">
        <f>IFERROR(Inv_SY_B!GF23/Inv_SY_B!$IS23-1,"")</f>
        <v>-1.7082008038984742E-2</v>
      </c>
      <c r="GG23" s="62">
        <f>IFERROR(Inv_SY_B!GG23/Inv_SY_B!$IS23-1,"")</f>
        <v>3.021782914417237E-3</v>
      </c>
      <c r="GH23" s="62">
        <f>IFERROR(Inv_SY_B!GH23/Inv_SY_B!$IS23-1,"")</f>
        <v>3.0121811901233642E-2</v>
      </c>
      <c r="GI23" s="62">
        <f>IFERROR(Inv_SY_B!GI23/Inv_SY_B!$IS23-1,"")</f>
        <v>-6.1120297527751721E-2</v>
      </c>
      <c r="GJ23" s="62">
        <f>IFERROR(Inv_SY_B!GJ23/Inv_SY_B!$IS23-1,"")</f>
        <v>-6.5622578174173163E-2</v>
      </c>
      <c r="GK23" s="62">
        <f>IFERROR(Inv_SY_B!GK23/Inv_SY_B!$IS23-1,"")</f>
        <v>1.2242206977979064E-2</v>
      </c>
      <c r="GL23" s="62">
        <f>IFERROR(Inv_SY_B!GL23/Inv_SY_B!$IS23-1,"")</f>
        <v>-2.791093125654287E-3</v>
      </c>
      <c r="GM23" s="62">
        <f>IFERROR(Inv_SY_B!GM23/Inv_SY_B!$IS23-1,"")</f>
        <v>5.5607402652531057E-3</v>
      </c>
      <c r="GN23" s="62">
        <f>IFERROR(Inv_SY_B!GN23/Inv_SY_B!$IS23-1,"")</f>
        <v>-2.8554310838202479E-4</v>
      </c>
      <c r="GO23" s="62">
        <f>IFERROR(Inv_SY_B!GO23/Inv_SY_B!$IS23-1,"")</f>
        <v>3.1387085818899152E-3</v>
      </c>
      <c r="GP23" s="62">
        <f>IFERROR(Inv_SY_B!GP23/Inv_SY_B!$IS23-1,"")</f>
        <v>2.1429223707977396E-2</v>
      </c>
      <c r="GQ23" s="62">
        <f>IFERROR(Inv_SY_B!GQ23/Inv_SY_B!$IS23-1,"")</f>
        <v>-3.7933131325630365E-3</v>
      </c>
      <c r="GR23" s="62">
        <f>IFERROR(Inv_SY_B!GR23/Inv_SY_B!$IS23-1,"")</f>
        <v>7.3146252773437226E-3</v>
      </c>
      <c r="GS23" s="62" t="str">
        <f>IFERROR(Inv_SY_B!GS23/Inv_SY_B!$IS23-1,"")</f>
        <v/>
      </c>
      <c r="GT23" s="62" t="str">
        <f>IFERROR(Inv_SY_B!GT23/Inv_SY_B!$IS23-1,"")</f>
        <v/>
      </c>
      <c r="GU23" s="62">
        <f>IFERROR(Inv_SY_B!GU23/Inv_SY_B!$IS23-1,"")</f>
        <v>7.0541970616460947E-2</v>
      </c>
      <c r="GV23" s="62">
        <f>IFERROR(Inv_SY_B!GV23/Inv_SY_B!$IS23-1,"")</f>
        <v>-7.2176466417206986E-2</v>
      </c>
      <c r="GW23" s="62">
        <f>IFERROR(Inv_SY_B!GW23/Inv_SY_B!$IS23-1,"")</f>
        <v>-5.1133102148334109E-3</v>
      </c>
      <c r="GX23" s="62" t="str">
        <f>IFERROR(Inv_SY_B!GX23/Inv_SY_B!$IS23-1,"")</f>
        <v/>
      </c>
      <c r="GY23" s="62">
        <f>IFERROR(Inv_SY_B!GY23/Inv_SY_B!$IS23-1,"")</f>
        <v>-6.0690307422360812E-3</v>
      </c>
      <c r="GZ23" s="62">
        <f>IFERROR(Inv_SY_B!GZ23/Inv_SY_B!$IS23-1,"")</f>
        <v>-7.8289947885179512E-4</v>
      </c>
      <c r="HA23" s="62">
        <f>IFERROR(Inv_SY_B!HA23/Inv_SY_B!$IS23-1,"")</f>
        <v>1.5815665579391958E-2</v>
      </c>
      <c r="HB23" s="62">
        <f>IFERROR(Inv_SY_B!HB23/Inv_SY_B!$IS23-1,"")</f>
        <v>-1.1518289815029337E-2</v>
      </c>
      <c r="HC23" s="62">
        <f>IFERROR(Inv_SY_B!HC23/Inv_SY_B!$IS23-1,"")</f>
        <v>-1.0444750781411716E-2</v>
      </c>
      <c r="HD23" s="62">
        <f>IFERROR(Inv_SY_B!HD23/Inv_SY_B!$IS23-1,"")</f>
        <v>-1.4656326990219792E-2</v>
      </c>
      <c r="HE23" s="62">
        <f>IFERROR(Inv_SY_B!HE23/Inv_SY_B!$IS23-1,"")</f>
        <v>-8.2150927885131786E-3</v>
      </c>
      <c r="HF23" s="62">
        <f>IFERROR(Inv_SY_B!HF23/Inv_SY_B!$IS23-1,"")</f>
        <v>8.3008923440677229E-3</v>
      </c>
      <c r="HG23" s="62">
        <f>IFERROR(Inv_SY_B!HG23/Inv_SY_B!$IS23-1,"")</f>
        <v>-6.6021040752546556E-2</v>
      </c>
      <c r="HH23" s="62">
        <f>IFERROR(Inv_SY_B!HH23/Inv_SY_B!$IS23-1,"")</f>
        <v>-8.2150927885131786E-3</v>
      </c>
      <c r="HI23" s="62">
        <f>IFERROR(Inv_SY_B!HI23/Inv_SY_B!$IS23-1,"")</f>
        <v>-1.069249055840038E-2</v>
      </c>
      <c r="HJ23" s="62">
        <f>IFERROR(Inv_SY_B!HJ23/Inv_SY_B!$IS23-1,"")</f>
        <v>2.4816877476648624E-2</v>
      </c>
      <c r="HK23" s="62">
        <f>IFERROR(Inv_SY_B!HK23/Inv_SY_B!$IS23-1,"")</f>
        <v>-1.6014307990009802E-2</v>
      </c>
      <c r="HL23" s="62">
        <f>IFERROR(Inv_SY_B!HL23/Inv_SY_B!$IS23-1,"")</f>
        <v>4.9388993135010661E-2</v>
      </c>
      <c r="HM23" s="62">
        <f>IFERROR(Inv_SY_B!HM23/Inv_SY_B!$IS23-1,"")</f>
        <v>3.7766726365757286E-2</v>
      </c>
      <c r="HN23" s="62">
        <f>IFERROR(Inv_SY_B!HN23/Inv_SY_B!$IS23-1,"")</f>
        <v>5.7514903841794585E-2</v>
      </c>
      <c r="HO23" s="62">
        <f>IFERROR(Inv_SY_B!HO23/Inv_SY_B!$IS23-1,"")</f>
        <v>7.0186651055585081E-2</v>
      </c>
      <c r="HP23" s="62">
        <f>IFERROR(Inv_SY_B!HP23/Inv_SY_B!$IS23-1,"")</f>
        <v>6.5809138381730081E-2</v>
      </c>
      <c r="HQ23" s="62">
        <f>IFERROR(Inv_SY_B!HQ23/Inv_SY_B!$IS23-1,"")</f>
        <v>1.0598354056593928E-2</v>
      </c>
      <c r="HR23" s="62">
        <f>IFERROR(Inv_SY_B!HR23/Inv_SY_B!$IS23-1,"")</f>
        <v>1.2334153767603828E-2</v>
      </c>
      <c r="HS23" s="62">
        <f>IFERROR(Inv_SY_B!HS23/Inv_SY_B!$IS23-1,"")</f>
        <v>2.5840868554868779E-2</v>
      </c>
      <c r="HT23" s="62">
        <f>IFERROR(Inv_SY_B!HT23/Inv_SY_B!$IS23-1,"")</f>
        <v>1.3714465248636065E-2</v>
      </c>
      <c r="HU23" s="62">
        <f>IFERROR(Inv_SY_B!HU23/Inv_SY_B!$IS23-1,"")</f>
        <v>1.4589671298396834E-2</v>
      </c>
      <c r="HV23" s="62">
        <f>IFERROR(Inv_SY_B!HV23/Inv_SY_B!$IS23-1,"")</f>
        <v>1.1540566350843218E-2</v>
      </c>
      <c r="HW23" s="62">
        <f>IFERROR(Inv_SY_B!HW23/Inv_SY_B!$IS23-1,"")</f>
        <v>2.9011937700324175E-2</v>
      </c>
      <c r="HX23" s="62">
        <f>IFERROR(Inv_SY_B!HX23/Inv_SY_B!$IS23-1,"")</f>
        <v>1.0016013877066632E-2</v>
      </c>
      <c r="HY23" s="62">
        <f>IFERROR(Inv_SY_B!HY23/Inv_SY_B!$IS23-1,"")</f>
        <v>1.3714465248636065E-2</v>
      </c>
      <c r="HZ23" s="62">
        <f>IFERROR(Inv_SY_B!HZ23/Inv_SY_B!$IS23-1,"")</f>
        <v>9.310202546614299E-3</v>
      </c>
      <c r="IA23" s="62">
        <f>IFERROR(Inv_SY_B!IA23/Inv_SY_B!$IS23-1,"")</f>
        <v>-3.4978798061957583E-4</v>
      </c>
      <c r="IB23" s="62">
        <f>IFERROR(Inv_SY_B!IB23/Inv_SY_B!$IS23-1,"")</f>
        <v>-4.9387074261733055E-3</v>
      </c>
      <c r="IC23" s="62">
        <f>IFERROR(Inv_SY_B!IC23/Inv_SY_B!$IS23-1,"")</f>
        <v>-3.4978798061957583E-4</v>
      </c>
      <c r="ID23" s="62">
        <f>IFERROR(Inv_SY_B!ID23/Inv_SY_B!$IS23-1,"")</f>
        <v>4.4471624797988163E-3</v>
      </c>
      <c r="IE23" s="62">
        <f>IFERROR(Inv_SY_B!IE23/Inv_SY_B!$IS23-1,"")</f>
        <v>1.2732181203578996E-2</v>
      </c>
      <c r="IF23" s="62" t="str">
        <f>IFERROR(Inv_SY_B!IF23/Inv_SY_B!$IS23-1,"")</f>
        <v/>
      </c>
      <c r="IG23" s="62">
        <f>IFERROR(Inv_SY_B!IG23/Inv_SY_B!$IS23-1,"")</f>
        <v>-1.4053459607096253E-3</v>
      </c>
      <c r="IH23" s="62">
        <f>IFERROR(Inv_SY_B!IH23/Inv_SY_B!$IS23-1,"")</f>
        <v>-8.5193180960452253E-4</v>
      </c>
      <c r="II23" s="62">
        <f>IFERROR(Inv_SY_B!II23/Inv_SY_B!$IS23-1,"")</f>
        <v>-1.7689284419910578E-3</v>
      </c>
      <c r="IJ23" s="62">
        <f>IFERROR(Inv_SY_B!IJ23/Inv_SY_B!$IS23-1,"")</f>
        <v>5.3545221568356283E-3</v>
      </c>
      <c r="IK23" s="62">
        <f>IFERROR(Inv_SY_B!IK23/Inv_SY_B!$IS23-1,"")</f>
        <v>3.0766052053936566E-3</v>
      </c>
      <c r="IL23" s="62" t="str">
        <f>IFERROR(Inv_SY_B!IL23/Inv_SY_B!$IS23-1,"")</f>
        <v/>
      </c>
      <c r="IM23" s="62" t="str">
        <f>IFERROR(Inv_SY_B!IM23/Inv_SY_B!$IS23-1,"")</f>
        <v/>
      </c>
      <c r="IN23" s="62">
        <f>IFERROR(Inv_SY_B!IN23/Inv_SY_B!$IS23-1,"")</f>
        <v>2.2034011643180973E-2</v>
      </c>
      <c r="IO23" s="62">
        <f>IFERROR(Inv_SY_B!IO23/Inv_SY_B!$IS23-1,"")</f>
        <v>1.7771696671269543E-2</v>
      </c>
      <c r="IP23" s="62">
        <f>IFERROR(Inv_SY_B!IP23/Inv_SY_B!$IS23-1,"")</f>
        <v>0.16112075881897248</v>
      </c>
      <c r="IQ23" s="62">
        <f>IFERROR(Inv_SY_B!IQ23/Inv_SY_B!$IS23-1,"")</f>
        <v>1.164258817042696E-2</v>
      </c>
      <c r="IR23" s="62">
        <f>IFERROR(Inv_SY_B!IR23/Inv_SY_B!$IS23-1,"")</f>
        <v>1.3771298862483627E-2</v>
      </c>
    </row>
    <row r="24" spans="2:252" x14ac:dyDescent="0.25">
      <c r="B24" s="85">
        <f t="shared" si="0"/>
        <v>45850</v>
      </c>
      <c r="C24" s="62">
        <f>IFERROR(Inv_SY_B!C24/Inv_SY_B!$IS24-1,"")</f>
        <v>1.1711545566242654E-2</v>
      </c>
      <c r="D24" s="62">
        <f>IFERROR(Inv_SY_B!D24/Inv_SY_B!$IS24-1,"")</f>
        <v>8.6589170197970411E-3</v>
      </c>
      <c r="E24" s="62">
        <f>IFERROR(Inv_SY_B!E24/Inv_SY_B!$IS24-1,"")</f>
        <v>1.4998991693184305E-2</v>
      </c>
      <c r="F24" s="62">
        <f>IFERROR(Inv_SY_B!F24/Inv_SY_B!$IS24-1,"")</f>
        <v>8.6393488880889269E-3</v>
      </c>
      <c r="G24" s="62">
        <f>IFERROR(Inv_SY_B!G24/Inv_SY_B!$IS24-1,"")</f>
        <v>6.1933324245908583E-3</v>
      </c>
      <c r="H24" s="62">
        <f>IFERROR(Inv_SY_B!H24/Inv_SY_B!$IS24-1,"")</f>
        <v>6.0954917660509533E-3</v>
      </c>
      <c r="I24" s="62">
        <f>IFERROR(Inv_SY_B!I24/Inv_SY_B!$IS24-1,"")</f>
        <v>2.279706082993993E-3</v>
      </c>
      <c r="J24" s="62">
        <f>IFERROR(Inv_SY_B!J24/Inv_SY_B!$IS24-1,"")</f>
        <v>-1.9343079454329559E-2</v>
      </c>
      <c r="K24" s="62">
        <f>IFERROR(Inv_SY_B!K24/Inv_SY_B!$IS24-1,"")</f>
        <v>-2.193781371880843E-2</v>
      </c>
      <c r="L24" s="62">
        <f>IFERROR(Inv_SY_B!L24/Inv_SY_B!$IS24-1,"")</f>
        <v>-1.0948350951603958E-2</v>
      </c>
      <c r="M24" s="62">
        <f>IFERROR(Inv_SY_B!M24/Inv_SY_B!$IS24-1,"")</f>
        <v>-2.8080081610821761E-3</v>
      </c>
      <c r="N24" s="62">
        <f>IFERROR(Inv_SY_B!N24/Inv_SY_B!$IS24-1,"")</f>
        <v>3.5516346440127577E-3</v>
      </c>
      <c r="O24" s="62">
        <f>IFERROR(Inv_SY_B!O24/Inv_SY_B!$IS24-1,"")</f>
        <v>8.6393488880889269E-3</v>
      </c>
      <c r="P24" s="62">
        <f>IFERROR(Inv_SY_B!P24/Inv_SY_B!$IS24-1,"")</f>
        <v>1.5692770908285469E-2</v>
      </c>
      <c r="Q24" s="62">
        <f>IFERROR(Inv_SY_B!Q24/Inv_SY_B!$IS24-1,"")</f>
        <v>-1.5360796000633004E-3</v>
      </c>
      <c r="R24" s="62">
        <f>IFERROR(Inv_SY_B!R24/Inv_SY_B!$IS24-1,"")</f>
        <v>-5.1853675124813314E-4</v>
      </c>
      <c r="S24" s="62">
        <f>IFERROR(Inv_SY_B!S24/Inv_SY_B!$IS24-1,"")</f>
        <v>3.2972489318090492E-3</v>
      </c>
      <c r="T24" s="62">
        <f>IFERROR(Inv_SY_B!T24/Inv_SY_B!$IS24-1,"")</f>
        <v>-2.8080081610821761E-3</v>
      </c>
      <c r="U24" s="62">
        <f>IFERROR(Inv_SY_B!U24/Inv_SY_B!$IS24-1,"")</f>
        <v>-3.6690059562335398E-3</v>
      </c>
      <c r="V24" s="62">
        <f>IFERROR(Inv_SY_B!V24/Inv_SY_B!$IS24-1,"")</f>
        <v>-2.3158865137386742E-2</v>
      </c>
      <c r="W24" s="62">
        <f>IFERROR(Inv_SY_B!W24/Inv_SY_B!$IS24-1,"")</f>
        <v>-1.1711508088215528E-2</v>
      </c>
      <c r="X24" s="62">
        <f>IFERROR(Inv_SY_B!X24/Inv_SY_B!$IS24-1,"")</f>
        <v>2.279706082993993E-3</v>
      </c>
      <c r="Y24" s="62">
        <f>IFERROR(Inv_SY_B!Y24/Inv_SY_B!$IS24-1,"")</f>
        <v>5.0192445221117765E-3</v>
      </c>
      <c r="Z24" s="62">
        <f>IFERROR(Inv_SY_B!Z24/Inv_SY_B!$IS24-1,"")</f>
        <v>-2.655067463343741E-2</v>
      </c>
      <c r="AA24" s="62">
        <f>IFERROR(Inv_SY_B!AA24/Inv_SY_B!$IS24-1,"")</f>
        <v>-1.024389821011662E-2</v>
      </c>
      <c r="AB24" s="62">
        <f>IFERROR(Inv_SY_B!AB24/Inv_SY_B!$IS24-1,"")</f>
        <v>-1.4940249820032836E-2</v>
      </c>
      <c r="AC24" s="62">
        <f>IFERROR(Inv_SY_B!AC24/Inv_SY_B!$IS24-1,"")</f>
        <v>-1.6114337722512029E-2</v>
      </c>
      <c r="AD24" s="62">
        <f>IFERROR(Inv_SY_B!AD24/Inv_SY_B!$IS24-1,"")</f>
        <v>-1.5244642979934997E-2</v>
      </c>
      <c r="AE24" s="62">
        <f>IFERROR(Inv_SY_B!AE24/Inv_SY_B!$IS24-1,"")</f>
        <v>7.3674203270699401E-3</v>
      </c>
      <c r="AF24" s="62">
        <f>IFERROR(Inv_SY_B!AF24/Inv_SY_B!$IS24-1,"")</f>
        <v>1.7144045003187891E-3</v>
      </c>
      <c r="AG24" s="62">
        <f>IFERROR(Inv_SY_B!AG24/Inv_SY_B!$IS24-1,"")</f>
        <v>8.4980234924201259E-3</v>
      </c>
      <c r="AH24" s="62">
        <f>IFERROR(Inv_SY_B!AH24/Inv_SY_B!$IS24-1,"")</f>
        <v>-2.8080081610821761E-3</v>
      </c>
      <c r="AI24" s="62">
        <f>IFERROR(Inv_SY_B!AI24/Inv_SY_B!$IS24-1,"")</f>
        <v>-8.1507080836644707E-3</v>
      </c>
      <c r="AJ24" s="62">
        <f>IFERROR(Inv_SY_B!AJ24/Inv_SY_B!$IS24-1,"")</f>
        <v>-3.2003909717304158E-4</v>
      </c>
      <c r="AK24" s="62">
        <f>IFERROR(Inv_SY_B!AK24/Inv_SY_B!$IS24-1,"")</f>
        <v>-6.6237938441393585E-3</v>
      </c>
      <c r="AL24" s="62">
        <f>IFERROR(Inv_SY_B!AL24/Inv_SY_B!$IS24-1,"")</f>
        <v>-2.7427847179589016E-2</v>
      </c>
      <c r="AM24" s="62">
        <f>IFERROR(Inv_SY_B!AM24/Inv_SY_B!$IS24-1,"")</f>
        <v>3.5516346440127577E-3</v>
      </c>
      <c r="AN24" s="62">
        <f>IFERROR(Inv_SY_B!AN24/Inv_SY_B!$IS24-1,"")</f>
        <v>-2.6415103904420256E-4</v>
      </c>
      <c r="AO24" s="62">
        <f>IFERROR(Inv_SY_B!AO24/Inv_SY_B!$IS24-1,"")</f>
        <v>3.5516346440127577E-3</v>
      </c>
      <c r="AP24" s="62">
        <f>IFERROR(Inv_SY_B!AP24/Inv_SY_B!$IS24-1,"")</f>
        <v>1.2455134571146109E-2</v>
      </c>
      <c r="AQ24" s="62">
        <f>IFERROR(Inv_SY_B!AQ24/Inv_SY_B!$IS24-1,"")</f>
        <v>-1.5360796000633004E-3</v>
      </c>
      <c r="AR24" s="62">
        <f>IFERROR(Inv_SY_B!AR24/Inv_SY_B!$IS24-1,"")</f>
        <v>-1.2983436649234403E-2</v>
      </c>
      <c r="AS24" s="62">
        <f>IFERROR(Inv_SY_B!AS24/Inv_SY_B!$IS24-1,"")</f>
        <v>-1.043957952719643E-2</v>
      </c>
      <c r="AT24" s="62">
        <f>IFERROR(Inv_SY_B!AT24/Inv_SY_B!$IS24-1,"")</f>
        <v>6.0954917660509533E-3</v>
      </c>
      <c r="AU24" s="62">
        <f>IFERROR(Inv_SY_B!AU24/Inv_SY_B!$IS24-1,"")</f>
        <v>-1.8071150893310572E-2</v>
      </c>
      <c r="AV24" s="62">
        <f>IFERROR(Inv_SY_B!AV24/Inv_SY_B!$IS24-1,"")</f>
        <v>-6.6237938441393585E-3</v>
      </c>
      <c r="AW24" s="62">
        <f>IFERROR(Inv_SY_B!AW24/Inv_SY_B!$IS24-1,"")</f>
        <v>-3.0203392552261232E-2</v>
      </c>
      <c r="AX24" s="62">
        <f>IFERROR(Inv_SY_B!AX24/Inv_SY_B!$IS24-1,"")</f>
        <v>-2.8080081610821761E-3</v>
      </c>
      <c r="AY24" s="62">
        <f>IFERROR(Inv_SY_B!AY24/Inv_SY_B!$IS24-1,"")</f>
        <v>-2.193781371880843E-2</v>
      </c>
      <c r="AZ24" s="62">
        <f>IFERROR(Inv_SY_B!AZ24/Inv_SY_B!$IS24-1,"")</f>
        <v>-1.6443082335206083E-2</v>
      </c>
      <c r="BA24" s="62">
        <f>IFERROR(Inv_SY_B!BA24/Inv_SY_B!$IS24-1,"")</f>
        <v>3.5516346440127577E-3</v>
      </c>
      <c r="BB24" s="62">
        <f>IFERROR(Inv_SY_B!BB24/Inv_SY_B!$IS24-1,"")</f>
        <v>-6.6237938441393585E-3</v>
      </c>
      <c r="BC24" s="62">
        <f>IFERROR(Inv_SY_B!BC24/Inv_SY_B!$IS24-1,"")</f>
        <v>-7.4434811390183819E-3</v>
      </c>
      <c r="BD24" s="62">
        <f>IFERROR(Inv_SY_B!BD24/Inv_SY_B!$IS24-1,"")</f>
        <v>-2.655067463343741E-2</v>
      </c>
      <c r="BE24" s="62">
        <f>IFERROR(Inv_SY_B!BE24/Inv_SY_B!$IS24-1,"")</f>
        <v>-1.1417986112595702E-2</v>
      </c>
      <c r="BF24" s="62">
        <f>IFERROR(Inv_SY_B!BF24/Inv_SY_B!$IS24-1,"")</f>
        <v>1.991711546245778E-2</v>
      </c>
      <c r="BG24" s="62">
        <f>IFERROR(Inv_SY_B!BG24/Inv_SY_B!$IS24-1,"")</f>
        <v>1.2002893305006035E-2</v>
      </c>
      <c r="BH24" s="62">
        <f>IFERROR(Inv_SY_B!BH24/Inv_SY_B!$IS24-1,"")</f>
        <v>1.4998991693184305E-2</v>
      </c>
      <c r="BI24" s="62">
        <f>IFERROR(Inv_SY_B!BI24/Inv_SY_B!$IS24-1,"")</f>
        <v>-1.1061411268138976E-2</v>
      </c>
      <c r="BJ24" s="62">
        <f>IFERROR(Inv_SY_B!BJ24/Inv_SY_B!$IS24-1,"")</f>
        <v>-1.0156928735858939E-2</v>
      </c>
      <c r="BK24" s="62">
        <f>IFERROR(Inv_SY_B!BK24/Inv_SY_B!$IS24-1,"")</f>
        <v>3.5516346440127577E-3</v>
      </c>
      <c r="BL24" s="62">
        <f>IFERROR(Inv_SY_B!BL24/Inv_SY_B!$IS24-1,"")</f>
        <v>-2.9472975538323398E-2</v>
      </c>
      <c r="BM24" s="62">
        <f>IFERROR(Inv_SY_B!BM24/Inv_SY_B!$IS24-1,"")</f>
        <v>-6.6237938441393585E-3</v>
      </c>
      <c r="BN24" s="62">
        <f>IFERROR(Inv_SY_B!BN24/Inv_SY_B!$IS24-1,"")</f>
        <v>-4.9611160700172574E-3</v>
      </c>
      <c r="BO24" s="62">
        <f>IFERROR(Inv_SY_B!BO24/Inv_SY_B!$IS24-1,"")</f>
        <v>-4.3734586977209888E-3</v>
      </c>
      <c r="BP24" s="62">
        <f>IFERROR(Inv_SY_B!BP24/Inv_SY_B!$IS24-1,"")</f>
        <v>-8.5119499028374346E-4</v>
      </c>
      <c r="BQ24" s="62">
        <f>IFERROR(Inv_SY_B!BQ24/Inv_SY_B!$IS24-1,"")</f>
        <v>-3.199370795241907E-3</v>
      </c>
      <c r="BR24" s="62">
        <f>IFERROR(Inv_SY_B!BR24/Inv_SY_B!$IS24-1,"")</f>
        <v>5.958514844095042E-3</v>
      </c>
      <c r="BS24" s="62">
        <f>IFERROR(Inv_SY_B!BS24/Inv_SY_B!$IS24-1,"")</f>
        <v>3.000774871320866E-2</v>
      </c>
      <c r="BT24" s="62">
        <f>IFERROR(Inv_SY_B!BT24/Inv_SY_B!$IS24-1,"")</f>
        <v>3.4841077245080898E-2</v>
      </c>
      <c r="BU24" s="62">
        <f>IFERROR(Inv_SY_B!BU24/Inv_SY_B!$IS24-1,"")</f>
        <v>2.6064770174049734E-2</v>
      </c>
      <c r="BV24" s="62">
        <f>IFERROR(Inv_SY_B!BV24/Inv_SY_B!$IS24-1,"")</f>
        <v>1.3091098851655714E-2</v>
      </c>
      <c r="BW24" s="62">
        <f>IFERROR(Inv_SY_B!BW24/Inv_SY_B!$IS24-1,"")</f>
        <v>1.4998991693184305E-2</v>
      </c>
      <c r="BX24" s="62">
        <f>IFERROR(Inv_SY_B!BX24/Inv_SY_B!$IS24-1,"")</f>
        <v>2.8863013008291638E-2</v>
      </c>
      <c r="BY24" s="62">
        <f>IFERROR(Inv_SY_B!BY24/Inv_SY_B!$IS24-1,"")</f>
        <v>2.8170518569514469E-2</v>
      </c>
      <c r="BZ24" s="62">
        <f>IFERROR(Inv_SY_B!BZ24/Inv_SY_B!$IS24-1,"")</f>
        <v>2.4891769389998819E-2</v>
      </c>
      <c r="CA24" s="62">
        <f>IFERROR(Inv_SY_B!CA24/Inv_SY_B!$IS24-1,"")</f>
        <v>2.8622759835654543E-2</v>
      </c>
      <c r="CB24" s="62">
        <f>IFERROR(Inv_SY_B!CB24/Inv_SY_B!$IS24-1,"")</f>
        <v>1.792442738352773E-2</v>
      </c>
      <c r="CC24" s="62">
        <f>IFERROR(Inv_SY_B!CC24/Inv_SY_B!$IS24-1,"")</f>
        <v>2.9156703635033754E-3</v>
      </c>
      <c r="CD24" s="62">
        <f>IFERROR(Inv_SY_B!CD24/Inv_SY_B!$IS24-1,"")</f>
        <v>2.2043519108058796E-2</v>
      </c>
      <c r="CE24" s="62">
        <f>IFERROR(Inv_SY_B!CE24/Inv_SY_B!$IS24-1,"")</f>
        <v>-6.6237938441393585E-3</v>
      </c>
      <c r="CF24" s="62">
        <f>IFERROR(Inv_SY_B!CF24/Inv_SY_B!$IS24-1,"")</f>
        <v>8.8937346002928575E-3</v>
      </c>
      <c r="CG24" s="62">
        <f>IFERROR(Inv_SY_B!CG24/Inv_SY_B!$IS24-1,"")</f>
        <v>-9.4220366783812626E-3</v>
      </c>
      <c r="CH24" s="62">
        <f>IFERROR(Inv_SY_B!CH24/Inv_SY_B!$IS24-1,"")</f>
        <v>1.3981448844369027E-2</v>
      </c>
      <c r="CI24" s="62">
        <f>IFERROR(Inv_SY_B!CI24/Inv_SY_B!$IS24-1,"")</f>
        <v>-8.0229152612601995E-3</v>
      </c>
      <c r="CJ24" s="62">
        <f>IFERROR(Inv_SY_B!CJ24/Inv_SY_B!$IS24-1,"")</f>
        <v>1.5253377405388013E-2</v>
      </c>
      <c r="CK24" s="62">
        <f>IFERROR(Inv_SY_B!CK24/Inv_SY_B!$IS24-1,"")</f>
        <v>-4.9702867148145868E-3</v>
      </c>
      <c r="CL24" s="62">
        <f>IFERROR(Inv_SY_B!CL24/Inv_SY_B!$IS24-1,"")</f>
        <v>-8.4044938295658733E-3</v>
      </c>
      <c r="CM24" s="62">
        <f>IFERROR(Inv_SY_B!CM24/Inv_SY_B!$IS24-1,"")</f>
        <v>1.792442738352773E-2</v>
      </c>
      <c r="CN24" s="62">
        <f>IFERROR(Inv_SY_B!CN24/Inv_SY_B!$IS24-1,"")</f>
        <v>1.0292856017413587E-2</v>
      </c>
      <c r="CO24" s="62">
        <f>IFERROR(Inv_SY_B!CO24/Inv_SY_B!$IS24-1,"")</f>
        <v>-1.6683601704091666E-3</v>
      </c>
      <c r="CP24" s="62">
        <f>IFERROR(Inv_SY_B!CP24/Inv_SY_B!$IS24-1,"")</f>
        <v>1.8403846610373531E-2</v>
      </c>
      <c r="CQ24" s="62">
        <f>IFERROR(Inv_SY_B!CQ24/Inv_SY_B!$IS24-1,"")</f>
        <v>-6.6237938441393585E-3</v>
      </c>
      <c r="CR24" s="62">
        <f>IFERROR(Inv_SY_B!CR24/Inv_SY_B!$IS24-1,"")</f>
        <v>1.9450741656750647E-2</v>
      </c>
      <c r="CS24" s="62">
        <f>IFERROR(Inv_SY_B!CS24/Inv_SY_B!$IS24-1,"")</f>
        <v>9.0633250750953298E-3</v>
      </c>
      <c r="CT24" s="62">
        <f>IFERROR(Inv_SY_B!CT24/Inv_SY_B!$IS24-1,"")</f>
        <v>9.5296988808024619E-3</v>
      </c>
      <c r="CU24" s="62">
        <f>IFERROR(Inv_SY_B!CU24/Inv_SY_B!$IS24-1,"")</f>
        <v>1.0077775219747842E-3</v>
      </c>
      <c r="CV24" s="62">
        <f>IFERROR(Inv_SY_B!CV24/Inv_SY_B!$IS24-1,"")</f>
        <v>6.0954917660509533E-3</v>
      </c>
      <c r="CW24" s="62">
        <f>IFERROR(Inv_SY_B!CW24/Inv_SY_B!$IS24-1,"")</f>
        <v>2.279706082993993E-3</v>
      </c>
      <c r="CX24" s="62">
        <f>IFERROR(Inv_SY_B!CX24/Inv_SY_B!$IS24-1,"")</f>
        <v>8.6393488880889269E-3</v>
      </c>
      <c r="CY24" s="62">
        <f>IFERROR(Inv_SY_B!CY24/Inv_SY_B!$IS24-1,"")</f>
        <v>9.9112774491081357E-3</v>
      </c>
      <c r="CZ24" s="62">
        <f>IFERROR(Inv_SY_B!CZ24/Inv_SY_B!$IS24-1,"")</f>
        <v>-4.0799367221012739E-3</v>
      </c>
      <c r="DA24" s="62">
        <f>IFERROR(Inv_SY_B!DA24/Inv_SY_B!$IS24-1,"")</f>
        <v>9.9112774491081357E-3</v>
      </c>
      <c r="DB24" s="62">
        <f>IFERROR(Inv_SY_B!DB24/Inv_SY_B!$IS24-1,"")</f>
        <v>9.9112774491081357E-3</v>
      </c>
      <c r="DC24" s="62">
        <f>IFERROR(Inv_SY_B!DC24/Inv_SY_B!$IS24-1,"")</f>
        <v>-1.5244642979934997E-2</v>
      </c>
      <c r="DD24" s="62">
        <f>IFERROR(Inv_SY_B!DD24/Inv_SY_B!$IS24-1,"")</f>
        <v>-1.043957952719643E-2</v>
      </c>
      <c r="DE24" s="62">
        <f>IFERROR(Inv_SY_B!DE24/Inv_SY_B!$IS24-1,"")</f>
        <v>6.1237568451846247E-3</v>
      </c>
      <c r="DF24" s="62">
        <f>IFERROR(Inv_SY_B!DF24/Inv_SY_B!$IS24-1,"")</f>
        <v>-2.7995938390348529E-2</v>
      </c>
      <c r="DG24" s="62">
        <f>IFERROR(Inv_SY_B!DG24/Inv_SY_B!$IS24-1,"")</f>
        <v>1.0077775219747842E-3</v>
      </c>
      <c r="DH24" s="62">
        <f>IFERROR(Inv_SY_B!DH24/Inv_SY_B!$IS24-1,"")</f>
        <v>2.6700734454559116E-2</v>
      </c>
      <c r="DI24" s="62">
        <f>IFERROR(Inv_SY_B!DI24/Inv_SY_B!$IS24-1,"")</f>
        <v>-6.7216345026792634E-3</v>
      </c>
      <c r="DJ24" s="62">
        <f>IFERROR(Inv_SY_B!DJ24/Inv_SY_B!$IS24-1,"")</f>
        <v>2.4978738864256389E-2</v>
      </c>
      <c r="DK24" s="62">
        <f>IFERROR(Inv_SY_B!DK24/Inv_SY_B!$IS24-1,"")</f>
        <v>1.1211471089260794E-2</v>
      </c>
      <c r="DL24" s="62">
        <f>IFERROR(Inv_SY_B!DL24/Inv_SY_B!$IS24-1,"")</f>
        <v>8.8372044420252926E-3</v>
      </c>
      <c r="DM24" s="62">
        <f>IFERROR(Inv_SY_B!DM24/Inv_SY_B!$IS24-1,"")</f>
        <v>1.7670041671324244E-2</v>
      </c>
      <c r="DN24" s="62">
        <f>IFERROR(Inv_SY_B!DN24/Inv_SY_B!$IS24-1,"")</f>
        <v>6.7314560465603357E-3</v>
      </c>
      <c r="DO24" s="62">
        <f>IFERROR(Inv_SY_B!DO24/Inv_SY_B!$IS24-1,"")</f>
        <v>-2.1746935071993212E-2</v>
      </c>
      <c r="DP24" s="62">
        <f>IFERROR(Inv_SY_B!DP24/Inv_SY_B!$IS24-1,"")</f>
        <v>-2.8811880964137893E-2</v>
      </c>
      <c r="DQ24" s="62">
        <f>IFERROR(Inv_SY_B!DQ24/Inv_SY_B!$IS24-1,"")</f>
        <v>-2.0897658806686148E-2</v>
      </c>
      <c r="DR24" s="62">
        <f>IFERROR(Inv_SY_B!DR24/Inv_SY_B!$IS24-1,"")</f>
        <v>-1.2983436649234403E-2</v>
      </c>
      <c r="DS24" s="62">
        <f>IFERROR(Inv_SY_B!DS24/Inv_SY_B!$IS24-1,"")</f>
        <v>-2.1505358008062081E-2</v>
      </c>
      <c r="DT24" s="62">
        <f>IFERROR(Inv_SY_B!DT24/Inv_SY_B!$IS24-1,"")</f>
        <v>-1.9767055641335962E-2</v>
      </c>
      <c r="DU24" s="62">
        <f>IFERROR(Inv_SY_B!DU24/Inv_SY_B!$IS24-1,"")</f>
        <v>-2.3724166720061723E-2</v>
      </c>
      <c r="DV24" s="62">
        <f>IFERROR(Inv_SY_B!DV24/Inv_SY_B!$IS24-1,"")</f>
        <v>-6.6237938441393585E-3</v>
      </c>
      <c r="DW24" s="62">
        <f>IFERROR(Inv_SY_B!DW24/Inv_SY_B!$IS24-1,"")</f>
        <v>-2.8080081610821761E-3</v>
      </c>
      <c r="DX24" s="62">
        <f>IFERROR(Inv_SY_B!DX24/Inv_SY_B!$IS24-1,"")</f>
        <v>9.0633250750953298E-3</v>
      </c>
      <c r="DY24" s="62">
        <f>IFERROR(Inv_SY_B!DY24/Inv_SY_B!$IS24-1,"")</f>
        <v>-6.6237938441393585E-3</v>
      </c>
      <c r="DZ24" s="62">
        <f>IFERROR(Inv_SY_B!DZ24/Inv_SY_B!$IS24-1,"")</f>
        <v>-2.6415103904420256E-4</v>
      </c>
      <c r="EA24" s="62">
        <f>IFERROR(Inv_SY_B!EA24/Inv_SY_B!$IS24-1,"")</f>
        <v>-2.655067463343741E-2</v>
      </c>
      <c r="EB24" s="62">
        <f>IFERROR(Inv_SY_B!EB24/Inv_SY_B!$IS24-1,"")</f>
        <v>-1.9767055641335962E-2</v>
      </c>
      <c r="EC24" s="62">
        <f>IFERROR(Inv_SY_B!EC24/Inv_SY_B!$IS24-1,"")</f>
        <v>-2.6681128844824098E-2</v>
      </c>
      <c r="ED24" s="62">
        <f>IFERROR(Inv_SY_B!ED24/Inv_SY_B!$IS24-1,"")</f>
        <v>-2.0810689332428467E-2</v>
      </c>
      <c r="EE24" s="62">
        <f>IFERROR(Inv_SY_B!EE24/Inv_SY_B!$IS24-1,"")</f>
        <v>-1.7288425624991111E-2</v>
      </c>
      <c r="EF24" s="62">
        <f>IFERROR(Inv_SY_B!EF24/Inv_SY_B!$IS24-1,"")</f>
        <v>-1.1642130166705345E-2</v>
      </c>
      <c r="EG24" s="62">
        <f>IFERROR(Inv_SY_B!EG24/Inv_SY_B!$IS24-1,"")</f>
        <v>1.180894149451639E-2</v>
      </c>
      <c r="EH24" s="62">
        <f>IFERROR(Inv_SY_B!EH24/Inv_SY_B!$IS24-1,"")</f>
        <v>-2.2745265989922547E-2</v>
      </c>
      <c r="EI24" s="62">
        <f>IFERROR(Inv_SY_B!EI24/Inv_SY_B!$IS24-1,"")</f>
        <v>-1.5620687127151478E-2</v>
      </c>
      <c r="EJ24" s="62">
        <f>IFERROR(Inv_SY_B!EJ24/Inv_SY_B!$IS24-1,"")</f>
        <v>7.6529371579001637E-3</v>
      </c>
      <c r="EK24" s="62">
        <f>IFERROR(Inv_SY_B!EK24/Inv_SY_B!$IS24-1,"")</f>
        <v>-1.4611505207338782E-2</v>
      </c>
      <c r="EL24" s="62">
        <f>IFERROR(Inv_SY_B!EL24/Inv_SY_B!$IS24-1,"")</f>
        <v>-6.6237938441393585E-3</v>
      </c>
      <c r="EM24" s="62">
        <f>IFERROR(Inv_SY_B!EM24/Inv_SY_B!$IS24-1,"")</f>
        <v>-2.3158865137386742E-2</v>
      </c>
      <c r="EN24" s="62">
        <f>IFERROR(Inv_SY_B!EN24/Inv_SY_B!$IS24-1,"")</f>
        <v>-2.7620399166807141E-2</v>
      </c>
      <c r="EO24" s="62">
        <f>IFERROR(Inv_SY_B!EO24/Inv_SY_B!$IS24-1,"")</f>
        <v>-1.043957952719643E-2</v>
      </c>
      <c r="EP24" s="62">
        <f>IFERROR(Inv_SY_B!EP24/Inv_SY_B!$IS24-1,"")</f>
        <v>-2.0810689332428467E-2</v>
      </c>
      <c r="EQ24" s="62">
        <f>IFERROR(Inv_SY_B!EQ24/Inv_SY_B!$IS24-1,"")</f>
        <v>4.4419846367262927E-3</v>
      </c>
      <c r="ER24" s="62">
        <f>IFERROR(Inv_SY_B!ER24/Inv_SY_B!$IS24-1,"")</f>
        <v>-2.0810689332428467E-2</v>
      </c>
      <c r="ES24" s="62">
        <f>IFERROR(Inv_SY_B!ES24/Inv_SY_B!$IS24-1,"")</f>
        <v>3.5516346440127577E-3</v>
      </c>
      <c r="ET24" s="62">
        <f>IFERROR(Inv_SY_B!ET24/Inv_SY_B!$IS24-1,"")</f>
        <v>-1.2058397695765999E-2</v>
      </c>
      <c r="EU24" s="62">
        <f>IFERROR(Inv_SY_B!EU24/Inv_SY_B!$IS24-1,"")</f>
        <v>2.6710687171536129E-3</v>
      </c>
      <c r="EV24" s="62">
        <f>IFERROR(Inv_SY_B!EV24/Inv_SY_B!$IS24-1,"")</f>
        <v>-7.8957224051583452E-3</v>
      </c>
      <c r="EW24" s="62">
        <f>IFERROR(Inv_SY_B!EW24/Inv_SY_B!$IS24-1,"")</f>
        <v>-3.199370795241907E-3</v>
      </c>
      <c r="EX24" s="62">
        <f>IFERROR(Inv_SY_B!EX24/Inv_SY_B!$IS24-1,"")</f>
        <v>-2.8080081610821761E-3</v>
      </c>
      <c r="EY24" s="62">
        <f>IFERROR(Inv_SY_B!EY24/Inv_SY_B!$IS24-1,"")</f>
        <v>-2.0897658806686148E-2</v>
      </c>
      <c r="EZ24" s="62">
        <f>IFERROR(Inv_SY_B!EZ24/Inv_SY_B!$IS24-1,"")</f>
        <v>-6.6237938441393585E-3</v>
      </c>
      <c r="FA24" s="62">
        <f>IFERROR(Inv_SY_B!FA24/Inv_SY_B!$IS24-1,"")</f>
        <v>6.0954917660509533E-3</v>
      </c>
      <c r="FB24" s="62">
        <f>IFERROR(Inv_SY_B!FB24/Inv_SY_B!$IS24-1,"")</f>
        <v>9.0209274563946007E-3</v>
      </c>
      <c r="FC24" s="62">
        <f>IFERROR(Inv_SY_B!FC24/Inv_SY_B!$IS24-1,"")</f>
        <v>6.0954917660509533E-3</v>
      </c>
      <c r="FD24" s="62">
        <f>IFERROR(Inv_SY_B!FD24/Inv_SY_B!$IS24-1,"")</f>
        <v>-1.408886743961224E-3</v>
      </c>
      <c r="FE24" s="62">
        <f>IFERROR(Inv_SY_B!FE24/Inv_SY_B!$IS24-1,"")</f>
        <v>1.4698354033306993E-2</v>
      </c>
      <c r="FF24" s="62">
        <f>IFERROR(Inv_SY_B!FF24/Inv_SY_B!$IS24-1,"")</f>
        <v>7.623251412638421E-3</v>
      </c>
      <c r="FG24" s="62">
        <f>IFERROR(Inv_SY_B!FG24/Inv_SY_B!$IS24-1,"")</f>
        <v>-2.1892075681664735E-2</v>
      </c>
      <c r="FH24" s="62">
        <f>IFERROR(Inv_SY_B!FH24/Inv_SY_B!$IS24-1,"")</f>
        <v>4.6645721349045655E-3</v>
      </c>
      <c r="FI24" s="62">
        <f>IFERROR(Inv_SY_B!FI24/Inv_SY_B!$IS24-1,"")</f>
        <v>-9.7714958385803907E-3</v>
      </c>
      <c r="FJ24" s="62">
        <f>IFERROR(Inv_SY_B!FJ24/Inv_SY_B!$IS24-1,"")</f>
        <v>-2.1434695310227569E-2</v>
      </c>
      <c r="FK24" s="62">
        <f>IFERROR(Inv_SY_B!FK24/Inv_SY_B!$IS24-1,"")</f>
        <v>-1.7775652338730352E-2</v>
      </c>
      <c r="FL24" s="62">
        <f>IFERROR(Inv_SY_B!FL24/Inv_SY_B!$IS24-1,"")</f>
        <v>-1.6627627606423223E-2</v>
      </c>
      <c r="FM24" s="62">
        <f>IFERROR(Inv_SY_B!FM24/Inv_SY_B!$IS24-1,"")</f>
        <v>1.1096483608239449E-2</v>
      </c>
      <c r="FN24" s="62">
        <f>IFERROR(Inv_SY_B!FN24/Inv_SY_B!$IS24-1,"")</f>
        <v>-1.6632201410137437E-2</v>
      </c>
      <c r="FO24" s="62">
        <f>IFERROR(Inv_SY_B!FO24/Inv_SY_B!$IS24-1,"")</f>
        <v>-1.1929759466299261E-2</v>
      </c>
      <c r="FP24" s="62">
        <f>IFERROR(Inv_SY_B!FP24/Inv_SY_B!$IS24-1,"")</f>
        <v>-2.0702886715928126E-2</v>
      </c>
      <c r="FQ24" s="62">
        <f>IFERROR(Inv_SY_B!FQ24/Inv_SY_B!$IS24-1,"")</f>
        <v>-2.428417502428093E-2</v>
      </c>
      <c r="FR24" s="62">
        <f>IFERROR(Inv_SY_B!FR24/Inv_SY_B!$IS24-1,"")</f>
        <v>-2.1320350217368222E-2</v>
      </c>
      <c r="FS24" s="62">
        <f>IFERROR(Inv_SY_B!FS24/Inv_SY_B!$IS24-1,"")</f>
        <v>-1.2058397695765999E-2</v>
      </c>
      <c r="FT24" s="62">
        <f>IFERROR(Inv_SY_B!FT24/Inv_SY_B!$IS24-1,"")</f>
        <v>-2.8112448733209838E-2</v>
      </c>
      <c r="FU24" s="62">
        <f>IFERROR(Inv_SY_B!FU24/Inv_SY_B!$IS24-1,"")</f>
        <v>2.5777741902226481E-3</v>
      </c>
      <c r="FV24" s="62">
        <f>IFERROR(Inv_SY_B!FV24/Inv_SY_B!$IS24-1,"")</f>
        <v>4.6645721349045655E-3</v>
      </c>
      <c r="FW24" s="62">
        <f>IFERROR(Inv_SY_B!FW24/Inv_SY_B!$IS24-1,"")</f>
        <v>1.4955630492240468E-2</v>
      </c>
      <c r="FX24" s="62">
        <f>IFERROR(Inv_SY_B!FX24/Inv_SY_B!$IS24-1,"")</f>
        <v>2.1387541965575352E-2</v>
      </c>
      <c r="FY24" s="62">
        <f>IFERROR(Inv_SY_B!FY24/Inv_SY_B!$IS24-1,"")</f>
        <v>-1.3201848624358914E-2</v>
      </c>
      <c r="FZ24" s="62">
        <f>IFERROR(Inv_SY_B!FZ24/Inv_SY_B!$IS24-1,"")</f>
        <v>8.0542525090354644E-4</v>
      </c>
      <c r="GA24" s="62">
        <f>IFERROR(Inv_SY_B!GA24/Inv_SY_B!$IS24-1,"")</f>
        <v>-3.7463890225332142E-3</v>
      </c>
      <c r="GB24" s="62">
        <f>IFERROR(Inv_SY_B!GB24/Inv_SY_B!$IS24-1,"")</f>
        <v>-2.1206005124508875E-2</v>
      </c>
      <c r="GC24" s="62">
        <f>IFERROR(Inv_SY_B!GC24/Inv_SY_B!$IS24-1,"")</f>
        <v>-8.6280449099874756E-3</v>
      </c>
      <c r="GD24" s="62">
        <f>IFERROR(Inv_SY_B!GD24/Inv_SY_B!$IS24-1,"")</f>
        <v>-1.9467959713047822E-2</v>
      </c>
      <c r="GE24" s="62">
        <f>IFERROR(Inv_SY_B!GE24/Inv_SY_B!$IS24-1,"")</f>
        <v>-1.5620687127151478E-2</v>
      </c>
      <c r="GF24" s="62">
        <f>IFERROR(Inv_SY_B!GF24/Inv_SY_B!$IS24-1,"")</f>
        <v>-1.4345299552951829E-2</v>
      </c>
      <c r="GG24" s="62">
        <f>IFERROR(Inv_SY_B!GG24/Inv_SY_B!$IS24-1,"")</f>
        <v>-1.5763178704407022E-2</v>
      </c>
      <c r="GH24" s="62">
        <f>IFERROR(Inv_SY_B!GH24/Inv_SY_B!$IS24-1,"")</f>
        <v>-8.3536166871251982E-3</v>
      </c>
      <c r="GI24" s="62">
        <f>IFERROR(Inv_SY_B!GI24/Inv_SY_B!$IS24-1,"")</f>
        <v>-1.4898729802390598E-2</v>
      </c>
      <c r="GJ24" s="62">
        <f>IFERROR(Inv_SY_B!GJ24/Inv_SY_B!$IS24-1,"")</f>
        <v>-2.7494985231769631E-2</v>
      </c>
      <c r="GK24" s="62">
        <f>IFERROR(Inv_SY_B!GK24/Inv_SY_B!$IS24-1,"")</f>
        <v>1.9631693161039632E-3</v>
      </c>
      <c r="GL24" s="62">
        <f>IFERROR(Inv_SY_B!GL24/Inv_SY_B!$IS24-1,"")</f>
        <v>2.1387541965575352E-2</v>
      </c>
      <c r="GM24" s="62">
        <f>IFERROR(Inv_SY_B!GM24/Inv_SY_B!$IS24-1,"")</f>
        <v>1.4955630492240468E-2</v>
      </c>
      <c r="GN24" s="62">
        <f>IFERROR(Inv_SY_B!GN24/Inv_SY_B!$IS24-1,"")</f>
        <v>8.5237190189055845E-3</v>
      </c>
      <c r="GO24" s="62">
        <f>IFERROR(Inv_SY_B!GO24/Inv_SY_B!$IS24-1,"")</f>
        <v>5.9509544295714978E-3</v>
      </c>
      <c r="GP24" s="62">
        <f>IFERROR(Inv_SY_B!GP24/Inv_SY_B!$IS24-1,"")</f>
        <v>2.4088944784375954E-2</v>
      </c>
      <c r="GQ24" s="62">
        <f>IFERROR(Inv_SY_B!GQ24/Inv_SY_B!$IS24-1,"")</f>
        <v>-2.1320350217368222E-2</v>
      </c>
      <c r="GR24" s="62">
        <f>IFERROR(Inv_SY_B!GR24/Inv_SY_B!$IS24-1,"")</f>
        <v>1.4955630492240468E-2</v>
      </c>
      <c r="GS24" s="62" t="str">
        <f>IFERROR(Inv_SY_B!GS24/Inv_SY_B!$IS24-1,"")</f>
        <v/>
      </c>
      <c r="GT24" s="62" t="str">
        <f>IFERROR(Inv_SY_B!GT24/Inv_SY_B!$IS24-1,"")</f>
        <v/>
      </c>
      <c r="GU24" s="62">
        <f>IFERROR(Inv_SY_B!GU24/Inv_SY_B!$IS24-1,"")</f>
        <v>4.9713747977112588E-2</v>
      </c>
      <c r="GV24" s="62">
        <f>IFERROR(Inv_SY_B!GV24/Inv_SY_B!$IS24-1,"")</f>
        <v>-9.8201533249033801E-3</v>
      </c>
      <c r="GW24" s="62">
        <f>IFERROR(Inv_SY_B!GW24/Inv_SY_B!$IS24-1,"")</f>
        <v>-4.7793564186262572E-3</v>
      </c>
      <c r="GX24" s="62" t="str">
        <f>IFERROR(Inv_SY_B!GX24/Inv_SY_B!$IS24-1,"")</f>
        <v/>
      </c>
      <c r="GY24" s="62">
        <f>IFERROR(Inv_SY_B!GY24/Inv_SY_B!$IS24-1,"")</f>
        <v>-1.5772463869842102E-2</v>
      </c>
      <c r="GZ24" s="62">
        <f>IFERROR(Inv_SY_B!GZ24/Inv_SY_B!$IS24-1,"")</f>
        <v>6.0954917660509533E-3</v>
      </c>
      <c r="HA24" s="62">
        <f>IFERROR(Inv_SY_B!HA24/Inv_SY_B!$IS24-1,"")</f>
        <v>7.5339180977107567E-4</v>
      </c>
      <c r="HB24" s="62">
        <f>IFERROR(Inv_SY_B!HB24/Inv_SY_B!$IS24-1,"")</f>
        <v>8.6393488880889269E-3</v>
      </c>
      <c r="HC24" s="62">
        <f>IFERROR(Inv_SY_B!HC24/Inv_SY_B!$IS24-1,"")</f>
        <v>1.3727063132165096E-2</v>
      </c>
      <c r="HD24" s="62">
        <f>IFERROR(Inv_SY_B!HD24/Inv_SY_B!$IS24-1,"")</f>
        <v>-7.2597581246488518E-3</v>
      </c>
      <c r="HE24" s="62">
        <f>IFERROR(Inv_SY_B!HE24/Inv_SY_B!$IS24-1,"")</f>
        <v>2.0086705937260252E-2</v>
      </c>
      <c r="HF24" s="62">
        <f>IFERROR(Inv_SY_B!HF24/Inv_SY_B!$IS24-1,"")</f>
        <v>2.1740213066584912E-2</v>
      </c>
      <c r="HG24" s="62">
        <f>IFERROR(Inv_SY_B!HG24/Inv_SY_B!$IS24-1,"")</f>
        <v>-7.8957224051583452E-3</v>
      </c>
      <c r="HH24" s="62">
        <f>IFERROR(Inv_SY_B!HH24/Inv_SY_B!$IS24-1,"")</f>
        <v>7.3674203270699401E-3</v>
      </c>
      <c r="HI24" s="62">
        <f>IFERROR(Inv_SY_B!HI24/Inv_SY_B!$IS24-1,"")</f>
        <v>1.3727063132165096E-2</v>
      </c>
      <c r="HJ24" s="62">
        <f>IFERROR(Inv_SY_B!HJ24/Inv_SY_B!$IS24-1,"")</f>
        <v>-1.5360796000633004E-3</v>
      </c>
      <c r="HK24" s="62">
        <f>IFERROR(Inv_SY_B!HK24/Inv_SY_B!$IS24-1,"")</f>
        <v>-7.3304208224831413E-3</v>
      </c>
      <c r="HL24" s="62">
        <f>IFERROR(Inv_SY_B!HL24/Inv_SY_B!$IS24-1,"")</f>
        <v>5.6887838969410742E-2</v>
      </c>
      <c r="HM24" s="62">
        <f>IFERROR(Inv_SY_B!HM24/Inv_SY_B!$IS24-1,"")</f>
        <v>3.4175322609111713E-2</v>
      </c>
      <c r="HN24" s="62">
        <f>IFERROR(Inv_SY_B!HN24/Inv_SY_B!$IS24-1,"")</f>
        <v>6.1550551737000081E-2</v>
      </c>
      <c r="HO24" s="62">
        <f>IFERROR(Inv_SY_B!HO24/Inv_SY_B!$IS24-1,"")</f>
        <v>5.9269282643009458E-2</v>
      </c>
      <c r="HP24" s="62">
        <f>IFERROR(Inv_SY_B!HP24/Inv_SY_B!$IS24-1,"")</f>
        <v>6.0333874886871808E-2</v>
      </c>
      <c r="HQ24" s="62">
        <f>IFERROR(Inv_SY_B!HQ24/Inv_SY_B!$IS24-1,"")</f>
        <v>-3.237490532335352E-3</v>
      </c>
      <c r="HR24" s="62">
        <f>IFERROR(Inv_SY_B!HR24/Inv_SY_B!$IS24-1,"")</f>
        <v>1.5274275647799929E-2</v>
      </c>
      <c r="HS24" s="62">
        <f>IFERROR(Inv_SY_B!HS24/Inv_SY_B!$IS24-1,"")</f>
        <v>1.5914780257117789E-2</v>
      </c>
      <c r="HT24" s="62">
        <f>IFERROR(Inv_SY_B!HT24/Inv_SY_B!$IS24-1,"")</f>
        <v>3.9756108310193827E-3</v>
      </c>
      <c r="HU24" s="62">
        <f>IFERROR(Inv_SY_B!HU24/Inv_SY_B!$IS24-1,"")</f>
        <v>-8.5119499028374346E-4</v>
      </c>
      <c r="HV24" s="62">
        <f>IFERROR(Inv_SY_B!HV24/Inv_SY_B!$IS24-1,"")</f>
        <v>4.5496093611201438E-3</v>
      </c>
      <c r="HW24" s="62">
        <f>IFERROR(Inv_SY_B!HW24/Inv_SY_B!$IS24-1,"")</f>
        <v>1.8356883094274412E-2</v>
      </c>
      <c r="HX24" s="62">
        <f>IFERROR(Inv_SY_B!HX24/Inv_SY_B!$IS24-1,"")</f>
        <v>-1.4940249820032836E-2</v>
      </c>
      <c r="HY24" s="62">
        <f>IFERROR(Inv_SY_B!HY24/Inv_SY_B!$IS24-1,"")</f>
        <v>-1.5244642979934997E-2</v>
      </c>
      <c r="HZ24" s="62">
        <f>IFERROR(Inv_SY_B!HZ24/Inv_SY_B!$IS24-1,"")</f>
        <v>1.1211471089260794E-2</v>
      </c>
      <c r="IA24" s="62">
        <f>IFERROR(Inv_SY_B!IA24/Inv_SY_B!$IS24-1,"")</f>
        <v>-2.4988188965239133E-2</v>
      </c>
      <c r="IB24" s="62">
        <f>IFERROR(Inv_SY_B!IB24/Inv_SY_B!$IS24-1,"")</f>
        <v>4.1132654371902611E-3</v>
      </c>
      <c r="IC24" s="62">
        <f>IFERROR(Inv_SY_B!IC24/Inv_SY_B!$IS24-1,"")</f>
        <v>-2.5589592120713878E-3</v>
      </c>
      <c r="ID24" s="62">
        <f>IFERROR(Inv_SY_B!ID24/Inv_SY_B!$IS24-1,"")</f>
        <v>-1.866500306096941E-2</v>
      </c>
      <c r="IE24" s="62">
        <f>IFERROR(Inv_SY_B!IE24/Inv_SY_B!$IS24-1,"")</f>
        <v>-1.2077000125654269E-4</v>
      </c>
      <c r="IF24" s="62" t="str">
        <f>IFERROR(Inv_SY_B!IF24/Inv_SY_B!$IS24-1,"")</f>
        <v/>
      </c>
      <c r="IG24" s="62">
        <f>IFERROR(Inv_SY_B!IG24/Inv_SY_B!$IS24-1,"")</f>
        <v>9.2985340551496876E-3</v>
      </c>
      <c r="IH24" s="62">
        <f>IFERROR(Inv_SY_B!IH24/Inv_SY_B!$IS24-1,"")</f>
        <v>-1.4660734291874089E-2</v>
      </c>
      <c r="II24" s="62">
        <f>IFERROR(Inv_SY_B!II24/Inv_SY_B!$IS24-1,"")</f>
        <v>-9.908027292740762E-3</v>
      </c>
      <c r="IJ24" s="62">
        <f>IFERROR(Inv_SY_B!IJ24/Inv_SY_B!$IS24-1,"")</f>
        <v>-2.021439544784287E-3</v>
      </c>
      <c r="IK24" s="62">
        <f>IFERROR(Inv_SY_B!IK24/Inv_SY_B!$IS24-1,"")</f>
        <v>8.1279090820849387E-3</v>
      </c>
      <c r="IL24" s="62" t="str">
        <f>IFERROR(Inv_SY_B!IL24/Inv_SY_B!$IS24-1,"")</f>
        <v/>
      </c>
      <c r="IM24" s="62" t="str">
        <f>IFERROR(Inv_SY_B!IM24/Inv_SY_B!$IS24-1,"")</f>
        <v/>
      </c>
      <c r="IN24" s="62">
        <f>IFERROR(Inv_SY_B!IN24/Inv_SY_B!$IS24-1,"")</f>
        <v>2.6266923083277494E-2</v>
      </c>
      <c r="IO24" s="62">
        <f>IFERROR(Inv_SY_B!IO24/Inv_SY_B!$IS24-1,"")</f>
        <v>1.1362631669205037E-2</v>
      </c>
      <c r="IP24" s="62">
        <f>IFERROR(Inv_SY_B!IP24/Inv_SY_B!$IS24-1,"")</f>
        <v>0.15242862065442009</v>
      </c>
      <c r="IQ24" s="62">
        <f>IFERROR(Inv_SY_B!IQ24/Inv_SY_B!$IS24-1,"")</f>
        <v>-2.1030089597033008E-2</v>
      </c>
      <c r="IR24" s="62">
        <f>IFERROR(Inv_SY_B!IR24/Inv_SY_B!$IS24-1,"")</f>
        <v>-2.5677410248260202E-2</v>
      </c>
    </row>
    <row r="25" spans="2:252" x14ac:dyDescent="0.25">
      <c r="B25" s="85">
        <f t="shared" si="0"/>
        <v>45851</v>
      </c>
      <c r="C25" s="62">
        <f>IFERROR(Inv_SY_B!C25/Inv_SY_B!$IS25-1,"")</f>
        <v>2.0794524863378294E-2</v>
      </c>
      <c r="D25" s="62">
        <f>IFERROR(Inv_SY_B!D25/Inv_SY_B!$IS25-1,"")</f>
        <v>1.7013804400921373E-2</v>
      </c>
      <c r="E25" s="62">
        <f>IFERROR(Inv_SY_B!E25/Inv_SY_B!$IS25-1,"")</f>
        <v>7.5620032447789587E-3</v>
      </c>
      <c r="F25" s="62">
        <f>IFERROR(Inv_SY_B!F25/Inv_SY_B!$IS25-1,"")</f>
        <v>1.1657783745773864E-2</v>
      </c>
      <c r="G25" s="62">
        <f>IFERROR(Inv_SY_B!G25/Inv_SY_B!$IS25-1,"")</f>
        <v>1.3107059923049169E-2</v>
      </c>
      <c r="H25" s="62">
        <f>IFERROR(Inv_SY_B!H25/Inv_SY_B!$IS25-1,"")</f>
        <v>7.0158991779796231E-3</v>
      </c>
      <c r="I25" s="62">
        <f>IFERROR(Inv_SY_B!I25/Inv_SY_B!$IS25-1,"")</f>
        <v>3.4662227437838311E-3</v>
      </c>
      <c r="J25" s="62">
        <f>IFERROR(Inv_SY_B!J25/Inv_SY_B!$IS25-1,"")</f>
        <v>6.1967430777805088E-3</v>
      </c>
      <c r="K25" s="62">
        <f>IFERROR(Inv_SY_B!K25/Inv_SY_B!$IS25-1,"")</f>
        <v>9.5935103732724958E-3</v>
      </c>
      <c r="L25" s="62">
        <f>IFERROR(Inv_SY_B!L25/Inv_SY_B!$IS25-1,"")</f>
        <v>1.6146759174864522E-2</v>
      </c>
      <c r="M25" s="62">
        <f>IFERROR(Inv_SY_B!M25/Inv_SY_B!$IS25-1,"")</f>
        <v>2.1009625767856033E-3</v>
      </c>
      <c r="N25" s="62">
        <f>IFERROR(Inv_SY_B!N25/Inv_SY_B!$IS25-1,"")</f>
        <v>1.1657783745773864E-2</v>
      </c>
      <c r="O25" s="62">
        <f>IFERROR(Inv_SY_B!O25/Inv_SY_B!$IS25-1,"")</f>
        <v>1.739187644716722E-2</v>
      </c>
      <c r="P25" s="62">
        <f>IFERROR(Inv_SY_B!P25/Inv_SY_B!$IS25-1,"")</f>
        <v>1.5753564246768992E-2</v>
      </c>
      <c r="Q25" s="62">
        <f>IFERROR(Inv_SY_B!Q25/Inv_SY_B!$IS25-1,"")</f>
        <v>-3.3600780912077521E-3</v>
      </c>
      <c r="R25" s="62">
        <f>IFERROR(Inv_SY_B!R25/Inv_SY_B!$IS25-1,"")</f>
        <v>-1.2916899260196124E-2</v>
      </c>
      <c r="S25" s="62">
        <f>IFERROR(Inv_SY_B!S25/Inv_SY_B!$IS25-1,"")</f>
        <v>-3.4966041079076415E-3</v>
      </c>
      <c r="T25" s="62">
        <f>IFERROR(Inv_SY_B!T25/Inv_SY_B!$IS25-1,"")</f>
        <v>6.8793731612799558E-3</v>
      </c>
      <c r="U25" s="62">
        <f>IFERROR(Inv_SY_B!U25/Inv_SY_B!$IS25-1,"")</f>
        <v>8.8222433989313398E-3</v>
      </c>
      <c r="V25" s="62">
        <f>IFERROR(Inv_SY_B!V25/Inv_SY_B!$IS25-1,"")</f>
        <v>1.1216699691820597E-2</v>
      </c>
      <c r="W25" s="62">
        <f>IFERROR(Inv_SY_B!W25/Inv_SY_B!$IS25-1,"")</f>
        <v>2.1009625767856033E-3</v>
      </c>
      <c r="X25" s="62">
        <f>IFERROR(Inv_SY_B!X25/Inv_SY_B!$IS25-1,"")</f>
        <v>-2.7115604996978959E-2</v>
      </c>
      <c r="Y25" s="62">
        <f>IFERROR(Inv_SY_B!Y25/Inv_SY_B!$IS25-1,"")</f>
        <v>-4.4102782196681067E-3</v>
      </c>
      <c r="Z25" s="62">
        <f>IFERROR(Inv_SY_B!Z25/Inv_SY_B!$IS25-1,"")</f>
        <v>-1.7012679761191252E-2</v>
      </c>
      <c r="AA25" s="62">
        <f>IFERROR(Inv_SY_B!AA25/Inv_SY_B!$IS25-1,"")</f>
        <v>-4.4102782196681067E-3</v>
      </c>
      <c r="AB25" s="62">
        <f>IFERROR(Inv_SY_B!AB25/Inv_SY_B!$IS25-1,"")</f>
        <v>1.0964651660990254E-2</v>
      </c>
      <c r="AC25" s="62">
        <f>IFERROR(Inv_SY_B!AC25/Inv_SY_B!$IS25-1,"")</f>
        <v>6.0497150597962346E-3</v>
      </c>
      <c r="AD25" s="62">
        <f>IFERROR(Inv_SY_B!AD25/Inv_SY_B!$IS25-1,"")</f>
        <v>5.1955522886484307E-3</v>
      </c>
      <c r="AE25" s="62">
        <f>IFERROR(Inv_SY_B!AE25/Inv_SY_B!$IS25-1,"")</f>
        <v>3.3752053993172382E-3</v>
      </c>
      <c r="AF25" s="62">
        <f>IFERROR(Inv_SY_B!AF25/Inv_SY_B!$IS25-1,"")</f>
        <v>3.7392747771836099E-3</v>
      </c>
      <c r="AG25" s="62">
        <f>IFERROR(Inv_SY_B!AG25/Inv_SY_B!$IS25-1,"")</f>
        <v>1.235558338668441E-2</v>
      </c>
      <c r="AH25" s="62">
        <f>IFERROR(Inv_SY_B!AH25/Inv_SY_B!$IS25-1,"")</f>
        <v>1.4335020506974772E-3</v>
      </c>
      <c r="AI25" s="62">
        <f>IFERROR(Inv_SY_B!AI25/Inv_SY_B!$IS25-1,"")</f>
        <v>-2.9797504037292533E-2</v>
      </c>
      <c r="AJ25" s="62">
        <f>IFERROR(Inv_SY_B!AJ25/Inv_SY_B!$IS25-1,"")</f>
        <v>2.4286576639471757E-3</v>
      </c>
      <c r="AK25" s="62">
        <f>IFERROR(Inv_SY_B!AK25/Inv_SY_B!$IS25-1,"")</f>
        <v>-1.5647419594192913E-2</v>
      </c>
      <c r="AL25" s="62">
        <f>IFERROR(Inv_SY_B!AL25/Inv_SY_B!$IS25-1,"")</f>
        <v>-1.2161872476640356E-2</v>
      </c>
      <c r="AM25" s="62">
        <f>IFERROR(Inv_SY_B!AM25/Inv_SY_B!$IS25-1,"")</f>
        <v>-1.7217658908097455E-3</v>
      </c>
      <c r="AN25" s="62">
        <f>IFERROR(Inv_SY_B!AN25/Inv_SY_B!$IS25-1,"")</f>
        <v>-3.0665281431174751E-2</v>
      </c>
      <c r="AO25" s="62">
        <f>IFERROR(Inv_SY_B!AO25/Inv_SY_B!$IS25-1,"")</f>
        <v>-1.5647419594192913E-2</v>
      </c>
      <c r="AP25" s="62">
        <f>IFERROR(Inv_SY_B!AP25/Inv_SY_B!$IS25-1,"")</f>
        <v>-6.0905984252045409E-3</v>
      </c>
      <c r="AQ25" s="62">
        <f>IFERROR(Inv_SY_B!AQ25/Inv_SY_B!$IS25-1,"")</f>
        <v>-1.1551639093197896E-2</v>
      </c>
      <c r="AR25" s="62">
        <f>IFERROR(Inv_SY_B!AR25/Inv_SY_B!$IS25-1,"")</f>
        <v>-3.3600780912077521E-3</v>
      </c>
      <c r="AS25" s="62">
        <f>IFERROR(Inv_SY_B!AS25/Inv_SY_B!$IS25-1,"")</f>
        <v>-1.5647419594192913E-2</v>
      </c>
      <c r="AT25" s="62">
        <f>IFERROR(Inv_SY_B!AT25/Inv_SY_B!$IS25-1,"")</f>
        <v>-3.0665281431174751E-2</v>
      </c>
      <c r="AU25" s="62">
        <f>IFERROR(Inv_SY_B!AU25/Inv_SY_B!$IS25-1,"")</f>
        <v>-4.725338258206202E-3</v>
      </c>
      <c r="AV25" s="62">
        <f>IFERROR(Inv_SY_B!AV25/Inv_SY_B!$IS25-1,"")</f>
        <v>-1.25073212100969E-2</v>
      </c>
      <c r="AW25" s="62">
        <f>IFERROR(Inv_SY_B!AW25/Inv_SY_B!$IS25-1,"")</f>
        <v>-1.8897979113634555E-3</v>
      </c>
      <c r="AX25" s="62">
        <f>IFERROR(Inv_SY_B!AX25/Inv_SY_B!$IS25-1,"")</f>
        <v>-2.588687084668051E-2</v>
      </c>
      <c r="AY25" s="62">
        <f>IFERROR(Inv_SY_B!AY25/Inv_SY_B!$IS25-1,"")</f>
        <v>-1.5702030000872891E-2</v>
      </c>
      <c r="AZ25" s="62">
        <f>IFERROR(Inv_SY_B!AZ25/Inv_SY_B!$IS25-1,"")</f>
        <v>-1.0459430959599336E-2</v>
      </c>
      <c r="BA25" s="62">
        <f>IFERROR(Inv_SY_B!BA25/Inv_SY_B!$IS25-1,"")</f>
        <v>-1.4282159427194574E-2</v>
      </c>
      <c r="BB25" s="62">
        <f>IFERROR(Inv_SY_B!BB25/Inv_SY_B!$IS25-1,"")</f>
        <v>-1.7695309844690477E-2</v>
      </c>
      <c r="BC25" s="62">
        <f>IFERROR(Inv_SY_B!BC25/Inv_SY_B!$IS25-1,"")</f>
        <v>-2.4499046465422669E-3</v>
      </c>
      <c r="BD25" s="62">
        <f>IFERROR(Inv_SY_B!BD25/Inv_SY_B!$IS25-1,"")</f>
        <v>-1.8833026650522444E-2</v>
      </c>
      <c r="BE25" s="62">
        <f>IFERROR(Inv_SY_B!BE25/Inv_SY_B!$IS25-1,"")</f>
        <v>-2.0793400223648284E-2</v>
      </c>
      <c r="BF25" s="62">
        <f>IFERROR(Inv_SY_B!BF25/Inv_SY_B!$IS25-1,"")</f>
        <v>-3.6634692394296176E-3</v>
      </c>
      <c r="BG25" s="62">
        <f>IFERROR(Inv_SY_B!BG25/Inv_SY_B!$IS25-1,"")</f>
        <v>7.8653943930007131E-3</v>
      </c>
      <c r="BH25" s="62">
        <f>IFERROR(Inv_SY_B!BH25/Inv_SY_B!$IS25-1,"")</f>
        <v>1.4183324932863783E-3</v>
      </c>
      <c r="BI25" s="62">
        <f>IFERROR(Inv_SY_B!BI25/Inv_SY_B!$IS25-1,"")</f>
        <v>-6.0905984252045409E-3</v>
      </c>
      <c r="BJ25" s="62">
        <f>IFERROR(Inv_SY_B!BJ25/Inv_SY_B!$IS25-1,"")</f>
        <v>-2.2775460767343603E-5</v>
      </c>
      <c r="BK25" s="62">
        <f>IFERROR(Inv_SY_B!BK25/Inv_SY_B!$IS25-1,"")</f>
        <v>-1.223426917669701E-2</v>
      </c>
      <c r="BL25" s="62">
        <f>IFERROR(Inv_SY_B!BL25/Inv_SY_B!$IS25-1,"")</f>
        <v>8.0827113713692889E-3</v>
      </c>
      <c r="BM25" s="62">
        <f>IFERROR(Inv_SY_B!BM25/Inv_SY_B!$IS25-1,"")</f>
        <v>-9.3672228260005541E-3</v>
      </c>
      <c r="BN25" s="62">
        <f>IFERROR(Inv_SY_B!BN25/Inv_SY_B!$IS25-1,"")</f>
        <v>1.0138902181098253E-3</v>
      </c>
      <c r="BO25" s="62">
        <f>IFERROR(Inv_SY_B!BO25/Inv_SY_B!$IS25-1,"")</f>
        <v>3.2010662235333776E-2</v>
      </c>
      <c r="BP25" s="62">
        <f>IFERROR(Inv_SY_B!BP25/Inv_SY_B!$IS25-1,"")</f>
        <v>2.7347773664970321E-2</v>
      </c>
      <c r="BQ25" s="62">
        <f>IFERROR(Inv_SY_B!BQ25/Inv_SY_B!$IS25-1,"")</f>
        <v>2.6087533510818162E-2</v>
      </c>
      <c r="BR25" s="62">
        <f>IFERROR(Inv_SY_B!BR25/Inv_SY_B!$IS25-1,"")</f>
        <v>1.386320401554042E-2</v>
      </c>
      <c r="BS25" s="62">
        <f>IFERROR(Inv_SY_B!BS25/Inv_SY_B!$IS25-1,"")</f>
        <v>2.462775533225825E-2</v>
      </c>
      <c r="BT25" s="62">
        <f>IFERROR(Inv_SY_B!BT25/Inv_SY_B!$IS25-1,"")</f>
        <v>1.9849344747764119E-2</v>
      </c>
      <c r="BU25" s="62">
        <f>IFERROR(Inv_SY_B!BU25/Inv_SY_B!$IS25-1,"")</f>
        <v>2.4081651265458914E-2</v>
      </c>
      <c r="BV25" s="62">
        <f>IFERROR(Inv_SY_B!BV25/Inv_SY_B!$IS25-1,"")</f>
        <v>1.9303240680964784E-2</v>
      </c>
      <c r="BW25" s="62">
        <f>IFERROR(Inv_SY_B!BW25/Inv_SY_B!$IS25-1,"")</f>
        <v>4.2512663519936655E-2</v>
      </c>
      <c r="BX25" s="62">
        <f>IFERROR(Inv_SY_B!BX25/Inv_SY_B!$IS25-1,"")</f>
        <v>2.9679217950152159E-2</v>
      </c>
      <c r="BY25" s="62">
        <f>IFERROR(Inv_SY_B!BY25/Inv_SY_B!$IS25-1,"")</f>
        <v>2.6190219745600762E-2</v>
      </c>
      <c r="BZ25" s="62">
        <f>IFERROR(Inv_SY_B!BZ25/Inv_SY_B!$IS25-1,"")</f>
        <v>1.6360346543212723E-2</v>
      </c>
      <c r="CA25" s="62">
        <f>IFERROR(Inv_SY_B!CA25/Inv_SY_B!$IS25-1,"")</f>
        <v>2.9830913524263147E-2</v>
      </c>
      <c r="CB25" s="62">
        <f>IFERROR(Inv_SY_B!CB25/Inv_SY_B!$IS25-1,"")</f>
        <v>2.0668500847963234E-2</v>
      </c>
      <c r="CC25" s="62">
        <f>IFERROR(Inv_SY_B!CC25/Inv_SY_B!$IS25-1,"")</f>
        <v>9.6098934952766335E-3</v>
      </c>
      <c r="CD25" s="62">
        <f>IFERROR(Inv_SY_B!CD25/Inv_SY_B!$IS25-1,"")</f>
        <v>3.402704648197763E-2</v>
      </c>
      <c r="CE25" s="62">
        <f>IFERROR(Inv_SY_B!CE25/Inv_SY_B!$IS25-1,"")</f>
        <v>1.2340413829273089E-2</v>
      </c>
      <c r="CF25" s="62">
        <f>IFERROR(Inv_SY_B!CF25/Inv_SY_B!$IS25-1,"")</f>
        <v>2.5583437449157254E-2</v>
      </c>
      <c r="CG25" s="62">
        <f>IFERROR(Inv_SY_B!CG25/Inv_SY_B!$IS25-1,"")</f>
        <v>-4.725338258206202E-3</v>
      </c>
      <c r="CH25" s="62">
        <f>IFERROR(Inv_SY_B!CH25/Inv_SY_B!$IS25-1,"")</f>
        <v>2.9133113883352824E-2</v>
      </c>
      <c r="CI25" s="62">
        <f>IFERROR(Inv_SY_B!CI25/Inv_SY_B!$IS25-1,"")</f>
        <v>8.5176853616779624E-3</v>
      </c>
      <c r="CJ25" s="62">
        <f>IFERROR(Inv_SY_B!CJ25/Inv_SY_B!$IS25-1,"")</f>
        <v>2.2579865081760797E-2</v>
      </c>
      <c r="CK25" s="62">
        <f>IFERROR(Inv_SY_B!CK25/Inv_SY_B!$IS25-1,"")</f>
        <v>1.3023043912772314E-2</v>
      </c>
      <c r="CL25" s="62">
        <f>IFERROR(Inv_SY_B!CL25/Inv_SY_B!$IS25-1,"")</f>
        <v>6.606321127879955E-3</v>
      </c>
      <c r="CM25" s="62">
        <f>IFERROR(Inv_SY_B!CM25/Inv_SY_B!$IS25-1,"")</f>
        <v>2.1897234998261572E-2</v>
      </c>
      <c r="CN25" s="62">
        <f>IFERROR(Inv_SY_B!CN25/Inv_SY_B!$IS25-1,"")</f>
        <v>1.1930835779173865E-2</v>
      </c>
      <c r="CO25" s="62">
        <f>IFERROR(Inv_SY_B!CO25/Inv_SY_B!$IS25-1,"")</f>
        <v>-1.6357354881032071E-2</v>
      </c>
      <c r="CP25" s="62">
        <f>IFERROR(Inv_SY_B!CP25/Inv_SY_B!$IS25-1,"")</f>
        <v>2.2558861079191583E-2</v>
      </c>
      <c r="CQ25" s="62">
        <f>IFERROR(Inv_SY_B!CQ25/Inv_SY_B!$IS25-1,"")</f>
        <v>3.3092368367648062E-2</v>
      </c>
      <c r="CR25" s="62">
        <f>IFERROR(Inv_SY_B!CR25/Inv_SY_B!$IS25-1,"")</f>
        <v>-1.3121878407101883E-3</v>
      </c>
      <c r="CS25" s="62">
        <f>IFERROR(Inv_SY_B!CS25/Inv_SY_B!$IS25-1,"")</f>
        <v>2.1821387211206078E-2</v>
      </c>
      <c r="CT25" s="62">
        <f>IFERROR(Inv_SY_B!CT25/Inv_SY_B!$IS25-1,"")</f>
        <v>-1.4282159427194574E-2</v>
      </c>
      <c r="CU25" s="62">
        <f>IFERROR(Inv_SY_B!CU25/Inv_SY_B!$IS25-1,"")</f>
        <v>-6.0905984252045409E-3</v>
      </c>
      <c r="CV25" s="62">
        <f>IFERROR(Inv_SY_B!CV25/Inv_SY_B!$IS25-1,"")</f>
        <v>-1.5647419594192913E-2</v>
      </c>
      <c r="CW25" s="62">
        <f>IFERROR(Inv_SY_B!CW25/Inv_SY_B!$IS25-1,"")</f>
        <v>-8.8211187592012186E-3</v>
      </c>
      <c r="CX25" s="62">
        <f>IFERROR(Inv_SY_B!CX25/Inv_SY_B!$IS25-1,"")</f>
        <v>-7.4558585922027687E-3</v>
      </c>
      <c r="CY25" s="62">
        <f>IFERROR(Inv_SY_B!CY25/Inv_SY_B!$IS25-1,"")</f>
        <v>-1.5647419594192913E-2</v>
      </c>
      <c r="CZ25" s="62">
        <f>IFERROR(Inv_SY_B!CZ25/Inv_SY_B!$IS25-1,"")</f>
        <v>7.357024097871534E-4</v>
      </c>
      <c r="DA25" s="62">
        <f>IFERROR(Inv_SY_B!DA25/Inv_SY_B!$IS25-1,"")</f>
        <v>-6.2955775721107443E-4</v>
      </c>
      <c r="DB25" s="62">
        <f>IFERROR(Inv_SY_B!DB25/Inv_SY_B!$IS25-1,"")</f>
        <v>-1.8377939928189591E-2</v>
      </c>
      <c r="DC25" s="62">
        <f>IFERROR(Inv_SY_B!DC25/Inv_SY_B!$IS25-1,"")</f>
        <v>-1.1149835943661257E-3</v>
      </c>
      <c r="DD25" s="62">
        <f>IFERROR(Inv_SY_B!DD25/Inv_SY_B!$IS25-1,"")</f>
        <v>-4.9303174051129606E-4</v>
      </c>
      <c r="DE25" s="62">
        <f>IFERROR(Inv_SY_B!DE25/Inv_SY_B!$IS25-1,"")</f>
        <v>-1.7134036220480042E-2</v>
      </c>
      <c r="DF25" s="62">
        <f>IFERROR(Inv_SY_B!DF25/Inv_SY_B!$IS25-1,"")</f>
        <v>1.1619415778551634E-2</v>
      </c>
      <c r="DG25" s="62">
        <f>IFERROR(Inv_SY_B!DG25/Inv_SY_B!$IS25-1,"")</f>
        <v>-6.0905984252045409E-3</v>
      </c>
      <c r="DH25" s="62">
        <f>IFERROR(Inv_SY_B!DH25/Inv_SY_B!$IS25-1,"")</f>
        <v>7.9867508522895037E-3</v>
      </c>
      <c r="DI25" s="62">
        <f>IFERROR(Inv_SY_B!DI25/Inv_SY_B!$IS25-1,"")</f>
        <v>-1.0081358913353489E-2</v>
      </c>
      <c r="DJ25" s="62">
        <f>IFERROR(Inv_SY_B!DJ25/Inv_SY_B!$IS25-1,"")</f>
        <v>-2.3938939730242526E-3</v>
      </c>
      <c r="DK25" s="62">
        <f>IFERROR(Inv_SY_B!DK25/Inv_SY_B!$IS25-1,"")</f>
        <v>-2.4499046465422669E-3</v>
      </c>
      <c r="DL25" s="62">
        <f>IFERROR(Inv_SY_B!DL25/Inv_SY_B!$IS25-1,"")</f>
        <v>-2.2775460767343603E-5</v>
      </c>
      <c r="DM25" s="62">
        <f>IFERROR(Inv_SY_B!DM25/Inv_SY_B!$IS25-1,"")</f>
        <v>-1.7012679761191252E-2</v>
      </c>
      <c r="DN25" s="62">
        <f>IFERROR(Inv_SY_B!DN25/Inv_SY_B!$IS25-1,"")</f>
        <v>-8.3453690411849912E-5</v>
      </c>
      <c r="DO25" s="62">
        <f>IFERROR(Inv_SY_B!DO25/Inv_SY_B!$IS25-1,"")</f>
        <v>-1.4844889613123691E-2</v>
      </c>
      <c r="DP25" s="62">
        <f>IFERROR(Inv_SY_B!DP25/Inv_SY_B!$IS25-1,"")</f>
        <v>-1.4585550575416439E-2</v>
      </c>
      <c r="DQ25" s="62">
        <f>IFERROR(Inv_SY_B!DQ25/Inv_SY_B!$IS25-1,"")</f>
        <v>1.0899305875219367E-2</v>
      </c>
      <c r="DR25" s="62">
        <f>IFERROR(Inv_SY_B!DR25/Inv_SY_B!$IS25-1,"")</f>
        <v>-2.5409219910088598E-3</v>
      </c>
      <c r="DS25" s="62">
        <f>IFERROR(Inv_SY_B!DS25/Inv_SY_B!$IS25-1,"")</f>
        <v>2.7835926602848282E-3</v>
      </c>
      <c r="DT25" s="62">
        <f>IFERROR(Inv_SY_B!DT25/Inv_SY_B!$IS25-1,"")</f>
        <v>-6.0905984252045409E-3</v>
      </c>
      <c r="DU25" s="62">
        <f>IFERROR(Inv_SY_B!DU25/Inv_SY_B!$IS25-1,"")</f>
        <v>-2.2775460767343603E-5</v>
      </c>
      <c r="DV25" s="62">
        <f>IFERROR(Inv_SY_B!DV25/Inv_SY_B!$IS25-1,"")</f>
        <v>-5.2714423250055376E-3</v>
      </c>
      <c r="DW25" s="62">
        <f>IFERROR(Inv_SY_B!DW25/Inv_SY_B!$IS25-1,"")</f>
        <v>-2.6979078980279181E-2</v>
      </c>
      <c r="DX25" s="62">
        <f>IFERROR(Inv_SY_B!DX25/Inv_SY_B!$IS25-1,"")</f>
        <v>-1.8431223500984251E-3</v>
      </c>
      <c r="DY25" s="62">
        <f>IFERROR(Inv_SY_B!DY25/Inv_SY_B!$IS25-1,"")</f>
        <v>-1.7558783827990587E-2</v>
      </c>
      <c r="DZ25" s="62">
        <f>IFERROR(Inv_SY_B!DZ25/Inv_SY_B!$IS25-1,"")</f>
        <v>-1.4282159427194574E-2</v>
      </c>
      <c r="EA25" s="62">
        <f>IFERROR(Inv_SY_B!EA25/Inv_SY_B!$IS25-1,"")</f>
        <v>-1.5799115168303901E-2</v>
      </c>
      <c r="EB25" s="62">
        <f>IFERROR(Inv_SY_B!EB25/Inv_SY_B!$IS25-1,"")</f>
        <v>-2.320185918491724E-2</v>
      </c>
      <c r="EC25" s="62">
        <f>IFERROR(Inv_SY_B!EC25/Inv_SY_B!$IS25-1,"")</f>
        <v>-2.9615081302714508E-2</v>
      </c>
      <c r="ED25" s="62">
        <f>IFERROR(Inv_SY_B!ED25/Inv_SY_B!$IS25-1,"")</f>
        <v>4.411402859398228E-3</v>
      </c>
      <c r="EE25" s="62">
        <f>IFERROR(Inv_SY_B!EE25/Inv_SY_B!$IS25-1,"")</f>
        <v>1.6509708339260465E-2</v>
      </c>
      <c r="EF25" s="62">
        <f>IFERROR(Inv_SY_B!EF25/Inv_SY_B!$IS25-1,"")</f>
        <v>2.0221688429672646E-2</v>
      </c>
      <c r="EG25" s="62">
        <f>IFERROR(Inv_SY_B!EG25/Inv_SY_B!$IS25-1,"")</f>
        <v>-5.8423693039321156E-3</v>
      </c>
      <c r="EH25" s="62">
        <f>IFERROR(Inv_SY_B!EH25/Inv_SY_B!$IS25-1,"")</f>
        <v>-1.2597542948405316E-2</v>
      </c>
      <c r="EI25" s="62">
        <f>IFERROR(Inv_SY_B!EI25/Inv_SY_B!$IS25-1,"")</f>
        <v>-1.7313418888886711E-2</v>
      </c>
      <c r="EJ25" s="62">
        <f>IFERROR(Inv_SY_B!EJ25/Inv_SY_B!$IS25-1,"")</f>
        <v>-4.5678082389370989E-3</v>
      </c>
      <c r="EK25" s="62">
        <f>IFERROR(Inv_SY_B!EK25/Inv_SY_B!$IS25-1,"")</f>
        <v>-5.2168319183255596E-3</v>
      </c>
      <c r="EL25" s="62">
        <f>IFERROR(Inv_SY_B!EL25/Inv_SY_B!$IS25-1,"")</f>
        <v>4.831482910782281E-3</v>
      </c>
      <c r="EM25" s="62">
        <f>IFERROR(Inv_SY_B!EM25/Inv_SY_B!$IS25-1,"")</f>
        <v>-1.1336538188719825E-3</v>
      </c>
      <c r="EN25" s="62">
        <f>IFERROR(Inv_SY_B!EN25/Inv_SY_B!$IS25-1,"")</f>
        <v>-1.2475815206242968E-2</v>
      </c>
      <c r="EO25" s="62">
        <f>IFERROR(Inv_SY_B!EO25/Inv_SY_B!$IS25-1,"")</f>
        <v>5.5141129942815059E-3</v>
      </c>
      <c r="EP25" s="62">
        <f>IFERROR(Inv_SY_B!EP25/Inv_SY_B!$IS25-1,"")</f>
        <v>2.5261035069568116E-4</v>
      </c>
      <c r="EQ25" s="62">
        <f>IFERROR(Inv_SY_B!EQ25/Inv_SY_B!$IS25-1,"")</f>
        <v>-1.0186378926199446E-2</v>
      </c>
      <c r="ER25" s="62">
        <f>IFERROR(Inv_SY_B!ER25/Inv_SY_B!$IS25-1,"")</f>
        <v>1.0964651660990254E-2</v>
      </c>
      <c r="ES25" s="62">
        <f>IFERROR(Inv_SY_B!ES25/Inv_SY_B!$IS25-1,"")</f>
        <v>1.0292523578775636E-2</v>
      </c>
      <c r="ET25" s="62">
        <f>IFERROR(Inv_SY_B!ET25/Inv_SY_B!$IS25-1,"")</f>
        <v>-1.7012679761191252E-2</v>
      </c>
      <c r="EU25" s="62">
        <f>IFERROR(Inv_SY_B!EU25/Inv_SY_B!$IS25-1,"")</f>
        <v>1.9156212662980288E-2</v>
      </c>
      <c r="EV25" s="62">
        <f>IFERROR(Inv_SY_B!EV25/Inv_SY_B!$IS25-1,"")</f>
        <v>-4.4102782196681067E-3</v>
      </c>
      <c r="EW25" s="62">
        <f>IFERROR(Inv_SY_B!EW25/Inv_SY_B!$IS25-1,"")</f>
        <v>-3.1500380655157256E-3</v>
      </c>
      <c r="EX25" s="62">
        <f>IFERROR(Inv_SY_B!EX25/Inv_SY_B!$IS25-1,"")</f>
        <v>-6.0905984252045409E-3</v>
      </c>
      <c r="EY25" s="62">
        <f>IFERROR(Inv_SY_B!EY25/Inv_SY_B!$IS25-1,"")</f>
        <v>-1.0459430959599336E-2</v>
      </c>
      <c r="EZ25" s="62">
        <f>IFERROR(Inv_SY_B!EZ25/Inv_SY_B!$IS25-1,"")</f>
        <v>-1.2916899260196124E-2</v>
      </c>
      <c r="FA25" s="62">
        <f>IFERROR(Inv_SY_B!FA25/Inv_SY_B!$IS25-1,"")</f>
        <v>7.357024097871534E-4</v>
      </c>
      <c r="FB25" s="62">
        <f>IFERROR(Inv_SY_B!FB25/Inv_SY_B!$IS25-1,"")</f>
        <v>5.6506390109811733E-3</v>
      </c>
      <c r="FC25" s="62">
        <f>IFERROR(Inv_SY_B!FC25/Inv_SY_B!$IS25-1,"")</f>
        <v>1.2818064765864889E-3</v>
      </c>
      <c r="FD25" s="62">
        <f>IFERROR(Inv_SY_B!FD25/Inv_SY_B!$IS25-1,"")</f>
        <v>1.5207460179969878E-2</v>
      </c>
      <c r="FE25" s="62">
        <f>IFERROR(Inv_SY_B!FE25/Inv_SY_B!$IS25-1,"")</f>
        <v>2.4422776185351047E-3</v>
      </c>
      <c r="FF25" s="62">
        <f>IFERROR(Inv_SY_B!FF25/Inv_SY_B!$IS25-1,"")</f>
        <v>-5.8423693039321156E-3</v>
      </c>
      <c r="FG25" s="62">
        <f>IFERROR(Inv_SY_B!FG25/Inv_SY_B!$IS25-1,"")</f>
        <v>-1.9343275399804627E-2</v>
      </c>
      <c r="FH25" s="62">
        <f>IFERROR(Inv_SY_B!FH25/Inv_SY_B!$IS25-1,"")</f>
        <v>-1.7000458426984499E-3</v>
      </c>
      <c r="FI25" s="62">
        <f>IFERROR(Inv_SY_B!FI25/Inv_SY_B!$IS25-1,"")</f>
        <v>-4.6150142043073217E-3</v>
      </c>
      <c r="FJ25" s="62">
        <f>IFERROR(Inv_SY_B!FJ25/Inv_SY_B!$IS25-1,"")</f>
        <v>-1.688856520055515E-2</v>
      </c>
      <c r="FK25" s="62">
        <f>IFERROR(Inv_SY_B!FK25/Inv_SY_B!$IS25-1,"")</f>
        <v>-1.6693619652078384E-3</v>
      </c>
      <c r="FL25" s="62">
        <f>IFERROR(Inv_SY_B!FL25/Inv_SY_B!$IS25-1,"")</f>
        <v>-1.7772260872285006E-2</v>
      </c>
      <c r="FM25" s="62">
        <f>IFERROR(Inv_SY_B!FM25/Inv_SY_B!$IS25-1,"")</f>
        <v>2.0392345950547508E-2</v>
      </c>
      <c r="FN25" s="62">
        <f>IFERROR(Inv_SY_B!FN25/Inv_SY_B!$IS25-1,"")</f>
        <v>-3.038947129642755E-2</v>
      </c>
      <c r="FO25" s="62">
        <f>IFERROR(Inv_SY_B!FO25/Inv_SY_B!$IS25-1,"")</f>
        <v>-1.2193931944490255E-2</v>
      </c>
      <c r="FP25" s="62">
        <f>IFERROR(Inv_SY_B!FP25/Inv_SY_B!$IS25-1,"")</f>
        <v>-2.5725521917853378E-2</v>
      </c>
      <c r="FQ25" s="62">
        <f>IFERROR(Inv_SY_B!FQ25/Inv_SY_B!$IS25-1,"")</f>
        <v>7.8534823404186049E-4</v>
      </c>
      <c r="FR25" s="62">
        <f>IFERROR(Inv_SY_B!FR25/Inv_SY_B!$IS25-1,"")</f>
        <v>-2.2146554447347477E-2</v>
      </c>
      <c r="FS25" s="62">
        <f>IFERROR(Inv_SY_B!FS25/Inv_SY_B!$IS25-1,"")</f>
        <v>-2.7934761097178074E-2</v>
      </c>
      <c r="FT25" s="62">
        <f>IFERROR(Inv_SY_B!FT25/Inv_SY_B!$IS25-1,"")</f>
        <v>-2.0423347887474352E-2</v>
      </c>
      <c r="FU25" s="62">
        <f>IFERROR(Inv_SY_B!FU25/Inv_SY_B!$IS25-1,"")</f>
        <v>-1.922053988984207E-2</v>
      </c>
      <c r="FV25" s="62">
        <f>IFERROR(Inv_SY_B!FV25/Inv_SY_B!$IS25-1,"")</f>
        <v>-4.4615948168542641E-3</v>
      </c>
      <c r="FW25" s="62">
        <f>IFERROR(Inv_SY_B!FW25/Inv_SY_B!$IS25-1,"")</f>
        <v>-1.7000458426984499E-3</v>
      </c>
      <c r="FX25" s="62">
        <f>IFERROR(Inv_SY_B!FX25/Inv_SY_B!$IS25-1,"")</f>
        <v>6.5846010797687704E-3</v>
      </c>
      <c r="FY25" s="62">
        <f>IFERROR(Inv_SY_B!FY25/Inv_SY_B!$IS25-1,"")</f>
        <v>-1.688856520055515E-2</v>
      </c>
      <c r="FZ25" s="62">
        <f>IFERROR(Inv_SY_B!FZ25/Inv_SY_B!$IS25-1,"")</f>
        <v>-4.4615948168542641E-3</v>
      </c>
      <c r="GA25" s="62">
        <f>IFERROR(Inv_SY_B!GA25/Inv_SY_B!$IS25-1,"")</f>
        <v>-1.2215174628906977E-2</v>
      </c>
      <c r="GB25" s="62">
        <f>IFERROR(Inv_SY_B!GB25/Inv_SY_B!$IS25-1,"")</f>
        <v>-1.688856520055515E-2</v>
      </c>
      <c r="GC25" s="62">
        <f>IFERROR(Inv_SY_B!GC25/Inv_SY_B!$IS25-1,"")</f>
        <v>-7.0697244035567985E-3</v>
      </c>
      <c r="GD25" s="62">
        <f>IFERROR(Inv_SY_B!GD25/Inv_SY_B!$IS25-1,"")</f>
        <v>-2.793619236464151E-3</v>
      </c>
      <c r="GE25" s="62">
        <f>IFERROR(Inv_SY_B!GE25/Inv_SY_B!$IS25-1,"")</f>
        <v>-1.7313418888886711E-2</v>
      </c>
      <c r="GF25" s="62">
        <f>IFERROR(Inv_SY_B!GF25/Inv_SY_B!$IS25-1,"")</f>
        <v>-2.9162116196802756E-2</v>
      </c>
      <c r="GG25" s="62">
        <f>IFERROR(Inv_SY_B!GG25/Inv_SY_B!$IS25-1,"")</f>
        <v>-2.439997841025876E-2</v>
      </c>
      <c r="GH25" s="62">
        <f>IFERROR(Inv_SY_B!GH25/Inv_SY_B!$IS25-1,"")</f>
        <v>-2.7051065425448217E-2</v>
      </c>
      <c r="GI25" s="62">
        <f>IFERROR(Inv_SY_B!GI25/Inv_SY_B!$IS25-1,"")</f>
        <v>-1.5121173857095438E-2</v>
      </c>
      <c r="GJ25" s="62">
        <f>IFERROR(Inv_SY_B!GJ25/Inv_SY_B!$IS25-1,"")</f>
        <v>-1.094061356391185E-2</v>
      </c>
      <c r="GK25" s="62">
        <f>IFERROR(Inv_SY_B!GK25/Inv_SY_B!$IS25-1,"")</f>
        <v>-1.0675080008704652E-2</v>
      </c>
      <c r="GL25" s="62">
        <f>IFERROR(Inv_SY_B!GL25/Inv_SY_B!$IS25-1,"")</f>
        <v>-1.4955480918646069E-2</v>
      </c>
      <c r="GM25" s="62">
        <f>IFERROR(Inv_SY_B!GM25/Inv_SY_B!$IS25-1,"")</f>
        <v>-1.7000458426984499E-3</v>
      </c>
      <c r="GN25" s="62">
        <f>IFERROR(Inv_SY_B!GN25/Inv_SY_B!$IS25-1,"")</f>
        <v>1.0615031314571421E-3</v>
      </c>
      <c r="GO25" s="62">
        <f>IFERROR(Inv_SY_B!GO25/Inv_SY_B!$IS25-1,"")</f>
        <v>-2.144512100791196E-2</v>
      </c>
      <c r="GP25" s="62">
        <f>IFERROR(Inv_SY_B!GP25/Inv_SY_B!$IS25-1,"")</f>
        <v>-7.2231437910098562E-3</v>
      </c>
      <c r="GQ25" s="62">
        <f>IFERROR(Inv_SY_B!GQ25/Inv_SY_B!$IS25-1,"")</f>
        <v>-5.8423693039321156E-3</v>
      </c>
      <c r="GR25" s="62">
        <f>IFERROR(Inv_SY_B!GR25/Inv_SY_B!$IS25-1,"")</f>
        <v>-1.7000458426984499E-3</v>
      </c>
      <c r="GS25" s="62" t="str">
        <f>IFERROR(Inv_SY_B!GS25/Inv_SY_B!$IS25-1,"")</f>
        <v/>
      </c>
      <c r="GT25" s="62" t="str">
        <f>IFERROR(Inv_SY_B!GT25/Inv_SY_B!$IS25-1,"")</f>
        <v/>
      </c>
      <c r="GU25" s="62">
        <f>IFERROR(Inv_SY_B!GU25/Inv_SY_B!$IS25-1,"")</f>
        <v>4.4200687040399256E-2</v>
      </c>
      <c r="GV25" s="62">
        <f>IFERROR(Inv_SY_B!GV25/Inv_SY_B!$IS25-1,"")</f>
        <v>-2.273464404313863E-3</v>
      </c>
      <c r="GW25" s="62">
        <f>IFERROR(Inv_SY_B!GW25/Inv_SY_B!$IS25-1,"")</f>
        <v>-9.0754022492851583E-3</v>
      </c>
      <c r="GX25" s="62" t="str">
        <f>IFERROR(Inv_SY_B!GX25/Inv_SY_B!$IS25-1,"")</f>
        <v/>
      </c>
      <c r="GY25" s="62">
        <f>IFERROR(Inv_SY_B!GY25/Inv_SY_B!$IS25-1,"")</f>
        <v>-1.555969952878089E-2</v>
      </c>
      <c r="GZ25" s="62">
        <f>IFERROR(Inv_SY_B!GZ25/Inv_SY_B!$IS25-1,"")</f>
        <v>-1.5647419594192913E-2</v>
      </c>
      <c r="HA25" s="62">
        <f>IFERROR(Inv_SY_B!HA25/Inv_SY_B!$IS25-1,"")</f>
        <v>5.5141129942815059E-3</v>
      </c>
      <c r="HB25" s="62">
        <f>IFERROR(Inv_SY_B!HB25/Inv_SY_B!$IS25-1,"")</f>
        <v>-1.1551639093197896E-2</v>
      </c>
      <c r="HC25" s="62">
        <f>IFERROR(Inv_SY_B!HC25/Inv_SY_B!$IS25-1,"")</f>
        <v>-4.725338258206202E-3</v>
      </c>
      <c r="HD25" s="62">
        <f>IFERROR(Inv_SY_B!HD25/Inv_SY_B!$IS25-1,"")</f>
        <v>-1.6330049677692138E-2</v>
      </c>
      <c r="HE25" s="62">
        <f>IFERROR(Inv_SY_B!HE25/Inv_SY_B!$IS25-1,"")</f>
        <v>-1.0186378926199446E-2</v>
      </c>
      <c r="HF25" s="62">
        <f>IFERROR(Inv_SY_B!HF25/Inv_SY_B!$IS25-1,"")</f>
        <v>-1.9948179242095243E-3</v>
      </c>
      <c r="HG25" s="62">
        <f>IFERROR(Inv_SY_B!HG25/Inv_SY_B!$IS25-1,"")</f>
        <v>-1.5647419594192913E-2</v>
      </c>
      <c r="HH25" s="62">
        <f>IFERROR(Inv_SY_B!HH25/Inv_SY_B!$IS25-1,"")</f>
        <v>-1.8377939928189591E-2</v>
      </c>
      <c r="HI25" s="62">
        <f>IFERROR(Inv_SY_B!HI25/Inv_SY_B!$IS25-1,"")</f>
        <v>-4.725338258206202E-3</v>
      </c>
      <c r="HJ25" s="62">
        <f>IFERROR(Inv_SY_B!HJ25/Inv_SY_B!$IS25-1,"")</f>
        <v>-1.4282159427194574E-2</v>
      </c>
      <c r="HK25" s="62">
        <f>IFERROR(Inv_SY_B!HK25/Inv_SY_B!$IS25-1,"")</f>
        <v>-1.4585550575416439E-2</v>
      </c>
      <c r="HL25" s="62">
        <f>IFERROR(Inv_SY_B!HL25/Inv_SY_B!$IS25-1,"")</f>
        <v>4.9126590551173077E-2</v>
      </c>
      <c r="HM25" s="62">
        <f>IFERROR(Inv_SY_B!HM25/Inv_SY_B!$IS25-1,"")</f>
        <v>3.4968699279650295E-2</v>
      </c>
      <c r="HN25" s="62">
        <f>IFERROR(Inv_SY_B!HN25/Inv_SY_B!$IS25-1,"")</f>
        <v>4.6395798483053419E-2</v>
      </c>
      <c r="HO25" s="62">
        <f>IFERROR(Inv_SY_B!HO25/Inv_SY_B!$IS25-1,"")</f>
        <v>4.7484093645282277E-2</v>
      </c>
      <c r="HP25" s="62">
        <f>IFERROR(Inv_SY_B!HP25/Inv_SY_B!$IS25-1,"")</f>
        <v>6.7291065597847588E-2</v>
      </c>
      <c r="HQ25" s="62">
        <f>IFERROR(Inv_SY_B!HQ25/Inv_SY_B!$IS25-1,"")</f>
        <v>1.171088408209453E-3</v>
      </c>
      <c r="HR25" s="62">
        <f>IFERROR(Inv_SY_B!HR25/Inv_SY_B!$IS25-1,"")</f>
        <v>2.8223072938777793E-3</v>
      </c>
      <c r="HS25" s="62">
        <f>IFERROR(Inv_SY_B!HS25/Inv_SY_B!$IS25-1,"")</f>
        <v>1.0510965205495326E-2</v>
      </c>
      <c r="HT25" s="62">
        <f>IFERROR(Inv_SY_B!HT25/Inv_SY_B!$IS25-1,"")</f>
        <v>-3.6634692394296176E-3</v>
      </c>
      <c r="HU25" s="62">
        <f>IFERROR(Inv_SY_B!HU25/Inv_SY_B!$IS25-1,"")</f>
        <v>-1.9533160069496014E-2</v>
      </c>
      <c r="HV25" s="62">
        <f>IFERROR(Inv_SY_B!HV25/Inv_SY_B!$IS25-1,"")</f>
        <v>-7.3088305742183834E-3</v>
      </c>
      <c r="HW25" s="62">
        <f>IFERROR(Inv_SY_B!HW25/Inv_SY_B!$IS25-1,"")</f>
        <v>1.9685513527724297E-2</v>
      </c>
      <c r="HX25" s="62">
        <f>IFERROR(Inv_SY_B!HX25/Inv_SY_B!$IS25-1,"")</f>
        <v>-1.8272919915343633E-2</v>
      </c>
      <c r="HY25" s="62">
        <f>IFERROR(Inv_SY_B!HY25/Inv_SY_B!$IS25-1,"")</f>
        <v>2.0850535536896198E-2</v>
      </c>
      <c r="HZ25" s="62">
        <f>IFERROR(Inv_SY_B!HZ25/Inv_SY_B!$IS25-1,"")</f>
        <v>6.0450475036697426E-3</v>
      </c>
      <c r="IA25" s="62">
        <f>IFERROR(Inv_SY_B!IA25/Inv_SY_B!$IS25-1,"")</f>
        <v>-7.2585482650374678E-3</v>
      </c>
      <c r="IB25" s="62">
        <f>IFERROR(Inv_SY_B!IB25/Inv_SY_B!$IS25-1,"")</f>
        <v>-5.3163599755213786E-3</v>
      </c>
      <c r="IC25" s="62">
        <f>IFERROR(Inv_SY_B!IC25/Inv_SY_B!$IS25-1,"")</f>
        <v>-7.2585482650374678E-3</v>
      </c>
      <c r="ID25" s="62">
        <f>IFERROR(Inv_SY_B!ID25/Inv_SY_B!$IS25-1,"")</f>
        <v>-5.8423693039321156E-3</v>
      </c>
      <c r="IE25" s="62">
        <f>IFERROR(Inv_SY_B!IE25/Inv_SY_B!$IS25-1,"")</f>
        <v>-1.7624978260329938E-2</v>
      </c>
      <c r="IF25" s="62" t="str">
        <f>IFERROR(Inv_SY_B!IF25/Inv_SY_B!$IS25-1,"")</f>
        <v/>
      </c>
      <c r="IG25" s="62">
        <f>IFERROR(Inv_SY_B!IG25/Inv_SY_B!$IS25-1,"")</f>
        <v>2.0420875964008101E-2</v>
      </c>
      <c r="IH25" s="62">
        <f>IFERROR(Inv_SY_B!IH25/Inv_SY_B!$IS25-1,"")</f>
        <v>-1.6634629662701683E-2</v>
      </c>
      <c r="II25" s="62">
        <f>IFERROR(Inv_SY_B!II25/Inv_SY_B!$IS25-1,"")</f>
        <v>1.3776993557234052E-2</v>
      </c>
      <c r="IJ25" s="62">
        <f>IFERROR(Inv_SY_B!IJ25/Inv_SY_B!$IS25-1,"")</f>
        <v>-1.6206701256319067E-2</v>
      </c>
      <c r="IK25" s="62">
        <f>IFERROR(Inv_SY_B!IK25/Inv_SY_B!$IS25-1,"")</f>
        <v>-1.4339443070565006E-2</v>
      </c>
      <c r="IL25" s="62" t="str">
        <f>IFERROR(Inv_SY_B!IL25/Inv_SY_B!$IS25-1,"")</f>
        <v/>
      </c>
      <c r="IM25" s="62" t="str">
        <f>IFERROR(Inv_SY_B!IM25/Inv_SY_B!$IS25-1,"")</f>
        <v/>
      </c>
      <c r="IN25" s="62">
        <f>IFERROR(Inv_SY_B!IN25/Inv_SY_B!$IS25-1,"")</f>
        <v>2.6915315079156787E-2</v>
      </c>
      <c r="IO25" s="62">
        <f>IFERROR(Inv_SY_B!IO25/Inv_SY_B!$IS25-1,"")</f>
        <v>2.9867315706702424E-2</v>
      </c>
      <c r="IP25" s="62">
        <f>IFERROR(Inv_SY_B!IP25/Inv_SY_B!$IS25-1,"")</f>
        <v>0.16096646770981171</v>
      </c>
      <c r="IQ25" s="62">
        <f>IFERROR(Inv_SY_B!IQ25/Inv_SY_B!$IS25-1,"")</f>
        <v>-7.2585482650374678E-3</v>
      </c>
      <c r="IR25" s="62">
        <f>IFERROR(Inv_SY_B!IR25/Inv_SY_B!$IS25-1,"")</f>
        <v>4.7759352249410192E-4</v>
      </c>
    </row>
    <row r="26" spans="2:252" x14ac:dyDescent="0.25">
      <c r="B26" s="85">
        <f t="shared" si="0"/>
        <v>45852</v>
      </c>
      <c r="C26" s="62">
        <f>IFERROR(Inv_SY_B!C26/Inv_SY_B!$IS26-1,"")</f>
        <v>-1.6182658566134989E-2</v>
      </c>
      <c r="D26" s="62">
        <f>IFERROR(Inv_SY_B!D26/Inv_SY_B!$IS26-1,"")</f>
        <v>6.9562238082934158E-3</v>
      </c>
      <c r="E26" s="62">
        <f>IFERROR(Inv_SY_B!E26/Inv_SY_B!$IS26-1,"")</f>
        <v>9.7756029023887692E-3</v>
      </c>
      <c r="F26" s="62">
        <f>IFERROR(Inv_SY_B!F26/Inv_SY_B!$IS26-1,"")</f>
        <v>3.2841169772916956E-3</v>
      </c>
      <c r="G26" s="62">
        <f>IFERROR(Inv_SY_B!G26/Inv_SY_B!$IS26-1,"")</f>
        <v>-2.3434521642951012E-4</v>
      </c>
      <c r="H26" s="62">
        <f>IFERROR(Inv_SY_B!H26/Inv_SY_B!$IS26-1,"")</f>
        <v>-2.8078928908761291E-3</v>
      </c>
      <c r="I26" s="62">
        <f>IFERROR(Inv_SY_B!I26/Inv_SY_B!$IS26-1,"")</f>
        <v>7.1790085323497621E-3</v>
      </c>
      <c r="J26" s="62">
        <f>IFERROR(Inv_SY_B!J26/Inv_SY_B!$IS26-1,"")</f>
        <v>1.5368267699395366E-2</v>
      </c>
      <c r="K26" s="62">
        <f>IFERROR(Inv_SY_B!K26/Inv_SY_B!$IS26-1,"")</f>
        <v>3.1323160756586699E-3</v>
      </c>
      <c r="L26" s="62">
        <f>IFERROR(Inv_SY_B!L26/Inv_SY_B!$IS26-1,"")</f>
        <v>8.5971485344480403E-3</v>
      </c>
      <c r="M26" s="62">
        <f>IFERROR(Inv_SY_B!M26/Inv_SY_B!$IS26-1,"")</f>
        <v>-3.3072379620375791E-3</v>
      </c>
      <c r="N26" s="62">
        <f>IFERROR(Inv_SY_B!N26/Inv_SY_B!$IS26-1,"")</f>
        <v>-7.3019985313278468E-3</v>
      </c>
      <c r="O26" s="62">
        <f>IFERROR(Inv_SY_B!O26/Inv_SY_B!$IS26-1,"")</f>
        <v>8.9766507885304936E-3</v>
      </c>
      <c r="P26" s="62">
        <f>IFERROR(Inv_SY_B!P26/Inv_SY_B!$IS26-1,"")</f>
        <v>-9.4669762563859283E-4</v>
      </c>
      <c r="Q26" s="62">
        <f>IFERROR(Inv_SY_B!Q26/Inv_SY_B!$IS26-1,"")</f>
        <v>1.0874162058943648E-2</v>
      </c>
      <c r="R26" s="62">
        <f>IFERROR(Inv_SY_B!R26/Inv_SY_B!$IS26-1,"")</f>
        <v>7.8780916319758365E-3</v>
      </c>
      <c r="S26" s="62">
        <f>IFERROR(Inv_SY_B!S26/Inv_SY_B!$IS26-1,"")</f>
        <v>-1.0797414029456998E-2</v>
      </c>
      <c r="T26" s="62">
        <f>IFERROR(Inv_SY_B!T26/Inv_SY_B!$IS26-1,"")</f>
        <v>-1.9090717627858744E-3</v>
      </c>
      <c r="U26" s="62">
        <f>IFERROR(Inv_SY_B!U26/Inv_SY_B!$IS26-1,"")</f>
        <v>-6.9639803293110036E-3</v>
      </c>
      <c r="V26" s="62">
        <f>IFERROR(Inv_SY_B!V26/Inv_SY_B!$IS26-1,"")</f>
        <v>4.2215130675149481E-5</v>
      </c>
      <c r="W26" s="62">
        <f>IFERROR(Inv_SY_B!W26/Inv_SY_B!$IS26-1,"")</f>
        <v>1.2971411357820983E-2</v>
      </c>
      <c r="X26" s="62">
        <f>IFERROR(Inv_SY_B!X26/Inv_SY_B!$IS26-1,"")</f>
        <v>-2.8873705605496292E-2</v>
      </c>
      <c r="Y26" s="62">
        <f>IFERROR(Inv_SY_B!Y26/Inv_SY_B!$IS26-1,"")</f>
        <v>4.8359278138236927E-3</v>
      </c>
      <c r="Z26" s="62">
        <f>IFERROR(Inv_SY_B!Z26/Inv_SY_B!$IS26-1,"")</f>
        <v>-4.8607559612060536E-3</v>
      </c>
      <c r="AA26" s="62">
        <f>IFERROR(Inv_SY_B!AA26/Inv_SY_B!$IS26-1,"")</f>
        <v>-3.4608825993178716E-3</v>
      </c>
      <c r="AB26" s="62">
        <f>IFERROR(Inv_SY_B!AB26/Inv_SY_B!$IS26-1,"")</f>
        <v>5.389048508033234E-3</v>
      </c>
      <c r="AC26" s="62">
        <f>IFERROR(Inv_SY_B!AC26/Inv_SY_B!$IS26-1,"")</f>
        <v>7.7970938962113046E-4</v>
      </c>
      <c r="AD26" s="62">
        <f>IFERROR(Inv_SY_B!AD26/Inv_SY_B!$IS26-1,"")</f>
        <v>1.619633406753973E-3</v>
      </c>
      <c r="AE26" s="62">
        <f>IFERROR(Inv_SY_B!AE26/Inv_SY_B!$IS26-1,"")</f>
        <v>-2.3858061779609474E-2</v>
      </c>
      <c r="AF26" s="62">
        <f>IFERROR(Inv_SY_B!AF26/Inv_SY_B!$IS26-1,"")</f>
        <v>-2.3325427037037216E-2</v>
      </c>
      <c r="AG26" s="62">
        <f>IFERROR(Inv_SY_B!AG26/Inv_SY_B!$IS26-1,"")</f>
        <v>-8.6599539191556385E-4</v>
      </c>
      <c r="AH26" s="62">
        <f>IFERROR(Inv_SY_B!AH26/Inv_SY_B!$IS26-1,"")</f>
        <v>8.0112503176186234E-3</v>
      </c>
      <c r="AI26" s="62">
        <f>IFERROR(Inv_SY_B!AI26/Inv_SY_B!$IS26-1,"")</f>
        <v>-1.4630829611131602E-2</v>
      </c>
      <c r="AJ26" s="62">
        <f>IFERROR(Inv_SY_B!AJ26/Inv_SY_B!$IS26-1,"")</f>
        <v>-1.7566521186764605E-2</v>
      </c>
      <c r="AK26" s="62">
        <f>IFERROR(Inv_SY_B!AK26/Inv_SY_B!$IS26-1,"")</f>
        <v>-2.8374360534334953E-2</v>
      </c>
      <c r="AL26" s="62">
        <f>IFERROR(Inv_SY_B!AL26/Inv_SY_B!$IS26-1,"")</f>
        <v>-1.0655245191866447E-2</v>
      </c>
      <c r="AM26" s="62">
        <f>IFERROR(Inv_SY_B!AM26/Inv_SY_B!$IS26-1,"")</f>
        <v>-1.728889995455396E-2</v>
      </c>
      <c r="AN26" s="62">
        <f>IFERROR(Inv_SY_B!AN26/Inv_SY_B!$IS26-1,"")</f>
        <v>-3.0271871804747996E-2</v>
      </c>
      <c r="AO26" s="62">
        <f>IFERROR(Inv_SY_B!AO26/Inv_SY_B!$IS26-1,"")</f>
        <v>-2.3281040808489584E-2</v>
      </c>
      <c r="AP26" s="62">
        <f>IFERROR(Inv_SY_B!AP26/Inv_SY_B!$IS26-1,"")</f>
        <v>-1.4392698541818461E-2</v>
      </c>
      <c r="AQ26" s="62">
        <f>IFERROR(Inv_SY_B!AQ26/Inv_SY_B!$IS26-1,"")</f>
        <v>-2.6277111235457506E-2</v>
      </c>
      <c r="AR26" s="62">
        <f>IFERROR(Inv_SY_B!AR26/Inv_SY_B!$IS26-1,"")</f>
        <v>-1.8287590096876638E-2</v>
      </c>
      <c r="AS26" s="62">
        <f>IFERROR(Inv_SY_B!AS26/Inv_SY_B!$IS26-1,"")</f>
        <v>-2.0284970381521883E-2</v>
      </c>
      <c r="AT26" s="62">
        <f>IFERROR(Inv_SY_B!AT26/Inv_SY_B!$IS26-1,"")</f>
        <v>-1.329413938526347E-2</v>
      </c>
      <c r="AU26" s="62">
        <f>IFERROR(Inv_SY_B!AU26/Inv_SY_B!$IS26-1,"")</f>
        <v>-1.1296759100618337E-2</v>
      </c>
      <c r="AV26" s="62">
        <f>IFERROR(Inv_SY_B!AV26/Inv_SY_B!$IS26-1,"")</f>
        <v>-1.9286280239199205E-2</v>
      </c>
      <c r="AW26" s="62">
        <f>IFERROR(Inv_SY_B!AW26/Inv_SY_B!$IS26-1,"")</f>
        <v>-2.4202908632172004E-2</v>
      </c>
      <c r="AX26" s="62">
        <f>IFERROR(Inv_SY_B!AX26/Inv_SY_B!$IS26-1,"")</f>
        <v>-2.0584577424218486E-2</v>
      </c>
      <c r="AY26" s="62">
        <f>IFERROR(Inv_SY_B!AY26/Inv_SY_B!$IS26-1,"")</f>
        <v>-2.9752552930740084E-2</v>
      </c>
      <c r="AZ26" s="62">
        <f>IFERROR(Inv_SY_B!AZ26/Inv_SY_B!$IS26-1,"")</f>
        <v>-2.639695405253617E-2</v>
      </c>
      <c r="BA26" s="62">
        <f>IFERROR(Inv_SY_B!BA26/Inv_SY_B!$IS26-1,"")</f>
        <v>-1.728889995455396E-2</v>
      </c>
      <c r="BB26" s="62">
        <f>IFERROR(Inv_SY_B!BB26/Inv_SY_B!$IS26-1,"")</f>
        <v>-2.0584577424218486E-2</v>
      </c>
      <c r="BC26" s="62">
        <f>IFERROR(Inv_SY_B!BC26/Inv_SY_B!$IS26-1,"")</f>
        <v>1.1118286315955794E-2</v>
      </c>
      <c r="BD26" s="62">
        <f>IFERROR(Inv_SY_B!BD26/Inv_SY_B!$IS26-1,"")</f>
        <v>-2.0307163495795755E-2</v>
      </c>
      <c r="BE26" s="62">
        <f>IFERROR(Inv_SY_B!BE26/Inv_SY_B!$IS26-1,"")</f>
        <v>-1.4523296483506809E-2</v>
      </c>
      <c r="BF26" s="62">
        <f>IFERROR(Inv_SY_B!BF26/Inv_SY_B!$IS26-1,"")</f>
        <v>-4.8607559612060536E-3</v>
      </c>
      <c r="BG26" s="62">
        <f>IFERROR(Inv_SY_B!BG26/Inv_SY_B!$IS26-1,"")</f>
        <v>-1.1323127632014707E-3</v>
      </c>
      <c r="BH26" s="62">
        <f>IFERROR(Inv_SY_B!BH26/Inv_SY_B!$IS26-1,"")</f>
        <v>-1.1296759100618337E-2</v>
      </c>
      <c r="BI26" s="62">
        <f>IFERROR(Inv_SY_B!BI26/Inv_SY_B!$IS26-1,"")</f>
        <v>-4.8607559612060536E-3</v>
      </c>
      <c r="BJ26" s="62">
        <f>IFERROR(Inv_SY_B!BJ26/Inv_SY_B!$IS26-1,"")</f>
        <v>4.655914645146364E-4</v>
      </c>
      <c r="BK26" s="62">
        <f>IFERROR(Inv_SY_B!BK26/Inv_SY_B!$IS26-1,"")</f>
        <v>-2.4084168339471024E-3</v>
      </c>
      <c r="BL26" s="62">
        <f>IFERROR(Inv_SY_B!BL26/Inv_SY_B!$IS26-1,"")</f>
        <v>1.3877649990481356E-2</v>
      </c>
      <c r="BM26" s="62">
        <f>IFERROR(Inv_SY_B!BM26/Inv_SY_B!$IS26-1,"")</f>
        <v>-1.6290209812231393E-2</v>
      </c>
      <c r="BN26" s="62">
        <f>IFERROR(Inv_SY_B!BN26/Inv_SY_B!$IS26-1,"")</f>
        <v>4.1876341405340245E-3</v>
      </c>
      <c r="BO26" s="62">
        <f>IFERROR(Inv_SY_B!BO26/Inv_SY_B!$IS26-1,"")</f>
        <v>1.4976473874330098E-2</v>
      </c>
      <c r="BP26" s="62">
        <f>IFERROR(Inv_SY_B!BP26/Inv_SY_B!$IS26-1,"")</f>
        <v>3.2031028612454771E-2</v>
      </c>
      <c r="BQ26" s="62">
        <f>IFERROR(Inv_SY_B!BQ26/Inv_SY_B!$IS26-1,"")</f>
        <v>2.2351416463789464E-2</v>
      </c>
      <c r="BR26" s="62">
        <f>IFERROR(Inv_SY_B!BR26/Inv_SY_B!$IS26-1,"")</f>
        <v>1.8110824474850462E-2</v>
      </c>
      <c r="BS26" s="62">
        <f>IFERROR(Inv_SY_B!BS26/Inv_SY_B!$IS26-1,"")</f>
        <v>3.3943904346595666E-2</v>
      </c>
      <c r="BT26" s="62">
        <f>IFERROR(Inv_SY_B!BT26/Inv_SY_B!$IS26-1,"")</f>
        <v>3.4043773360828089E-2</v>
      </c>
      <c r="BU26" s="62">
        <f>IFERROR(Inv_SY_B!BU26/Inv_SY_B!$IS26-1,"")</f>
        <v>4.0734997314389343E-2</v>
      </c>
      <c r="BV26" s="62">
        <f>IFERROR(Inv_SY_B!BV26/Inv_SY_B!$IS26-1,"")</f>
        <v>3.7738926887421531E-2</v>
      </c>
      <c r="BW26" s="62">
        <f>IFERROR(Inv_SY_B!BW26/Inv_SY_B!$IS26-1,"")</f>
        <v>3.064822687693125E-2</v>
      </c>
      <c r="BX26" s="62">
        <f>IFERROR(Inv_SY_B!BX26/Inv_SY_B!$IS26-1,"")</f>
        <v>3.7039843787795901E-2</v>
      </c>
      <c r="BY26" s="62">
        <f>IFERROR(Inv_SY_B!BY26/Inv_SY_B!$IS26-1,"")</f>
        <v>3.7394933616177184E-2</v>
      </c>
      <c r="BZ26" s="62">
        <f>IFERROR(Inv_SY_B!BZ26/Inv_SY_B!$IS26-1,"")</f>
        <v>2.1859753624492217E-2</v>
      </c>
      <c r="CA26" s="62">
        <f>IFERROR(Inv_SY_B!CA26/Inv_SY_B!$IS26-1,"")</f>
        <v>4.281005349899325E-2</v>
      </c>
      <c r="CB26" s="62">
        <f>IFERROR(Inv_SY_B!CB26/Inv_SY_B!$IS26-1,"")</f>
        <v>3.6840105759331276E-2</v>
      </c>
      <c r="CC26" s="62">
        <f>IFERROR(Inv_SY_B!CC26/Inv_SY_B!$IS26-1,"")</f>
        <v>3.2246131104647358E-2</v>
      </c>
      <c r="CD26" s="62">
        <f>IFERROR(Inv_SY_B!CD26/Inv_SY_B!$IS26-1,"")</f>
        <v>4.2632508584802498E-2</v>
      </c>
      <c r="CE26" s="62">
        <f>IFERROR(Inv_SY_B!CE26/Inv_SY_B!$IS26-1,"")</f>
        <v>1.9263159254453432E-2</v>
      </c>
      <c r="CF26" s="62">
        <f>IFERROR(Inv_SY_B!CF26/Inv_SY_B!$IS26-1,"")</f>
        <v>2.9949143777305398E-2</v>
      </c>
      <c r="CG26" s="62">
        <f>IFERROR(Inv_SY_B!CG26/Inv_SY_B!$IS26-1,"")</f>
        <v>3.8438009987047383E-2</v>
      </c>
      <c r="CH26" s="62">
        <f>IFERROR(Inv_SY_B!CH26/Inv_SY_B!$IS26-1,"")</f>
        <v>5.1490890147203983E-2</v>
      </c>
      <c r="CI26" s="62">
        <f>IFERROR(Inv_SY_B!CI26/Inv_SY_B!$IS26-1,"")</f>
        <v>3.3344690261202237E-2</v>
      </c>
      <c r="CJ26" s="62">
        <f>IFERROR(Inv_SY_B!CJ26/Inv_SY_B!$IS26-1,"")</f>
        <v>4.5129233940609081E-2</v>
      </c>
      <c r="CK26" s="62">
        <f>IFERROR(Inv_SY_B!CK26/Inv_SY_B!$IS26-1,"")</f>
        <v>3.6740236745099075E-2</v>
      </c>
      <c r="CL26" s="62">
        <f>IFERROR(Inv_SY_B!CL26/Inv_SY_B!$IS26-1,"")</f>
        <v>3.2146262090414934E-2</v>
      </c>
      <c r="CM26" s="62">
        <f>IFERROR(Inv_SY_B!CM26/Inv_SY_B!$IS26-1,"")</f>
        <v>3.763905787318933E-2</v>
      </c>
      <c r="CN26" s="62">
        <f>IFERROR(Inv_SY_B!CN26/Inv_SY_B!$IS26-1,"")</f>
        <v>3.6240891673937625E-2</v>
      </c>
      <c r="CO26" s="62">
        <f>IFERROR(Inv_SY_B!CO26/Inv_SY_B!$IS26-1,"")</f>
        <v>2.35535321058713E-2</v>
      </c>
      <c r="CP26" s="62">
        <f>IFERROR(Inv_SY_B!CP26/Inv_SY_B!$IS26-1,"")</f>
        <v>4.0051278678491675E-2</v>
      </c>
      <c r="CQ26" s="62">
        <f>IFERROR(Inv_SY_B!CQ26/Inv_SY_B!$IS26-1,"")</f>
        <v>3.5142332517382968E-2</v>
      </c>
      <c r="CR26" s="62">
        <f>IFERROR(Inv_SY_B!CR26/Inv_SY_B!$IS26-1,"")</f>
        <v>2.7652156449963217E-2</v>
      </c>
      <c r="CS26" s="62">
        <f>IFERROR(Inv_SY_B!CS26/Inv_SY_B!$IS26-1,"")</f>
        <v>2.9671729848882444E-2</v>
      </c>
      <c r="CT26" s="62">
        <f>IFERROR(Inv_SY_B!CT26/Inv_SY_B!$IS26-1,"")</f>
        <v>1.8164600097898553E-2</v>
      </c>
      <c r="CU26" s="62">
        <f>IFERROR(Inv_SY_B!CU26/Inv_SY_B!$IS26-1,"")</f>
        <v>3.124744096232468E-2</v>
      </c>
      <c r="CV26" s="62">
        <f>IFERROR(Inv_SY_B!CV26/Inv_SY_B!$IS26-1,"")</f>
        <v>-1.2295449242941014E-2</v>
      </c>
      <c r="CW26" s="62">
        <f>IFERROR(Inv_SY_B!CW26/Inv_SY_B!$IS26-1,"")</f>
        <v>-1.029806895829577E-2</v>
      </c>
      <c r="CX26" s="62">
        <f>IFERROR(Inv_SY_B!CX26/Inv_SY_B!$IS26-1,"")</f>
        <v>-1.8287590096876638E-2</v>
      </c>
      <c r="CY26" s="62">
        <f>IFERROR(Inv_SY_B!CY26/Inv_SY_B!$IS26-1,"")</f>
        <v>-2.128366052384445E-2</v>
      </c>
      <c r="CZ26" s="62">
        <f>IFERROR(Inv_SY_B!CZ26/Inv_SY_B!$IS26-1,"")</f>
        <v>-6.3033083890052799E-3</v>
      </c>
      <c r="DA26" s="62">
        <f>IFERROR(Inv_SY_B!DA26/Inv_SY_B!$IS26-1,"")</f>
        <v>-1.728889995455396E-2</v>
      </c>
      <c r="DB26" s="62">
        <f>IFERROR(Inv_SY_B!DB26/Inv_SY_B!$IS26-1,"")</f>
        <v>2.4855824051460029E-2</v>
      </c>
      <c r="DC26" s="62">
        <f>IFERROR(Inv_SY_B!DC26/Inv_SY_B!$IS26-1,"")</f>
        <v>-1.3560456756549599E-2</v>
      </c>
      <c r="DD26" s="62">
        <f>IFERROR(Inv_SY_B!DD26/Inv_SY_B!$IS26-1,"")</f>
        <v>-1.8287590096876638E-2</v>
      </c>
      <c r="DE26" s="62">
        <f>IFERROR(Inv_SY_B!DE26/Inv_SY_B!$IS26-1,"")</f>
        <v>-1.4448181327502918E-2</v>
      </c>
      <c r="DF26" s="62">
        <f>IFERROR(Inv_SY_B!DF26/Inv_SY_B!$IS26-1,"")</f>
        <v>-1.9576297985447466E-2</v>
      </c>
      <c r="DG26" s="62">
        <f>IFERROR(Inv_SY_B!DG26/Inv_SY_B!$IS26-1,"")</f>
        <v>2.7847719061304677E-3</v>
      </c>
      <c r="DH26" s="62">
        <f>IFERROR(Inv_SY_B!DH26/Inv_SY_B!$IS26-1,"")</f>
        <v>1.7971783209447256E-3</v>
      </c>
      <c r="DI26" s="62">
        <f>IFERROR(Inv_SY_B!DI26/Inv_SY_B!$IS26-1,"")</f>
        <v>-1.2587374053773859E-2</v>
      </c>
      <c r="DJ26" s="62">
        <f>IFERROR(Inv_SY_B!DJ26/Inv_SY_B!$IS26-1,"")</f>
        <v>7.6937180672391747E-3</v>
      </c>
      <c r="DK26" s="62">
        <f>IFERROR(Inv_SY_B!DK26/Inv_SY_B!$IS26-1,"")</f>
        <v>8.6326575172861464E-3</v>
      </c>
      <c r="DL26" s="62">
        <f>IFERROR(Inv_SY_B!DL26/Inv_SY_B!$IS26-1,"")</f>
        <v>-3.3336064934352816E-4</v>
      </c>
      <c r="DM26" s="62">
        <f>IFERROR(Inv_SY_B!DM26/Inv_SY_B!$IS26-1,"")</f>
        <v>-1.029806895829577E-2</v>
      </c>
      <c r="DN26" s="62">
        <f>IFERROR(Inv_SY_B!DN26/Inv_SY_B!$IS26-1,"")</f>
        <v>3.483855005756098E-3</v>
      </c>
      <c r="DO26" s="62">
        <f>IFERROR(Inv_SY_B!DO26/Inv_SY_B!$IS26-1,"")</f>
        <v>-2.1449719072099249E-2</v>
      </c>
      <c r="DP26" s="62">
        <f>IFERROR(Inv_SY_B!DP26/Inv_SY_B!$IS26-1,"")</f>
        <v>4.0164897483283557E-3</v>
      </c>
      <c r="DQ26" s="62">
        <f>IFERROR(Inv_SY_B!DQ26/Inv_SY_B!$IS26-1,"")</f>
        <v>-1.4270636413312277E-2</v>
      </c>
      <c r="DR26" s="62">
        <f>IFERROR(Inv_SY_B!DR26/Inv_SY_B!$IS26-1,"")</f>
        <v>7.2788775465821853E-3</v>
      </c>
      <c r="DS26" s="62">
        <f>IFERROR(Inv_SY_B!DS26/Inv_SY_B!$IS26-1,"")</f>
        <v>1.3271018400517809E-2</v>
      </c>
      <c r="DT26" s="62">
        <f>IFERROR(Inv_SY_B!DT26/Inv_SY_B!$IS26-1,"")</f>
        <v>-2.1727522809321109E-2</v>
      </c>
      <c r="DU26" s="62">
        <f>IFERROR(Inv_SY_B!DU26/Inv_SY_B!$IS26-1,"")</f>
        <v>-1.1873780071738116E-2</v>
      </c>
      <c r="DV26" s="62">
        <f>IFERROR(Inv_SY_B!DV26/Inv_SY_B!$IS26-1,"")</f>
        <v>-2.5867648277105193E-2</v>
      </c>
      <c r="DW26" s="62">
        <f>IFERROR(Inv_SY_B!DW26/Inv_SY_B!$IS26-1,"")</f>
        <v>-8.8999027590440649E-3</v>
      </c>
      <c r="DX26" s="62">
        <f>IFERROR(Inv_SY_B!DX26/Inv_SY_B!$IS26-1,"")</f>
        <v>6.945980832474552E-3</v>
      </c>
      <c r="DY26" s="62">
        <f>IFERROR(Inv_SY_B!DY26/Inv_SY_B!$IS26-1,"")</f>
        <v>2.2854268349690177E-3</v>
      </c>
      <c r="DZ26" s="62">
        <f>IFERROR(Inv_SY_B!DZ26/Inv_SY_B!$IS26-1,"")</f>
        <v>-2.6876325320851047E-2</v>
      </c>
      <c r="EA26" s="62">
        <f>IFERROR(Inv_SY_B!EA26/Inv_SY_B!$IS26-1,"")</f>
        <v>4.105262205423621E-3</v>
      </c>
      <c r="EB26" s="62">
        <f>IFERROR(Inv_SY_B!EB26/Inv_SY_B!$IS26-1,"")</f>
        <v>-5.2158457895874477E-3</v>
      </c>
      <c r="EC26" s="62">
        <f>IFERROR(Inv_SY_B!EC26/Inv_SY_B!$IS26-1,"")</f>
        <v>-2.2359172984807163E-2</v>
      </c>
      <c r="ED26" s="62">
        <f>IFERROR(Inv_SY_B!ED26/Inv_SY_B!$IS26-1,"")</f>
        <v>7.6937180672391747E-3</v>
      </c>
      <c r="EE26" s="62">
        <f>IFERROR(Inv_SY_B!EE26/Inv_SY_B!$IS26-1,"")</f>
        <v>5.389048508033234E-3</v>
      </c>
      <c r="EF26" s="62">
        <f>IFERROR(Inv_SY_B!EF26/Inv_SY_B!$IS26-1,"")</f>
        <v>-1.8378380109815073E-2</v>
      </c>
      <c r="EG26" s="62">
        <f>IFERROR(Inv_SY_B!EG26/Inv_SY_B!$IS26-1,"")</f>
        <v>1.9051548685835362E-2</v>
      </c>
      <c r="EH26" s="62">
        <f>IFERROR(Inv_SY_B!EH26/Inv_SY_B!$IS26-1,"")</f>
        <v>-1.0224040178515192E-2</v>
      </c>
      <c r="EI26" s="62">
        <f>IFERROR(Inv_SY_B!EI26/Inv_SY_B!$IS26-1,"")</f>
        <v>-2.0666288435863156E-2</v>
      </c>
      <c r="EJ26" s="62">
        <f>IFERROR(Inv_SY_B!EJ26/Inv_SY_B!$IS26-1,"")</f>
        <v>-1.078344633515893E-2</v>
      </c>
      <c r="EK26" s="62">
        <f>IFERROR(Inv_SY_B!EK26/Inv_SY_B!$IS26-1,"")</f>
        <v>-3.1534295219293185E-5</v>
      </c>
      <c r="EL26" s="62">
        <f>IFERROR(Inv_SY_B!EL26/Inv_SY_B!$IS26-1,"")</f>
        <v>1.1173769101640252E-2</v>
      </c>
      <c r="EM26" s="62">
        <f>IFERROR(Inv_SY_B!EM26/Inv_SY_B!$IS26-1,"")</f>
        <v>7.4171577201345151E-3</v>
      </c>
      <c r="EN26" s="62">
        <f>IFERROR(Inv_SY_B!EN26/Inv_SY_B!$IS26-1,"")</f>
        <v>-1.3405866048484816E-3</v>
      </c>
      <c r="EO26" s="62">
        <f>IFERROR(Inv_SY_B!EO26/Inv_SY_B!$IS26-1,"")</f>
        <v>1.0474686002014399E-2</v>
      </c>
      <c r="EP26" s="62">
        <f>IFERROR(Inv_SY_B!EP26/Inv_SY_B!$IS26-1,"")</f>
        <v>9.1687065851311367E-3</v>
      </c>
      <c r="EQ26" s="62">
        <f>IFERROR(Inv_SY_B!EQ26/Inv_SY_B!$IS26-1,"")</f>
        <v>-1.3593746427960296E-2</v>
      </c>
      <c r="ER26" s="62">
        <f>IFERROR(Inv_SY_B!ER26/Inv_SY_B!$IS26-1,"")</f>
        <v>3.9140599901414941E-3</v>
      </c>
      <c r="ES26" s="62">
        <f>IFERROR(Inv_SY_B!ES26/Inv_SY_B!$IS26-1,"")</f>
        <v>-1.029806895829577E-2</v>
      </c>
      <c r="ET26" s="62">
        <f>IFERROR(Inv_SY_B!ET26/Inv_SY_B!$IS26-1,"")</f>
        <v>7.7691436164495364E-3</v>
      </c>
      <c r="EU26" s="62">
        <f>IFERROR(Inv_SY_B!EU26/Inv_SY_B!$IS26-1,"")</f>
        <v>4.8359278138236927E-3</v>
      </c>
      <c r="EV26" s="62">
        <f>IFERROR(Inv_SY_B!EV26/Inv_SY_B!$IS26-1,"")</f>
        <v>1.4976473874330098E-2</v>
      </c>
      <c r="EW26" s="62">
        <f>IFERROR(Inv_SY_B!EW26/Inv_SY_B!$IS26-1,"")</f>
        <v>5.5734220727696737E-3</v>
      </c>
      <c r="EX26" s="62">
        <f>IFERROR(Inv_SY_B!EX26/Inv_SY_B!$IS26-1,"")</f>
        <v>1.9662635311382459E-2</v>
      </c>
      <c r="EY26" s="62">
        <f>IFERROR(Inv_SY_B!EY26/Inv_SY_B!$IS26-1,"")</f>
        <v>-1.7643989782935465E-2</v>
      </c>
      <c r="EZ26" s="62">
        <f>IFERROR(Inv_SY_B!EZ26/Inv_SY_B!$IS26-1,"")</f>
        <v>-2.0284970381521883E-2</v>
      </c>
      <c r="FA26" s="62">
        <f>IFERROR(Inv_SY_B!FA26/Inv_SY_B!$IS26-1,"")</f>
        <v>-1.6290209812231393E-2</v>
      </c>
      <c r="FB26" s="62">
        <f>IFERROR(Inv_SY_B!FB26/Inv_SY_B!$IS26-1,"")</f>
        <v>-2.0284970381521883E-2</v>
      </c>
      <c r="FC26" s="62">
        <f>IFERROR(Inv_SY_B!FC26/Inv_SY_B!$IS26-1,"")</f>
        <v>-1.1296759100618337E-2</v>
      </c>
      <c r="FD26" s="62">
        <f>IFERROR(Inv_SY_B!FD26/Inv_SY_B!$IS26-1,"")</f>
        <v>-2.128366052384445E-2</v>
      </c>
      <c r="FE26" s="62">
        <f>IFERROR(Inv_SY_B!FE26/Inv_SY_B!$IS26-1,"")</f>
        <v>-1.4202039514647824E-2</v>
      </c>
      <c r="FF26" s="62">
        <f>IFERROR(Inv_SY_B!FF26/Inv_SY_B!$IS26-1,"")</f>
        <v>1.756575009602912E-3</v>
      </c>
      <c r="FG26" s="62">
        <f>IFERROR(Inv_SY_B!FG26/Inv_SY_B!$IS26-1,"")</f>
        <v>-1.9768476085694431E-2</v>
      </c>
      <c r="FH26" s="62">
        <f>IFERROR(Inv_SY_B!FH26/Inv_SY_B!$IS26-1,"")</f>
        <v>-2.0060265099499208E-2</v>
      </c>
      <c r="FI26" s="62">
        <f>IFERROR(Inv_SY_B!FI26/Inv_SY_B!$IS26-1,"")</f>
        <v>-2.3180163016335742E-2</v>
      </c>
      <c r="FJ26" s="62">
        <f>IFERROR(Inv_SY_B!FJ26/Inv_SY_B!$IS26-1,"")</f>
        <v>-2.0935632140913873E-2</v>
      </c>
      <c r="FK26" s="62">
        <f>IFERROR(Inv_SY_B!FK26/Inv_SY_B!$IS26-1,"")</f>
        <v>3.3950825486608327E-3</v>
      </c>
      <c r="FL26" s="62">
        <f>IFERROR(Inv_SY_B!FL26/Inv_SY_B!$IS26-1,"")</f>
        <v>-1.0485096384948878E-2</v>
      </c>
      <c r="FM26" s="62">
        <f>IFERROR(Inv_SY_B!FM26/Inv_SY_B!$IS26-1,"")</f>
        <v>-1.3899027846465906E-2</v>
      </c>
      <c r="FN26" s="62">
        <f>IFERROR(Inv_SY_B!FN26/Inv_SY_B!$IS26-1,"")</f>
        <v>-2.4257537836538501E-2</v>
      </c>
      <c r="FO26" s="62">
        <f>IFERROR(Inv_SY_B!FO26/Inv_SY_B!$IS26-1,"")</f>
        <v>-9.6568644919181601E-3</v>
      </c>
      <c r="FP26" s="62">
        <f>IFERROR(Inv_SY_B!FP26/Inv_SY_B!$IS26-1,"")</f>
        <v>-1.3781863334768718E-2</v>
      </c>
      <c r="FQ26" s="62">
        <f>IFERROR(Inv_SY_B!FQ26/Inv_SY_B!$IS26-1,"")</f>
        <v>-2.3284309248955415E-2</v>
      </c>
      <c r="FR26" s="62">
        <f>IFERROR(Inv_SY_B!FR26/Inv_SY_B!$IS26-1,"")</f>
        <v>-1.9308796162407993E-2</v>
      </c>
      <c r="FS26" s="62">
        <f>IFERROR(Inv_SY_B!FS26/Inv_SY_B!$IS26-1,"")</f>
        <v>-1.5279414334850361E-2</v>
      </c>
      <c r="FT26" s="62">
        <f>IFERROR(Inv_SY_B!FT26/Inv_SY_B!$IS26-1,"")</f>
        <v>5.8048108965138567E-3</v>
      </c>
      <c r="FU26" s="62">
        <f>IFERROR(Inv_SY_B!FU26/Inv_SY_B!$IS26-1,"")</f>
        <v>3.4252055808692283E-4</v>
      </c>
      <c r="FV26" s="62">
        <f>IFERROR(Inv_SY_B!FV26/Inv_SY_B!$IS26-1,"")</f>
        <v>-1.0060880049494125E-2</v>
      </c>
      <c r="FW26" s="62">
        <f>IFERROR(Inv_SY_B!FW26/Inv_SY_B!$IS26-1,"")</f>
        <v>-1.6727136749497551E-2</v>
      </c>
      <c r="FX26" s="62">
        <f>IFERROR(Inv_SY_B!FX26/Inv_SY_B!$IS26-1,"")</f>
        <v>-1.2383969505555981E-2</v>
      </c>
      <c r="FY26" s="62">
        <f>IFERROR(Inv_SY_B!FY26/Inv_SY_B!$IS26-1,"")</f>
        <v>-4.3261036627908478E-3</v>
      </c>
      <c r="FZ26" s="62">
        <f>IFERROR(Inv_SY_B!FZ26/Inv_SY_B!$IS26-1,"")</f>
        <v>-9.1518450449482591E-3</v>
      </c>
      <c r="GA26" s="62">
        <f>IFERROR(Inv_SY_B!GA26/Inv_SY_B!$IS26-1,"")</f>
        <v>-1.9174538684813447E-2</v>
      </c>
      <c r="GB26" s="62">
        <f>IFERROR(Inv_SY_B!GB26/Inv_SY_B!$IS26-1,"")</f>
        <v>-2.4077975366504578E-2</v>
      </c>
      <c r="GC26" s="62">
        <f>IFERROR(Inv_SY_B!GC26/Inv_SY_B!$IS26-1,"")</f>
        <v>-1.5997664214985385E-2</v>
      </c>
      <c r="GD26" s="62">
        <f>IFERROR(Inv_SY_B!GD26/Inv_SY_B!$IS26-1,"")</f>
        <v>5.8048108965138567E-3</v>
      </c>
      <c r="GE26" s="62">
        <f>IFERROR(Inv_SY_B!GE26/Inv_SY_B!$IS26-1,"")</f>
        <v>-2.0013647919778998E-2</v>
      </c>
      <c r="GF26" s="62">
        <f>IFERROR(Inv_SY_B!GF26/Inv_SY_B!$IS26-1,"")</f>
        <v>-2.0127601025761832E-2</v>
      </c>
      <c r="GG26" s="62">
        <f>IFERROR(Inv_SY_B!GG26/Inv_SY_B!$IS26-1,"")</f>
        <v>-1.4266682003859832E-2</v>
      </c>
      <c r="GH26" s="62">
        <f>IFERROR(Inv_SY_B!GH26/Inv_SY_B!$IS26-1,"")</f>
        <v>-1.193955239222233E-2</v>
      </c>
      <c r="GI26" s="62">
        <f>IFERROR(Inv_SY_B!GI26/Inv_SY_B!$IS26-1,"")</f>
        <v>-1.8436122558043944E-2</v>
      </c>
      <c r="GJ26" s="62">
        <f>IFERROR(Inv_SY_B!GJ26/Inv_SY_B!$IS26-1,"")</f>
        <v>-1.4600103910982209E-3</v>
      </c>
      <c r="GK26" s="62">
        <f>IFERROR(Inv_SY_B!GK26/Inv_SY_B!$IS26-1,"")</f>
        <v>9.1298589353641102E-3</v>
      </c>
      <c r="GL26" s="62">
        <f>IFERROR(Inv_SY_B!GL26/Inv_SY_B!$IS26-1,"")</f>
        <v>-5.0106855797945604E-3</v>
      </c>
      <c r="GM26" s="62">
        <f>IFERROR(Inv_SY_B!GM26/Inv_SY_B!$IS26-1,"")</f>
        <v>-9.1518450449482591E-3</v>
      </c>
      <c r="GN26" s="62">
        <f>IFERROR(Inv_SY_B!GN26/Inv_SY_B!$IS26-1,"")</f>
        <v>-1.2181961726767887E-2</v>
      </c>
      <c r="GO26" s="62">
        <f>IFERROR(Inv_SY_B!GO26/Inv_SY_B!$IS26-1,"")</f>
        <v>-4.6066700222185952E-3</v>
      </c>
      <c r="GP26" s="62">
        <f>IFERROR(Inv_SY_B!GP26/Inv_SY_B!$IS26-1,"")</f>
        <v>-1.5919105634345621E-2</v>
      </c>
      <c r="GQ26" s="62">
        <f>IFERROR(Inv_SY_B!GQ26/Inv_SY_B!$IS26-1,"")</f>
        <v>-1.1697143057676884E-2</v>
      </c>
      <c r="GR26" s="62">
        <f>IFERROR(Inv_SY_B!GR26/Inv_SY_B!$IS26-1,"")</f>
        <v>-6.1494999489042357E-5</v>
      </c>
      <c r="GS26" s="62" t="str">
        <f>IFERROR(Inv_SY_B!GS26/Inv_SY_B!$IS26-1,"")</f>
        <v/>
      </c>
      <c r="GT26" s="62" t="str">
        <f>IFERROR(Inv_SY_B!GT26/Inv_SY_B!$IS26-1,"")</f>
        <v/>
      </c>
      <c r="GU26" s="62">
        <f>IFERROR(Inv_SY_B!GU26/Inv_SY_B!$IS26-1,"")</f>
        <v>6.9415322850150618E-2</v>
      </c>
      <c r="GV26" s="62">
        <f>IFERROR(Inv_SY_B!GV26/Inv_SY_B!$IS26-1,"")</f>
        <v>1.3218364407532324E-3</v>
      </c>
      <c r="GW26" s="62">
        <f>IFERROR(Inv_SY_B!GW26/Inv_SY_B!$IS26-1,"")</f>
        <v>-4.0523803853004248E-3</v>
      </c>
      <c r="GX26" s="62" t="str">
        <f>IFERROR(Inv_SY_B!GX26/Inv_SY_B!$IS26-1,"")</f>
        <v/>
      </c>
      <c r="GY26" s="62">
        <f>IFERROR(Inv_SY_B!GY26/Inv_SY_B!$IS26-1,"")</f>
        <v>-2.2069710899021988E-2</v>
      </c>
      <c r="GZ26" s="62">
        <f>IFERROR(Inv_SY_B!GZ26/Inv_SY_B!$IS26-1,"")</f>
        <v>-1.9985363338825057E-2</v>
      </c>
      <c r="HA26" s="62">
        <f>IFERROR(Inv_SY_B!HA26/Inv_SY_B!$IS26-1,"")</f>
        <v>2.1060801510634164E-2</v>
      </c>
      <c r="HB26" s="62">
        <f>IFERROR(Inv_SY_B!HB26/Inv_SY_B!$IS26-1,"")</f>
        <v>-1.8687066153805665E-2</v>
      </c>
      <c r="HC26" s="62">
        <f>IFERROR(Inv_SY_B!HC26/Inv_SY_B!$IS26-1,"")</f>
        <v>-1.7888114039947611E-2</v>
      </c>
      <c r="HD26" s="62">
        <f>IFERROR(Inv_SY_B!HD26/Inv_SY_B!$IS26-1,"")</f>
        <v>-2.1583267566541164E-2</v>
      </c>
      <c r="HE26" s="62">
        <f>IFERROR(Inv_SY_B!HE26/Inv_SY_B!$IS26-1,"")</f>
        <v>-1.2395318257173216E-2</v>
      </c>
      <c r="HF26" s="62">
        <f>IFERROR(Inv_SY_B!HF26/Inv_SY_B!$IS26-1,"")</f>
        <v>-2.0284970381521883E-2</v>
      </c>
      <c r="HG26" s="62">
        <f>IFERROR(Inv_SY_B!HG26/Inv_SY_B!$IS26-1,"")</f>
        <v>-1.5790864741070165E-2</v>
      </c>
      <c r="HH26" s="62">
        <f>IFERROR(Inv_SY_B!HH26/Inv_SY_B!$IS26-1,"")</f>
        <v>-2.2282350666167128E-2</v>
      </c>
      <c r="HI26" s="62">
        <f>IFERROR(Inv_SY_B!HI26/Inv_SY_B!$IS26-1,"")</f>
        <v>-7.106435919986831E-4</v>
      </c>
      <c r="HJ26" s="62">
        <f>IFERROR(Inv_SY_B!HJ26/Inv_SY_B!$IS26-1,"")</f>
        <v>-1.5291519669908715E-2</v>
      </c>
      <c r="HK26" s="62">
        <f>IFERROR(Inv_SY_B!HK26/Inv_SY_B!$IS26-1,"")</f>
        <v>-1.862048681098416E-2</v>
      </c>
      <c r="HL26" s="62">
        <f>IFERROR(Inv_SY_B!HL26/Inv_SY_B!$IS26-1,"")</f>
        <v>5.5326969949436311E-2</v>
      </c>
      <c r="HM26" s="62">
        <f>IFERROR(Inv_SY_B!HM26/Inv_SY_B!$IS26-1,"")</f>
        <v>-1.125650737074424E-2</v>
      </c>
      <c r="HN26" s="62">
        <f>IFERROR(Inv_SY_B!HN26/Inv_SY_B!$IS26-1,"")</f>
        <v>4.0091282705412734E-2</v>
      </c>
      <c r="HO26" s="62">
        <f>IFERROR(Inv_SY_B!HO26/Inv_SY_B!$IS26-1,"")</f>
        <v>4.6260978412237863E-2</v>
      </c>
      <c r="HP26" s="62">
        <f>IFERROR(Inv_SY_B!HP26/Inv_SY_B!$IS26-1,"")</f>
        <v>5.1554975373578005E-2</v>
      </c>
      <c r="HQ26" s="62">
        <f>IFERROR(Inv_SY_B!HQ26/Inv_SY_B!$IS26-1,"")</f>
        <v>-9.8412366709706989E-3</v>
      </c>
      <c r="HR26" s="62">
        <f>IFERROR(Inv_SY_B!HR26/Inv_SY_B!$IS26-1,"")</f>
        <v>3.8859964575603811E-3</v>
      </c>
      <c r="HS26" s="62">
        <f>IFERROR(Inv_SY_B!HS26/Inv_SY_B!$IS26-1,"")</f>
        <v>1.5787717559170744E-2</v>
      </c>
      <c r="HT26" s="62">
        <f>IFERROR(Inv_SY_B!HT26/Inv_SY_B!$IS26-1,"")</f>
        <v>6.5021185469977816E-3</v>
      </c>
      <c r="HU26" s="62">
        <f>IFERROR(Inv_SY_B!HU26/Inv_SY_B!$IS26-1,"")</f>
        <v>4.8359278138236927E-3</v>
      </c>
      <c r="HV26" s="62">
        <f>IFERROR(Inv_SY_B!HV26/Inv_SY_B!$IS26-1,"")</f>
        <v>1.3440191304359139E-4</v>
      </c>
      <c r="HW26" s="62">
        <f>IFERROR(Inv_SY_B!HW26/Inv_SY_B!$IS26-1,"")</f>
        <v>1.1952747412651954E-2</v>
      </c>
      <c r="HX26" s="62">
        <f>IFERROR(Inv_SY_B!HX26/Inv_SY_B!$IS26-1,"")</f>
        <v>-3.4608825993178716E-3</v>
      </c>
      <c r="HY26" s="62">
        <f>IFERROR(Inv_SY_B!HY26/Inv_SY_B!$IS26-1,"")</f>
        <v>-3.0853068192990829E-3</v>
      </c>
      <c r="HZ26" s="62">
        <f>IFERROR(Inv_SY_B!HZ26/Inv_SY_B!$IS26-1,"")</f>
        <v>1.0496879116288271E-2</v>
      </c>
      <c r="IA26" s="62">
        <f>IFERROR(Inv_SY_B!IA26/Inv_SY_B!$IS26-1,"")</f>
        <v>-2.10392258736255E-2</v>
      </c>
      <c r="IB26" s="62">
        <f>IFERROR(Inv_SY_B!IB26/Inv_SY_B!$IS26-1,"")</f>
        <v>2.7281362313926749E-3</v>
      </c>
      <c r="IC26" s="62">
        <f>IFERROR(Inv_SY_B!IC26/Inv_SY_B!$IS26-1,"")</f>
        <v>-1.8743853219451712E-3</v>
      </c>
      <c r="ID26" s="62">
        <f>IFERROR(Inv_SY_B!ID26/Inv_SY_B!$IS26-1,"")</f>
        <v>-1.2206900958717126E-2</v>
      </c>
      <c r="IE26" s="62">
        <f>IFERROR(Inv_SY_B!IE26/Inv_SY_B!$IS26-1,"")</f>
        <v>-8.4919529675742123E-3</v>
      </c>
      <c r="IF26" s="62" t="str">
        <f>IFERROR(Inv_SY_B!IF26/Inv_SY_B!$IS26-1,"")</f>
        <v/>
      </c>
      <c r="IG26" s="62">
        <f>IFERROR(Inv_SY_B!IG26/Inv_SY_B!$IS26-1,"")</f>
        <v>3.8065565813225621E-3</v>
      </c>
      <c r="IH26" s="62">
        <f>IFERROR(Inv_SY_B!IH26/Inv_SY_B!$IS26-1,"")</f>
        <v>-1.4573548073338438E-2</v>
      </c>
      <c r="II26" s="62">
        <f>IFERROR(Inv_SY_B!II26/Inv_SY_B!$IS26-1,"")</f>
        <v>8.2298690552415898E-3</v>
      </c>
      <c r="IJ26" s="62">
        <f>IFERROR(Inv_SY_B!IJ26/Inv_SY_B!$IS26-1,"")</f>
        <v>-1.4002525659054799E-2</v>
      </c>
      <c r="IK26" s="62">
        <f>IFERROR(Inv_SY_B!IK26/Inv_SY_B!$IS26-1,"")</f>
        <v>-2.725484983633264E-2</v>
      </c>
      <c r="IL26" s="62" t="str">
        <f>IFERROR(Inv_SY_B!IL26/Inv_SY_B!$IS26-1,"")</f>
        <v/>
      </c>
      <c r="IM26" s="62" t="str">
        <f>IFERROR(Inv_SY_B!IM26/Inv_SY_B!$IS26-1,"")</f>
        <v/>
      </c>
      <c r="IN26" s="62">
        <f>IFERROR(Inv_SY_B!IN26/Inv_SY_B!$IS26-1,"")</f>
        <v>1.6447416577321849E-2</v>
      </c>
      <c r="IO26" s="62">
        <f>IFERROR(Inv_SY_B!IO26/Inv_SY_B!$IS26-1,"")</f>
        <v>-6.3307019273918241E-3</v>
      </c>
      <c r="IP26" s="62">
        <f>IFERROR(Inv_SY_B!IP26/Inv_SY_B!$IS26-1,"")</f>
        <v>0.14700745305294327</v>
      </c>
      <c r="IQ26" s="62">
        <f>IFERROR(Inv_SY_B!IQ26/Inv_SY_B!$IS26-1,"")</f>
        <v>-1.482360191091836E-2</v>
      </c>
      <c r="IR26" s="62">
        <f>IFERROR(Inv_SY_B!IR26/Inv_SY_B!$IS26-1,"")</f>
        <v>-3.9307982250299522E-3</v>
      </c>
    </row>
    <row r="27" spans="2:252" x14ac:dyDescent="0.25">
      <c r="B27" s="85">
        <f t="shared" si="0"/>
        <v>45853</v>
      </c>
      <c r="C27" s="62">
        <f>IFERROR(Inv_SY_B!C27/Inv_SY_B!$IS27-1,"")</f>
        <v>-7.3253774082813194E-3</v>
      </c>
      <c r="D27" s="62">
        <f>IFERROR(Inv_SY_B!D27/Inv_SY_B!$IS27-1,"")</f>
        <v>-3.3429412112283563E-3</v>
      </c>
      <c r="E27" s="62">
        <f>IFERROR(Inv_SY_B!E27/Inv_SY_B!$IS27-1,"")</f>
        <v>-8.9758565163444715E-4</v>
      </c>
      <c r="F27" s="62">
        <f>IFERROR(Inv_SY_B!F27/Inv_SY_B!$IS27-1,"")</f>
        <v>-2.2469115052337729E-2</v>
      </c>
      <c r="G27" s="62">
        <f>IFERROR(Inv_SY_B!G27/Inv_SY_B!$IS27-1,"")</f>
        <v>1.1538794051443091E-2</v>
      </c>
      <c r="H27" s="62">
        <f>IFERROR(Inv_SY_B!H27/Inv_SY_B!$IS27-1,"")</f>
        <v>1.2840072545655667E-2</v>
      </c>
      <c r="I27" s="62">
        <f>IFERROR(Inv_SY_B!I27/Inv_SY_B!$IS27-1,"")</f>
        <v>2.3775800103398304E-4</v>
      </c>
      <c r="J27" s="62">
        <f>IFERROR(Inv_SY_B!J27/Inv_SY_B!$IS27-1,"")</f>
        <v>-2.0329293043030994E-3</v>
      </c>
      <c r="K27" s="62">
        <f>IFERROR(Inv_SY_B!K27/Inv_SY_B!$IS27-1,"")</f>
        <v>1.407078506514825E-2</v>
      </c>
      <c r="L27" s="62">
        <f>IFERROR(Inv_SY_B!L27/Inv_SY_B!$IS27-1,"")</f>
        <v>1.7449567775490005E-2</v>
      </c>
      <c r="M27" s="62">
        <f>IFERROR(Inv_SY_B!M27/Inv_SY_B!$IS27-1,"")</f>
        <v>-7.7096475676460274E-3</v>
      </c>
      <c r="N27" s="62">
        <f>IFERROR(Inv_SY_B!N27/Inv_SY_B!$IS27-1,"")</f>
        <v>1.1591194527720061E-2</v>
      </c>
      <c r="O27" s="62">
        <f>IFERROR(Inv_SY_B!O27/Inv_SY_B!$IS27-1,"")</f>
        <v>1.4997225485726018E-2</v>
      </c>
      <c r="P27" s="62">
        <f>IFERROR(Inv_SY_B!P27/Inv_SY_B!$IS27-1,"")</f>
        <v>-7.9160736863129744E-3</v>
      </c>
      <c r="Q27" s="62">
        <f>IFERROR(Inv_SY_B!Q27/Inv_SY_B!$IS27-1,"")</f>
        <v>1.0455850875051631E-2</v>
      </c>
      <c r="R27" s="62">
        <f>IFERROR(Inv_SY_B!R27/Inv_SY_B!$IS27-1,"")</f>
        <v>2.3285234150206557E-2</v>
      </c>
      <c r="S27" s="62">
        <f>IFERROR(Inv_SY_B!S27/Inv_SY_B!$IS27-1,"")</f>
        <v>1.511075985099275E-2</v>
      </c>
      <c r="T27" s="62">
        <f>IFERROR(Inv_SY_B!T27/Inv_SY_B!$IS27-1,"")</f>
        <v>-1.1115678525651762E-2</v>
      </c>
      <c r="U27" s="62">
        <f>IFERROR(Inv_SY_B!U27/Inv_SY_B!$IS27-1,"")</f>
        <v>1.9084462635332811E-2</v>
      </c>
      <c r="V27" s="62">
        <f>IFERROR(Inv_SY_B!V27/Inv_SY_B!$IS27-1,"")</f>
        <v>-3.3429412112283563E-3</v>
      </c>
      <c r="W27" s="62">
        <f>IFERROR(Inv_SY_B!W27/Inv_SY_B!$IS27-1,"")</f>
        <v>8.1851635697143266E-3</v>
      </c>
      <c r="X27" s="62">
        <f>IFERROR(Inv_SY_B!X27/Inv_SY_B!$IS27-1,"")</f>
        <v>-1.1002144160384919E-2</v>
      </c>
      <c r="Y27" s="62">
        <f>IFERROR(Inv_SY_B!Y27/Inv_SY_B!$IS27-1,"")</f>
        <v>2.9451159420130768E-3</v>
      </c>
      <c r="Z27" s="62">
        <f>IFERROR(Inv_SY_B!Z27/Inv_SY_B!$IS27-1,"")</f>
        <v>1.0203552285569462E-2</v>
      </c>
      <c r="AA27" s="62">
        <f>IFERROR(Inv_SY_B!AA27/Inv_SY_B!$IS27-1,"")</f>
        <v>-3.3429412112283563E-3</v>
      </c>
      <c r="AB27" s="62">
        <f>IFERROR(Inv_SY_B!AB27/Inv_SY_B!$IS27-1,"")</f>
        <v>-1.9891263460769526E-4</v>
      </c>
      <c r="AC27" s="62">
        <f>IFERROR(Inv_SY_B!AC27/Inv_SY_B!$IS27-1,"")</f>
        <v>-5.3341593097547824E-3</v>
      </c>
      <c r="AD27" s="62">
        <f>IFERROR(Inv_SY_B!AD27/Inv_SY_B!$IS27-1,"")</f>
        <v>-8.9758565163444715E-4</v>
      </c>
      <c r="AE27" s="62">
        <f>IFERROR(Inv_SY_B!AE27/Inv_SY_B!$IS27-1,"")</f>
        <v>-2.1485150553358312E-2</v>
      </c>
      <c r="AF27" s="62">
        <f>IFERROR(Inv_SY_B!AF27/Inv_SY_B!$IS27-1,"")</f>
        <v>-9.9803348729832209E-3</v>
      </c>
      <c r="AG27" s="62">
        <f>IFERROR(Inv_SY_B!AG27/Inv_SY_B!$IS27-1,"")</f>
        <v>1.2221941001424819E-2</v>
      </c>
      <c r="AH27" s="62">
        <f>IFERROR(Inv_SY_B!AH27/Inv_SY_B!$IS27-1,"")</f>
        <v>-8.9758565163444715E-4</v>
      </c>
      <c r="AI27" s="62">
        <f>IFERROR(Inv_SY_B!AI27/Inv_SY_B!$IS27-1,"")</f>
        <v>-1.7784483636432813E-2</v>
      </c>
      <c r="AJ27" s="62">
        <f>IFERROR(Inv_SY_B!AJ27/Inv_SY_B!$IS27-1,"")</f>
        <v>-2.3220976915284242E-2</v>
      </c>
      <c r="AK27" s="62">
        <f>IFERROR(Inv_SY_B!AK27/Inv_SY_B!$IS27-1,"")</f>
        <v>-2.9167642603082578E-2</v>
      </c>
      <c r="AL27" s="62">
        <f>IFERROR(Inv_SY_B!AL27/Inv_SY_B!$IS27-1,"")</f>
        <v>-1.4222395064687143E-2</v>
      </c>
      <c r="AM27" s="62">
        <f>IFERROR(Inv_SY_B!AM27/Inv_SY_B!$IS27-1,"")</f>
        <v>-2.4966871088208831E-2</v>
      </c>
      <c r="AN27" s="62">
        <f>IFERROR(Inv_SY_B!AN27/Inv_SY_B!$IS27-1,"")</f>
        <v>-2.2242046321804043E-2</v>
      </c>
      <c r="AO27" s="62">
        <f>IFERROR(Inv_SY_B!AO27/Inv_SY_B!$IS27-1,"")</f>
        <v>-1.5089381309991934E-2</v>
      </c>
      <c r="AP27" s="62">
        <f>IFERROR(Inv_SY_B!AP27/Inv_SY_B!$IS27-1,"")</f>
        <v>-2.1447305764936142E-2</v>
      </c>
      <c r="AQ27" s="62">
        <f>IFERROR(Inv_SY_B!AQ27/Inv_SY_B!$IS27-1,"")</f>
        <v>-1.3726968926789596E-2</v>
      </c>
      <c r="AR27" s="62">
        <f>IFERROR(Inv_SY_B!AR27/Inv_SY_B!$IS27-1,"")</f>
        <v>-1.3386365830988955E-2</v>
      </c>
      <c r="AS27" s="62">
        <f>IFERROR(Inv_SY_B!AS27/Inv_SY_B!$IS27-1,"")</f>
        <v>-1.9063084094332106E-2</v>
      </c>
      <c r="AT27" s="62">
        <f>IFERROR(Inv_SY_B!AT27/Inv_SY_B!$IS27-1,"")</f>
        <v>-2.2469115052337729E-2</v>
      </c>
      <c r="AU27" s="62">
        <f>IFERROR(Inv_SY_B!AU27/Inv_SY_B!$IS27-1,"")</f>
        <v>1.9425065731133451E-2</v>
      </c>
      <c r="AV27" s="62">
        <f>IFERROR(Inv_SY_B!AV27/Inv_SY_B!$IS27-1,"")</f>
        <v>2.0219806288001463E-2</v>
      </c>
      <c r="AW27" s="62">
        <f>IFERROR(Inv_SY_B!AW27/Inv_SY_B!$IS27-1,"")</f>
        <v>-3.3429412112283563E-3</v>
      </c>
      <c r="AX27" s="62">
        <f>IFERROR(Inv_SY_B!AX27/Inv_SY_B!$IS27-1,"")</f>
        <v>-2.712402402827907E-2</v>
      </c>
      <c r="AY27" s="62">
        <f>IFERROR(Inv_SY_B!AY27/Inv_SY_B!$IS27-1,"")</f>
        <v>-1.9281070075644391E-2</v>
      </c>
      <c r="AZ27" s="62">
        <f>IFERROR(Inv_SY_B!AZ27/Inv_SY_B!$IS27-1,"")</f>
        <v>-2.0588985963518547E-2</v>
      </c>
      <c r="BA27" s="62">
        <f>IFERROR(Inv_SY_B!BA27/Inv_SY_B!$IS27-1,"")</f>
        <v>-1.5657053136326149E-2</v>
      </c>
      <c r="BB27" s="62">
        <f>IFERROR(Inv_SY_B!BB27/Inv_SY_B!$IS27-1,"")</f>
        <v>-2.0329293043030994E-3</v>
      </c>
      <c r="BC27" s="62">
        <f>IFERROR(Inv_SY_B!BC27/Inv_SY_B!$IS27-1,"")</f>
        <v>1.8680784892161739E-2</v>
      </c>
      <c r="BD27" s="62">
        <f>IFERROR(Inv_SY_B!BD27/Inv_SY_B!$IS27-1,"")</f>
        <v>-2.8347672187266415E-2</v>
      </c>
      <c r="BE27" s="62">
        <f>IFERROR(Inv_SY_B!BE27/Inv_SY_B!$IS27-1,"")</f>
        <v>-2.6713553630775655E-2</v>
      </c>
      <c r="BF27" s="62">
        <f>IFERROR(Inv_SY_B!BF27/Inv_SY_B!$IS27-1,"")</f>
        <v>6.3686137254446162E-3</v>
      </c>
      <c r="BG27" s="62">
        <f>IFERROR(Inv_SY_B!BG27/Inv_SY_B!$IS27-1,"")</f>
        <v>-3.9251687254173717E-3</v>
      </c>
      <c r="BH27" s="62">
        <f>IFERROR(Inv_SY_B!BH27/Inv_SY_B!$IS27-1,"")</f>
        <v>-2.8145833315680879E-2</v>
      </c>
      <c r="BI27" s="62">
        <f>IFERROR(Inv_SY_B!BI27/Inv_SY_B!$IS27-1,"")</f>
        <v>-8.9758565163444715E-4</v>
      </c>
      <c r="BJ27" s="62">
        <f>IFERROR(Inv_SY_B!BJ27/Inv_SY_B!$IS27-1,"")</f>
        <v>3.1194794930464509E-2</v>
      </c>
      <c r="BK27" s="62">
        <f>IFERROR(Inv_SY_B!BK27/Inv_SY_B!$IS27-1,"")</f>
        <v>-1.0207403603516907E-2</v>
      </c>
      <c r="BL27" s="62">
        <f>IFERROR(Inv_SY_B!BL27/Inv_SY_B!$IS27-1,"")</f>
        <v>1.924536312756131E-2</v>
      </c>
      <c r="BM27" s="62">
        <f>IFERROR(Inv_SY_B!BM27/Inv_SY_B!$IS27-1,"")</f>
        <v>-2.9167642603082578E-2</v>
      </c>
      <c r="BN27" s="62">
        <f>IFERROR(Inv_SY_B!BN27/Inv_SY_B!$IS27-1,"")</f>
        <v>1.7297808987559726E-2</v>
      </c>
      <c r="BO27" s="62">
        <f>IFERROR(Inv_SY_B!BO27/Inv_SY_B!$IS27-1,"")</f>
        <v>1.6254836916374193E-2</v>
      </c>
      <c r="BP27" s="62">
        <f>IFERROR(Inv_SY_B!BP27/Inv_SY_B!$IS27-1,"")</f>
        <v>1.007158071568659E-2</v>
      </c>
      <c r="BQ27" s="62">
        <f>IFERROR(Inv_SY_B!BQ27/Inv_SY_B!$IS27-1,"")</f>
        <v>2.3486102642601869E-2</v>
      </c>
      <c r="BR27" s="62">
        <f>IFERROR(Inv_SY_B!BR27/Inv_SY_B!$IS27-1,"")</f>
        <v>-1.3517231127018192E-3</v>
      </c>
      <c r="BS27" s="62">
        <f>IFERROR(Inv_SY_B!BS27/Inv_SY_B!$IS27-1,"")</f>
        <v>1.6359637868928356E-2</v>
      </c>
      <c r="BT27" s="62">
        <f>IFERROR(Inv_SY_B!BT27/Inv_SY_B!$IS27-1,"")</f>
        <v>1.0001713413984037E-2</v>
      </c>
      <c r="BU27" s="62">
        <f>IFERROR(Inv_SY_B!BU27/Inv_SY_B!$IS27-1,"")</f>
        <v>2.2831096689139185E-2</v>
      </c>
      <c r="BV27" s="62">
        <f>IFERROR(Inv_SY_B!BV27/Inv_SY_B!$IS27-1,"")</f>
        <v>1.8403256443731753E-2</v>
      </c>
      <c r="BW27" s="62">
        <f>IFERROR(Inv_SY_B!BW27/Inv_SY_B!$IS27-1,"")</f>
        <v>-1.7019465519528598E-2</v>
      </c>
      <c r="BX27" s="62">
        <f>IFERROR(Inv_SY_B!BX27/Inv_SY_B!$IS27-1,"")</f>
        <v>1.7835584617397426E-2</v>
      </c>
      <c r="BY27" s="62">
        <f>IFERROR(Inv_SY_B!BY27/Inv_SY_B!$IS27-1,"")</f>
        <v>2.9277325650401975E-2</v>
      </c>
      <c r="BZ27" s="62">
        <f>IFERROR(Inv_SY_B!BZ27/Inv_SY_B!$IS27-1,"")</f>
        <v>1.080906890032618E-2</v>
      </c>
      <c r="CA27" s="62">
        <f>IFERROR(Inv_SY_B!CA27/Inv_SY_B!$IS27-1,"")</f>
        <v>3.0488358879915189E-2</v>
      </c>
      <c r="CB27" s="62">
        <f>IFERROR(Inv_SY_B!CB27/Inv_SY_B!$IS27-1,"")</f>
        <v>2.3171699784939825E-2</v>
      </c>
      <c r="CC27" s="62">
        <f>IFERROR(Inv_SY_B!CC27/Inv_SY_B!$IS27-1,"")</f>
        <v>2.0787478114335789E-2</v>
      </c>
      <c r="CD27" s="62">
        <f>IFERROR(Inv_SY_B!CD27/Inv_SY_B!$IS27-1,"")</f>
        <v>2.9250155033073266E-2</v>
      </c>
      <c r="CE27" s="62">
        <f>IFERROR(Inv_SY_B!CE27/Inv_SY_B!$IS27-1,"")</f>
        <v>2.9870227335684563E-2</v>
      </c>
      <c r="CF27" s="62">
        <f>IFERROR(Inv_SY_B!CF27/Inv_SY_B!$IS27-1,"")</f>
        <v>-1.4975846944725091E-2</v>
      </c>
      <c r="CG27" s="62">
        <f>IFERROR(Inv_SY_B!CG27/Inv_SY_B!$IS27-1,"")</f>
        <v>2.8848418048282864E-2</v>
      </c>
      <c r="CH27" s="62">
        <f>IFERROR(Inv_SY_B!CH27/Inv_SY_B!$IS27-1,"")</f>
        <v>4.1450732592904105E-2</v>
      </c>
      <c r="CI27" s="62">
        <f>IFERROR(Inv_SY_B!CI27/Inv_SY_B!$IS27-1,"")</f>
        <v>2.69183338387462E-2</v>
      </c>
      <c r="CJ27" s="62">
        <f>IFERROR(Inv_SY_B!CJ27/Inv_SY_B!$IS27-1,"")</f>
        <v>3.1913845910487959E-2</v>
      </c>
      <c r="CK27" s="62">
        <f>IFERROR(Inv_SY_B!CK27/Inv_SY_B!$IS27-1,"")</f>
        <v>1.7722050252130472E-2</v>
      </c>
      <c r="CL27" s="62">
        <f>IFERROR(Inv_SY_B!CL27/Inv_SY_B!$IS27-1,"")</f>
        <v>1.4088950563591052E-2</v>
      </c>
      <c r="CM27" s="62">
        <f>IFERROR(Inv_SY_B!CM27/Inv_SY_B!$IS27-1,"")</f>
        <v>2.3058165419672871E-2</v>
      </c>
      <c r="CN27" s="62">
        <f>IFERROR(Inv_SY_B!CN27/Inv_SY_B!$IS27-1,"")</f>
        <v>1.8289722078464798E-2</v>
      </c>
      <c r="CO27" s="62">
        <f>IFERROR(Inv_SY_B!CO27/Inv_SY_B!$IS27-1,"")</f>
        <v>4.3704088967477794E-3</v>
      </c>
      <c r="CP27" s="62">
        <f>IFERROR(Inv_SY_B!CP27/Inv_SY_B!$IS27-1,"")</f>
        <v>2.0132472160873105E-2</v>
      </c>
      <c r="CQ27" s="62">
        <f>IFERROR(Inv_SY_B!CQ27/Inv_SY_B!$IS27-1,"")</f>
        <v>-2.2469115052337729E-2</v>
      </c>
      <c r="CR27" s="62">
        <f>IFERROR(Inv_SY_B!CR27/Inv_SY_B!$IS27-1,"")</f>
        <v>-1.1115678525651762E-2</v>
      </c>
      <c r="CS27" s="62">
        <f>IFERROR(Inv_SY_B!CS27/Inv_SY_B!$IS27-1,"")</f>
        <v>7.4787275191650071E-3</v>
      </c>
      <c r="CT27" s="62">
        <f>IFERROR(Inv_SY_B!CT27/Inv_SY_B!$IS27-1,"")</f>
        <v>-4.4344819056707507E-4</v>
      </c>
      <c r="CU27" s="62">
        <f>IFERROR(Inv_SY_B!CU27/Inv_SY_B!$IS27-1,"")</f>
        <v>1.2045331988787433E-2</v>
      </c>
      <c r="CV27" s="62">
        <f>IFERROR(Inv_SY_B!CV27/Inv_SY_B!$IS27-1,"")</f>
        <v>1.8289722078464798E-2</v>
      </c>
      <c r="CW27" s="62">
        <f>IFERROR(Inv_SY_B!CW27/Inv_SY_B!$IS27-1,"")</f>
        <v>1.7949118982664158E-2</v>
      </c>
      <c r="CX27" s="62">
        <f>IFERROR(Inv_SY_B!CX27/Inv_SY_B!$IS27-1,"")</f>
        <v>8.9799041265823387E-3</v>
      </c>
      <c r="CY27" s="62">
        <f>IFERROR(Inv_SY_B!CY27/Inv_SY_B!$IS27-1,"")</f>
        <v>2.1809287401737487E-2</v>
      </c>
      <c r="CZ27" s="62">
        <f>IFERROR(Inv_SY_B!CZ27/Inv_SY_B!$IS27-1,"")</f>
        <v>1.2840072545655667E-2</v>
      </c>
      <c r="DA27" s="62">
        <f>IFERROR(Inv_SY_B!DA27/Inv_SY_B!$IS27-1,"")</f>
        <v>-1.3386365830988955E-2</v>
      </c>
      <c r="DB27" s="62">
        <f>IFERROR(Inv_SY_B!DB27/Inv_SY_B!$IS27-1,"")</f>
        <v>1.2385935084588295E-2</v>
      </c>
      <c r="DC27" s="62">
        <f>IFERROR(Inv_SY_B!DC27/Inv_SY_B!$IS27-1,"")</f>
        <v>-2.2393425475493167E-2</v>
      </c>
      <c r="DD27" s="62">
        <f>IFERROR(Inv_SY_B!DD27/Inv_SY_B!$IS27-1,"")</f>
        <v>-2.4739802357675034E-2</v>
      </c>
      <c r="DE27" s="62">
        <f>IFERROR(Inv_SY_B!DE27/Inv_SY_B!$IS27-1,"")</f>
        <v>-9.9803348729832209E-3</v>
      </c>
      <c r="DF27" s="62">
        <f>IFERROR(Inv_SY_B!DF27/Inv_SY_B!$IS27-1,"")</f>
        <v>-8.1373481206419296E-3</v>
      </c>
      <c r="DG27" s="62">
        <f>IFERROR(Inv_SY_B!DG27/Inv_SY_B!$IS27-1,"")</f>
        <v>-1.2478090908854211E-2</v>
      </c>
      <c r="DH27" s="62">
        <f>IFERROR(Inv_SY_B!DH27/Inv_SY_B!$IS27-1,"")</f>
        <v>-2.0375036759637921E-2</v>
      </c>
      <c r="DI27" s="62">
        <f>IFERROR(Inv_SY_B!DI27/Inv_SY_B!$IS27-1,"")</f>
        <v>-1.5919055517711334E-2</v>
      </c>
      <c r="DJ27" s="62">
        <f>IFERROR(Inv_SY_B!DJ27/Inv_SY_B!$IS27-1,"")</f>
        <v>-2.8189364484583201E-3</v>
      </c>
      <c r="DK27" s="62">
        <f>IFERROR(Inv_SY_B!DK27/Inv_SY_B!$IS27-1,"")</f>
        <v>-7.9666621584162378E-4</v>
      </c>
      <c r="DL27" s="62">
        <f>IFERROR(Inv_SY_B!DL27/Inv_SY_B!$IS27-1,"")</f>
        <v>-1.9264922965917641E-2</v>
      </c>
      <c r="DM27" s="62">
        <f>IFERROR(Inv_SY_B!DM27/Inv_SY_B!$IS27-1,"")</f>
        <v>4.7791326117085919E-3</v>
      </c>
      <c r="DN27" s="62">
        <f>IFERROR(Inv_SY_B!DN27/Inv_SY_B!$IS27-1,"")</f>
        <v>-1.3726968926789596E-2</v>
      </c>
      <c r="DO27" s="62">
        <f>IFERROR(Inv_SY_B!DO27/Inv_SY_B!$IS27-1,"")</f>
        <v>-2.8623672832260638E-2</v>
      </c>
      <c r="DP27" s="62">
        <f>IFERROR(Inv_SY_B!DP27/Inv_SY_B!$IS27-1,"")</f>
        <v>-3.0164222031536014E-2</v>
      </c>
      <c r="DQ27" s="62">
        <f>IFERROR(Inv_SY_B!DQ27/Inv_SY_B!$IS27-1,"")</f>
        <v>-9.9803348729832209E-3</v>
      </c>
      <c r="DR27" s="62">
        <f>IFERROR(Inv_SY_B!DR27/Inv_SY_B!$IS27-1,"")</f>
        <v>-1.9744290285933164E-2</v>
      </c>
      <c r="DS27" s="62">
        <f>IFERROR(Inv_SY_B!DS27/Inv_SY_B!$IS27-1,"")</f>
        <v>-7.0284413760449693E-3</v>
      </c>
      <c r="DT27" s="62">
        <f>IFERROR(Inv_SY_B!DT27/Inv_SY_B!$IS27-1,"")</f>
        <v>-1.5228145534207038E-2</v>
      </c>
      <c r="DU27" s="62">
        <f>IFERROR(Inv_SY_B!DU27/Inv_SY_B!$IS27-1,"")</f>
        <v>-1.8053889736404316E-2</v>
      </c>
      <c r="DV27" s="62">
        <f>IFERROR(Inv_SY_B!DV27/Inv_SY_B!$IS27-1,"")</f>
        <v>-2.0539030842801176E-2</v>
      </c>
      <c r="DW27" s="62">
        <f>IFERROR(Inv_SY_B!DW27/Inv_SY_B!$IS27-1,"")</f>
        <v>-1.9063084094332106E-2</v>
      </c>
      <c r="DX27" s="62">
        <f>IFERROR(Inv_SY_B!DX27/Inv_SY_B!$IS27-1,"")</f>
        <v>-1.0081254308776044E-2</v>
      </c>
      <c r="DY27" s="62">
        <f>IFERROR(Inv_SY_B!DY27/Inv_SY_B!$IS27-1,"")</f>
        <v>1.2595672884359033E-3</v>
      </c>
      <c r="DZ27" s="62">
        <f>IFERROR(Inv_SY_B!DZ27/Inv_SY_B!$IS27-1,"")</f>
        <v>-2.0329293043030994E-3</v>
      </c>
      <c r="EA27" s="62">
        <f>IFERROR(Inv_SY_B!EA27/Inv_SY_B!$IS27-1,"")</f>
        <v>4.7539027527603306E-3</v>
      </c>
      <c r="EB27" s="62">
        <f>IFERROR(Inv_SY_B!EB27/Inv_SY_B!$IS27-1,"")</f>
        <v>-4.2279270327957308E-3</v>
      </c>
      <c r="EC27" s="62">
        <f>IFERROR(Inv_SY_B!EC27/Inv_SY_B!$IS27-1,"")</f>
        <v>-2.1263904097966635E-2</v>
      </c>
      <c r="ED27" s="62">
        <f>IFERROR(Inv_SY_B!ED27/Inv_SY_B!$IS27-1,"")</f>
        <v>8.6043673799303111E-3</v>
      </c>
      <c r="EE27" s="62">
        <f>IFERROR(Inv_SY_B!EE27/Inv_SY_B!$IS27-1,"")</f>
        <v>2.7363737887100781E-2</v>
      </c>
      <c r="EF27" s="62">
        <f>IFERROR(Inv_SY_B!EF27/Inv_SY_B!$IS27-1,"")</f>
        <v>-2.0948571399030946E-3</v>
      </c>
      <c r="EG27" s="62">
        <f>IFERROR(Inv_SY_B!EG27/Inv_SY_B!$IS27-1,"")</f>
        <v>1.3282300807569092E-2</v>
      </c>
      <c r="EH27" s="62">
        <f>IFERROR(Inv_SY_B!EH27/Inv_SY_B!$IS27-1,"")</f>
        <v>-3.9943744049447671E-3</v>
      </c>
      <c r="EI27" s="62">
        <f>IFERROR(Inv_SY_B!EI27/Inv_SY_B!$IS27-1,"")</f>
        <v>-2.0105139020295315E-2</v>
      </c>
      <c r="EJ27" s="62">
        <f>IFERROR(Inv_SY_B!EJ27/Inv_SY_B!$IS27-1,"")</f>
        <v>1.5508130129426867E-2</v>
      </c>
      <c r="EK27" s="62">
        <f>IFERROR(Inv_SY_B!EK27/Inv_SY_B!$IS27-1,"")</f>
        <v>-1.7973154187770235E-2</v>
      </c>
      <c r="EL27" s="62">
        <f>IFERROR(Inv_SY_B!EL27/Inv_SY_B!$IS27-1,"")</f>
        <v>1.0455850875051631E-2</v>
      </c>
      <c r="EM27" s="62">
        <f>IFERROR(Inv_SY_B!EM27/Inv_SY_B!$IS27-1,"")</f>
        <v>8.918770237592577E-3</v>
      </c>
      <c r="EN27" s="62">
        <f>IFERROR(Inv_SY_B!EN27/Inv_SY_B!$IS27-1,"")</f>
        <v>-7.3253774082813194E-3</v>
      </c>
      <c r="EO27" s="62">
        <f>IFERROR(Inv_SY_B!EO27/Inv_SY_B!$IS27-1,"")</f>
        <v>8.1851635697143266E-3</v>
      </c>
      <c r="EP27" s="62">
        <f>IFERROR(Inv_SY_B!EP27/Inv_SY_B!$IS27-1,"")</f>
        <v>-3.6573440688904002E-3</v>
      </c>
      <c r="EQ27" s="62">
        <f>IFERROR(Inv_SY_B!EQ27/Inv_SY_B!$IS27-1,"")</f>
        <v>-1.5657053136326149E-2</v>
      </c>
      <c r="ER27" s="62">
        <f>IFERROR(Inv_SY_B!ER27/Inv_SY_B!$IS27-1,"")</f>
        <v>1.2062798814213238E-2</v>
      </c>
      <c r="ES27" s="62">
        <f>IFERROR(Inv_SY_B!ES27/Inv_SY_B!$IS27-1,"")</f>
        <v>9.2069728571160248E-3</v>
      </c>
      <c r="ET27" s="62">
        <f>IFERROR(Inv_SY_B!ET27/Inv_SY_B!$IS27-1,"")</f>
        <v>2.2552421428938763E-2</v>
      </c>
      <c r="EU27" s="62">
        <f>IFERROR(Inv_SY_B!EU27/Inv_SY_B!$IS27-1,"")</f>
        <v>6.613149281403885E-3</v>
      </c>
      <c r="EV27" s="62">
        <f>IFERROR(Inv_SY_B!EV27/Inv_SY_B!$IS27-1,"")</f>
        <v>1.604523501126609E-2</v>
      </c>
      <c r="EW27" s="62">
        <f>IFERROR(Inv_SY_B!EW27/Inv_SY_B!$IS27-1,"")</f>
        <v>2.4638913120696104E-2</v>
      </c>
      <c r="EX27" s="62">
        <f>IFERROR(Inv_SY_B!EX27/Inv_SY_B!$IS27-1,"")</f>
        <v>2.0106271922734509E-2</v>
      </c>
      <c r="EY27" s="62">
        <f>IFERROR(Inv_SY_B!EY27/Inv_SY_B!$IS27-1,"")</f>
        <v>-2.0072278452259673E-2</v>
      </c>
      <c r="EZ27" s="62">
        <f>IFERROR(Inv_SY_B!EZ27/Inv_SY_B!$IS27-1,"")</f>
        <v>2.0560409383802103E-2</v>
      </c>
      <c r="FA27" s="62">
        <f>IFERROR(Inv_SY_B!FA27/Inv_SY_B!$IS27-1,"")</f>
        <v>7.3904230128463144E-3</v>
      </c>
      <c r="FB27" s="62">
        <f>IFERROR(Inv_SY_B!FB27/Inv_SY_B!$IS27-1,"")</f>
        <v>-3.0547385917047976E-3</v>
      </c>
      <c r="FC27" s="62">
        <f>IFERROR(Inv_SY_B!FC27/Inv_SY_B!$IS27-1,"")</f>
        <v>7.1633542823126284E-3</v>
      </c>
      <c r="FD27" s="62">
        <f>IFERROR(Inv_SY_B!FD27/Inv_SY_B!$IS27-1,"")</f>
        <v>8.0542982736853119E-4</v>
      </c>
      <c r="FE27" s="62">
        <f>IFERROR(Inv_SY_B!FE27/Inv_SY_B!$IS27-1,"")</f>
        <v>7.0111150197955663E-3</v>
      </c>
      <c r="FF27" s="62">
        <f>IFERROR(Inv_SY_B!FF27/Inv_SY_B!$IS27-1,"")</f>
        <v>1.160409616013669E-2</v>
      </c>
      <c r="FG27" s="62">
        <f>IFERROR(Inv_SY_B!FG27/Inv_SY_B!$IS27-1,"")</f>
        <v>9.6393208945464437E-3</v>
      </c>
      <c r="FH27" s="62">
        <f>IFERROR(Inv_SY_B!FH27/Inv_SY_B!$IS27-1,"")</f>
        <v>2.4181338794544427E-3</v>
      </c>
      <c r="FI27" s="62">
        <f>IFERROR(Inv_SY_B!FI27/Inv_SY_B!$IS27-1,"")</f>
        <v>-2.8431389446503585E-2</v>
      </c>
      <c r="FJ27" s="62">
        <f>IFERROR(Inv_SY_B!FJ27/Inv_SY_B!$IS27-1,"")</f>
        <v>5.9649359822735448E-3</v>
      </c>
      <c r="FK27" s="62">
        <f>IFERROR(Inv_SY_B!FK27/Inv_SY_B!$IS27-1,"")</f>
        <v>1.8621150680102394E-2</v>
      </c>
      <c r="FL27" s="62">
        <f>IFERROR(Inv_SY_B!FL27/Inv_SY_B!$IS27-1,"")</f>
        <v>1.4460930429428975E-2</v>
      </c>
      <c r="FM27" s="62">
        <f>IFERROR(Inv_SY_B!FM27/Inv_SY_B!$IS27-1,"")</f>
        <v>1.216433092838809E-4</v>
      </c>
      <c r="FN27" s="62">
        <f>IFERROR(Inv_SY_B!FN27/Inv_SY_B!$IS27-1,"")</f>
        <v>-1.9143360918258079E-2</v>
      </c>
      <c r="FO27" s="62">
        <f>IFERROR(Inv_SY_B!FO27/Inv_SY_B!$IS27-1,"")</f>
        <v>2.676093392326262E-2</v>
      </c>
      <c r="FP27" s="62">
        <f>IFERROR(Inv_SY_B!FP27/Inv_SY_B!$IS27-1,"")</f>
        <v>-2.8860067686268698E-2</v>
      </c>
      <c r="FQ27" s="62">
        <f>IFERROR(Inv_SY_B!FQ27/Inv_SY_B!$IS27-1,"")</f>
        <v>1.2256299482065192E-2</v>
      </c>
      <c r="FR27" s="62">
        <f>IFERROR(Inv_SY_B!FR27/Inv_SY_B!$IS27-1,"")</f>
        <v>1.2697225671538082E-2</v>
      </c>
      <c r="FS27" s="62">
        <f>IFERROR(Inv_SY_B!FS27/Inv_SY_B!$IS27-1,"")</f>
        <v>-2.8127613081563307E-3</v>
      </c>
      <c r="FT27" s="62">
        <f>IFERROR(Inv_SY_B!FT27/Inv_SY_B!$IS27-1,"")</f>
        <v>-2.9521456970477811E-2</v>
      </c>
      <c r="FU27" s="62">
        <f>IFERROR(Inv_SY_B!FU27/Inv_SY_B!$IS27-1,"")</f>
        <v>2.9950504159610647E-2</v>
      </c>
      <c r="FV27" s="62">
        <f>IFERROR(Inv_SY_B!FV27/Inv_SY_B!$IS27-1,"")</f>
        <v>-1.3772124640248018E-2</v>
      </c>
      <c r="FW27" s="62">
        <f>IFERROR(Inv_SY_B!FW27/Inv_SY_B!$IS27-1,"")</f>
        <v>-1.0557037842009231E-2</v>
      </c>
      <c r="FX27" s="62">
        <f>IFERROR(Inv_SY_B!FX27/Inv_SY_B!$IS27-1,"")</f>
        <v>-4.4713378310571317E-3</v>
      </c>
      <c r="FY27" s="62">
        <f>IFERROR(Inv_SY_B!FY27/Inv_SY_B!$IS27-1,"")</f>
        <v>-2.1184685869520825E-2</v>
      </c>
      <c r="FZ27" s="62">
        <f>IFERROR(Inv_SY_B!FZ27/Inv_SY_B!$IS27-1,"")</f>
        <v>-2.1748472608866809E-3</v>
      </c>
      <c r="GA27" s="62">
        <f>IFERROR(Inv_SY_B!GA27/Inv_SY_B!$IS27-1,"")</f>
        <v>1.2222382082875072E-2</v>
      </c>
      <c r="GB27" s="62">
        <f>IFERROR(Inv_SY_B!GB27/Inv_SY_B!$IS27-1,"")</f>
        <v>-1.5060711015732586E-2</v>
      </c>
      <c r="GC27" s="62">
        <f>IFERROR(Inv_SY_B!GC27/Inv_SY_B!$IS27-1,"")</f>
        <v>-2.4757004534230576E-2</v>
      </c>
      <c r="GD27" s="62">
        <f>IFERROR(Inv_SY_B!GD27/Inv_SY_B!$IS27-1,"")</f>
        <v>-6.8137582126311935E-3</v>
      </c>
      <c r="GE27" s="62">
        <f>IFERROR(Inv_SY_B!GE27/Inv_SY_B!$IS27-1,"")</f>
        <v>-2.6358659495990477E-2</v>
      </c>
      <c r="GF27" s="62">
        <f>IFERROR(Inv_SY_B!GF27/Inv_SY_B!$IS27-1,"")</f>
        <v>-2.2205348345152087E-2</v>
      </c>
      <c r="GG27" s="62">
        <f>IFERROR(Inv_SY_B!GG27/Inv_SY_B!$IS27-1,"")</f>
        <v>-6.4079156001262128E-4</v>
      </c>
      <c r="GH27" s="62">
        <f>IFERROR(Inv_SY_B!GH27/Inv_SY_B!$IS27-1,"")</f>
        <v>-6.8137582126311935E-3</v>
      </c>
      <c r="GI27" s="62">
        <f>IFERROR(Inv_SY_B!GI27/Inv_SY_B!$IS27-1,"")</f>
        <v>-1.1443483202095095E-2</v>
      </c>
      <c r="GJ27" s="62">
        <f>IFERROR(Inv_SY_B!GJ27/Inv_SY_B!$IS27-1,"")</f>
        <v>-2.1695017107336567E-2</v>
      </c>
      <c r="GK27" s="62">
        <f>IFERROR(Inv_SY_B!GK27/Inv_SY_B!$IS27-1,"")</f>
        <v>-2.1809841635845095E-2</v>
      </c>
      <c r="GL27" s="62">
        <f>IFERROR(Inv_SY_B!GL27/Inv_SY_B!$IS27-1,"")</f>
        <v>-1.8250281252080613E-2</v>
      </c>
      <c r="GM27" s="62">
        <f>IFERROR(Inv_SY_B!GM27/Inv_SY_B!$IS27-1,"")</f>
        <v>7.0111150197955663E-3</v>
      </c>
      <c r="GN27" s="62">
        <f>IFERROR(Inv_SY_B!GN27/Inv_SY_B!$IS27-1,"")</f>
        <v>-1.4805545396824771E-2</v>
      </c>
      <c r="GO27" s="62">
        <f>IFERROR(Inv_SY_B!GO27/Inv_SY_B!$IS27-1,"")</f>
        <v>-5.6195831161425236E-3</v>
      </c>
      <c r="GP27" s="62">
        <f>IFERROR(Inv_SY_B!GP27/Inv_SY_B!$IS27-1,"")</f>
        <v>1.2698885943691618E-3</v>
      </c>
      <c r="GQ27" s="62">
        <f>IFERROR(Inv_SY_B!GQ27/Inv_SY_B!$IS27-1,"")</f>
        <v>-7.9160736863129744E-3</v>
      </c>
      <c r="GR27" s="62">
        <f>IFERROR(Inv_SY_B!GR27/Inv_SY_B!$IS27-1,"")</f>
        <v>1.160409616013669E-2</v>
      </c>
      <c r="GS27" s="62" t="str">
        <f>IFERROR(Inv_SY_B!GS27/Inv_SY_B!$IS27-1,"")</f>
        <v/>
      </c>
      <c r="GT27" s="62" t="str">
        <f>IFERROR(Inv_SY_B!GT27/Inv_SY_B!$IS27-1,"")</f>
        <v/>
      </c>
      <c r="GU27" s="62">
        <f>IFERROR(Inv_SY_B!GU27/Inv_SY_B!$IS27-1,"")</f>
        <v>3.3917622610408982E-2</v>
      </c>
      <c r="GV27" s="62">
        <f>IFERROR(Inv_SY_B!GV27/Inv_SY_B!$IS27-1,"")</f>
        <v>-3.0805947237474429E-3</v>
      </c>
      <c r="GW27" s="62">
        <f>IFERROR(Inv_SY_B!GW27/Inv_SY_B!$IS27-1,"")</f>
        <v>-1.8667814526930337E-3</v>
      </c>
      <c r="GX27" s="62" t="str">
        <f>IFERROR(Inv_SY_B!GX27/Inv_SY_B!$IS27-1,"")</f>
        <v/>
      </c>
      <c r="GY27" s="62">
        <f>IFERROR(Inv_SY_B!GY27/Inv_SY_B!$IS27-1,"")</f>
        <v>-1.6825766424719335E-2</v>
      </c>
      <c r="GZ27" s="62">
        <f>IFERROR(Inv_SY_B!GZ27/Inv_SY_B!$IS27-1,"")</f>
        <v>-1.5657053136326149E-2</v>
      </c>
      <c r="HA27" s="62">
        <f>IFERROR(Inv_SY_B!HA27/Inv_SY_B!$IS27-1,"")</f>
        <v>-1.1569815986719245E-2</v>
      </c>
      <c r="HB27" s="62">
        <f>IFERROR(Inv_SY_B!HB27/Inv_SY_B!$IS27-1,"")</f>
        <v>-2.4739802357675034E-2</v>
      </c>
      <c r="HC27" s="62">
        <f>IFERROR(Inv_SY_B!HC27/Inv_SY_B!$IS27-1,"")</f>
        <v>-1.1115678525651762E-2</v>
      </c>
      <c r="HD27" s="62">
        <f>IFERROR(Inv_SY_B!HD27/Inv_SY_B!$IS27-1,"")</f>
        <v>-1.9063084094332106E-2</v>
      </c>
      <c r="HE27" s="62">
        <f>IFERROR(Inv_SY_B!HE27/Inv_SY_B!$IS27-1,"")</f>
        <v>-2.0329293043030994E-3</v>
      </c>
      <c r="HF27" s="62">
        <f>IFERROR(Inv_SY_B!HF27/Inv_SY_B!$IS27-1,"")</f>
        <v>1.0455850875051631E-2</v>
      </c>
      <c r="HG27" s="62">
        <f>IFERROR(Inv_SY_B!HG27/Inv_SY_B!$IS27-1,"")</f>
        <v>-7.3690444718454984E-3</v>
      </c>
      <c r="HH27" s="62">
        <f>IFERROR(Inv_SY_B!HH27/Inv_SY_B!$IS27-1,"")</f>
        <v>-2.2696183782871637E-2</v>
      </c>
      <c r="HI27" s="62">
        <f>IFERROR(Inv_SY_B!HI27/Inv_SY_B!$IS27-1,"")</f>
        <v>-1.3386365830988955E-2</v>
      </c>
      <c r="HJ27" s="62">
        <f>IFERROR(Inv_SY_B!HJ27/Inv_SY_B!$IS27-1,"")</f>
        <v>2.9643158605150877E-2</v>
      </c>
      <c r="HK27" s="62">
        <f>IFERROR(Inv_SY_B!HK27/Inv_SY_B!$IS27-1,"")</f>
        <v>-1.0989529230910899E-2</v>
      </c>
      <c r="HL27" s="62">
        <f>IFERROR(Inv_SY_B!HL27/Inv_SY_B!$IS27-1,"")</f>
        <v>2.7864453549303336E-2</v>
      </c>
      <c r="HM27" s="62">
        <f>IFERROR(Inv_SY_B!HM27/Inv_SY_B!$IS27-1,"")</f>
        <v>2.9008779619286607E-2</v>
      </c>
      <c r="HN27" s="62">
        <f>IFERROR(Inv_SY_B!HN27/Inv_SY_B!$IS27-1,"")</f>
        <v>4.2584093334580686E-2</v>
      </c>
      <c r="HO27" s="62">
        <f>IFERROR(Inv_SY_B!HO27/Inv_SY_B!$IS27-1,"")</f>
        <v>6.3354323318980388E-2</v>
      </c>
      <c r="HP27" s="62">
        <f>IFERROR(Inv_SY_B!HP27/Inv_SY_B!$IS27-1,"")</f>
        <v>5.3471494934246522E-2</v>
      </c>
      <c r="HQ27" s="62">
        <f>IFERROR(Inv_SY_B!HQ27/Inv_SY_B!$IS27-1,"")</f>
        <v>-1.7247844892085529E-2</v>
      </c>
      <c r="HR27" s="62">
        <f>IFERROR(Inv_SY_B!HR27/Inv_SY_B!$IS27-1,"")</f>
        <v>-1.6006462483978301E-2</v>
      </c>
      <c r="HS27" s="62">
        <f>IFERROR(Inv_SY_B!HS27/Inv_SY_B!$IS27-1,"")</f>
        <v>1.6250644878271991E-2</v>
      </c>
      <c r="HT27" s="62">
        <f>IFERROR(Inv_SY_B!HT27/Inv_SY_B!$IS27-1,"")</f>
        <v>6.4695331612374396E-3</v>
      </c>
      <c r="HU27" s="62">
        <f>IFERROR(Inv_SY_B!HU27/Inv_SY_B!$IS27-1,"")</f>
        <v>1.6875045113646792E-3</v>
      </c>
      <c r="HV27" s="62">
        <f>IFERROR(Inv_SY_B!HV27/Inv_SY_B!$IS27-1,"")</f>
        <v>-2.5351141247573428E-2</v>
      </c>
      <c r="HW27" s="62">
        <f>IFERROR(Inv_SY_B!HW27/Inv_SY_B!$IS27-1,"")</f>
        <v>2.0719357495175617E-2</v>
      </c>
      <c r="HX27" s="62">
        <f>IFERROR(Inv_SY_B!HX27/Inv_SY_B!$IS27-1,"")</f>
        <v>7.6611588069441794E-3</v>
      </c>
      <c r="HY27" s="62">
        <f>IFERROR(Inv_SY_B!HY27/Inv_SY_B!$IS27-1,"")</f>
        <v>3.441950087454293E-3</v>
      </c>
      <c r="HZ27" s="62">
        <f>IFERROR(Inv_SY_B!HZ27/Inv_SY_B!$IS27-1,"")</f>
        <v>-1.4824467791035856E-2</v>
      </c>
      <c r="IA27" s="62">
        <f>IFERROR(Inv_SY_B!IA27/Inv_SY_B!$IS27-1,"")</f>
        <v>-2.3697085809536445E-2</v>
      </c>
      <c r="IB27" s="62">
        <f>IFERROR(Inv_SY_B!IB27/Inv_SY_B!$IS27-1,"")</f>
        <v>-1.3493265071013005E-2</v>
      </c>
      <c r="IC27" s="62">
        <f>IFERROR(Inv_SY_B!IC27/Inv_SY_B!$IS27-1,"")</f>
        <v>-2.4987113156541563E-3</v>
      </c>
      <c r="ID27" s="62">
        <f>IFERROR(Inv_SY_B!ID27/Inv_SY_B!$IS27-1,"")</f>
        <v>-8.848432986303667E-4</v>
      </c>
      <c r="IE27" s="62">
        <f>IFERROR(Inv_SY_B!IE27/Inv_SY_B!$IS27-1,"")</f>
        <v>-2.6165518750601913E-2</v>
      </c>
      <c r="IF27" s="62" t="str">
        <f>IFERROR(Inv_SY_B!IF27/Inv_SY_B!$IS27-1,"")</f>
        <v/>
      </c>
      <c r="IG27" s="62">
        <f>IFERROR(Inv_SY_B!IG27/Inv_SY_B!$IS27-1,"")</f>
        <v>2.1896052979495817E-2</v>
      </c>
      <c r="IH27" s="62">
        <f>IFERROR(Inv_SY_B!IH27/Inv_SY_B!$IS27-1,"")</f>
        <v>-1.3828876993418948E-2</v>
      </c>
      <c r="II27" s="62">
        <f>IFERROR(Inv_SY_B!II27/Inv_SY_B!$IS27-1,"")</f>
        <v>-1.3076650008072566E-3</v>
      </c>
      <c r="IJ27" s="62">
        <f>IFERROR(Inv_SY_B!IJ27/Inv_SY_B!$IS27-1,"")</f>
        <v>-9.9573986375758317E-3</v>
      </c>
      <c r="IK27" s="62">
        <f>IFERROR(Inv_SY_B!IK27/Inv_SY_B!$IS27-1,"")</f>
        <v>-2.8054529455501132E-2</v>
      </c>
      <c r="IL27" s="62" t="str">
        <f>IFERROR(Inv_SY_B!IL27/Inv_SY_B!$IS27-1,"")</f>
        <v/>
      </c>
      <c r="IM27" s="62" t="str">
        <f>IFERROR(Inv_SY_B!IM27/Inv_SY_B!$IS27-1,"")</f>
        <v/>
      </c>
      <c r="IN27" s="62">
        <f>IFERROR(Inv_SY_B!IN27/Inv_SY_B!$IS27-1,"")</f>
        <v>1.4890453355380862E-2</v>
      </c>
      <c r="IO27" s="62">
        <f>IFERROR(Inv_SY_B!IO27/Inv_SY_B!$IS27-1,"")</f>
        <v>1.4415317375345627E-2</v>
      </c>
      <c r="IP27" s="62">
        <f>IFERROR(Inv_SY_B!IP27/Inv_SY_B!$IS27-1,"")</f>
        <v>3.7895994555125601E-2</v>
      </c>
      <c r="IQ27" s="62">
        <f>IFERROR(Inv_SY_B!IQ27/Inv_SY_B!$IS27-1,"")</f>
        <v>-1.1920211090712951E-2</v>
      </c>
      <c r="IR27" s="62">
        <f>IFERROR(Inv_SY_B!IR27/Inv_SY_B!$IS27-1,"")</f>
        <v>-1.4679866808407382E-2</v>
      </c>
    </row>
    <row r="28" spans="2:252" x14ac:dyDescent="0.25">
      <c r="B28" s="85">
        <f t="shared" si="0"/>
        <v>45854</v>
      </c>
      <c r="C28" s="62">
        <f>IFERROR(Inv_SY_B!C28/Inv_SY_B!$IS28-1,"")</f>
        <v>-2.2548846225585173E-3</v>
      </c>
      <c r="D28" s="62">
        <f>IFERROR(Inv_SY_B!D28/Inv_SY_B!$IS28-1,"")</f>
        <v>-1.3012918715143873E-2</v>
      </c>
      <c r="E28" s="62">
        <f>IFERROR(Inv_SY_B!E28/Inv_SY_B!$IS28-1,"")</f>
        <v>-1.4785075493961131E-2</v>
      </c>
      <c r="F28" s="62">
        <f>IFERROR(Inv_SY_B!F28/Inv_SY_B!$IS28-1,"")</f>
        <v>-6.3829674720389251E-3</v>
      </c>
      <c r="G28" s="62">
        <f>IFERROR(Inv_SY_B!G28/Inv_SY_B!$IS28-1,"")</f>
        <v>9.1286165684327791E-3</v>
      </c>
      <c r="H28" s="62">
        <f>IFERROR(Inv_SY_B!H28/Inv_SY_B!$IS28-1,"")</f>
        <v>9.3371056012347964E-3</v>
      </c>
      <c r="I28" s="62">
        <f>IFERROR(Inv_SY_B!I28/Inv_SY_B!$IS28-1,"")</f>
        <v>-2.3174313323991447E-3</v>
      </c>
      <c r="J28" s="62">
        <f>IFERROR(Inv_SY_B!J28/Inv_SY_B!$IS28-1,"")</f>
        <v>-9.9064321263935273E-3</v>
      </c>
      <c r="K28" s="62">
        <f>IFERROR(Inv_SY_B!K28/Inv_SY_B!$IS28-1,"")</f>
        <v>-9.9606392749219674E-3</v>
      </c>
      <c r="L28" s="62">
        <f>IFERROR(Inv_SY_B!L28/Inv_SY_B!$IS28-1,"")</f>
        <v>1.8530637991673427E-2</v>
      </c>
      <c r="M28" s="62">
        <f>IFERROR(Inv_SY_B!M28/Inv_SY_B!$IS28-1,"")</f>
        <v>-1.6140254207174465E-2</v>
      </c>
      <c r="N28" s="62">
        <f>IFERROR(Inv_SY_B!N28/Inv_SY_B!$IS28-1,"")</f>
        <v>8.2529626306642179E-3</v>
      </c>
      <c r="O28" s="62">
        <f>IFERROR(Inv_SY_B!O28/Inv_SY_B!$IS28-1,"")</f>
        <v>-1.4785075493961131E-2</v>
      </c>
      <c r="P28" s="62">
        <f>IFERROR(Inv_SY_B!P28/Inv_SY_B!$IS28-1,"")</f>
        <v>-8.0091819278949039E-3</v>
      </c>
      <c r="Q28" s="62">
        <f>IFERROR(Inv_SY_B!Q28/Inv_SY_B!$IS28-1,"")</f>
        <v>-2.8466326257925445E-4</v>
      </c>
      <c r="R28" s="62">
        <f>IFERROR(Inv_SY_B!R28/Inv_SY_B!$IS28-1,"")</f>
        <v>-2.859502817684656E-3</v>
      </c>
      <c r="S28" s="62">
        <f>IFERROR(Inv_SY_B!S28/Inv_SY_B!$IS28-1,"")</f>
        <v>4.7294979763097267E-3</v>
      </c>
      <c r="T28" s="62">
        <f>IFERROR(Inv_SY_B!T28/Inv_SY_B!$IS28-1,"")</f>
        <v>-5.2988245014683466E-3</v>
      </c>
      <c r="U28" s="62">
        <f>IFERROR(Inv_SY_B!U28/Inv_SY_B!$IS28-1,"")</f>
        <v>6.2226403010945397E-4</v>
      </c>
      <c r="V28" s="62">
        <f>IFERROR(Inv_SY_B!V28/Inv_SY_B!$IS28-1,"")</f>
        <v>1.2881419158869534E-2</v>
      </c>
      <c r="W28" s="62">
        <f>IFERROR(Inv_SY_B!W28/Inv_SY_B!$IS28-1,"")</f>
        <v>-5.1633066301470798E-3</v>
      </c>
      <c r="X28" s="62">
        <f>IFERROR(Inv_SY_B!X28/Inv_SY_B!$IS28-1,"")</f>
        <v>-1.3700932523390552E-2</v>
      </c>
      <c r="Y28" s="62">
        <f>IFERROR(Inv_SY_B!Y28/Inv_SY_B!$IS28-1,"")</f>
        <v>-1.1761984518331658E-2</v>
      </c>
      <c r="Z28" s="62">
        <f>IFERROR(Inv_SY_B!Z28/Inv_SY_B!$IS28-1,"")</f>
        <v>-1.3429896780747907E-2</v>
      </c>
      <c r="AA28" s="62">
        <f>IFERROR(Inv_SY_B!AA28/Inv_SY_B!$IS28-1,"")</f>
        <v>-5.5073135342703639E-3</v>
      </c>
      <c r="AB28" s="62">
        <f>IFERROR(Inv_SY_B!AB28/Inv_SY_B!$IS28-1,"")</f>
        <v>-4.7567530161830573E-3</v>
      </c>
      <c r="AC28" s="62">
        <f>IFERROR(Inv_SY_B!AC28/Inv_SY_B!$IS28-1,"")</f>
        <v>-1.8266842341755241E-2</v>
      </c>
      <c r="AD28" s="62">
        <f>IFERROR(Inv_SY_B!AD28/Inv_SY_B!$IS28-1,"")</f>
        <v>1.7769328705672827E-2</v>
      </c>
      <c r="AE28" s="62">
        <f>IFERROR(Inv_SY_B!AE28/Inv_SY_B!$IS28-1,"")</f>
        <v>-2.8126057048482811E-2</v>
      </c>
      <c r="AF28" s="62">
        <f>IFERROR(Inv_SY_B!AF28/Inv_SY_B!$IS28-1,"")</f>
        <v>1.1987232862629815E-2</v>
      </c>
      <c r="AG28" s="62">
        <f>IFERROR(Inv_SY_B!AG28/Inv_SY_B!$IS28-1,"")</f>
        <v>1.8492090686053286E-2</v>
      </c>
      <c r="AH28" s="62">
        <f>IFERROR(Inv_SY_B!AH28/Inv_SY_B!$IS28-1,"")</f>
        <v>7.6506609803472791E-3</v>
      </c>
      <c r="AI28" s="62">
        <f>IFERROR(Inv_SY_B!AI28/Inv_SY_B!$IS28-1,"")</f>
        <v>-2.1458691421294418E-2</v>
      </c>
      <c r="AJ28" s="62">
        <f>IFERROR(Inv_SY_B!AJ28/Inv_SY_B!$IS28-1,"")</f>
        <v>-6.0550996942854152E-3</v>
      </c>
      <c r="AK28" s="62">
        <f>IFERROR(Inv_SY_B!AK28/Inv_SY_B!$IS28-1,"")</f>
        <v>-1.7495432920387577E-2</v>
      </c>
      <c r="AL28" s="62">
        <f>IFERROR(Inv_SY_B!AL28/Inv_SY_B!$IS28-1,"")</f>
        <v>-1.7035243427610203E-2</v>
      </c>
      <c r="AM28" s="62">
        <f>IFERROR(Inv_SY_B!AM28/Inv_SY_B!$IS28-1,"")</f>
        <v>-2.3174313323991447E-3</v>
      </c>
      <c r="AN28" s="62">
        <f>IFERROR(Inv_SY_B!AN28/Inv_SY_B!$IS28-1,"")</f>
        <v>4.1874264910244374E-3</v>
      </c>
      <c r="AO28" s="62">
        <f>IFERROR(Inv_SY_B!AO28/Inv_SY_B!$IS28-1,"")</f>
        <v>1.2189035138465698E-4</v>
      </c>
      <c r="AP28" s="62">
        <f>IFERROR(Inv_SY_B!AP28/Inv_SY_B!$IS28-1,"")</f>
        <v>-8.0091819278949039E-3</v>
      </c>
      <c r="AQ28" s="62">
        <f>IFERROR(Inv_SY_B!AQ28/Inv_SY_B!$IS28-1,"")</f>
        <v>9.608141343877552E-3</v>
      </c>
      <c r="AR28" s="62">
        <f>IFERROR(Inv_SY_B!AR28/Inv_SY_B!$IS28-1,"")</f>
        <v>-8.0091819278949039E-3</v>
      </c>
      <c r="AS28" s="62">
        <f>IFERROR(Inv_SY_B!AS28/Inv_SY_B!$IS28-1,"")</f>
        <v>-1.2074718067534684E-2</v>
      </c>
      <c r="AT28" s="62">
        <f>IFERROR(Inv_SY_B!AT28/Inv_SY_B!$IS28-1,"")</f>
        <v>-2.7794791140808406E-2</v>
      </c>
      <c r="AU28" s="62">
        <f>IFERROR(Inv_SY_B!AU28/Inv_SY_B!$IS28-1,"")</f>
        <v>2.695442887300703E-2</v>
      </c>
      <c r="AV28" s="62">
        <f>IFERROR(Inv_SY_B!AV28/Inv_SY_B!$IS28-1,"")</f>
        <v>2.7767536100935075E-2</v>
      </c>
      <c r="AW28" s="62">
        <f>IFERROR(Inv_SY_B!AW28/Inv_SY_B!$IS28-1,"")</f>
        <v>-1.0511050321519333E-2</v>
      </c>
      <c r="AX28" s="62">
        <f>IFERROR(Inv_SY_B!AX28/Inv_SY_B!$IS28-1,"")</f>
        <v>-2.4000290743811159E-2</v>
      </c>
      <c r="AY28" s="62">
        <f>IFERROR(Inv_SY_B!AY28/Inv_SY_B!$IS28-1,"")</f>
        <v>-1.646549709834555E-2</v>
      </c>
      <c r="AZ28" s="62">
        <f>IFERROR(Inv_SY_B!AZ28/Inv_SY_B!$IS28-1,"")</f>
        <v>-1.7766468663030444E-2</v>
      </c>
      <c r="BA28" s="62">
        <f>IFERROR(Inv_SY_B!BA28/Inv_SY_B!$IS28-1,"")</f>
        <v>-2.0205790346814134E-2</v>
      </c>
      <c r="BB28" s="62">
        <f>IFERROR(Inv_SY_B!BB28/Inv_SY_B!$IS28-1,"")</f>
        <v>-2.6439612427595294E-2</v>
      </c>
      <c r="BC28" s="62">
        <f>IFERROR(Inv_SY_B!BC28/Inv_SY_B!$IS28-1,"")</f>
        <v>1.1144010552185835E-2</v>
      </c>
      <c r="BD28" s="62">
        <f>IFERROR(Inv_SY_B!BD28/Inv_SY_B!$IS28-1,"")</f>
        <v>-8.6114835782119536E-3</v>
      </c>
      <c r="BE28" s="62">
        <f>IFERROR(Inv_SY_B!BE28/Inv_SY_B!$IS28-1,"")</f>
        <v>-1.0511050321519333E-2</v>
      </c>
      <c r="BF28" s="62">
        <f>IFERROR(Inv_SY_B!BF28/Inv_SY_B!$IS28-1,"")</f>
        <v>6.8074386699032985E-3</v>
      </c>
      <c r="BG28" s="62">
        <f>IFERROR(Inv_SY_B!BG28/Inv_SY_B!$IS28-1,"")</f>
        <v>1.415551880377075E-2</v>
      </c>
      <c r="BH28" s="62">
        <f>IFERROR(Inv_SY_B!BH28/Inv_SY_B!$IS28-1,"")</f>
        <v>2.7089946744328408E-2</v>
      </c>
      <c r="BI28" s="62">
        <f>IFERROR(Inv_SY_B!BI28/Inv_SY_B!$IS28-1,"")</f>
        <v>5.72329569933272E-3</v>
      </c>
      <c r="BJ28" s="62">
        <f>IFERROR(Inv_SY_B!BJ28/Inv_SY_B!$IS28-1,"")</f>
        <v>9.0961849411081985E-3</v>
      </c>
      <c r="BK28" s="62">
        <f>IFERROR(Inv_SY_B!BK28/Inv_SY_B!$IS28-1,"")</f>
        <v>-8.9578070271442156E-3</v>
      </c>
      <c r="BL28" s="62">
        <f>IFERROR(Inv_SY_B!BL28/Inv_SY_B!$IS28-1,"")</f>
        <v>3.6651227514388207E-3</v>
      </c>
      <c r="BM28" s="62">
        <f>IFERROR(Inv_SY_B!BM28/Inv_SY_B!$IS28-1,"")</f>
        <v>-3.9436457882551235E-3</v>
      </c>
      <c r="BN28" s="62">
        <f>IFERROR(Inv_SY_B!BN28/Inv_SY_B!$IS28-1,"")</f>
        <v>-3.2841981664233355E-4</v>
      </c>
      <c r="BO28" s="62">
        <f>IFERROR(Inv_SY_B!BO28/Inv_SY_B!$IS28-1,"")</f>
        <v>2.9518843976472198E-2</v>
      </c>
      <c r="BP28" s="62">
        <f>IFERROR(Inv_SY_B!BP28/Inv_SY_B!$IS28-1,"")</f>
        <v>2.5766041386035443E-2</v>
      </c>
      <c r="BQ28" s="62">
        <f>IFERROR(Inv_SY_B!BQ28/Inv_SY_B!$IS28-1,"")</f>
        <v>2.5891134805716698E-2</v>
      </c>
      <c r="BR28" s="62">
        <f>IFERROR(Inv_SY_B!BR28/Inv_SY_B!$IS28-1,"")</f>
        <v>-2.0046977831962298E-3</v>
      </c>
      <c r="BS28" s="62">
        <f>IFERROR(Inv_SY_B!BS28/Inv_SY_B!$IS28-1,"")</f>
        <v>2.6818911001685874E-2</v>
      </c>
      <c r="BT28" s="62">
        <f>IFERROR(Inv_SY_B!BT28/Inv_SY_B!$IS28-1,"")</f>
        <v>2.7360982486971164E-2</v>
      </c>
      <c r="BU28" s="62">
        <f>IFERROR(Inv_SY_B!BU28/Inv_SY_B!$IS28-1,"")</f>
        <v>2.4108553575259428E-2</v>
      </c>
      <c r="BV28" s="62">
        <f>IFERROR(Inv_SY_B!BV28/Inv_SY_B!$IS28-1,"")</f>
        <v>1.4622302582766533E-2</v>
      </c>
      <c r="BW28" s="62">
        <f>IFERROR(Inv_SY_B!BW28/Inv_SY_B!$IS28-1,"")</f>
        <v>-3.9436457882551235E-3</v>
      </c>
      <c r="BX28" s="62">
        <f>IFERROR(Inv_SY_B!BX28/Inv_SY_B!$IS28-1,"")</f>
        <v>-2.2916147773240692E-2</v>
      </c>
      <c r="BY28" s="62">
        <f>IFERROR(Inv_SY_B!BY28/Inv_SY_B!$IS28-1,"")</f>
        <v>2.2299461274941645E-3</v>
      </c>
      <c r="BZ28" s="62">
        <f>IFERROR(Inv_SY_B!BZ28/Inv_SY_B!$IS28-1,"")</f>
        <v>2.0419455967067623E-2</v>
      </c>
      <c r="CA28" s="62">
        <f>IFERROR(Inv_SY_B!CA28/Inv_SY_B!$IS28-1,"")</f>
        <v>1.4275979133834271E-2</v>
      </c>
      <c r="CB28" s="62">
        <f>IFERROR(Inv_SY_B!CB28/Inv_SY_B!$IS28-1,"")</f>
        <v>1.4770690645979911E-3</v>
      </c>
      <c r="CC28" s="62">
        <f>IFERROR(Inv_SY_B!CC28/Inv_SY_B!$IS28-1,"")</f>
        <v>2.0043017435619648E-2</v>
      </c>
      <c r="CD28" s="62">
        <f>IFERROR(Inv_SY_B!CD28/Inv_SY_B!$IS28-1,"")</f>
        <v>1.2005765221100972E-2</v>
      </c>
      <c r="CE28" s="62">
        <f>IFERROR(Inv_SY_B!CE28/Inv_SY_B!$IS28-1,"")</f>
        <v>1.8823356593727469E-2</v>
      </c>
      <c r="CF28" s="62">
        <f>IFERROR(Inv_SY_B!CF28/Inv_SY_B!$IS28-1,"")</f>
        <v>3.1833072240574856E-2</v>
      </c>
      <c r="CG28" s="62">
        <f>IFERROR(Inv_SY_B!CG28/Inv_SY_B!$IS28-1,"")</f>
        <v>1.8552320851085158E-2</v>
      </c>
      <c r="CH28" s="62">
        <f>IFERROR(Inv_SY_B!CH28/Inv_SY_B!$IS28-1,"")</f>
        <v>3.3323768825109568E-2</v>
      </c>
      <c r="CI28" s="62">
        <f>IFERROR(Inv_SY_B!CI28/Inv_SY_B!$IS28-1,"")</f>
        <v>1.3402641740874577E-2</v>
      </c>
      <c r="CJ28" s="62">
        <f>IFERROR(Inv_SY_B!CJ28/Inv_SY_B!$IS28-1,"")</f>
        <v>2.451510718922334E-2</v>
      </c>
      <c r="CK28" s="62">
        <f>IFERROR(Inv_SY_B!CK28/Inv_SY_B!$IS28-1,"")</f>
        <v>5.0005337189524823E-3</v>
      </c>
      <c r="CL28" s="62">
        <f>IFERROR(Inv_SY_B!CL28/Inv_SY_B!$IS28-1,"")</f>
        <v>2.9677656491324811E-3</v>
      </c>
      <c r="CM28" s="62">
        <f>IFERROR(Inv_SY_B!CM28/Inv_SY_B!$IS28-1,"")</f>
        <v>1.1369873671054576E-2</v>
      </c>
      <c r="CN28" s="62">
        <f>IFERROR(Inv_SY_B!CN28/Inv_SY_B!$IS28-1,"")</f>
        <v>7.8464090167003064E-3</v>
      </c>
      <c r="CO28" s="62">
        <f>IFERROR(Inv_SY_B!CO28/Inv_SY_B!$IS28-1,"")</f>
        <v>-3.1955871385612733E-3</v>
      </c>
      <c r="CP28" s="62">
        <f>IFERROR(Inv_SY_B!CP28/Inv_SY_B!$IS28-1,"")</f>
        <v>1.6634221749306288E-2</v>
      </c>
      <c r="CQ28" s="62">
        <f>IFERROR(Inv_SY_B!CQ28/Inv_SY_B!$IS28-1,"")</f>
        <v>-2.4529492037205225E-3</v>
      </c>
      <c r="CR28" s="62">
        <f>IFERROR(Inv_SY_B!CR28/Inv_SY_B!$IS28-1,"")</f>
        <v>-4.6212351448617905E-3</v>
      </c>
      <c r="CS28" s="62">
        <f>IFERROR(Inv_SY_B!CS28/Inv_SY_B!$IS28-1,"")</f>
        <v>6.4460576797131797E-3</v>
      </c>
      <c r="CT28" s="62">
        <f>IFERROR(Inv_SY_B!CT28/Inv_SY_B!$IS28-1,"")</f>
        <v>1.8552320851085158E-2</v>
      </c>
      <c r="CU28" s="62">
        <f>IFERROR(Inv_SY_B!CU28/Inv_SY_B!$IS28-1,"")</f>
        <v>2.2617856990724716E-2</v>
      </c>
      <c r="CV28" s="62">
        <f>IFERROR(Inv_SY_B!CV28/Inv_SY_B!$IS28-1,"")</f>
        <v>8.2529626306642179E-3</v>
      </c>
      <c r="CW28" s="62">
        <f>IFERROR(Inv_SY_B!CW28/Inv_SY_B!$IS28-1,"")</f>
        <v>4.1874264910244374E-3</v>
      </c>
      <c r="CX28" s="62">
        <f>IFERROR(Inv_SY_B!CX28/Inv_SY_B!$IS28-1,"")</f>
        <v>-8.0091819278949039E-3</v>
      </c>
      <c r="CY28" s="62">
        <f>IFERROR(Inv_SY_B!CY28/Inv_SY_B!$IS28-1,"")</f>
        <v>-1.7495432920387577E-2</v>
      </c>
      <c r="CZ28" s="62">
        <f>IFERROR(Inv_SY_B!CZ28/Inv_SY_B!$IS28-1,"")</f>
        <v>1.4770690645979911E-3</v>
      </c>
      <c r="DA28" s="62">
        <f>IFERROR(Inv_SY_B!DA28/Inv_SY_B!$IS28-1,"")</f>
        <v>9.608141343877552E-3</v>
      </c>
      <c r="DB28" s="62">
        <f>IFERROR(Inv_SY_B!DB28/Inv_SY_B!$IS28-1,"")</f>
        <v>1.6384034909943779E-2</v>
      </c>
      <c r="DC28" s="62">
        <f>IFERROR(Inv_SY_B!DC28/Inv_SY_B!$IS28-1,"")</f>
        <v>-2.4680067449783794E-3</v>
      </c>
      <c r="DD28" s="62">
        <f>IFERROR(Inv_SY_B!DD28/Inv_SY_B!$IS28-1,"")</f>
        <v>-1.2074718067534684E-2</v>
      </c>
      <c r="DE28" s="62">
        <f>IFERROR(Inv_SY_B!DE28/Inv_SY_B!$IS28-1,"")</f>
        <v>-2.1862119885185938E-2</v>
      </c>
      <c r="DF28" s="62">
        <f>IFERROR(Inv_SY_B!DF28/Inv_SY_B!$IS28-1,"")</f>
        <v>-1.6429969562725799E-2</v>
      </c>
      <c r="DG28" s="62">
        <f>IFERROR(Inv_SY_B!DG28/Inv_SY_B!$IS28-1,"")</f>
        <v>9.608141343877552E-3</v>
      </c>
      <c r="DH28" s="62">
        <f>IFERROR(Inv_SY_B!DH28/Inv_SY_B!$IS28-1,"")</f>
        <v>1.2107693192693114E-2</v>
      </c>
      <c r="DI28" s="62">
        <f>IFERROR(Inv_SY_B!DI28/Inv_SY_B!$IS28-1,"")</f>
        <v>-1.0135770062475791E-2</v>
      </c>
      <c r="DJ28" s="62">
        <f>IFERROR(Inv_SY_B!DJ28/Inv_SY_B!$IS28-1,"")</f>
        <v>1.6258941490262524E-2</v>
      </c>
      <c r="DK28" s="62">
        <f>IFERROR(Inv_SY_B!DK28/Inv_SY_B!$IS28-1,"")</f>
        <v>1.9696693986687164E-2</v>
      </c>
      <c r="DL28" s="62">
        <f>IFERROR(Inv_SY_B!DL28/Inv_SY_B!$IS28-1,"")</f>
        <v>7.891581640474099E-3</v>
      </c>
      <c r="DM28" s="62">
        <f>IFERROR(Inv_SY_B!DM28/Inv_SY_B!$IS28-1,"")</f>
        <v>-1.2616789552819974E-2</v>
      </c>
      <c r="DN28" s="62">
        <f>IFERROR(Inv_SY_B!DN28/Inv_SY_B!$IS28-1,"")</f>
        <v>1.0014694957841463E-2</v>
      </c>
      <c r="DO28" s="62">
        <f>IFERROR(Inv_SY_B!DO28/Inv_SY_B!$IS28-1,"")</f>
        <v>-1.4614147968072366E-2</v>
      </c>
      <c r="DP28" s="62">
        <f>IFERROR(Inv_SY_B!DP28/Inv_SY_B!$IS28-1,"")</f>
        <v>4.6391527287621415E-3</v>
      </c>
      <c r="DQ28" s="62">
        <f>IFERROR(Inv_SY_B!DQ28/Inv_SY_B!$IS28-1,"")</f>
        <v>-1.8657050946613296E-3</v>
      </c>
      <c r="DR28" s="62">
        <f>IFERROR(Inv_SY_B!DR28/Inv_SY_B!$IS28-1,"")</f>
        <v>1.3673677483517332E-2</v>
      </c>
      <c r="DS28" s="62">
        <f>IFERROR(Inv_SY_B!DS28/Inv_SY_B!$IS28-1,"")</f>
        <v>-1.3429896780747907E-2</v>
      </c>
      <c r="DT28" s="62">
        <f>IFERROR(Inv_SY_B!DT28/Inv_SY_B!$IS28-1,"")</f>
        <v>-2.6680533087721892E-2</v>
      </c>
      <c r="DU28" s="62">
        <f>IFERROR(Inv_SY_B!DU28/Inv_SY_B!$IS28-1,"")</f>
        <v>-5.2385943364366971E-3</v>
      </c>
      <c r="DV28" s="62">
        <f>IFERROR(Inv_SY_B!DV28/Inv_SY_B!$IS28-1,"")</f>
        <v>-2.0205790346814134E-2</v>
      </c>
      <c r="DW28" s="62">
        <f>IFERROR(Inv_SY_B!DW28/Inv_SY_B!$IS28-1,"")</f>
        <v>-1.7901986534351599E-2</v>
      </c>
      <c r="DX28" s="62">
        <f>IFERROR(Inv_SY_B!DX28/Inv_SY_B!$IS28-1,"")</f>
        <v>1.7648868375609528E-2</v>
      </c>
      <c r="DY28" s="62">
        <f>IFERROR(Inv_SY_B!DY28/Inv_SY_B!$IS28-1,"")</f>
        <v>-2.6846166041559205E-2</v>
      </c>
      <c r="DZ28" s="62">
        <f>IFERROR(Inv_SY_B!DZ28/Inv_SY_B!$IS28-1,"")</f>
        <v>-2.0205790346814134E-2</v>
      </c>
      <c r="EA28" s="62">
        <f>IFERROR(Inv_SY_B!EA28/Inv_SY_B!$IS28-1,"")</f>
        <v>-1.142943114281092E-3</v>
      </c>
      <c r="EB28" s="62">
        <f>IFERROR(Inv_SY_B!EB28/Inv_SY_B!$IS28-1,"")</f>
        <v>-2.3066723185820037E-2</v>
      </c>
      <c r="EC28" s="62">
        <f>IFERROR(Inv_SY_B!EC28/Inv_SY_B!$IS28-1,"")</f>
        <v>-1.93926831188862E-2</v>
      </c>
      <c r="ED28" s="62">
        <f>IFERROR(Inv_SY_B!ED28/Inv_SY_B!$IS28-1,"")</f>
        <v>9.6289902471577982E-3</v>
      </c>
      <c r="EE28" s="62">
        <f>IFERROR(Inv_SY_B!EE28/Inv_SY_B!$IS28-1,"")</f>
        <v>2.0387024339742821E-2</v>
      </c>
      <c r="EF28" s="62">
        <f>IFERROR(Inv_SY_B!EF28/Inv_SY_B!$IS28-1,"")</f>
        <v>-8.0091819278949039E-3</v>
      </c>
      <c r="EG28" s="62">
        <f>IFERROR(Inv_SY_B!EG28/Inv_SY_B!$IS28-1,"")</f>
        <v>-5.3200706967637679E-4</v>
      </c>
      <c r="EH28" s="62">
        <f>IFERROR(Inv_SY_B!EH28/Inv_SY_B!$IS28-1,"")</f>
        <v>-9.3880525766537604E-3</v>
      </c>
      <c r="EI28" s="62">
        <f>IFERROR(Inv_SY_B!EI28/Inv_SY_B!$IS28-1,"")</f>
        <v>-1.2424411036189076E-2</v>
      </c>
      <c r="EJ28" s="62">
        <f>IFERROR(Inv_SY_B!EJ28/Inv_SY_B!$IS28-1,"")</f>
        <v>1.338463586985994E-2</v>
      </c>
      <c r="EK28" s="62">
        <f>IFERROR(Inv_SY_B!EK28/Inv_SY_B!$IS28-1,"")</f>
        <v>1.3456848889403128E-2</v>
      </c>
      <c r="EL28" s="62">
        <f>IFERROR(Inv_SY_B!EL28/Inv_SY_B!$IS28-1,"")</f>
        <v>6.8977839174508837E-3</v>
      </c>
      <c r="EM28" s="62">
        <f>IFERROR(Inv_SY_B!EM28/Inv_SY_B!$IS28-1,"")</f>
        <v>7.7525889519391988E-3</v>
      </c>
      <c r="EN28" s="62">
        <f>IFERROR(Inv_SY_B!EN28/Inv_SY_B!$IS28-1,"")</f>
        <v>-1.2637638456100109E-2</v>
      </c>
      <c r="EO28" s="62">
        <f>IFERROR(Inv_SY_B!EO28/Inv_SY_B!$IS28-1,"")</f>
        <v>1.7739213623157113E-2</v>
      </c>
      <c r="EP28" s="62">
        <f>IFERROR(Inv_SY_B!EP28/Inv_SY_B!$IS28-1,"")</f>
        <v>-8.0091819278949039E-3</v>
      </c>
      <c r="EQ28" s="62">
        <f>IFERROR(Inv_SY_B!EQ28/Inv_SY_B!$IS28-1,"")</f>
        <v>-1.8850611633600911E-2</v>
      </c>
      <c r="ER28" s="62">
        <f>IFERROR(Inv_SY_B!ER28/Inv_SY_B!$IS28-1,"")</f>
        <v>1.4632727034406656E-2</v>
      </c>
      <c r="ES28" s="62">
        <f>IFERROR(Inv_SY_B!ES28/Inv_SY_B!$IS28-1,"")</f>
        <v>1.4215748968802622E-2</v>
      </c>
      <c r="ET28" s="62">
        <f>IFERROR(Inv_SY_B!ET28/Inv_SY_B!$IS28-1,"")</f>
        <v>2.3394555184608201E-3</v>
      </c>
      <c r="EU28" s="62">
        <f>IFERROR(Inv_SY_B!EU28/Inv_SY_B!$IS28-1,"")</f>
        <v>1.7009502008349831E-2</v>
      </c>
      <c r="EV28" s="62">
        <f>IFERROR(Inv_SY_B!EV28/Inv_SY_B!$IS28-1,"")</f>
        <v>-2.1297912028773736E-3</v>
      </c>
      <c r="EW28" s="62">
        <f>IFERROR(Inv_SY_B!EW28/Inv_SY_B!$IS28-1,"")</f>
        <v>-1.3012918715143873E-2</v>
      </c>
      <c r="EX28" s="62">
        <f>IFERROR(Inv_SY_B!EX28/Inv_SY_B!$IS28-1,"")</f>
        <v>-2.5884670750417893E-3</v>
      </c>
      <c r="EY28" s="62">
        <f>IFERROR(Inv_SY_B!EY28/Inv_SY_B!$IS28-1,"")</f>
        <v>-1.8850611633600911E-2</v>
      </c>
      <c r="EZ28" s="62">
        <f>IFERROR(Inv_SY_B!EZ28/Inv_SY_B!$IS28-1,"")</f>
        <v>6.8977839174508837E-3</v>
      </c>
      <c r="FA28" s="62">
        <f>IFERROR(Inv_SY_B!FA28/Inv_SY_B!$IS28-1,"")</f>
        <v>4.1874264910244374E-3</v>
      </c>
      <c r="FB28" s="62">
        <f>IFERROR(Inv_SY_B!FB28/Inv_SY_B!$IS28-1,"")</f>
        <v>1.7332660009192979E-2</v>
      </c>
      <c r="FC28" s="62">
        <f>IFERROR(Inv_SY_B!FC28/Inv_SY_B!$IS28-1,"")</f>
        <v>8.2529626306642179E-3</v>
      </c>
      <c r="FD28" s="62">
        <f>IFERROR(Inv_SY_B!FD28/Inv_SY_B!$IS28-1,"")</f>
        <v>1.2189035138465698E-4</v>
      </c>
      <c r="FE28" s="62">
        <f>IFERROR(Inv_SY_B!FE28/Inv_SY_B!$IS28-1,"")</f>
        <v>1.8928625334246885E-3</v>
      </c>
      <c r="FF28" s="62">
        <f>IFERROR(Inv_SY_B!FF28/Inv_SY_B!$IS28-1,"")</f>
        <v>-6.3306082944830644E-3</v>
      </c>
      <c r="FG28" s="62">
        <f>IFERROR(Inv_SY_B!FG28/Inv_SY_B!$IS28-1,"")</f>
        <v>-2.8290321134932905E-2</v>
      </c>
      <c r="FH28" s="62">
        <f>IFERROR(Inv_SY_B!FH28/Inv_SY_B!$IS28-1,"")</f>
        <v>-4.9600298231650131E-3</v>
      </c>
      <c r="FI28" s="62">
        <f>IFERROR(Inv_SY_B!FI28/Inv_SY_B!$IS28-1,"")</f>
        <v>-1.4401792625577614E-2</v>
      </c>
      <c r="FJ28" s="62">
        <f>IFERROR(Inv_SY_B!FJ28/Inv_SY_B!$IS28-1,"")</f>
        <v>-2.0493252498101855E-2</v>
      </c>
      <c r="FK28" s="62">
        <f>IFERROR(Inv_SY_B!FK28/Inv_SY_B!$IS28-1,"")</f>
        <v>2.4461721361126898E-2</v>
      </c>
      <c r="FL28" s="62">
        <f>IFERROR(Inv_SY_B!FL28/Inv_SY_B!$IS28-1,"")</f>
        <v>-1.3972953850551972E-2</v>
      </c>
      <c r="FM28" s="62">
        <f>IFERROR(Inv_SY_B!FM28/Inv_SY_B!$IS28-1,"")</f>
        <v>1.0801622596991356E-2</v>
      </c>
      <c r="FN28" s="62">
        <f>IFERROR(Inv_SY_B!FN28/Inv_SY_B!$IS28-1,"")</f>
        <v>-9.5286247275582214E-3</v>
      </c>
      <c r="FO28" s="62">
        <f>IFERROR(Inv_SY_B!FO28/Inv_SY_B!$IS28-1,"")</f>
        <v>-2.2503434256034849E-2</v>
      </c>
      <c r="FP28" s="62">
        <f>IFERROR(Inv_SY_B!FP28/Inv_SY_B!$IS28-1,"")</f>
        <v>-1.5815011316003158E-2</v>
      </c>
      <c r="FQ28" s="62">
        <f>IFERROR(Inv_SY_B!FQ28/Inv_SY_B!$IS28-1,"")</f>
        <v>-1.2394047451593559E-2</v>
      </c>
      <c r="FR28" s="62">
        <f>IFERROR(Inv_SY_B!FR28/Inv_SY_B!$IS28-1,"")</f>
        <v>-1.3709802784058867E-2</v>
      </c>
      <c r="FS28" s="62">
        <f>IFERROR(Inv_SY_B!FS28/Inv_SY_B!$IS28-1,"")</f>
        <v>-2.414812842161651E-2</v>
      </c>
      <c r="FT28" s="62">
        <f>IFERROR(Inv_SY_B!FT28/Inv_SY_B!$IS28-1,"")</f>
        <v>-1.7130766648468465E-2</v>
      </c>
      <c r="FU28" s="62">
        <f>IFERROR(Inv_SY_B!FU28/Inv_SY_B!$IS28-1,"")</f>
        <v>-4.2899692371874965E-3</v>
      </c>
      <c r="FV28" s="62">
        <f>IFERROR(Inv_SY_B!FV28/Inv_SY_B!$IS28-1,"")</f>
        <v>1.011633336133233E-2</v>
      </c>
      <c r="FW28" s="62">
        <f>IFERROR(Inv_SY_B!FW28/Inv_SY_B!$IS28-1,"")</f>
        <v>-2.3559307276609376E-3</v>
      </c>
      <c r="FX28" s="62">
        <f>IFERROR(Inv_SY_B!FX28/Inv_SY_B!$IS28-1,"")</f>
        <v>6.0045979473786204E-3</v>
      </c>
      <c r="FY28" s="62">
        <f>IFERROR(Inv_SY_B!FY28/Inv_SY_B!$IS28-1,"")</f>
        <v>-2.2188728805290214E-3</v>
      </c>
      <c r="FZ28" s="62">
        <f>IFERROR(Inv_SY_B!FZ28/Inv_SY_B!$IS28-1,"")</f>
        <v>3.8116723932697383E-3</v>
      </c>
      <c r="GA28" s="62">
        <f>IFERROR(Inv_SY_B!GA28/Inv_SY_B!$IS28-1,"")</f>
        <v>-1.9509247441771072E-2</v>
      </c>
      <c r="GB28" s="62">
        <f>IFERROR(Inv_SY_B!GB28/Inv_SY_B!$IS28-1,"")</f>
        <v>2.1771106848045285E-4</v>
      </c>
      <c r="GC28" s="62">
        <f>IFERROR(Inv_SY_B!GC28/Inv_SY_B!$IS28-1,"")</f>
        <v>-1.683837657458731E-2</v>
      </c>
      <c r="GD28" s="62">
        <f>IFERROR(Inv_SY_B!GD28/Inv_SY_B!$IS28-1,"")</f>
        <v>1.6420994329395144E-2</v>
      </c>
      <c r="GE28" s="62">
        <f>IFERROR(Inv_SY_B!GE28/Inv_SY_B!$IS28-1,"")</f>
        <v>-1.9509247441771072E-2</v>
      </c>
      <c r="GF28" s="62">
        <f>IFERROR(Inv_SY_B!GF28/Inv_SY_B!$IS28-1,"")</f>
        <v>-9.5286247275582214E-3</v>
      </c>
      <c r="GG28" s="62">
        <f>IFERROR(Inv_SY_B!GG28/Inv_SY_B!$IS28-1,"")</f>
        <v>-2.4762147576766758E-2</v>
      </c>
      <c r="GH28" s="62">
        <f>IFERROR(Inv_SY_B!GH28/Inv_SY_B!$IS28-1,"")</f>
        <v>-8.7099325206909661E-3</v>
      </c>
      <c r="GI28" s="62">
        <f>IFERROR(Inv_SY_B!GI28/Inv_SY_B!$IS28-1,"")</f>
        <v>-1.9762277313398968E-2</v>
      </c>
      <c r="GJ28" s="62">
        <f>IFERROR(Inv_SY_B!GJ28/Inv_SY_B!$IS28-1,"")</f>
        <v>9.5891877954410454E-3</v>
      </c>
      <c r="GK28" s="62">
        <f>IFERROR(Inv_SY_B!GK28/Inv_SY_B!$IS28-1,"")</f>
        <v>6.0045979473786204E-3</v>
      </c>
      <c r="GL28" s="62">
        <f>IFERROR(Inv_SY_B!GL28/Inv_SY_B!$IS28-1,"")</f>
        <v>-4.9600298231650131E-3</v>
      </c>
      <c r="GM28" s="62">
        <f>IFERROR(Inv_SY_B!GM28/Inv_SY_B!$IS28-1,"")</f>
        <v>1.2857490303968433E-2</v>
      </c>
      <c r="GN28" s="62">
        <f>IFERROR(Inv_SY_B!GN28/Inv_SY_B!$IS28-1,"")</f>
        <v>7.3751764186966717E-3</v>
      </c>
      <c r="GO28" s="62">
        <f>IFERROR(Inv_SY_B!GO28/Inv_SY_B!$IS28-1,"")</f>
        <v>7.2381185715646446E-3</v>
      </c>
      <c r="GP28" s="62">
        <f>IFERROR(Inv_SY_B!GP28/Inv_SY_B!$IS28-1,"")</f>
        <v>-9.071765237118834E-3</v>
      </c>
      <c r="GQ28" s="62">
        <f>IFERROR(Inv_SY_B!GQ28/Inv_SY_B!$IS28-1,"")</f>
        <v>-1.1538806485491215E-2</v>
      </c>
      <c r="GR28" s="62">
        <f>IFERROR(Inv_SY_B!GR28/Inv_SY_B!$IS28-1,"")</f>
        <v>6.0045979473786204E-3</v>
      </c>
      <c r="GS28" s="62" t="str">
        <f>IFERROR(Inv_SY_B!GS28/Inv_SY_B!$IS28-1,"")</f>
        <v/>
      </c>
      <c r="GT28" s="62" t="str">
        <f>IFERROR(Inv_SY_B!GT28/Inv_SY_B!$IS28-1,"")</f>
        <v/>
      </c>
      <c r="GU28" s="62">
        <f>IFERROR(Inv_SY_B!GU28/Inv_SY_B!$IS28-1,"")</f>
        <v>4.3809419422729201E-2</v>
      </c>
      <c r="GV28" s="62">
        <f>IFERROR(Inv_SY_B!GV28/Inv_SY_B!$IS28-1,"")</f>
        <v>-5.8391873295896568E-3</v>
      </c>
      <c r="GW28" s="62">
        <f>IFERROR(Inv_SY_B!GW28/Inv_SY_B!$IS28-1,"")</f>
        <v>-1.8532099563533078E-2</v>
      </c>
      <c r="GX28" s="62" t="str">
        <f>IFERROR(Inv_SY_B!GX28/Inv_SY_B!$IS28-1,"")</f>
        <v/>
      </c>
      <c r="GY28" s="62">
        <f>IFERROR(Inv_SY_B!GY28/Inv_SY_B!$IS28-1,"")</f>
        <v>-1.8129949269363177E-2</v>
      </c>
      <c r="GZ28" s="62">
        <f>IFERROR(Inv_SY_B!GZ28/Inv_SY_B!$IS28-1,"")</f>
        <v>-1.3429896780747907E-2</v>
      </c>
      <c r="HA28" s="62">
        <f>IFERROR(Inv_SY_B!HA28/Inv_SY_B!$IS28-1,"")</f>
        <v>1.1505391542376175E-2</v>
      </c>
      <c r="HB28" s="62">
        <f>IFERROR(Inv_SY_B!HB28/Inv_SY_B!$IS28-1,"")</f>
        <v>-1.8850611633600911E-2</v>
      </c>
      <c r="HC28" s="62">
        <f>IFERROR(Inv_SY_B!HC28/Inv_SY_B!$IS28-1,"")</f>
        <v>-1.6682325692459754E-2</v>
      </c>
      <c r="HD28" s="62">
        <f>IFERROR(Inv_SY_B!HD28/Inv_SY_B!$IS28-1,"")</f>
        <v>-1.2332883618286772E-3</v>
      </c>
      <c r="HE28" s="62">
        <f>IFERROR(Inv_SY_B!HE28/Inv_SY_B!$IS28-1,"")</f>
        <v>-1.7495432920387577E-2</v>
      </c>
      <c r="HF28" s="62">
        <f>IFERROR(Inv_SY_B!HF28/Inv_SY_B!$IS28-1,"")</f>
        <v>2.8322477778113253E-3</v>
      </c>
      <c r="HG28" s="62">
        <f>IFERROR(Inv_SY_B!HG28/Inv_SY_B!$IS28-1,"")</f>
        <v>-2.508443371438196E-2</v>
      </c>
      <c r="HH28" s="62">
        <f>IFERROR(Inv_SY_B!HH28/Inv_SY_B!$IS28-1,"")</f>
        <v>-5.1633066301470798E-3</v>
      </c>
      <c r="HI28" s="62">
        <f>IFERROR(Inv_SY_B!HI28/Inv_SY_B!$IS28-1,"")</f>
        <v>-1.1939200196213307E-2</v>
      </c>
      <c r="HJ28" s="62">
        <f>IFERROR(Inv_SY_B!HJ28/Inv_SY_B!$IS28-1,"")</f>
        <v>4.1874264910244374E-3</v>
      </c>
      <c r="HK28" s="62">
        <f>IFERROR(Inv_SY_B!HK28/Inv_SY_B!$IS28-1,"")</f>
        <v>-2.4030405826327206E-2</v>
      </c>
      <c r="HL28" s="62">
        <f>IFERROR(Inv_SY_B!HL28/Inv_SY_B!$IS28-1,"")</f>
        <v>2.9935822042076232E-2</v>
      </c>
      <c r="HM28" s="62">
        <f>IFERROR(Inv_SY_B!HM28/Inv_SY_B!$IS28-1,"")</f>
        <v>2.7326207860787877E-2</v>
      </c>
      <c r="HN28" s="62">
        <f>IFERROR(Inv_SY_B!HN28/Inv_SY_B!$IS28-1,"")</f>
        <v>4.3530091265532311E-2</v>
      </c>
      <c r="HO28" s="62">
        <f>IFERROR(Inv_SY_B!HO28/Inv_SY_B!$IS28-1,"")</f>
        <v>6.1489395372457123E-2</v>
      </c>
      <c r="HP28" s="62">
        <f>IFERROR(Inv_SY_B!HP28/Inv_SY_B!$IS28-1,"")</f>
        <v>3.3321644720543331E-2</v>
      </c>
      <c r="HQ28" s="62">
        <f>IFERROR(Inv_SY_B!HQ28/Inv_SY_B!$IS28-1,"")</f>
        <v>-1.2313292097855144E-2</v>
      </c>
      <c r="HR28" s="62">
        <f>IFERROR(Inv_SY_B!HR28/Inv_SY_B!$IS28-1,"")</f>
        <v>2.056326020829502E-3</v>
      </c>
      <c r="HS28" s="62">
        <f>IFERROR(Inv_SY_B!HS28/Inv_SY_B!$IS28-1,"")</f>
        <v>3.0490763719253078E-3</v>
      </c>
      <c r="HT28" s="62">
        <f>IFERROR(Inv_SY_B!HT28/Inv_SY_B!$IS28-1,"")</f>
        <v>7.0483593300301184E-3</v>
      </c>
      <c r="HU28" s="62">
        <f>IFERROR(Inv_SY_B!HU28/Inv_SY_B!$IS28-1,"")</f>
        <v>1.025445734556385E-2</v>
      </c>
      <c r="HV28" s="62">
        <f>IFERROR(Inv_SY_B!HV28/Inv_SY_B!$IS28-1,"")</f>
        <v>-1.7266094984305425E-2</v>
      </c>
      <c r="HW28" s="62">
        <f>IFERROR(Inv_SY_B!HW28/Inv_SY_B!$IS28-1,"")</f>
        <v>-1.646549709834555E-2</v>
      </c>
      <c r="HX28" s="62">
        <f>IFERROR(Inv_SY_B!HX28/Inv_SY_B!$IS28-1,"")</f>
        <v>1.8885903303568208E-2</v>
      </c>
      <c r="HY28" s="62">
        <f>IFERROR(Inv_SY_B!HY28/Inv_SY_B!$IS28-1,"")</f>
        <v>-8.6114835782119536E-3</v>
      </c>
      <c r="HZ28" s="62">
        <f>IFERROR(Inv_SY_B!HZ28/Inv_SY_B!$IS28-1,"")</f>
        <v>-9.8160868788458311E-3</v>
      </c>
      <c r="IA28" s="62">
        <f>IFERROR(Inv_SY_B!IA28/Inv_SY_B!$IS28-1,"")</f>
        <v>3.685157457456123E-3</v>
      </c>
      <c r="IB28" s="62">
        <f>IFERROR(Inv_SY_B!IB28/Inv_SY_B!$IS28-1,"")</f>
        <v>-1.3183500651072655E-2</v>
      </c>
      <c r="IC28" s="62">
        <f>IFERROR(Inv_SY_B!IC28/Inv_SY_B!$IS28-1,"")</f>
        <v>2.2794359484119564E-3</v>
      </c>
      <c r="ID28" s="62">
        <f>IFERROR(Inv_SY_B!ID28/Inv_SY_B!$IS28-1,"")</f>
        <v>-6.4152119038236588E-3</v>
      </c>
      <c r="IE28" s="62">
        <f>IFERROR(Inv_SY_B!IE28/Inv_SY_B!$IS28-1,"")</f>
        <v>1.0207705259420496E-2</v>
      </c>
      <c r="IF28" s="62" t="str">
        <f>IFERROR(Inv_SY_B!IF28/Inv_SY_B!$IS28-1,"")</f>
        <v/>
      </c>
      <c r="IG28" s="62">
        <f>IFERROR(Inv_SY_B!IG28/Inv_SY_B!$IS28-1,"")</f>
        <v>2.4663551616626034E-2</v>
      </c>
      <c r="IH28" s="62">
        <f>IFERROR(Inv_SY_B!IH28/Inv_SY_B!$IS28-1,"")</f>
        <v>-4.36138635293426E-3</v>
      </c>
      <c r="II28" s="62">
        <f>IFERROR(Inv_SY_B!II28/Inv_SY_B!$IS28-1,"")</f>
        <v>-1.3510802972581559E-2</v>
      </c>
      <c r="IJ28" s="62">
        <f>IFERROR(Inv_SY_B!IJ28/Inv_SY_B!$IS28-1,"")</f>
        <v>-1.3183500651072877E-2</v>
      </c>
      <c r="IK28" s="62">
        <f>IFERROR(Inv_SY_B!IK28/Inv_SY_B!$IS28-1,"")</f>
        <v>-1.458922216011671E-2</v>
      </c>
      <c r="IL28" s="62" t="str">
        <f>IFERROR(Inv_SY_B!IL28/Inv_SY_B!$IS28-1,"")</f>
        <v/>
      </c>
      <c r="IM28" s="62" t="str">
        <f>IFERROR(Inv_SY_B!IM28/Inv_SY_B!$IS28-1,"")</f>
        <v/>
      </c>
      <c r="IN28" s="62">
        <f>IFERROR(Inv_SY_B!IN28/Inv_SY_B!$IS28-1,"")</f>
        <v>7.989573664459737E-3</v>
      </c>
      <c r="IO28" s="62">
        <f>IFERROR(Inv_SY_B!IO28/Inv_SY_B!$IS28-1,"")</f>
        <v>5.2484167218238564E-3</v>
      </c>
      <c r="IP28" s="62">
        <f>IFERROR(Inv_SY_B!IP28/Inv_SY_B!$IS28-1,"")</f>
        <v>4.548666706313309E-2</v>
      </c>
      <c r="IQ28" s="62">
        <f>IFERROR(Inv_SY_B!IQ28/Inv_SY_B!$IS28-1,"")</f>
        <v>-1.458922216011671E-2</v>
      </c>
      <c r="IR28" s="62">
        <f>IFERROR(Inv_SY_B!IR28/Inv_SY_B!$IS28-1,"")</f>
        <v>-1.5911019996979081E-2</v>
      </c>
    </row>
    <row r="29" spans="2:252" x14ac:dyDescent="0.25">
      <c r="B29" s="85">
        <f t="shared" si="0"/>
        <v>45855</v>
      </c>
      <c r="C29" s="62">
        <f>IFERROR(Inv_SY_B!C29/Inv_SY_B!$IS29-1,"")</f>
        <v>-2.132074482246693E-2</v>
      </c>
      <c r="D29" s="62">
        <f>IFERROR(Inv_SY_B!D29/Inv_SY_B!$IS29-1,"")</f>
        <v>-1.9969826036301486E-2</v>
      </c>
      <c r="E29" s="62">
        <f>IFERROR(Inv_SY_B!E29/Inv_SY_B!$IS29-1,"")</f>
        <v>-2.2119015014292032E-2</v>
      </c>
      <c r="F29" s="62">
        <f>IFERROR(Inv_SY_B!F29/Inv_SY_B!$IS29-1,"")</f>
        <v>-1.0144962136915847E-2</v>
      </c>
      <c r="G29" s="62">
        <f>IFERROR(Inv_SY_B!G29/Inv_SY_B!$IS29-1,"")</f>
        <v>-3.0219358098615423E-3</v>
      </c>
      <c r="H29" s="62">
        <f>IFERROR(Inv_SY_B!H29/Inv_SY_B!$IS29-1,"")</f>
        <v>-8.3180989895681456E-4</v>
      </c>
      <c r="I29" s="62">
        <f>IFERROR(Inv_SY_B!I29/Inv_SY_B!$IS29-1,"")</f>
        <v>-1.0144962136915847E-2</v>
      </c>
      <c r="J29" s="62">
        <f>IFERROR(Inv_SY_B!J29/Inv_SY_B!$IS29-1,"")</f>
        <v>-8.3180989895681456E-4</v>
      </c>
      <c r="K29" s="62">
        <f>IFERROR(Inv_SY_B!K29/Inv_SY_B!$IS29-1,"")</f>
        <v>-2.0362820592276787E-2</v>
      </c>
      <c r="L29" s="62">
        <f>IFERROR(Inv_SY_B!L29/Inv_SY_B!$IS29-1,"")</f>
        <v>1.1440263850033938E-2</v>
      </c>
      <c r="M29" s="62">
        <f>IFERROR(Inv_SY_B!M29/Inv_SY_B!$IS29-1,"")</f>
        <v>-1.5466763415749707E-2</v>
      </c>
      <c r="N29" s="62">
        <f>IFERROR(Inv_SY_B!N29/Inv_SY_B!$IS29-1,"")</f>
        <v>5.8204416995852881E-3</v>
      </c>
      <c r="O29" s="62">
        <f>IFERROR(Inv_SY_B!O29/Inv_SY_B!$IS29-1,"")</f>
        <v>-2.2119015014292032E-2</v>
      </c>
      <c r="P29" s="62">
        <f>IFERROR(Inv_SY_B!P29/Inv_SY_B!$IS29-1,"")</f>
        <v>-2.887960393051725E-3</v>
      </c>
      <c r="Q29" s="62">
        <f>IFERROR(Inv_SY_B!Q29/Inv_SY_B!$IS29-1,"")</f>
        <v>-4.8231608580820984E-3</v>
      </c>
      <c r="R29" s="62">
        <f>IFERROR(Inv_SY_B!R29/Inv_SY_B!$IS29-1,"")</f>
        <v>4.4899913798770452E-3</v>
      </c>
      <c r="S29" s="62">
        <f>IFERROR(Inv_SY_B!S29/Inv_SY_B!$IS29-1,"")</f>
        <v>2.4943159003143478E-3</v>
      </c>
      <c r="T29" s="62">
        <f>IFERROR(Inv_SY_B!T29/Inv_SY_B!$IS29-1,"")</f>
        <v>4.9864042075165038E-4</v>
      </c>
      <c r="U29" s="62">
        <f>IFERROR(Inv_SY_B!U29/Inv_SY_B!$IS29-1,"")</f>
        <v>5.3291985046162171E-3</v>
      </c>
      <c r="V29" s="62">
        <f>IFERROR(Inv_SY_B!V29/Inv_SY_B!$IS29-1,"")</f>
        <v>1.6504981190167189E-2</v>
      </c>
      <c r="W29" s="62">
        <f>IFERROR(Inv_SY_B!W29/Inv_SY_B!$IS29-1,"")</f>
        <v>-1.2309449948693096E-3</v>
      </c>
      <c r="X29" s="62">
        <f>IFERROR(Inv_SY_B!X29/Inv_SY_B!$IS29-1,"")</f>
        <v>-4.2909807301987346E-3</v>
      </c>
      <c r="Y29" s="62">
        <f>IFERROR(Inv_SY_B!Y29/Inv_SY_B!$IS29-1,"")</f>
        <v>1.2083792435443774E-2</v>
      </c>
      <c r="Z29" s="62">
        <f>IFERROR(Inv_SY_B!Z29/Inv_SY_B!$IS29-1,"")</f>
        <v>-2.1031290933448687E-3</v>
      </c>
      <c r="AA29" s="62">
        <f>IFERROR(Inv_SY_B!AA29/Inv_SY_B!$IS29-1,"")</f>
        <v>9.0800974989280192E-4</v>
      </c>
      <c r="AB29" s="62">
        <f>IFERROR(Inv_SY_B!AB29/Inv_SY_B!$IS29-1,"")</f>
        <v>2.0189305152436665E-2</v>
      </c>
      <c r="AC29" s="62">
        <f>IFERROR(Inv_SY_B!AC29/Inv_SY_B!$IS29-1,"")</f>
        <v>-1.7882042457681879E-2</v>
      </c>
      <c r="AD29" s="62">
        <f>IFERROR(Inv_SY_B!AD29/Inv_SY_B!$IS29-1,"")</f>
        <v>1.0432669474574663E-2</v>
      </c>
      <c r="AE29" s="62">
        <f>IFERROR(Inv_SY_B!AE29/Inv_SY_B!$IS29-1,"")</f>
        <v>-2.137987594778723E-2</v>
      </c>
      <c r="AF29" s="62">
        <f>IFERROR(Inv_SY_B!AF29/Inv_SY_B!$IS29-1,"")</f>
        <v>8.1856867124003863E-3</v>
      </c>
      <c r="AG29" s="62">
        <f>IFERROR(Inv_SY_B!AG29/Inv_SY_B!$IS29-1,"")</f>
        <v>2.3908364310036845E-3</v>
      </c>
      <c r="AH29" s="62">
        <f>IFERROR(Inv_SY_B!AH29/Inv_SY_B!$IS29-1,"")</f>
        <v>2.6211591947000734E-4</v>
      </c>
      <c r="AI29" s="62">
        <f>IFERROR(Inv_SY_B!AI29/Inv_SY_B!$IS29-1,"")</f>
        <v>-2.0044893171539013E-2</v>
      </c>
      <c r="AJ29" s="62">
        <f>IFERROR(Inv_SY_B!AJ29/Inv_SY_B!$IS29-1,"")</f>
        <v>-7.0967177188722141E-3</v>
      </c>
      <c r="AK29" s="62">
        <f>IFERROR(Inv_SY_B!AK29/Inv_SY_B!$IS29-1,"")</f>
        <v>-1.6531123671516323E-2</v>
      </c>
      <c r="AL29" s="62">
        <f>IFERROR(Inv_SY_B!AL29/Inv_SY_B!$IS29-1,"")</f>
        <v>-1.9521765895690657E-2</v>
      </c>
      <c r="AM29" s="62">
        <f>IFERROR(Inv_SY_B!AM29/Inv_SY_B!$IS29-1,"")</f>
        <v>-9.6485493092768326E-4</v>
      </c>
      <c r="AN29" s="62">
        <f>IFERROR(Inv_SY_B!AN29/Inv_SY_B!$IS29-1,"")</f>
        <v>-3.4927105383737445E-3</v>
      </c>
      <c r="AO29" s="62">
        <f>IFERROR(Inv_SY_B!AO29/Inv_SY_B!$IS29-1,"")</f>
        <v>-8.8145118172074932E-3</v>
      </c>
      <c r="AP29" s="62">
        <f>IFERROR(Inv_SY_B!AP29/Inv_SY_B!$IS29-1,"")</f>
        <v>-4.4240257621697143E-3</v>
      </c>
      <c r="AQ29" s="62">
        <f>IFERROR(Inv_SY_B!AQ29/Inv_SY_B!$IS29-1,"")</f>
        <v>4.4899913798770452E-3</v>
      </c>
      <c r="AR29" s="62">
        <f>IFERROR(Inv_SY_B!AR29/Inv_SY_B!$IS29-1,"")</f>
        <v>-1.2805862776332777E-2</v>
      </c>
      <c r="AS29" s="62">
        <f>IFERROR(Inv_SY_B!AS29/Inv_SY_B!$IS29-1,"")</f>
        <v>-1.6797213735458172E-2</v>
      </c>
      <c r="AT29" s="62">
        <f>IFERROR(Inv_SY_B!AT29/Inv_SY_B!$IS29-1,"")</f>
        <v>-2.3981645461883749E-2</v>
      </c>
      <c r="AU29" s="62">
        <f>IFERROR(Inv_SY_B!AU29/Inv_SY_B!$IS29-1,"")</f>
        <v>2.3914566047620323E-2</v>
      </c>
      <c r="AV29" s="62">
        <f>IFERROR(Inv_SY_B!AV29/Inv_SY_B!$IS29-1,"")</f>
        <v>2.1785845536086867E-2</v>
      </c>
      <c r="AW29" s="62">
        <f>IFERROR(Inv_SY_B!AW29/Inv_SY_B!$IS29-1,"")</f>
        <v>-1.6285502074031899E-2</v>
      </c>
      <c r="AX29" s="62">
        <f>IFERROR(Inv_SY_B!AX29/Inv_SY_B!$IS29-1,"")</f>
        <v>-2.0256384566700092E-2</v>
      </c>
      <c r="AY29" s="62">
        <f>IFERROR(Inv_SY_B!AY29/Inv_SY_B!$IS29-1,"")</f>
        <v>-2.0362820592276787E-2</v>
      </c>
      <c r="AZ29" s="62">
        <f>IFERROR(Inv_SY_B!AZ29/Inv_SY_B!$IS29-1,"")</f>
        <v>-2.6365812434801406E-2</v>
      </c>
      <c r="BA29" s="62">
        <f>IFERROR(Inv_SY_B!BA29/Inv_SY_B!$IS29-1,"")</f>
        <v>-2.2119015014292032E-2</v>
      </c>
      <c r="BB29" s="62">
        <f>IFERROR(Inv_SY_B!BB29/Inv_SY_B!$IS29-1,"")</f>
        <v>-1.6797213735458172E-2</v>
      </c>
      <c r="BC29" s="62">
        <f>IFERROR(Inv_SY_B!BC29/Inv_SY_B!$IS29-1,"")</f>
        <v>-7.6614548734601495E-3</v>
      </c>
      <c r="BD29" s="62">
        <f>IFERROR(Inv_SY_B!BD29/Inv_SY_B!$IS29-1,"")</f>
        <v>-2.4336432213805992E-2</v>
      </c>
      <c r="BE29" s="62">
        <f>IFERROR(Inv_SY_B!BE29/Inv_SY_B!$IS29-1,"")</f>
        <v>-1.6285502074031899E-2</v>
      </c>
      <c r="BF29" s="62">
        <f>IFERROR(Inv_SY_B!BF29/Inv_SY_B!$IS29-1,"")</f>
        <v>-7.8979793747416815E-3</v>
      </c>
      <c r="BG29" s="62">
        <f>IFERROR(Inv_SY_B!BG29/Inv_SY_B!$IS29-1,"")</f>
        <v>6.4117529527891737E-3</v>
      </c>
      <c r="BH29" s="62">
        <f>IFERROR(Inv_SY_B!BH29/Inv_SY_B!$IS29-1,"")</f>
        <v>2.9768547454337435E-2</v>
      </c>
      <c r="BI29" s="62">
        <f>IFERROR(Inv_SY_B!BI29/Inv_SY_B!$IS29-1,"")</f>
        <v>7.5943754591967227E-3</v>
      </c>
      <c r="BJ29" s="62">
        <f>IFERROR(Inv_SY_B!BJ29/Inv_SY_B!$IS29-1,"")</f>
        <v>1.5163159500204637E-2</v>
      </c>
      <c r="BK29" s="62">
        <f>IFERROR(Inv_SY_B!BK29/Inv_SY_B!$IS29-1,"")</f>
        <v>-1.5732853479691555E-2</v>
      </c>
      <c r="BL29" s="62">
        <f>IFERROR(Inv_SY_B!BL29/Inv_SY_B!$IS29-1,"")</f>
        <v>2.8212532572315929E-3</v>
      </c>
      <c r="BM29" s="62">
        <f>IFERROR(Inv_SY_B!BM29/Inv_SY_B!$IS29-1,"")</f>
        <v>-1.0144962136915847E-2</v>
      </c>
      <c r="BN29" s="62">
        <f>IFERROR(Inv_SY_B!BN29/Inv_SY_B!$IS29-1,"")</f>
        <v>8.0075518803224277E-3</v>
      </c>
      <c r="BO29" s="62">
        <f>IFERROR(Inv_SY_B!BO29/Inv_SY_B!$IS29-1,"")</f>
        <v>1.1592549240474481E-2</v>
      </c>
      <c r="BP29" s="62">
        <f>IFERROR(Inv_SY_B!BP29/Inv_SY_B!$IS29-1,"")</f>
        <v>8.2766576744317533E-3</v>
      </c>
      <c r="BQ29" s="62">
        <f>IFERROR(Inv_SY_B!BQ29/Inv_SY_B!$IS29-1,"")</f>
        <v>1.3434711221609108E-2</v>
      </c>
      <c r="BR29" s="62">
        <f>IFERROR(Inv_SY_B!BR29/Inv_SY_B!$IS29-1,"")</f>
        <v>-9.4080973444620186E-3</v>
      </c>
      <c r="BS29" s="62">
        <f>IFERROR(Inv_SY_B!BS29/Inv_SY_B!$IS29-1,"")</f>
        <v>1.7395359481048978E-2</v>
      </c>
      <c r="BT29" s="62">
        <f>IFERROR(Inv_SY_B!BT29/Inv_SY_B!$IS29-1,"")</f>
        <v>1.8592764768786463E-2</v>
      </c>
      <c r="BU29" s="62">
        <f>IFERROR(Inv_SY_B!BU29/Inv_SY_B!$IS29-1,"")</f>
        <v>2.1120620376232635E-2</v>
      </c>
      <c r="BV29" s="62">
        <f>IFERROR(Inv_SY_B!BV29/Inv_SY_B!$IS29-1,"")</f>
        <v>1.699622438513626E-2</v>
      </c>
      <c r="BW29" s="62">
        <f>IFERROR(Inv_SY_B!BW29/Inv_SY_B!$IS29-1,"")</f>
        <v>4.7560814438185606E-3</v>
      </c>
      <c r="BX29" s="62">
        <f>IFERROR(Inv_SY_B!BX29/Inv_SY_B!$IS29-1,"")</f>
        <v>1.0343972786594158E-2</v>
      </c>
      <c r="BY29" s="62">
        <f>IFERROR(Inv_SY_B!BY29/Inv_SY_B!$IS29-1,"")</f>
        <v>7.5943754591967227E-3</v>
      </c>
      <c r="BZ29" s="62">
        <f>IFERROR(Inv_SY_B!BZ29/Inv_SY_B!$IS29-1,"")</f>
        <v>2.2850205791853373E-2</v>
      </c>
      <c r="CA29" s="62">
        <f>IFERROR(Inv_SY_B!CA29/Inv_SY_B!$IS29-1,"")</f>
        <v>1.7055355510456671E-2</v>
      </c>
      <c r="CB29" s="62">
        <f>IFERROR(Inv_SY_B!CB29/Inv_SY_B!$IS29-1,"")</f>
        <v>1.7794494576961473E-2</v>
      </c>
      <c r="CC29" s="62">
        <f>IFERROR(Inv_SY_B!CC29/Inv_SY_B!$IS29-1,"")</f>
        <v>2.4712836239445535E-2</v>
      </c>
      <c r="CD29" s="62">
        <f>IFERROR(Inv_SY_B!CD29/Inv_SY_B!$IS29-1,"")</f>
        <v>3.2470385026668547E-2</v>
      </c>
      <c r="CE29" s="62">
        <f>IFERROR(Inv_SY_B!CE29/Inv_SY_B!$IS29-1,"")</f>
        <v>2.1785845536086867E-2</v>
      </c>
      <c r="CF29" s="62">
        <f>IFERROR(Inv_SY_B!CF29/Inv_SY_B!$IS29-1,"")</f>
        <v>1.7794494576961473E-2</v>
      </c>
      <c r="CG29" s="62">
        <f>IFERROR(Inv_SY_B!CG29/Inv_SY_B!$IS29-1,"")</f>
        <v>2.6309376623095515E-2</v>
      </c>
      <c r="CH29" s="62">
        <f>IFERROR(Inv_SY_B!CH29/Inv_SY_B!$IS29-1,"")</f>
        <v>2.8038962038716475E-2</v>
      </c>
      <c r="CI29" s="62">
        <f>IFERROR(Inv_SY_B!CI29/Inv_SY_B!$IS29-1,"")</f>
        <v>3.1595410601683582E-3</v>
      </c>
      <c r="CJ29" s="62">
        <f>IFERROR(Inv_SY_B!CJ29/Inv_SY_B!$IS29-1,"")</f>
        <v>1.7794494576961473E-2</v>
      </c>
      <c r="CK29" s="62">
        <f>IFERROR(Inv_SY_B!CK29/Inv_SY_B!$IS29-1,"")</f>
        <v>3.9578112519935704E-3</v>
      </c>
      <c r="CL29" s="62">
        <f>IFERROR(Inv_SY_B!CL29/Inv_SY_B!$IS29-1,"")</f>
        <v>-1.6658473910258209E-4</v>
      </c>
      <c r="CM29" s="62">
        <f>IFERROR(Inv_SY_B!CM29/Inv_SY_B!$IS29-1,"")</f>
        <v>1.5798819097398775E-2</v>
      </c>
      <c r="CN29" s="62">
        <f>IFERROR(Inv_SY_B!CN29/Inv_SY_B!$IS29-1,"")</f>
        <v>8.082207243089945E-3</v>
      </c>
      <c r="CO29" s="62">
        <f>IFERROR(Inv_SY_B!CO29/Inv_SY_B!$IS29-1,"")</f>
        <v>-9.634069214147889E-3</v>
      </c>
      <c r="CP29" s="62">
        <f>IFERROR(Inv_SY_B!CP29/Inv_SY_B!$IS29-1,"")</f>
        <v>9.1363332656280161E-3</v>
      </c>
      <c r="CQ29" s="62">
        <f>IFERROR(Inv_SY_B!CQ29/Inv_SY_B!$IS29-1,"")</f>
        <v>1.4069233681777815E-2</v>
      </c>
      <c r="CR29" s="62">
        <f>IFERROR(Inv_SY_B!CR29/Inv_SY_B!$IS29-1,"")</f>
        <v>-5.4883860179364419E-3</v>
      </c>
      <c r="CS29" s="62">
        <f>IFERROR(Inv_SY_B!CS29/Inv_SY_B!$IS29-1,"")</f>
        <v>-3.4040138503931283E-3</v>
      </c>
      <c r="CT29" s="62">
        <f>IFERROR(Inv_SY_B!CT29/Inv_SY_B!$IS29-1,"")</f>
        <v>3.5586761560810753E-3</v>
      </c>
      <c r="CU29" s="62">
        <f>IFERROR(Inv_SY_B!CU29/Inv_SY_B!$IS29-1,"")</f>
        <v>1.726231444907822E-2</v>
      </c>
      <c r="CV29" s="62">
        <f>IFERROR(Inv_SY_B!CV29/Inv_SY_B!$IS29-1,"")</f>
        <v>1.5266638969515522E-2</v>
      </c>
      <c r="CW29" s="62">
        <f>IFERROR(Inv_SY_B!CW29/Inv_SY_B!$IS29-1,"")</f>
        <v>-8.2823316893241294E-3</v>
      </c>
      <c r="CX29" s="62">
        <f>IFERROR(Inv_SY_B!CX29/Inv_SY_B!$IS29-1,"")</f>
        <v>2.0951808044018527E-3</v>
      </c>
      <c r="CY29" s="62">
        <f>IFERROR(Inv_SY_B!CY29/Inv_SY_B!$IS29-1,"")</f>
        <v>1.5000548905573785E-2</v>
      </c>
      <c r="CZ29" s="62">
        <f>IFERROR(Inv_SY_B!CZ29/Inv_SY_B!$IS29-1,"")</f>
        <v>1.3270963489952825E-2</v>
      </c>
      <c r="DA29" s="62">
        <f>IFERROR(Inv_SY_B!DA29/Inv_SY_B!$IS29-1,"")</f>
        <v>1.0876152914477411E-2</v>
      </c>
      <c r="DB29" s="62">
        <f>IFERROR(Inv_SY_B!DB29/Inv_SY_B!$IS29-1,"")</f>
        <v>1.7794494576961473E-2</v>
      </c>
      <c r="DC29" s="62">
        <f>IFERROR(Inv_SY_B!DC29/Inv_SY_B!$IS29-1,"")</f>
        <v>-6.3605701164117789E-3</v>
      </c>
      <c r="DD29" s="62">
        <f>IFERROR(Inv_SY_B!DD29/Inv_SY_B!$IS29-1,"")</f>
        <v>-1.865984418304989E-2</v>
      </c>
      <c r="DE29" s="62">
        <f>IFERROR(Inv_SY_B!DE29/Inv_SY_B!$IS29-1,"")</f>
        <v>-1.8659844183050112E-2</v>
      </c>
      <c r="DF29" s="62">
        <f>IFERROR(Inv_SY_B!DF29/Inv_SY_B!$IS29-1,"")</f>
        <v>-2.1185607747503998E-2</v>
      </c>
      <c r="DG29" s="62">
        <f>IFERROR(Inv_SY_B!DG29/Inv_SY_B!$IS29-1,"")</f>
        <v>5.022171507760298E-3</v>
      </c>
      <c r="DH29" s="62">
        <f>IFERROR(Inv_SY_B!DH29/Inv_SY_B!$IS29-1,"")</f>
        <v>1.2082139245961354E-3</v>
      </c>
      <c r="DI29" s="62">
        <f>IFERROR(Inv_SY_B!DI29/Inv_SY_B!$IS29-1,"")</f>
        <v>-2.7763142123768958E-3</v>
      </c>
      <c r="DJ29" s="62">
        <f>IFERROR(Inv_SY_B!DJ29/Inv_SY_B!$IS29-1,"")</f>
        <v>3.364225724739045E-3</v>
      </c>
      <c r="DK29" s="62">
        <f>IFERROR(Inv_SY_B!DK29/Inv_SY_B!$IS29-1,"")</f>
        <v>1.3507487991234246E-2</v>
      </c>
      <c r="DL29" s="62">
        <f>IFERROR(Inv_SY_B!DL29/Inv_SY_B!$IS29-1,"")</f>
        <v>-1.8666045920633367E-3</v>
      </c>
      <c r="DM29" s="62">
        <f>IFERROR(Inv_SY_B!DM29/Inv_SY_B!$IS29-1,"")</f>
        <v>2.3255035680991298E-4</v>
      </c>
      <c r="DN29" s="62">
        <f>IFERROR(Inv_SY_B!DN29/Inv_SY_B!$IS29-1,"")</f>
        <v>-6.9876486698594586E-4</v>
      </c>
      <c r="DO29" s="62">
        <f>IFERROR(Inv_SY_B!DO29/Inv_SY_B!$IS29-1,"")</f>
        <v>-1.7382540657645107E-2</v>
      </c>
      <c r="DP29" s="62">
        <f>IFERROR(Inv_SY_B!DP29/Inv_SY_B!$IS29-1,"")</f>
        <v>4.7560814438185606E-3</v>
      </c>
      <c r="DQ29" s="62">
        <f>IFERROR(Inv_SY_B!DQ29/Inv_SY_B!$IS29-1,"")</f>
        <v>-8.1345038760231025E-3</v>
      </c>
      <c r="DR29" s="62">
        <f>IFERROR(Inv_SY_B!DR29/Inv_SY_B!$IS29-1,"")</f>
        <v>-6.9876486698594586E-4</v>
      </c>
      <c r="DS29" s="62">
        <f>IFERROR(Inv_SY_B!DS29/Inv_SY_B!$IS29-1,"")</f>
        <v>-2.3715555397942234E-2</v>
      </c>
      <c r="DT29" s="62">
        <f>IFERROR(Inv_SY_B!DT29/Inv_SY_B!$IS29-1,"")</f>
        <v>-1.8778106433690711E-2</v>
      </c>
      <c r="DU29" s="62">
        <f>IFERROR(Inv_SY_B!DU29/Inv_SY_B!$IS29-1,"")</f>
        <v>-1.8896368684331422E-2</v>
      </c>
      <c r="DV29" s="62">
        <f>IFERROR(Inv_SY_B!DV29/Inv_SY_B!$IS29-1,"")</f>
        <v>-1.8792889215020758E-2</v>
      </c>
      <c r="DW29" s="62">
        <f>IFERROR(Inv_SY_B!DW29/Inv_SY_B!$IS29-1,"")</f>
        <v>-2.5179050749621235E-2</v>
      </c>
      <c r="DX29" s="62">
        <f>IFERROR(Inv_SY_B!DX29/Inv_SY_B!$IS29-1,"")</f>
        <v>4.8743436944593821E-3</v>
      </c>
      <c r="DY29" s="62">
        <f>IFERROR(Inv_SY_B!DY29/Inv_SY_B!$IS29-1,"")</f>
        <v>-1.3338042904216141E-2</v>
      </c>
      <c r="DZ29" s="62">
        <f>IFERROR(Inv_SY_B!DZ29/Inv_SY_B!$IS29-1,"")</f>
        <v>-5.2222959539945935E-3</v>
      </c>
      <c r="EA29" s="62">
        <f>IFERROR(Inv_SY_B!EA29/Inv_SY_B!$IS29-1,"")</f>
        <v>-1.2155420397808814E-2</v>
      </c>
      <c r="EB29" s="62">
        <f>IFERROR(Inv_SY_B!EB29/Inv_SY_B!$IS29-1,"")</f>
        <v>-2.2799022955476311E-2</v>
      </c>
      <c r="EC29" s="62">
        <f>IFERROR(Inv_SY_B!EC29/Inv_SY_B!$IS29-1,"")</f>
        <v>-2.1811988017436112E-2</v>
      </c>
      <c r="ED29" s="62">
        <f>IFERROR(Inv_SY_B!ED29/Inv_SY_B!$IS29-1,"")</f>
        <v>2.381739334800681E-3</v>
      </c>
      <c r="EE29" s="62">
        <f>IFERROR(Inv_SY_B!EE29/Inv_SY_B!$IS29-1,"")</f>
        <v>1.8347143171302038E-2</v>
      </c>
      <c r="EF29" s="62">
        <f>IFERROR(Inv_SY_B!EF29/Inv_SY_B!$IS29-1,"")</f>
        <v>-1.6385983636639012E-2</v>
      </c>
      <c r="EG29" s="62">
        <f>IFERROR(Inv_SY_B!EG29/Inv_SY_B!$IS29-1,"")</f>
        <v>-1.193827891400534E-2</v>
      </c>
      <c r="EH29" s="62">
        <f>IFERROR(Inv_SY_B!EH29/Inv_SY_B!$IS29-1,"")</f>
        <v>-2.1750582618064951E-2</v>
      </c>
      <c r="EI29" s="62">
        <f>IFERROR(Inv_SY_B!EI29/Inv_SY_B!$IS29-1,"")</f>
        <v>-2.0011693354054394E-2</v>
      </c>
      <c r="EJ29" s="62">
        <f>IFERROR(Inv_SY_B!EJ29/Inv_SY_B!$IS29-1,"")</f>
        <v>-1.3807369539413639E-3</v>
      </c>
      <c r="EK29" s="62">
        <f>IFERROR(Inv_SY_B!EK29/Inv_SY_B!$IS29-1,"")</f>
        <v>1.029075477380581E-2</v>
      </c>
      <c r="EL29" s="62">
        <f>IFERROR(Inv_SY_B!EL29/Inv_SY_B!$IS29-1,"")</f>
        <v>-5.6571983501496614E-4</v>
      </c>
      <c r="EM29" s="62">
        <f>IFERROR(Inv_SY_B!EM29/Inv_SY_B!$IS29-1,"")</f>
        <v>2.5045501335427822E-3</v>
      </c>
      <c r="EN29" s="62">
        <f>IFERROR(Inv_SY_B!EN29/Inv_SY_B!$IS29-1,"")</f>
        <v>-1.6531123671516545E-2</v>
      </c>
      <c r="EO29" s="62">
        <f>IFERROR(Inv_SY_B!EO29/Inv_SY_B!$IS29-1,"")</f>
        <v>6.3526218274687629E-3</v>
      </c>
      <c r="EP29" s="62">
        <f>IFERROR(Inv_SY_B!EP29/Inv_SY_B!$IS29-1,"")</f>
        <v>-1.4688961690381808E-2</v>
      </c>
      <c r="EQ29" s="62">
        <f>IFERROR(Inv_SY_B!EQ29/Inv_SY_B!$IS29-1,"")</f>
        <v>-2.4779915653708851E-2</v>
      </c>
      <c r="ER29" s="62">
        <f>IFERROR(Inv_SY_B!ER29/Inv_SY_B!$IS29-1,"")</f>
        <v>3.364225724739045E-3</v>
      </c>
      <c r="ES29" s="62">
        <f>IFERROR(Inv_SY_B!ES29/Inv_SY_B!$IS29-1,"")</f>
        <v>1.2871828394040108E-2</v>
      </c>
      <c r="ET29" s="62">
        <f>IFERROR(Inv_SY_B!ET29/Inv_SY_B!$IS29-1,"")</f>
        <v>-1.1596362485688738E-2</v>
      </c>
      <c r="EU29" s="62">
        <f>IFERROR(Inv_SY_B!EU29/Inv_SY_B!$IS29-1,"")</f>
        <v>7.0485496870085207E-3</v>
      </c>
      <c r="EV29" s="62">
        <f>IFERROR(Inv_SY_B!EV29/Inv_SY_B!$IS29-1,"")</f>
        <v>-1.6285502074031899E-2</v>
      </c>
      <c r="EW29" s="62">
        <f>IFERROR(Inv_SY_B!EW29/Inv_SY_B!$IS29-1,"")</f>
        <v>-2.2426042011147729E-2</v>
      </c>
      <c r="EX29" s="62">
        <f>IFERROR(Inv_SY_B!EX29/Inv_SY_B!$IS29-1,"")</f>
        <v>-7.3510164655281596E-3</v>
      </c>
      <c r="EY29" s="62">
        <f>IFERROR(Inv_SY_B!EY29/Inv_SY_B!$IS29-1,"")</f>
        <v>-2.5164267968291298E-2</v>
      </c>
      <c r="EZ29" s="62">
        <f>IFERROR(Inv_SY_B!EZ29/Inv_SY_B!$IS29-1,"")</f>
        <v>5.9534867315562678E-3</v>
      </c>
      <c r="FA29" s="62">
        <f>IFERROR(Inv_SY_B!FA29/Inv_SY_B!$IS29-1,"")</f>
        <v>2.0056260120465907E-2</v>
      </c>
      <c r="FB29" s="62">
        <f>IFERROR(Inv_SY_B!FB29/Inv_SY_B!$IS29-1,"")</f>
        <v>9.0135224668856928E-3</v>
      </c>
      <c r="FC29" s="62">
        <f>IFERROR(Inv_SY_B!FC29/Inv_SY_B!$IS29-1,"")</f>
        <v>3.691721188051833E-3</v>
      </c>
      <c r="FD29" s="62">
        <f>IFERROR(Inv_SY_B!FD29/Inv_SY_B!$IS29-1,"")</f>
        <v>9.4126575627981879E-3</v>
      </c>
      <c r="FE29" s="62">
        <f>IFERROR(Inv_SY_B!FE29/Inv_SY_B!$IS29-1,"")</f>
        <v>5.947439230103102E-3</v>
      </c>
      <c r="FF29" s="62">
        <f>IFERROR(Inv_SY_B!FF29/Inv_SY_B!$IS29-1,"")</f>
        <v>-8.7192636693192993E-3</v>
      </c>
      <c r="FG29" s="62">
        <f>IFERROR(Inv_SY_B!FG29/Inv_SY_B!$IS29-1,"")</f>
        <v>-2.3057049684147124E-2</v>
      </c>
      <c r="FH29" s="62">
        <f>IFERROR(Inv_SY_B!FH29/Inv_SY_B!$IS29-1,"")</f>
        <v>5.1400977860982522E-3</v>
      </c>
      <c r="FI29" s="62">
        <f>IFERROR(Inv_SY_B!FI29/Inv_SY_B!$IS29-1,"")</f>
        <v>-1.9708077768274768E-2</v>
      </c>
      <c r="FJ29" s="62">
        <f>IFERROR(Inv_SY_B!FJ29/Inv_SY_B!$IS29-1,"")</f>
        <v>-2.2459018984884227E-2</v>
      </c>
      <c r="FK29" s="62">
        <f>IFERROR(Inv_SY_B!FK29/Inv_SY_B!$IS29-1,"")</f>
        <v>2.2512889599685115E-2</v>
      </c>
      <c r="FL29" s="62">
        <f>IFERROR(Inv_SY_B!FL29/Inv_SY_B!$IS29-1,"")</f>
        <v>-2.6426737341089801E-3</v>
      </c>
      <c r="FM29" s="62">
        <f>IFERROR(Inv_SY_B!FM29/Inv_SY_B!$IS29-1,"")</f>
        <v>9.0422480987883969E-3</v>
      </c>
      <c r="FN29" s="62">
        <f>IFERROR(Inv_SY_B!FN29/Inv_SY_B!$IS29-1,"")</f>
        <v>-1.731595497122318E-2</v>
      </c>
      <c r="FO29" s="62">
        <f>IFERROR(Inv_SY_B!FO29/Inv_SY_B!$IS29-1,"")</f>
        <v>-1.8138247182709732E-2</v>
      </c>
      <c r="FP29" s="62">
        <f>IFERROR(Inv_SY_B!FP29/Inv_SY_B!$IS29-1,"")</f>
        <v>-2.0856296710859534E-2</v>
      </c>
      <c r="FQ29" s="62">
        <f>IFERROR(Inv_SY_B!FQ29/Inv_SY_B!$IS29-1,"")</f>
        <v>-4.3219439376394053E-3</v>
      </c>
      <c r="FR29" s="62">
        <f>IFERROR(Inv_SY_B!FR29/Inv_SY_B!$IS29-1,"")</f>
        <v>1.9916814878806477E-4</v>
      </c>
      <c r="FS29" s="62">
        <f>IFERROR(Inv_SY_B!FS29/Inv_SY_B!$IS29-1,"")</f>
        <v>-1.6837530411812907E-2</v>
      </c>
      <c r="FT29" s="62">
        <f>IFERROR(Inv_SY_B!FT29/Inv_SY_B!$IS29-1,"")</f>
        <v>-2.2148043021267383E-2</v>
      </c>
      <c r="FU29" s="62">
        <f>IFERROR(Inv_SY_B!FU29/Inv_SY_B!$IS29-1,"")</f>
        <v>-1.0495199512725595E-3</v>
      </c>
      <c r="FV29" s="62">
        <f>IFERROR(Inv_SY_B!FV29/Inv_SY_B!$IS29-1,"")</f>
        <v>5.1400977860982522E-3</v>
      </c>
      <c r="FW29" s="62">
        <f>IFERROR(Inv_SY_B!FW29/Inv_SY_B!$IS29-1,"")</f>
        <v>-6.0281255226362074E-3</v>
      </c>
      <c r="FX29" s="62">
        <f>IFERROR(Inv_SY_B!FX29/Inv_SY_B!$IS29-1,"")</f>
        <v>2.4489596394150492E-3</v>
      </c>
      <c r="FY29" s="62">
        <f>IFERROR(Inv_SY_B!FY29/Inv_SY_B!$IS29-1,"")</f>
        <v>-3.680855028029506E-3</v>
      </c>
      <c r="FZ29" s="62">
        <f>IFERROR(Inv_SY_B!FZ29/Inv_SY_B!$IS29-1,"")</f>
        <v>1.0522374079464214E-2</v>
      </c>
      <c r="GA29" s="62">
        <f>IFERROR(Inv_SY_B!GA29/Inv_SY_B!$IS29-1,"")</f>
        <v>-1.9390661474050663E-2</v>
      </c>
      <c r="GB29" s="62">
        <f>IFERROR(Inv_SY_B!GB29/Inv_SY_B!$IS29-1,"")</f>
        <v>6.2496600666328561E-4</v>
      </c>
      <c r="GC29" s="62">
        <f>IFERROR(Inv_SY_B!GC29/Inv_SY_B!$IS29-1,"")</f>
        <v>-1.0857223419184048E-2</v>
      </c>
      <c r="GD29" s="62">
        <f>IFERROR(Inv_SY_B!GD29/Inv_SY_B!$IS29-1,"")</f>
        <v>2.3967300260292479E-2</v>
      </c>
      <c r="GE29" s="62">
        <f>IFERROR(Inv_SY_B!GE29/Inv_SY_B!$IS29-1,"")</f>
        <v>-1.7900184962041599E-2</v>
      </c>
      <c r="GF29" s="62">
        <f>IFERROR(Inv_SY_B!GF29/Inv_SY_B!$IS29-1,"")</f>
        <v>-1.5641469013287113E-2</v>
      </c>
      <c r="GG29" s="62">
        <f>IFERROR(Inv_SY_B!GG29/Inv_SY_B!$IS29-1,"")</f>
        <v>-2.1372995235022674E-2</v>
      </c>
      <c r="GH29" s="62">
        <f>IFERROR(Inv_SY_B!GH29/Inv_SY_B!$IS29-1,"")</f>
        <v>-6.6470872963733107E-3</v>
      </c>
      <c r="GI29" s="62">
        <f>IFERROR(Inv_SY_B!GI29/Inv_SY_B!$IS29-1,"")</f>
        <v>-2.7315028262898666E-2</v>
      </c>
      <c r="GJ29" s="62">
        <f>IFERROR(Inv_SY_B!GJ29/Inv_SY_B!$IS29-1,"")</f>
        <v>1.1039900646133916E-2</v>
      </c>
      <c r="GK29" s="62">
        <f>IFERROR(Inv_SY_B!GK29/Inv_SY_B!$IS29-1,"")</f>
        <v>1.1464272430803391E-2</v>
      </c>
      <c r="GL29" s="62">
        <f>IFERROR(Inv_SY_B!GL29/Inv_SY_B!$IS29-1,"")</f>
        <v>2.0452889174127353E-3</v>
      </c>
      <c r="GM29" s="62">
        <f>IFERROR(Inv_SY_B!GM29/Inv_SY_B!$IS29-1,"")</f>
        <v>2.1017812851527706E-2</v>
      </c>
      <c r="GN29" s="62">
        <f>IFERROR(Inv_SY_B!GN29/Inv_SY_B!$IS29-1,"")</f>
        <v>1.7923003982842411E-2</v>
      </c>
      <c r="GO29" s="62">
        <f>IFERROR(Inv_SY_B!GO29/Inv_SY_B!$IS29-1,"")</f>
        <v>3.4877174306945369E-2</v>
      </c>
      <c r="GP29" s="62">
        <f>IFERROR(Inv_SY_B!GP29/Inv_SY_B!$IS29-1,"")</f>
        <v>2.4489596394150492E-3</v>
      </c>
      <c r="GQ29" s="62">
        <f>IFERROR(Inv_SY_B!GQ29/Inv_SY_B!$IS29-1,"")</f>
        <v>2.7180734540834806E-3</v>
      </c>
      <c r="GR29" s="62">
        <f>IFERROR(Inv_SY_B!GR29/Inv_SY_B!$IS29-1,"")</f>
        <v>4.8332865040360273E-2</v>
      </c>
      <c r="GS29" s="62" t="str">
        <f>IFERROR(Inv_SY_B!GS29/Inv_SY_B!$IS29-1,"")</f>
        <v/>
      </c>
      <c r="GT29" s="62" t="str">
        <f>IFERROR(Inv_SY_B!GT29/Inv_SY_B!$IS29-1,"")</f>
        <v/>
      </c>
      <c r="GU29" s="62">
        <f>IFERROR(Inv_SY_B!GU29/Inv_SY_B!$IS29-1,"")</f>
        <v>4.3195915456671896E-2</v>
      </c>
      <c r="GV29" s="62">
        <f>IFERROR(Inv_SY_B!GV29/Inv_SY_B!$IS29-1,"")</f>
        <v>-1.5856269043706961E-3</v>
      </c>
      <c r="GW29" s="62">
        <f>IFERROR(Inv_SY_B!GW29/Inv_SY_B!$IS29-1,"")</f>
        <v>-1.6750013724116108E-2</v>
      </c>
      <c r="GX29" s="62" t="str">
        <f>IFERROR(Inv_SY_B!GX29/Inv_SY_B!$IS29-1,"")</f>
        <v/>
      </c>
      <c r="GY29" s="62">
        <f>IFERROR(Inv_SY_B!GY29/Inv_SY_B!$IS29-1,"")</f>
        <v>-1.4193605215071847E-2</v>
      </c>
      <c r="GZ29" s="62">
        <f>IFERROR(Inv_SY_B!GZ29/Inv_SY_B!$IS29-1,"")</f>
        <v>-6.1536111777905633E-3</v>
      </c>
      <c r="HA29" s="62">
        <f>IFERROR(Inv_SY_B!HA29/Inv_SY_B!$IS29-1,"")</f>
        <v>2.497892630338705E-2</v>
      </c>
      <c r="HB29" s="62">
        <f>IFERROR(Inv_SY_B!HB29/Inv_SY_B!$IS29-1,"")</f>
        <v>-1.0144962136915847E-2</v>
      </c>
      <c r="HC29" s="62">
        <f>IFERROR(Inv_SY_B!HC29/Inv_SY_B!$IS29-1,"")</f>
        <v>-1.4136313096041353E-2</v>
      </c>
      <c r="HD29" s="62">
        <f>IFERROR(Inv_SY_B!HD29/Inv_SY_B!$IS29-1,"")</f>
        <v>4.2239013159350858E-3</v>
      </c>
      <c r="HE29" s="62">
        <f>IFERROR(Inv_SY_B!HE29/Inv_SY_B!$IS29-1,"")</f>
        <v>-2.4247735525825598E-2</v>
      </c>
      <c r="HF29" s="62">
        <f>IFERROR(Inv_SY_B!HF29/Inv_SY_B!$IS29-1,"")</f>
        <v>6.75175692338148E-3</v>
      </c>
      <c r="HG29" s="62">
        <f>IFERROR(Inv_SY_B!HG29/Inv_SY_B!$IS29-1,"")</f>
        <v>-1.7063303799399909E-2</v>
      </c>
      <c r="HH29" s="62">
        <f>IFERROR(Inv_SY_B!HH29/Inv_SY_B!$IS29-1,"")</f>
        <v>4.4899913798770452E-3</v>
      </c>
      <c r="HI29" s="62">
        <f>IFERROR(Inv_SY_B!HI29/Inv_SY_B!$IS29-1,"")</f>
        <v>-1.1475412456624423E-2</v>
      </c>
      <c r="HJ29" s="62">
        <f>IFERROR(Inv_SY_B!HJ29/Inv_SY_B!$IS29-1,"")</f>
        <v>3.3227718285579355E-2</v>
      </c>
      <c r="HK29" s="62">
        <f>IFERROR(Inv_SY_B!HK29/Inv_SY_B!$IS29-1,"")</f>
        <v>-2.1971187200990894E-2</v>
      </c>
      <c r="HL29" s="62">
        <f>IFERROR(Inv_SY_B!HL29/Inv_SY_B!$IS29-1,"")</f>
        <v>2.2258894538649709E-2</v>
      </c>
      <c r="HM29" s="62">
        <f>IFERROR(Inv_SY_B!HM29/Inv_SY_B!$IS29-1,"")</f>
        <v>3.2124391862813573E-2</v>
      </c>
      <c r="HN29" s="62">
        <f>IFERROR(Inv_SY_B!HN29/Inv_SY_B!$IS29-1,"")</f>
        <v>4.3578300033917383E-2</v>
      </c>
      <c r="HO29" s="62">
        <f>IFERROR(Inv_SY_B!HO29/Inv_SY_B!$IS29-1,"")</f>
        <v>4.6945536926811471E-2</v>
      </c>
      <c r="HP29" s="62">
        <f>IFERROR(Inv_SY_B!HP29/Inv_SY_B!$IS29-1,"")</f>
        <v>7.9721743596067984E-2</v>
      </c>
      <c r="HQ29" s="62">
        <f>IFERROR(Inv_SY_B!HQ29/Inv_SY_B!$IS29-1,"")</f>
        <v>-6.9273073954565501E-3</v>
      </c>
      <c r="HR29" s="62">
        <f>IFERROR(Inv_SY_B!HR29/Inv_SY_B!$IS29-1,"")</f>
        <v>-1.6080390627425167E-2</v>
      </c>
      <c r="HS29" s="62">
        <f>IFERROR(Inv_SY_B!HS29/Inv_SY_B!$IS29-1,"")</f>
        <v>1.3994728463874173E-2</v>
      </c>
      <c r="HT29" s="62">
        <f>IFERROR(Inv_SY_B!HT29/Inv_SY_B!$IS29-1,"")</f>
        <v>-8.0224433629660918E-4</v>
      </c>
      <c r="HU29" s="62">
        <f>IFERROR(Inv_SY_B!HU29/Inv_SY_B!$IS29-1,"")</f>
        <v>2.9957933285120752E-3</v>
      </c>
      <c r="HV29" s="62">
        <f>IFERROR(Inv_SY_B!HV29/Inv_SY_B!$IS29-1,"")</f>
        <v>-1.6162691275289465E-2</v>
      </c>
      <c r="HW29" s="62">
        <f>IFERROR(Inv_SY_B!HW29/Inv_SY_B!$IS29-1,"")</f>
        <v>2.3190801073698974E-2</v>
      </c>
      <c r="HX29" s="62">
        <f>IFERROR(Inv_SY_B!HX29/Inv_SY_B!$IS29-1,"")</f>
        <v>1.0732873649278218E-2</v>
      </c>
      <c r="HY29" s="62">
        <f>IFERROR(Inv_SY_B!HY29/Inv_SY_B!$IS29-1,"")</f>
        <v>-2.2213913439855792E-3</v>
      </c>
      <c r="HZ29" s="62">
        <f>IFERROR(Inv_SY_B!HZ29/Inv_SY_B!$IS29-1,"")</f>
        <v>-1.984246668945755E-2</v>
      </c>
      <c r="IA29" s="62">
        <f>IFERROR(Inv_SY_B!IA29/Inv_SY_B!$IS29-1,"")</f>
        <v>1.2005950237250929E-2</v>
      </c>
      <c r="IB29" s="62">
        <f>IFERROR(Inv_SY_B!IB29/Inv_SY_B!$IS29-1,"")</f>
        <v>-1.4787139442911545E-2</v>
      </c>
      <c r="IC29" s="62">
        <f>IFERROR(Inv_SY_B!IC29/Inv_SY_B!$IS29-1,"")</f>
        <v>-1.6567511228318121E-3</v>
      </c>
      <c r="ID29" s="62">
        <f>IFERROR(Inv_SY_B!ID29/Inv_SY_B!$IS29-1,"")</f>
        <v>2.5652433864939983E-3</v>
      </c>
      <c r="IE29" s="62">
        <f>IFERROR(Inv_SY_B!IE29/Inv_SY_B!$IS29-1,"")</f>
        <v>1.7609037865729205E-2</v>
      </c>
      <c r="IF29" s="62" t="str">
        <f>IFERROR(Inv_SY_B!IF29/Inv_SY_B!$IS29-1,"")</f>
        <v/>
      </c>
      <c r="IG29" s="62">
        <f>IFERROR(Inv_SY_B!IG29/Inv_SY_B!$IS29-1,"")</f>
        <v>1.0394065286205567E-3</v>
      </c>
      <c r="IH29" s="62">
        <f>IFERROR(Inv_SY_B!IH29/Inv_SY_B!$IS29-1,"")</f>
        <v>2.3406954611002728E-3</v>
      </c>
      <c r="II29" s="62">
        <f>IFERROR(Inv_SY_B!II29/Inv_SY_B!$IS29-1,"")</f>
        <v>-6.7691926689990023E-3</v>
      </c>
      <c r="IJ29" s="62">
        <f>IFERROR(Inv_SY_B!IJ29/Inv_SY_B!$IS29-1,"")</f>
        <v>-1.3648033349077604E-2</v>
      </c>
      <c r="IK29" s="62">
        <f>IFERROR(Inv_SY_B!IK29/Inv_SY_B!$IS29-1,"")</f>
        <v>-1.4491409976242986E-2</v>
      </c>
      <c r="IL29" s="62" t="str">
        <f>IFERROR(Inv_SY_B!IL29/Inv_SY_B!$IS29-1,"")</f>
        <v/>
      </c>
      <c r="IM29" s="62" t="str">
        <f>IFERROR(Inv_SY_B!IM29/Inv_SY_B!$IS29-1,"")</f>
        <v/>
      </c>
      <c r="IN29" s="62">
        <f>IFERROR(Inv_SY_B!IN29/Inv_SY_B!$IS29-1,"")</f>
        <v>2.1667397921416809E-2</v>
      </c>
      <c r="IO29" s="62">
        <f>IFERROR(Inv_SY_B!IO29/Inv_SY_B!$IS29-1,"")</f>
        <v>1.4744677033742715E-2</v>
      </c>
      <c r="IP29" s="62">
        <f>IFERROR(Inv_SY_B!IP29/Inv_SY_B!$IS29-1,"")</f>
        <v>5.295705654600158E-2</v>
      </c>
      <c r="IQ29" s="62">
        <f>IFERROR(Inv_SY_B!IQ29/Inv_SY_B!$IS29-1,"")</f>
        <v>-4.8309140650732996E-3</v>
      </c>
      <c r="IR29" s="62">
        <f>IFERROR(Inv_SY_B!IR29/Inv_SY_B!$IS29-1,"")</f>
        <v>-7.2110213199467754E-3</v>
      </c>
    </row>
    <row r="30" spans="2:252" x14ac:dyDescent="0.25">
      <c r="B30" s="85">
        <f t="shared" si="0"/>
        <v>45856</v>
      </c>
      <c r="C30" s="62">
        <f>IFERROR(Inv_SY_B!C30/Inv_SY_B!$IS30-1,"")</f>
        <v>-1.4803559017171342E-2</v>
      </c>
      <c r="D30" s="62">
        <f>IFERROR(Inv_SY_B!D30/Inv_SY_B!$IS30-1,"")</f>
        <v>2.8417503735660432E-3</v>
      </c>
      <c r="E30" s="62">
        <f>IFERROR(Inv_SY_B!E30/Inv_SY_B!$IS30-1,"")</f>
        <v>2.3025881421823158E-3</v>
      </c>
      <c r="F30" s="62">
        <f>IFERROR(Inv_SY_B!F30/Inv_SY_B!$IS30-1,"")</f>
        <v>-9.1668629617970288E-3</v>
      </c>
      <c r="G30" s="62">
        <f>IFERROR(Inv_SY_B!G30/Inv_SY_B!$IS30-1,"")</f>
        <v>-3.0400194233465294E-3</v>
      </c>
      <c r="H30" s="62">
        <f>IFERROR(Inv_SY_B!H30/Inv_SY_B!$IS30-1,"")</f>
        <v>-1.5538780241785455E-2</v>
      </c>
      <c r="I30" s="62">
        <f>IFERROR(Inv_SY_B!I30/Inv_SY_B!$IS30-1,"")</f>
        <v>-6.6180960498015695E-3</v>
      </c>
      <c r="J30" s="62">
        <f>IFERROR(Inv_SY_B!J30/Inv_SY_B!$IS30-1,"")</f>
        <v>3.9101295818566584E-4</v>
      </c>
      <c r="K30" s="62">
        <f>IFERROR(Inv_SY_B!K30/Inv_SY_B!$IS30-1,"")</f>
        <v>-9.0394246161972225E-3</v>
      </c>
      <c r="L30" s="62">
        <f>IFERROR(Inv_SY_B!L30/Inv_SY_B!$IS30-1,"")</f>
        <v>-9.0394246161972225E-3</v>
      </c>
      <c r="M30" s="62">
        <f>IFERROR(Inv_SY_B!M30/Inv_SY_B!$IS30-1,"")</f>
        <v>1.3134847518162518E-2</v>
      </c>
      <c r="N30" s="62">
        <f>IFERROR(Inv_SY_B!N30/Inv_SY_B!$IS30-1,"")</f>
        <v>-1.8406143017780097E-2</v>
      </c>
      <c r="O30" s="62">
        <f>IFERROR(Inv_SY_B!O30/Inv_SY_B!$IS30-1,"")</f>
        <v>-2.5096656161768149E-2</v>
      </c>
      <c r="P30" s="62">
        <f>IFERROR(Inv_SY_B!P30/Inv_SY_B!$IS30-1,"")</f>
        <v>-2.5053130781725885E-3</v>
      </c>
      <c r="Q30" s="62">
        <f>IFERROR(Inv_SY_B!Q30/Inv_SY_B!$IS30-1,"")</f>
        <v>-2.5096656161768149E-2</v>
      </c>
      <c r="R30" s="62">
        <f>IFERROR(Inv_SY_B!R30/Inv_SY_B!$IS30-1,"")</f>
        <v>-7.5738836417997835E-3</v>
      </c>
      <c r="S30" s="62">
        <f>IFERROR(Inv_SY_B!S30/Inv_SY_B!$IS30-1,"")</f>
        <v>-2.5096656161768149E-2</v>
      </c>
      <c r="T30" s="62">
        <f>IFERROR(Inv_SY_B!T30/Inv_SY_B!$IS30-1,"")</f>
        <v>8.9931012861699244E-3</v>
      </c>
      <c r="U30" s="62">
        <f>IFERROR(Inv_SY_B!U30/Inv_SY_B!$IS30-1,"")</f>
        <v>-2.6567098610996265E-2</v>
      </c>
      <c r="V30" s="62">
        <f>IFERROR(Inv_SY_B!V30/Inv_SY_B!$IS30-1,"")</f>
        <v>-1.4803559017171342E-2</v>
      </c>
      <c r="W30" s="62">
        <f>IFERROR(Inv_SY_B!W30/Inv_SY_B!$IS30-1,"")</f>
        <v>-1.5538780241785455E-2</v>
      </c>
      <c r="X30" s="62">
        <f>IFERROR(Inv_SY_B!X30/Inv_SY_B!$IS30-1,"")</f>
        <v>5.1699509181770686E-3</v>
      </c>
      <c r="Y30" s="62">
        <f>IFERROR(Inv_SY_B!Y30/Inv_SY_B!$IS30-1,"")</f>
        <v>-1.1568585628869421E-2</v>
      </c>
      <c r="Z30" s="62">
        <f>IFERROR(Inv_SY_B!Z30/Inv_SY_B!$IS30-1,"")</f>
        <v>5.3469486203989725E-3</v>
      </c>
      <c r="AA30" s="62">
        <f>IFERROR(Inv_SY_B!AA30/Inv_SY_B!$IS30-1,"")</f>
        <v>-5.9809043218027602E-3</v>
      </c>
      <c r="AB30" s="62">
        <f>IFERROR(Inv_SY_B!AB30/Inv_SY_B!$IS30-1,"")</f>
        <v>-2.1861682773466229E-2</v>
      </c>
      <c r="AC30" s="62">
        <f>IFERROR(Inv_SY_B!AC30/Inv_SY_B!$IS30-1,"")</f>
        <v>7.8412547009414357E-3</v>
      </c>
      <c r="AD30" s="62">
        <f>IFERROR(Inv_SY_B!AD30/Inv_SY_B!$IS30-1,"")</f>
        <v>-2.6937432264875771E-2</v>
      </c>
      <c r="AE30" s="62">
        <f>IFERROR(Inv_SY_B!AE30/Inv_SY_B!$IS30-1,"")</f>
        <v>-8.8337049781195276E-4</v>
      </c>
      <c r="AF30" s="62">
        <f>IFERROR(Inv_SY_B!AF30/Inv_SY_B!$IS30-1,"")</f>
        <v>-9.3792602044632245E-3</v>
      </c>
      <c r="AG30" s="62">
        <f>IFERROR(Inv_SY_B!AG30/Inv_SY_B!$IS30-1,"")</f>
        <v>-1.7329594684771799E-3</v>
      </c>
      <c r="AH30" s="62">
        <f>IFERROR(Inv_SY_B!AH30/Inv_SY_B!$IS30-1,"")</f>
        <v>1.1294071415054896E-2</v>
      </c>
      <c r="AI30" s="62">
        <f>IFERROR(Inv_SY_B!AI30/Inv_SY_B!$IS30-1,"")</f>
        <v>-4.898880632748126E-3</v>
      </c>
      <c r="AJ30" s="62">
        <f>IFERROR(Inv_SY_B!AJ30/Inv_SY_B!$IS30-1,"")</f>
        <v>-9.1206758465557369E-3</v>
      </c>
      <c r="AK30" s="62">
        <f>IFERROR(Inv_SY_B!AK30/Inv_SY_B!$IS30-1,"")</f>
        <v>-1.7450355425782105E-2</v>
      </c>
      <c r="AL30" s="62">
        <f>IFERROR(Inv_SY_B!AL30/Inv_SY_B!$IS30-1,"")</f>
        <v>-9.3288789247539805E-3</v>
      </c>
      <c r="AM30" s="62">
        <f>IFERROR(Inv_SY_B!AM30/Inv_SY_B!$IS30-1,"")</f>
        <v>-1.9680526473777937E-2</v>
      </c>
      <c r="AN30" s="62">
        <f>IFERROR(Inv_SY_B!AN30/Inv_SY_B!$IS30-1,"")</f>
        <v>-8.5296712337982195E-3</v>
      </c>
      <c r="AO30" s="62">
        <f>IFERROR(Inv_SY_B!AO30/Inv_SY_B!$IS30-1,"")</f>
        <v>-2.1577539538097934E-3</v>
      </c>
      <c r="AP30" s="62">
        <f>IFERROR(Inv_SY_B!AP30/Inv_SY_B!$IS30-1,"")</f>
        <v>-3.1135415458078963E-3</v>
      </c>
      <c r="AQ30" s="62">
        <f>IFERROR(Inv_SY_B!AQ30/Inv_SY_B!$IS30-1,"")</f>
        <v>-1.9361930609778533E-2</v>
      </c>
      <c r="AR30" s="62">
        <f>IFERROR(Inv_SY_B!AR30/Inv_SY_B!$IS30-1,"")</f>
        <v>4.2141633261787437E-3</v>
      </c>
      <c r="AS30" s="62">
        <f>IFERROR(Inv_SY_B!AS30/Inv_SY_B!$IS30-1,"")</f>
        <v>-1.7768951289781287E-2</v>
      </c>
      <c r="AT30" s="62">
        <f>IFERROR(Inv_SY_B!AT30/Inv_SY_B!$IS30-1,"")</f>
        <v>-9.8040546897958381E-3</v>
      </c>
      <c r="AU30" s="62">
        <f>IFERROR(Inv_SY_B!AU30/Inv_SY_B!$IS30-1,"")</f>
        <v>-8.5296712337982195E-3</v>
      </c>
      <c r="AV30" s="62">
        <f>IFERROR(Inv_SY_B!AV30/Inv_SY_B!$IS30-1,"")</f>
        <v>-2.2866485113772095E-2</v>
      </c>
      <c r="AW30" s="62">
        <f>IFERROR(Inv_SY_B!AW30/Inv_SY_B!$IS30-1,"")</f>
        <v>-1.3039028078097537E-2</v>
      </c>
      <c r="AX30" s="62">
        <f>IFERROR(Inv_SY_B!AX30/Inv_SY_B!$IS30-1,"")</f>
        <v>-1.394580092178821E-2</v>
      </c>
      <c r="AY30" s="62">
        <f>IFERROR(Inv_SY_B!AY30/Inv_SY_B!$IS30-1,"")</f>
        <v>-1.8214985499380498E-2</v>
      </c>
      <c r="AZ30" s="62">
        <f>IFERROR(Inv_SY_B!AZ30/Inv_SY_B!$IS30-1,"")</f>
        <v>6.2531768557751999E-3</v>
      </c>
      <c r="BA30" s="62">
        <f>IFERROR(Inv_SY_B!BA30/Inv_SY_B!$IS30-1,"")</f>
        <v>1.1541868198165384E-2</v>
      </c>
      <c r="BB30" s="62">
        <f>IFERROR(Inv_SY_B!BB30/Inv_SY_B!$IS30-1,"")</f>
        <v>-1.0122650553795243E-2</v>
      </c>
      <c r="BC30" s="62">
        <f>IFERROR(Inv_SY_B!BC30/Inv_SY_B!$IS30-1,"")</f>
        <v>-5.9809043218027602E-3</v>
      </c>
      <c r="BD30" s="62">
        <f>IFERROR(Inv_SY_B!BD30/Inv_SY_B!$IS30-1,"")</f>
        <v>-8.8337049781195276E-4</v>
      </c>
      <c r="BE30" s="62">
        <f>IFERROR(Inv_SY_B!BE30/Inv_SY_B!$IS30-1,"")</f>
        <v>-3.0400194233465294E-3</v>
      </c>
      <c r="BF30" s="62">
        <f>IFERROR(Inv_SY_B!BF30/Inv_SY_B!$IS30-1,"")</f>
        <v>-8.2464749102431067E-3</v>
      </c>
      <c r="BG30" s="62">
        <f>IFERROR(Inv_SY_B!BG30/Inv_SY_B!$IS30-1,"")</f>
        <v>-1.5326382999119259E-2</v>
      </c>
      <c r="BH30" s="62">
        <f>IFERROR(Inv_SY_B!BH30/Inv_SY_B!$IS30-1,"")</f>
        <v>-1.1715629873792377E-2</v>
      </c>
      <c r="BI30" s="62">
        <f>IFERROR(Inv_SY_B!BI30/Inv_SY_B!$IS30-1,"")</f>
        <v>8.1580744351827938E-4</v>
      </c>
      <c r="BJ30" s="62">
        <f>IFERROR(Inv_SY_B!BJ30/Inv_SY_B!$IS30-1,"")</f>
        <v>1.327644567994013E-2</v>
      </c>
      <c r="BK30" s="62">
        <f>IFERROR(Inv_SY_B!BK30/Inv_SY_B!$IS30-1,"")</f>
        <v>1.0267484742167765E-2</v>
      </c>
      <c r="BL30" s="62">
        <f>IFERROR(Inv_SY_B!BL30/Inv_SY_B!$IS30-1,"")</f>
        <v>-1.0751848073095371E-2</v>
      </c>
      <c r="BM30" s="62">
        <f>IFERROR(Inv_SY_B!BM30/Inv_SY_B!$IS30-1,"")</f>
        <v>-8.5296712337982195E-3</v>
      </c>
      <c r="BN30" s="62">
        <f>IFERROR(Inv_SY_B!BN30/Inv_SY_B!$IS30-1,"")</f>
        <v>-2.8995710246575879E-2</v>
      </c>
      <c r="BO30" s="62">
        <f>IFERROR(Inv_SY_B!BO30/Inv_SY_B!$IS30-1,"")</f>
        <v>2.2839767683068057E-2</v>
      </c>
      <c r="BP30" s="62">
        <f>IFERROR(Inv_SY_B!BP30/Inv_SY_B!$IS30-1,"")</f>
        <v>1.7840263355692665E-2</v>
      </c>
      <c r="BQ30" s="62">
        <f>IFERROR(Inv_SY_B!BQ30/Inv_SY_B!$IS30-1,"")</f>
        <v>2.5192475601833131E-2</v>
      </c>
      <c r="BR30" s="62">
        <f>IFERROR(Inv_SY_B!BR30/Inv_SY_B!$IS30-1,"")</f>
        <v>7.831309446464374E-4</v>
      </c>
      <c r="BS30" s="62">
        <f>IFERROR(Inv_SY_B!BS30/Inv_SY_B!$IS30-1,"")</f>
        <v>1.0904676470166574E-2</v>
      </c>
      <c r="BT30" s="62">
        <f>IFERROR(Inv_SY_B!BT30/Inv_SY_B!$IS30-1,"")</f>
        <v>9.3116971501696622E-3</v>
      </c>
      <c r="BU30" s="62">
        <f>IFERROR(Inv_SY_B!BU30/Inv_SY_B!$IS30-1,"")</f>
        <v>2.2055531710146514E-2</v>
      </c>
      <c r="BV30" s="62">
        <f>IFERROR(Inv_SY_B!BV30/Inv_SY_B!$IS30-1,"")</f>
        <v>1.1860464062164899E-2</v>
      </c>
      <c r="BW30" s="62">
        <f>IFERROR(Inv_SY_B!BW30/Inv_SY_B!$IS30-1,"")</f>
        <v>4.435724219010595E-2</v>
      </c>
      <c r="BX30" s="62">
        <f>IFERROR(Inv_SY_B!BX30/Inv_SY_B!$IS30-1,"")</f>
        <v>1.9506764798151055E-2</v>
      </c>
      <c r="BY30" s="62">
        <f>IFERROR(Inv_SY_B!BY30/Inv_SY_B!$IS30-1,"")</f>
        <v>4.0180096417669064E-2</v>
      </c>
      <c r="BZ30" s="62">
        <f>IFERROR(Inv_SY_B!BZ30/Inv_SY_B!$IS30-1,"")</f>
        <v>2.6020280239916982E-2</v>
      </c>
      <c r="CA30" s="62">
        <f>IFERROR(Inv_SY_B!CA30/Inv_SY_B!$IS30-1,"")</f>
        <v>3.9896900094114063E-2</v>
      </c>
      <c r="CB30" s="62">
        <f>IFERROR(Inv_SY_B!CB30/Inv_SY_B!$IS30-1,"")</f>
        <v>2.6834469670137695E-2</v>
      </c>
      <c r="CC30" s="62">
        <f>IFERROR(Inv_SY_B!CC30/Inv_SY_B!$IS30-1,"")</f>
        <v>5.4885467821765843E-3</v>
      </c>
      <c r="CD30" s="62">
        <f>IFERROR(Inv_SY_B!CD30/Inv_SY_B!$IS30-1,"")</f>
        <v>3.7544192175349211E-2</v>
      </c>
      <c r="CE30" s="62">
        <f>IFERROR(Inv_SY_B!CE30/Inv_SY_B!$IS30-1,"")</f>
        <v>2.046255239014938E-2</v>
      </c>
      <c r="CF30" s="62">
        <f>IFERROR(Inv_SY_B!CF30/Inv_SY_B!$IS30-1,"")</f>
        <v>3.7666729046118119E-2</v>
      </c>
      <c r="CG30" s="62">
        <f>IFERROR(Inv_SY_B!CG30/Inv_SY_B!$IS30-1,"")</f>
        <v>1.855097720615273E-2</v>
      </c>
      <c r="CH30" s="62">
        <f>IFERROR(Inv_SY_B!CH30/Inv_SY_B!$IS30-1,"")</f>
        <v>2.0143956526149864E-2</v>
      </c>
      <c r="CI30" s="62">
        <f>IFERROR(Inv_SY_B!CI30/Inv_SY_B!$IS30-1,"")</f>
        <v>-3.1135415458078963E-3</v>
      </c>
      <c r="CJ30" s="62">
        <f>IFERROR(Inv_SY_B!CJ30/Inv_SY_B!$IS30-1,"")</f>
        <v>3.0339024174131257E-2</v>
      </c>
      <c r="CK30" s="62">
        <f>IFERROR(Inv_SY_B!CK30/Inv_SY_B!$IS30-1,"")</f>
        <v>1.6653964141832844E-3</v>
      </c>
      <c r="CL30" s="62">
        <f>IFERROR(Inv_SY_B!CL30/Inv_SY_B!$IS30-1,"")</f>
        <v>4.2141633261787437E-3</v>
      </c>
      <c r="CM30" s="62">
        <f>IFERROR(Inv_SY_B!CM30/Inv_SY_B!$IS30-1,"")</f>
        <v>1.8232381342153436E-2</v>
      </c>
      <c r="CN30" s="62">
        <f>IFERROR(Inv_SY_B!CN30/Inv_SY_B!$IS30-1,"")</f>
        <v>9.9488888781684715E-3</v>
      </c>
      <c r="CO30" s="62">
        <f>IFERROR(Inv_SY_B!CO30/Inv_SY_B!$IS30-1,"")</f>
        <v>-4.7556779189272813E-4</v>
      </c>
      <c r="CP30" s="62">
        <f>IFERROR(Inv_SY_B!CP30/Inv_SY_B!$IS30-1,"")</f>
        <v>1.9310705804920669E-2</v>
      </c>
      <c r="CQ30" s="62">
        <f>IFERROR(Inv_SY_B!CQ30/Inv_SY_B!$IS30-1,"")</f>
        <v>3.7985324910117635E-2</v>
      </c>
      <c r="CR30" s="62">
        <f>IFERROR(Inv_SY_B!CR30/Inv_SY_B!$IS30-1,"")</f>
        <v>2.7790257262136242E-2</v>
      </c>
      <c r="CS30" s="62">
        <f>IFERROR(Inv_SY_B!CS30/Inv_SY_B!$IS30-1,"")</f>
        <v>1.5825212591935367E-2</v>
      </c>
      <c r="CT30" s="62">
        <f>IFERROR(Inv_SY_B!CT30/Inv_SY_B!$IS30-1,"")</f>
        <v>-3.432137409807301E-3</v>
      </c>
      <c r="CU30" s="62">
        <f>IFERROR(Inv_SY_B!CU30/Inv_SY_B!$IS30-1,"")</f>
        <v>1.6320806158156786E-2</v>
      </c>
      <c r="CV30" s="62">
        <f>IFERROR(Inv_SY_B!CV30/Inv_SY_B!$IS30-1,"")</f>
        <v>1.5683614430157977E-2</v>
      </c>
      <c r="CW30" s="62">
        <f>IFERROR(Inv_SY_B!CW30/Inv_SY_B!$IS30-1,"")</f>
        <v>2.3967106894142942E-2</v>
      </c>
      <c r="CX30" s="62">
        <f>IFERROR(Inv_SY_B!CX30/Inv_SY_B!$IS30-1,"")</f>
        <v>-1.2019663618113574E-3</v>
      </c>
      <c r="CY30" s="62">
        <f>IFERROR(Inv_SY_B!CY30/Inv_SY_B!$IS30-1,"")</f>
        <v>1.5046422702159168E-2</v>
      </c>
      <c r="CZ30" s="62">
        <f>IFERROR(Inv_SY_B!CZ30/Inv_SY_B!$IS30-1,"")</f>
        <v>1.2179059926164193E-2</v>
      </c>
      <c r="DA30" s="62">
        <f>IFERROR(Inv_SY_B!DA30/Inv_SY_B!$IS30-1,"")</f>
        <v>2.9064640718133861E-2</v>
      </c>
      <c r="DB30" s="62">
        <f>IFERROR(Inv_SY_B!DB30/Inv_SY_B!$IS30-1,"")</f>
        <v>5.8071426461758779E-3</v>
      </c>
      <c r="DC30" s="62">
        <f>IFERROR(Inv_SY_B!DC30/Inv_SY_B!$IS30-1,"")</f>
        <v>-1.2777616087123689E-2</v>
      </c>
      <c r="DD30" s="62">
        <f>IFERROR(Inv_SY_B!DD30/Inv_SY_B!$IS30-1,"")</f>
        <v>-5.6623084578031335E-3</v>
      </c>
      <c r="DE30" s="62">
        <f>IFERROR(Inv_SY_B!DE30/Inv_SY_B!$IS30-1,"")</f>
        <v>-5.9809043218027602E-3</v>
      </c>
      <c r="DF30" s="62">
        <f>IFERROR(Inv_SY_B!DF30/Inv_SY_B!$IS30-1,"")</f>
        <v>-2.6404508704850227E-2</v>
      </c>
      <c r="DG30" s="62">
        <f>IFERROR(Inv_SY_B!DG30/Inv_SY_B!$IS30-1,"")</f>
        <v>-2.7949456818084917E-3</v>
      </c>
      <c r="DH30" s="62">
        <f>IFERROR(Inv_SY_B!DH30/Inv_SY_B!$IS30-1,"")</f>
        <v>-1.1078438145793568E-2</v>
      </c>
      <c r="DI30" s="62">
        <f>IFERROR(Inv_SY_B!DI30/Inv_SY_B!$IS30-1,"")</f>
        <v>-1.3921293547634495E-2</v>
      </c>
      <c r="DJ30" s="62">
        <f>IFERROR(Inv_SY_B!DJ30/Inv_SY_B!$IS30-1,"")</f>
        <v>6.3708122517134314E-3</v>
      </c>
      <c r="DK30" s="62">
        <f>IFERROR(Inv_SY_B!DK30/Inv_SY_B!$IS30-1,"")</f>
        <v>2.0073157445261058E-2</v>
      </c>
      <c r="DL30" s="62">
        <f>IFERROR(Inv_SY_B!DL30/Inv_SY_B!$IS30-1,"")</f>
        <v>1.6653964141832844E-3</v>
      </c>
      <c r="DM30" s="62">
        <f>IFERROR(Inv_SY_B!DM30/Inv_SY_B!$IS30-1,"")</f>
        <v>1.4090635110160843E-2</v>
      </c>
      <c r="DN30" s="62">
        <f>IFERROR(Inv_SY_B!DN30/Inv_SY_B!$IS30-1,"")</f>
        <v>-2.0954909929775556E-2</v>
      </c>
      <c r="DO30" s="62">
        <f>IFERROR(Inv_SY_B!DO30/Inv_SY_B!$IS30-1,"")</f>
        <v>-1.2174817221436762E-2</v>
      </c>
      <c r="DP30" s="62">
        <f>IFERROR(Inv_SY_B!DP30/Inv_SY_B!$IS30-1,"")</f>
        <v>-1.419359770489903E-2</v>
      </c>
      <c r="DQ30" s="62">
        <f>IFERROR(Inv_SY_B!DQ30/Inv_SY_B!$IS30-1,"")</f>
        <v>-1.6742364616894378E-2</v>
      </c>
      <c r="DR30" s="62">
        <f>IFERROR(Inv_SY_B!DR30/Inv_SY_B!$IS30-1,"")</f>
        <v>-1.6175971969784264E-2</v>
      </c>
      <c r="DS30" s="62">
        <f>IFERROR(Inv_SY_B!DS30/Inv_SY_B!$IS30-1,"")</f>
        <v>-2.9875594121759441E-2</v>
      </c>
      <c r="DT30" s="62">
        <f>IFERROR(Inv_SY_B!DT30/Inv_SY_B!$IS30-1,"")</f>
        <v>-1.7591953587559606E-2</v>
      </c>
      <c r="DU30" s="62">
        <f>IFERROR(Inv_SY_B!DU30/Inv_SY_B!$IS30-1,"")</f>
        <v>-6.5472969689127636E-3</v>
      </c>
      <c r="DV30" s="62">
        <f>IFERROR(Inv_SY_B!DV30/Inv_SY_B!$IS30-1,"")</f>
        <v>-2.4140868569769713E-2</v>
      </c>
      <c r="DW30" s="62">
        <f>IFERROR(Inv_SY_B!DW30/Inv_SY_B!$IS30-1,"")</f>
        <v>-9.1668629617970288E-3</v>
      </c>
      <c r="DX30" s="62">
        <f>IFERROR(Inv_SY_B!DX30/Inv_SY_B!$IS30-1,"")</f>
        <v>-7.6800822631329924E-3</v>
      </c>
      <c r="DY30" s="62">
        <f>IFERROR(Inv_SY_B!DY30/Inv_SY_B!$IS30-1,"")</f>
        <v>-2.7326827209763982E-2</v>
      </c>
      <c r="DZ30" s="62">
        <f>IFERROR(Inv_SY_B!DZ30/Inv_SY_B!$IS30-1,"")</f>
        <v>-1.6494567833783669E-2</v>
      </c>
      <c r="EA30" s="62">
        <f>IFERROR(Inv_SY_B!EA30/Inv_SY_B!$IS30-1,"")</f>
        <v>-1.560957932267415E-2</v>
      </c>
      <c r="EB30" s="62">
        <f>IFERROR(Inv_SY_B!EB30/Inv_SY_B!$IS30-1,"")</f>
        <v>-2.4955057999990649E-2</v>
      </c>
      <c r="EC30" s="62">
        <f>IFERROR(Inv_SY_B!EC30/Inv_SY_B!$IS30-1,"")</f>
        <v>1.6369820906464438E-2</v>
      </c>
      <c r="ED30" s="62">
        <f>IFERROR(Inv_SY_B!ED30/Inv_SY_B!$IS30-1,"")</f>
        <v>-1.2450851098406379E-2</v>
      </c>
      <c r="EE30" s="62">
        <f>IFERROR(Inv_SY_B!EE30/Inv_SY_B!$IS30-1,"")</f>
        <v>9.3116971501696622E-3</v>
      </c>
      <c r="EF30" s="62">
        <f>IFERROR(Inv_SY_B!EF30/Inv_SY_B!$IS30-1,"")</f>
        <v>1.8348234383607664E-2</v>
      </c>
      <c r="EG30" s="62">
        <f>IFERROR(Inv_SY_B!EG30/Inv_SY_B!$IS30-1,"")</f>
        <v>3.4165516456781786E-2</v>
      </c>
      <c r="EH30" s="62">
        <f>IFERROR(Inv_SY_B!EH30/Inv_SY_B!$IS30-1,"")</f>
        <v>-1.5802791499714974E-2</v>
      </c>
      <c r="EI30" s="62">
        <f>IFERROR(Inv_SY_B!EI30/Inv_SY_B!$IS30-1,"")</f>
        <v>-1.996681716275639E-2</v>
      </c>
      <c r="EJ30" s="62">
        <f>IFERROR(Inv_SY_B!EJ30/Inv_SY_B!$IS30-1,"")</f>
        <v>2.9704060389237341E-2</v>
      </c>
      <c r="EK30" s="62">
        <f>IFERROR(Inv_SY_B!EK30/Inv_SY_B!$IS30-1,"")</f>
        <v>3.1027191240370122E-2</v>
      </c>
      <c r="EL30" s="62">
        <f>IFERROR(Inv_SY_B!EL30/Inv_SY_B!$IS30-1,"")</f>
        <v>1.5046422702159168E-2</v>
      </c>
      <c r="EM30" s="62">
        <f>IFERROR(Inv_SY_B!EM30/Inv_SY_B!$IS30-1,"")</f>
        <v>-8.921789220258991E-3</v>
      </c>
      <c r="EN30" s="62">
        <f>IFERROR(Inv_SY_B!EN30/Inv_SY_B!$IS30-1,"")</f>
        <v>-2.3332125222694344E-2</v>
      </c>
      <c r="EO30" s="62">
        <f>IFERROR(Inv_SY_B!EO30/Inv_SY_B!$IS30-1,"")</f>
        <v>2.3025881421823158E-3</v>
      </c>
      <c r="EP30" s="62">
        <f>IFERROR(Inv_SY_B!EP30/Inv_SY_B!$IS30-1,"")</f>
        <v>2.1369325233840053E-2</v>
      </c>
      <c r="EQ30" s="62">
        <f>IFERROR(Inv_SY_B!EQ30/Inv_SY_B!$IS30-1,"")</f>
        <v>-5.6623084578031335E-3</v>
      </c>
      <c r="ER30" s="62">
        <f>IFERROR(Inv_SY_B!ER30/Inv_SY_B!$IS30-1,"")</f>
        <v>1.9495396495528006E-4</v>
      </c>
      <c r="ES30" s="62">
        <f>IFERROR(Inv_SY_B!ES30/Inv_SY_B!$IS30-1,"")</f>
        <v>-1.0759842281794052E-2</v>
      </c>
      <c r="ET30" s="62">
        <f>IFERROR(Inv_SY_B!ET30/Inv_SY_B!$IS30-1,"")</f>
        <v>-2.1577539538095714E-3</v>
      </c>
      <c r="EU30" s="62">
        <f>IFERROR(Inv_SY_B!EU30/Inv_SY_B!$IS30-1,"")</f>
        <v>-1.1862674118715111E-2</v>
      </c>
      <c r="EV30" s="62">
        <f>IFERROR(Inv_SY_B!EV30/Inv_SY_B!$IS30-1,"")</f>
        <v>1.9495396495528006E-4</v>
      </c>
      <c r="EW30" s="62">
        <f>IFERROR(Inv_SY_B!EW30/Inv_SY_B!$IS30-1,"")</f>
        <v>1.1076228089243356E-2</v>
      </c>
      <c r="EX30" s="62">
        <f>IFERROR(Inv_SY_B!EX30/Inv_SY_B!$IS30-1,"")</f>
        <v>-2.476349817808976E-3</v>
      </c>
      <c r="EY30" s="62">
        <f>IFERROR(Inv_SY_B!EY30/Inv_SY_B!$IS30-1,"")</f>
        <v>-1.419359770489903E-2</v>
      </c>
      <c r="EZ30" s="62">
        <f>IFERROR(Inv_SY_B!EZ30/Inv_SY_B!$IS30-1,"")</f>
        <v>-5.3437125938039509E-3</v>
      </c>
      <c r="FA30" s="62">
        <f>IFERROR(Inv_SY_B!FA30/Inv_SY_B!$IS30-1,"")</f>
        <v>-1.0759842281794052E-2</v>
      </c>
      <c r="FB30" s="62">
        <f>IFERROR(Inv_SY_B!FB30/Inv_SY_B!$IS30-1,"")</f>
        <v>-2.254788924977269E-2</v>
      </c>
      <c r="FC30" s="62">
        <f>IFERROR(Inv_SY_B!FC30/Inv_SY_B!$IS30-1,"")</f>
        <v>-1.5538780241785455E-2</v>
      </c>
      <c r="FD30" s="62">
        <f>IFERROR(Inv_SY_B!FD30/Inv_SY_B!$IS30-1,"")</f>
        <v>-8.5296712337982195E-3</v>
      </c>
      <c r="FE30" s="62">
        <f>IFERROR(Inv_SY_B!FE30/Inv_SY_B!$IS30-1,"")</f>
        <v>2.414820776091231E-3</v>
      </c>
      <c r="FF30" s="62">
        <f>IFERROR(Inv_SY_B!FF30/Inv_SY_B!$IS30-1,"")</f>
        <v>-1.144047890033828E-2</v>
      </c>
      <c r="FG30" s="62">
        <f>IFERROR(Inv_SY_B!FG30/Inv_SY_B!$IS30-1,"")</f>
        <v>-2.2753850212358206E-2</v>
      </c>
      <c r="FH30" s="62">
        <f>IFERROR(Inv_SY_B!FH30/Inv_SY_B!$IS30-1,"")</f>
        <v>5.6369834915399597E-3</v>
      </c>
      <c r="FI30" s="62">
        <f>IFERROR(Inv_SY_B!FI30/Inv_SY_B!$IS30-1,"")</f>
        <v>-1.6166317549663023E-2</v>
      </c>
      <c r="FJ30" s="62">
        <f>IFERROR(Inv_SY_B!FJ30/Inv_SY_B!$IS30-1,"")</f>
        <v>-2.7622896093480565E-2</v>
      </c>
      <c r="FK30" s="62">
        <f>IFERROR(Inv_SY_B!FK30/Inv_SY_B!$IS30-1,"")</f>
        <v>7.0332540015676237E-3</v>
      </c>
      <c r="FL30" s="62">
        <f>IFERROR(Inv_SY_B!FL30/Inv_SY_B!$IS30-1,"")</f>
        <v>-1.3244890020989608E-2</v>
      </c>
      <c r="FM30" s="62">
        <f>IFERROR(Inv_SY_B!FM30/Inv_SY_B!$IS30-1,"")</f>
        <v>-8.8627487279792083E-3</v>
      </c>
      <c r="FN30" s="62">
        <f>IFERROR(Inv_SY_B!FN30/Inv_SY_B!$IS30-1,"")</f>
        <v>-2.8195725020671469E-2</v>
      </c>
      <c r="FO30" s="62">
        <f>IFERROR(Inv_SY_B!FO30/Inv_SY_B!$IS30-1,"")</f>
        <v>-2.4651346033678023E-2</v>
      </c>
      <c r="FP30" s="62">
        <f>IFERROR(Inv_SY_B!FP30/Inv_SY_B!$IS30-1,"")</f>
        <v>-2.6855305331044743E-2</v>
      </c>
      <c r="FQ30" s="62">
        <f>IFERROR(Inv_SY_B!FQ30/Inv_SY_B!$IS30-1,"")</f>
        <v>-8.7178519366659657E-4</v>
      </c>
      <c r="FR30" s="62">
        <f>IFERROR(Inv_SY_B!FR30/Inv_SY_B!$IS30-1,"")</f>
        <v>1.1501319633656637E-2</v>
      </c>
      <c r="FS30" s="62">
        <f>IFERROR(Inv_SY_B!FS30/Inv_SY_B!$IS30-1,"")</f>
        <v>-7.287469178204331E-3</v>
      </c>
      <c r="FT30" s="62">
        <f>IFERROR(Inv_SY_B!FT30/Inv_SY_B!$IS30-1,"")</f>
        <v>1.4594595840487168E-2</v>
      </c>
      <c r="FU30" s="62">
        <f>IFERROR(Inv_SY_B!FU30/Inv_SY_B!$IS30-1,"")</f>
        <v>-2.0176120039999135E-2</v>
      </c>
      <c r="FV30" s="62">
        <f>IFERROR(Inv_SY_B!FV30/Inv_SY_B!$IS30-1,"")</f>
        <v>2.7370370476358374E-3</v>
      </c>
      <c r="FW30" s="62">
        <f>IFERROR(Inv_SY_B!FW30/Inv_SY_B!$IS30-1,"")</f>
        <v>1.2403525193982023E-2</v>
      </c>
      <c r="FX30" s="62">
        <f>IFERROR(Inv_SY_B!FX30/Inv_SY_B!$IS30-1,"")</f>
        <v>-8.8627487279792083E-3</v>
      </c>
      <c r="FY30" s="62">
        <f>IFERROR(Inv_SY_B!FY30/Inv_SY_B!$IS30-1,"")</f>
        <v>5.887596147185814E-3</v>
      </c>
      <c r="FZ30" s="62">
        <f>IFERROR(Inv_SY_B!FZ30/Inv_SY_B!$IS30-1,"")</f>
        <v>-7.5738836417997835E-3</v>
      </c>
      <c r="GA30" s="62">
        <f>IFERROR(Inv_SY_B!GA30/Inv_SY_B!$IS30-1,"")</f>
        <v>5.3147672199949092E-3</v>
      </c>
      <c r="GB30" s="62">
        <f>IFERROR(Inv_SY_B!GB30/Inv_SY_B!$IS30-1,"")</f>
        <v>-1.187010059573157E-2</v>
      </c>
      <c r="GC30" s="62">
        <f>IFERROR(Inv_SY_B!GC30/Inv_SY_B!$IS30-1,"")</f>
        <v>-2.0462534503594587E-2</v>
      </c>
      <c r="GD30" s="62">
        <f>IFERROR(Inv_SY_B!GD30/Inv_SY_B!$IS30-1,"")</f>
        <v>-1.2626234779623546E-2</v>
      </c>
      <c r="GE30" s="62">
        <f>IFERROR(Inv_SY_B!GE30/Inv_SY_B!$IS30-1,"")</f>
        <v>-6.5824489601232772E-3</v>
      </c>
      <c r="GF30" s="62">
        <f>IFERROR(Inv_SY_B!GF30/Inv_SY_B!$IS30-1,"")</f>
        <v>-9.0059559597770455E-3</v>
      </c>
      <c r="GG30" s="62">
        <f>IFERROR(Inv_SY_B!GG30/Inv_SY_B!$IS30-1,"")</f>
        <v>1.1501319633656637E-2</v>
      </c>
      <c r="GH30" s="62">
        <f>IFERROR(Inv_SY_B!GH30/Inv_SY_B!$IS30-1,"")</f>
        <v>-7.0583376073281023E-3</v>
      </c>
      <c r="GI30" s="62">
        <f>IFERROR(Inv_SY_B!GI30/Inv_SY_B!$IS30-1,"")</f>
        <v>-1.355421764167275E-2</v>
      </c>
      <c r="GJ30" s="62">
        <f>IFERROR(Inv_SY_B!GJ30/Inv_SY_B!$IS30-1,"")</f>
        <v>1.4832540164089414E-2</v>
      </c>
      <c r="GK30" s="62">
        <f>IFERROR(Inv_SY_B!GK30/Inv_SY_B!$IS30-1,"")</f>
        <v>1.8525634353334652E-2</v>
      </c>
      <c r="GL30" s="62">
        <f>IFERROR(Inv_SY_B!GL30/Inv_SY_B!$IS30-1,"")</f>
        <v>-1.6273722973511262E-2</v>
      </c>
      <c r="GM30" s="62">
        <f>IFERROR(Inv_SY_B!GM30/Inv_SY_B!$IS30-1,"")</f>
        <v>1.2403525193982023E-2</v>
      </c>
      <c r="GN30" s="62">
        <f>IFERROR(Inv_SY_B!GN30/Inv_SY_B!$IS30-1,"")</f>
        <v>2.9158771314315324E-2</v>
      </c>
      <c r="GO30" s="62">
        <f>IFERROR(Inv_SY_B!GO30/Inv_SY_B!$IS30-1,"")</f>
        <v>2.414820776091231E-3</v>
      </c>
      <c r="GP30" s="62">
        <f>IFERROR(Inv_SY_B!GP30/Inv_SY_B!$IS30-1,"")</f>
        <v>-7.5738836417997835E-3</v>
      </c>
      <c r="GQ30" s="62">
        <f>IFERROR(Inv_SY_B!GQ30/Inv_SY_B!$IS30-1,"")</f>
        <v>-1.7884804331235737E-2</v>
      </c>
      <c r="GR30" s="62">
        <f>IFERROR(Inv_SY_B!GR30/Inv_SY_B!$IS30-1,"")</f>
        <v>3.7536394374481974E-2</v>
      </c>
      <c r="GS30" s="62" t="str">
        <f>IFERROR(Inv_SY_B!GS30/Inv_SY_B!$IS30-1,"")</f>
        <v/>
      </c>
      <c r="GT30" s="62" t="str">
        <f>IFERROR(Inv_SY_B!GT30/Inv_SY_B!$IS30-1,"")</f>
        <v/>
      </c>
      <c r="GU30" s="62">
        <f>IFERROR(Inv_SY_B!GU30/Inv_SY_B!$IS30-1,"")</f>
        <v>2.8711579338503768E-2</v>
      </c>
      <c r="GV30" s="62">
        <f>IFERROR(Inv_SY_B!GV30/Inv_SY_B!$IS30-1,"")</f>
        <v>-1.2377927658843935E-2</v>
      </c>
      <c r="GW30" s="62">
        <f>IFERROR(Inv_SY_B!GW30/Inv_SY_B!$IS30-1,"")</f>
        <v>-7.2595263037072977E-3</v>
      </c>
      <c r="GX30" s="62" t="str">
        <f>IFERROR(Inv_SY_B!GX30/Inv_SY_B!$IS30-1,"")</f>
        <v/>
      </c>
      <c r="GY30" s="62">
        <f>IFERROR(Inv_SY_B!GY30/Inv_SY_B!$IS30-1,"")</f>
        <v>-1.5326455588744126E-2</v>
      </c>
      <c r="GZ30" s="62">
        <f>IFERROR(Inv_SY_B!GZ30/Inv_SY_B!$IS30-1,"")</f>
        <v>-1.9361930609778533E-2</v>
      </c>
      <c r="HA30" s="62">
        <f>IFERROR(Inv_SY_B!HA30/Inv_SY_B!$IS30-1,"")</f>
        <v>2.1736935846146999E-2</v>
      </c>
      <c r="HB30" s="62">
        <f>IFERROR(Inv_SY_B!HB30/Inv_SY_B!$IS30-1,"")</f>
        <v>-2.2229293385773286E-2</v>
      </c>
      <c r="HC30" s="62">
        <f>IFERROR(Inv_SY_B!HC30/Inv_SY_B!$IS30-1,"")</f>
        <v>-5.9809043218027602E-3</v>
      </c>
      <c r="HD30" s="62">
        <f>IFERROR(Inv_SY_B!HD30/Inv_SY_B!$IS30-1,"")</f>
        <v>1.6320806158156786E-2</v>
      </c>
      <c r="HE30" s="62">
        <f>IFERROR(Inv_SY_B!HE30/Inv_SY_B!$IS30-1,"")</f>
        <v>2.2692723438145324E-2</v>
      </c>
      <c r="HF30" s="62">
        <f>IFERROR(Inv_SY_B!HF30/Inv_SY_B!$IS30-1,"")</f>
        <v>2.3967106894142942E-2</v>
      </c>
      <c r="HG30" s="62">
        <f>IFERROR(Inv_SY_B!HG30/Inv_SY_B!$IS30-1,"")</f>
        <v>1.9506764798151055E-2</v>
      </c>
      <c r="HH30" s="62">
        <f>IFERROR(Inv_SY_B!HH30/Inv_SY_B!$IS30-1,"")</f>
        <v>2.7153065534137211E-2</v>
      </c>
      <c r="HI30" s="62">
        <f>IFERROR(Inv_SY_B!HI30/Inv_SY_B!$IS30-1,"")</f>
        <v>3.9101295818566584E-4</v>
      </c>
      <c r="HJ30" s="62">
        <f>IFERROR(Inv_SY_B!HJ30/Inv_SY_B!$IS30-1,"")</f>
        <v>2.3648511030143426E-2</v>
      </c>
      <c r="HK30" s="62">
        <f>IFERROR(Inv_SY_B!HK30/Inv_SY_B!$IS30-1,"")</f>
        <v>-1.1644830792903571E-2</v>
      </c>
      <c r="HL30" s="62">
        <f>IFERROR(Inv_SY_B!HL30/Inv_SY_B!$IS30-1,"")</f>
        <v>-4.281726380472417E-3</v>
      </c>
      <c r="HM30" s="62">
        <f>IFERROR(Inv_SY_B!HM30/Inv_SY_B!$IS30-1,"")</f>
        <v>1.7124072935728041E-2</v>
      </c>
      <c r="HN30" s="62">
        <f>IFERROR(Inv_SY_B!HN30/Inv_SY_B!$IS30-1,"")</f>
        <v>5.2551990082927658E-2</v>
      </c>
      <c r="HO30" s="62">
        <f>IFERROR(Inv_SY_B!HO30/Inv_SY_B!$IS30-1,"")</f>
        <v>4.7980645934901922E-2</v>
      </c>
      <c r="HP30" s="62">
        <f>IFERROR(Inv_SY_B!HP30/Inv_SY_B!$IS30-1,"")</f>
        <v>5.9713762581501184E-2</v>
      </c>
      <c r="HQ30" s="62">
        <f>IFERROR(Inv_SY_B!HQ30/Inv_SY_B!$IS30-1,"")</f>
        <v>2.4506225840406071E-3</v>
      </c>
      <c r="HR30" s="62">
        <f>IFERROR(Inv_SY_B!HR30/Inv_SY_B!$IS30-1,"")</f>
        <v>-3.1988370189888204E-3</v>
      </c>
      <c r="HS30" s="62">
        <f>IFERROR(Inv_SY_B!HS30/Inv_SY_B!$IS30-1,"")</f>
        <v>-5.9809043218027602E-3</v>
      </c>
      <c r="HT30" s="62">
        <f>IFERROR(Inv_SY_B!HT30/Inv_SY_B!$IS30-1,"")</f>
        <v>-2.1273505793774961E-2</v>
      </c>
      <c r="HU30" s="62">
        <f>IFERROR(Inv_SY_B!HU30/Inv_SY_B!$IS30-1,"")</f>
        <v>-1.4215382037480184E-2</v>
      </c>
      <c r="HV30" s="62">
        <f>IFERROR(Inv_SY_B!HV30/Inv_SY_B!$IS30-1,"")</f>
        <v>-1.4803559017171342E-2</v>
      </c>
      <c r="HW30" s="62">
        <f>IFERROR(Inv_SY_B!HW30/Inv_SY_B!$IS30-1,"")</f>
        <v>1.6346293827276925E-2</v>
      </c>
      <c r="HX30" s="62">
        <f>IFERROR(Inv_SY_B!HX30/Inv_SY_B!$IS30-1,"")</f>
        <v>-3.9322301473598831E-4</v>
      </c>
      <c r="HY30" s="62">
        <f>IFERROR(Inv_SY_B!HY30/Inv_SY_B!$IS30-1,"")</f>
        <v>-2.0423916823109955E-2</v>
      </c>
      <c r="HZ30" s="62">
        <f>IFERROR(Inv_SY_B!HZ30/Inv_SY_B!$IS30-1,"")</f>
        <v>-3.3781527146725665E-5</v>
      </c>
      <c r="IA30" s="62">
        <f>IFERROR(Inv_SY_B!IA30/Inv_SY_B!$IS30-1,"")</f>
        <v>-1.3192013504633282E-2</v>
      </c>
      <c r="IB30" s="62">
        <f>IFERROR(Inv_SY_B!IB30/Inv_SY_B!$IS30-1,"")</f>
        <v>-1.4938826991396814E-2</v>
      </c>
      <c r="IC30" s="62">
        <f>IFERROR(Inv_SY_B!IC30/Inv_SY_B!$IS30-1,"")</f>
        <v>-5.2605360512211208E-3</v>
      </c>
      <c r="ID30" s="62">
        <f>IFERROR(Inv_SY_B!ID30/Inv_SY_B!$IS30-1,"")</f>
        <v>8.8153884417170314E-3</v>
      </c>
      <c r="IE30" s="62">
        <f>IFERROR(Inv_SY_B!IE30/Inv_SY_B!$IS30-1,"")</f>
        <v>-6.7146402510135372E-3</v>
      </c>
      <c r="IF30" s="62" t="str">
        <f>IFERROR(Inv_SY_B!IF30/Inv_SY_B!$IS30-1,"")</f>
        <v/>
      </c>
      <c r="IG30" s="62">
        <f>IFERROR(Inv_SY_B!IG30/Inv_SY_B!$IS30-1,"")</f>
        <v>-7.9211122400291156E-4</v>
      </c>
      <c r="IH30" s="62">
        <f>IFERROR(Inv_SY_B!IH30/Inv_SY_B!$IS30-1,"")</f>
        <v>4.425894746767689E-3</v>
      </c>
      <c r="II30" s="62">
        <f>IFERROR(Inv_SY_B!II30/Inv_SY_B!$IS30-1,"")</f>
        <v>-1.815411942387013E-2</v>
      </c>
      <c r="IJ30" s="62">
        <f>IFERROR(Inv_SY_B!IJ30/Inv_SY_B!$IS30-1,"")</f>
        <v>-7.0965262024741405E-3</v>
      </c>
      <c r="IK30" s="62">
        <f>IFERROR(Inv_SY_B!IK30/Inv_SY_B!$IS30-1,"")</f>
        <v>1.4568157582309116E-2</v>
      </c>
      <c r="IL30" s="62" t="str">
        <f>IFERROR(Inv_SY_B!IL30/Inv_SY_B!$IS30-1,"")</f>
        <v/>
      </c>
      <c r="IM30" s="62" t="str">
        <f>IFERROR(Inv_SY_B!IM30/Inv_SY_B!$IS30-1,"")</f>
        <v/>
      </c>
      <c r="IN30" s="62">
        <f>IFERROR(Inv_SY_B!IN30/Inv_SY_B!$IS30-1,"")</f>
        <v>2.6469932082803016E-2</v>
      </c>
      <c r="IO30" s="62">
        <f>IFERROR(Inv_SY_B!IO30/Inv_SY_B!$IS30-1,"")</f>
        <v>3.3148041552337748E-3</v>
      </c>
      <c r="IP30" s="62">
        <f>IFERROR(Inv_SY_B!IP30/Inv_SY_B!$IS30-1,"")</f>
        <v>3.120407112356971E-2</v>
      </c>
      <c r="IQ30" s="62">
        <f>IFERROR(Inv_SY_B!IQ30/Inv_SY_B!$IS30-1,"")</f>
        <v>-1.9557537789661739E-3</v>
      </c>
      <c r="IR30" s="62">
        <f>IFERROR(Inv_SY_B!IR30/Inv_SY_B!$IS30-1,"")</f>
        <v>-4.7524874332477429E-3</v>
      </c>
    </row>
    <row r="31" spans="2:252" x14ac:dyDescent="0.25">
      <c r="B31" s="85">
        <f t="shared" si="0"/>
        <v>45857</v>
      </c>
      <c r="C31" s="62">
        <f>IFERROR(Inv_SY_B!C31/Inv_SY_B!$IS31-1,"")</f>
        <v>-1.4223985373078785E-2</v>
      </c>
      <c r="D31" s="62">
        <f>IFERROR(Inv_SY_B!D31/Inv_SY_B!$IS31-1,"")</f>
        <v>5.4757751110725561E-3</v>
      </c>
      <c r="E31" s="62">
        <f>IFERROR(Inv_SY_B!E31/Inv_SY_B!$IS31-1,"")</f>
        <v>7.3144194229266546E-3</v>
      </c>
      <c r="F31" s="62">
        <f>IFERROR(Inv_SY_B!F31/Inv_SY_B!$IS31-1,"")</f>
        <v>3.0461379846939973E-3</v>
      </c>
      <c r="G31" s="62">
        <f>IFERROR(Inv_SY_B!G31/Inv_SY_B!$IS31-1,"")</f>
        <v>-1.6161386632218555E-3</v>
      </c>
      <c r="H31" s="62">
        <f>IFERROR(Inv_SY_B!H31/Inv_SY_B!$IS31-1,"")</f>
        <v>-3.6848716589232833E-4</v>
      </c>
      <c r="I31" s="62">
        <f>IFERROR(Inv_SY_B!I31/Inv_SY_B!$IS31-1,"")</f>
        <v>5.6071068476333252E-3</v>
      </c>
      <c r="J31" s="62">
        <f>IFERROR(Inv_SY_B!J31/Inv_SY_B!$IS31-1,"")</f>
        <v>9.0217319982195399E-3</v>
      </c>
      <c r="K31" s="62">
        <f>IFERROR(Inv_SY_B!K31/Inv_SY_B!$IS31-1,"")</f>
        <v>-1.5768446595036179E-2</v>
      </c>
      <c r="L31" s="62">
        <f>IFERROR(Inv_SY_B!L31/Inv_SY_B!$IS31-1,"")</f>
        <v>-6.7538361974885941E-3</v>
      </c>
      <c r="M31" s="62">
        <f>IFERROR(Inv_SY_B!M31/Inv_SY_B!$IS31-1,"")</f>
        <v>9.0217319982195399E-3</v>
      </c>
      <c r="N31" s="62">
        <f>IFERROR(Inv_SY_B!N31/Inv_SY_B!$IS31-1,"")</f>
        <v>-2.0757997411855467E-3</v>
      </c>
      <c r="O31" s="62">
        <f>IFERROR(Inv_SY_B!O31/Inv_SY_B!$IS31-1,"")</f>
        <v>-2.0757997411855467E-3</v>
      </c>
      <c r="P31" s="62">
        <f>IFERROR(Inv_SY_B!P31/Inv_SY_B!$IS31-1,"")</f>
        <v>-2.6190355605969495E-3</v>
      </c>
      <c r="Q31" s="62">
        <f>IFERROR(Inv_SY_B!Q31/Inv_SY_B!$IS31-1,"")</f>
        <v>2.1924816970471106E-3</v>
      </c>
      <c r="R31" s="62">
        <f>IFERROR(Inv_SY_B!R31/Inv_SY_B!$IS31-1,"")</f>
        <v>7.3144194229266546E-3</v>
      </c>
      <c r="S31" s="62">
        <f>IFERROR(Inv_SY_B!S31/Inv_SY_B!$IS31-1,"")</f>
        <v>1.338825409400668E-3</v>
      </c>
      <c r="T31" s="62">
        <f>IFERROR(Inv_SY_B!T31/Inv_SY_B!$IS31-1,"")</f>
        <v>1.0729044573512869E-2</v>
      </c>
      <c r="U31" s="62">
        <f>IFERROR(Inv_SY_B!U31/Inv_SY_B!$IS31-1,"")</f>
        <v>-3.1921195019539716E-3</v>
      </c>
      <c r="V31" s="62">
        <f>IFERROR(Inv_SY_B!V31/Inv_SY_B!$IS31-1,"")</f>
        <v>1.5358230142423768E-3</v>
      </c>
      <c r="W31" s="62">
        <f>IFERROR(Inv_SY_B!W31/Inv_SY_B!$IS31-1,"")</f>
        <v>-5.4904248917716503E-3</v>
      </c>
      <c r="X31" s="62">
        <f>IFERROR(Inv_SY_B!X31/Inv_SY_B!$IS31-1,"")</f>
        <v>-6.2458405218623891E-4</v>
      </c>
      <c r="Y31" s="62">
        <f>IFERROR(Inv_SY_B!Y31/Inv_SY_B!$IS31-1,"")</f>
        <v>4.687784691706387E-3</v>
      </c>
      <c r="Z31" s="62">
        <f>IFERROR(Inv_SY_B!Z31/Inv_SY_B!$IS31-1,"")</f>
        <v>1.3957358285772159E-3</v>
      </c>
      <c r="AA31" s="62">
        <f>IFERROR(Inv_SY_B!AA31/Inv_SY_B!$IS31-1,"")</f>
        <v>-4.0157824489739369E-5</v>
      </c>
      <c r="AB31" s="62">
        <f>IFERROR(Inv_SY_B!AB31/Inv_SY_B!$IS31-1,"")</f>
        <v>-5.4772917181156178E-3</v>
      </c>
      <c r="AC31" s="62">
        <f>IFERROR(Inv_SY_B!AC31/Inv_SY_B!$IS31-1,"")</f>
        <v>-7.9200620181503201E-3</v>
      </c>
      <c r="AD31" s="62">
        <f>IFERROR(Inv_SY_B!AD31/Inv_SY_B!$IS31-1,"")</f>
        <v>8.645719162636567E-4</v>
      </c>
      <c r="AE31" s="62">
        <f>IFERROR(Inv_SY_B!AE31/Inv_SY_B!$IS31-1,"")</f>
        <v>-4.5988283246740647E-3</v>
      </c>
      <c r="AF31" s="62">
        <f>IFERROR(Inv_SY_B!AF31/Inv_SY_B!$IS31-1,"")</f>
        <v>-2.1706504398127935E-3</v>
      </c>
      <c r="AG31" s="62">
        <f>IFERROR(Inv_SY_B!AG31/Inv_SY_B!$IS31-1,"")</f>
        <v>-1.3097450921688791E-2</v>
      </c>
      <c r="AH31" s="62">
        <f>IFERROR(Inv_SY_B!AH31/Inv_SY_B!$IS31-1,"")</f>
        <v>1.926899740890553E-3</v>
      </c>
      <c r="AI31" s="62">
        <f>IFERROR(Inv_SY_B!AI31/Inv_SY_B!$IS31-1,"")</f>
        <v>-1.357398620050021E-2</v>
      </c>
      <c r="AJ31" s="62">
        <f>IFERROR(Inv_SY_B!AJ31/Inv_SY_B!$IS31-1,"")</f>
        <v>-1.1445350497197304E-2</v>
      </c>
      <c r="AK31" s="62">
        <f>IFERROR(Inv_SY_B!AK31/Inv_SY_B!$IS31-1,"")</f>
        <v>-7.0994968095106081E-4</v>
      </c>
      <c r="AL31" s="62">
        <f>IFERROR(Inv_SY_B!AL31/Inv_SY_B!$IS31-1,"")</f>
        <v>-1.5547804005011323E-2</v>
      </c>
      <c r="AM31" s="62">
        <f>IFERROR(Inv_SY_B!AM31/Inv_SY_B!$IS31-1,"")</f>
        <v>-1.4026987768237076E-2</v>
      </c>
      <c r="AN31" s="62">
        <f>IFERROR(Inv_SY_B!AN31/Inv_SY_B!$IS31-1,"")</f>
        <v>-6.3440811794182039E-3</v>
      </c>
      <c r="AO31" s="62">
        <f>IFERROR(Inv_SY_B!AO31/Inv_SY_B!$IS31-1,"")</f>
        <v>-8.9050500423578649E-3</v>
      </c>
      <c r="AP31" s="62">
        <f>IFERROR(Inv_SY_B!AP31/Inv_SY_B!$IS31-1,"")</f>
        <v>-1.3173331480590633E-2</v>
      </c>
      <c r="AQ31" s="62">
        <f>IFERROR(Inv_SY_B!AQ31/Inv_SY_B!$IS31-1,"")</f>
        <v>-1.0612362617650861E-2</v>
      </c>
      <c r="AR31" s="62">
        <f>IFERROR(Inv_SY_B!AR31/Inv_SY_B!$IS31-1,"")</f>
        <v>-7.1977374670647576E-3</v>
      </c>
      <c r="AS31" s="62">
        <f>IFERROR(Inv_SY_B!AS31/Inv_SY_B!$IS31-1,"")</f>
        <v>-9.9294375875337293E-3</v>
      </c>
      <c r="AT31" s="62">
        <f>IFERROR(Inv_SY_B!AT31/Inv_SY_B!$IS31-1,"")</f>
        <v>-7.1977374670647576E-3</v>
      </c>
      <c r="AU31" s="62">
        <f>IFERROR(Inv_SY_B!AU31/Inv_SY_B!$IS31-1,"")</f>
        <v>2.1924816970471106E-3</v>
      </c>
      <c r="AV31" s="62">
        <f>IFERROR(Inv_SY_B!AV31/Inv_SY_B!$IS31-1,"")</f>
        <v>-2.0757997411855467E-3</v>
      </c>
      <c r="AW31" s="62">
        <f>IFERROR(Inv_SY_B!AW31/Inv_SY_B!$IS31-1,"")</f>
        <v>-5.3984926761788676E-3</v>
      </c>
      <c r="AX31" s="62">
        <f>IFERROR(Inv_SY_B!AX31/Inv_SY_B!$IS31-1,"")</f>
        <v>-1.0612362617650861E-2</v>
      </c>
      <c r="AY31" s="62">
        <f>IFERROR(Inv_SY_B!AY31/Inv_SY_B!$IS31-1,"")</f>
        <v>-6.7538361974885941E-3</v>
      </c>
      <c r="AZ31" s="62">
        <f>IFERROR(Inv_SY_B!AZ31/Inv_SY_B!$IS31-1,"")</f>
        <v>-9.212366305910713E-3</v>
      </c>
      <c r="BA31" s="62">
        <f>IFERROR(Inv_SY_B!BA31/Inv_SY_B!$IS31-1,"")</f>
        <v>-6.7709093232414252E-3</v>
      </c>
      <c r="BB31" s="62">
        <f>IFERROR(Inv_SY_B!BB31/Inv_SY_B!$IS31-1,"")</f>
        <v>-2.0757997411855467E-3</v>
      </c>
      <c r="BC31" s="62">
        <f>IFERROR(Inv_SY_B!BC31/Inv_SY_B!$IS31-1,"")</f>
        <v>2.3821830943020483E-3</v>
      </c>
      <c r="BD31" s="62">
        <f>IFERROR(Inv_SY_B!BD31/Inv_SY_B!$IS31-1,"")</f>
        <v>-1.1083226151861192E-3</v>
      </c>
      <c r="BE31" s="62">
        <f>IFERROR(Inv_SY_B!BE31/Inv_SY_B!$IS31-1,"")</f>
        <v>-3.9801099213201407E-3</v>
      </c>
      <c r="BF31" s="62">
        <f>IFERROR(Inv_SY_B!BF31/Inv_SY_B!$IS31-1,"")</f>
        <v>7.1281079845975093E-4</v>
      </c>
      <c r="BG31" s="62">
        <f>IFERROR(Inv_SY_B!BG31/Inv_SY_B!$IS31-1,"")</f>
        <v>6.1762110393979164E-3</v>
      </c>
      <c r="BH31" s="62">
        <f>IFERROR(Inv_SY_B!BH31/Inv_SY_B!$IS31-1,"")</f>
        <v>-1.3173331480590633E-2</v>
      </c>
      <c r="BI31" s="62">
        <f>IFERROR(Inv_SY_B!BI31/Inv_SY_B!$IS31-1,"")</f>
        <v>-2.9294560288319893E-3</v>
      </c>
      <c r="BJ31" s="62">
        <f>IFERROR(Inv_SY_B!BJ31/Inv_SY_B!$IS31-1,"")</f>
        <v>8.907911159866666E-3</v>
      </c>
      <c r="BK31" s="62">
        <f>IFERROR(Inv_SY_B!BK31/Inv_SY_B!$IS31-1,"")</f>
        <v>5.7053475051893621E-4</v>
      </c>
      <c r="BL31" s="62">
        <f>IFERROR(Inv_SY_B!BL31/Inv_SY_B!$IS31-1,"")</f>
        <v>8.0912495006779661E-3</v>
      </c>
      <c r="BM31" s="62">
        <f>IFERROR(Inv_SY_B!BM31/Inv_SY_B!$IS31-1,"")</f>
        <v>-6.3440811794182039E-3</v>
      </c>
      <c r="BN31" s="62">
        <f>IFERROR(Inv_SY_B!BN31/Inv_SY_B!$IS31-1,"")</f>
        <v>1.2558682153034351E-3</v>
      </c>
      <c r="BO31" s="62">
        <f>IFERROR(Inv_SY_B!BO31/Inv_SY_B!$IS31-1,"")</f>
        <v>1.6507640982197147E-2</v>
      </c>
      <c r="BP31" s="62">
        <f>IFERROR(Inv_SY_B!BP31/Inv_SY_B!$IS31-1,"")</f>
        <v>2.3599554756491337E-2</v>
      </c>
      <c r="BQ31" s="62">
        <f>IFERROR(Inv_SY_B!BQ31/Inv_SY_B!$IS31-1,"")</f>
        <v>2.7539506853321516E-2</v>
      </c>
      <c r="BR31" s="62">
        <f>IFERROR(Inv_SY_B!BR31/Inv_SY_B!$IS31-1,"")</f>
        <v>3.2346248411454503E-2</v>
      </c>
      <c r="BS31" s="62">
        <f>IFERROR(Inv_SY_B!BS31/Inv_SY_B!$IS31-1,"")</f>
        <v>-3.783112316478543E-3</v>
      </c>
      <c r="BT31" s="62">
        <f>IFERROR(Inv_SY_B!BT31/Inv_SY_B!$IS31-1,"")</f>
        <v>2.1924816970471106E-3</v>
      </c>
      <c r="BU31" s="62">
        <f>IFERROR(Inv_SY_B!BU31/Inv_SY_B!$IS31-1,"")</f>
        <v>-2.0757997411855467E-3</v>
      </c>
      <c r="BV31" s="62">
        <f>IFERROR(Inv_SY_B!BV31/Inv_SY_B!$IS31-1,"")</f>
        <v>3.89979427234044E-3</v>
      </c>
      <c r="BW31" s="62">
        <f>IFERROR(Inv_SY_B!BW31/Inv_SY_B!$IS31-1,"")</f>
        <v>8.1680757105730972E-3</v>
      </c>
      <c r="BX31" s="62">
        <f>IFERROR(Inv_SY_B!BX31/Inv_SY_B!$IS31-1,"")</f>
        <v>-8.0612178204667928E-2</v>
      </c>
      <c r="BY31" s="62">
        <f>IFERROR(Inv_SY_B!BY31/Inv_SY_B!$IS31-1,"")</f>
        <v>4.6585998613595248E-3</v>
      </c>
      <c r="BZ31" s="62">
        <f>IFERROR(Inv_SY_B!BZ31/Inv_SY_B!$IS31-1,"")</f>
        <v>1.1487850162531732E-2</v>
      </c>
      <c r="CA31" s="62">
        <f>IFERROR(Inv_SY_B!CA31/Inv_SY_B!$IS31-1,"")</f>
        <v>8.4526278064553928E-3</v>
      </c>
      <c r="CB31" s="62">
        <f>IFERROR(Inv_SY_B!CB31/Inv_SY_B!$IS31-1,"")</f>
        <v>1.5850982299391969E-2</v>
      </c>
      <c r="CC31" s="62">
        <f>IFERROR(Inv_SY_B!CC31/Inv_SY_B!$IS31-1,"")</f>
        <v>8.1680757105730972E-3</v>
      </c>
      <c r="CD31" s="62">
        <f>IFERROR(Inv_SY_B!CD31/Inv_SY_B!$IS31-1,"")</f>
        <v>2.5963526014589622E-2</v>
      </c>
      <c r="CE31" s="62">
        <f>IFERROR(Inv_SY_B!CE31/Inv_SY_B!$IS31-1,"")</f>
        <v>1.5850982299391969E-2</v>
      </c>
      <c r="CF31" s="62">
        <f>IFERROR(Inv_SY_B!CF31/Inv_SY_B!$IS31-1,"")</f>
        <v>2.4387545175857506E-2</v>
      </c>
      <c r="CG31" s="62">
        <f>IFERROR(Inv_SY_B!CG31/Inv_SY_B!$IS31-1,"")</f>
        <v>1.5850982299391969E-2</v>
      </c>
      <c r="CH31" s="62">
        <f>IFERROR(Inv_SY_B!CH31/Inv_SY_B!$IS31-1,"")</f>
        <v>1.0729044573512869E-2</v>
      </c>
      <c r="CI31" s="62">
        <f>IFERROR(Inv_SY_B!CI31/Inv_SY_B!$IS31-1,"")</f>
        <v>8.1680757105730972E-3</v>
      </c>
      <c r="CJ31" s="62">
        <f>IFERROR(Inv_SY_B!CJ31/Inv_SY_B!$IS31-1,"")</f>
        <v>4.8516912175422533E-4</v>
      </c>
      <c r="CK31" s="62">
        <f>IFERROR(Inv_SY_B!CK31/Inv_SY_B!$IS31-1,"")</f>
        <v>-6.9514646465262842E-2</v>
      </c>
      <c r="CL31" s="62">
        <f>IFERROR(Inv_SY_B!CL31/Inv_SY_B!$IS31-1,"")</f>
        <v>2.1924816970471106E-3</v>
      </c>
      <c r="CM31" s="62">
        <f>IFERROR(Inv_SY_B!CM31/Inv_SY_B!$IS31-1,"")</f>
        <v>9.8753882858662045E-3</v>
      </c>
      <c r="CN31" s="62">
        <f>IFERROR(Inv_SY_B!CN31/Inv_SY_B!$IS31-1,"")</f>
        <v>1.4997326011745526E-2</v>
      </c>
      <c r="CO31" s="62">
        <f>IFERROR(Inv_SY_B!CO31/Inv_SY_B!$IS31-1,"")</f>
        <v>5.5388143446217786E-3</v>
      </c>
      <c r="CP31" s="62">
        <f>IFERROR(Inv_SY_B!CP31/Inv_SY_B!$IS31-1,"")</f>
        <v>3.5419411046982097E-2</v>
      </c>
      <c r="CQ31" s="62">
        <f>IFERROR(Inv_SY_B!CQ31/Inv_SY_B!$IS31-1,"")</f>
        <v>3.89979427234044E-3</v>
      </c>
      <c r="CR31" s="62">
        <f>IFERROR(Inv_SY_B!CR31/Inv_SY_B!$IS31-1,"")</f>
        <v>1.3290013436452419E-2</v>
      </c>
      <c r="CS31" s="62">
        <f>IFERROR(Inv_SY_B!CS31/Inv_SY_B!$IS31-1,"")</f>
        <v>1.3460744693981619E-2</v>
      </c>
      <c r="CT31" s="62">
        <f>IFERROR(Inv_SY_B!CT31/Inv_SY_B!$IS31-1,"")</f>
        <v>-2.9294560288319893E-3</v>
      </c>
      <c r="CU31" s="62">
        <f>IFERROR(Inv_SY_B!CU31/Inv_SY_B!$IS31-1,"")</f>
        <v>-1.977559083630176E-4</v>
      </c>
      <c r="CV31" s="62">
        <f>IFERROR(Inv_SY_B!CV31/Inv_SY_B!$IS31-1,"")</f>
        <v>9.5339257708075831E-3</v>
      </c>
      <c r="CW31" s="62">
        <f>IFERROR(Inv_SY_B!CW31/Inv_SY_B!$IS31-1,"")</f>
        <v>-5.8318874068302717E-3</v>
      </c>
      <c r="CX31" s="62">
        <f>IFERROR(Inv_SY_B!CX31/Inv_SY_B!$IS31-1,"")</f>
        <v>9.1199726557733563E-4</v>
      </c>
      <c r="CY31" s="62">
        <f>IFERROR(Inv_SY_B!CY31/Inv_SY_B!$IS31-1,"")</f>
        <v>1.2180260262511844E-2</v>
      </c>
      <c r="CZ31" s="62">
        <f>IFERROR(Inv_SY_B!CZ31/Inv_SY_B!$IS31-1,"")</f>
        <v>-1.4782403398327926E-3</v>
      </c>
      <c r="DA31" s="62">
        <f>IFERROR(Inv_SY_B!DA31/Inv_SY_B!$IS31-1,"")</f>
        <v>-4.0392092027724535E-3</v>
      </c>
      <c r="DB31" s="62">
        <f>IFERROR(Inv_SY_B!DB31/Inv_SY_B!$IS31-1,"")</f>
        <v>1.7656535532240003E-3</v>
      </c>
      <c r="DC31" s="62">
        <f>IFERROR(Inv_SY_B!DC31/Inv_SY_B!$IS31-1,"")</f>
        <v>-1.4766823217530645E-2</v>
      </c>
      <c r="DD31" s="62">
        <f>IFERROR(Inv_SY_B!DD31/Inv_SY_B!$IS31-1,"")</f>
        <v>-4.6367686041252076E-3</v>
      </c>
      <c r="DE31" s="62">
        <f>IFERROR(Inv_SY_B!DE31/Inv_SY_B!$IS31-1,"")</f>
        <v>-1.2793928686081091E-2</v>
      </c>
      <c r="DF31" s="62">
        <f>IFERROR(Inv_SY_B!DF31/Inv_SY_B!$IS31-1,"")</f>
        <v>-7.9223028741438606E-3</v>
      </c>
      <c r="DG31" s="62">
        <f>IFERROR(Inv_SY_B!DG31/Inv_SY_B!$IS31-1,"")</f>
        <v>1.7302197988391166E-2</v>
      </c>
      <c r="DH31" s="62">
        <f>IFERROR(Inv_SY_B!DH31/Inv_SY_B!$IS31-1,"")</f>
        <v>9.7425973077878147E-3</v>
      </c>
      <c r="DI31" s="62">
        <f>IFERROR(Inv_SY_B!DI31/Inv_SY_B!$IS31-1,"")</f>
        <v>-1.5327171960191177E-2</v>
      </c>
      <c r="DJ31" s="62">
        <f>IFERROR(Inv_SY_B!DJ31/Inv_SY_B!$IS31-1,"")</f>
        <v>7.2881530756141455E-3</v>
      </c>
      <c r="DK31" s="62">
        <f>IFERROR(Inv_SY_B!DK31/Inv_SY_B!$IS31-1,"")</f>
        <v>1.8510191819884891E-3</v>
      </c>
      <c r="DL31" s="62">
        <f>IFERROR(Inv_SY_B!DL31/Inv_SY_B!$IS31-1,"")</f>
        <v>-8.3169757108679798E-3</v>
      </c>
      <c r="DM31" s="62">
        <f>IFERROR(Inv_SY_B!DM31/Inv_SY_B!$IS31-1,"")</f>
        <v>2.5753395236091992E-2</v>
      </c>
      <c r="DN31" s="62">
        <f>IFERROR(Inv_SY_B!DN31/Inv_SY_B!$IS31-1,"")</f>
        <v>1.9350973078742895E-2</v>
      </c>
      <c r="DO31" s="62">
        <f>IFERROR(Inv_SY_B!DO31/Inv_SY_B!$IS31-1,"")</f>
        <v>-7.9223028741438606E-3</v>
      </c>
      <c r="DP31" s="62">
        <f>IFERROR(Inv_SY_B!DP31/Inv_SY_B!$IS31-1,"")</f>
        <v>-8.9205651500309902E-2</v>
      </c>
      <c r="DQ31" s="62">
        <f>IFERROR(Inv_SY_B!DQ31/Inv_SY_B!$IS31-1,"")</f>
        <v>-1.9016134516038119E-2</v>
      </c>
      <c r="DR31" s="62">
        <f>IFERROR(Inv_SY_B!DR31/Inv_SY_B!$IS31-1,"")</f>
        <v>2.7972901583973142E-2</v>
      </c>
      <c r="DS31" s="62">
        <f>IFERROR(Inv_SY_B!DS31/Inv_SY_B!$IS31-1,"")</f>
        <v>2.2253404456741066E-2</v>
      </c>
      <c r="DT31" s="62">
        <f>IFERROR(Inv_SY_B!DT31/Inv_SY_B!$IS31-1,"")</f>
        <v>-1.5070345453138567E-2</v>
      </c>
      <c r="DU31" s="62">
        <f>IFERROR(Inv_SY_B!DU31/Inv_SY_B!$IS31-1,"")</f>
        <v>-1.2035123097061895E-2</v>
      </c>
      <c r="DV31" s="62">
        <f>IFERROR(Inv_SY_B!DV31/Inv_SY_B!$IS31-1,"")</f>
        <v>-8.9050500423578649E-3</v>
      </c>
      <c r="DW31" s="62">
        <f>IFERROR(Inv_SY_B!DW31/Inv_SY_B!$IS31-1,"")</f>
        <v>-8.1367593834758001E-3</v>
      </c>
      <c r="DX31" s="62">
        <f>IFERROR(Inv_SY_B!DX31/Inv_SY_B!$IS31-1,"")</f>
        <v>-3.0053365877338312E-3</v>
      </c>
      <c r="DY31" s="62">
        <f>IFERROR(Inv_SY_B!DY31/Inv_SY_B!$IS31-1,"")</f>
        <v>-3.783112316478543E-3</v>
      </c>
      <c r="DZ31" s="62">
        <f>IFERROR(Inv_SY_B!DZ31/Inv_SY_B!$IS31-1,"")</f>
        <v>-9.7587063300044186E-3</v>
      </c>
      <c r="EA31" s="62">
        <f>IFERROR(Inv_SY_B!EA31/Inv_SY_B!$IS31-1,"")</f>
        <v>5.9485693626921687E-3</v>
      </c>
      <c r="EB31" s="62">
        <f>IFERROR(Inv_SY_B!EB31/Inv_SY_B!$IS31-1,"")</f>
        <v>-6.1923200616144092E-3</v>
      </c>
      <c r="EC31" s="62">
        <f>IFERROR(Inv_SY_B!EC31/Inv_SY_B!$IS31-1,"")</f>
        <v>-1.2096411240790306E-2</v>
      </c>
      <c r="ED31" s="62">
        <f>IFERROR(Inv_SY_B!ED31/Inv_SY_B!$IS31-1,"")</f>
        <v>1.1464502298254242E-2</v>
      </c>
      <c r="EE31" s="62">
        <f>IFERROR(Inv_SY_B!EE31/Inv_SY_B!$IS31-1,"")</f>
        <v>1.6507640982197147E-2</v>
      </c>
      <c r="EF31" s="62">
        <f>IFERROR(Inv_SY_B!EF31/Inv_SY_B!$IS31-1,"")</f>
        <v>2.5318806580562958E-2</v>
      </c>
      <c r="EG31" s="62">
        <f>IFERROR(Inv_SY_B!EG31/Inv_SY_B!$IS31-1,"")</f>
        <v>2.8058864175176668E-2</v>
      </c>
      <c r="EH31" s="62">
        <f>IFERROR(Inv_SY_B!EH31/Inv_SY_B!$IS31-1,"")</f>
        <v>5.027157838228602E-3</v>
      </c>
      <c r="EI31" s="62">
        <f>IFERROR(Inv_SY_B!EI31/Inv_SY_B!$IS31-1,"")</f>
        <v>-1.9439049239428519E-2</v>
      </c>
      <c r="EJ31" s="62">
        <f>IFERROR(Inv_SY_B!EJ31/Inv_SY_B!$IS31-1,"")</f>
        <v>2.0089415615679229E-2</v>
      </c>
      <c r="EK31" s="62">
        <f>IFERROR(Inv_SY_B!EK31/Inv_SY_B!$IS31-1,"")</f>
        <v>3.5860685681827098E-2</v>
      </c>
      <c r="EL31" s="62">
        <f>IFERROR(Inv_SY_B!EL31/Inv_SY_B!$IS31-1,"")</f>
        <v>1.5850982299391969E-2</v>
      </c>
      <c r="EM31" s="62">
        <f>IFERROR(Inv_SY_B!EM31/Inv_SY_B!$IS31-1,"")</f>
        <v>7.5245502014240628E-3</v>
      </c>
      <c r="EN31" s="62">
        <f>IFERROR(Inv_SY_B!EN31/Inv_SY_B!$IS31-1,"")</f>
        <v>-7.9200620181503201E-3</v>
      </c>
      <c r="EO31" s="62">
        <f>IFERROR(Inv_SY_B!EO31/Inv_SY_B!$IS31-1,"")</f>
        <v>-3.783112316478543E-3</v>
      </c>
      <c r="EP31" s="62">
        <f>IFERROR(Inv_SY_B!EP31/Inv_SY_B!$IS31-1,"")</f>
        <v>1.7295631401563316E-2</v>
      </c>
      <c r="EQ31" s="62">
        <f>IFERROR(Inv_SY_B!EQ31/Inv_SY_B!$IS31-1,"")</f>
        <v>-1.3002600223061322E-2</v>
      </c>
      <c r="ER31" s="62">
        <f>IFERROR(Inv_SY_B!ER31/Inv_SY_B!$IS31-1,"")</f>
        <v>1.5168057269274726E-2</v>
      </c>
      <c r="ES31" s="62">
        <f>IFERROR(Inv_SY_B!ES31/Inv_SY_B!$IS31-1,"")</f>
        <v>-2.0757997411855467E-3</v>
      </c>
      <c r="ET31" s="62">
        <f>IFERROR(Inv_SY_B!ET31/Inv_SY_B!$IS31-1,"")</f>
        <v>1.5074931128804314E-2</v>
      </c>
      <c r="EU31" s="62">
        <f>IFERROR(Inv_SY_B!EU31/Inv_SY_B!$IS31-1,"")</f>
        <v>1.2882885053113302E-2</v>
      </c>
      <c r="EV31" s="62">
        <f>IFERROR(Inv_SY_B!EV31/Inv_SY_B!$IS31-1,"")</f>
        <v>-1.6161386632218555E-3</v>
      </c>
      <c r="EW31" s="62">
        <f>IFERROR(Inv_SY_B!EW31/Inv_SY_B!$IS31-1,"")</f>
        <v>3.1118038529742709E-3</v>
      </c>
      <c r="EX31" s="62">
        <f>IFERROR(Inv_SY_B!EX31/Inv_SY_B!$IS31-1,"")</f>
        <v>1.5850982299391969E-2</v>
      </c>
      <c r="EY31" s="62">
        <f>IFERROR(Inv_SY_B!EY31/Inv_SY_B!$IS31-1,"")</f>
        <v>-1.3780375951805812E-2</v>
      </c>
      <c r="EZ31" s="62">
        <f>IFERROR(Inv_SY_B!EZ31/Inv_SY_B!$IS31-1,"")</f>
        <v>-2.0757997411855467E-3</v>
      </c>
      <c r="FA31" s="62">
        <f>IFERROR(Inv_SY_B!FA31/Inv_SY_B!$IS31-1,"")</f>
        <v>2.7046754696351538E-3</v>
      </c>
      <c r="FB31" s="62">
        <f>IFERROR(Inv_SY_B!FB31/Inv_SY_B!$IS31-1,"")</f>
        <v>-2.9294560288319893E-3</v>
      </c>
      <c r="FC31" s="62">
        <f>IFERROR(Inv_SY_B!FC31/Inv_SY_B!$IS31-1,"")</f>
        <v>1.338825409400668E-3</v>
      </c>
      <c r="FD31" s="62">
        <f>IFERROR(Inv_SY_B!FD31/Inv_SY_B!$IS31-1,"")</f>
        <v>-2.0757997411855467E-3</v>
      </c>
      <c r="FE31" s="62">
        <f>IFERROR(Inv_SY_B!FE31/Inv_SY_B!$IS31-1,"")</f>
        <v>1.6171103407259357E-2</v>
      </c>
      <c r="FF31" s="62">
        <f>IFERROR(Inv_SY_B!FF31/Inv_SY_B!$IS31-1,"")</f>
        <v>1.2026990156320805E-2</v>
      </c>
      <c r="FG31" s="62">
        <f>IFERROR(Inv_SY_B!FG31/Inv_SY_B!$IS31-1,"")</f>
        <v>7.3264913300246093E-3</v>
      </c>
      <c r="FH31" s="62">
        <f>IFERROR(Inv_SY_B!FH31/Inv_SY_B!$IS31-1,"")</f>
        <v>1.4099046781790081E-2</v>
      </c>
      <c r="FI31" s="62">
        <f>IFERROR(Inv_SY_B!FI31/Inv_SY_B!$IS31-1,"")</f>
        <v>-1.9993958990978777E-2</v>
      </c>
      <c r="FJ31" s="62">
        <f>IFERROR(Inv_SY_B!FJ31/Inv_SY_B!$IS31-1,"")</f>
        <v>3.4289307381318856E-4</v>
      </c>
      <c r="FK31" s="62">
        <f>IFERROR(Inv_SY_B!FK31/Inv_SY_B!$IS31-1,"")</f>
        <v>1.5307746479980455E-2</v>
      </c>
      <c r="FL31" s="62">
        <f>IFERROR(Inv_SY_B!FL31/Inv_SY_B!$IS31-1,"")</f>
        <v>4.5330520275399522E-3</v>
      </c>
      <c r="FM31" s="62">
        <f>IFERROR(Inv_SY_B!FM31/Inv_SY_B!$IS31-1,"")</f>
        <v>-1.5168753052964279E-2</v>
      </c>
      <c r="FN31" s="62">
        <f>IFERROR(Inv_SY_B!FN31/Inv_SY_B!$IS31-1,"")</f>
        <v>-1.6156817091961373E-2</v>
      </c>
      <c r="FO31" s="62">
        <f>IFERROR(Inv_SY_B!FO31/Inv_SY_B!$IS31-1,"")</f>
        <v>6.6741772071916561E-3</v>
      </c>
      <c r="FP31" s="62">
        <f>IFERROR(Inv_SY_B!FP31/Inv_SY_B!$IS31-1,"")</f>
        <v>-1.9502804827904452E-2</v>
      </c>
      <c r="FQ31" s="62">
        <f>IFERROR(Inv_SY_B!FQ31/Inv_SY_B!$IS31-1,"")</f>
        <v>2.0465840769767762E-3</v>
      </c>
      <c r="FR31" s="62">
        <f>IFERROR(Inv_SY_B!FR31/Inv_SY_B!$IS31-1,"")</f>
        <v>1.5307746479980455E-2</v>
      </c>
      <c r="FS31" s="62">
        <f>IFERROR(Inv_SY_B!FS31/Inv_SY_B!$IS31-1,"")</f>
        <v>-1.6156817091961373E-2</v>
      </c>
      <c r="FT31" s="62">
        <f>IFERROR(Inv_SY_B!FT31/Inv_SY_B!$IS31-1,"")</f>
        <v>-1.2872223626402501E-2</v>
      </c>
      <c r="FU31" s="62">
        <f>IFERROR(Inv_SY_B!FU31/Inv_SY_B!$IS31-1,"")</f>
        <v>-1.5756778756955692E-3</v>
      </c>
      <c r="FV31" s="62">
        <f>IFERROR(Inv_SY_B!FV31/Inv_SY_B!$IS31-1,"")</f>
        <v>2.0983854926135415E-3</v>
      </c>
      <c r="FW31" s="62">
        <f>IFERROR(Inv_SY_B!FW31/Inv_SY_B!$IS31-1,"")</f>
        <v>-2.0953244465732879E-2</v>
      </c>
      <c r="FX31" s="62">
        <f>IFERROR(Inv_SY_B!FX31/Inv_SY_B!$IS31-1,"")</f>
        <v>-1.231967519294408E-2</v>
      </c>
      <c r="FY31" s="62">
        <f>IFERROR(Inv_SY_B!FY31/Inv_SY_B!$IS31-1,"")</f>
        <v>-2.7668242789013364E-2</v>
      </c>
      <c r="FZ31" s="62">
        <f>IFERROR(Inv_SY_B!FZ31/Inv_SY_B!$IS31-1,"")</f>
        <v>-2.0953244465732879E-2</v>
      </c>
      <c r="GA31" s="62">
        <f>IFERROR(Inv_SY_B!GA31/Inv_SY_B!$IS31-1,"")</f>
        <v>-2.6930330885356124E-2</v>
      </c>
      <c r="GB31" s="62">
        <f>IFERROR(Inv_SY_B!GB31/Inv_SY_B!$IS31-1,"")</f>
        <v>-2.9203099548620104E-2</v>
      </c>
      <c r="GC31" s="62">
        <f>IFERROR(Inv_SY_B!GC31/Inv_SY_B!$IS31-1,"")</f>
        <v>-2.6133386029406402E-2</v>
      </c>
      <c r="GD31" s="62">
        <f>IFERROR(Inv_SY_B!GD31/Inv_SY_B!$IS31-1,"")</f>
        <v>1.2075338144248438E-2</v>
      </c>
      <c r="GE31" s="62">
        <f>IFERROR(Inv_SY_B!GE31/Inv_SY_B!$IS31-1,"")</f>
        <v>-1.1230517223145942E-2</v>
      </c>
      <c r="GF31" s="62">
        <f>IFERROR(Inv_SY_B!GF31/Inv_SY_B!$IS31-1,"")</f>
        <v>-1.9993958990978777E-2</v>
      </c>
      <c r="GG31" s="62">
        <f>IFERROR(Inv_SY_B!GG31/Inv_SY_B!$IS31-1,"")</f>
        <v>-4.8326439195813808E-3</v>
      </c>
      <c r="GH31" s="62">
        <f>IFERROR(Inv_SY_B!GH31/Inv_SY_B!$IS31-1,"")</f>
        <v>-1.45298689267781E-2</v>
      </c>
      <c r="GI31" s="62">
        <f>IFERROR(Inv_SY_B!GI31/Inv_SY_B!$IS31-1,"")</f>
        <v>2.79252446214584E-3</v>
      </c>
      <c r="GJ31" s="62">
        <f>IFERROR(Inv_SY_B!GJ31/Inv_SY_B!$IS31-1,"")</f>
        <v>-1.7366992613959242E-2</v>
      </c>
      <c r="GK31" s="62">
        <f>IFERROR(Inv_SY_B!GK31/Inv_SY_B!$IS31-1,"")</f>
        <v>-1.9593920655972541E-3</v>
      </c>
      <c r="GL31" s="62">
        <f>IFERROR(Inv_SY_B!GL31/Inv_SY_B!$IS31-1,"")</f>
        <v>4.2567778108106857E-3</v>
      </c>
      <c r="GM31" s="62">
        <f>IFERROR(Inv_SY_B!GM31/Inv_SY_B!$IS31-1,"")</f>
        <v>1.0623571798786813E-3</v>
      </c>
      <c r="GN31" s="62">
        <f>IFERROR(Inv_SY_B!GN31/Inv_SY_B!$IS31-1,"")</f>
        <v>1.1163633229041903E-2</v>
      </c>
      <c r="GO31" s="62">
        <f>IFERROR(Inv_SY_B!GO31/Inv_SY_B!$IS31-1,"")</f>
        <v>3.3070851908039156E-3</v>
      </c>
      <c r="GP31" s="62">
        <f>IFERROR(Inv_SY_B!GP31/Inv_SY_B!$IS31-1,"")</f>
        <v>-4.6357985401618285E-3</v>
      </c>
      <c r="GQ31" s="62">
        <f>IFERROR(Inv_SY_B!GQ31/Inv_SY_B!$IS31-1,"")</f>
        <v>5.0510661839071602E-3</v>
      </c>
      <c r="GR31" s="62">
        <f>IFERROR(Inv_SY_B!GR31/Inv_SY_B!$IS31-1,"")</f>
        <v>-8.0028905565494579E-3</v>
      </c>
      <c r="GS31" s="62" t="str">
        <f>IFERROR(Inv_SY_B!GS31/Inv_SY_B!$IS31-1,"")</f>
        <v/>
      </c>
      <c r="GT31" s="62" t="str">
        <f>IFERROR(Inv_SY_B!GT31/Inv_SY_B!$IS31-1,"")</f>
        <v/>
      </c>
      <c r="GU31" s="62">
        <f>IFERROR(Inv_SY_B!GU31/Inv_SY_B!$IS31-1,"")</f>
        <v>5.2429816366357462E-2</v>
      </c>
      <c r="GV31" s="62">
        <f>IFERROR(Inv_SY_B!GV31/Inv_SY_B!$IS31-1,"")</f>
        <v>7.0184314272099257E-3</v>
      </c>
      <c r="GW31" s="62">
        <f>IFERROR(Inv_SY_B!GW31/Inv_SY_B!$IS31-1,"")</f>
        <v>-9.4558570927019137E-3</v>
      </c>
      <c r="GX31" s="62" t="str">
        <f>IFERROR(Inv_SY_B!GX31/Inv_SY_B!$IS31-1,"")</f>
        <v/>
      </c>
      <c r="GY31" s="62">
        <f>IFERROR(Inv_SY_B!GY31/Inv_SY_B!$IS31-1,"")</f>
        <v>-6.2121737945452948E-2</v>
      </c>
      <c r="GZ31" s="62">
        <f>IFERROR(Inv_SY_B!GZ31/Inv_SY_B!$IS31-1,"")</f>
        <v>-1.0612362617650861E-2</v>
      </c>
      <c r="HA31" s="62">
        <f>IFERROR(Inv_SY_B!HA31/Inv_SY_B!$IS31-1,"")</f>
        <v>-3.6848716589232833E-4</v>
      </c>
      <c r="HB31" s="62">
        <f>IFERROR(Inv_SY_B!HB31/Inv_SY_B!$IS31-1,"")</f>
        <v>3.89979427234044E-3</v>
      </c>
      <c r="HC31" s="62">
        <f>IFERROR(Inv_SY_B!HC31/Inv_SY_B!$IS31-1,"")</f>
        <v>-2.9294560288319893E-3</v>
      </c>
      <c r="HD31" s="62">
        <f>IFERROR(Inv_SY_B!HD31/Inv_SY_B!$IS31-1,"")</f>
        <v>8.3388069681022969E-3</v>
      </c>
      <c r="HE31" s="62">
        <f>IFERROR(Inv_SY_B!HE31/Inv_SY_B!$IS31-1,"")</f>
        <v>2.1924816970471106E-3</v>
      </c>
      <c r="HF31" s="62">
        <f>IFERROR(Inv_SY_B!HF31/Inv_SY_B!$IS31-1,"")</f>
        <v>-1.222143453538993E-3</v>
      </c>
      <c r="HG31" s="62">
        <f>IFERROR(Inv_SY_B!HG31/Inv_SY_B!$IS31-1,"")</f>
        <v>8.1680757105730972E-3</v>
      </c>
      <c r="HH31" s="62">
        <f>IFERROR(Inv_SY_B!HH31/Inv_SY_B!$IS31-1,"")</f>
        <v>-8.222125012240733E-3</v>
      </c>
      <c r="HI31" s="62">
        <f>IFERROR(Inv_SY_B!HI31/Inv_SY_B!$IS31-1,"")</f>
        <v>-2.831215371278395E-4</v>
      </c>
      <c r="HJ31" s="62">
        <f>IFERROR(Inv_SY_B!HJ31/Inv_SY_B!$IS31-1,"")</f>
        <v>7.4851506804558543E-3</v>
      </c>
      <c r="HK31" s="62">
        <f>IFERROR(Inv_SY_B!HK31/Inv_SY_B!$IS31-1,"")</f>
        <v>2.4580636532038902E-3</v>
      </c>
      <c r="HL31" s="62">
        <f>IFERROR(Inv_SY_B!HL31/Inv_SY_B!$IS31-1,"")</f>
        <v>8.4526278064553928E-3</v>
      </c>
      <c r="HM31" s="62">
        <f>IFERROR(Inv_SY_B!HM31/Inv_SY_B!$IS31-1,"")</f>
        <v>2.0717549492289766E-2</v>
      </c>
      <c r="HN31" s="62">
        <f>IFERROR(Inv_SY_B!HN31/Inv_SY_B!$IS31-1,"")</f>
        <v>4.2152618031627842E-2</v>
      </c>
      <c r="HO31" s="62">
        <f>IFERROR(Inv_SY_B!HO31/Inv_SY_B!$IS31-1,"")</f>
        <v>3.6028312734673884E-2</v>
      </c>
      <c r="HP31" s="62">
        <f>IFERROR(Inv_SY_B!HP31/Inv_SY_B!$IS31-1,"")</f>
        <v>3.4599308165384812E-2</v>
      </c>
      <c r="HQ31" s="62">
        <f>IFERROR(Inv_SY_B!HQ31/Inv_SY_B!$IS31-1,"")</f>
        <v>-2.3431062554990501E-3</v>
      </c>
      <c r="HR31" s="62">
        <f>IFERROR(Inv_SY_B!HR31/Inv_SY_B!$IS31-1,"")</f>
        <v>-1.9099799319097666E-2</v>
      </c>
      <c r="HS31" s="62">
        <f>IFERROR(Inv_SY_B!HS31/Inv_SY_B!$IS31-1,"")</f>
        <v>3.0802842361996596E-3</v>
      </c>
      <c r="HT31" s="62">
        <f>IFERROR(Inv_SY_B!HT31/Inv_SY_B!$IS31-1,"")</f>
        <v>3.1409886833211331E-3</v>
      </c>
      <c r="HU31" s="62">
        <f>IFERROR(Inv_SY_B!HU31/Inv_SY_B!$IS31-1,"")</f>
        <v>-1.6161386632218555E-3</v>
      </c>
      <c r="HV31" s="62">
        <f>IFERROR(Inv_SY_B!HV31/Inv_SY_B!$IS31-1,"")</f>
        <v>9.4157272079027354E-3</v>
      </c>
      <c r="HW31" s="62">
        <f>IFERROR(Inv_SY_B!HW31/Inv_SY_B!$IS31-1,"")</f>
        <v>6.2175412777776273E-4</v>
      </c>
      <c r="HX31" s="62">
        <f>IFERROR(Inv_SY_B!HX31/Inv_SY_B!$IS31-1,"")</f>
        <v>-3.1921195019539716E-3</v>
      </c>
      <c r="HY31" s="62">
        <f>IFERROR(Inv_SY_B!HY31/Inv_SY_B!$IS31-1,"")</f>
        <v>2.3821830943020483E-3</v>
      </c>
      <c r="HZ31" s="62">
        <f>IFERROR(Inv_SY_B!HZ31/Inv_SY_B!$IS31-1,"")</f>
        <v>2.3821830943020483E-3</v>
      </c>
      <c r="IA31" s="62">
        <f>IFERROR(Inv_SY_B!IA31/Inv_SY_B!$IS31-1,"")</f>
        <v>-1.9757827181808296E-2</v>
      </c>
      <c r="IB31" s="62">
        <f>IFERROR(Inv_SY_B!IB31/Inv_SY_B!$IS31-1,"")</f>
        <v>1.4940356435184654E-3</v>
      </c>
      <c r="IC31" s="62">
        <f>IFERROR(Inv_SY_B!IC31/Inv_SY_B!$IS31-1,"")</f>
        <v>-1.7101344328642409E-2</v>
      </c>
      <c r="ID31" s="62">
        <f>IFERROR(Inv_SY_B!ID31/Inv_SY_B!$IS31-1,"")</f>
        <v>2.9436225831469542E-3</v>
      </c>
      <c r="IE31" s="62">
        <f>IFERROR(Inv_SY_B!IE31/Inv_SY_B!$IS31-1,"")</f>
        <v>4.7172348386930185E-3</v>
      </c>
      <c r="IF31" s="62" t="str">
        <f>IFERROR(Inv_SY_B!IF31/Inv_SY_B!$IS31-1,"")</f>
        <v/>
      </c>
      <c r="IG31" s="62">
        <f>IFERROR(Inv_SY_B!IG31/Inv_SY_B!$IS31-1,"")</f>
        <v>2.5399364781497624E-3</v>
      </c>
      <c r="IH31" s="62">
        <f>IFERROR(Inv_SY_B!IH31/Inv_SY_B!$IS31-1,"")</f>
        <v>-1.9782254610343331E-2</v>
      </c>
      <c r="II31" s="62">
        <f>IFERROR(Inv_SY_B!II31/Inv_SY_B!$IS31-1,"")</f>
        <v>-1.1185713855622503E-2</v>
      </c>
      <c r="IJ31" s="62">
        <f>IFERROR(Inv_SY_B!IJ31/Inv_SY_B!$IS31-1,"")</f>
        <v>2.1498834384581222E-4</v>
      </c>
      <c r="IK31" s="62">
        <f>IFERROR(Inv_SY_B!IK31/Inv_SY_B!$IS31-1,"")</f>
        <v>1.4068054481836567E-2</v>
      </c>
      <c r="IL31" s="62" t="str">
        <f>IFERROR(Inv_SY_B!IL31/Inv_SY_B!$IS31-1,"")</f>
        <v/>
      </c>
      <c r="IM31" s="62" t="str">
        <f>IFERROR(Inv_SY_B!IM31/Inv_SY_B!$IS31-1,"")</f>
        <v/>
      </c>
      <c r="IN31" s="62">
        <f>IFERROR(Inv_SY_B!IN31/Inv_SY_B!$IS31-1,"")</f>
        <v>1.9356592759633306E-2</v>
      </c>
      <c r="IO31" s="62">
        <f>IFERROR(Inv_SY_B!IO31/Inv_SY_B!$IS31-1,"")</f>
        <v>2.0894542140554861E-3</v>
      </c>
      <c r="IP31" s="62">
        <f>IFERROR(Inv_SY_B!IP31/Inv_SY_B!$IS31-1,"")</f>
        <v>2.4009213907814964E-2</v>
      </c>
      <c r="IQ31" s="62">
        <f>IFERROR(Inv_SY_B!IQ31/Inv_SY_B!$IS31-1,"")</f>
        <v>-2.5070792888139848E-2</v>
      </c>
      <c r="IR31" s="62">
        <f>IFERROR(Inv_SY_B!IR31/Inv_SY_B!$IS31-1,"")</f>
        <v>-9.7555769048279339E-2</v>
      </c>
    </row>
    <row r="32" spans="2:252" x14ac:dyDescent="0.25">
      <c r="B32" s="85">
        <f>B31+1</f>
        <v>45858</v>
      </c>
      <c r="C32" s="62">
        <f>IFERROR(Inv_SY_B!C32/Inv_SY_B!$IS32-1,"")</f>
        <v>1.3444556930642504E-2</v>
      </c>
      <c r="D32" s="62">
        <f>IFERROR(Inv_SY_B!D32/Inv_SY_B!$IS32-1,"")</f>
        <v>1.5584130238729843E-2</v>
      </c>
      <c r="E32" s="62">
        <f>IFERROR(Inv_SY_B!E32/Inv_SY_B!$IS32-1,"")</f>
        <v>1.3682287298207862E-2</v>
      </c>
      <c r="F32" s="62">
        <f>IFERROR(Inv_SY_B!F32/Inv_SY_B!$IS32-1,"")</f>
        <v>1.9863276854904299E-2</v>
      </c>
      <c r="G32" s="62">
        <f>IFERROR(Inv_SY_B!G32/Inv_SY_B!$IS32-1,"")</f>
        <v>2.2858679486226441E-2</v>
      </c>
      <c r="H32" s="62">
        <f>IFERROR(Inv_SY_B!H32/Inv_SY_B!$IS32-1,"")</f>
        <v>1.3682287298207862E-2</v>
      </c>
      <c r="I32" s="62">
        <f>IFERROR(Inv_SY_B!I32/Inv_SY_B!$IS32-1,"")</f>
        <v>2.2181147938665324E-2</v>
      </c>
      <c r="J32" s="62">
        <f>IFERROR(Inv_SY_B!J32/Inv_SY_B!$IS32-1,"")</f>
        <v>2.0635900549491382E-2</v>
      </c>
      <c r="K32" s="62">
        <f>IFERROR(Inv_SY_B!K32/Inv_SY_B!$IS32-1,"")</f>
        <v>-2.9816605466456148E-3</v>
      </c>
      <c r="L32" s="62">
        <f>IFERROR(Inv_SY_B!L32/Inv_SY_B!$IS32-1,"")</f>
        <v>1.5412964374082794E-2</v>
      </c>
      <c r="M32" s="62">
        <f>IFERROR(Inv_SY_B!M32/Inv_SY_B!$IS32-1,"")</f>
        <v>1.3682287298207862E-2</v>
      </c>
      <c r="N32" s="62">
        <f>IFERROR(Inv_SY_B!N32/Inv_SY_B!$IS32-1,"")</f>
        <v>1.6000158381968888E-2</v>
      </c>
      <c r="O32" s="62">
        <f>IFERROR(Inv_SY_B!O32/Inv_SY_B!$IS32-1,"")</f>
        <v>2.5271642717013654E-2</v>
      </c>
      <c r="P32" s="62">
        <f>IFERROR(Inv_SY_B!P32/Inv_SY_B!$IS32-1,"")</f>
        <v>-7.1083139379527482E-3</v>
      </c>
      <c r="Q32" s="62">
        <f>IFERROR(Inv_SY_B!Q32/Inv_SY_B!$IS32-1,"")</f>
        <v>-9.4964235394036089E-3</v>
      </c>
      <c r="R32" s="62">
        <f>IFERROR(Inv_SY_B!R32/Inv_SY_B!$IS32-1,"")</f>
        <v>9.8191688252726728E-3</v>
      </c>
      <c r="S32" s="62">
        <f>IFERROR(Inv_SY_B!S32/Inv_SY_B!$IS32-1,"")</f>
        <v>4.4108029631633183E-3</v>
      </c>
      <c r="T32" s="62">
        <f>IFERROR(Inv_SY_B!T32/Inv_SY_B!$IS32-1,"")</f>
        <v>2.0635900549491382E-2</v>
      </c>
      <c r="U32" s="62">
        <f>IFERROR(Inv_SY_B!U32/Inv_SY_B!$IS32-1,"")</f>
        <v>2.1574935501374126E-2</v>
      </c>
      <c r="V32" s="62">
        <f>IFERROR(Inv_SY_B!V32/Inv_SY_B!$IS32-1,"")</f>
        <v>2.1289659060295785E-2</v>
      </c>
      <c r="W32" s="62">
        <f>IFERROR(Inv_SY_B!W32/Inv_SY_B!$IS32-1,"")</f>
        <v>5.1834266577504007E-3</v>
      </c>
      <c r="X32" s="62">
        <f>IFERROR(Inv_SY_B!X32/Inv_SY_B!$IS32-1,"")</f>
        <v>1.4763960470629778E-2</v>
      </c>
      <c r="Y32" s="62">
        <f>IFERROR(Inv_SY_B!Y32/Inv_SY_B!$IS32-1,"")</f>
        <v>-1.5324562259678709E-3</v>
      </c>
      <c r="Z32" s="62">
        <f>IFERROR(Inv_SY_B!Z32/Inv_SY_B!$IS32-1,"")</f>
        <v>2.1236830089725656E-2</v>
      </c>
      <c r="AA32" s="62">
        <f>IFERROR(Inv_SY_B!AA32/Inv_SY_B!$IS32-1,"")</f>
        <v>2.9847952292644697E-2</v>
      </c>
      <c r="AB32" s="62">
        <f>IFERROR(Inv_SY_B!AB32/Inv_SY_B!$IS32-1,"")</f>
        <v>2.1289659060295785E-2</v>
      </c>
      <c r="AC32" s="62">
        <f>IFERROR(Inv_SY_B!AC32/Inv_SY_B!$IS32-1,"")</f>
        <v>2.5327330593978292E-3</v>
      </c>
      <c r="AD32" s="62">
        <f>IFERROR(Inv_SY_B!AD32/Inv_SY_B!$IS32-1,"")</f>
        <v>2.1099474766243631E-2</v>
      </c>
      <c r="AE32" s="62">
        <f>IFERROR(Inv_SY_B!AE32/Inv_SY_B!$IS32-1,"")</f>
        <v>-1.9626378646211529E-2</v>
      </c>
      <c r="AF32" s="62">
        <f>IFERROR(Inv_SY_B!AF32/Inv_SY_B!$IS32-1,"")</f>
        <v>1.8146335311377548E-2</v>
      </c>
      <c r="AG32" s="62">
        <f>IFERROR(Inv_SY_B!AG32/Inv_SY_B!$IS32-1,"")</f>
        <v>7.5012977415116477E-3</v>
      </c>
      <c r="AH32" s="62">
        <f>IFERROR(Inv_SY_B!AH32/Inv_SY_B!$IS32-1,"")</f>
        <v>1.2446089386868531E-2</v>
      </c>
      <c r="AI32" s="62">
        <f>IFERROR(Inv_SY_B!AI32/Inv_SY_B!$IS32-1,"")</f>
        <v>-1.1443471694276841E-2</v>
      </c>
      <c r="AJ32" s="62">
        <f>IFERROR(Inv_SY_B!AJ32/Inv_SY_B!$IS32-1,"")</f>
        <v>7.1885993459142039E-3</v>
      </c>
      <c r="AK32" s="62">
        <f>IFERROR(Inv_SY_B!AK32/Inv_SY_B!$IS32-1,"")</f>
        <v>-2.3867224258722675E-2</v>
      </c>
      <c r="AL32" s="62">
        <f>IFERROR(Inv_SY_B!AL32/Inv_SY_B!$IS32-1,"")</f>
        <v>-1.9274546362701872E-2</v>
      </c>
      <c r="AM32" s="62">
        <f>IFERROR(Inv_SY_B!AM32/Inv_SY_B!$IS32-1,"")</f>
        <v>1.6463732598721137E-2</v>
      </c>
      <c r="AN32" s="62">
        <f>IFERROR(Inv_SY_B!AN32/Inv_SY_B!$IS32-1,"")</f>
        <v>-1.4904789401512852E-2</v>
      </c>
      <c r="AO32" s="62">
        <f>IFERROR(Inv_SY_B!AO32/Inv_SY_B!$IS32-1,"")</f>
        <v>-1.4904789401512852E-2</v>
      </c>
      <c r="AP32" s="62">
        <f>IFERROR(Inv_SY_B!AP32/Inv_SY_B!$IS32-1,"")</f>
        <v>-8.9555869531925403E-3</v>
      </c>
      <c r="AQ32" s="62">
        <f>IFERROR(Inv_SY_B!AQ32/Inv_SY_B!$IS32-1,"")</f>
        <v>-1.7222660485274099E-2</v>
      </c>
      <c r="AR32" s="62">
        <f>IFERROR(Inv_SY_B!AR32/Inv_SY_B!$IS32-1,"")</f>
        <v>-4.0880576772942545E-3</v>
      </c>
      <c r="AS32" s="62">
        <f>IFERROR(Inv_SY_B!AS32/Inv_SY_B!$IS32-1,"")</f>
        <v>-2.3403650041970425E-2</v>
      </c>
      <c r="AT32" s="62">
        <f>IFERROR(Inv_SY_B!AT32/Inv_SY_B!$IS32-1,"")</f>
        <v>-7.1785524556424729E-3</v>
      </c>
      <c r="AU32" s="62">
        <f>IFERROR(Inv_SY_B!AU32/Inv_SY_B!$IS32-1,"")</f>
        <v>-1.1041670928577663E-2</v>
      </c>
      <c r="AV32" s="62">
        <f>IFERROR(Inv_SY_B!AV32/Inv_SY_B!$IS32-1,"")</f>
        <v>5.1834266577504007E-3</v>
      </c>
      <c r="AW32" s="62">
        <f>IFERROR(Inv_SY_B!AW32/Inv_SY_B!$IS32-1,"")</f>
        <v>-1.7222660485274099E-2</v>
      </c>
      <c r="AX32" s="62">
        <f>IFERROR(Inv_SY_B!AX32/Inv_SY_B!$IS32-1,"")</f>
        <v>-1.8767907874448264E-2</v>
      </c>
      <c r="AY32" s="62">
        <f>IFERROR(Inv_SY_B!AY32/Inv_SY_B!$IS32-1,"")</f>
        <v>-1.9447816725684741E-2</v>
      </c>
      <c r="AZ32" s="62">
        <f>IFERROR(Inv_SY_B!AZ32/Inv_SY_B!$IS32-1,"")</f>
        <v>-2.0931254219291873E-2</v>
      </c>
      <c r="BA32" s="62">
        <f>IFERROR(Inv_SY_B!BA32/Inv_SY_B!$IS32-1,"")</f>
        <v>-1.9540531569035235E-2</v>
      </c>
      <c r="BB32" s="62">
        <f>IFERROR(Inv_SY_B!BB32/Inv_SY_B!$IS32-1,"")</f>
        <v>-3.7017458300007133E-3</v>
      </c>
      <c r="BC32" s="62">
        <f>IFERROR(Inv_SY_B!BC32/Inv_SY_B!$IS32-1,"")</f>
        <v>-2.2030096807149069E-2</v>
      </c>
      <c r="BD32" s="62">
        <f>IFERROR(Inv_SY_B!BD32/Inv_SY_B!$IS32-1,"")</f>
        <v>-1.2689934810363512E-2</v>
      </c>
      <c r="BE32" s="62">
        <f>IFERROR(Inv_SY_B!BE32/Inv_SY_B!$IS32-1,"")</f>
        <v>-1.5083087177186871E-2</v>
      </c>
      <c r="BF32" s="62">
        <f>IFERROR(Inv_SY_B!BF32/Inv_SY_B!$IS32-1,"")</f>
        <v>1.7802947002672154E-2</v>
      </c>
      <c r="BG32" s="62">
        <f>IFERROR(Inv_SY_B!BG32/Inv_SY_B!$IS32-1,"")</f>
        <v>1.4163030930395504E-2</v>
      </c>
      <c r="BH32" s="62">
        <f>IFERROR(Inv_SY_B!BH32/Inv_SY_B!$IS32-1,"")</f>
        <v>7.8876095888049669E-3</v>
      </c>
      <c r="BI32" s="62">
        <f>IFERROR(Inv_SY_B!BI32/Inv_SY_B!$IS32-1,"")</f>
        <v>1.8833111928788115E-2</v>
      </c>
      <c r="BJ32" s="62">
        <f>IFERROR(Inv_SY_B!BJ32/Inv_SY_B!$IS32-1,"")</f>
        <v>2.2129639692359593E-2</v>
      </c>
      <c r="BK32" s="62">
        <f>IFERROR(Inv_SY_B!BK32/Inv_SY_B!$IS32-1,"")</f>
        <v>7.6558224804290642E-3</v>
      </c>
      <c r="BL32" s="62">
        <f>IFERROR(Inv_SY_B!BL32/Inv_SY_B!$IS32-1,"")</f>
        <v>-1.3753220796833943E-2</v>
      </c>
      <c r="BM32" s="62">
        <f>IFERROR(Inv_SY_B!BM32/Inv_SY_B!$IS32-1,"")</f>
        <v>-1.5677413096100046E-2</v>
      </c>
      <c r="BN32" s="62">
        <f>IFERROR(Inv_SY_B!BN32/Inv_SY_B!$IS32-1,"")</f>
        <v>1.57167822933586E-2</v>
      </c>
      <c r="BO32" s="62">
        <f>IFERROR(Inv_SY_B!BO32/Inv_SY_B!$IS32-1,"")</f>
        <v>2.1289659060295785E-2</v>
      </c>
      <c r="BP32" s="62">
        <f>IFERROR(Inv_SY_B!BP32/Inv_SY_B!$IS32-1,"")</f>
        <v>2.7066506992131201E-2</v>
      </c>
      <c r="BQ32" s="62">
        <f>IFERROR(Inv_SY_B!BQ32/Inv_SY_B!$IS32-1,"")</f>
        <v>2.271604126568727E-2</v>
      </c>
      <c r="BR32" s="62">
        <f>IFERROR(Inv_SY_B!BR32/Inv_SY_B!$IS32-1,"")</f>
        <v>1.3943790702529713E-2</v>
      </c>
      <c r="BS32" s="62">
        <f>IFERROR(Inv_SY_B!BS32/Inv_SY_B!$IS32-1,"")</f>
        <v>5.956050352337483E-3</v>
      </c>
      <c r="BT32" s="62">
        <f>IFERROR(Inv_SY_B!BT32/Inv_SY_B!$IS32-1,"")</f>
        <v>1.1364416214446837E-2</v>
      </c>
      <c r="BU32" s="62">
        <f>IFERROR(Inv_SY_B!BU32/Inv_SY_B!$IS32-1,"")</f>
        <v>5.1834266577504007E-3</v>
      </c>
      <c r="BV32" s="62">
        <f>IFERROR(Inv_SY_B!BV32/Inv_SY_B!$IS32-1,"")</f>
        <v>1.3682287298207862E-2</v>
      </c>
      <c r="BW32" s="62">
        <f>IFERROR(Inv_SY_B!BW32/Inv_SY_B!$IS32-1,"")</f>
        <v>1.2137039909033698E-2</v>
      </c>
      <c r="BX32" s="62">
        <f>IFERROR(Inv_SY_B!BX32/Inv_SY_B!$IS32-1,"")</f>
        <v>2.1408524244078464E-2</v>
      </c>
      <c r="BY32" s="62">
        <f>IFERROR(Inv_SY_B!BY32/Inv_SY_B!$IS32-1,"")</f>
        <v>2.0275342825350595E-2</v>
      </c>
      <c r="BZ32" s="62">
        <f>IFERROR(Inv_SY_B!BZ32/Inv_SY_B!$IS32-1,"")</f>
        <v>1.6017327797404501E-2</v>
      </c>
      <c r="CA32" s="62">
        <f>IFERROR(Inv_SY_B!CA32/Inv_SY_B!$IS32-1,"")</f>
        <v>1.093518082856515E-2</v>
      </c>
      <c r="CB32" s="62">
        <f>IFERROR(Inv_SY_B!CB32/Inv_SY_B!$IS32-1,"")</f>
        <v>2.0635900549491382E-2</v>
      </c>
      <c r="CC32" s="62">
        <f>IFERROR(Inv_SY_B!CC32/Inv_SY_B!$IS32-1,"")</f>
        <v>1.9090653160317217E-2</v>
      </c>
      <c r="CD32" s="62">
        <f>IFERROR(Inv_SY_B!CD32/Inv_SY_B!$IS32-1,"")</f>
        <v>2.1289659060295785E-2</v>
      </c>
      <c r="CE32" s="62">
        <f>IFERROR(Inv_SY_B!CE32/Inv_SY_B!$IS32-1,"")</f>
        <v>2.3726395327839489E-2</v>
      </c>
      <c r="CF32" s="62">
        <f>IFERROR(Inv_SY_B!CF32/Inv_SY_B!$IS32-1,"")</f>
        <v>2.0635900549491382E-2</v>
      </c>
      <c r="CG32" s="62">
        <f>IFERROR(Inv_SY_B!CG32/Inv_SY_B!$IS32-1,"")</f>
        <v>2.6044266411600514E-2</v>
      </c>
      <c r="CH32" s="62">
        <f>IFERROR(Inv_SY_B!CH32/Inv_SY_B!$IS32-1,"")</f>
        <v>6.7286740469243433E-3</v>
      </c>
      <c r="CI32" s="62">
        <f>IFERROR(Inv_SY_B!CI32/Inv_SY_B!$IS32-1,"")</f>
        <v>-4.0880576772942545E-3</v>
      </c>
      <c r="CJ32" s="62">
        <f>IFERROR(Inv_SY_B!CJ32/Inv_SY_B!$IS32-1,"")</f>
        <v>2.7110308350717371E-3</v>
      </c>
      <c r="CK32" s="62">
        <f>IFERROR(Inv_SY_B!CK32/Inv_SY_B!$IS32-1,"")</f>
        <v>9.8191688252726728E-3</v>
      </c>
      <c r="CL32" s="62">
        <f>IFERROR(Inv_SY_B!CL32/Inv_SY_B!$IS32-1,"")</f>
        <v>1.290966360362078E-2</v>
      </c>
      <c r="CM32" s="62">
        <f>IFERROR(Inv_SY_B!CM32/Inv_SY_B!$IS32-1,"")</f>
        <v>2.6044266411600514E-2</v>
      </c>
      <c r="CN32" s="62">
        <f>IFERROR(Inv_SY_B!CN32/Inv_SY_B!$IS32-1,"")</f>
        <v>1.6000158381968888E-2</v>
      </c>
      <c r="CO32" s="62">
        <f>IFERROR(Inv_SY_B!CO32/Inv_SY_B!$IS32-1,"")</f>
        <v>1.4745417501959457E-2</v>
      </c>
      <c r="CP32" s="62">
        <f>IFERROR(Inv_SY_B!CP32/Inv_SY_B!$IS32-1,"")</f>
        <v>1.4870939136033989E-2</v>
      </c>
      <c r="CQ32" s="62">
        <f>IFERROR(Inv_SY_B!CQ32/Inv_SY_B!$IS32-1,"")</f>
        <v>-3.3154339827072832E-3</v>
      </c>
      <c r="CR32" s="62">
        <f>IFERROR(Inv_SY_B!CR32/Inv_SY_B!$IS32-1,"")</f>
        <v>1.2137039909033698E-2</v>
      </c>
      <c r="CS32" s="62">
        <f>IFERROR(Inv_SY_B!CS32/Inv_SY_B!$IS32-1,"")</f>
        <v>2.7349141984681191E-2</v>
      </c>
      <c r="CT32" s="62">
        <f>IFERROR(Inv_SY_B!CT32/Inv_SY_B!$IS32-1,"")</f>
        <v>1.2137039909033698E-2</v>
      </c>
      <c r="CU32" s="62">
        <f>IFERROR(Inv_SY_B!CU32/Inv_SY_B!$IS32-1,"")</f>
        <v>8.2739214360985081E-3</v>
      </c>
      <c r="CV32" s="62">
        <f>IFERROR(Inv_SY_B!CV32/Inv_SY_B!$IS32-1,"")</f>
        <v>1.3682287298207862E-2</v>
      </c>
      <c r="CW32" s="62">
        <f>IFERROR(Inv_SY_B!CW32/Inv_SY_B!$IS32-1,"")</f>
        <v>6.7286740469243433E-3</v>
      </c>
      <c r="CX32" s="62">
        <f>IFERROR(Inv_SY_B!CX32/Inv_SY_B!$IS32-1,"")</f>
        <v>2.0404113441115257E-2</v>
      </c>
      <c r="CY32" s="62">
        <f>IFERROR(Inv_SY_B!CY32/Inv_SY_B!$IS32-1,"")</f>
        <v>4.4108029631633183E-3</v>
      </c>
      <c r="CZ32" s="62">
        <f>IFERROR(Inv_SY_B!CZ32/Inv_SY_B!$IS32-1,"")</f>
        <v>-5.6333050664684192E-3</v>
      </c>
      <c r="DA32" s="62">
        <f>IFERROR(Inv_SY_B!DA32/Inv_SY_B!$IS32-1,"")</f>
        <v>7.5012977415116477E-3</v>
      </c>
      <c r="DB32" s="62">
        <f>IFERROR(Inv_SY_B!DB32/Inv_SY_B!$IS32-1,"")</f>
        <v>1.320308184815211E-3</v>
      </c>
      <c r="DC32" s="62">
        <f>IFERROR(Inv_SY_B!DC32/Inv_SY_B!$IS32-1,"")</f>
        <v>-2.4090426659381214E-2</v>
      </c>
      <c r="DD32" s="62">
        <f>IFERROR(Inv_SY_B!DD32/Inv_SY_B!$IS32-1,"")</f>
        <v>-1.7995284179861071E-2</v>
      </c>
      <c r="DE32" s="62">
        <f>IFERROR(Inv_SY_B!DE32/Inv_SY_B!$IS32-1,"")</f>
        <v>-1.8596213720095456E-2</v>
      </c>
      <c r="DF32" s="62">
        <f>IFERROR(Inv_SY_B!DF32/Inv_SY_B!$IS32-1,"")</f>
        <v>-2.6176203320036895E-2</v>
      </c>
      <c r="DG32" s="62">
        <f>IFERROR(Inv_SY_B!DG32/Inv_SY_B!$IS32-1,"")</f>
        <v>5.4924761355852336E-3</v>
      </c>
      <c r="DH32" s="62">
        <f>IFERROR(Inv_SY_B!DH32/Inv_SY_B!$IS32-1,"")</f>
        <v>-1.0835637943354515E-2</v>
      </c>
      <c r="DI32" s="62">
        <f>IFERROR(Inv_SY_B!DI32/Inv_SY_B!$IS32-1,"")</f>
        <v>-2.2214998204144187E-2</v>
      </c>
      <c r="DJ32" s="62">
        <f>IFERROR(Inv_SY_B!DJ32/Inv_SY_B!$IS32-1,"")</f>
        <v>-4.6704970778291832E-3</v>
      </c>
      <c r="DK32" s="62">
        <f>IFERROR(Inv_SY_B!DK32/Inv_SY_B!$IS32-1,"")</f>
        <v>-1.8664891381836579E-2</v>
      </c>
      <c r="DL32" s="62">
        <f>IFERROR(Inv_SY_B!DL32/Inv_SY_B!$IS32-1,"")</f>
        <v>-2.7043566114247297E-2</v>
      </c>
      <c r="DM32" s="62">
        <f>IFERROR(Inv_SY_B!DM32/Inv_SY_B!$IS32-1,"")</f>
        <v>2.2721984524876282E-2</v>
      </c>
      <c r="DN32" s="62">
        <f>IFERROR(Inv_SY_B!DN32/Inv_SY_B!$IS32-1,"")</f>
        <v>4.951639549374276E-3</v>
      </c>
      <c r="DO32" s="62">
        <f>IFERROR(Inv_SY_B!DO32/Inv_SY_B!$IS32-1,"")</f>
        <v>-2.686636901577022E-2</v>
      </c>
      <c r="DP32" s="62">
        <f>IFERROR(Inv_SY_B!DP32/Inv_SY_B!$IS32-1,"")</f>
        <v>-2.2716873424559636E-2</v>
      </c>
      <c r="DQ32" s="62">
        <f>IFERROR(Inv_SY_B!DQ32/Inv_SY_B!$IS32-1,"")</f>
        <v>-1.5162330633041954E-2</v>
      </c>
      <c r="DR32" s="62">
        <f>IFERROR(Inv_SY_B!DR32/Inv_SY_B!$IS32-1,"")</f>
        <v>1.731361866276715E-2</v>
      </c>
      <c r="DS32" s="62">
        <f>IFERROR(Inv_SY_B!DS32/Inv_SY_B!$IS32-1,"")</f>
        <v>1.9554227377069466E-2</v>
      </c>
      <c r="DT32" s="62">
        <f>IFERROR(Inv_SY_B!DT32/Inv_SY_B!$IS32-1,"")</f>
        <v>-1.8596213720095456E-2</v>
      </c>
      <c r="DU32" s="62">
        <f>IFERROR(Inv_SY_B!DU32/Inv_SY_B!$IS32-1,"")</f>
        <v>-1.1728447545988452E-2</v>
      </c>
      <c r="DV32" s="62">
        <f>IFERROR(Inv_SY_B!DV32/Inv_SY_B!$IS32-1,"")</f>
        <v>-2.0313155263622207E-2</v>
      </c>
      <c r="DW32" s="62">
        <f>IFERROR(Inv_SY_B!DW32/Inv_SY_B!$IS32-1,"")</f>
        <v>-1.6450036790687017E-2</v>
      </c>
      <c r="DX32" s="62">
        <f>IFERROR(Inv_SY_B!DX32/Inv_SY_B!$IS32-1,"")</f>
        <v>-2.2030096807149069E-2</v>
      </c>
      <c r="DY32" s="62">
        <f>IFERROR(Inv_SY_B!DY32/Inv_SY_B!$IS32-1,"")</f>
        <v>-1.7995284179861071E-2</v>
      </c>
      <c r="DZ32" s="62">
        <f>IFERROR(Inv_SY_B!DZ32/Inv_SY_B!$IS32-1,"")</f>
        <v>-1.3359542012338799E-2</v>
      </c>
      <c r="EA32" s="62">
        <f>IFERROR(Inv_SY_B!EA32/Inv_SY_B!$IS32-1,"")</f>
        <v>-2.134332018973828E-2</v>
      </c>
      <c r="EB32" s="62">
        <f>IFERROR(Inv_SY_B!EB32/Inv_SY_B!$IS32-1,"")</f>
        <v>-1.5162330633041954E-2</v>
      </c>
      <c r="EC32" s="62">
        <f>IFERROR(Inv_SY_B!EC32/Inv_SY_B!$IS32-1,"")</f>
        <v>-1.5083087177186871E-2</v>
      </c>
      <c r="ED32" s="62">
        <f>IFERROR(Inv_SY_B!ED32/Inv_SY_B!$IS32-1,"")</f>
        <v>-9.3775583556209297E-3</v>
      </c>
      <c r="EE32" s="62">
        <f>IFERROR(Inv_SY_B!EE32/Inv_SY_B!$IS32-1,"")</f>
        <v>-1.7222660485274099E-2</v>
      </c>
      <c r="EF32" s="62">
        <f>IFERROR(Inv_SY_B!EF32/Inv_SY_B!$IS32-1,"")</f>
        <v>-2.0511406642920171E-3</v>
      </c>
      <c r="EG32" s="62">
        <f>IFERROR(Inv_SY_B!EG32/Inv_SY_B!$IS32-1,"")</f>
        <v>-8.9399183607848931E-3</v>
      </c>
      <c r="EH32" s="62">
        <f>IFERROR(Inv_SY_B!EH32/Inv_SY_B!$IS32-1,"")</f>
        <v>-1.0959545892509692E-2</v>
      </c>
      <c r="EI32" s="62">
        <f>IFERROR(Inv_SY_B!EI32/Inv_SY_B!$IS32-1,"")</f>
        <v>-4.0351086408819681E-3</v>
      </c>
      <c r="EJ32" s="62">
        <f>IFERROR(Inv_SY_B!EJ32/Inv_SY_B!$IS32-1,"")</f>
        <v>-1.4710282737141478E-2</v>
      </c>
      <c r="EK32" s="62">
        <f>IFERROR(Inv_SY_B!EK32/Inv_SY_B!$IS32-1,"")</f>
        <v>-1.8928613602922306E-2</v>
      </c>
      <c r="EL32" s="62">
        <f>IFERROR(Inv_SY_B!EL32/Inv_SY_B!$IS32-1,"")</f>
        <v>-4.8606813718812258E-3</v>
      </c>
      <c r="EM32" s="62">
        <f>IFERROR(Inv_SY_B!EM32/Inv_SY_B!$IS32-1,"")</f>
        <v>-2.5067762614927158E-2</v>
      </c>
      <c r="EN32" s="62">
        <f>IFERROR(Inv_SY_B!EN32/Inv_SY_B!$IS32-1,"")</f>
        <v>-2.2214998204144187E-2</v>
      </c>
      <c r="EO32" s="62">
        <f>IFERROR(Inv_SY_B!EO32/Inv_SY_B!$IS32-1,"")</f>
        <v>-1.0269047233990691E-2</v>
      </c>
      <c r="EP32" s="62">
        <f>IFERROR(Inv_SY_B!EP32/Inv_SY_B!$IS32-1,"")</f>
        <v>-1.7935851587969842E-2</v>
      </c>
      <c r="EQ32" s="62">
        <f>IFERROR(Inv_SY_B!EQ32/Inv_SY_B!$IS32-1,"")</f>
        <v>-1.3359542012338799E-2</v>
      </c>
      <c r="ER32" s="62">
        <f>IFERROR(Inv_SY_B!ER32/Inv_SY_B!$IS32-1,"")</f>
        <v>-2.6494144820318644E-2</v>
      </c>
      <c r="ES32" s="62">
        <f>IFERROR(Inv_SY_B!ES32/Inv_SY_B!$IS32-1,"")</f>
        <v>-1.7995284179861071E-2</v>
      </c>
      <c r="ET32" s="62">
        <f>IFERROR(Inv_SY_B!ET32/Inv_SY_B!$IS32-1,"")</f>
        <v>-1.2165487211613368E-2</v>
      </c>
      <c r="EU32" s="62">
        <f>IFERROR(Inv_SY_B!EU32/Inv_SY_B!$IS32-1,"")</f>
        <v>-2.007542489605707E-2</v>
      </c>
      <c r="EV32" s="62">
        <f>IFERROR(Inv_SY_B!EV32/Inv_SY_B!$IS32-1,"")</f>
        <v>-1.5225725397726042E-2</v>
      </c>
      <c r="EW32" s="62">
        <f>IFERROR(Inv_SY_B!EW32/Inv_SY_B!$IS32-1,"")</f>
        <v>-2.3641380409535673E-2</v>
      </c>
      <c r="EX32" s="62">
        <f>IFERROR(Inv_SY_B!EX32/Inv_SY_B!$IS32-1,"")</f>
        <v>-1.2586918317751827E-2</v>
      </c>
      <c r="EY32" s="62">
        <f>IFERROR(Inv_SY_B!EY32/Inv_SY_B!$IS32-1,"")</f>
        <v>-2.2716873424559636E-2</v>
      </c>
      <c r="EZ32" s="62">
        <f>IFERROR(Inv_SY_B!EZ32/Inv_SY_B!$IS32-1,"")</f>
        <v>-1.3359542012338799E-2</v>
      </c>
      <c r="FA32" s="62">
        <f>IFERROR(Inv_SY_B!FA32/Inv_SY_B!$IS32-1,"")</f>
        <v>-2.1085778958209289E-2</v>
      </c>
      <c r="FB32" s="62">
        <f>IFERROR(Inv_SY_B!FB32/Inv_SY_B!$IS32-1,"")</f>
        <v>-2.3017338194676995E-2</v>
      </c>
      <c r="FC32" s="62">
        <f>IFERROR(Inv_SY_B!FC32/Inv_SY_B!$IS32-1,"")</f>
        <v>-1.0269047233990691E-2</v>
      </c>
      <c r="FD32" s="62">
        <f>IFERROR(Inv_SY_B!FD32/Inv_SY_B!$IS32-1,"")</f>
        <v>-1.8767907874448264E-2</v>
      </c>
      <c r="FE32" s="62">
        <f>IFERROR(Inv_SY_B!FE32/Inv_SY_B!$IS32-1,"")</f>
        <v>1.6605965597042971E-2</v>
      </c>
      <c r="FF32" s="62">
        <f>IFERROR(Inv_SY_B!FF32/Inv_SY_B!$IS32-1,"")</f>
        <v>1.9731579634236107E-2</v>
      </c>
      <c r="FG32" s="62">
        <f>IFERROR(Inv_SY_B!FG32/Inv_SY_B!$IS32-1,"")</f>
        <v>-1.3417293682439158E-2</v>
      </c>
      <c r="FH32" s="62">
        <f>IFERROR(Inv_SY_B!FH32/Inv_SY_B!$IS32-1,"")</f>
        <v>-1.0352455473747302E-2</v>
      </c>
      <c r="FI32" s="62">
        <f>IFERROR(Inv_SY_B!FI32/Inv_SY_B!$IS32-1,"")</f>
        <v>-1.5084287835608889E-2</v>
      </c>
      <c r="FJ32" s="62">
        <f>IFERROR(Inv_SY_B!FJ32/Inv_SY_B!$IS32-1,"")</f>
        <v>-2.425275567804186E-2</v>
      </c>
      <c r="FK32" s="62">
        <f>IFERROR(Inv_SY_B!FK32/Inv_SY_B!$IS32-1,"")</f>
        <v>2.5062488019893081E-2</v>
      </c>
      <c r="FL32" s="62">
        <f>IFERROR(Inv_SY_B!FL32/Inv_SY_B!$IS32-1,"")</f>
        <v>2.8720175176166762E-3</v>
      </c>
      <c r="FM32" s="62">
        <f>IFERROR(Inv_SY_B!FM32/Inv_SY_B!$IS32-1,"")</f>
        <v>-9.961753719098132E-3</v>
      </c>
      <c r="FN32" s="62">
        <f>IFERROR(Inv_SY_B!FN32/Inv_SY_B!$IS32-1,"")</f>
        <v>-2.1335515909995051E-2</v>
      </c>
      <c r="FO32" s="62">
        <f>IFERROR(Inv_SY_B!FO32/Inv_SY_B!$IS32-1,"")</f>
        <v>8.0105269947621238E-3</v>
      </c>
      <c r="FP32" s="62">
        <f>IFERROR(Inv_SY_B!FP32/Inv_SY_B!$IS32-1,"")</f>
        <v>-1.8057094075428104E-2</v>
      </c>
      <c r="FQ32" s="62">
        <f>IFERROR(Inv_SY_B!FQ32/Inv_SY_B!$IS32-1,"")</f>
        <v>1.3374080682585276E-2</v>
      </c>
      <c r="FR32" s="62">
        <f>IFERROR(Inv_SY_B!FR32/Inv_SY_B!$IS32-1,"")</f>
        <v>1.4574316472867332E-2</v>
      </c>
      <c r="FS32" s="62">
        <f>IFERROR(Inv_SY_B!FS32/Inv_SY_B!$IS32-1,"")</f>
        <v>-1.7168030527070832E-2</v>
      </c>
      <c r="FT32" s="62">
        <f>IFERROR(Inv_SY_B!FT32/Inv_SY_B!$IS32-1,"")</f>
        <v>-9.0553256483120181E-3</v>
      </c>
      <c r="FU32" s="62">
        <f>IFERROR(Inv_SY_B!FU32/Inv_SY_B!$IS32-1,"")</f>
        <v>8.8092950264893055E-3</v>
      </c>
      <c r="FV32" s="62">
        <f>IFERROR(Inv_SY_B!FV32/Inv_SY_B!$IS32-1,"")</f>
        <v>-5.2733326633084276E-3</v>
      </c>
      <c r="FW32" s="62">
        <f>IFERROR(Inv_SY_B!FW32/Inv_SY_B!$IS32-1,"")</f>
        <v>-4.4919291540100881E-3</v>
      </c>
      <c r="FX32" s="62">
        <f>IFERROR(Inv_SY_B!FX32/Inv_SY_B!$IS32-1,"")</f>
        <v>-7.6175431912032243E-3</v>
      </c>
      <c r="FY32" s="62">
        <f>IFERROR(Inv_SY_B!FY32/Inv_SY_B!$IS32-1,"")</f>
        <v>-7.4438979669148031E-3</v>
      </c>
      <c r="FZ32" s="62">
        <f>IFERROR(Inv_SY_B!FZ32/Inv_SY_B!$IS32-1,"")</f>
        <v>-1.9338595830677208E-2</v>
      </c>
      <c r="GA32" s="62">
        <f>IFERROR(Inv_SY_B!GA32/Inv_SY_B!$IS32-1,"")</f>
        <v>-2.2644533754631491E-2</v>
      </c>
      <c r="GB32" s="62">
        <f>IFERROR(Inv_SY_B!GB32/Inv_SY_B!$IS32-1,"")</f>
        <v>-2.2724677704303087E-2</v>
      </c>
      <c r="GC32" s="62">
        <f>IFERROR(Inv_SY_B!GC32/Inv_SY_B!$IS32-1,"")</f>
        <v>-1.0916802452684782E-2</v>
      </c>
      <c r="GD32" s="62">
        <f>IFERROR(Inv_SY_B!GD32/Inv_SY_B!$IS32-1,"")</f>
        <v>1.5699537526256968E-2</v>
      </c>
      <c r="GE32" s="62">
        <f>IFERROR(Inv_SY_B!GE32/Inv_SY_B!$IS32-1,"")</f>
        <v>-1.1103805001918654E-2</v>
      </c>
      <c r="GF32" s="62">
        <f>IFERROR(Inv_SY_B!GF32/Inv_SY_B!$IS32-1,"")</f>
        <v>-1.9251773218532997E-2</v>
      </c>
      <c r="GG32" s="62">
        <f>IFERROR(Inv_SY_B!GG32/Inv_SY_B!$IS32-1,"")</f>
        <v>-1.5281548810400558E-2</v>
      </c>
      <c r="GH32" s="62">
        <f>IFERROR(Inv_SY_B!GH32/Inv_SY_B!$IS32-1,"")</f>
        <v>1.4467375166566931E-3</v>
      </c>
      <c r="GI32" s="62">
        <f>IFERROR(Inv_SY_B!GI32/Inv_SY_B!$IS32-1,"")</f>
        <v>-1.6106710916219624E-2</v>
      </c>
      <c r="GJ32" s="62">
        <f>IFERROR(Inv_SY_B!GJ32/Inv_SY_B!$IS32-1,"")</f>
        <v>-1.9759351566453254E-2</v>
      </c>
      <c r="GK32" s="62">
        <f>IFERROR(Inv_SY_B!GK32/Inv_SY_B!$IS32-1,"")</f>
        <v>1.7592989203760734E-3</v>
      </c>
      <c r="GL32" s="62">
        <f>IFERROR(Inv_SY_B!GL32/Inv_SY_B!$IS32-1,"")</f>
        <v>2.1372527003762354E-2</v>
      </c>
      <c r="GM32" s="62">
        <f>IFERROR(Inv_SY_B!GM32/Inv_SY_B!$IS32-1,"")</f>
        <v>-1.9338595830677208E-2</v>
      </c>
      <c r="GN32" s="62">
        <f>IFERROR(Inv_SY_B!GN32/Inv_SY_B!$IS32-1,"")</f>
        <v>1.4418035771007975E-2</v>
      </c>
      <c r="GO32" s="62">
        <f>IFERROR(Inv_SY_B!GO32/Inv_SY_B!$IS32-1,"")</f>
        <v>1.6605965597042971E-2</v>
      </c>
      <c r="GP32" s="62">
        <f>IFERROR(Inv_SY_B!GP32/Inv_SY_B!$IS32-1,"")</f>
        <v>-2.426143793925617E-2</v>
      </c>
      <c r="GQ32" s="62">
        <f>IFERROR(Inv_SY_B!GQ32/Inv_SY_B!$IS32-1,"")</f>
        <v>-1.205591512401738E-2</v>
      </c>
      <c r="GR32" s="62">
        <f>IFERROR(Inv_SY_B!GR32/Inv_SY_B!$IS32-1,"")</f>
        <v>1.7387369106341088E-2</v>
      </c>
      <c r="GS32" s="62" t="str">
        <f>IFERROR(Inv_SY_B!GS32/Inv_SY_B!$IS32-1,"")</f>
        <v/>
      </c>
      <c r="GT32" s="62" t="str">
        <f>IFERROR(Inv_SY_B!GT32/Inv_SY_B!$IS32-1,"")</f>
        <v/>
      </c>
      <c r="GU32" s="62">
        <f>IFERROR(Inv_SY_B!GU32/Inv_SY_B!$IS32-1,"")</f>
        <v>3.3266972875774403E-2</v>
      </c>
      <c r="GV32" s="62">
        <f>IFERROR(Inv_SY_B!GV32/Inv_SY_B!$IS32-1,"")</f>
        <v>1.378757258637231E-3</v>
      </c>
      <c r="GW32" s="62">
        <f>IFERROR(Inv_SY_B!GW32/Inv_SY_B!$IS32-1,"")</f>
        <v>-4.453811909654104E-3</v>
      </c>
      <c r="GX32" s="62" t="str">
        <f>IFERROR(Inv_SY_B!GX32/Inv_SY_B!$IS32-1,"")</f>
        <v/>
      </c>
      <c r="GY32" s="62">
        <f>IFERROR(Inv_SY_B!GY32/Inv_SY_B!$IS32-1,"")</f>
        <v>-2.0789773776516918E-2</v>
      </c>
      <c r="GZ32" s="62">
        <f>IFERROR(Inv_SY_B!GZ32/Inv_SY_B!$IS32-1,"")</f>
        <v>2.0929318794020713E-3</v>
      </c>
      <c r="HA32" s="62">
        <f>IFERROR(Inv_SY_B!HA32/Inv_SY_B!$IS32-1,"")</f>
        <v>5.6470008745026501E-3</v>
      </c>
      <c r="HB32" s="62">
        <f>IFERROR(Inv_SY_B!HB32/Inv_SY_B!$IS32-1,"")</f>
        <v>-3.5472210910832969E-3</v>
      </c>
      <c r="HC32" s="62">
        <f>IFERROR(Inv_SY_B!HC32/Inv_SY_B!$IS32-1,"")</f>
        <v>-4.3198447856703792E-3</v>
      </c>
      <c r="HD32" s="62">
        <f>IFERROR(Inv_SY_B!HD32/Inv_SY_B!$IS32-1,"")</f>
        <v>-9.4964235394036089E-3</v>
      </c>
      <c r="HE32" s="62">
        <f>IFERROR(Inv_SY_B!HE32/Inv_SY_B!$IS32-1,"")</f>
        <v>-4.0880576772942545E-3</v>
      </c>
      <c r="HF32" s="62">
        <f>IFERROR(Inv_SY_B!HF32/Inv_SY_B!$IS32-1,"")</f>
        <v>-1.2586918317751827E-2</v>
      </c>
      <c r="HG32" s="62">
        <f>IFERROR(Inv_SY_B!HG32/Inv_SY_B!$IS32-1,"")</f>
        <v>3.638179268576236E-3</v>
      </c>
      <c r="HH32" s="62">
        <f>IFERROR(Inv_SY_B!HH32/Inv_SY_B!$IS32-1,"")</f>
        <v>-2.5428102881202008E-3</v>
      </c>
      <c r="HI32" s="62">
        <f>IFERROR(Inv_SY_B!HI32/Inv_SY_B!$IS32-1,"")</f>
        <v>-1.590920020447617E-2</v>
      </c>
      <c r="HJ32" s="62">
        <f>IFERROR(Inv_SY_B!HJ32/Inv_SY_B!$IS32-1,"")</f>
        <v>5.1834266577504007E-3</v>
      </c>
      <c r="HK32" s="62">
        <f>IFERROR(Inv_SY_B!HK32/Inv_SY_B!$IS32-1,"")</f>
        <v>-1.5505718941747237E-2</v>
      </c>
      <c r="HL32" s="62">
        <f>IFERROR(Inv_SY_B!HL32/Inv_SY_B!$IS32-1,"")</f>
        <v>1.6154683120886304E-2</v>
      </c>
      <c r="HM32" s="62">
        <f>IFERROR(Inv_SY_B!HM32/Inv_SY_B!$IS32-1,"")</f>
        <v>1.7133316733859871E-2</v>
      </c>
      <c r="HN32" s="62">
        <f>IFERROR(Inv_SY_B!HN32/Inv_SY_B!$IS32-1,"")</f>
        <v>5.593404271280833E-2</v>
      </c>
      <c r="HO32" s="62">
        <f>IFERROR(Inv_SY_B!HO32/Inv_SY_B!$IS32-1,"")</f>
        <v>4.2230611712306798E-2</v>
      </c>
      <c r="HP32" s="62">
        <f>IFERROR(Inv_SY_B!HP32/Inv_SY_B!$IS32-1,"")</f>
        <v>3.5979383637920748E-2</v>
      </c>
      <c r="HQ32" s="62">
        <f>IFERROR(Inv_SY_B!HQ32/Inv_SY_B!$IS32-1,"")</f>
        <v>-1.7366482211972123E-2</v>
      </c>
      <c r="HR32" s="62">
        <f>IFERROR(Inv_SY_B!HR32/Inv_SY_B!$IS32-1,"")</f>
        <v>4.8324548317335569E-4</v>
      </c>
      <c r="HS32" s="62">
        <f>IFERROR(Inv_SY_B!HS32/Inv_SY_B!$IS32-1,"")</f>
        <v>1.170437064006502E-2</v>
      </c>
      <c r="HT32" s="62">
        <f>IFERROR(Inv_SY_B!HT32/Inv_SY_B!$IS32-1,"")</f>
        <v>1.5467906503475515E-2</v>
      </c>
      <c r="HU32" s="62">
        <f>IFERROR(Inv_SY_B!HU32/Inv_SY_B!$IS32-1,"")</f>
        <v>4.1730725955979597E-3</v>
      </c>
      <c r="HV32" s="62">
        <f>IFERROR(Inv_SY_B!HV32/Inv_SY_B!$IS32-1,"")</f>
        <v>-1.572495916961314E-2</v>
      </c>
      <c r="HW32" s="62">
        <f>IFERROR(Inv_SY_B!HW32/Inv_SY_B!$IS32-1,"")</f>
        <v>4.5526745494307574E-2</v>
      </c>
      <c r="HX32" s="62">
        <f>IFERROR(Inv_SY_B!HX32/Inv_SY_B!$IS32-1,"")</f>
        <v>1.1091026291746742E-2</v>
      </c>
      <c r="HY32" s="62">
        <f>IFERROR(Inv_SY_B!HY32/Inv_SY_B!$IS32-1,"")</f>
        <v>9.6303052554846946E-3</v>
      </c>
      <c r="HZ32" s="62">
        <f>IFERROR(Inv_SY_B!HZ32/Inv_SY_B!$IS32-1,"")</f>
        <v>-1.6261173220898928E-2</v>
      </c>
      <c r="IA32" s="62">
        <f>IFERROR(Inv_SY_B!IA32/Inv_SY_B!$IS32-1,"")</f>
        <v>-5.2480364526508172E-4</v>
      </c>
      <c r="IB32" s="62">
        <f>IFERROR(Inv_SY_B!IB32/Inv_SY_B!$IS32-1,"")</f>
        <v>-1.5357158902348123E-2</v>
      </c>
      <c r="IC32" s="62">
        <f>IFERROR(Inv_SY_B!IC32/Inv_SY_B!$IS32-1,"")</f>
        <v>5.8065683787926758E-3</v>
      </c>
      <c r="ID32" s="62">
        <f>IFERROR(Inv_SY_B!ID32/Inv_SY_B!$IS32-1,"")</f>
        <v>-1.3695126041300854E-2</v>
      </c>
      <c r="IE32" s="62">
        <f>IFERROR(Inv_SY_B!IE32/Inv_SY_B!$IS32-1,"")</f>
        <v>-9.0553256483120181E-3</v>
      </c>
      <c r="IF32" s="62" t="str">
        <f>IFERROR(Inv_SY_B!IF32/Inv_SY_B!$IS32-1,"")</f>
        <v/>
      </c>
      <c r="IG32" s="62">
        <f>IFERROR(Inv_SY_B!IG32/Inv_SY_B!$IS32-1,"")</f>
        <v>-6.7925686399202823E-3</v>
      </c>
      <c r="IH32" s="62">
        <f>IFERROR(Inv_SY_B!IH32/Inv_SY_B!$IS32-1,"")</f>
        <v>-1.2737083424536833E-2</v>
      </c>
      <c r="II32" s="62">
        <f>IFERROR(Inv_SY_B!II32/Inv_SY_B!$IS32-1,"")</f>
        <v>5.7946065952594328E-3</v>
      </c>
      <c r="IJ32" s="62">
        <f>IFERROR(Inv_SY_B!IJ32/Inv_SY_B!$IS32-1,"")</f>
        <v>-1.4466882593694219E-2</v>
      </c>
      <c r="IK32" s="62">
        <f>IFERROR(Inv_SY_B!IK32/Inv_SY_B!$IS32-1,"")</f>
        <v>5.0051288820764928E-3</v>
      </c>
      <c r="IL32" s="62" t="str">
        <f>IFERROR(Inv_SY_B!IL32/Inv_SY_B!$IS32-1,"")</f>
        <v/>
      </c>
      <c r="IM32" s="62" t="str">
        <f>IFERROR(Inv_SY_B!IM32/Inv_SY_B!$IS32-1,"")</f>
        <v/>
      </c>
      <c r="IN32" s="62">
        <f>IFERROR(Inv_SY_B!IN32/Inv_SY_B!$IS32-1,"")</f>
        <v>3.899721788072763E-2</v>
      </c>
      <c r="IO32" s="62">
        <f>IFERROR(Inv_SY_B!IO32/Inv_SY_B!$IS32-1,"")</f>
        <v>2.6602541526341339E-2</v>
      </c>
      <c r="IP32" s="62">
        <f>IFERROR(Inv_SY_B!IP32/Inv_SY_B!$IS32-1,"")</f>
        <v>2.0920745739522628E-2</v>
      </c>
      <c r="IQ32" s="62">
        <f>IFERROR(Inv_SY_B!IQ32/Inv_SY_B!$IS32-1,"")</f>
        <v>-1.1023661052246836E-2</v>
      </c>
      <c r="IR32" s="62">
        <f>IFERROR(Inv_SY_B!IR32/Inv_SY_B!$IS32-1,"")</f>
        <v>-1.2166011379655894E-2</v>
      </c>
    </row>
    <row r="33" spans="2:252" x14ac:dyDescent="0.25">
      <c r="B33" s="85">
        <f t="shared" si="0"/>
        <v>45859</v>
      </c>
      <c r="C33" s="62">
        <f>IFERROR(Inv_SY_B!C33/Inv_SY_B!$IS33-1,"")</f>
        <v>-2.6541794918308881E-3</v>
      </c>
      <c r="D33" s="62">
        <f>IFERROR(Inv_SY_B!D33/Inv_SY_B!$IS33-1,"")</f>
        <v>2.4434225509625707E-2</v>
      </c>
      <c r="E33" s="62">
        <f>IFERROR(Inv_SY_B!E33/Inv_SY_B!$IS33-1,"")</f>
        <v>1.9098630585096199E-2</v>
      </c>
      <c r="F33" s="62">
        <f>IFERROR(Inv_SY_B!F33/Inv_SY_B!$IS33-1,"")</f>
        <v>9.7613394671700604E-3</v>
      </c>
      <c r="G33" s="62">
        <f>IFERROR(Inv_SY_B!G33/Inv_SY_B!$IS33-1,"")</f>
        <v>1.0890023008897298E-2</v>
      </c>
      <c r="H33" s="62">
        <f>IFERROR(Inv_SY_B!H33/Inv_SY_B!$IS33-1,"")</f>
        <v>4.2404834924392176E-4</v>
      </c>
      <c r="I33" s="62">
        <f>IFERROR(Inv_SY_B!I33/Inv_SY_B!$IS33-1,"")</f>
        <v>1.9098630585096199E-2</v>
      </c>
      <c r="J33" s="62">
        <f>IFERROR(Inv_SY_B!J33/Inv_SY_B!$IS33-1,"")</f>
        <v>2.843592170302256E-2</v>
      </c>
      <c r="K33" s="62">
        <f>IFERROR(Inv_SY_B!K33/Inv_SY_B!$IS33-1,"")</f>
        <v>7.7871693450941581E-3</v>
      </c>
      <c r="L33" s="62">
        <f>IFERROR(Inv_SY_B!L33/Inv_SY_B!$IS33-1,"")</f>
        <v>1.1756851968943938E-2</v>
      </c>
      <c r="M33" s="62">
        <f>IFERROR(Inv_SY_B!M33/Inv_SY_B!$IS33-1,"")</f>
        <v>2.0432529316228631E-2</v>
      </c>
      <c r="N33" s="62">
        <f>IFERROR(Inv_SY_B!N33/Inv_SY_B!$IS33-1,"")</f>
        <v>-3.5776478441532644E-3</v>
      </c>
      <c r="O33" s="62">
        <f>IFERROR(Inv_SY_B!O33/Inv_SY_B!$IS33-1,"")</f>
        <v>1.7764731853963989E-2</v>
      </c>
      <c r="P33" s="62">
        <f>IFERROR(Inv_SY_B!P33/Inv_SY_B!$IS33-1,"")</f>
        <v>4.0619539796045157E-3</v>
      </c>
      <c r="Q33" s="62">
        <f>IFERROR(Inv_SY_B!Q33/Inv_SY_B!$IS33-1,"")</f>
        <v>1.723117236151106E-2</v>
      </c>
      <c r="R33" s="62">
        <f>IFERROR(Inv_SY_B!R33/Inv_SY_B!$IS33-1,"")</f>
        <v>1.0961848325188983E-2</v>
      </c>
      <c r="S33" s="62">
        <f>IFERROR(Inv_SY_B!S33/Inv_SY_B!$IS33-1,"")</f>
        <v>-1.7450194647929407E-2</v>
      </c>
      <c r="T33" s="62">
        <f>IFERROR(Inv_SY_B!T33/Inv_SY_B!$IS33-1,"")</f>
        <v>1.5363714137925921E-2</v>
      </c>
      <c r="U33" s="62">
        <f>IFERROR(Inv_SY_B!U33/Inv_SY_B!$IS33-1,"")</f>
        <v>3.7485344176044766E-3</v>
      </c>
      <c r="V33" s="62">
        <f>IFERROR(Inv_SY_B!V33/Inv_SY_B!$IS33-1,"")</f>
        <v>1.5692058440973877E-2</v>
      </c>
      <c r="W33" s="62">
        <f>IFERROR(Inv_SY_B!W33/Inv_SY_B!$IS33-1,"")</f>
        <v>-3.5776478441532644E-3</v>
      </c>
      <c r="X33" s="62">
        <f>IFERROR(Inv_SY_B!X33/Inv_SY_B!$IS33-1,"")</f>
        <v>1.1095238198302271E-2</v>
      </c>
      <c r="Y33" s="62">
        <f>IFERROR(Inv_SY_B!Y33/Inv_SY_B!$IS33-1,"")</f>
        <v>-3.8854706282607232E-3</v>
      </c>
      <c r="Z33" s="62">
        <f>IFERROR(Inv_SY_B!Z33/Inv_SY_B!$IS33-1,"")</f>
        <v>7.2047028949540071E-4</v>
      </c>
      <c r="AA33" s="62">
        <f>IFERROR(Inv_SY_B!AA33/Inv_SY_B!$IS33-1,"")</f>
        <v>4.7335673267483447E-3</v>
      </c>
      <c r="AB33" s="62">
        <f>IFERROR(Inv_SY_B!AB33/Inv_SY_B!$IS33-1,"")</f>
        <v>2.2709850538884524E-3</v>
      </c>
      <c r="AC33" s="62">
        <f>IFERROR(Inv_SY_B!AC33/Inv_SY_B!$IS33-1,"")</f>
        <v>-2.6048711083997755E-2</v>
      </c>
      <c r="AD33" s="62">
        <f>IFERROR(Inv_SY_B!AD33/Inv_SY_B!$IS33-1,"")</f>
        <v>1.3525898108365686E-2</v>
      </c>
      <c r="AE33" s="62">
        <f>IFERROR(Inv_SY_B!AE33/Inv_SY_B!$IS33-1,"")</f>
        <v>-2.9514567616170662E-2</v>
      </c>
      <c r="AF33" s="62">
        <f>IFERROR(Inv_SY_B!AF33/Inv_SY_B!$IS33-1,"")</f>
        <v>1.447444831717104E-2</v>
      </c>
      <c r="AG33" s="62">
        <f>IFERROR(Inv_SY_B!AG33/Inv_SY_B!$IS33-1,"")</f>
        <v>-2.8921723735667371E-2</v>
      </c>
      <c r="AH33" s="62">
        <f>IFERROR(Inv_SY_B!AH33/Inv_SY_B!$IS33-1,"")</f>
        <v>-4.6521747151107018E-4</v>
      </c>
      <c r="AI33" s="62">
        <f>IFERROR(Inv_SY_B!AI33/Inv_SY_B!$IS33-1,"")</f>
        <v>-1.8064920619776825E-2</v>
      </c>
      <c r="AJ33" s="62">
        <f>IFERROR(Inv_SY_B!AJ33/Inv_SY_B!$IS33-1,"")</f>
        <v>-6.7587899832474152E-3</v>
      </c>
      <c r="AK33" s="62">
        <f>IFERROR(Inv_SY_B!AK33/Inv_SY_B!$IS33-1,"")</f>
        <v>-4.3779870828325462E-3</v>
      </c>
      <c r="AL33" s="62">
        <f>IFERROR(Inv_SY_B!AL33/Inv_SY_B!$IS33-1,"")</f>
        <v>-8.6396797301463435E-3</v>
      </c>
      <c r="AM33" s="62">
        <f>IFERROR(Inv_SY_B!AM33/Inv_SY_B!$IS33-1,"")</f>
        <v>-1.1714430104060369E-2</v>
      </c>
      <c r="AN33" s="62">
        <f>IFERROR(Inv_SY_B!AN33/Inv_SY_B!$IS33-1,"")</f>
        <v>-2.0918331348873442E-2</v>
      </c>
      <c r="AO33" s="62">
        <f>IFERROR(Inv_SY_B!AO33/Inv_SY_B!$IS33-1,"")</f>
        <v>-2.6253926273402728E-2</v>
      </c>
      <c r="AP33" s="62">
        <f>IFERROR(Inv_SY_B!AP33/Inv_SY_B!$IS33-1,"")</f>
        <v>-9.980361753588296E-3</v>
      </c>
      <c r="AQ33" s="62">
        <f>IFERROR(Inv_SY_B!AQ33/Inv_SY_B!$IS33-1,"")</f>
        <v>-2.4920027542270518E-2</v>
      </c>
      <c r="AR33" s="62">
        <f>IFERROR(Inv_SY_B!AR33/Inv_SY_B!$IS33-1,"")</f>
        <v>3.7587951770745587E-3</v>
      </c>
      <c r="AS33" s="62">
        <f>IFERROR(Inv_SY_B!AS33/Inv_SY_B!$IS33-1,"")</f>
        <v>-1.4248837693211835E-2</v>
      </c>
      <c r="AT33" s="62">
        <f>IFERROR(Inv_SY_B!AT33/Inv_SY_B!$IS33-1,"")</f>
        <v>3.3586255577349178E-3</v>
      </c>
      <c r="AU33" s="62">
        <f>IFERROR(Inv_SY_B!AU33/Inv_SY_B!$IS33-1,"")</f>
        <v>-7.5793440375501175E-3</v>
      </c>
      <c r="AV33" s="62">
        <f>IFERROR(Inv_SY_B!AV33/Inv_SY_B!$IS33-1,"")</f>
        <v>-9.0985038188851064E-4</v>
      </c>
      <c r="AW33" s="62">
        <f>IFERROR(Inv_SY_B!AW33/Inv_SY_B!$IS33-1,"")</f>
        <v>-1.742967312898891E-2</v>
      </c>
      <c r="AX33" s="62">
        <f>IFERROR(Inv_SY_B!AX33/Inv_SY_B!$IS33-1,"")</f>
        <v>-2.0918331348873442E-2</v>
      </c>
      <c r="AY33" s="62">
        <f>IFERROR(Inv_SY_B!AY33/Inv_SY_B!$IS33-1,"")</f>
        <v>-1.7823686292646412E-2</v>
      </c>
      <c r="AZ33" s="62">
        <f>IFERROR(Inv_SY_B!AZ33/Inv_SY_B!$IS33-1,"")</f>
        <v>-1.270151516509832E-2</v>
      </c>
      <c r="BA33" s="62">
        <f>IFERROR(Inv_SY_B!BA33/Inv_SY_B!$IS33-1,"")</f>
        <v>-3.0255622466799581E-2</v>
      </c>
      <c r="BB33" s="62">
        <f>IFERROR(Inv_SY_B!BB33/Inv_SY_B!$IS33-1,"")</f>
        <v>-2.758782500453516E-2</v>
      </c>
      <c r="BC33" s="62">
        <f>IFERROR(Inv_SY_B!BC33/Inv_SY_B!$IS33-1,"")</f>
        <v>-2.836592993524123E-3</v>
      </c>
      <c r="BD33" s="62">
        <f>IFERROR(Inv_SY_B!BD33/Inv_SY_B!$IS33-1,"")</f>
        <v>-3.0225980272774455E-2</v>
      </c>
      <c r="BE33" s="62">
        <f>IFERROR(Inv_SY_B!BE33/Inv_SY_B!$IS33-1,"")</f>
        <v>-1.742967312898891E-2</v>
      </c>
      <c r="BF33" s="62">
        <f>IFERROR(Inv_SY_B!BF33/Inv_SY_B!$IS33-1,"")</f>
        <v>7.5974593033332205E-3</v>
      </c>
      <c r="BG33" s="62">
        <f>IFERROR(Inv_SY_B!BG33/Inv_SY_B!$IS33-1,"")</f>
        <v>7.7160280794339453E-3</v>
      </c>
      <c r="BH33" s="62">
        <f>IFERROR(Inv_SY_B!BH33/Inv_SY_B!$IS33-1,"")</f>
        <v>-1.4248837693211835E-2</v>
      </c>
      <c r="BI33" s="62">
        <f>IFERROR(Inv_SY_B!BI33/Inv_SY_B!$IS33-1,"")</f>
        <v>-4.6521747151107018E-4</v>
      </c>
      <c r="BJ33" s="62">
        <f>IFERROR(Inv_SY_B!BJ33/Inv_SY_B!$IS33-1,"")</f>
        <v>-5.2079685155371758E-3</v>
      </c>
      <c r="BK33" s="62">
        <f>IFERROR(Inv_SY_B!BK33/Inv_SY_B!$IS33-1,"")</f>
        <v>-2.2385619953119051E-2</v>
      </c>
      <c r="BL33" s="62">
        <f>IFERROR(Inv_SY_B!BL33/Inv_SY_B!$IS33-1,"")</f>
        <v>2.0841698881572945E-3</v>
      </c>
      <c r="BM33" s="62">
        <f>IFERROR(Inv_SY_B!BM33/Inv_SY_B!$IS33-1,"")</f>
        <v>4.4257445426407749E-3</v>
      </c>
      <c r="BN33" s="62">
        <f>IFERROR(Inv_SY_B!BN33/Inv_SY_B!$IS33-1,"")</f>
        <v>2.7143837979135776E-2</v>
      </c>
      <c r="BO33" s="62">
        <f>IFERROR(Inv_SY_B!BO33/Inv_SY_B!$IS33-1,"")</f>
        <v>2.5665516646055542E-2</v>
      </c>
      <c r="BP33" s="62">
        <f>IFERROR(Inv_SY_B!BP33/Inv_SY_B!$IS33-1,"")</f>
        <v>2.1232868554908135E-2</v>
      </c>
      <c r="BQ33" s="62">
        <f>IFERROR(Inv_SY_B!BQ33/Inv_SY_B!$IS33-1,"")</f>
        <v>3.0713810305417866E-2</v>
      </c>
      <c r="BR33" s="62">
        <f>IFERROR(Inv_SY_B!BR33/Inv_SY_B!$IS33-1,"")</f>
        <v>9.5356027588244796E-3</v>
      </c>
      <c r="BS33" s="62">
        <f>IFERROR(Inv_SY_B!BS33/Inv_SY_B!$IS33-1,"")</f>
        <v>2.0699309062455207E-2</v>
      </c>
      <c r="BT33" s="62">
        <f>IFERROR(Inv_SY_B!BT33/Inv_SY_B!$IS33-1,"")</f>
        <v>1.7631341980850701E-2</v>
      </c>
      <c r="BU33" s="62">
        <f>IFERROR(Inv_SY_B!BU33/Inv_SY_B!$IS33-1,"")</f>
        <v>2.1633038174247776E-2</v>
      </c>
      <c r="BV33" s="62">
        <f>IFERROR(Inv_SY_B!BV33/Inv_SY_B!$IS33-1,"")</f>
        <v>1.9098630585096199E-2</v>
      </c>
      <c r="BW33" s="62">
        <f>IFERROR(Inv_SY_B!BW33/Inv_SY_B!$IS33-1,"")</f>
        <v>4.0441010283213563E-2</v>
      </c>
      <c r="BX33" s="62">
        <f>IFERROR(Inv_SY_B!BX33/Inv_SY_B!$IS33-1,"")</f>
        <v>2.8969481195475488E-2</v>
      </c>
      <c r="BY33" s="62">
        <f>IFERROR(Inv_SY_B!BY33/Inv_SY_B!$IS33-1,"")</f>
        <v>3.2496902284469886E-2</v>
      </c>
      <c r="BZ33" s="62">
        <f>IFERROR(Inv_SY_B!BZ33/Inv_SY_B!$IS33-1,"")</f>
        <v>1.9810043241700326E-2</v>
      </c>
      <c r="CA33" s="62">
        <f>IFERROR(Inv_SY_B!CA33/Inv_SY_B!$IS33-1,"")</f>
        <v>3.2852608612771839E-2</v>
      </c>
      <c r="CB33" s="62">
        <f>IFERROR(Inv_SY_B!CB33/Inv_SY_B!$IS33-1,"")</f>
        <v>2.3100326778493274E-2</v>
      </c>
      <c r="CC33" s="62">
        <f>IFERROR(Inv_SY_B!CC33/Inv_SY_B!$IS33-1,"")</f>
        <v>1.4830154645472771E-2</v>
      </c>
      <c r="CD33" s="62">
        <f>IFERROR(Inv_SY_B!CD33/Inv_SY_B!$IS33-1,"")</f>
        <v>9.5356027588244796E-3</v>
      </c>
      <c r="CE33" s="62">
        <f>IFERROR(Inv_SY_B!CE33/Inv_SY_B!$IS33-1,"")</f>
        <v>1.349625591434056E-2</v>
      </c>
      <c r="CF33" s="62">
        <f>IFERROR(Inv_SY_B!CF33/Inv_SY_B!$IS33-1,"")</f>
        <v>-4.9115465752854748E-3</v>
      </c>
      <c r="CG33" s="62">
        <f>IFERROR(Inv_SY_B!CG33/Inv_SY_B!$IS33-1,"")</f>
        <v>2.1766428047360842E-2</v>
      </c>
      <c r="CH33" s="62">
        <f>IFERROR(Inv_SY_B!CH33/Inv_SY_B!$IS33-1,"")</f>
        <v>-5.4451060677384033E-3</v>
      </c>
      <c r="CI33" s="62">
        <f>IFERROR(Inv_SY_B!CI33/Inv_SY_B!$IS33-1,"")</f>
        <v>1.5230324264812634E-2</v>
      </c>
      <c r="CJ33" s="62">
        <f>IFERROR(Inv_SY_B!CJ33/Inv_SY_B!$IS33-1,"")</f>
        <v>-1.4248837693211835E-2</v>
      </c>
      <c r="CK33" s="62">
        <f>IFERROR(Inv_SY_B!CK33/Inv_SY_B!$IS33-1,"")</f>
        <v>1.8913369534894198E-3</v>
      </c>
      <c r="CL33" s="62">
        <f>IFERROR(Inv_SY_B!CL33/Inv_SY_B!$IS33-1,"")</f>
        <v>-2.3771389861342307E-3</v>
      </c>
      <c r="CM33" s="62">
        <f>IFERROR(Inv_SY_B!CM33/Inv_SY_B!$IS33-1,"")</f>
        <v>1.8565071092643493E-2</v>
      </c>
      <c r="CN33" s="62">
        <f>IFERROR(Inv_SY_B!CN33/Inv_SY_B!$IS33-1,"")</f>
        <v>1.2162357183208128E-2</v>
      </c>
      <c r="CO33" s="62">
        <f>IFERROR(Inv_SY_B!CO33/Inv_SY_B!$IS33-1,"")</f>
        <v>7.0188436759619499E-3</v>
      </c>
      <c r="CP33" s="62">
        <f>IFERROR(Inv_SY_B!CP33/Inv_SY_B!$IS33-1,"")</f>
        <v>2.1602255895837086E-2</v>
      </c>
      <c r="CQ33" s="62">
        <f>IFERROR(Inv_SY_B!CQ33/Inv_SY_B!$IS33-1,"")</f>
        <v>-2.3586128811138085E-2</v>
      </c>
      <c r="CR33" s="62">
        <f>IFERROR(Inv_SY_B!CR33/Inv_SY_B!$IS33-1,"")</f>
        <v>-7.5793440375501175E-3</v>
      </c>
      <c r="CS33" s="62">
        <f>IFERROR(Inv_SY_B!CS33/Inv_SY_B!$IS33-1,"")</f>
        <v>1.3170191780063734E-2</v>
      </c>
      <c r="CT33" s="62">
        <f>IFERROR(Inv_SY_B!CT33/Inv_SY_B!$IS33-1,"")</f>
        <v>1.4696764772359705E-2</v>
      </c>
      <c r="CU33" s="62">
        <f>IFERROR(Inv_SY_B!CU33/Inv_SY_B!$IS33-1,"")</f>
        <v>1.2829306548774344E-2</v>
      </c>
      <c r="CV33" s="62">
        <f>IFERROR(Inv_SY_B!CV33/Inv_SY_B!$IS33-1,"")</f>
        <v>1.4911673341495568E-3</v>
      </c>
      <c r="CW33" s="62">
        <f>IFERROR(Inv_SY_B!CW33/Inv_SY_B!$IS33-1,"")</f>
        <v>1.9498800204436062E-2</v>
      </c>
      <c r="CX33" s="62">
        <f>IFERROR(Inv_SY_B!CX33/Inv_SY_B!$IS33-1,"")</f>
        <v>6.4265926393392014E-3</v>
      </c>
      <c r="CY33" s="62">
        <f>IFERROR(Inv_SY_B!CY33/Inv_SY_B!$IS33-1,"")</f>
        <v>2.1366258428021201E-2</v>
      </c>
      <c r="CZ33" s="62">
        <f>IFERROR(Inv_SY_B!CZ33/Inv_SY_B!$IS33-1,"")</f>
        <v>2.2966936905379987E-2</v>
      </c>
      <c r="DA33" s="62">
        <f>IFERROR(Inv_SY_B!DA33/Inv_SY_B!$IS33-1,"")</f>
        <v>1.2243875879232036E-3</v>
      </c>
      <c r="DB33" s="62">
        <f>IFERROR(Inv_SY_B!DB33/Inv_SY_B!$IS33-1,"")</f>
        <v>2.0165749570002056E-2</v>
      </c>
      <c r="DC33" s="62">
        <f>IFERROR(Inv_SY_B!DC33/Inv_SY_B!$IS33-1,"")</f>
        <v>-1.742055245390417E-2</v>
      </c>
      <c r="DD33" s="62">
        <f>IFERROR(Inv_SY_B!DD33/Inv_SY_B!$IS33-1,"")</f>
        <v>3.3586255577349178E-3</v>
      </c>
      <c r="DE33" s="62">
        <f>IFERROR(Inv_SY_B!DE33/Inv_SY_B!$IS33-1,"")</f>
        <v>-2.6076073109251752E-2</v>
      </c>
      <c r="DF33" s="62">
        <f>IFERROR(Inv_SY_B!DF33/Inv_SY_B!$IS33-1,"")</f>
        <v>-9.8312185766245008E-3</v>
      </c>
      <c r="DG33" s="62">
        <f>IFERROR(Inv_SY_B!DG33/Inv_SY_B!$IS33-1,"")</f>
        <v>-1.9984602237080651E-2</v>
      </c>
      <c r="DH33" s="62">
        <f>IFERROR(Inv_SY_B!DH33/Inv_SY_B!$IS33-1,"")</f>
        <v>-2.1214753289125032E-2</v>
      </c>
      <c r="DI33" s="62">
        <f>IFERROR(Inv_SY_B!DI33/Inv_SY_B!$IS33-1,"")</f>
        <v>-2.7526260447713669E-2</v>
      </c>
      <c r="DJ33" s="62">
        <f>IFERROR(Inv_SY_B!DJ33/Inv_SY_B!$IS33-1,"")</f>
        <v>3.5022761903185096E-3</v>
      </c>
      <c r="DK33" s="62">
        <f>IFERROR(Inv_SY_B!DK33/Inv_SY_B!$IS33-1,"")</f>
        <v>9.02028461654103E-3</v>
      </c>
      <c r="DL33" s="62">
        <f>IFERROR(Inv_SY_B!DL33/Inv_SY_B!$IS33-1,"")</f>
        <v>1.0917385034151295E-2</v>
      </c>
      <c r="DM33" s="62">
        <f>IFERROR(Inv_SY_B!DM33/Inv_SY_B!$IS33-1,"")</f>
        <v>1.1762187563868487E-2</v>
      </c>
      <c r="DN33" s="62">
        <f>IFERROR(Inv_SY_B!DN33/Inv_SY_B!$IS33-1,"")</f>
        <v>1.3629645787453848E-2</v>
      </c>
      <c r="DO33" s="62">
        <f>IFERROR(Inv_SY_B!DO33/Inv_SY_B!$IS33-1,"")</f>
        <v>-2.6274454658023583E-2</v>
      </c>
      <c r="DP33" s="62">
        <f>IFERROR(Inv_SY_B!DP33/Inv_SY_B!$IS33-1,"")</f>
        <v>-9.9507195595631703E-3</v>
      </c>
      <c r="DQ33" s="62">
        <f>IFERROR(Inv_SY_B!DQ33/Inv_SY_B!$IS33-1,"")</f>
        <v>-7.5793440375501175E-3</v>
      </c>
      <c r="DR33" s="62">
        <f>IFERROR(Inv_SY_B!DR33/Inv_SY_B!$IS33-1,"")</f>
        <v>4.8259141619804158E-3</v>
      </c>
      <c r="DS33" s="62">
        <f>IFERROR(Inv_SY_B!DS33/Inv_SY_B!$IS33-1,"")</f>
        <v>-8.3796832762296214E-3</v>
      </c>
      <c r="DT33" s="62">
        <f>IFERROR(Inv_SY_B!DT33/Inv_SY_B!$IS33-1,"")</f>
        <v>2.111429977880741E-2</v>
      </c>
      <c r="DU33" s="62">
        <f>IFERROR(Inv_SY_B!DU33/Inv_SY_B!$IS33-1,"")</f>
        <v>9.9688348253461623E-3</v>
      </c>
      <c r="DV33" s="62">
        <f>IFERROR(Inv_SY_B!DV33/Inv_SY_B!$IS33-1,"")</f>
        <v>-7.5793440375501175E-3</v>
      </c>
      <c r="DW33" s="62">
        <f>IFERROR(Inv_SY_B!DW33/Inv_SY_B!$IS33-1,"")</f>
        <v>-1.4248837693211835E-2</v>
      </c>
      <c r="DX33" s="62">
        <f>IFERROR(Inv_SY_B!DX33/Inv_SY_B!$IS33-1,"")</f>
        <v>1.020597237754739E-2</v>
      </c>
      <c r="DY33" s="62">
        <f>IFERROR(Inv_SY_B!DY33/Inv_SY_B!$IS33-1,"")</f>
        <v>1.7579470803761321E-3</v>
      </c>
      <c r="DZ33" s="62">
        <f>IFERROR(Inv_SY_B!DZ33/Inv_SY_B!$IS33-1,"")</f>
        <v>-3.5776478441532644E-3</v>
      </c>
      <c r="EA33" s="62">
        <f>IFERROR(Inv_SY_B!EA33/Inv_SY_B!$IS33-1,"")</f>
        <v>1.9061580505019826E-3</v>
      </c>
      <c r="EB33" s="62">
        <f>IFERROR(Inv_SY_B!EB33/Inv_SY_B!$IS33-1,"")</f>
        <v>-2.6550348213654318E-2</v>
      </c>
      <c r="EC33" s="62">
        <f>IFERROR(Inv_SY_B!EC33/Inv_SY_B!$IS33-1,"")</f>
        <v>-2.5433065515782727E-2</v>
      </c>
      <c r="ED33" s="62">
        <f>IFERROR(Inv_SY_B!ED33/Inv_SY_B!$IS33-1,"")</f>
        <v>4.3641799858191721E-3</v>
      </c>
      <c r="EE33" s="62">
        <f>IFERROR(Inv_SY_B!EE33/Inv_SY_B!$IS33-1,"")</f>
        <v>-2.2847921509018265E-3</v>
      </c>
      <c r="EF33" s="62">
        <f>IFERROR(Inv_SY_B!EF33/Inv_SY_B!$IS33-1,"")</f>
        <v>-1.048966854183897E-2</v>
      </c>
      <c r="EG33" s="62">
        <f>IFERROR(Inv_SY_B!EG33/Inv_SY_B!$IS33-1,"")</f>
        <v>-1.6226365882023419E-2</v>
      </c>
      <c r="EH33" s="62">
        <f>IFERROR(Inv_SY_B!EH33/Inv_SY_B!$IS33-1,"")</f>
        <v>-1.5354667725209992E-2</v>
      </c>
      <c r="EI33" s="62">
        <f>IFERROR(Inv_SY_B!EI33/Inv_SY_B!$IS33-1,"")</f>
        <v>7.4340126600545009E-3</v>
      </c>
      <c r="EJ33" s="62">
        <f>IFERROR(Inv_SY_B!EJ33/Inv_SY_B!$IS33-1,"")</f>
        <v>-1.3362214795350824E-2</v>
      </c>
      <c r="EK33" s="62">
        <f>IFERROR(Inv_SY_B!EK33/Inv_SY_B!$IS33-1,"")</f>
        <v>1.034825490886826E-2</v>
      </c>
      <c r="EL33" s="62">
        <f>IFERROR(Inv_SY_B!EL33/Inv_SY_B!$IS33-1,"")</f>
        <v>-8.9132427686825499E-3</v>
      </c>
      <c r="EM33" s="62">
        <f>IFERROR(Inv_SY_B!EM33/Inv_SY_B!$IS33-1,"")</f>
        <v>4.4873090994621556E-3</v>
      </c>
      <c r="EN33" s="62">
        <f>IFERROR(Inv_SY_B!EN33/Inv_SY_B!$IS33-1,"")</f>
        <v>-1.4720832628843272E-2</v>
      </c>
      <c r="EO33" s="62">
        <f>IFERROR(Inv_SY_B!EO33/Inv_SY_B!$IS33-1,"")</f>
        <v>1.0828458452075918E-2</v>
      </c>
      <c r="EP33" s="62">
        <f>IFERROR(Inv_SY_B!EP33/Inv_SY_B!$IS33-1,"")</f>
        <v>-2.9742584493287372E-2</v>
      </c>
      <c r="EQ33" s="62">
        <f>IFERROR(Inv_SY_B!EQ33/Inv_SY_B!$IS33-1,"")</f>
        <v>-2.2252230080005764E-2</v>
      </c>
      <c r="ER33" s="62">
        <f>IFERROR(Inv_SY_B!ER33/Inv_SY_B!$IS33-1,"")</f>
        <v>1.0766893895254315E-2</v>
      </c>
      <c r="ES33" s="62">
        <f>IFERROR(Inv_SY_B!ES33/Inv_SY_B!$IS33-1,"")</f>
        <v>3.3586255577349178E-3</v>
      </c>
      <c r="ET33" s="62">
        <f>IFERROR(Inv_SY_B!ET33/Inv_SY_B!$IS33-1,"")</f>
        <v>1.3666024843757452E-2</v>
      </c>
      <c r="EU33" s="62">
        <f>IFERROR(Inv_SY_B!EU33/Inv_SY_B!$IS33-1,"")</f>
        <v>1.4337638190900837E-2</v>
      </c>
      <c r="EV33" s="62">
        <f>IFERROR(Inv_SY_B!EV33/Inv_SY_B!$IS33-1,"")</f>
        <v>-2.161663037258843E-3</v>
      </c>
      <c r="EW33" s="62">
        <f>IFERROR(Inv_SY_B!EW33/Inv_SY_B!$IS33-1,"")</f>
        <v>-3.8854706282607232E-3</v>
      </c>
      <c r="EX33" s="62">
        <f>IFERROR(Inv_SY_B!EX33/Inv_SY_B!$IS33-1,"")</f>
        <v>8.427440736037628E-3</v>
      </c>
      <c r="EY33" s="62">
        <f>IFERROR(Inv_SY_B!EY33/Inv_SY_B!$IS33-1,"")</f>
        <v>-2.8091742302962741E-2</v>
      </c>
      <c r="EZ33" s="62">
        <f>IFERROR(Inv_SY_B!EZ33/Inv_SY_B!$IS33-1,"")</f>
        <v>1.2429136929434703E-2</v>
      </c>
      <c r="FA33" s="62">
        <f>IFERROR(Inv_SY_B!FA33/Inv_SY_B!$IS33-1,"")</f>
        <v>1.8298291346416917E-2</v>
      </c>
      <c r="FB33" s="62">
        <f>IFERROR(Inv_SY_B!FB33/Inv_SY_B!$IS33-1,"")</f>
        <v>1.8913369534894198E-3</v>
      </c>
      <c r="FC33" s="62">
        <f>IFERROR(Inv_SY_B!FC33/Inv_SY_B!$IS33-1,"")</f>
        <v>1.8431681219530205E-2</v>
      </c>
      <c r="FD33" s="62">
        <f>IFERROR(Inv_SY_B!FD33/Inv_SY_B!$IS33-1,"")</f>
        <v>1.7497952107737413E-2</v>
      </c>
      <c r="FE33" s="62">
        <f>IFERROR(Inv_SY_B!FE33/Inv_SY_B!$IS33-1,"")</f>
        <v>-3.4518369411031813E-3</v>
      </c>
      <c r="FF33" s="62">
        <f>IFERROR(Inv_SY_B!FF33/Inv_SY_B!$IS33-1,"")</f>
        <v>1.0000500740507956E-3</v>
      </c>
      <c r="FG33" s="62">
        <f>IFERROR(Inv_SY_B!FG33/Inv_SY_B!$IS33-1,"")</f>
        <v>-2.1963892374488259E-2</v>
      </c>
      <c r="FH33" s="62">
        <f>IFERROR(Inv_SY_B!FH33/Inv_SY_B!$IS33-1,"")</f>
        <v>-3.0028253364902113E-2</v>
      </c>
      <c r="FI33" s="62">
        <f>IFERROR(Inv_SY_B!FI33/Inv_SY_B!$IS33-1,"")</f>
        <v>-2.5081712236953102E-2</v>
      </c>
      <c r="FJ33" s="62">
        <f>IFERROR(Inv_SY_B!FJ33/Inv_SY_B!$IS33-1,"")</f>
        <v>-2.8679196693643383E-2</v>
      </c>
      <c r="FK33" s="62">
        <f>IFERROR(Inv_SY_B!FK33/Inv_SY_B!$IS33-1,"")</f>
        <v>1.2092293815512356E-2</v>
      </c>
      <c r="FL33" s="62">
        <f>IFERROR(Inv_SY_B!FL33/Inv_SY_B!$IS33-1,"")</f>
        <v>-1.4433158245150124E-2</v>
      </c>
      <c r="FM33" s="62">
        <f>IFERROR(Inv_SY_B!FM33/Inv_SY_B!$IS33-1,"")</f>
        <v>-2.7330140022384541E-2</v>
      </c>
      <c r="FN33" s="62">
        <f>IFERROR(Inv_SY_B!FN33/Inv_SY_B!$IS33-1,"")</f>
        <v>-2.9878358179206699E-2</v>
      </c>
      <c r="FO33" s="62">
        <f>IFERROR(Inv_SY_B!FO33/Inv_SY_B!$IS33-1,"")</f>
        <v>-2.1027802698442288E-3</v>
      </c>
      <c r="FP33" s="62">
        <f>IFERROR(Inv_SY_B!FP33/Inv_SY_B!$IS33-1,"")</f>
        <v>-2.3498819076009481E-2</v>
      </c>
      <c r="FQ33" s="62">
        <f>IFERROR(Inv_SY_B!FQ33/Inv_SY_B!$IS33-1,"")</f>
        <v>-1.1195422234128949E-2</v>
      </c>
      <c r="FR33" s="62">
        <f>IFERROR(Inv_SY_B!FR33/Inv_SY_B!$IS33-1,"")</f>
        <v>-7.9576862231076628E-3</v>
      </c>
      <c r="FS33" s="62">
        <f>IFERROR(Inv_SY_B!FS33/Inv_SY_B!$IS33-1,"")</f>
        <v>-2.9878358179206699E-2</v>
      </c>
      <c r="FT33" s="62">
        <f>IFERROR(Inv_SY_B!FT33/Inv_SY_B!$IS33-1,"")</f>
        <v>-1.9613535862783915E-2</v>
      </c>
      <c r="FU33" s="62">
        <f>IFERROR(Inv_SY_B!FU33/Inv_SY_B!$IS33-1,"")</f>
        <v>9.2143062501601758E-3</v>
      </c>
      <c r="FV33" s="62">
        <f>IFERROR(Inv_SY_B!FV33/Inv_SY_B!$IS33-1,"")</f>
        <v>-2.3282970008608128E-2</v>
      </c>
      <c r="FW33" s="62">
        <f>IFERROR(Inv_SY_B!FW33/Inv_SY_B!$IS33-1,"")</f>
        <v>-2.1933913337349176E-2</v>
      </c>
      <c r="FX33" s="62">
        <f>IFERROR(Inv_SY_B!FX33/Inv_SY_B!$IS33-1,"")</f>
        <v>-2.7330140022384541E-2</v>
      </c>
      <c r="FY33" s="62">
        <f>IFERROR(Inv_SY_B!FY33/Inv_SY_B!$IS33-1,"")</f>
        <v>-2.9878358179206699E-2</v>
      </c>
      <c r="FZ33" s="62">
        <f>IFERROR(Inv_SY_B!FZ33/Inv_SY_B!$IS33-1,"")</f>
        <v>-2.3282970008608128E-2</v>
      </c>
      <c r="GA33" s="62">
        <f>IFERROR(Inv_SY_B!GA33/Inv_SY_B!$IS33-1,"")</f>
        <v>-1.6226365882023419E-2</v>
      </c>
      <c r="GB33" s="62">
        <f>IFERROR(Inv_SY_B!GB33/Inv_SY_B!$IS33-1,"")</f>
        <v>-5.895128467938715E-3</v>
      </c>
      <c r="GC33" s="62">
        <f>IFERROR(Inv_SY_B!GC33/Inv_SY_B!$IS33-1,"")</f>
        <v>8.4948093588221862E-3</v>
      </c>
      <c r="GD33" s="62">
        <f>IFERROR(Inv_SY_B!GD33/Inv_SY_B!$IS33-1,"")</f>
        <v>1.3799899770954749E-2</v>
      </c>
      <c r="GE33" s="62">
        <f>IFERROR(Inv_SY_B!GE33/Inv_SY_B!$IS33-1,"")</f>
        <v>-2.8554668385527116E-2</v>
      </c>
      <c r="GF33" s="62">
        <f>IFERROR(Inv_SY_B!GF33/Inv_SY_B!$IS33-1,"")</f>
        <v>-2.8679196693643383E-2</v>
      </c>
      <c r="GG33" s="62">
        <f>IFERROR(Inv_SY_B!GG33/Inv_SY_B!$IS33-1,"")</f>
        <v>-1.5728252649558572E-2</v>
      </c>
      <c r="GH33" s="62">
        <f>IFERROR(Inv_SY_B!GH33/Inv_SY_B!$IS33-1,"")</f>
        <v>-2.3498819076009481E-2</v>
      </c>
      <c r="GI33" s="62">
        <f>IFERROR(Inv_SY_B!GI33/Inv_SY_B!$IS33-1,"")</f>
        <v>-1.6505309292203729E-2</v>
      </c>
      <c r="GJ33" s="62">
        <f>IFERROR(Inv_SY_B!GJ33/Inv_SY_B!$IS33-1,"")</f>
        <v>7.4340126600545009E-3</v>
      </c>
      <c r="GK33" s="62">
        <f>IFERROR(Inv_SY_B!GK33/Inv_SY_B!$IS33-1,"")</f>
        <v>8.9594844344780267E-3</v>
      </c>
      <c r="GL33" s="62">
        <f>IFERROR(Inv_SY_B!GL33/Inv_SY_B!$IS33-1,"")</f>
        <v>1.6379296126401544E-2</v>
      </c>
      <c r="GM33" s="62">
        <f>IFERROR(Inv_SY_B!GM33/Inv_SY_B!$IS33-1,"")</f>
        <v>-6.6895729521243563E-3</v>
      </c>
      <c r="GN33" s="62">
        <f>IFERROR(Inv_SY_B!GN33/Inv_SY_B!$IS33-1,"")</f>
        <v>1.4355711119513392E-2</v>
      </c>
      <c r="GO33" s="62">
        <f>IFERROR(Inv_SY_B!GO33/Inv_SY_B!$IS33-1,"")</f>
        <v>1.8537786800415734E-2</v>
      </c>
      <c r="GP33" s="62">
        <f>IFERROR(Inv_SY_B!GP33/Inv_SY_B!$IS33-1,"")</f>
        <v>-8.4433466247608724E-3</v>
      </c>
      <c r="GQ33" s="62">
        <f>IFERROR(Inv_SY_B!GQ33/Inv_SY_B!$IS33-1,"")</f>
        <v>-1.5080705447354403E-2</v>
      </c>
      <c r="GR33" s="62">
        <f>IFERROR(Inv_SY_B!GR33/Inv_SY_B!$IS33-1,"")</f>
        <v>1.0000500740507956E-3</v>
      </c>
      <c r="GS33" s="62" t="str">
        <f>IFERROR(Inv_SY_B!GS33/Inv_SY_B!$IS33-1,"")</f>
        <v/>
      </c>
      <c r="GT33" s="62" t="str">
        <f>IFERROR(Inv_SY_B!GT33/Inv_SY_B!$IS33-1,"")</f>
        <v/>
      </c>
      <c r="GU33" s="62">
        <f>IFERROR(Inv_SY_B!GU33/Inv_SY_B!$IS33-1,"")</f>
        <v>1.3479714162265788E-2</v>
      </c>
      <c r="GV33" s="62">
        <f>IFERROR(Inv_SY_B!GV33/Inv_SY_B!$IS33-1,"")</f>
        <v>-1.0224016383908574E-2</v>
      </c>
      <c r="GW33" s="62">
        <f>IFERROR(Inv_SY_B!GW33/Inv_SY_B!$IS33-1,"")</f>
        <v>-1.5517668193557155E-2</v>
      </c>
      <c r="GX33" s="62" t="str">
        <f>IFERROR(Inv_SY_B!GX33/Inv_SY_B!$IS33-1,"")</f>
        <v/>
      </c>
      <c r="GY33" s="62">
        <f>IFERROR(Inv_SY_B!GY33/Inv_SY_B!$IS33-1,"")</f>
        <v>-2.5027614726326308E-2</v>
      </c>
      <c r="GZ33" s="62">
        <f>IFERROR(Inv_SY_B!GZ33/Inv_SY_B!$IS33-1,"")</f>
        <v>-1.1581040230947193E-2</v>
      </c>
      <c r="HA33" s="62">
        <f>IFERROR(Inv_SY_B!HA33/Inv_SY_B!$IS33-1,"")</f>
        <v>1.1628797690755199E-2</v>
      </c>
      <c r="HB33" s="62">
        <f>IFERROR(Inv_SY_B!HB33/Inv_SY_B!$IS33-1,"")</f>
        <v>1.6297443249718491E-2</v>
      </c>
      <c r="HC33" s="62">
        <f>IFERROR(Inv_SY_B!HC33/Inv_SY_B!$IS33-1,"")</f>
        <v>2.4434225509625707E-2</v>
      </c>
      <c r="HD33" s="62">
        <f>IFERROR(Inv_SY_B!HD33/Inv_SY_B!$IS33-1,"")</f>
        <v>7.7604913704716338E-3</v>
      </c>
      <c r="HE33" s="62">
        <f>IFERROR(Inv_SY_B!HE33/Inv_SY_B!$IS33-1,"")</f>
        <v>1.8965240711983133E-2</v>
      </c>
      <c r="HF33" s="62">
        <f>IFERROR(Inv_SY_B!HF33/Inv_SY_B!$IS33-1,"")</f>
        <v>3.5505584978023919E-2</v>
      </c>
      <c r="HG33" s="62">
        <f>IFERROR(Inv_SY_B!HG33/Inv_SY_B!$IS33-1,"")</f>
        <v>3.2304228023306347E-2</v>
      </c>
      <c r="HH33" s="62">
        <f>IFERROR(Inv_SY_B!HH33/Inv_SY_B!$IS33-1,"")</f>
        <v>-8.1129035300030461E-3</v>
      </c>
      <c r="HI33" s="62">
        <f>IFERROR(Inv_SY_B!HI33/Inv_SY_B!$IS33-1,"")</f>
        <v>-7.5793440375501175E-3</v>
      </c>
      <c r="HJ33" s="62">
        <f>IFERROR(Inv_SY_B!HJ33/Inv_SY_B!$IS33-1,"")</f>
        <v>3.2304228023306347E-2</v>
      </c>
      <c r="HK33" s="62">
        <f>IFERROR(Inv_SY_B!HK33/Inv_SY_B!$IS33-1,"")</f>
        <v>-8.2907566941541333E-3</v>
      </c>
      <c r="HL33" s="62">
        <f>IFERROR(Inv_SY_B!HL33/Inv_SY_B!$IS33-1,"")</f>
        <v>9.0576328914959703E-6</v>
      </c>
      <c r="HM33" s="62">
        <f>IFERROR(Inv_SY_B!HM33/Inv_SY_B!$IS33-1,"")</f>
        <v>3.0333725674723144E-2</v>
      </c>
      <c r="HN33" s="62">
        <f>IFERROR(Inv_SY_B!HN33/Inv_SY_B!$IS33-1,"")</f>
        <v>5.5852827239422309E-2</v>
      </c>
      <c r="HO33" s="62">
        <f>IFERROR(Inv_SY_B!HO33/Inv_SY_B!$IS33-1,"")</f>
        <v>3.495906283332495E-2</v>
      </c>
      <c r="HP33" s="62">
        <f>IFERROR(Inv_SY_B!HP33/Inv_SY_B!$IS33-1,"")</f>
        <v>3.3842602139869227E-2</v>
      </c>
      <c r="HQ33" s="62">
        <f>IFERROR(Inv_SY_B!HQ33/Inv_SY_B!$IS33-1,"")</f>
        <v>-4.6959669823752881E-3</v>
      </c>
      <c r="HR33" s="62">
        <f>IFERROR(Inv_SY_B!HR33/Inv_SY_B!$IS33-1,"")</f>
        <v>-1.6054996650670783E-2</v>
      </c>
      <c r="HS33" s="62">
        <f>IFERROR(Inv_SY_B!HS33/Inv_SY_B!$IS33-1,"")</f>
        <v>4.0735952776218554E-3</v>
      </c>
      <c r="HT33" s="62">
        <f>IFERROR(Inv_SY_B!HT33/Inv_SY_B!$IS33-1,"")</f>
        <v>1.2762640899222077E-4</v>
      </c>
      <c r="HU33" s="62">
        <f>IFERROR(Inv_SY_B!HU33/Inv_SY_B!$IS33-1,"")</f>
        <v>9.7818609861104466E-3</v>
      </c>
      <c r="HV33" s="62">
        <f>IFERROR(Inv_SY_B!HV33/Inv_SY_B!$IS33-1,"")</f>
        <v>-9.7956680831238208E-3</v>
      </c>
      <c r="HW33" s="62">
        <f>IFERROR(Inv_SY_B!HW33/Inv_SY_B!$IS33-1,"")</f>
        <v>-1.3982057946985371E-2</v>
      </c>
      <c r="HX33" s="62">
        <f>IFERROR(Inv_SY_B!HX33/Inv_SY_B!$IS33-1,"")</f>
        <v>-2.5310503781879046E-3</v>
      </c>
      <c r="HY33" s="62">
        <f>IFERROR(Inv_SY_B!HY33/Inv_SY_B!$IS33-1,"")</f>
        <v>1.2762640899222077E-4</v>
      </c>
      <c r="HZ33" s="62">
        <f>IFERROR(Inv_SY_B!HZ33/Inv_SY_B!$IS33-1,"")</f>
        <v>-2.2281872274030889E-2</v>
      </c>
      <c r="IA33" s="62">
        <f>IFERROR(Inv_SY_B!IA33/Inv_SY_B!$IS33-1,"")</f>
        <v>1.6226916146320214E-3</v>
      </c>
      <c r="IB33" s="62">
        <f>IFERROR(Inv_SY_B!IB33/Inv_SY_B!$IS33-1,"")</f>
        <v>-2.59810833511257E-2</v>
      </c>
      <c r="IC33" s="62">
        <f>IFERROR(Inv_SY_B!IC33/Inv_SY_B!$IS33-1,"")</f>
        <v>-4.1886294307905692E-3</v>
      </c>
      <c r="ID33" s="62">
        <f>IFERROR(Inv_SY_B!ID33/Inv_SY_B!$IS33-1,"")</f>
        <v>-2.3349590091139349E-2</v>
      </c>
      <c r="IE33" s="62">
        <f>IFERROR(Inv_SY_B!IE33/Inv_SY_B!$IS33-1,"")</f>
        <v>-4.7491855319192755E-4</v>
      </c>
      <c r="IF33" s="62" t="str">
        <f>IFERROR(Inv_SY_B!IF33/Inv_SY_B!$IS33-1,"")</f>
        <v/>
      </c>
      <c r="IG33" s="62">
        <f>IFERROR(Inv_SY_B!IG33/Inv_SY_B!$IS33-1,"")</f>
        <v>1.3109867020640875E-2</v>
      </c>
      <c r="IH33" s="62">
        <f>IFERROR(Inv_SY_B!IH33/Inv_SY_B!$IS33-1,"")</f>
        <v>-6.349982824531808E-3</v>
      </c>
      <c r="II33" s="62">
        <f>IFERROR(Inv_SY_B!II33/Inv_SY_B!$IS33-1,"")</f>
        <v>1.706791908396954E-2</v>
      </c>
      <c r="IJ33" s="62">
        <f>IFERROR(Inv_SY_B!IJ33/Inv_SY_B!$IS33-1,"")</f>
        <v>-1.5355180187383244E-2</v>
      </c>
      <c r="IK33" s="62">
        <f>IFERROR(Inv_SY_B!IK33/Inv_SY_B!$IS33-1,"")</f>
        <v>7.2956478732588703E-3</v>
      </c>
      <c r="IL33" s="62" t="str">
        <f>IFERROR(Inv_SY_B!IL33/Inv_SY_B!$IS33-1,"")</f>
        <v/>
      </c>
      <c r="IM33" s="62" t="str">
        <f>IFERROR(Inv_SY_B!IM33/Inv_SY_B!$IS33-1,"")</f>
        <v/>
      </c>
      <c r="IN33" s="62">
        <f>IFERROR(Inv_SY_B!IN33/Inv_SY_B!$IS33-1,"")</f>
        <v>2.7143837979135776E-2</v>
      </c>
      <c r="IO33" s="62">
        <f>IFERROR(Inv_SY_B!IO33/Inv_SY_B!$IS33-1,"")</f>
        <v>2.0165958645038451E-2</v>
      </c>
      <c r="IP33" s="62">
        <f>IFERROR(Inv_SY_B!IP33/Inv_SY_B!$IS33-1,"")</f>
        <v>1.204748482669693E-2</v>
      </c>
      <c r="IQ33" s="62">
        <f>IFERROR(Inv_SY_B!IQ33/Inv_SY_B!$IS33-1,"")</f>
        <v>-1.8993661617938917E-2</v>
      </c>
      <c r="IR33" s="62">
        <f>IFERROR(Inv_SY_B!IR33/Inv_SY_B!$IS33-1,"")</f>
        <v>1.544368169867294E-2</v>
      </c>
    </row>
    <row r="34" spans="2:252" x14ac:dyDescent="0.25">
      <c r="B34" s="85">
        <f t="shared" si="0"/>
        <v>45860</v>
      </c>
      <c r="C34" s="62">
        <f>IFERROR(Inv_SY_B!C34/Inv_SY_B!$IS34-1,"")</f>
        <v>-1.5246732898312576E-2</v>
      </c>
      <c r="D34" s="62">
        <f>IFERROR(Inv_SY_B!D34/Inv_SY_B!$IS34-1,"")</f>
        <v>-1.7382526196441761E-2</v>
      </c>
      <c r="E34" s="62">
        <f>IFERROR(Inv_SY_B!E34/Inv_SY_B!$IS34-1,"")</f>
        <v>-1.9537389077589951E-2</v>
      </c>
      <c r="F34" s="62">
        <f>IFERROR(Inv_SY_B!F34/Inv_SY_B!$IS34-1,"")</f>
        <v>-1.5818820388883048E-2</v>
      </c>
      <c r="G34" s="62">
        <f>IFERROR(Inv_SY_B!G34/Inv_SY_B!$IS34-1,"")</f>
        <v>-1.2195599615271058E-2</v>
      </c>
      <c r="H34" s="62">
        <f>IFERROR(Inv_SY_B!H34/Inv_SY_B!$IS34-1,"")</f>
        <v>-1.416612319390198E-2</v>
      </c>
      <c r="I34" s="62">
        <f>IFERROR(Inv_SY_B!I34/Inv_SY_B!$IS34-1,"")</f>
        <v>1.5582426315754017E-2</v>
      </c>
      <c r="J34" s="62">
        <f>IFERROR(Inv_SY_B!J34/Inv_SY_B!$IS34-1,"")</f>
        <v>1.2277031925792103E-2</v>
      </c>
      <c r="K34" s="62">
        <f>IFERROR(Inv_SY_B!K34/Inv_SY_B!$IS34-1,"")</f>
        <v>-1.3934745586604791E-2</v>
      </c>
      <c r="L34" s="62">
        <f>IFERROR(Inv_SY_B!L34/Inv_SY_B!$IS34-1,"")</f>
        <v>-2.2660986776103842E-2</v>
      </c>
      <c r="M34" s="62">
        <f>IFERROR(Inv_SY_B!M34/Inv_SY_B!$IS34-1,"")</f>
        <v>2.797765527811058E-2</v>
      </c>
      <c r="N34" s="62">
        <f>IFERROR(Inv_SY_B!N34/Inv_SY_B!$IS34-1,"")</f>
        <v>-7.2247949749822959E-3</v>
      </c>
      <c r="O34" s="62">
        <f>IFERROR(Inv_SY_B!O34/Inv_SY_B!$IS34-1,"")</f>
        <v>1.1450683328301681E-2</v>
      </c>
      <c r="P34" s="62">
        <f>IFERROR(Inv_SY_B!P34/Inv_SY_B!$IS34-1,"")</f>
        <v>1.5958039314613259E-2</v>
      </c>
      <c r="Q34" s="62">
        <f>IFERROR(Inv_SY_B!Q34/Inv_SY_B!$IS34-1,"")</f>
        <v>1.1450683328301681E-2</v>
      </c>
      <c r="R34" s="62">
        <f>IFERROR(Inv_SY_B!R34/Inv_SY_B!$IS34-1,"")</f>
        <v>3.8482762313896135E-3</v>
      </c>
      <c r="S34" s="62">
        <f>IFERROR(Inv_SY_B!S34/Inv_SY_B!$IS34-1,"")</f>
        <v>1.5345001584163853E-3</v>
      </c>
      <c r="T34" s="62">
        <f>IFERROR(Inv_SY_B!T34/Inv_SY_B!$IS34-1,"")</f>
        <v>1.8887820705715708E-2</v>
      </c>
      <c r="U34" s="62">
        <f>IFERROR(Inv_SY_B!U34/Inv_SY_B!$IS34-1,"")</f>
        <v>8.3995500452600513E-3</v>
      </c>
      <c r="V34" s="62">
        <f>IFERROR(Inv_SY_B!V34/Inv_SY_B!$IS34-1,"")</f>
        <v>5.348416762218422E-3</v>
      </c>
      <c r="W34" s="62">
        <f>IFERROR(Inv_SY_B!W34/Inv_SY_B!$IS34-1,"")</f>
        <v>1.3103380523282526E-2</v>
      </c>
      <c r="X34" s="62">
        <f>IFERROR(Inv_SY_B!X34/Inv_SY_B!$IS34-1,"")</f>
        <v>-1.0860728803940289E-2</v>
      </c>
      <c r="Y34" s="62">
        <f>IFERROR(Inv_SY_B!Y34/Inv_SY_B!$IS34-1,"")</f>
        <v>1.5264599932103717E-2</v>
      </c>
      <c r="Z34" s="62">
        <f>IFERROR(Inv_SY_B!Z34/Inv_SY_B!$IS34-1,"")</f>
        <v>1.5857875848250602E-2</v>
      </c>
      <c r="AA34" s="62">
        <f>IFERROR(Inv_SY_B!AA34/Inv_SY_B!$IS34-1,"")</f>
        <v>1.2213466649062088E-2</v>
      </c>
      <c r="AB34" s="62">
        <f>IFERROR(Inv_SY_B!AB34/Inv_SY_B!$IS34-1,"")</f>
        <v>2.1366866498186976E-2</v>
      </c>
      <c r="AC34" s="62">
        <f>IFERROR(Inv_SY_B!AC34/Inv_SY_B!$IS34-1,"")</f>
        <v>-1.623835121530115E-2</v>
      </c>
      <c r="AD34" s="62">
        <f>IFERROR(Inv_SY_B!AD34/Inv_SY_B!$IS34-1,"")</f>
        <v>1.8869457403549061E-2</v>
      </c>
      <c r="AE34" s="62">
        <f>IFERROR(Inv_SY_B!AE34/Inv_SY_B!$IS34-1,"")</f>
        <v>-1.7196068051366975E-2</v>
      </c>
      <c r="AF34" s="62">
        <f>IFERROR(Inv_SY_B!AF34/Inv_SY_B!$IS34-1,"")</f>
        <v>3.3708303750616952E-3</v>
      </c>
      <c r="AG34" s="62">
        <f>IFERROR(Inv_SY_B!AG34/Inv_SY_B!$IS34-1,"")</f>
        <v>-1.6461535964708895E-2</v>
      </c>
      <c r="AH34" s="62">
        <f>IFERROR(Inv_SY_B!AH34/Inv_SY_B!$IS34-1,"")</f>
        <v>-6.9126188381525289E-3</v>
      </c>
      <c r="AI34" s="62">
        <f>IFERROR(Inv_SY_B!AI34/Inv_SY_B!$IS34-1,"")</f>
        <v>-1.4774191029791162E-2</v>
      </c>
      <c r="AJ34" s="62">
        <f>IFERROR(Inv_SY_B!AJ34/Inv_SY_B!$IS34-1,"")</f>
        <v>1.0351025891139232E-2</v>
      </c>
      <c r="AK34" s="62">
        <f>IFERROR(Inv_SY_B!AK34/Inv_SY_B!$IS34-1,"")</f>
        <v>-1.3339774596411669E-2</v>
      </c>
      <c r="AL34" s="62">
        <f>IFERROR(Inv_SY_B!AL34/Inv_SY_B!$IS34-1,"")</f>
        <v>-8.6553816101693215E-3</v>
      </c>
      <c r="AM34" s="62">
        <f>IFERROR(Inv_SY_B!AM34/Inv_SY_B!$IS34-1,"")</f>
        <v>8.9716375358304123E-3</v>
      </c>
      <c r="AN34" s="62">
        <f>IFERROR(Inv_SY_B!AN34/Inv_SY_B!$IS34-1,"")</f>
        <v>-7.5553344139784873E-3</v>
      </c>
      <c r="AO34" s="62">
        <f>IFERROR(Inv_SY_B!AO34/Inv_SY_B!$IS34-1,"")</f>
        <v>-1.1687077401430601E-2</v>
      </c>
      <c r="AP34" s="62">
        <f>IFERROR(Inv_SY_B!AP34/Inv_SY_B!$IS34-1,"")</f>
        <v>-7.5553344139784873E-3</v>
      </c>
      <c r="AQ34" s="62">
        <f>IFERROR(Inv_SY_B!AQ34/Inv_SY_B!$IS34-1,"")</f>
        <v>-4.2499400240166851E-3</v>
      </c>
      <c r="AR34" s="62">
        <f>IFERROR(Inv_SY_B!AR34/Inv_SY_B!$IS34-1,"")</f>
        <v>-3.4235914265262624E-3</v>
      </c>
      <c r="AS34" s="62">
        <f>IFERROR(Inv_SY_B!AS34/Inv_SY_B!$IS34-1,"")</f>
        <v>-7.5553344139784873E-3</v>
      </c>
      <c r="AT34" s="62">
        <f>IFERROR(Inv_SY_B!AT34/Inv_SY_B!$IS34-1,"")</f>
        <v>-5.9026372189976417E-3</v>
      </c>
      <c r="AU34" s="62">
        <f>IFERROR(Inv_SY_B!AU34/Inv_SY_B!$IS34-1,"")</f>
        <v>-1.0034380206449867E-2</v>
      </c>
      <c r="AV34" s="62">
        <f>IFERROR(Inv_SY_B!AV34/Inv_SY_B!$IS34-1,"")</f>
        <v>3.1871973533972309E-3</v>
      </c>
      <c r="AW34" s="62">
        <f>IFERROR(Inv_SY_B!AW34/Inv_SY_B!$IS34-1,"")</f>
        <v>-7.6188996907085027E-3</v>
      </c>
      <c r="AX34" s="62">
        <f>IFERROR(Inv_SY_B!AX34/Inv_SY_B!$IS34-1,"")</f>
        <v>8.9716375358304123E-3</v>
      </c>
      <c r="AY34" s="62">
        <f>IFERROR(Inv_SY_B!AY34/Inv_SY_B!$IS34-1,"")</f>
        <v>-1.0761566972241288E-2</v>
      </c>
      <c r="AZ34" s="62">
        <f>IFERROR(Inv_SY_B!AZ34/Inv_SY_B!$IS34-1,"")</f>
        <v>-1.7901218854558865E-2</v>
      </c>
      <c r="BA34" s="62">
        <f>IFERROR(Inv_SY_B!BA34/Inv_SY_B!$IS34-1,"")</f>
        <v>-1.63972644071263E-2</v>
      </c>
      <c r="BB34" s="62">
        <f>IFERROR(Inv_SY_B!BB34/Inv_SY_B!$IS34-1,"")</f>
        <v>-9.4454563405488301E-4</v>
      </c>
      <c r="BC34" s="62">
        <f>IFERROR(Inv_SY_B!BC34/Inv_SY_B!$IS34-1,"")</f>
        <v>2.011816195086813E-2</v>
      </c>
      <c r="BD34" s="62">
        <f>IFERROR(Inv_SY_B!BD34/Inv_SY_B!$IS34-1,"")</f>
        <v>-1.6828802008037935E-2</v>
      </c>
      <c r="BE34" s="62">
        <f>IFERROR(Inv_SY_B!BE34/Inv_SY_B!$IS34-1,"")</f>
        <v>-1.5246732898312576E-2</v>
      </c>
      <c r="BF34" s="62">
        <f>IFERROR(Inv_SY_B!BF34/Inv_SY_B!$IS34-1,"")</f>
        <v>-9.9976536021170181E-3</v>
      </c>
      <c r="BG34" s="62">
        <f>IFERROR(Inv_SY_B!BG34/Inv_SY_B!$IS34-1,"")</f>
        <v>-3.0183005822903564E-4</v>
      </c>
      <c r="BH34" s="62">
        <f>IFERROR(Inv_SY_B!BH34/Inv_SY_B!$IS34-1,"")</f>
        <v>1.5345001584163853E-3</v>
      </c>
      <c r="BI34" s="62">
        <f>IFERROR(Inv_SY_B!BI34/Inv_SY_B!$IS34-1,"")</f>
        <v>-1.4992471791392403E-2</v>
      </c>
      <c r="BJ34" s="62">
        <f>IFERROR(Inv_SY_B!BJ34/Inv_SY_B!$IS34-1,"")</f>
        <v>-4.7090225781780681E-3</v>
      </c>
      <c r="BK34" s="62">
        <f>IFERROR(Inv_SY_B!BK34/Inv_SY_B!$IS34-1,"")</f>
        <v>-9.2080316089594438E-3</v>
      </c>
      <c r="BL34" s="62">
        <f>IFERROR(Inv_SY_B!BL34/Inv_SY_B!$IS34-1,"")</f>
        <v>2.0250031140767177E-4</v>
      </c>
      <c r="BM34" s="62">
        <f>IFERROR(Inv_SY_B!BM34/Inv_SY_B!$IS34-1,"")</f>
        <v>-1.1687077401430601E-2</v>
      </c>
      <c r="BN34" s="62">
        <f>IFERROR(Inv_SY_B!BN34/Inv_SY_B!$IS34-1,"")</f>
        <v>1.5336335040639026E-2</v>
      </c>
      <c r="BO34" s="62">
        <f>IFERROR(Inv_SY_B!BO34/Inv_SY_B!$IS34-1,"")</f>
        <v>1.7247836566080643E-2</v>
      </c>
      <c r="BP34" s="62">
        <f>IFERROR(Inv_SY_B!BP34/Inv_SY_B!$IS34-1,"")</f>
        <v>1.511204326795168E-2</v>
      </c>
      <c r="BQ34" s="62">
        <f>IFERROR(Inv_SY_B!BQ34/Inv_SY_B!$IS34-1,"")</f>
        <v>2.3655216460468198E-2</v>
      </c>
      <c r="BR34" s="62">
        <f>IFERROR(Inv_SY_B!BR34/Inv_SY_B!$IS34-1,"")</f>
        <v>7.0265400678914958E-3</v>
      </c>
      <c r="BS34" s="62">
        <f>IFERROR(Inv_SY_B!BS34/Inv_SY_B!$IS34-1,"")</f>
        <v>1.971416930320613E-2</v>
      </c>
      <c r="BT34" s="62">
        <f>IFERROR(Inv_SY_B!BT34/Inv_SY_B!$IS34-1,"")</f>
        <v>1.4756077718263372E-2</v>
      </c>
      <c r="BU34" s="62">
        <f>IFERROR(Inv_SY_B!BU34/Inv_SY_B!$IS34-1,"")</f>
        <v>2.3845912290658244E-2</v>
      </c>
      <c r="BV34" s="62">
        <f>IFERROR(Inv_SY_B!BV34/Inv_SY_B!$IS34-1,"")</f>
        <v>1.7235123510734862E-2</v>
      </c>
      <c r="BW34" s="62">
        <f>IFERROR(Inv_SY_B!BW34/Inv_SY_B!$IS34-1,"")</f>
        <v>1.971416930320613E-2</v>
      </c>
      <c r="BX34" s="62">
        <f>IFERROR(Inv_SY_B!BX34/Inv_SY_B!$IS34-1,"")</f>
        <v>2.549860948563909E-2</v>
      </c>
      <c r="BY34" s="62">
        <f>IFERROR(Inv_SY_B!BY34/Inv_SY_B!$IS34-1,"")</f>
        <v>2.5406792974806969E-2</v>
      </c>
      <c r="BZ34" s="62">
        <f>IFERROR(Inv_SY_B!BZ34/Inv_SY_B!$IS34-1,"")</f>
        <v>1.5123343761592523E-2</v>
      </c>
      <c r="CA34" s="62">
        <f>IFERROR(Inv_SY_B!CA34/Inv_SY_B!$IS34-1,"")</f>
        <v>2.2542117836839903E-2</v>
      </c>
      <c r="CB34" s="62">
        <f>IFERROR(Inv_SY_B!CB34/Inv_SY_B!$IS34-1,"")</f>
        <v>2.797765527811058E-2</v>
      </c>
      <c r="CC34" s="62">
        <f>IFERROR(Inv_SY_B!CC34/Inv_SY_B!$IS34-1,"")</f>
        <v>2.549860948563909E-2</v>
      </c>
      <c r="CD34" s="62">
        <f>IFERROR(Inv_SY_B!CD34/Inv_SY_B!$IS34-1,"")</f>
        <v>1.6027383252864125E-2</v>
      </c>
      <c r="CE34" s="62">
        <f>IFERROR(Inv_SY_B!CE34/Inv_SY_B!$IS34-1,"")</f>
        <v>1.1450683328301681E-2</v>
      </c>
      <c r="CF34" s="62">
        <f>IFERROR(Inv_SY_B!CF34/Inv_SY_B!$IS34-1,"")</f>
        <v>1.8887820705715708E-2</v>
      </c>
      <c r="CG34" s="62">
        <f>IFERROR(Inv_SY_B!CG34/Inv_SY_B!$IS34-1,"")</f>
        <v>1.0624334730811258E-2</v>
      </c>
      <c r="CH34" s="62">
        <f>IFERROR(Inv_SY_B!CH34/Inv_SY_B!$IS34-1,"")</f>
        <v>2.3019563693168044E-2</v>
      </c>
      <c r="CI34" s="62">
        <f>IFERROR(Inv_SY_B!CI34/Inv_SY_B!$IS34-1,"")</f>
        <v>2.6324958083129735E-2</v>
      </c>
      <c r="CJ34" s="62">
        <f>IFERROR(Inv_SY_B!CJ34/Inv_SY_B!$IS34-1,"")</f>
        <v>1.2277031925792103E-2</v>
      </c>
      <c r="CK34" s="62">
        <f>IFERROR(Inv_SY_B!CK34/Inv_SY_B!$IS34-1,"")</f>
        <v>2.0457883040947422E-2</v>
      </c>
      <c r="CL34" s="62">
        <f>IFERROR(Inv_SY_B!CL34/Inv_SY_B!$IS34-1,"")</f>
        <v>2.0044708742202211E-2</v>
      </c>
      <c r="CM34" s="62">
        <f>IFERROR(Inv_SY_B!CM34/Inv_SY_B!$IS34-1,"")</f>
        <v>1.7235123510734862E-2</v>
      </c>
      <c r="CN34" s="62">
        <f>IFERROR(Inv_SY_B!CN34/Inv_SY_B!$IS34-1,"")</f>
        <v>2.2606389394422832E-2</v>
      </c>
      <c r="CO34" s="62">
        <f>IFERROR(Inv_SY_B!CO34/Inv_SY_B!$IS34-1,"")</f>
        <v>1.6931590891344772E-3</v>
      </c>
      <c r="CP34" s="62">
        <f>IFERROR(Inv_SY_B!CP34/Inv_SY_B!$IS34-1,"")</f>
        <v>2.5261184754048482E-3</v>
      </c>
      <c r="CQ34" s="62">
        <f>IFERROR(Inv_SY_B!CQ34/Inv_SY_B!$IS34-1,"")</f>
        <v>7.3189403408493448E-3</v>
      </c>
      <c r="CR34" s="62">
        <f>IFERROR(Inv_SY_B!CR34/Inv_SY_B!$IS34-1,"")</f>
        <v>3.1871973533972309E-3</v>
      </c>
      <c r="CS34" s="62">
        <f>IFERROR(Inv_SY_B!CS34/Inv_SY_B!$IS34-1,"")</f>
        <v>-9.4834811414561404E-3</v>
      </c>
      <c r="CT34" s="62">
        <f>IFERROR(Inv_SY_B!CT34/Inv_SY_B!$IS34-1,"")</f>
        <v>-5.0762886215071079E-3</v>
      </c>
      <c r="CU34" s="62">
        <f>IFERROR(Inv_SY_B!CU34/Inv_SY_B!$IS34-1,"")</f>
        <v>-1.1819703656446023E-4</v>
      </c>
      <c r="CV34" s="62">
        <f>IFERROR(Inv_SY_B!CV34/Inv_SY_B!$IS34-1,"")</f>
        <v>-1.0860728803940289E-2</v>
      </c>
      <c r="CW34" s="62">
        <f>IFERROR(Inv_SY_B!CW34/Inv_SY_B!$IS34-1,"")</f>
        <v>-7.5553344139784873E-3</v>
      </c>
      <c r="CX34" s="62">
        <f>IFERROR(Inv_SY_B!CX34/Inv_SY_B!$IS34-1,"")</f>
        <v>4.0135459508876536E-3</v>
      </c>
      <c r="CY34" s="62">
        <f>IFERROR(Inv_SY_B!CY34/Inv_SY_B!$IS34-1,"")</f>
        <v>-6.7289858164880645E-3</v>
      </c>
      <c r="CZ34" s="62">
        <f>IFERROR(Inv_SY_B!CZ34/Inv_SY_B!$IS34-1,"")</f>
        <v>-1.1687077401430601E-2</v>
      </c>
      <c r="DA34" s="62">
        <f>IFERROR(Inv_SY_B!DA34/Inv_SY_B!$IS34-1,"")</f>
        <v>-1.7708942315453058E-3</v>
      </c>
      <c r="DB34" s="62">
        <f>IFERROR(Inv_SY_B!DB34/Inv_SY_B!$IS34-1,"")</f>
        <v>7.0815156092596254E-4</v>
      </c>
      <c r="DC34" s="62">
        <f>IFERROR(Inv_SY_B!DC34/Inv_SY_B!$IS34-1,"")</f>
        <v>-1.9178006488771437E-3</v>
      </c>
      <c r="DD34" s="62">
        <f>IFERROR(Inv_SY_B!DD34/Inv_SY_B!$IS34-1,"")</f>
        <v>-1.0860728803940289E-2</v>
      </c>
      <c r="DE34" s="62">
        <f>IFERROR(Inv_SY_B!DE34/Inv_SY_B!$IS34-1,"")</f>
        <v>-3.0183005822903564E-4</v>
      </c>
      <c r="DF34" s="62">
        <f>IFERROR(Inv_SY_B!DF34/Inv_SY_B!$IS34-1,"")</f>
        <v>-2.1573126079135752E-2</v>
      </c>
      <c r="DG34" s="62">
        <f>IFERROR(Inv_SY_B!DG34/Inv_SY_B!$IS34-1,"")</f>
        <v>-1.1924502133020543E-3</v>
      </c>
      <c r="DH34" s="62">
        <f>IFERROR(Inv_SY_B!DH34/Inv_SY_B!$IS34-1,"")</f>
        <v>-1.7196068051366975E-2</v>
      </c>
      <c r="DI34" s="62">
        <f>IFERROR(Inv_SY_B!DI34/Inv_SY_B!$IS34-1,"")</f>
        <v>-1.9060649502114724E-2</v>
      </c>
      <c r="DJ34" s="62">
        <f>IFERROR(Inv_SY_B!DJ34/Inv_SY_B!$IS34-1,"")</f>
        <v>9.1623333660204587E-3</v>
      </c>
      <c r="DK34" s="62">
        <f>IFERROR(Inv_SY_B!DK34/Inv_SY_B!$IS34-1,"")</f>
        <v>-7.6471509248108305E-3</v>
      </c>
      <c r="DL34" s="62">
        <f>IFERROR(Inv_SY_B!DL34/Inv_SY_B!$IS34-1,"")</f>
        <v>-1.7708942315453058E-3</v>
      </c>
      <c r="DM34" s="62">
        <f>IFERROR(Inv_SY_B!DM34/Inv_SY_B!$IS34-1,"")</f>
        <v>1.971416930320613E-2</v>
      </c>
      <c r="DN34" s="62">
        <f>IFERROR(Inv_SY_B!DN34/Inv_SY_B!$IS34-1,"")</f>
        <v>-6.6463509567390444E-3</v>
      </c>
      <c r="DO34" s="62">
        <f>IFERROR(Inv_SY_B!DO34/Inv_SY_B!$IS34-1,"")</f>
        <v>-1.6036949878150186E-2</v>
      </c>
      <c r="DP34" s="62">
        <f>IFERROR(Inv_SY_B!DP34/Inv_SY_B!$IS34-1,"")</f>
        <v>-2.0868728484657928E-2</v>
      </c>
      <c r="DQ34" s="62">
        <f>IFERROR(Inv_SY_B!DQ34/Inv_SY_B!$IS34-1,"")</f>
        <v>-2.5275921004606738E-2</v>
      </c>
      <c r="DR34" s="62">
        <f>IFERROR(Inv_SY_B!DR34/Inv_SY_B!$IS34-1,"")</f>
        <v>-2.5972428290359506E-3</v>
      </c>
      <c r="DS34" s="62">
        <f>IFERROR(Inv_SY_B!DS34/Inv_SY_B!$IS34-1,"")</f>
        <v>-5.9026372189976417E-3</v>
      </c>
      <c r="DT34" s="62">
        <f>IFERROR(Inv_SY_B!DT34/Inv_SY_B!$IS34-1,"")</f>
        <v>-6.8391656294868319E-3</v>
      </c>
      <c r="DU34" s="62">
        <f>IFERROR(Inv_SY_B!DU34/Inv_SY_B!$IS34-1,"")</f>
        <v>2.122125827742849E-3</v>
      </c>
      <c r="DV34" s="62">
        <f>IFERROR(Inv_SY_B!DV34/Inv_SY_B!$IS34-1,"")</f>
        <v>-1.7708942315453058E-3</v>
      </c>
      <c r="DW34" s="62">
        <f>IFERROR(Inv_SY_B!DW34/Inv_SY_B!$IS34-1,"")</f>
        <v>5.6662431458687212E-3</v>
      </c>
      <c r="DX34" s="62">
        <f>IFERROR(Inv_SY_B!DX34/Inv_SY_B!$IS34-1,"")</f>
        <v>3.4442835837273922E-3</v>
      </c>
      <c r="DY34" s="62">
        <f>IFERROR(Inv_SY_B!DY34/Inv_SY_B!$IS34-1,"")</f>
        <v>8.7342128042422473E-4</v>
      </c>
      <c r="DZ34" s="62">
        <f>IFERROR(Inv_SY_B!DZ34/Inv_SY_B!$IS34-1,"")</f>
        <v>1.5345001584163853E-3</v>
      </c>
      <c r="EA34" s="62">
        <f>IFERROR(Inv_SY_B!EA34/Inv_SY_B!$IS34-1,"")</f>
        <v>-1.6461535964708895E-2</v>
      </c>
      <c r="EB34" s="62">
        <f>IFERROR(Inv_SY_B!EB34/Inv_SY_B!$IS34-1,"")</f>
        <v>-1.2054343444759863E-2</v>
      </c>
      <c r="EC34" s="62">
        <f>IFERROR(Inv_SY_B!EC34/Inv_SY_B!$IS34-1,"")</f>
        <v>3.0600667999372E-3</v>
      </c>
      <c r="ED34" s="62">
        <f>IFERROR(Inv_SY_B!ED34/Inv_SY_B!$IS34-1,"")</f>
        <v>7.7171683765597798E-4</v>
      </c>
      <c r="EE34" s="62">
        <f>IFERROR(Inv_SY_B!EE34/Inv_SY_B!$IS34-1,"")</f>
        <v>-7.6188996907085027E-3</v>
      </c>
      <c r="EF34" s="62">
        <f>IFERROR(Inv_SY_B!EF34/Inv_SY_B!$IS34-1,"")</f>
        <v>5.1403849474656038E-3</v>
      </c>
      <c r="EG34" s="62">
        <f>IFERROR(Inv_SY_B!EG34/Inv_SY_B!$IS34-1,"")</f>
        <v>3.6581582673516078E-3</v>
      </c>
      <c r="EH34" s="62">
        <f>IFERROR(Inv_SY_B!EH34/Inv_SY_B!$IS34-1,"")</f>
        <v>-1.2542319306525607E-2</v>
      </c>
      <c r="EI34" s="62">
        <f>IFERROR(Inv_SY_B!EI34/Inv_SY_B!$IS34-1,"")</f>
        <v>-8.6850627413167514E-3</v>
      </c>
      <c r="EJ34" s="62">
        <f>IFERROR(Inv_SY_B!EJ34/Inv_SY_B!$IS34-1,"")</f>
        <v>-1.6399575871734573E-2</v>
      </c>
      <c r="EK34" s="62">
        <f>IFERROR(Inv_SY_B!EK34/Inv_SY_B!$IS34-1,"")</f>
        <v>-1.2348156279423206E-2</v>
      </c>
      <c r="EL34" s="62">
        <f>IFERROR(Inv_SY_B!EL34/Inv_SY_B!$IS34-1,"")</f>
        <v>-7.5553344139784873E-3</v>
      </c>
      <c r="EM34" s="62">
        <f>IFERROR(Inv_SY_B!EM34/Inv_SY_B!$IS34-1,"")</f>
        <v>-6.8561163699479843E-3</v>
      </c>
      <c r="EN34" s="62">
        <f>IFERROR(Inv_SY_B!EN34/Inv_SY_B!$IS34-1,"")</f>
        <v>-1.5246732898312576E-2</v>
      </c>
      <c r="EO34" s="62">
        <f>IFERROR(Inv_SY_B!EO34/Inv_SY_B!$IS34-1,"")</f>
        <v>4.8398945483780764E-3</v>
      </c>
      <c r="EP34" s="62">
        <f>IFERROR(Inv_SY_B!EP34/Inv_SY_B!$IS34-1,"")</f>
        <v>9.925116686780866E-3</v>
      </c>
      <c r="EQ34" s="62">
        <f>IFERROR(Inv_SY_B!EQ34/Inv_SY_B!$IS34-1,"")</f>
        <v>-1.5570915809635877E-2</v>
      </c>
      <c r="ER34" s="62">
        <f>IFERROR(Inv_SY_B!ER34/Inv_SY_B!$IS34-1,"")</f>
        <v>9.925116686780866E-3</v>
      </c>
      <c r="ES34" s="62">
        <f>IFERROR(Inv_SY_B!ES34/Inv_SY_B!$IS34-1,"")</f>
        <v>2.3608487559068081E-3</v>
      </c>
      <c r="ET34" s="62">
        <f>IFERROR(Inv_SY_B!ET34/Inv_SY_B!$IS34-1,"")</f>
        <v>9.6477409337771824E-3</v>
      </c>
      <c r="EU34" s="62">
        <f>IFERROR(Inv_SY_B!EU34/Inv_SY_B!$IS34-1,"")</f>
        <v>1.3739033290582903E-2</v>
      </c>
      <c r="EV34" s="62">
        <f>IFERROR(Inv_SY_B!EV34/Inv_SY_B!$IS34-1,"")</f>
        <v>1.0687900007541273E-2</v>
      </c>
      <c r="EW34" s="62">
        <f>IFERROR(Inv_SY_B!EW34/Inv_SY_B!$IS34-1,"")</f>
        <v>1.1450683328301681E-2</v>
      </c>
      <c r="EX34" s="62">
        <f>IFERROR(Inv_SY_B!EX34/Inv_SY_B!$IS34-1,"")</f>
        <v>-8.38168301146891E-3</v>
      </c>
      <c r="EY34" s="62">
        <f>IFERROR(Inv_SY_B!EY34/Inv_SY_B!$IS34-1,"")</f>
        <v>6.3089587216944576E-3</v>
      </c>
      <c r="EZ34" s="62">
        <f>IFERROR(Inv_SY_B!EZ34/Inv_SY_B!$IS34-1,"")</f>
        <v>1.4756077718263372E-2</v>
      </c>
      <c r="FA34" s="62">
        <f>IFERROR(Inv_SY_B!FA34/Inv_SY_B!$IS34-1,"")</f>
        <v>-3.4235914265262624E-3</v>
      </c>
      <c r="FB34" s="62">
        <f>IFERROR(Inv_SY_B!FB34/Inv_SY_B!$IS34-1,"")</f>
        <v>-9.4454563405488301E-4</v>
      </c>
      <c r="FC34" s="62">
        <f>IFERROR(Inv_SY_B!FC34/Inv_SY_B!$IS34-1,"")</f>
        <v>-7.5553344139784873E-3</v>
      </c>
      <c r="FD34" s="62">
        <f>IFERROR(Inv_SY_B!FD34/Inv_SY_B!$IS34-1,"")</f>
        <v>-1.3339774596411669E-2</v>
      </c>
      <c r="FE34" s="62">
        <f>IFERROR(Inv_SY_B!FE34/Inv_SY_B!$IS34-1,"")</f>
        <v>-5.470682270309335E-3</v>
      </c>
      <c r="FF34" s="62">
        <f>IFERROR(Inv_SY_B!FF34/Inv_SY_B!$IS34-1,"")</f>
        <v>-1.2156593650004766E-2</v>
      </c>
      <c r="FG34" s="62">
        <f>IFERROR(Inv_SY_B!FG34/Inv_SY_B!$IS34-1,"")</f>
        <v>-2.1628301437906616E-2</v>
      </c>
      <c r="FH34" s="62">
        <f>IFERROR(Inv_SY_B!FH34/Inv_SY_B!$IS34-1,"")</f>
        <v>-1.2156593650004766E-2</v>
      </c>
      <c r="FI34" s="62">
        <f>IFERROR(Inv_SY_B!FI34/Inv_SY_B!$IS34-1,"")</f>
        <v>-1.568526910039969E-2</v>
      </c>
      <c r="FJ34" s="62">
        <f>IFERROR(Inv_SY_B!FJ34/Inv_SY_B!$IS34-1,"")</f>
        <v>-2.4599817606660079E-2</v>
      </c>
      <c r="FK34" s="62">
        <f>IFERROR(Inv_SY_B!FK34/Inv_SY_B!$IS34-1,"")</f>
        <v>1.105837641838181E-2</v>
      </c>
      <c r="FL34" s="62">
        <f>IFERROR(Inv_SY_B!FL34/Inv_SY_B!$IS34-1,"")</f>
        <v>-9.9502428947053634E-3</v>
      </c>
      <c r="FM34" s="62">
        <f>IFERROR(Inv_SY_B!FM34/Inv_SY_B!$IS34-1,"")</f>
        <v>7.9011404890814152E-3</v>
      </c>
      <c r="FN34" s="62">
        <f>IFERROR(Inv_SY_B!FN34/Inv_SY_B!$IS34-1,"")</f>
        <v>-1.8656785269153042E-2</v>
      </c>
      <c r="FO34" s="62">
        <f>IFERROR(Inv_SY_B!FO34/Inv_SY_B!$IS34-1,"")</f>
        <v>-4.63494334784742E-3</v>
      </c>
      <c r="FP34" s="62">
        <f>IFERROR(Inv_SY_B!FP34/Inv_SY_B!$IS34-1,"")</f>
        <v>-1.5325715643980442E-2</v>
      </c>
      <c r="FQ34" s="62">
        <f>IFERROR(Inv_SY_B!FQ34/Inv_SY_B!$IS34-1,"")</f>
        <v>-1.2357170991395661E-2</v>
      </c>
      <c r="FR34" s="62">
        <f>IFERROR(Inv_SY_B!FR34/Inv_SY_B!$IS34-1,"")</f>
        <v>-1.1554861625832191E-2</v>
      </c>
      <c r="FS34" s="62">
        <f>IFERROR(Inv_SY_B!FS34/Inv_SY_B!$IS34-1,"")</f>
        <v>-8.9993577207042597E-3</v>
      </c>
      <c r="FT34" s="62">
        <f>IFERROR(Inv_SY_B!FT34/Inv_SY_B!$IS34-1,"")</f>
        <v>-2.1984883378157072E-2</v>
      </c>
      <c r="FU34" s="62">
        <f>IFERROR(Inv_SY_B!FU34/Inv_SY_B!$IS34-1,"")</f>
        <v>3.629585996498097E-3</v>
      </c>
      <c r="FV34" s="62">
        <f>IFERROR(Inv_SY_B!FV34/Inv_SY_B!$IS34-1,"")</f>
        <v>-1.299233257246668E-2</v>
      </c>
      <c r="FW34" s="62">
        <f>IFERROR(Inv_SY_B!FW34/Inv_SY_B!$IS34-1,"")</f>
        <v>-1.5499549339852536E-2</v>
      </c>
      <c r="FX34" s="62">
        <f>IFERROR(Inv_SY_B!FX34/Inv_SY_B!$IS34-1,"")</f>
        <v>-1.3828071494928706E-2</v>
      </c>
      <c r="FY34" s="62">
        <f>IFERROR(Inv_SY_B!FY34/Inv_SY_B!$IS34-1,"")</f>
        <v>-1.7171027184776477E-2</v>
      </c>
      <c r="FZ34" s="62">
        <f>IFERROR(Inv_SY_B!FZ34/Inv_SY_B!$IS34-1,"")</f>
        <v>-2.1349721797086052E-2</v>
      </c>
      <c r="GA34" s="62">
        <f>IFERROR(Inv_SY_B!GA34/Inv_SY_B!$IS34-1,"")</f>
        <v>-2.2571186376068808E-2</v>
      </c>
      <c r="GB34" s="62">
        <f>IFERROR(Inv_SY_B!GB34/Inv_SY_B!$IS34-1,"")</f>
        <v>-2.5342696648848473E-2</v>
      </c>
      <c r="GC34" s="62">
        <f>IFERROR(Inv_SY_B!GC34/Inv_SY_B!$IS34-1,"")</f>
        <v>-1.8656785269153042E-2</v>
      </c>
      <c r="GD34" s="62">
        <f>IFERROR(Inv_SY_B!GD34/Inv_SY_B!$IS34-1,"")</f>
        <v>1.9735203631142229E-2</v>
      </c>
      <c r="GE34" s="62">
        <f>IFERROR(Inv_SY_B!GE34/Inv_SY_B!$IS34-1,"")</f>
        <v>-1.2542319306525607E-2</v>
      </c>
      <c r="GF34" s="62">
        <f>IFERROR(Inv_SY_B!GF34/Inv_SY_B!$IS34-1,"")</f>
        <v>-9.294468948799095E-2</v>
      </c>
      <c r="GG34" s="62">
        <f>IFERROR(Inv_SY_B!GG34/Inv_SY_B!$IS34-1,"")</f>
        <v>-2.1583728695375282E-2</v>
      </c>
      <c r="GH34" s="62">
        <f>IFERROR(Inv_SY_B!GH34/Inv_SY_B!$IS34-1,"")</f>
        <v>-2.1182574012593602E-2</v>
      </c>
      <c r="GI34" s="62">
        <f>IFERROR(Inv_SY_B!GI34/Inv_SY_B!$IS34-1,"")</f>
        <v>-1.7973336550339725E-2</v>
      </c>
      <c r="GJ34" s="62">
        <f>IFERROR(Inv_SY_B!GJ34/Inv_SY_B!$IS34-1,"")</f>
        <v>-2.5134522369826273E-3</v>
      </c>
      <c r="GK34" s="62">
        <f>IFERROR(Inv_SY_B!GK34/Inv_SY_B!$IS34-1,"")</f>
        <v>-4.63494334784742E-3</v>
      </c>
      <c r="GL34" s="62">
        <f>IFERROR(Inv_SY_B!GL34/Inv_SY_B!$IS34-1,"")</f>
        <v>1.4754199653269184E-2</v>
      </c>
      <c r="GM34" s="62">
        <f>IFERROR(Inv_SY_B!GM34/Inv_SY_B!$IS34-1,"")</f>
        <v>5.3939237216955593E-3</v>
      </c>
      <c r="GN34" s="62">
        <f>IFERROR(Inv_SY_B!GN34/Inv_SY_B!$IS34-1,"")</f>
        <v>1.5422790791238761E-2</v>
      </c>
      <c r="GO34" s="62">
        <f>IFERROR(Inv_SY_B!GO34/Inv_SY_B!$IS34-1,"")</f>
        <v>2.043722432601025E-2</v>
      </c>
      <c r="GP34" s="62">
        <f>IFERROR(Inv_SY_B!GP34/Inv_SY_B!$IS34-1,"")</f>
        <v>1.0408357256467049E-2</v>
      </c>
      <c r="GQ34" s="62">
        <f>IFERROR(Inv_SY_B!GQ34/Inv_SY_B!$IS34-1,"")</f>
        <v>2.394732780035036E-2</v>
      </c>
      <c r="GR34" s="62">
        <f>IFERROR(Inv_SY_B!GR34/Inv_SY_B!$IS34-1,"")</f>
        <v>1.5422790791238761E-2</v>
      </c>
      <c r="GS34" s="62" t="str">
        <f>IFERROR(Inv_SY_B!GS34/Inv_SY_B!$IS34-1,"")</f>
        <v/>
      </c>
      <c r="GT34" s="62" t="str">
        <f>IFERROR(Inv_SY_B!GT34/Inv_SY_B!$IS34-1,"")</f>
        <v/>
      </c>
      <c r="GU34" s="62">
        <f>IFERROR(Inv_SY_B!GU34/Inv_SY_B!$IS34-1,"")</f>
        <v>1.8084365670952618E-2</v>
      </c>
      <c r="GV34" s="62">
        <f>IFERROR(Inv_SY_B!GV34/Inv_SY_B!$IS34-1,"")</f>
        <v>-1.0126847898209834E-2</v>
      </c>
      <c r="GW34" s="62">
        <f>IFERROR(Inv_SY_B!GW34/Inv_SY_B!$IS34-1,"")</f>
        <v>-6.0821985550378876E-3</v>
      </c>
      <c r="GX34" s="62" t="str">
        <f>IFERROR(Inv_SY_B!GX34/Inv_SY_B!$IS34-1,"")</f>
        <v/>
      </c>
      <c r="GY34" s="62">
        <f>IFERROR(Inv_SY_B!GY34/Inv_SY_B!$IS34-1,"")</f>
        <v>-3.8997444461328357E-3</v>
      </c>
      <c r="GZ34" s="62">
        <f>IFERROR(Inv_SY_B!GZ34/Inv_SY_B!$IS34-1,"")</f>
        <v>3.1871973533972309E-3</v>
      </c>
      <c r="HA34" s="62">
        <f>IFERROR(Inv_SY_B!HA34/Inv_SY_B!$IS34-1,"")</f>
        <v>4.8398945483780764E-3</v>
      </c>
      <c r="HB34" s="62">
        <f>IFERROR(Inv_SY_B!HB34/Inv_SY_B!$IS34-1,"")</f>
        <v>8.3931935175869388E-3</v>
      </c>
      <c r="HC34" s="62">
        <f>IFERROR(Inv_SY_B!HC34/Inv_SY_B!$IS34-1,"")</f>
        <v>-6.7289858164880645E-3</v>
      </c>
      <c r="HD34" s="62">
        <f>IFERROR(Inv_SY_B!HD34/Inv_SY_B!$IS34-1,"")</f>
        <v>2.3019563693168044E-2</v>
      </c>
      <c r="HE34" s="62">
        <f>IFERROR(Inv_SY_B!HE34/Inv_SY_B!$IS34-1,"")</f>
        <v>2.3608487559068081E-3</v>
      </c>
      <c r="HF34" s="62">
        <f>IFERROR(Inv_SY_B!HF34/Inv_SY_B!$IS34-1,"")</f>
        <v>2.3019563693168044E-2</v>
      </c>
      <c r="HG34" s="62">
        <f>IFERROR(Inv_SY_B!HG34/Inv_SY_B!$IS34-1,"")</f>
        <v>1.7235123510734862E-2</v>
      </c>
      <c r="HH34" s="62">
        <f>IFERROR(Inv_SY_B!HH34/Inv_SY_B!$IS34-1,"")</f>
        <v>-2.5972428290359506E-3</v>
      </c>
      <c r="HI34" s="62">
        <f>IFERROR(Inv_SY_B!HI34/Inv_SY_B!$IS34-1,"")</f>
        <v>7.2363054811006577E-3</v>
      </c>
      <c r="HJ34" s="62">
        <f>IFERROR(Inv_SY_B!HJ34/Inv_SY_B!$IS34-1,"")</f>
        <v>2.2193215095677621E-2</v>
      </c>
      <c r="HK34" s="62">
        <f>IFERROR(Inv_SY_B!HK34/Inv_SY_B!$IS34-1,"")</f>
        <v>-2.0868728484657928E-2</v>
      </c>
      <c r="HL34" s="62">
        <f>IFERROR(Inv_SY_B!HL34/Inv_SY_B!$IS34-1,"")</f>
        <v>1.2993200710283759E-2</v>
      </c>
      <c r="HM34" s="62">
        <f>IFERROR(Inv_SY_B!HM34/Inv_SY_B!$IS34-1,"")</f>
        <v>3.1540612867290152E-2</v>
      </c>
      <c r="HN34" s="62">
        <f>IFERROR(Inv_SY_B!HN34/Inv_SY_B!$IS34-1,"")</f>
        <v>5.6242255895721405E-2</v>
      </c>
      <c r="HO34" s="62">
        <f>IFERROR(Inv_SY_B!HO34/Inv_SY_B!$IS34-1,"")</f>
        <v>3.862175053544048E-2</v>
      </c>
      <c r="HP34" s="62">
        <f>IFERROR(Inv_SY_B!HP34/Inv_SY_B!$IS34-1,"")</f>
        <v>5.1301927290035021E-2</v>
      </c>
      <c r="HQ34" s="62">
        <f>IFERROR(Inv_SY_B!HQ34/Inv_SY_B!$IS34-1,"")</f>
        <v>-1.0909618114902875E-2</v>
      </c>
      <c r="HR34" s="62">
        <f>IFERROR(Inv_SY_B!HR34/Inv_SY_B!$IS34-1,"")</f>
        <v>-1.3398701039351923E-2</v>
      </c>
      <c r="HS34" s="62">
        <f>IFERROR(Inv_SY_B!HS34/Inv_SY_B!$IS34-1,"")</f>
        <v>-6.5571053082101871E-3</v>
      </c>
      <c r="HT34" s="62">
        <f>IFERROR(Inv_SY_B!HT34/Inv_SY_B!$IS34-1,"")</f>
        <v>1.1009964076306833E-2</v>
      </c>
      <c r="HU34" s="62">
        <f>IFERROR(Inv_SY_B!HU34/Inv_SY_B!$IS34-1,"")</f>
        <v>8.0944367169557552E-3</v>
      </c>
      <c r="HV34" s="62">
        <f>IFERROR(Inv_SY_B!HV34/Inv_SY_B!$IS34-1,"")</f>
        <v>-1.5246732898312576E-2</v>
      </c>
      <c r="HW34" s="62">
        <f>IFERROR(Inv_SY_B!HW34/Inv_SY_B!$IS34-1,"")</f>
        <v>2.255680847857322E-2</v>
      </c>
      <c r="HX34" s="62">
        <f>IFERROR(Inv_SY_B!HX34/Inv_SY_B!$IS34-1,"")</f>
        <v>1.1069291667921588E-2</v>
      </c>
      <c r="HY34" s="62">
        <f>IFERROR(Inv_SY_B!HY34/Inv_SY_B!$IS34-1,"")</f>
        <v>1.1891402580296528E-2</v>
      </c>
      <c r="HZ34" s="62">
        <f>IFERROR(Inv_SY_B!HZ34/Inv_SY_B!$IS34-1,"")</f>
        <v>-2.0428009232662969E-2</v>
      </c>
      <c r="IA34" s="62">
        <f>IFERROR(Inv_SY_B!IA34/Inv_SY_B!$IS34-1,"")</f>
        <v>-9.1136468041176366E-3</v>
      </c>
      <c r="IB34" s="62">
        <f>IFERROR(Inv_SY_B!IB34/Inv_SY_B!$IS34-1,"")</f>
        <v>-1.9797635226799448E-2</v>
      </c>
      <c r="IC34" s="62">
        <f>IFERROR(Inv_SY_B!IC34/Inv_SY_B!$IS34-1,"")</f>
        <v>-2.0256832436943428E-2</v>
      </c>
      <c r="ID34" s="62">
        <f>IFERROR(Inv_SY_B!ID34/Inv_SY_B!$IS34-1,"")</f>
        <v>-1.7748821995367425E-2</v>
      </c>
      <c r="IE34" s="62">
        <f>IFERROR(Inv_SY_B!IE34/Inv_SY_B!$IS34-1,"")</f>
        <v>-1.9925622673210741E-2</v>
      </c>
      <c r="IF34" s="62" t="str">
        <f>IFERROR(Inv_SY_B!IF34/Inv_SY_B!$IS34-1,"")</f>
        <v/>
      </c>
      <c r="IG34" s="62">
        <f>IFERROR(Inv_SY_B!IG34/Inv_SY_B!$IS34-1,"")</f>
        <v>-1.7900955718364031E-4</v>
      </c>
      <c r="IH34" s="62">
        <f>IFERROR(Inv_SY_B!IH34/Inv_SY_B!$IS34-1,"")</f>
        <v>-1.9399664311341658E-2</v>
      </c>
      <c r="II34" s="62">
        <f>IFERROR(Inv_SY_B!II34/Inv_SY_B!$IS34-1,"")</f>
        <v>1.0904919567795712E-3</v>
      </c>
      <c r="IJ34" s="62">
        <f>IFERROR(Inv_SY_B!IJ34/Inv_SY_B!$IS34-1,"")</f>
        <v>4.1044348034846578E-4</v>
      </c>
      <c r="IK34" s="62">
        <f>IFERROR(Inv_SY_B!IK34/Inv_SY_B!$IS34-1,"")</f>
        <v>-2.0256832436943428E-2</v>
      </c>
      <c r="IL34" s="62" t="str">
        <f>IFERROR(Inv_SY_B!IL34/Inv_SY_B!$IS34-1,"")</f>
        <v/>
      </c>
      <c r="IM34" s="62" t="str">
        <f>IFERROR(Inv_SY_B!IM34/Inv_SY_B!$IS34-1,"")</f>
        <v/>
      </c>
      <c r="IN34" s="62">
        <f>IFERROR(Inv_SY_B!IN34/Inv_SY_B!$IS34-1,"")</f>
        <v>3.6546812521052185E-2</v>
      </c>
      <c r="IO34" s="62">
        <f>IFERROR(Inv_SY_B!IO34/Inv_SY_B!$IS34-1,"")</f>
        <v>2.1042414580206836E-2</v>
      </c>
      <c r="IP34" s="62">
        <f>IFERROR(Inv_SY_B!IP34/Inv_SY_B!$IS34-1,"")</f>
        <v>2.0970477685834377E-2</v>
      </c>
      <c r="IQ34" s="62">
        <f>IFERROR(Inv_SY_B!IQ34/Inv_SY_B!$IS34-1,"")</f>
        <v>3.1520257750394798E-4</v>
      </c>
      <c r="IR34" s="62">
        <f>IFERROR(Inv_SY_B!IR34/Inv_SY_B!$IS34-1,"")</f>
        <v>-2.0314403430454098E-2</v>
      </c>
    </row>
    <row r="35" spans="2:252" x14ac:dyDescent="0.25">
      <c r="B35" s="85">
        <f t="shared" si="0"/>
        <v>45861</v>
      </c>
      <c r="C35" s="62">
        <f>IFERROR(Inv_SY_B!C35/Inv_SY_B!$IS35-1,"")</f>
        <v>-1.3192402552698712E-2</v>
      </c>
      <c r="D35" s="62">
        <f>IFERROR(Inv_SY_B!D35/Inv_SY_B!$IS35-1,"")</f>
        <v>-2.9345273193588373E-3</v>
      </c>
      <c r="E35" s="62">
        <f>IFERROR(Inv_SY_B!E35/Inv_SY_B!$IS35-1,"")</f>
        <v>-1.3192402552698712E-2</v>
      </c>
      <c r="F35" s="62">
        <f>IFERROR(Inv_SY_B!F35/Inv_SY_B!$IS35-1,"")</f>
        <v>-1.9860021454369714E-2</v>
      </c>
      <c r="G35" s="62">
        <f>IFERROR(Inv_SY_B!G35/Inv_SY_B!$IS35-1,"")</f>
        <v>-1.7035822913579191E-3</v>
      </c>
      <c r="H35" s="62">
        <f>IFERROR(Inv_SY_B!H35/Inv_SY_B!$IS35-1,"")</f>
        <v>2.3653748845333666E-3</v>
      </c>
      <c r="I35" s="62">
        <f>IFERROR(Inv_SY_B!I35/Inv_SY_B!$IS35-1,"")</f>
        <v>6.1436922621469492E-3</v>
      </c>
      <c r="J35" s="62">
        <f>IFERROR(Inv_SY_B!J35/Inv_SY_B!$IS35-1,"")</f>
        <v>-4.3022440171374132E-3</v>
      </c>
      <c r="K35" s="62">
        <f>IFERROR(Inv_SY_B!K35/Inv_SY_B!$IS35-1,"")</f>
        <v>-1.852649767403558E-2</v>
      </c>
      <c r="L35" s="62">
        <f>IFERROR(Inv_SY_B!L35/Inv_SY_B!$IS35-1,"")</f>
        <v>9.2107969569157344E-3</v>
      </c>
      <c r="M35" s="62">
        <f>IFERROR(Inv_SY_B!M35/Inv_SY_B!$IS35-1,"")</f>
        <v>1.428352506431807E-4</v>
      </c>
      <c r="N35" s="62">
        <f>IFERROR(Inv_SY_B!N35/Inv_SY_B!$IS35-1,"")</f>
        <v>-2.0797043832471163E-3</v>
      </c>
      <c r="O35" s="62">
        <f>IFERROR(Inv_SY_B!O35/Inv_SY_B!$IS35-1,"")</f>
        <v>1.6811882504820685E-2</v>
      </c>
      <c r="P35" s="62">
        <f>IFERROR(Inv_SY_B!P35/Inv_SY_B!$IS35-1,"")</f>
        <v>-2.0466168627248926E-2</v>
      </c>
      <c r="Q35" s="62">
        <f>IFERROR(Inv_SY_B!Q35/Inv_SY_B!$IS35-1,"")</f>
        <v>-1.8574504198580755E-3</v>
      </c>
      <c r="R35" s="62">
        <f>IFERROR(Inv_SY_B!R35/Inv_SY_B!$IS35-1,"")</f>
        <v>2.3653748845333666E-3</v>
      </c>
      <c r="S35" s="62">
        <f>IFERROR(Inv_SY_B!S35/Inv_SY_B!$IS35-1,"")</f>
        <v>9.0329937862043685E-3</v>
      </c>
      <c r="T35" s="62">
        <f>IFERROR(Inv_SY_B!T35/Inv_SY_B!$IS35-1,"")</f>
        <v>-7.4618060291298249E-4</v>
      </c>
      <c r="U35" s="62">
        <f>IFERROR(Inv_SY_B!U35/Inv_SY_B!$IS35-1,"")</f>
        <v>1.3478073053984962E-2</v>
      </c>
      <c r="V35" s="62">
        <f>IFERROR(Inv_SY_B!V35/Inv_SY_B!$IS35-1,"")</f>
        <v>-6.7779476802398708E-4</v>
      </c>
      <c r="W35" s="62">
        <f>IFERROR(Inv_SY_B!W35/Inv_SY_B!$IS35-1,"")</f>
        <v>8.1439779326482054E-3</v>
      </c>
      <c r="X35" s="62">
        <f>IFERROR(Inv_SY_B!X35/Inv_SY_B!$IS35-1,"")</f>
        <v>1.3478073053984962E-2</v>
      </c>
      <c r="Y35" s="62">
        <f>IFERROR(Inv_SY_B!Y35/Inv_SY_B!$IS35-1,"")</f>
        <v>1.2657443035317906E-2</v>
      </c>
      <c r="Z35" s="62">
        <f>IFERROR(Inv_SY_B!Z35/Inv_SY_B!$IS35-1,"")</f>
        <v>9.9220096397605317E-3</v>
      </c>
      <c r="AA35" s="62">
        <f>IFERROR(Inv_SY_B!AA35/Inv_SY_B!$IS35-1,"")</f>
        <v>1.1221340502650223E-2</v>
      </c>
      <c r="AB35" s="62">
        <f>IFERROR(Inv_SY_B!AB35/Inv_SY_B!$IS35-1,"")</f>
        <v>5.5315025997670908E-4</v>
      </c>
      <c r="AC35" s="62">
        <f>IFERROR(Inv_SY_B!AC35/Inv_SY_B!$IS35-1,"")</f>
        <v>5.2717728673130626E-3</v>
      </c>
      <c r="AD35" s="62">
        <f>IFERROR(Inv_SY_B!AD35/Inv_SY_B!$IS35-1,"")</f>
        <v>-6.2778348028177389E-3</v>
      </c>
      <c r="AE35" s="62">
        <f>IFERROR(Inv_SY_B!AE35/Inv_SY_B!$IS35-1,"")</f>
        <v>-1.0229016374178279E-2</v>
      </c>
      <c r="AF35" s="62">
        <f>IFERROR(Inv_SY_B!AF35/Inv_SY_B!$IS35-1,"")</f>
        <v>1.1897600425440968E-2</v>
      </c>
      <c r="AG35" s="62">
        <f>IFERROR(Inv_SY_B!AG35/Inv_SY_B!$IS35-1,"")</f>
        <v>-2.3266532314571986E-3</v>
      </c>
      <c r="AH35" s="62">
        <f>IFERROR(Inv_SY_B!AH35/Inv_SY_B!$IS35-1,"")</f>
        <v>1.6245283399032306E-3</v>
      </c>
      <c r="AI35" s="62">
        <f>IFERROR(Inv_SY_B!AI35/Inv_SY_B!$IS35-1,"")</f>
        <v>-1.7967717662307425E-2</v>
      </c>
      <c r="AJ35" s="62">
        <f>IFERROR(Inv_SY_B!AJ35/Inv_SY_B!$IS35-1,"")</f>
        <v>-1.3778347839529137E-2</v>
      </c>
      <c r="AK35" s="62">
        <f>IFERROR(Inv_SY_B!AK35/Inv_SY_B!$IS35-1,"")</f>
        <v>2.3653748845333666E-3</v>
      </c>
      <c r="AL35" s="62">
        <f>IFERROR(Inv_SY_B!AL35/Inv_SY_B!$IS35-1,"")</f>
        <v>1.0537985495469693E-2</v>
      </c>
      <c r="AM35" s="62">
        <f>IFERROR(Inv_SY_B!AM35/Inv_SY_B!$IS35-1,"")</f>
        <v>1.428352506431807E-4</v>
      </c>
      <c r="AN35" s="62">
        <f>IFERROR(Inv_SY_B!AN35/Inv_SY_B!$IS35-1,"")</f>
        <v>-4.3022440171374132E-3</v>
      </c>
      <c r="AO35" s="62">
        <f>IFERROR(Inv_SY_B!AO35/Inv_SY_B!$IS35-1,"")</f>
        <v>1.7923152321765778E-2</v>
      </c>
      <c r="AP35" s="62">
        <f>IFERROR(Inv_SY_B!AP35/Inv_SY_B!$IS35-1,"")</f>
        <v>2.0145691955655964E-2</v>
      </c>
      <c r="AQ35" s="62">
        <f>IFERROR(Inv_SY_B!AQ35/Inv_SY_B!$IS35-1,"")</f>
        <v>-1.5414942186589009E-2</v>
      </c>
      <c r="AR35" s="62">
        <f>IFERROR(Inv_SY_B!AR35/Inv_SY_B!$IS35-1,"")</f>
        <v>1.570061268787537E-2</v>
      </c>
      <c r="AS35" s="62">
        <f>IFERROR(Inv_SY_B!AS35/Inv_SY_B!$IS35-1,"")</f>
        <v>2.3653748845333666E-3</v>
      </c>
      <c r="AT35" s="62">
        <f>IFERROR(Inv_SY_B!AT35/Inv_SY_B!$IS35-1,"")</f>
        <v>-8.7473232849181182E-3</v>
      </c>
      <c r="AU35" s="62">
        <f>IFERROR(Inv_SY_B!AU35/Inv_SY_B!$IS35-1,"")</f>
        <v>-4.3022440171374132E-3</v>
      </c>
      <c r="AV35" s="62">
        <f>IFERROR(Inv_SY_B!AV35/Inv_SY_B!$IS35-1,"")</f>
        <v>4.5879145184237746E-3</v>
      </c>
      <c r="AW35" s="62">
        <f>IFERROR(Inv_SY_B!AW35/Inv_SY_B!$IS35-1,"")</f>
        <v>-1.3192402552698712E-2</v>
      </c>
      <c r="AX35" s="62">
        <f>IFERROR(Inv_SY_B!AX35/Inv_SY_B!$IS35-1,"")</f>
        <v>-4.3022440171374132E-3</v>
      </c>
      <c r="AY35" s="62">
        <f>IFERROR(Inv_SY_B!AY35/Inv_SY_B!$IS35-1,"")</f>
        <v>-1.2125583528431405E-2</v>
      </c>
      <c r="AZ35" s="62">
        <f>IFERROR(Inv_SY_B!AZ35/Inv_SY_B!$IS35-1,"")</f>
        <v>-1.4573932857578908E-3</v>
      </c>
      <c r="BA35" s="62">
        <f>IFERROR(Inv_SY_B!BA35/Inv_SY_B!$IS35-1,"")</f>
        <v>1.1922295310261788E-2</v>
      </c>
      <c r="BB35" s="62">
        <f>IFERROR(Inv_SY_B!BB35/Inv_SY_B!$IS35-1,"")</f>
        <v>4.5879145184237746E-3</v>
      </c>
      <c r="BC35" s="62">
        <f>IFERROR(Inv_SY_B!BC35/Inv_SY_B!$IS35-1,"")</f>
        <v>1.2292718582576967E-2</v>
      </c>
      <c r="BD35" s="62">
        <f>IFERROR(Inv_SY_B!BD35/Inv_SY_B!$IS35-1,"")</f>
        <v>-6.2778348028177389E-3</v>
      </c>
      <c r="BE35" s="62">
        <f>IFERROR(Inv_SY_B!BE35/Inv_SY_B!$IS35-1,"")</f>
        <v>-2.9345273193588373E-3</v>
      </c>
      <c r="BF35" s="62">
        <f>IFERROR(Inv_SY_B!BF35/Inv_SY_B!$IS35-1,"")</f>
        <v>-1.2007048081290606E-2</v>
      </c>
      <c r="BG35" s="62">
        <f>IFERROR(Inv_SY_B!BG35/Inv_SY_B!$IS35-1,"")</f>
        <v>1.031712779689653E-2</v>
      </c>
      <c r="BH35" s="62">
        <f>IFERROR(Inv_SY_B!BH35/Inv_SY_B!$IS35-1,"")</f>
        <v>-2.0797043832471163E-3</v>
      </c>
      <c r="BI35" s="62">
        <f>IFERROR(Inv_SY_B!BI35/Inv_SY_B!$IS35-1,"")</f>
        <v>9.5268914826245332E-3</v>
      </c>
      <c r="BJ35" s="62">
        <f>IFERROR(Inv_SY_B!BJ35/Inv_SY_B!$IS35-1,"")</f>
        <v>1.6245283399032306E-3</v>
      </c>
      <c r="BK35" s="62">
        <f>IFERROR(Inv_SY_B!BK35/Inv_SY_B!$IS35-1,"")</f>
        <v>2.3653748845333666E-3</v>
      </c>
      <c r="BL35" s="62">
        <f>IFERROR(Inv_SY_B!BL35/Inv_SY_B!$IS35-1,"")</f>
        <v>-1.130075289441268E-2</v>
      </c>
      <c r="BM35" s="62">
        <f>IFERROR(Inv_SY_B!BM35/Inv_SY_B!$IS35-1,"")</f>
        <v>-6.5247836510277102E-3</v>
      </c>
      <c r="BN35" s="62">
        <f>IFERROR(Inv_SY_B!BN35/Inv_SY_B!$IS35-1,"")</f>
        <v>-5.38912860298979E-3</v>
      </c>
      <c r="BO35" s="62">
        <f>IFERROR(Inv_SY_B!BO35/Inv_SY_B!$IS35-1,"")</f>
        <v>7.3233479139811486E-3</v>
      </c>
      <c r="BP35" s="62">
        <f>IFERROR(Inv_SY_B!BP35/Inv_SY_B!$IS35-1,"")</f>
        <v>2.0453428212656055E-2</v>
      </c>
      <c r="BQ35" s="62">
        <f>IFERROR(Inv_SY_B!BQ35/Inv_SY_B!$IS35-1,"")</f>
        <v>2.5992680838659687E-2</v>
      </c>
      <c r="BR35" s="62">
        <f>IFERROR(Inv_SY_B!BR35/Inv_SY_B!$IS35-1,"")</f>
        <v>1.9892527926441694E-3</v>
      </c>
      <c r="BS35" s="62">
        <f>IFERROR(Inv_SY_B!BS35/Inv_SY_B!$IS35-1,"")</f>
        <v>1.6367374578042604E-2</v>
      </c>
      <c r="BT35" s="62">
        <f>IFERROR(Inv_SY_B!BT35/Inv_SY_B!$IS35-1,"")</f>
        <v>1.881216817532172E-2</v>
      </c>
      <c r="BU35" s="62">
        <f>IFERROR(Inv_SY_B!BU35/Inv_SY_B!$IS35-1,"")</f>
        <v>2.481302518682571E-2</v>
      </c>
      <c r="BV35" s="62">
        <f>IFERROR(Inv_SY_B!BV35/Inv_SY_B!$IS35-1,"")</f>
        <v>1.2589057200429021E-2</v>
      </c>
      <c r="BW35" s="62">
        <f>IFERROR(Inv_SY_B!BW35/Inv_SY_B!$IS35-1,"")</f>
        <v>-6.5247836510277102E-3</v>
      </c>
      <c r="BX35" s="62">
        <f>IFERROR(Inv_SY_B!BX35/Inv_SY_B!$IS35-1,"")</f>
        <v>2.5702041040381651E-2</v>
      </c>
      <c r="BY35" s="62">
        <f>IFERROR(Inv_SY_B!BY35/Inv_SY_B!$IS35-1,"")</f>
        <v>1.2687836739712965E-2</v>
      </c>
      <c r="BZ35" s="62">
        <f>IFERROR(Inv_SY_B!BZ35/Inv_SY_B!$IS35-1,"")</f>
        <v>-1.8131379516899471E-2</v>
      </c>
      <c r="CA35" s="62">
        <f>IFERROR(Inv_SY_B!CA35/Inv_SY_B!$IS35-1,"")</f>
        <v>1.4268309368257182E-2</v>
      </c>
      <c r="CB35" s="62">
        <f>IFERROR(Inv_SY_B!CB35/Inv_SY_B!$IS35-1,"")</f>
        <v>1.5256104761097289E-2</v>
      </c>
      <c r="CC35" s="62">
        <f>IFERROR(Inv_SY_B!CC35/Inv_SY_B!$IS35-1,"")</f>
        <v>-1.1906885296910641E-3</v>
      </c>
      <c r="CD35" s="62">
        <f>IFERROR(Inv_SY_B!CD35/Inv_SY_B!$IS35-1,"")</f>
        <v>-2.9345273193588373E-3</v>
      </c>
      <c r="CE35" s="62">
        <f>IFERROR(Inv_SY_B!CE35/Inv_SY_B!$IS35-1,"")</f>
        <v>5.0324224452018562E-3</v>
      </c>
      <c r="CF35" s="62">
        <f>IFERROR(Inv_SY_B!CF35/Inv_SY_B!$IS35-1,"")</f>
        <v>1.7923152321765778E-2</v>
      </c>
      <c r="CG35" s="62">
        <f>IFERROR(Inv_SY_B!CG35/Inv_SY_B!$IS35-1,"")</f>
        <v>1.3255819090596033E-2</v>
      </c>
      <c r="CH35" s="62">
        <f>IFERROR(Inv_SY_B!CH35/Inv_SY_B!$IS35-1,"")</f>
        <v>1.570061268787537E-2</v>
      </c>
      <c r="CI35" s="62">
        <f>IFERROR(Inv_SY_B!CI35/Inv_SY_B!$IS35-1,"")</f>
        <v>-6.9692915778057918E-3</v>
      </c>
      <c r="CJ35" s="62">
        <f>IFERROR(Inv_SY_B!CJ35/Inv_SY_B!$IS35-1,"")</f>
        <v>2.3653748845333666E-3</v>
      </c>
      <c r="CK35" s="62">
        <f>IFERROR(Inv_SY_B!CK35/Inv_SY_B!$IS35-1,"")</f>
        <v>-1.0747608955419374E-2</v>
      </c>
      <c r="CL35" s="62">
        <f>IFERROR(Inv_SY_B!CL35/Inv_SY_B!$IS35-1,"")</f>
        <v>-1.0303101028641293E-2</v>
      </c>
      <c r="CM35" s="62">
        <f>IFERROR(Inv_SY_B!CM35/Inv_SY_B!$IS35-1,"")</f>
        <v>1.0811025493316695E-2</v>
      </c>
      <c r="CN35" s="62">
        <f>IFERROR(Inv_SY_B!CN35/Inv_SY_B!$IS35-1,"")</f>
        <v>4.5879145184237746E-3</v>
      </c>
      <c r="CO35" s="62">
        <f>IFERROR(Inv_SY_B!CO35/Inv_SY_B!$IS35-1,"")</f>
        <v>-7.2182160168015042E-3</v>
      </c>
      <c r="CP35" s="62">
        <f>IFERROR(Inv_SY_B!CP35/Inv_SY_B!$IS35-1,"")</f>
        <v>1.0605867988650042E-2</v>
      </c>
      <c r="CQ35" s="62">
        <f>IFERROR(Inv_SY_B!CQ35/Inv_SY_B!$IS35-1,"")</f>
        <v>-6.5247836510277102E-3</v>
      </c>
      <c r="CR35" s="62">
        <f>IFERROR(Inv_SY_B!CR35/Inv_SY_B!$IS35-1,"")</f>
        <v>9.0329937862043685E-3</v>
      </c>
      <c r="CS35" s="62">
        <f>IFERROR(Inv_SY_B!CS35/Inv_SY_B!$IS35-1,"")</f>
        <v>1.6245283399032306E-3</v>
      </c>
      <c r="CT35" s="62">
        <f>IFERROR(Inv_SY_B!CT35/Inv_SY_B!$IS35-1,"")</f>
        <v>3.9211526282567633E-3</v>
      </c>
      <c r="CU35" s="62">
        <f>IFERROR(Inv_SY_B!CU35/Inv_SY_B!$IS35-1,"")</f>
        <v>-6.5247836510277102E-3</v>
      </c>
      <c r="CV35" s="62">
        <f>IFERROR(Inv_SY_B!CV35/Inv_SY_B!$IS35-1,"")</f>
        <v>2.3653748845333666E-3</v>
      </c>
      <c r="CW35" s="62">
        <f>IFERROR(Inv_SY_B!CW35/Inv_SY_B!$IS35-1,"")</f>
        <v>-2.0797043832471163E-3</v>
      </c>
      <c r="CX35" s="62">
        <f>IFERROR(Inv_SY_B!CX35/Inv_SY_B!$IS35-1,"")</f>
        <v>-2.0797043832471163E-3</v>
      </c>
      <c r="CY35" s="62">
        <f>IFERROR(Inv_SY_B!CY35/Inv_SY_B!$IS35-1,"")</f>
        <v>7.2549620790920422E-3</v>
      </c>
      <c r="CZ35" s="62">
        <f>IFERROR(Inv_SY_B!CZ35/Inv_SY_B!$IS35-1,"")</f>
        <v>1.5033850797708359E-2</v>
      </c>
      <c r="DA35" s="62">
        <f>IFERROR(Inv_SY_B!DA35/Inv_SY_B!$IS35-1,"")</f>
        <v>2.3653748845333666E-3</v>
      </c>
      <c r="DB35" s="62">
        <f>IFERROR(Inv_SY_B!DB35/Inv_SY_B!$IS35-1,"")</f>
        <v>4.3656605550346228E-3</v>
      </c>
      <c r="DC35" s="62">
        <f>IFERROR(Inv_SY_B!DC35/Inv_SY_B!$IS35-1,"")</f>
        <v>-1.0229016374178279E-2</v>
      </c>
      <c r="DD35" s="62">
        <f>IFERROR(Inv_SY_B!DD35/Inv_SY_B!$IS35-1,"")</f>
        <v>-2.0797043832471163E-3</v>
      </c>
      <c r="DE35" s="62">
        <f>IFERROR(Inv_SY_B!DE35/Inv_SY_B!$IS35-1,"")</f>
        <v>-1.6155788731219145E-2</v>
      </c>
      <c r="DF35" s="62">
        <f>IFERROR(Inv_SY_B!DF35/Inv_SY_B!$IS35-1,"")</f>
        <v>-1.3286092748038381E-2</v>
      </c>
      <c r="DG35" s="62">
        <f>IFERROR(Inv_SY_B!DG35/Inv_SY_B!$IS35-1,"")</f>
        <v>-1.0969862918808415E-2</v>
      </c>
      <c r="DH35" s="62">
        <f>IFERROR(Inv_SY_B!DH35/Inv_SY_B!$IS35-1,"")</f>
        <v>-1.0229016374178279E-2</v>
      </c>
      <c r="DI35" s="62">
        <f>IFERROR(Inv_SY_B!DI35/Inv_SY_B!$IS35-1,"")</f>
        <v>-2.3450277786038698E-2</v>
      </c>
      <c r="DJ35" s="62">
        <f>IFERROR(Inv_SY_B!DJ35/Inv_SY_B!$IS35-1,"")</f>
        <v>1.3888388063318713E-2</v>
      </c>
      <c r="DK35" s="62">
        <f>IFERROR(Inv_SY_B!DK35/Inv_SY_B!$IS35-1,"")</f>
        <v>-2.0106970302579685E-2</v>
      </c>
      <c r="DL35" s="62">
        <f>IFERROR(Inv_SY_B!DL35/Inv_SY_B!$IS35-1,"")</f>
        <v>1.822087418471563E-3</v>
      </c>
      <c r="DM35" s="62">
        <f>IFERROR(Inv_SY_B!DM35/Inv_SY_B!$IS35-1,"")</f>
        <v>5.4769303719797158E-3</v>
      </c>
      <c r="DN35" s="62">
        <f>IFERROR(Inv_SY_B!DN35/Inv_SY_B!$IS35-1,"")</f>
        <v>-1.7859735783868569E-2</v>
      </c>
      <c r="DO35" s="62">
        <f>IFERROR(Inv_SY_B!DO35/Inv_SY_B!$IS35-1,"")</f>
        <v>-1.3740536262842884E-3</v>
      </c>
      <c r="DP35" s="62">
        <f>IFERROR(Inv_SY_B!DP35/Inv_SY_B!$IS35-1,"")</f>
        <v>3.6001191255836673E-3</v>
      </c>
      <c r="DQ35" s="62">
        <f>IFERROR(Inv_SY_B!DQ35/Inv_SY_B!$IS35-1,"")</f>
        <v>-1.7933820438331471E-2</v>
      </c>
      <c r="DR35" s="62">
        <f>IFERROR(Inv_SY_B!DR35/Inv_SY_B!$IS35-1,"")</f>
        <v>-8.7473232849181182E-3</v>
      </c>
      <c r="DS35" s="62">
        <f>IFERROR(Inv_SY_B!DS35/Inv_SY_B!$IS35-1,"")</f>
        <v>6.8104541523139606E-3</v>
      </c>
      <c r="DT35" s="62">
        <f>IFERROR(Inv_SY_B!DT35/Inv_SY_B!$IS35-1,"")</f>
        <v>-1.0229016374178279E-2</v>
      </c>
      <c r="DU35" s="62">
        <f>IFERROR(Inv_SY_B!DU35/Inv_SY_B!$IS35-1,"")</f>
        <v>-6.2778348028177389E-3</v>
      </c>
      <c r="DV35" s="62">
        <f>IFERROR(Inv_SY_B!DV35/Inv_SY_B!$IS35-1,"")</f>
        <v>2.3653748845333666E-3</v>
      </c>
      <c r="DW35" s="62">
        <f>IFERROR(Inv_SY_B!DW35/Inv_SY_B!$IS35-1,"")</f>
        <v>6.8104541523139606E-3</v>
      </c>
      <c r="DX35" s="62">
        <f>IFERROR(Inv_SY_B!DX35/Inv_SY_B!$IS35-1,"")</f>
        <v>-1.0229016374178279E-2</v>
      </c>
      <c r="DY35" s="62">
        <f>IFERROR(Inv_SY_B!DY35/Inv_SY_B!$IS35-1,"")</f>
        <v>-4.3022440171374132E-3</v>
      </c>
      <c r="DZ35" s="62">
        <f>IFERROR(Inv_SY_B!DZ35/Inv_SY_B!$IS35-1,"")</f>
        <v>6.8104541523139606E-3</v>
      </c>
      <c r="EA35" s="62">
        <f>IFERROR(Inv_SY_B!EA35/Inv_SY_B!$IS35-1,"")</f>
        <v>-1.7538702281195362E-2</v>
      </c>
      <c r="EB35" s="62">
        <f>IFERROR(Inv_SY_B!EB35/Inv_SY_B!$IS35-1,"")</f>
        <v>-2.8009333445300877E-2</v>
      </c>
      <c r="EC35" s="62">
        <f>IFERROR(Inv_SY_B!EC35/Inv_SY_B!$IS35-1,"")</f>
        <v>-1.8116182664701941E-2</v>
      </c>
      <c r="ED35" s="62">
        <f>IFERROR(Inv_SY_B!ED35/Inv_SY_B!$IS35-1,"")</f>
        <v>-2.0578072720703555E-2</v>
      </c>
      <c r="EE35" s="62">
        <f>IFERROR(Inv_SY_B!EE35/Inv_SY_B!$IS35-1,"")</f>
        <v>-7.4479924220283156E-3</v>
      </c>
      <c r="EF35" s="62">
        <f>IFERROR(Inv_SY_B!EF35/Inv_SY_B!$IS35-1,"")</f>
        <v>-5.8454135681185182E-4</v>
      </c>
      <c r="EG35" s="62">
        <f>IFERROR(Inv_SY_B!EG35/Inv_SY_B!$IS35-1,"")</f>
        <v>-2.2727563849144317E-2</v>
      </c>
      <c r="EH35" s="62">
        <f>IFERROR(Inv_SY_B!EH35/Inv_SY_B!$IS35-1,"")</f>
        <v>-1.6502898650731179E-2</v>
      </c>
      <c r="EI35" s="62">
        <f>IFERROR(Inv_SY_B!EI35/Inv_SY_B!$IS35-1,"")</f>
        <v>-2.0652675449673197E-2</v>
      </c>
      <c r="EJ35" s="62">
        <f>IFERROR(Inv_SY_B!EJ35/Inv_SY_B!$IS35-1,"")</f>
        <v>5.283429543714524E-3</v>
      </c>
      <c r="EK35" s="62">
        <f>IFERROR(Inv_SY_B!EK35/Inv_SY_B!$IS35-1,"")</f>
        <v>4.9435208598462843E-3</v>
      </c>
      <c r="EL35" s="62">
        <f>IFERROR(Inv_SY_B!EL35/Inv_SY_B!$IS35-1,"")</f>
        <v>-1.9860021454369714E-2</v>
      </c>
      <c r="EM35" s="62">
        <f>IFERROR(Inv_SY_B!EM35/Inv_SY_B!$IS35-1,"")</f>
        <v>-1.8116182664701941E-2</v>
      </c>
      <c r="EN35" s="62">
        <f>IFERROR(Inv_SY_B!EN35/Inv_SY_B!$IS35-1,"")</f>
        <v>3.2201978206451987E-3</v>
      </c>
      <c r="EO35" s="62">
        <f>IFERROR(Inv_SY_B!EO35/Inv_SY_B!$IS35-1,"")</f>
        <v>9.0329937862043685E-3</v>
      </c>
      <c r="EP35" s="62">
        <f>IFERROR(Inv_SY_B!EP35/Inv_SY_B!$IS35-1,"")</f>
        <v>1.5734805605319924E-2</v>
      </c>
      <c r="EQ35" s="62">
        <f>IFERROR(Inv_SY_B!EQ35/Inv_SY_B!$IS35-1,"")</f>
        <v>1.1255533420094777E-2</v>
      </c>
      <c r="ER35" s="62">
        <f>IFERROR(Inv_SY_B!ER35/Inv_SY_B!$IS35-1,"")</f>
        <v>-2.3450277786038698E-2</v>
      </c>
      <c r="ES35" s="62">
        <f>IFERROR(Inv_SY_B!ES35/Inv_SY_B!$IS35-1,"")</f>
        <v>-1.0525354992030334E-2</v>
      </c>
      <c r="ET35" s="62">
        <f>IFERROR(Inv_SY_B!ET35/Inv_SY_B!$IS35-1,"")</f>
        <v>4.2646360262215133E-3</v>
      </c>
      <c r="EU35" s="62">
        <f>IFERROR(Inv_SY_B!EU35/Inv_SY_B!$IS35-1,"")</f>
        <v>1.9892527926441694E-3</v>
      </c>
      <c r="EV35" s="62">
        <f>IFERROR(Inv_SY_B!EV35/Inv_SY_B!$IS35-1,"")</f>
        <v>8.7594504466486089E-3</v>
      </c>
      <c r="EW35" s="62">
        <f>IFERROR(Inv_SY_B!EW35/Inv_SY_B!$IS35-1,"")</f>
        <v>-2.9605002926042734E-2</v>
      </c>
      <c r="EX35" s="62">
        <f>IFERROR(Inv_SY_B!EX35/Inv_SY_B!$IS35-1,"")</f>
        <v>-8.7473232849181182E-3</v>
      </c>
      <c r="EY35" s="62">
        <f>IFERROR(Inv_SY_B!EY35/Inv_SY_B!$IS35-1,"")</f>
        <v>-1.8131379516899471E-2</v>
      </c>
      <c r="EZ35" s="62">
        <f>IFERROR(Inv_SY_B!EZ35/Inv_SY_B!$IS35-1,"")</f>
        <v>6.8104541523139606E-3</v>
      </c>
      <c r="FA35" s="62">
        <f>IFERROR(Inv_SY_B!FA35/Inv_SY_B!$IS35-1,"")</f>
        <v>8.1439779326482054E-3</v>
      </c>
      <c r="FB35" s="62">
        <f>IFERROR(Inv_SY_B!FB35/Inv_SY_B!$IS35-1,"")</f>
        <v>-9.6363391384741703E-3</v>
      </c>
      <c r="FC35" s="62">
        <f>IFERROR(Inv_SY_B!FC35/Inv_SY_B!$IS35-1,"")</f>
        <v>9.9220096397605317E-3</v>
      </c>
      <c r="FD35" s="62">
        <f>IFERROR(Inv_SY_B!FD35/Inv_SY_B!$IS35-1,"")</f>
        <v>6.2325938475027431E-3</v>
      </c>
      <c r="FE35" s="62">
        <f>IFERROR(Inv_SY_B!FE35/Inv_SY_B!$IS35-1,"")</f>
        <v>-4.2264756205275811E-3</v>
      </c>
      <c r="FF35" s="62">
        <f>IFERROR(Inv_SY_B!FF35/Inv_SY_B!$IS35-1,"")</f>
        <v>-1.8044324155908065E-4</v>
      </c>
      <c r="FG35" s="62">
        <f>IFERROR(Inv_SY_B!FG35/Inv_SY_B!$IS35-1,"")</f>
        <v>-6.9737815568642336E-3</v>
      </c>
      <c r="FH35" s="62">
        <f>IFERROR(Inv_SY_B!FH35/Inv_SY_B!$IS35-1,"")</f>
        <v>7.0125032099406237E-3</v>
      </c>
      <c r="FI35" s="62">
        <f>IFERROR(Inv_SY_B!FI35/Inv_SY_B!$IS35-1,"")</f>
        <v>-1.6963984961724798E-2</v>
      </c>
      <c r="FJ35" s="62">
        <f>IFERROR(Inv_SY_B!FJ35/Inv_SY_B!$IS35-1,"")</f>
        <v>-1.2967903599780506E-2</v>
      </c>
      <c r="FK35" s="62">
        <f>IFERROR(Inv_SY_B!FK35/Inv_SY_B!$IS35-1,"")</f>
        <v>3.0164218479964422E-3</v>
      </c>
      <c r="FL35" s="62">
        <f>IFERROR(Inv_SY_B!FL35/Inv_SY_B!$IS35-1,"")</f>
        <v>-2.4636461176657631E-2</v>
      </c>
      <c r="FM35" s="62">
        <f>IFERROR(Inv_SY_B!FM35/Inv_SY_B!$IS35-1,"")</f>
        <v>-8.7220671527148408E-3</v>
      </c>
      <c r="FN35" s="62">
        <f>IFERROR(Inv_SY_B!FN35/Inv_SY_B!$IS35-1,"")</f>
        <v>-2.096006632366898E-2</v>
      </c>
      <c r="FO35" s="62">
        <f>IFERROR(Inv_SY_B!FO35/Inv_SY_B!$IS35-1,"")</f>
        <v>2.6911591165967863E-4</v>
      </c>
      <c r="FP35" s="62">
        <f>IFERROR(Inv_SY_B!FP35/Inv_SY_B!$IS35-1,"")</f>
        <v>5.5739139196406828E-3</v>
      </c>
      <c r="FQ35" s="62">
        <f>IFERROR(Inv_SY_B!FQ35/Inv_SY_B!$IS35-1,"")</f>
        <v>-2.2478577241207831E-2</v>
      </c>
      <c r="FR35" s="62">
        <f>IFERROR(Inv_SY_B!FR35/Inv_SY_B!$IS35-1,"")</f>
        <v>1.2581460487408602E-3</v>
      </c>
      <c r="FS35" s="62">
        <f>IFERROR(Inv_SY_B!FS35/Inv_SY_B!$IS35-1,"")</f>
        <v>1.0183811670241294E-3</v>
      </c>
      <c r="FT35" s="62">
        <f>IFERROR(Inv_SY_B!FT35/Inv_SY_B!$IS35-1,"")</f>
        <v>-5.2155057576088737E-3</v>
      </c>
      <c r="FU35" s="62">
        <f>IFERROR(Inv_SY_B!FU35/Inv_SY_B!$IS35-1,"")</f>
        <v>-5.5751530801837479E-3</v>
      </c>
      <c r="FV35" s="62">
        <f>IFERROR(Inv_SY_B!FV35/Inv_SY_B!$IS35-1,"")</f>
        <v>-1.32176586849021E-2</v>
      </c>
      <c r="FW35" s="62">
        <f>IFERROR(Inv_SY_B!FW35/Inv_SY_B!$IS35-1,"")</f>
        <v>-1.9786798544338957E-3</v>
      </c>
      <c r="FX35" s="62">
        <f>IFERROR(Inv_SY_B!FX35/Inv_SY_B!$IS35-1,"")</f>
        <v>4.7647074438468273E-3</v>
      </c>
      <c r="FY35" s="62">
        <f>IFERROR(Inv_SY_B!FY35/Inv_SY_B!$IS35-1,"")</f>
        <v>5.0144625289683109E-3</v>
      </c>
      <c r="FZ35" s="62">
        <f>IFERROR(Inv_SY_B!FZ35/Inv_SY_B!$IS35-1,"")</f>
        <v>-6.4742713866211554E-3</v>
      </c>
      <c r="GA35" s="62">
        <f>IFERROR(Inv_SY_B!GA35/Inv_SY_B!$IS35-1,"")</f>
        <v>4.2459853439791306E-3</v>
      </c>
      <c r="GB35" s="62">
        <f>IFERROR(Inv_SY_B!GB35/Inv_SY_B!$IS35-1,"")</f>
        <v>-1.0969862918808415E-2</v>
      </c>
      <c r="GC35" s="62">
        <f>IFERROR(Inv_SY_B!GC35/Inv_SY_B!$IS35-1,"")</f>
        <v>-2.4956147685613161E-2</v>
      </c>
      <c r="GD35" s="62">
        <f>IFERROR(Inv_SY_B!GD35/Inv_SY_B!$IS35-1,"")</f>
        <v>-3.9207753963388381E-3</v>
      </c>
      <c r="GE35" s="62">
        <f>IFERROR(Inv_SY_B!GE35/Inv_SY_B!$IS35-1,"")</f>
        <v>-1.2353121851789051E-2</v>
      </c>
      <c r="GF35" s="62">
        <f>IFERROR(Inv_SY_B!GF35/Inv_SY_B!$IS35-1,"")</f>
        <v>-2.6954188366585252E-2</v>
      </c>
      <c r="GG35" s="62">
        <f>IFERROR(Inv_SY_B!GG35/Inv_SY_B!$IS35-1,"")</f>
        <v>-5.2155057576088737E-3</v>
      </c>
      <c r="GH35" s="62">
        <f>IFERROR(Inv_SY_B!GH35/Inv_SY_B!$IS35-1,"")</f>
        <v>-2.6794345112107543E-2</v>
      </c>
      <c r="GI35" s="62">
        <f>IFERROR(Inv_SY_B!GI35/Inv_SY_B!$IS35-1,"")</f>
        <v>-1.7731232583218071E-2</v>
      </c>
      <c r="GJ35" s="62">
        <f>IFERROR(Inv_SY_B!GJ35/Inv_SY_B!$IS35-1,"")</f>
        <v>-1.6502898650731179E-2</v>
      </c>
      <c r="GK35" s="62">
        <f>IFERROR(Inv_SY_B!GK35/Inv_SY_B!$IS35-1,"")</f>
        <v>2.2747073572595866E-2</v>
      </c>
      <c r="GL35" s="62">
        <f>IFERROR(Inv_SY_B!GL35/Inv_SY_B!$IS35-1,"")</f>
        <v>5.2142665970655866E-3</v>
      </c>
      <c r="GM35" s="62">
        <f>IFERROR(Inv_SY_B!GM35/Inv_SY_B!$IS35-1,"")</f>
        <v>4.7647074438468273E-3</v>
      </c>
      <c r="GN35" s="62">
        <f>IFERROR(Inv_SY_B!GN35/Inv_SY_B!$IS35-1,"")</f>
        <v>1.3755890508221347E-2</v>
      </c>
      <c r="GO35" s="62">
        <f>IFERROR(Inv_SY_B!GO35/Inv_SY_B!$IS35-1,"")</f>
        <v>7.0125032099406237E-3</v>
      </c>
      <c r="GP35" s="62">
        <f>IFERROR(Inv_SY_B!GP35/Inv_SY_B!$IS35-1,"")</f>
        <v>-1.9786798544338957E-3</v>
      </c>
      <c r="GQ35" s="62">
        <f>IFERROR(Inv_SY_B!GQ35/Inv_SY_B!$IS35-1,"")</f>
        <v>2.7692224258001774E-2</v>
      </c>
      <c r="GR35" s="62">
        <f>IFERROR(Inv_SY_B!GR35/Inv_SY_B!$IS35-1,"")</f>
        <v>1.3755890508221347E-2</v>
      </c>
      <c r="GS35" s="62" t="str">
        <f>IFERROR(Inv_SY_B!GS35/Inv_SY_B!$IS35-1,"")</f>
        <v/>
      </c>
      <c r="GT35" s="62" t="str">
        <f>IFERROR(Inv_SY_B!GT35/Inv_SY_B!$IS35-1,"")</f>
        <v/>
      </c>
      <c r="GU35" s="62">
        <f>IFERROR(Inv_SY_B!GU35/Inv_SY_B!$IS35-1,"")</f>
        <v>-1.5145188035774027E-2</v>
      </c>
      <c r="GV35" s="62">
        <f>IFERROR(Inv_SY_B!GV35/Inv_SY_B!$IS35-1,"")</f>
        <v>-1.7984261054136086E-2</v>
      </c>
      <c r="GW35" s="62">
        <f>IFERROR(Inv_SY_B!GW35/Inv_SY_B!$IS35-1,"")</f>
        <v>1.0959851872348603E-2</v>
      </c>
      <c r="GX35" s="62" t="str">
        <f>IFERROR(Inv_SY_B!GX35/Inv_SY_B!$IS35-1,"")</f>
        <v/>
      </c>
      <c r="GY35" s="62">
        <f>IFERROR(Inv_SY_B!GY35/Inv_SY_B!$IS35-1,"")</f>
        <v>7.9589435325062574E-3</v>
      </c>
      <c r="GZ35" s="62">
        <f>IFERROR(Inv_SY_B!GZ35/Inv_SY_B!$IS35-1,"")</f>
        <v>-1.3192402552698712E-2</v>
      </c>
      <c r="HA35" s="62">
        <f>IFERROR(Inv_SY_B!HA35/Inv_SY_B!$IS35-1,"")</f>
        <v>-4.3022440171374132E-3</v>
      </c>
      <c r="HB35" s="62">
        <f>IFERROR(Inv_SY_B!HB35/Inv_SY_B!$IS35-1,"")</f>
        <v>1.236680323703987E-2</v>
      </c>
      <c r="HC35" s="62">
        <f>IFERROR(Inv_SY_B!HC35/Inv_SY_B!$IS35-1,"")</f>
        <v>1.7923152321765778E-2</v>
      </c>
      <c r="HD35" s="62">
        <f>IFERROR(Inv_SY_B!HD35/Inv_SY_B!$IS35-1,"")</f>
        <v>-2.0797043832471163E-3</v>
      </c>
      <c r="HE35" s="62">
        <f>IFERROR(Inv_SY_B!HE35/Inv_SY_B!$IS35-1,"")</f>
        <v>2.8098828113114482E-3</v>
      </c>
      <c r="HF35" s="62">
        <f>IFERROR(Inv_SY_B!HF35/Inv_SY_B!$IS35-1,"")</f>
        <v>4.5879145184237746E-3</v>
      </c>
      <c r="HG35" s="62">
        <f>IFERROR(Inv_SY_B!HG35/Inv_SY_B!$IS35-1,"")</f>
        <v>3.4592199575943061E-2</v>
      </c>
      <c r="HH35" s="62">
        <f>IFERROR(Inv_SY_B!HH35/Inv_SY_B!$IS35-1,"")</f>
        <v>1.3478073053984962E-2</v>
      </c>
      <c r="HI35" s="62">
        <f>IFERROR(Inv_SY_B!HI35/Inv_SY_B!$IS35-1,"")</f>
        <v>-2.0797043832471163E-3</v>
      </c>
      <c r="HJ35" s="62">
        <f>IFERROR(Inv_SY_B!HJ35/Inv_SY_B!$IS35-1,"")</f>
        <v>2.7924580674272059E-2</v>
      </c>
      <c r="HK35" s="62">
        <f>IFERROR(Inv_SY_B!HK35/Inv_SY_B!$IS35-1,"")</f>
        <v>-6.2778348028177389E-3</v>
      </c>
      <c r="HL35" s="62">
        <f>IFERROR(Inv_SY_B!HL35/Inv_SY_B!$IS35-1,"")</f>
        <v>1.8021931861049501E-2</v>
      </c>
      <c r="HM35" s="62">
        <f>IFERROR(Inv_SY_B!HM35/Inv_SY_B!$IS35-1,"")</f>
        <v>3.907957975480314E-2</v>
      </c>
      <c r="HN35" s="62">
        <f>IFERROR(Inv_SY_B!HN35/Inv_SY_B!$IS35-1,"")</f>
        <v>2.8449609629434214E-2</v>
      </c>
      <c r="HO35" s="62">
        <f>IFERROR(Inv_SY_B!HO35/Inv_SY_B!$IS35-1,"")</f>
        <v>2.9645481268538276E-2</v>
      </c>
      <c r="HP35" s="62">
        <f>IFERROR(Inv_SY_B!HP35/Inv_SY_B!$IS35-1,"")</f>
        <v>5.6619030461661612E-2</v>
      </c>
      <c r="HQ35" s="62">
        <f>IFERROR(Inv_SY_B!HQ35/Inv_SY_B!$IS35-1,"")</f>
        <v>-9.7965951394796136E-4</v>
      </c>
      <c r="HR35" s="62">
        <f>IFERROR(Inv_SY_B!HR35/Inv_SY_B!$IS35-1,"")</f>
        <v>-1.7073968852420518E-2</v>
      </c>
      <c r="HS35" s="62">
        <f>IFERROR(Inv_SY_B!HS35/Inv_SY_B!$IS35-1,"")</f>
        <v>6.2237036889669639E-3</v>
      </c>
      <c r="HT35" s="62">
        <f>IFERROR(Inv_SY_B!HT35/Inv_SY_B!$IS35-1,"")</f>
        <v>1.5651222918233509E-2</v>
      </c>
      <c r="HU35" s="62">
        <f>IFERROR(Inv_SY_B!HU35/Inv_SY_B!$IS35-1,"")</f>
        <v>9.6346526931023746E-4</v>
      </c>
      <c r="HV35" s="62">
        <f>IFERROR(Inv_SY_B!HV35/Inv_SY_B!$IS35-1,"")</f>
        <v>-1.1140827506030737E-2</v>
      </c>
      <c r="HW35" s="62">
        <f>IFERROR(Inv_SY_B!HW35/Inv_SY_B!$IS35-1,"")</f>
        <v>1.4544892078252269E-2</v>
      </c>
      <c r="HX35" s="62">
        <f>IFERROR(Inv_SY_B!HX35/Inv_SY_B!$IS35-1,"")</f>
        <v>-4.9861023660268122E-3</v>
      </c>
      <c r="HY35" s="62">
        <f>IFERROR(Inv_SY_B!HY35/Inv_SY_B!$IS35-1,"")</f>
        <v>-1.0229016374178279E-2</v>
      </c>
      <c r="HZ35" s="62">
        <f>IFERROR(Inv_SY_B!HZ35/Inv_SY_B!$IS35-1,"")</f>
        <v>-1.8131379516899471E-2</v>
      </c>
      <c r="IA35" s="62">
        <f>IFERROR(Inv_SY_B!IA35/Inv_SY_B!$IS35-1,"")</f>
        <v>-2.2497020693647451E-2</v>
      </c>
      <c r="IB35" s="62">
        <f>IFERROR(Inv_SY_B!IB35/Inv_SY_B!$IS35-1,"")</f>
        <v>-1.311062079127856E-2</v>
      </c>
      <c r="IC35" s="62">
        <f>IFERROR(Inv_SY_B!IC35/Inv_SY_B!$IS35-1,"")</f>
        <v>1.208445263086988E-2</v>
      </c>
      <c r="ID35" s="62">
        <f>IFERROR(Inv_SY_B!ID35/Inv_SY_B!$IS35-1,"")</f>
        <v>-9.8598403182683647E-3</v>
      </c>
      <c r="IE35" s="62">
        <f>IFERROR(Inv_SY_B!IE35/Inv_SY_B!$IS35-1,"")</f>
        <v>-1.3607276617691677E-2</v>
      </c>
      <c r="IF35" s="62" t="str">
        <f>IFERROR(Inv_SY_B!IF35/Inv_SY_B!$IS35-1,"")</f>
        <v/>
      </c>
      <c r="IG35" s="62">
        <f>IFERROR(Inv_SY_B!IG35/Inv_SY_B!$IS35-1,"")</f>
        <v>2.7941880374224404E-2</v>
      </c>
      <c r="IH35" s="62">
        <f>IFERROR(Inv_SY_B!IH35/Inv_SY_B!$IS35-1,"")</f>
        <v>-5.8025163300875482E-3</v>
      </c>
      <c r="II35" s="62">
        <f>IFERROR(Inv_SY_B!II35/Inv_SY_B!$IS35-1,"")</f>
        <v>-1.3922191686215002E-2</v>
      </c>
      <c r="IJ35" s="62">
        <f>IFERROR(Inv_SY_B!IJ35/Inv_SY_B!$IS35-1,"")</f>
        <v>3.4604308882122403E-3</v>
      </c>
      <c r="IK35" s="62">
        <f>IFERROR(Inv_SY_B!IK35/Inv_SY_B!$IS35-1,"")</f>
        <v>-4.0535682539049045E-3</v>
      </c>
      <c r="IL35" s="62" t="str">
        <f>IFERROR(Inv_SY_B!IL35/Inv_SY_B!$IS35-1,"")</f>
        <v/>
      </c>
      <c r="IM35" s="62" t="str">
        <f>IFERROR(Inv_SY_B!IM35/Inv_SY_B!$IS35-1,"")</f>
        <v/>
      </c>
      <c r="IN35" s="62">
        <f>IFERROR(Inv_SY_B!IN35/Inv_SY_B!$IS35-1,"")</f>
        <v>3.1815766835801007E-2</v>
      </c>
      <c r="IO35" s="62">
        <f>IFERROR(Inv_SY_B!IO35/Inv_SY_B!$IS35-1,"")</f>
        <v>3.4761154391371951E-2</v>
      </c>
      <c r="IP35" s="62">
        <f>IFERROR(Inv_SY_B!IP35/Inv_SY_B!$IS35-1,"")</f>
        <v>1.8466836794448938E-2</v>
      </c>
      <c r="IQ35" s="62">
        <f>IFERROR(Inv_SY_B!IQ35/Inv_SY_B!$IS35-1,"")</f>
        <v>-4.0535682539049045E-3</v>
      </c>
      <c r="IR35" s="62">
        <f>IFERROR(Inv_SY_B!IR35/Inv_SY_B!$IS35-1,"")</f>
        <v>1.4863013795998858E-2</v>
      </c>
    </row>
    <row r="36" spans="2:252" x14ac:dyDescent="0.25">
      <c r="B36" s="85">
        <f t="shared" si="0"/>
        <v>45862</v>
      </c>
      <c r="C36" s="62" t="str">
        <f>IFERROR(Inv_SY_B!C36/Inv_SY_B!$IS36-1,"")</f>
        <v/>
      </c>
      <c r="D36" s="62" t="str">
        <f>IFERROR(Inv_SY_B!D36/Inv_SY_B!$IS36-1,"")</f>
        <v/>
      </c>
      <c r="E36" s="62" t="str">
        <f>IFERROR(Inv_SY_B!E36/Inv_SY_B!$IS36-1,"")</f>
        <v/>
      </c>
      <c r="F36" s="62" t="str">
        <f>IFERROR(Inv_SY_B!F36/Inv_SY_B!$IS36-1,"")</f>
        <v/>
      </c>
      <c r="G36" s="62" t="str">
        <f>IFERROR(Inv_SY_B!G36/Inv_SY_B!$IS36-1,"")</f>
        <v/>
      </c>
      <c r="H36" s="62" t="str">
        <f>IFERROR(Inv_SY_B!H36/Inv_SY_B!$IS36-1,"")</f>
        <v/>
      </c>
      <c r="I36" s="62" t="str">
        <f>IFERROR(Inv_SY_B!I36/Inv_SY_B!$IS36-1,"")</f>
        <v/>
      </c>
      <c r="J36" s="62" t="str">
        <f>IFERROR(Inv_SY_B!J36/Inv_SY_B!$IS36-1,"")</f>
        <v/>
      </c>
      <c r="K36" s="62" t="str">
        <f>IFERROR(Inv_SY_B!K36/Inv_SY_B!$IS36-1,"")</f>
        <v/>
      </c>
      <c r="L36" s="62" t="str">
        <f>IFERROR(Inv_SY_B!L36/Inv_SY_B!$IS36-1,"")</f>
        <v/>
      </c>
      <c r="M36" s="62" t="str">
        <f>IFERROR(Inv_SY_B!M36/Inv_SY_B!$IS36-1,"")</f>
        <v/>
      </c>
      <c r="N36" s="62" t="str">
        <f>IFERROR(Inv_SY_B!N36/Inv_SY_B!$IS36-1,"")</f>
        <v/>
      </c>
      <c r="O36" s="62" t="str">
        <f>IFERROR(Inv_SY_B!O36/Inv_SY_B!$IS36-1,"")</f>
        <v/>
      </c>
      <c r="P36" s="62" t="str">
        <f>IFERROR(Inv_SY_B!P36/Inv_SY_B!$IS36-1,"")</f>
        <v/>
      </c>
      <c r="Q36" s="62" t="str">
        <f>IFERROR(Inv_SY_B!Q36/Inv_SY_B!$IS36-1,"")</f>
        <v/>
      </c>
      <c r="R36" s="62" t="str">
        <f>IFERROR(Inv_SY_B!R36/Inv_SY_B!$IS36-1,"")</f>
        <v/>
      </c>
      <c r="S36" s="62" t="str">
        <f>IFERROR(Inv_SY_B!S36/Inv_SY_B!$IS36-1,"")</f>
        <v/>
      </c>
      <c r="T36" s="62" t="str">
        <f>IFERROR(Inv_SY_B!T36/Inv_SY_B!$IS36-1,"")</f>
        <v/>
      </c>
      <c r="U36" s="62" t="str">
        <f>IFERROR(Inv_SY_B!U36/Inv_SY_B!$IS36-1,"")</f>
        <v/>
      </c>
      <c r="V36" s="62" t="str">
        <f>IFERROR(Inv_SY_B!V36/Inv_SY_B!$IS36-1,"")</f>
        <v/>
      </c>
      <c r="W36" s="62" t="str">
        <f>IFERROR(Inv_SY_B!W36/Inv_SY_B!$IS36-1,"")</f>
        <v/>
      </c>
      <c r="X36" s="62" t="str">
        <f>IFERROR(Inv_SY_B!X36/Inv_SY_B!$IS36-1,"")</f>
        <v/>
      </c>
      <c r="Y36" s="62" t="str">
        <f>IFERROR(Inv_SY_B!Y36/Inv_SY_B!$IS36-1,"")</f>
        <v/>
      </c>
      <c r="Z36" s="62" t="str">
        <f>IFERROR(Inv_SY_B!Z36/Inv_SY_B!$IS36-1,"")</f>
        <v/>
      </c>
      <c r="AA36" s="62" t="str">
        <f>IFERROR(Inv_SY_B!AA36/Inv_SY_B!$IS36-1,"")</f>
        <v/>
      </c>
      <c r="AB36" s="62" t="str">
        <f>IFERROR(Inv_SY_B!AB36/Inv_SY_B!$IS36-1,"")</f>
        <v/>
      </c>
      <c r="AC36" s="62" t="str">
        <f>IFERROR(Inv_SY_B!AC36/Inv_SY_B!$IS36-1,"")</f>
        <v/>
      </c>
      <c r="AD36" s="62" t="str">
        <f>IFERROR(Inv_SY_B!AD36/Inv_SY_B!$IS36-1,"")</f>
        <v/>
      </c>
      <c r="AE36" s="62" t="str">
        <f>IFERROR(Inv_SY_B!AE36/Inv_SY_B!$IS36-1,"")</f>
        <v/>
      </c>
      <c r="AF36" s="62" t="str">
        <f>IFERROR(Inv_SY_B!AF36/Inv_SY_B!$IS36-1,"")</f>
        <v/>
      </c>
      <c r="AG36" s="62" t="str">
        <f>IFERROR(Inv_SY_B!AG36/Inv_SY_B!$IS36-1,"")</f>
        <v/>
      </c>
      <c r="AH36" s="62" t="str">
        <f>IFERROR(Inv_SY_B!AH36/Inv_SY_B!$IS36-1,"")</f>
        <v/>
      </c>
      <c r="AI36" s="62" t="str">
        <f>IFERROR(Inv_SY_B!AI36/Inv_SY_B!$IS36-1,"")</f>
        <v/>
      </c>
      <c r="AJ36" s="62" t="str">
        <f>IFERROR(Inv_SY_B!AJ36/Inv_SY_B!$IS36-1,"")</f>
        <v/>
      </c>
      <c r="AK36" s="62" t="str">
        <f>IFERROR(Inv_SY_B!AK36/Inv_SY_B!$IS36-1,"")</f>
        <v/>
      </c>
      <c r="AL36" s="62" t="str">
        <f>IFERROR(Inv_SY_B!AL36/Inv_SY_B!$IS36-1,"")</f>
        <v/>
      </c>
      <c r="AM36" s="62" t="str">
        <f>IFERROR(Inv_SY_B!AM36/Inv_SY_B!$IS36-1,"")</f>
        <v/>
      </c>
      <c r="AN36" s="62" t="str">
        <f>IFERROR(Inv_SY_B!AN36/Inv_SY_B!$IS36-1,"")</f>
        <v/>
      </c>
      <c r="AO36" s="62" t="str">
        <f>IFERROR(Inv_SY_B!AO36/Inv_SY_B!$IS36-1,"")</f>
        <v/>
      </c>
      <c r="AP36" s="62" t="str">
        <f>IFERROR(Inv_SY_B!AP36/Inv_SY_B!$IS36-1,"")</f>
        <v/>
      </c>
      <c r="AQ36" s="62" t="str">
        <f>IFERROR(Inv_SY_B!AQ36/Inv_SY_B!$IS36-1,"")</f>
        <v/>
      </c>
      <c r="AR36" s="62" t="str">
        <f>IFERROR(Inv_SY_B!AR36/Inv_SY_B!$IS36-1,"")</f>
        <v/>
      </c>
      <c r="AS36" s="62" t="str">
        <f>IFERROR(Inv_SY_B!AS36/Inv_SY_B!$IS36-1,"")</f>
        <v/>
      </c>
      <c r="AT36" s="62" t="str">
        <f>IFERROR(Inv_SY_B!AT36/Inv_SY_B!$IS36-1,"")</f>
        <v/>
      </c>
      <c r="AU36" s="62" t="str">
        <f>IFERROR(Inv_SY_B!AU36/Inv_SY_B!$IS36-1,"")</f>
        <v/>
      </c>
      <c r="AV36" s="62" t="str">
        <f>IFERROR(Inv_SY_B!AV36/Inv_SY_B!$IS36-1,"")</f>
        <v/>
      </c>
      <c r="AW36" s="62" t="str">
        <f>IFERROR(Inv_SY_B!AW36/Inv_SY_B!$IS36-1,"")</f>
        <v/>
      </c>
      <c r="AX36" s="62" t="str">
        <f>IFERROR(Inv_SY_B!AX36/Inv_SY_B!$IS36-1,"")</f>
        <v/>
      </c>
      <c r="AY36" s="62" t="str">
        <f>IFERROR(Inv_SY_B!AY36/Inv_SY_B!$IS36-1,"")</f>
        <v/>
      </c>
      <c r="AZ36" s="62" t="str">
        <f>IFERROR(Inv_SY_B!AZ36/Inv_SY_B!$IS36-1,"")</f>
        <v/>
      </c>
      <c r="BA36" s="62" t="str">
        <f>IFERROR(Inv_SY_B!BA36/Inv_SY_B!$IS36-1,"")</f>
        <v/>
      </c>
      <c r="BB36" s="62" t="str">
        <f>IFERROR(Inv_SY_B!BB36/Inv_SY_B!$IS36-1,"")</f>
        <v/>
      </c>
      <c r="BC36" s="62" t="str">
        <f>IFERROR(Inv_SY_B!BC36/Inv_SY_B!$IS36-1,"")</f>
        <v/>
      </c>
      <c r="BD36" s="62" t="str">
        <f>IFERROR(Inv_SY_B!BD36/Inv_SY_B!$IS36-1,"")</f>
        <v/>
      </c>
      <c r="BE36" s="62" t="str">
        <f>IFERROR(Inv_SY_B!BE36/Inv_SY_B!$IS36-1,"")</f>
        <v/>
      </c>
      <c r="BF36" s="62" t="str">
        <f>IFERROR(Inv_SY_B!BF36/Inv_SY_B!$IS36-1,"")</f>
        <v/>
      </c>
      <c r="BG36" s="62" t="str">
        <f>IFERROR(Inv_SY_B!BG36/Inv_SY_B!$IS36-1,"")</f>
        <v/>
      </c>
      <c r="BH36" s="62" t="str">
        <f>IFERROR(Inv_SY_B!BH36/Inv_SY_B!$IS36-1,"")</f>
        <v/>
      </c>
      <c r="BI36" s="62" t="str">
        <f>IFERROR(Inv_SY_B!BI36/Inv_SY_B!$IS36-1,"")</f>
        <v/>
      </c>
      <c r="BJ36" s="62" t="str">
        <f>IFERROR(Inv_SY_B!BJ36/Inv_SY_B!$IS36-1,"")</f>
        <v/>
      </c>
      <c r="BK36" s="62" t="str">
        <f>IFERROR(Inv_SY_B!BK36/Inv_SY_B!$IS36-1,"")</f>
        <v/>
      </c>
      <c r="BL36" s="62" t="str">
        <f>IFERROR(Inv_SY_B!BL36/Inv_SY_B!$IS36-1,"")</f>
        <v/>
      </c>
      <c r="BM36" s="62" t="str">
        <f>IFERROR(Inv_SY_B!BM36/Inv_SY_B!$IS36-1,"")</f>
        <v/>
      </c>
      <c r="BN36" s="62" t="str">
        <f>IFERROR(Inv_SY_B!BN36/Inv_SY_B!$IS36-1,"")</f>
        <v/>
      </c>
      <c r="BO36" s="62" t="str">
        <f>IFERROR(Inv_SY_B!BO36/Inv_SY_B!$IS36-1,"")</f>
        <v/>
      </c>
      <c r="BP36" s="62" t="str">
        <f>IFERROR(Inv_SY_B!BP36/Inv_SY_B!$IS36-1,"")</f>
        <v/>
      </c>
      <c r="BQ36" s="62" t="str">
        <f>IFERROR(Inv_SY_B!BQ36/Inv_SY_B!$IS36-1,"")</f>
        <v/>
      </c>
      <c r="BR36" s="62" t="str">
        <f>IFERROR(Inv_SY_B!BR36/Inv_SY_B!$IS36-1,"")</f>
        <v/>
      </c>
      <c r="BS36" s="62" t="str">
        <f>IFERROR(Inv_SY_B!BS36/Inv_SY_B!$IS36-1,"")</f>
        <v/>
      </c>
      <c r="BT36" s="62" t="str">
        <f>IFERROR(Inv_SY_B!BT36/Inv_SY_B!$IS36-1,"")</f>
        <v/>
      </c>
      <c r="BU36" s="62" t="str">
        <f>IFERROR(Inv_SY_B!BU36/Inv_SY_B!$IS36-1,"")</f>
        <v/>
      </c>
      <c r="BV36" s="62" t="str">
        <f>IFERROR(Inv_SY_B!BV36/Inv_SY_B!$IS36-1,"")</f>
        <v/>
      </c>
      <c r="BW36" s="62" t="str">
        <f>IFERROR(Inv_SY_B!BW36/Inv_SY_B!$IS36-1,"")</f>
        <v/>
      </c>
      <c r="BX36" s="62" t="str">
        <f>IFERROR(Inv_SY_B!BX36/Inv_SY_B!$IS36-1,"")</f>
        <v/>
      </c>
      <c r="BY36" s="62" t="str">
        <f>IFERROR(Inv_SY_B!BY36/Inv_SY_B!$IS36-1,"")</f>
        <v/>
      </c>
      <c r="BZ36" s="62" t="str">
        <f>IFERROR(Inv_SY_B!BZ36/Inv_SY_B!$IS36-1,"")</f>
        <v/>
      </c>
      <c r="CA36" s="62" t="str">
        <f>IFERROR(Inv_SY_B!CA36/Inv_SY_B!$IS36-1,"")</f>
        <v/>
      </c>
      <c r="CB36" s="62" t="str">
        <f>IFERROR(Inv_SY_B!CB36/Inv_SY_B!$IS36-1,"")</f>
        <v/>
      </c>
      <c r="CC36" s="62" t="str">
        <f>IFERROR(Inv_SY_B!CC36/Inv_SY_B!$IS36-1,"")</f>
        <v/>
      </c>
      <c r="CD36" s="62" t="str">
        <f>IFERROR(Inv_SY_B!CD36/Inv_SY_B!$IS36-1,"")</f>
        <v/>
      </c>
      <c r="CE36" s="62" t="str">
        <f>IFERROR(Inv_SY_B!CE36/Inv_SY_B!$IS36-1,"")</f>
        <v/>
      </c>
      <c r="CF36" s="62" t="str">
        <f>IFERROR(Inv_SY_B!CF36/Inv_SY_B!$IS36-1,"")</f>
        <v/>
      </c>
      <c r="CG36" s="62" t="str">
        <f>IFERROR(Inv_SY_B!CG36/Inv_SY_B!$IS36-1,"")</f>
        <v/>
      </c>
      <c r="CH36" s="62" t="str">
        <f>IFERROR(Inv_SY_B!CH36/Inv_SY_B!$IS36-1,"")</f>
        <v/>
      </c>
      <c r="CI36" s="62" t="str">
        <f>IFERROR(Inv_SY_B!CI36/Inv_SY_B!$IS36-1,"")</f>
        <v/>
      </c>
      <c r="CJ36" s="62" t="str">
        <f>IFERROR(Inv_SY_B!CJ36/Inv_SY_B!$IS36-1,"")</f>
        <v/>
      </c>
      <c r="CK36" s="62" t="str">
        <f>IFERROR(Inv_SY_B!CK36/Inv_SY_B!$IS36-1,"")</f>
        <v/>
      </c>
      <c r="CL36" s="62" t="str">
        <f>IFERROR(Inv_SY_B!CL36/Inv_SY_B!$IS36-1,"")</f>
        <v/>
      </c>
      <c r="CM36" s="62" t="str">
        <f>IFERROR(Inv_SY_B!CM36/Inv_SY_B!$IS36-1,"")</f>
        <v/>
      </c>
      <c r="CN36" s="62" t="str">
        <f>IFERROR(Inv_SY_B!CN36/Inv_SY_B!$IS36-1,"")</f>
        <v/>
      </c>
      <c r="CO36" s="62" t="str">
        <f>IFERROR(Inv_SY_B!CO36/Inv_SY_B!$IS36-1,"")</f>
        <v/>
      </c>
      <c r="CP36" s="62" t="str">
        <f>IFERROR(Inv_SY_B!CP36/Inv_SY_B!$IS36-1,"")</f>
        <v/>
      </c>
      <c r="CQ36" s="62" t="str">
        <f>IFERROR(Inv_SY_B!CQ36/Inv_SY_B!$IS36-1,"")</f>
        <v/>
      </c>
      <c r="CR36" s="62" t="str">
        <f>IFERROR(Inv_SY_B!CR36/Inv_SY_B!$IS36-1,"")</f>
        <v/>
      </c>
      <c r="CS36" s="62" t="str">
        <f>IFERROR(Inv_SY_B!CS36/Inv_SY_B!$IS36-1,"")</f>
        <v/>
      </c>
      <c r="CT36" s="62" t="str">
        <f>IFERROR(Inv_SY_B!CT36/Inv_SY_B!$IS36-1,"")</f>
        <v/>
      </c>
      <c r="CU36" s="62" t="str">
        <f>IFERROR(Inv_SY_B!CU36/Inv_SY_B!$IS36-1,"")</f>
        <v/>
      </c>
      <c r="CV36" s="62" t="str">
        <f>IFERROR(Inv_SY_B!CV36/Inv_SY_B!$IS36-1,"")</f>
        <v/>
      </c>
      <c r="CW36" s="62" t="str">
        <f>IFERROR(Inv_SY_B!CW36/Inv_SY_B!$IS36-1,"")</f>
        <v/>
      </c>
      <c r="CX36" s="62" t="str">
        <f>IFERROR(Inv_SY_B!CX36/Inv_SY_B!$IS36-1,"")</f>
        <v/>
      </c>
      <c r="CY36" s="62" t="str">
        <f>IFERROR(Inv_SY_B!CY36/Inv_SY_B!$IS36-1,"")</f>
        <v/>
      </c>
      <c r="CZ36" s="62" t="str">
        <f>IFERROR(Inv_SY_B!CZ36/Inv_SY_B!$IS36-1,"")</f>
        <v/>
      </c>
      <c r="DA36" s="62" t="str">
        <f>IFERROR(Inv_SY_B!DA36/Inv_SY_B!$IS36-1,"")</f>
        <v/>
      </c>
      <c r="DB36" s="62" t="str">
        <f>IFERROR(Inv_SY_B!DB36/Inv_SY_B!$IS36-1,"")</f>
        <v/>
      </c>
      <c r="DC36" s="62" t="str">
        <f>IFERROR(Inv_SY_B!DC36/Inv_SY_B!$IS36-1,"")</f>
        <v/>
      </c>
      <c r="DD36" s="62" t="str">
        <f>IFERROR(Inv_SY_B!DD36/Inv_SY_B!$IS36-1,"")</f>
        <v/>
      </c>
      <c r="DE36" s="62" t="str">
        <f>IFERROR(Inv_SY_B!DE36/Inv_SY_B!$IS36-1,"")</f>
        <v/>
      </c>
      <c r="DF36" s="62" t="str">
        <f>IFERROR(Inv_SY_B!DF36/Inv_SY_B!$IS36-1,"")</f>
        <v/>
      </c>
      <c r="DG36" s="62" t="str">
        <f>IFERROR(Inv_SY_B!DG36/Inv_SY_B!$IS36-1,"")</f>
        <v/>
      </c>
      <c r="DH36" s="62" t="str">
        <f>IFERROR(Inv_SY_B!DH36/Inv_SY_B!$IS36-1,"")</f>
        <v/>
      </c>
      <c r="DI36" s="62" t="str">
        <f>IFERROR(Inv_SY_B!DI36/Inv_SY_B!$IS36-1,"")</f>
        <v/>
      </c>
      <c r="DJ36" s="62" t="str">
        <f>IFERROR(Inv_SY_B!DJ36/Inv_SY_B!$IS36-1,"")</f>
        <v/>
      </c>
      <c r="DK36" s="62" t="str">
        <f>IFERROR(Inv_SY_B!DK36/Inv_SY_B!$IS36-1,"")</f>
        <v/>
      </c>
      <c r="DL36" s="62" t="str">
        <f>IFERROR(Inv_SY_B!DL36/Inv_SY_B!$IS36-1,"")</f>
        <v/>
      </c>
      <c r="DM36" s="62" t="str">
        <f>IFERROR(Inv_SY_B!DM36/Inv_SY_B!$IS36-1,"")</f>
        <v/>
      </c>
      <c r="DN36" s="62" t="str">
        <f>IFERROR(Inv_SY_B!DN36/Inv_SY_B!$IS36-1,"")</f>
        <v/>
      </c>
      <c r="DO36" s="62" t="str">
        <f>IFERROR(Inv_SY_B!DO36/Inv_SY_B!$IS36-1,"")</f>
        <v/>
      </c>
      <c r="DP36" s="62" t="str">
        <f>IFERROR(Inv_SY_B!DP36/Inv_SY_B!$IS36-1,"")</f>
        <v/>
      </c>
      <c r="DQ36" s="62" t="str">
        <f>IFERROR(Inv_SY_B!DQ36/Inv_SY_B!$IS36-1,"")</f>
        <v/>
      </c>
      <c r="DR36" s="62" t="str">
        <f>IFERROR(Inv_SY_B!DR36/Inv_SY_B!$IS36-1,"")</f>
        <v/>
      </c>
      <c r="DS36" s="62" t="str">
        <f>IFERROR(Inv_SY_B!DS36/Inv_SY_B!$IS36-1,"")</f>
        <v/>
      </c>
      <c r="DT36" s="62" t="str">
        <f>IFERROR(Inv_SY_B!DT36/Inv_SY_B!$IS36-1,"")</f>
        <v/>
      </c>
      <c r="DU36" s="62" t="str">
        <f>IFERROR(Inv_SY_B!DU36/Inv_SY_B!$IS36-1,"")</f>
        <v/>
      </c>
      <c r="DV36" s="62" t="str">
        <f>IFERROR(Inv_SY_B!DV36/Inv_SY_B!$IS36-1,"")</f>
        <v/>
      </c>
      <c r="DW36" s="62" t="str">
        <f>IFERROR(Inv_SY_B!DW36/Inv_SY_B!$IS36-1,"")</f>
        <v/>
      </c>
      <c r="DX36" s="62" t="str">
        <f>IFERROR(Inv_SY_B!DX36/Inv_SY_B!$IS36-1,"")</f>
        <v/>
      </c>
      <c r="DY36" s="62" t="str">
        <f>IFERROR(Inv_SY_B!DY36/Inv_SY_B!$IS36-1,"")</f>
        <v/>
      </c>
      <c r="DZ36" s="62" t="str">
        <f>IFERROR(Inv_SY_B!DZ36/Inv_SY_B!$IS36-1,"")</f>
        <v/>
      </c>
      <c r="EA36" s="62" t="str">
        <f>IFERROR(Inv_SY_B!EA36/Inv_SY_B!$IS36-1,"")</f>
        <v/>
      </c>
      <c r="EB36" s="62" t="str">
        <f>IFERROR(Inv_SY_B!EB36/Inv_SY_B!$IS36-1,"")</f>
        <v/>
      </c>
      <c r="EC36" s="62" t="str">
        <f>IFERROR(Inv_SY_B!EC36/Inv_SY_B!$IS36-1,"")</f>
        <v/>
      </c>
      <c r="ED36" s="62" t="str">
        <f>IFERROR(Inv_SY_B!ED36/Inv_SY_B!$IS36-1,"")</f>
        <v/>
      </c>
      <c r="EE36" s="62" t="str">
        <f>IFERROR(Inv_SY_B!EE36/Inv_SY_B!$IS36-1,"")</f>
        <v/>
      </c>
      <c r="EF36" s="62" t="str">
        <f>IFERROR(Inv_SY_B!EF36/Inv_SY_B!$IS36-1,"")</f>
        <v/>
      </c>
      <c r="EG36" s="62" t="str">
        <f>IFERROR(Inv_SY_B!EG36/Inv_SY_B!$IS36-1,"")</f>
        <v/>
      </c>
      <c r="EH36" s="62" t="str">
        <f>IFERROR(Inv_SY_B!EH36/Inv_SY_B!$IS36-1,"")</f>
        <v/>
      </c>
      <c r="EI36" s="62" t="str">
        <f>IFERROR(Inv_SY_B!EI36/Inv_SY_B!$IS36-1,"")</f>
        <v/>
      </c>
      <c r="EJ36" s="62" t="str">
        <f>IFERROR(Inv_SY_B!EJ36/Inv_SY_B!$IS36-1,"")</f>
        <v/>
      </c>
      <c r="EK36" s="62" t="str">
        <f>IFERROR(Inv_SY_B!EK36/Inv_SY_B!$IS36-1,"")</f>
        <v/>
      </c>
      <c r="EL36" s="62" t="str">
        <f>IFERROR(Inv_SY_B!EL36/Inv_SY_B!$IS36-1,"")</f>
        <v/>
      </c>
      <c r="EM36" s="62" t="str">
        <f>IFERROR(Inv_SY_B!EM36/Inv_SY_B!$IS36-1,"")</f>
        <v/>
      </c>
      <c r="EN36" s="62" t="str">
        <f>IFERROR(Inv_SY_B!EN36/Inv_SY_B!$IS36-1,"")</f>
        <v/>
      </c>
      <c r="EO36" s="62" t="str">
        <f>IFERROR(Inv_SY_B!EO36/Inv_SY_B!$IS36-1,"")</f>
        <v/>
      </c>
      <c r="EP36" s="62" t="str">
        <f>IFERROR(Inv_SY_B!EP36/Inv_SY_B!$IS36-1,"")</f>
        <v/>
      </c>
      <c r="EQ36" s="62" t="str">
        <f>IFERROR(Inv_SY_B!EQ36/Inv_SY_B!$IS36-1,"")</f>
        <v/>
      </c>
      <c r="ER36" s="62" t="str">
        <f>IFERROR(Inv_SY_B!ER36/Inv_SY_B!$IS36-1,"")</f>
        <v/>
      </c>
      <c r="ES36" s="62" t="str">
        <f>IFERROR(Inv_SY_B!ES36/Inv_SY_B!$IS36-1,"")</f>
        <v/>
      </c>
      <c r="ET36" s="62" t="str">
        <f>IFERROR(Inv_SY_B!ET36/Inv_SY_B!$IS36-1,"")</f>
        <v/>
      </c>
      <c r="EU36" s="62" t="str">
        <f>IFERROR(Inv_SY_B!EU36/Inv_SY_B!$IS36-1,"")</f>
        <v/>
      </c>
      <c r="EV36" s="62" t="str">
        <f>IFERROR(Inv_SY_B!EV36/Inv_SY_B!$IS36-1,"")</f>
        <v/>
      </c>
      <c r="EW36" s="62" t="str">
        <f>IFERROR(Inv_SY_B!EW36/Inv_SY_B!$IS36-1,"")</f>
        <v/>
      </c>
      <c r="EX36" s="62" t="str">
        <f>IFERROR(Inv_SY_B!EX36/Inv_SY_B!$IS36-1,"")</f>
        <v/>
      </c>
      <c r="EY36" s="62" t="str">
        <f>IFERROR(Inv_SY_B!EY36/Inv_SY_B!$IS36-1,"")</f>
        <v/>
      </c>
      <c r="EZ36" s="62" t="str">
        <f>IFERROR(Inv_SY_B!EZ36/Inv_SY_B!$IS36-1,"")</f>
        <v/>
      </c>
      <c r="FA36" s="62" t="str">
        <f>IFERROR(Inv_SY_B!FA36/Inv_SY_B!$IS36-1,"")</f>
        <v/>
      </c>
      <c r="FB36" s="62" t="str">
        <f>IFERROR(Inv_SY_B!FB36/Inv_SY_B!$IS36-1,"")</f>
        <v/>
      </c>
      <c r="FC36" s="62" t="str">
        <f>IFERROR(Inv_SY_B!FC36/Inv_SY_B!$IS36-1,"")</f>
        <v/>
      </c>
      <c r="FD36" s="62" t="str">
        <f>IFERROR(Inv_SY_B!FD36/Inv_SY_B!$IS36-1,"")</f>
        <v/>
      </c>
      <c r="FE36" s="62" t="str">
        <f>IFERROR(Inv_SY_B!FE36/Inv_SY_B!$IS36-1,"")</f>
        <v/>
      </c>
      <c r="FF36" s="62" t="str">
        <f>IFERROR(Inv_SY_B!FF36/Inv_SY_B!$IS36-1,"")</f>
        <v/>
      </c>
      <c r="FG36" s="62" t="str">
        <f>IFERROR(Inv_SY_B!FG36/Inv_SY_B!$IS36-1,"")</f>
        <v/>
      </c>
      <c r="FH36" s="62" t="str">
        <f>IFERROR(Inv_SY_B!FH36/Inv_SY_B!$IS36-1,"")</f>
        <v/>
      </c>
      <c r="FI36" s="62" t="str">
        <f>IFERROR(Inv_SY_B!FI36/Inv_SY_B!$IS36-1,"")</f>
        <v/>
      </c>
      <c r="FJ36" s="62" t="str">
        <f>IFERROR(Inv_SY_B!FJ36/Inv_SY_B!$IS36-1,"")</f>
        <v/>
      </c>
      <c r="FK36" s="62" t="str">
        <f>IFERROR(Inv_SY_B!FK36/Inv_SY_B!$IS36-1,"")</f>
        <v/>
      </c>
      <c r="FL36" s="62" t="str">
        <f>IFERROR(Inv_SY_B!FL36/Inv_SY_B!$IS36-1,"")</f>
        <v/>
      </c>
      <c r="FM36" s="62" t="str">
        <f>IFERROR(Inv_SY_B!FM36/Inv_SY_B!$IS36-1,"")</f>
        <v/>
      </c>
      <c r="FN36" s="62" t="str">
        <f>IFERROR(Inv_SY_B!FN36/Inv_SY_B!$IS36-1,"")</f>
        <v/>
      </c>
      <c r="FO36" s="62" t="str">
        <f>IFERROR(Inv_SY_B!FO36/Inv_SY_B!$IS36-1,"")</f>
        <v/>
      </c>
      <c r="FP36" s="62" t="str">
        <f>IFERROR(Inv_SY_B!FP36/Inv_SY_B!$IS36-1,"")</f>
        <v/>
      </c>
      <c r="FQ36" s="62" t="str">
        <f>IFERROR(Inv_SY_B!FQ36/Inv_SY_B!$IS36-1,"")</f>
        <v/>
      </c>
      <c r="FR36" s="62" t="str">
        <f>IFERROR(Inv_SY_B!FR36/Inv_SY_B!$IS36-1,"")</f>
        <v/>
      </c>
      <c r="FS36" s="62" t="str">
        <f>IFERROR(Inv_SY_B!FS36/Inv_SY_B!$IS36-1,"")</f>
        <v/>
      </c>
      <c r="FT36" s="62" t="str">
        <f>IFERROR(Inv_SY_B!FT36/Inv_SY_B!$IS36-1,"")</f>
        <v/>
      </c>
      <c r="FU36" s="62" t="str">
        <f>IFERROR(Inv_SY_B!FU36/Inv_SY_B!$IS36-1,"")</f>
        <v/>
      </c>
      <c r="FV36" s="62" t="str">
        <f>IFERROR(Inv_SY_B!FV36/Inv_SY_B!$IS36-1,"")</f>
        <v/>
      </c>
      <c r="FW36" s="62" t="str">
        <f>IFERROR(Inv_SY_B!FW36/Inv_SY_B!$IS36-1,"")</f>
        <v/>
      </c>
      <c r="FX36" s="62" t="str">
        <f>IFERROR(Inv_SY_B!FX36/Inv_SY_B!$IS36-1,"")</f>
        <v/>
      </c>
      <c r="FY36" s="62" t="str">
        <f>IFERROR(Inv_SY_B!FY36/Inv_SY_B!$IS36-1,"")</f>
        <v/>
      </c>
      <c r="FZ36" s="62" t="str">
        <f>IFERROR(Inv_SY_B!FZ36/Inv_SY_B!$IS36-1,"")</f>
        <v/>
      </c>
      <c r="GA36" s="62" t="str">
        <f>IFERROR(Inv_SY_B!GA36/Inv_SY_B!$IS36-1,"")</f>
        <v/>
      </c>
      <c r="GB36" s="62" t="str">
        <f>IFERROR(Inv_SY_B!GB36/Inv_SY_B!$IS36-1,"")</f>
        <v/>
      </c>
      <c r="GC36" s="62" t="str">
        <f>IFERROR(Inv_SY_B!GC36/Inv_SY_B!$IS36-1,"")</f>
        <v/>
      </c>
      <c r="GD36" s="62" t="str">
        <f>IFERROR(Inv_SY_B!GD36/Inv_SY_B!$IS36-1,"")</f>
        <v/>
      </c>
      <c r="GE36" s="62" t="str">
        <f>IFERROR(Inv_SY_B!GE36/Inv_SY_B!$IS36-1,"")</f>
        <v/>
      </c>
      <c r="GF36" s="62" t="str">
        <f>IFERROR(Inv_SY_B!GF36/Inv_SY_B!$IS36-1,"")</f>
        <v/>
      </c>
      <c r="GG36" s="62" t="str">
        <f>IFERROR(Inv_SY_B!GG36/Inv_SY_B!$IS36-1,"")</f>
        <v/>
      </c>
      <c r="GH36" s="62" t="str">
        <f>IFERROR(Inv_SY_B!GH36/Inv_SY_B!$IS36-1,"")</f>
        <v/>
      </c>
      <c r="GI36" s="62" t="str">
        <f>IFERROR(Inv_SY_B!GI36/Inv_SY_B!$IS36-1,"")</f>
        <v/>
      </c>
      <c r="GJ36" s="62" t="str">
        <f>IFERROR(Inv_SY_B!GJ36/Inv_SY_B!$IS36-1,"")</f>
        <v/>
      </c>
      <c r="GK36" s="62" t="str">
        <f>IFERROR(Inv_SY_B!GK36/Inv_SY_B!$IS36-1,"")</f>
        <v/>
      </c>
      <c r="GL36" s="62" t="str">
        <f>IFERROR(Inv_SY_B!GL36/Inv_SY_B!$IS36-1,"")</f>
        <v/>
      </c>
      <c r="GM36" s="62" t="str">
        <f>IFERROR(Inv_SY_B!GM36/Inv_SY_B!$IS36-1,"")</f>
        <v/>
      </c>
      <c r="GN36" s="62" t="str">
        <f>IFERROR(Inv_SY_B!GN36/Inv_SY_B!$IS36-1,"")</f>
        <v/>
      </c>
      <c r="GO36" s="62" t="str">
        <f>IFERROR(Inv_SY_B!GO36/Inv_SY_B!$IS36-1,"")</f>
        <v/>
      </c>
      <c r="GP36" s="62" t="str">
        <f>IFERROR(Inv_SY_B!GP36/Inv_SY_B!$IS36-1,"")</f>
        <v/>
      </c>
      <c r="GQ36" s="62" t="str">
        <f>IFERROR(Inv_SY_B!GQ36/Inv_SY_B!$IS36-1,"")</f>
        <v/>
      </c>
      <c r="GR36" s="62" t="str">
        <f>IFERROR(Inv_SY_B!GR36/Inv_SY_B!$IS36-1,"")</f>
        <v/>
      </c>
      <c r="GS36" s="62" t="str">
        <f>IFERROR(Inv_SY_B!GS36/Inv_SY_B!$IS36-1,"")</f>
        <v/>
      </c>
      <c r="GT36" s="62" t="str">
        <f>IFERROR(Inv_SY_B!GT36/Inv_SY_B!$IS36-1,"")</f>
        <v/>
      </c>
      <c r="GU36" s="62" t="str">
        <f>IFERROR(Inv_SY_B!GU36/Inv_SY_B!$IS36-1,"")</f>
        <v/>
      </c>
      <c r="GV36" s="62" t="str">
        <f>IFERROR(Inv_SY_B!GV36/Inv_SY_B!$IS36-1,"")</f>
        <v/>
      </c>
      <c r="GW36" s="62" t="str">
        <f>IFERROR(Inv_SY_B!GW36/Inv_SY_B!$IS36-1,"")</f>
        <v/>
      </c>
      <c r="GX36" s="62" t="str">
        <f>IFERROR(Inv_SY_B!GX36/Inv_SY_B!$IS36-1,"")</f>
        <v/>
      </c>
      <c r="GY36" s="62" t="str">
        <f>IFERROR(Inv_SY_B!GY36/Inv_SY_B!$IS36-1,"")</f>
        <v/>
      </c>
      <c r="GZ36" s="62" t="str">
        <f>IFERROR(Inv_SY_B!GZ36/Inv_SY_B!$IS36-1,"")</f>
        <v/>
      </c>
      <c r="HA36" s="62" t="str">
        <f>IFERROR(Inv_SY_B!HA36/Inv_SY_B!$IS36-1,"")</f>
        <v/>
      </c>
      <c r="HB36" s="62" t="str">
        <f>IFERROR(Inv_SY_B!HB36/Inv_SY_B!$IS36-1,"")</f>
        <v/>
      </c>
      <c r="HC36" s="62" t="str">
        <f>IFERROR(Inv_SY_B!HC36/Inv_SY_B!$IS36-1,"")</f>
        <v/>
      </c>
      <c r="HD36" s="62" t="str">
        <f>IFERROR(Inv_SY_B!HD36/Inv_SY_B!$IS36-1,"")</f>
        <v/>
      </c>
      <c r="HE36" s="62" t="str">
        <f>IFERROR(Inv_SY_B!HE36/Inv_SY_B!$IS36-1,"")</f>
        <v/>
      </c>
      <c r="HF36" s="62" t="str">
        <f>IFERROR(Inv_SY_B!HF36/Inv_SY_B!$IS36-1,"")</f>
        <v/>
      </c>
      <c r="HG36" s="62" t="str">
        <f>IFERROR(Inv_SY_B!HG36/Inv_SY_B!$IS36-1,"")</f>
        <v/>
      </c>
      <c r="HH36" s="62" t="str">
        <f>IFERROR(Inv_SY_B!HH36/Inv_SY_B!$IS36-1,"")</f>
        <v/>
      </c>
      <c r="HI36" s="62" t="str">
        <f>IFERROR(Inv_SY_B!HI36/Inv_SY_B!$IS36-1,"")</f>
        <v/>
      </c>
      <c r="HJ36" s="62" t="str">
        <f>IFERROR(Inv_SY_B!HJ36/Inv_SY_B!$IS36-1,"")</f>
        <v/>
      </c>
      <c r="HK36" s="62" t="str">
        <f>IFERROR(Inv_SY_B!HK36/Inv_SY_B!$IS36-1,"")</f>
        <v/>
      </c>
      <c r="HL36" s="62" t="str">
        <f>IFERROR(Inv_SY_B!HL36/Inv_SY_B!$IS36-1,"")</f>
        <v/>
      </c>
      <c r="HM36" s="62" t="str">
        <f>IFERROR(Inv_SY_B!HM36/Inv_SY_B!$IS36-1,"")</f>
        <v/>
      </c>
      <c r="HN36" s="62" t="str">
        <f>IFERROR(Inv_SY_B!HN36/Inv_SY_B!$IS36-1,"")</f>
        <v/>
      </c>
      <c r="HO36" s="62" t="str">
        <f>IFERROR(Inv_SY_B!HO36/Inv_SY_B!$IS36-1,"")</f>
        <v/>
      </c>
      <c r="HP36" s="62" t="str">
        <f>IFERROR(Inv_SY_B!HP36/Inv_SY_B!$IS36-1,"")</f>
        <v/>
      </c>
      <c r="HQ36" s="62" t="str">
        <f>IFERROR(Inv_SY_B!HQ36/Inv_SY_B!$IS36-1,"")</f>
        <v/>
      </c>
      <c r="HR36" s="62" t="str">
        <f>IFERROR(Inv_SY_B!HR36/Inv_SY_B!$IS36-1,"")</f>
        <v/>
      </c>
      <c r="HS36" s="62" t="str">
        <f>IFERROR(Inv_SY_B!HS36/Inv_SY_B!$IS36-1,"")</f>
        <v/>
      </c>
      <c r="HT36" s="62" t="str">
        <f>IFERROR(Inv_SY_B!HT36/Inv_SY_B!$IS36-1,"")</f>
        <v/>
      </c>
      <c r="HU36" s="62" t="str">
        <f>IFERROR(Inv_SY_B!HU36/Inv_SY_B!$IS36-1,"")</f>
        <v/>
      </c>
      <c r="HV36" s="62" t="str">
        <f>IFERROR(Inv_SY_B!HV36/Inv_SY_B!$IS36-1,"")</f>
        <v/>
      </c>
      <c r="HW36" s="62" t="str">
        <f>IFERROR(Inv_SY_B!HW36/Inv_SY_B!$IS36-1,"")</f>
        <v/>
      </c>
      <c r="HX36" s="62" t="str">
        <f>IFERROR(Inv_SY_B!HX36/Inv_SY_B!$IS36-1,"")</f>
        <v/>
      </c>
      <c r="HY36" s="62" t="str">
        <f>IFERROR(Inv_SY_B!HY36/Inv_SY_B!$IS36-1,"")</f>
        <v/>
      </c>
      <c r="HZ36" s="62" t="str">
        <f>IFERROR(Inv_SY_B!HZ36/Inv_SY_B!$IS36-1,"")</f>
        <v/>
      </c>
      <c r="IA36" s="62" t="str">
        <f>IFERROR(Inv_SY_B!IA36/Inv_SY_B!$IS36-1,"")</f>
        <v/>
      </c>
      <c r="IB36" s="62" t="str">
        <f>IFERROR(Inv_SY_B!IB36/Inv_SY_B!$IS36-1,"")</f>
        <v/>
      </c>
      <c r="IC36" s="62" t="str">
        <f>IFERROR(Inv_SY_B!IC36/Inv_SY_B!$IS36-1,"")</f>
        <v/>
      </c>
      <c r="ID36" s="62" t="str">
        <f>IFERROR(Inv_SY_B!ID36/Inv_SY_B!$IS36-1,"")</f>
        <v/>
      </c>
      <c r="IE36" s="62" t="str">
        <f>IFERROR(Inv_SY_B!IE36/Inv_SY_B!$IS36-1,"")</f>
        <v/>
      </c>
      <c r="IF36" s="62" t="str">
        <f>IFERROR(Inv_SY_B!IF36/Inv_SY_B!$IS36-1,"")</f>
        <v/>
      </c>
      <c r="IG36" s="62" t="str">
        <f>IFERROR(Inv_SY_B!IG36/Inv_SY_B!$IS36-1,"")</f>
        <v/>
      </c>
      <c r="IH36" s="62" t="str">
        <f>IFERROR(Inv_SY_B!IH36/Inv_SY_B!$IS36-1,"")</f>
        <v/>
      </c>
      <c r="II36" s="62" t="str">
        <f>IFERROR(Inv_SY_B!II36/Inv_SY_B!$IS36-1,"")</f>
        <v/>
      </c>
      <c r="IJ36" s="62" t="str">
        <f>IFERROR(Inv_SY_B!IJ36/Inv_SY_B!$IS36-1,"")</f>
        <v/>
      </c>
      <c r="IK36" s="62" t="str">
        <f>IFERROR(Inv_SY_B!IK36/Inv_SY_B!$IS36-1,"")</f>
        <v/>
      </c>
      <c r="IL36" s="62" t="str">
        <f>IFERROR(Inv_SY_B!IL36/Inv_SY_B!$IS36-1,"")</f>
        <v/>
      </c>
      <c r="IM36" s="62" t="str">
        <f>IFERROR(Inv_SY_B!IM36/Inv_SY_B!$IS36-1,"")</f>
        <v/>
      </c>
      <c r="IN36" s="62" t="str">
        <f>IFERROR(Inv_SY_B!IN36/Inv_SY_B!$IS36-1,"")</f>
        <v/>
      </c>
      <c r="IO36" s="62" t="str">
        <f>IFERROR(Inv_SY_B!IO36/Inv_SY_B!$IS36-1,"")</f>
        <v/>
      </c>
      <c r="IP36" s="62" t="str">
        <f>IFERROR(Inv_SY_B!IP36/Inv_SY_B!$IS36-1,"")</f>
        <v/>
      </c>
      <c r="IQ36" s="62" t="str">
        <f>IFERROR(Inv_SY_B!IQ36/Inv_SY_B!$IS36-1,"")</f>
        <v/>
      </c>
      <c r="IR36" s="62" t="str">
        <f>IFERROR(Inv_SY_B!IR36/Inv_SY_B!$IS36-1,"")</f>
        <v/>
      </c>
    </row>
    <row r="37" spans="2:252" x14ac:dyDescent="0.25">
      <c r="B37" s="85">
        <f t="shared" si="0"/>
        <v>45863</v>
      </c>
      <c r="C37" s="62" t="str">
        <f>IFERROR(Inv_SY_B!C37/Inv_SY_B!$IS37-1,"")</f>
        <v/>
      </c>
      <c r="D37" s="62" t="str">
        <f>IFERROR(Inv_SY_B!D37/Inv_SY_B!$IS37-1,"")</f>
        <v/>
      </c>
      <c r="E37" s="62" t="str">
        <f>IFERROR(Inv_SY_B!E37/Inv_SY_B!$IS37-1,"")</f>
        <v/>
      </c>
      <c r="F37" s="62" t="str">
        <f>IFERROR(Inv_SY_B!F37/Inv_SY_B!$IS37-1,"")</f>
        <v/>
      </c>
      <c r="G37" s="62" t="str">
        <f>IFERROR(Inv_SY_B!G37/Inv_SY_B!$IS37-1,"")</f>
        <v/>
      </c>
      <c r="H37" s="62" t="str">
        <f>IFERROR(Inv_SY_B!H37/Inv_SY_B!$IS37-1,"")</f>
        <v/>
      </c>
      <c r="I37" s="62" t="str">
        <f>IFERROR(Inv_SY_B!I37/Inv_SY_B!$IS37-1,"")</f>
        <v/>
      </c>
      <c r="J37" s="62" t="str">
        <f>IFERROR(Inv_SY_B!J37/Inv_SY_B!$IS37-1,"")</f>
        <v/>
      </c>
      <c r="K37" s="62" t="str">
        <f>IFERROR(Inv_SY_B!K37/Inv_SY_B!$IS37-1,"")</f>
        <v/>
      </c>
      <c r="L37" s="62" t="str">
        <f>IFERROR(Inv_SY_B!L37/Inv_SY_B!$IS37-1,"")</f>
        <v/>
      </c>
      <c r="M37" s="62" t="str">
        <f>IFERROR(Inv_SY_B!M37/Inv_SY_B!$IS37-1,"")</f>
        <v/>
      </c>
      <c r="N37" s="62" t="str">
        <f>IFERROR(Inv_SY_B!N37/Inv_SY_B!$IS37-1,"")</f>
        <v/>
      </c>
      <c r="O37" s="62" t="str">
        <f>IFERROR(Inv_SY_B!O37/Inv_SY_B!$IS37-1,"")</f>
        <v/>
      </c>
      <c r="P37" s="62" t="str">
        <f>IFERROR(Inv_SY_B!P37/Inv_SY_B!$IS37-1,"")</f>
        <v/>
      </c>
      <c r="Q37" s="62" t="str">
        <f>IFERROR(Inv_SY_B!Q37/Inv_SY_B!$IS37-1,"")</f>
        <v/>
      </c>
      <c r="R37" s="62" t="str">
        <f>IFERROR(Inv_SY_B!R37/Inv_SY_B!$IS37-1,"")</f>
        <v/>
      </c>
      <c r="S37" s="62" t="str">
        <f>IFERROR(Inv_SY_B!S37/Inv_SY_B!$IS37-1,"")</f>
        <v/>
      </c>
      <c r="T37" s="62" t="str">
        <f>IFERROR(Inv_SY_B!T37/Inv_SY_B!$IS37-1,"")</f>
        <v/>
      </c>
      <c r="U37" s="62" t="str">
        <f>IFERROR(Inv_SY_B!U37/Inv_SY_B!$IS37-1,"")</f>
        <v/>
      </c>
      <c r="V37" s="62" t="str">
        <f>IFERROR(Inv_SY_B!V37/Inv_SY_B!$IS37-1,"")</f>
        <v/>
      </c>
      <c r="W37" s="62" t="str">
        <f>IFERROR(Inv_SY_B!W37/Inv_SY_B!$IS37-1,"")</f>
        <v/>
      </c>
      <c r="X37" s="62" t="str">
        <f>IFERROR(Inv_SY_B!X37/Inv_SY_B!$IS37-1,"")</f>
        <v/>
      </c>
      <c r="Y37" s="62" t="str">
        <f>IFERROR(Inv_SY_B!Y37/Inv_SY_B!$IS37-1,"")</f>
        <v/>
      </c>
      <c r="Z37" s="62" t="str">
        <f>IFERROR(Inv_SY_B!Z37/Inv_SY_B!$IS37-1,"")</f>
        <v/>
      </c>
      <c r="AA37" s="62" t="str">
        <f>IFERROR(Inv_SY_B!AA37/Inv_SY_B!$IS37-1,"")</f>
        <v/>
      </c>
      <c r="AB37" s="62" t="str">
        <f>IFERROR(Inv_SY_B!AB37/Inv_SY_B!$IS37-1,"")</f>
        <v/>
      </c>
      <c r="AC37" s="62" t="str">
        <f>IFERROR(Inv_SY_B!AC37/Inv_SY_B!$IS37-1,"")</f>
        <v/>
      </c>
      <c r="AD37" s="62" t="str">
        <f>IFERROR(Inv_SY_B!AD37/Inv_SY_B!$IS37-1,"")</f>
        <v/>
      </c>
      <c r="AE37" s="62" t="str">
        <f>IFERROR(Inv_SY_B!AE37/Inv_SY_B!$IS37-1,"")</f>
        <v/>
      </c>
      <c r="AF37" s="62" t="str">
        <f>IFERROR(Inv_SY_B!AF37/Inv_SY_B!$IS37-1,"")</f>
        <v/>
      </c>
      <c r="AG37" s="62" t="str">
        <f>IFERROR(Inv_SY_B!AG37/Inv_SY_B!$IS37-1,"")</f>
        <v/>
      </c>
      <c r="AH37" s="62" t="str">
        <f>IFERROR(Inv_SY_B!AH37/Inv_SY_B!$IS37-1,"")</f>
        <v/>
      </c>
      <c r="AI37" s="62" t="str">
        <f>IFERROR(Inv_SY_B!AI37/Inv_SY_B!$IS37-1,"")</f>
        <v/>
      </c>
      <c r="AJ37" s="62" t="str">
        <f>IFERROR(Inv_SY_B!AJ37/Inv_SY_B!$IS37-1,"")</f>
        <v/>
      </c>
      <c r="AK37" s="62" t="str">
        <f>IFERROR(Inv_SY_B!AK37/Inv_SY_B!$IS37-1,"")</f>
        <v/>
      </c>
      <c r="AL37" s="62" t="str">
        <f>IFERROR(Inv_SY_B!AL37/Inv_SY_B!$IS37-1,"")</f>
        <v/>
      </c>
      <c r="AM37" s="62" t="str">
        <f>IFERROR(Inv_SY_B!AM37/Inv_SY_B!$IS37-1,"")</f>
        <v/>
      </c>
      <c r="AN37" s="62" t="str">
        <f>IFERROR(Inv_SY_B!AN37/Inv_SY_B!$IS37-1,"")</f>
        <v/>
      </c>
      <c r="AO37" s="62" t="str">
        <f>IFERROR(Inv_SY_B!AO37/Inv_SY_B!$IS37-1,"")</f>
        <v/>
      </c>
      <c r="AP37" s="62" t="str">
        <f>IFERROR(Inv_SY_B!AP37/Inv_SY_B!$IS37-1,"")</f>
        <v/>
      </c>
      <c r="AQ37" s="62" t="str">
        <f>IFERROR(Inv_SY_B!AQ37/Inv_SY_B!$IS37-1,"")</f>
        <v/>
      </c>
      <c r="AR37" s="62" t="str">
        <f>IFERROR(Inv_SY_B!AR37/Inv_SY_B!$IS37-1,"")</f>
        <v/>
      </c>
      <c r="AS37" s="62" t="str">
        <f>IFERROR(Inv_SY_B!AS37/Inv_SY_B!$IS37-1,"")</f>
        <v/>
      </c>
      <c r="AT37" s="62" t="str">
        <f>IFERROR(Inv_SY_B!AT37/Inv_SY_B!$IS37-1,"")</f>
        <v/>
      </c>
      <c r="AU37" s="62" t="str">
        <f>IFERROR(Inv_SY_B!AU37/Inv_SY_B!$IS37-1,"")</f>
        <v/>
      </c>
      <c r="AV37" s="62" t="str">
        <f>IFERROR(Inv_SY_B!AV37/Inv_SY_B!$IS37-1,"")</f>
        <v/>
      </c>
      <c r="AW37" s="62" t="str">
        <f>IFERROR(Inv_SY_B!AW37/Inv_SY_B!$IS37-1,"")</f>
        <v/>
      </c>
      <c r="AX37" s="62" t="str">
        <f>IFERROR(Inv_SY_B!AX37/Inv_SY_B!$IS37-1,"")</f>
        <v/>
      </c>
      <c r="AY37" s="62" t="str">
        <f>IFERROR(Inv_SY_B!AY37/Inv_SY_B!$IS37-1,"")</f>
        <v/>
      </c>
      <c r="AZ37" s="62" t="str">
        <f>IFERROR(Inv_SY_B!AZ37/Inv_SY_B!$IS37-1,"")</f>
        <v/>
      </c>
      <c r="BA37" s="62" t="str">
        <f>IFERROR(Inv_SY_B!BA37/Inv_SY_B!$IS37-1,"")</f>
        <v/>
      </c>
      <c r="BB37" s="62" t="str">
        <f>IFERROR(Inv_SY_B!BB37/Inv_SY_B!$IS37-1,"")</f>
        <v/>
      </c>
      <c r="BC37" s="62" t="str">
        <f>IFERROR(Inv_SY_B!BC37/Inv_SY_B!$IS37-1,"")</f>
        <v/>
      </c>
      <c r="BD37" s="62" t="str">
        <f>IFERROR(Inv_SY_B!BD37/Inv_SY_B!$IS37-1,"")</f>
        <v/>
      </c>
      <c r="BE37" s="62" t="str">
        <f>IFERROR(Inv_SY_B!BE37/Inv_SY_B!$IS37-1,"")</f>
        <v/>
      </c>
      <c r="BF37" s="62" t="str">
        <f>IFERROR(Inv_SY_B!BF37/Inv_SY_B!$IS37-1,"")</f>
        <v/>
      </c>
      <c r="BG37" s="62" t="str">
        <f>IFERROR(Inv_SY_B!BG37/Inv_SY_B!$IS37-1,"")</f>
        <v/>
      </c>
      <c r="BH37" s="62" t="str">
        <f>IFERROR(Inv_SY_B!BH37/Inv_SY_B!$IS37-1,"")</f>
        <v/>
      </c>
      <c r="BI37" s="62" t="str">
        <f>IFERROR(Inv_SY_B!BI37/Inv_SY_B!$IS37-1,"")</f>
        <v/>
      </c>
      <c r="BJ37" s="62" t="str">
        <f>IFERROR(Inv_SY_B!BJ37/Inv_SY_B!$IS37-1,"")</f>
        <v/>
      </c>
      <c r="BK37" s="62" t="str">
        <f>IFERROR(Inv_SY_B!BK37/Inv_SY_B!$IS37-1,"")</f>
        <v/>
      </c>
      <c r="BL37" s="62" t="str">
        <f>IFERROR(Inv_SY_B!BL37/Inv_SY_B!$IS37-1,"")</f>
        <v/>
      </c>
      <c r="BM37" s="62" t="str">
        <f>IFERROR(Inv_SY_B!BM37/Inv_SY_B!$IS37-1,"")</f>
        <v/>
      </c>
      <c r="BN37" s="62" t="str">
        <f>IFERROR(Inv_SY_B!BN37/Inv_SY_B!$IS37-1,"")</f>
        <v/>
      </c>
      <c r="BO37" s="62" t="str">
        <f>IFERROR(Inv_SY_B!BO37/Inv_SY_B!$IS37-1,"")</f>
        <v/>
      </c>
      <c r="BP37" s="62" t="str">
        <f>IFERROR(Inv_SY_B!BP37/Inv_SY_B!$IS37-1,"")</f>
        <v/>
      </c>
      <c r="BQ37" s="62" t="str">
        <f>IFERROR(Inv_SY_B!BQ37/Inv_SY_B!$IS37-1,"")</f>
        <v/>
      </c>
      <c r="BR37" s="62" t="str">
        <f>IFERROR(Inv_SY_B!BR37/Inv_SY_B!$IS37-1,"")</f>
        <v/>
      </c>
      <c r="BS37" s="62" t="str">
        <f>IFERROR(Inv_SY_B!BS37/Inv_SY_B!$IS37-1,"")</f>
        <v/>
      </c>
      <c r="BT37" s="62" t="str">
        <f>IFERROR(Inv_SY_B!BT37/Inv_SY_B!$IS37-1,"")</f>
        <v/>
      </c>
      <c r="BU37" s="62" t="str">
        <f>IFERROR(Inv_SY_B!BU37/Inv_SY_B!$IS37-1,"")</f>
        <v/>
      </c>
      <c r="BV37" s="62" t="str">
        <f>IFERROR(Inv_SY_B!BV37/Inv_SY_B!$IS37-1,"")</f>
        <v/>
      </c>
      <c r="BW37" s="62" t="str">
        <f>IFERROR(Inv_SY_B!BW37/Inv_SY_B!$IS37-1,"")</f>
        <v/>
      </c>
      <c r="BX37" s="62" t="str">
        <f>IFERROR(Inv_SY_B!BX37/Inv_SY_B!$IS37-1,"")</f>
        <v/>
      </c>
      <c r="BY37" s="62" t="str">
        <f>IFERROR(Inv_SY_B!BY37/Inv_SY_B!$IS37-1,"")</f>
        <v/>
      </c>
      <c r="BZ37" s="62" t="str">
        <f>IFERROR(Inv_SY_B!BZ37/Inv_SY_B!$IS37-1,"")</f>
        <v/>
      </c>
      <c r="CA37" s="62" t="str">
        <f>IFERROR(Inv_SY_B!CA37/Inv_SY_B!$IS37-1,"")</f>
        <v/>
      </c>
      <c r="CB37" s="62" t="str">
        <f>IFERROR(Inv_SY_B!CB37/Inv_SY_B!$IS37-1,"")</f>
        <v/>
      </c>
      <c r="CC37" s="62" t="str">
        <f>IFERROR(Inv_SY_B!CC37/Inv_SY_B!$IS37-1,"")</f>
        <v/>
      </c>
      <c r="CD37" s="62" t="str">
        <f>IFERROR(Inv_SY_B!CD37/Inv_SY_B!$IS37-1,"")</f>
        <v/>
      </c>
      <c r="CE37" s="62" t="str">
        <f>IFERROR(Inv_SY_B!CE37/Inv_SY_B!$IS37-1,"")</f>
        <v/>
      </c>
      <c r="CF37" s="62" t="str">
        <f>IFERROR(Inv_SY_B!CF37/Inv_SY_B!$IS37-1,"")</f>
        <v/>
      </c>
      <c r="CG37" s="62" t="str">
        <f>IFERROR(Inv_SY_B!CG37/Inv_SY_B!$IS37-1,"")</f>
        <v/>
      </c>
      <c r="CH37" s="62" t="str">
        <f>IFERROR(Inv_SY_B!CH37/Inv_SY_B!$IS37-1,"")</f>
        <v/>
      </c>
      <c r="CI37" s="62" t="str">
        <f>IFERROR(Inv_SY_B!CI37/Inv_SY_B!$IS37-1,"")</f>
        <v/>
      </c>
      <c r="CJ37" s="62" t="str">
        <f>IFERROR(Inv_SY_B!CJ37/Inv_SY_B!$IS37-1,"")</f>
        <v/>
      </c>
      <c r="CK37" s="62" t="str">
        <f>IFERROR(Inv_SY_B!CK37/Inv_SY_B!$IS37-1,"")</f>
        <v/>
      </c>
      <c r="CL37" s="62" t="str">
        <f>IFERROR(Inv_SY_B!CL37/Inv_SY_B!$IS37-1,"")</f>
        <v/>
      </c>
      <c r="CM37" s="62" t="str">
        <f>IFERROR(Inv_SY_B!CM37/Inv_SY_B!$IS37-1,"")</f>
        <v/>
      </c>
      <c r="CN37" s="62" t="str">
        <f>IFERROR(Inv_SY_B!CN37/Inv_SY_B!$IS37-1,"")</f>
        <v/>
      </c>
      <c r="CO37" s="62" t="str">
        <f>IFERROR(Inv_SY_B!CO37/Inv_SY_B!$IS37-1,"")</f>
        <v/>
      </c>
      <c r="CP37" s="62" t="str">
        <f>IFERROR(Inv_SY_B!CP37/Inv_SY_B!$IS37-1,"")</f>
        <v/>
      </c>
      <c r="CQ37" s="62" t="str">
        <f>IFERROR(Inv_SY_B!CQ37/Inv_SY_B!$IS37-1,"")</f>
        <v/>
      </c>
      <c r="CR37" s="62" t="str">
        <f>IFERROR(Inv_SY_B!CR37/Inv_SY_B!$IS37-1,"")</f>
        <v/>
      </c>
      <c r="CS37" s="62" t="str">
        <f>IFERROR(Inv_SY_B!CS37/Inv_SY_B!$IS37-1,"")</f>
        <v/>
      </c>
      <c r="CT37" s="62" t="str">
        <f>IFERROR(Inv_SY_B!CT37/Inv_SY_B!$IS37-1,"")</f>
        <v/>
      </c>
      <c r="CU37" s="62" t="str">
        <f>IFERROR(Inv_SY_B!CU37/Inv_SY_B!$IS37-1,"")</f>
        <v/>
      </c>
      <c r="CV37" s="62" t="str">
        <f>IFERROR(Inv_SY_B!CV37/Inv_SY_B!$IS37-1,"")</f>
        <v/>
      </c>
      <c r="CW37" s="62" t="str">
        <f>IFERROR(Inv_SY_B!CW37/Inv_SY_B!$IS37-1,"")</f>
        <v/>
      </c>
      <c r="CX37" s="62" t="str">
        <f>IFERROR(Inv_SY_B!CX37/Inv_SY_B!$IS37-1,"")</f>
        <v/>
      </c>
      <c r="CY37" s="62" t="str">
        <f>IFERROR(Inv_SY_B!CY37/Inv_SY_B!$IS37-1,"")</f>
        <v/>
      </c>
      <c r="CZ37" s="62" t="str">
        <f>IFERROR(Inv_SY_B!CZ37/Inv_SY_B!$IS37-1,"")</f>
        <v/>
      </c>
      <c r="DA37" s="62" t="str">
        <f>IFERROR(Inv_SY_B!DA37/Inv_SY_B!$IS37-1,"")</f>
        <v/>
      </c>
      <c r="DB37" s="62" t="str">
        <f>IFERROR(Inv_SY_B!DB37/Inv_SY_B!$IS37-1,"")</f>
        <v/>
      </c>
      <c r="DC37" s="62" t="str">
        <f>IFERROR(Inv_SY_B!DC37/Inv_SY_B!$IS37-1,"")</f>
        <v/>
      </c>
      <c r="DD37" s="62" t="str">
        <f>IFERROR(Inv_SY_B!DD37/Inv_SY_B!$IS37-1,"")</f>
        <v/>
      </c>
      <c r="DE37" s="62" t="str">
        <f>IFERROR(Inv_SY_B!DE37/Inv_SY_B!$IS37-1,"")</f>
        <v/>
      </c>
      <c r="DF37" s="62" t="str">
        <f>IFERROR(Inv_SY_B!DF37/Inv_SY_B!$IS37-1,"")</f>
        <v/>
      </c>
      <c r="DG37" s="62" t="str">
        <f>IFERROR(Inv_SY_B!DG37/Inv_SY_B!$IS37-1,"")</f>
        <v/>
      </c>
      <c r="DH37" s="62" t="str">
        <f>IFERROR(Inv_SY_B!DH37/Inv_SY_B!$IS37-1,"")</f>
        <v/>
      </c>
      <c r="DI37" s="62" t="str">
        <f>IFERROR(Inv_SY_B!DI37/Inv_SY_B!$IS37-1,"")</f>
        <v/>
      </c>
      <c r="DJ37" s="62" t="str">
        <f>IFERROR(Inv_SY_B!DJ37/Inv_SY_B!$IS37-1,"")</f>
        <v/>
      </c>
      <c r="DK37" s="62" t="str">
        <f>IFERROR(Inv_SY_B!DK37/Inv_SY_B!$IS37-1,"")</f>
        <v/>
      </c>
      <c r="DL37" s="62" t="str">
        <f>IFERROR(Inv_SY_B!DL37/Inv_SY_B!$IS37-1,"")</f>
        <v/>
      </c>
      <c r="DM37" s="62" t="str">
        <f>IFERROR(Inv_SY_B!DM37/Inv_SY_B!$IS37-1,"")</f>
        <v/>
      </c>
      <c r="DN37" s="62" t="str">
        <f>IFERROR(Inv_SY_B!DN37/Inv_SY_B!$IS37-1,"")</f>
        <v/>
      </c>
      <c r="DO37" s="62" t="str">
        <f>IFERROR(Inv_SY_B!DO37/Inv_SY_B!$IS37-1,"")</f>
        <v/>
      </c>
      <c r="DP37" s="62" t="str">
        <f>IFERROR(Inv_SY_B!DP37/Inv_SY_B!$IS37-1,"")</f>
        <v/>
      </c>
      <c r="DQ37" s="62" t="str">
        <f>IFERROR(Inv_SY_B!DQ37/Inv_SY_B!$IS37-1,"")</f>
        <v/>
      </c>
      <c r="DR37" s="62" t="str">
        <f>IFERROR(Inv_SY_B!DR37/Inv_SY_B!$IS37-1,"")</f>
        <v/>
      </c>
      <c r="DS37" s="62" t="str">
        <f>IFERROR(Inv_SY_B!DS37/Inv_SY_B!$IS37-1,"")</f>
        <v/>
      </c>
      <c r="DT37" s="62" t="str">
        <f>IFERROR(Inv_SY_B!DT37/Inv_SY_B!$IS37-1,"")</f>
        <v/>
      </c>
      <c r="DU37" s="62" t="str">
        <f>IFERROR(Inv_SY_B!DU37/Inv_SY_B!$IS37-1,"")</f>
        <v/>
      </c>
      <c r="DV37" s="62" t="str">
        <f>IFERROR(Inv_SY_B!DV37/Inv_SY_B!$IS37-1,"")</f>
        <v/>
      </c>
      <c r="DW37" s="62" t="str">
        <f>IFERROR(Inv_SY_B!DW37/Inv_SY_B!$IS37-1,"")</f>
        <v/>
      </c>
      <c r="DX37" s="62" t="str">
        <f>IFERROR(Inv_SY_B!DX37/Inv_SY_B!$IS37-1,"")</f>
        <v/>
      </c>
      <c r="DY37" s="62" t="str">
        <f>IFERROR(Inv_SY_B!DY37/Inv_SY_B!$IS37-1,"")</f>
        <v/>
      </c>
      <c r="DZ37" s="62" t="str">
        <f>IFERROR(Inv_SY_B!DZ37/Inv_SY_B!$IS37-1,"")</f>
        <v/>
      </c>
      <c r="EA37" s="62" t="str">
        <f>IFERROR(Inv_SY_B!EA37/Inv_SY_B!$IS37-1,"")</f>
        <v/>
      </c>
      <c r="EB37" s="62" t="str">
        <f>IFERROR(Inv_SY_B!EB37/Inv_SY_B!$IS37-1,"")</f>
        <v/>
      </c>
      <c r="EC37" s="62" t="str">
        <f>IFERROR(Inv_SY_B!EC37/Inv_SY_B!$IS37-1,"")</f>
        <v/>
      </c>
      <c r="ED37" s="62" t="str">
        <f>IFERROR(Inv_SY_B!ED37/Inv_SY_B!$IS37-1,"")</f>
        <v/>
      </c>
      <c r="EE37" s="62" t="str">
        <f>IFERROR(Inv_SY_B!EE37/Inv_SY_B!$IS37-1,"")</f>
        <v/>
      </c>
      <c r="EF37" s="62" t="str">
        <f>IFERROR(Inv_SY_B!EF37/Inv_SY_B!$IS37-1,"")</f>
        <v/>
      </c>
      <c r="EG37" s="62" t="str">
        <f>IFERROR(Inv_SY_B!EG37/Inv_SY_B!$IS37-1,"")</f>
        <v/>
      </c>
      <c r="EH37" s="62" t="str">
        <f>IFERROR(Inv_SY_B!EH37/Inv_SY_B!$IS37-1,"")</f>
        <v/>
      </c>
      <c r="EI37" s="62" t="str">
        <f>IFERROR(Inv_SY_B!EI37/Inv_SY_B!$IS37-1,"")</f>
        <v/>
      </c>
      <c r="EJ37" s="62" t="str">
        <f>IFERROR(Inv_SY_B!EJ37/Inv_SY_B!$IS37-1,"")</f>
        <v/>
      </c>
      <c r="EK37" s="62" t="str">
        <f>IFERROR(Inv_SY_B!EK37/Inv_SY_B!$IS37-1,"")</f>
        <v/>
      </c>
      <c r="EL37" s="62" t="str">
        <f>IFERROR(Inv_SY_B!EL37/Inv_SY_B!$IS37-1,"")</f>
        <v/>
      </c>
      <c r="EM37" s="62" t="str">
        <f>IFERROR(Inv_SY_B!EM37/Inv_SY_B!$IS37-1,"")</f>
        <v/>
      </c>
      <c r="EN37" s="62" t="str">
        <f>IFERROR(Inv_SY_B!EN37/Inv_SY_B!$IS37-1,"")</f>
        <v/>
      </c>
      <c r="EO37" s="62" t="str">
        <f>IFERROR(Inv_SY_B!EO37/Inv_SY_B!$IS37-1,"")</f>
        <v/>
      </c>
      <c r="EP37" s="62" t="str">
        <f>IFERROR(Inv_SY_B!EP37/Inv_SY_B!$IS37-1,"")</f>
        <v/>
      </c>
      <c r="EQ37" s="62" t="str">
        <f>IFERROR(Inv_SY_B!EQ37/Inv_SY_B!$IS37-1,"")</f>
        <v/>
      </c>
      <c r="ER37" s="62" t="str">
        <f>IFERROR(Inv_SY_B!ER37/Inv_SY_B!$IS37-1,"")</f>
        <v/>
      </c>
      <c r="ES37" s="62" t="str">
        <f>IFERROR(Inv_SY_B!ES37/Inv_SY_B!$IS37-1,"")</f>
        <v/>
      </c>
      <c r="ET37" s="62" t="str">
        <f>IFERROR(Inv_SY_B!ET37/Inv_SY_B!$IS37-1,"")</f>
        <v/>
      </c>
      <c r="EU37" s="62" t="str">
        <f>IFERROR(Inv_SY_B!EU37/Inv_SY_B!$IS37-1,"")</f>
        <v/>
      </c>
      <c r="EV37" s="62" t="str">
        <f>IFERROR(Inv_SY_B!EV37/Inv_SY_B!$IS37-1,"")</f>
        <v/>
      </c>
      <c r="EW37" s="62" t="str">
        <f>IFERROR(Inv_SY_B!EW37/Inv_SY_B!$IS37-1,"")</f>
        <v/>
      </c>
      <c r="EX37" s="62" t="str">
        <f>IFERROR(Inv_SY_B!EX37/Inv_SY_B!$IS37-1,"")</f>
        <v/>
      </c>
      <c r="EY37" s="62" t="str">
        <f>IFERROR(Inv_SY_B!EY37/Inv_SY_B!$IS37-1,"")</f>
        <v/>
      </c>
      <c r="EZ37" s="62" t="str">
        <f>IFERROR(Inv_SY_B!EZ37/Inv_SY_B!$IS37-1,"")</f>
        <v/>
      </c>
      <c r="FA37" s="62" t="str">
        <f>IFERROR(Inv_SY_B!FA37/Inv_SY_B!$IS37-1,"")</f>
        <v/>
      </c>
      <c r="FB37" s="62" t="str">
        <f>IFERROR(Inv_SY_B!FB37/Inv_SY_B!$IS37-1,"")</f>
        <v/>
      </c>
      <c r="FC37" s="62" t="str">
        <f>IFERROR(Inv_SY_B!FC37/Inv_SY_B!$IS37-1,"")</f>
        <v/>
      </c>
      <c r="FD37" s="62" t="str">
        <f>IFERROR(Inv_SY_B!FD37/Inv_SY_B!$IS37-1,"")</f>
        <v/>
      </c>
      <c r="FE37" s="62" t="str">
        <f>IFERROR(Inv_SY_B!FE37/Inv_SY_B!$IS37-1,"")</f>
        <v/>
      </c>
      <c r="FF37" s="62" t="str">
        <f>IFERROR(Inv_SY_B!FF37/Inv_SY_B!$IS37-1,"")</f>
        <v/>
      </c>
      <c r="FG37" s="62" t="str">
        <f>IFERROR(Inv_SY_B!FG37/Inv_SY_B!$IS37-1,"")</f>
        <v/>
      </c>
      <c r="FH37" s="62" t="str">
        <f>IFERROR(Inv_SY_B!FH37/Inv_SY_B!$IS37-1,"")</f>
        <v/>
      </c>
      <c r="FI37" s="62" t="str">
        <f>IFERROR(Inv_SY_B!FI37/Inv_SY_B!$IS37-1,"")</f>
        <v/>
      </c>
      <c r="FJ37" s="62" t="str">
        <f>IFERROR(Inv_SY_B!FJ37/Inv_SY_B!$IS37-1,"")</f>
        <v/>
      </c>
      <c r="FK37" s="62" t="str">
        <f>IFERROR(Inv_SY_B!FK37/Inv_SY_B!$IS37-1,"")</f>
        <v/>
      </c>
      <c r="FL37" s="62" t="str">
        <f>IFERROR(Inv_SY_B!FL37/Inv_SY_B!$IS37-1,"")</f>
        <v/>
      </c>
      <c r="FM37" s="62" t="str">
        <f>IFERROR(Inv_SY_B!FM37/Inv_SY_B!$IS37-1,"")</f>
        <v/>
      </c>
      <c r="FN37" s="62" t="str">
        <f>IFERROR(Inv_SY_B!FN37/Inv_SY_B!$IS37-1,"")</f>
        <v/>
      </c>
      <c r="FO37" s="62" t="str">
        <f>IFERROR(Inv_SY_B!FO37/Inv_SY_B!$IS37-1,"")</f>
        <v/>
      </c>
      <c r="FP37" s="62" t="str">
        <f>IFERROR(Inv_SY_B!FP37/Inv_SY_B!$IS37-1,"")</f>
        <v/>
      </c>
      <c r="FQ37" s="62" t="str">
        <f>IFERROR(Inv_SY_B!FQ37/Inv_SY_B!$IS37-1,"")</f>
        <v/>
      </c>
      <c r="FR37" s="62" t="str">
        <f>IFERROR(Inv_SY_B!FR37/Inv_SY_B!$IS37-1,"")</f>
        <v/>
      </c>
      <c r="FS37" s="62" t="str">
        <f>IFERROR(Inv_SY_B!FS37/Inv_SY_B!$IS37-1,"")</f>
        <v/>
      </c>
      <c r="FT37" s="62" t="str">
        <f>IFERROR(Inv_SY_B!FT37/Inv_SY_B!$IS37-1,"")</f>
        <v/>
      </c>
      <c r="FU37" s="62" t="str">
        <f>IFERROR(Inv_SY_B!FU37/Inv_SY_B!$IS37-1,"")</f>
        <v/>
      </c>
      <c r="FV37" s="62" t="str">
        <f>IFERROR(Inv_SY_B!FV37/Inv_SY_B!$IS37-1,"")</f>
        <v/>
      </c>
      <c r="FW37" s="62" t="str">
        <f>IFERROR(Inv_SY_B!FW37/Inv_SY_B!$IS37-1,"")</f>
        <v/>
      </c>
      <c r="FX37" s="62" t="str">
        <f>IFERROR(Inv_SY_B!FX37/Inv_SY_B!$IS37-1,"")</f>
        <v/>
      </c>
      <c r="FY37" s="62" t="str">
        <f>IFERROR(Inv_SY_B!FY37/Inv_SY_B!$IS37-1,"")</f>
        <v/>
      </c>
      <c r="FZ37" s="62" t="str">
        <f>IFERROR(Inv_SY_B!FZ37/Inv_SY_B!$IS37-1,"")</f>
        <v/>
      </c>
      <c r="GA37" s="62" t="str">
        <f>IFERROR(Inv_SY_B!GA37/Inv_SY_B!$IS37-1,"")</f>
        <v/>
      </c>
      <c r="GB37" s="62" t="str">
        <f>IFERROR(Inv_SY_B!GB37/Inv_SY_B!$IS37-1,"")</f>
        <v/>
      </c>
      <c r="GC37" s="62" t="str">
        <f>IFERROR(Inv_SY_B!GC37/Inv_SY_B!$IS37-1,"")</f>
        <v/>
      </c>
      <c r="GD37" s="62" t="str">
        <f>IFERROR(Inv_SY_B!GD37/Inv_SY_B!$IS37-1,"")</f>
        <v/>
      </c>
      <c r="GE37" s="62" t="str">
        <f>IFERROR(Inv_SY_B!GE37/Inv_SY_B!$IS37-1,"")</f>
        <v/>
      </c>
      <c r="GF37" s="62" t="str">
        <f>IFERROR(Inv_SY_B!GF37/Inv_SY_B!$IS37-1,"")</f>
        <v/>
      </c>
      <c r="GG37" s="62" t="str">
        <f>IFERROR(Inv_SY_B!GG37/Inv_SY_B!$IS37-1,"")</f>
        <v/>
      </c>
      <c r="GH37" s="62" t="str">
        <f>IFERROR(Inv_SY_B!GH37/Inv_SY_B!$IS37-1,"")</f>
        <v/>
      </c>
      <c r="GI37" s="62" t="str">
        <f>IFERROR(Inv_SY_B!GI37/Inv_SY_B!$IS37-1,"")</f>
        <v/>
      </c>
      <c r="GJ37" s="62" t="str">
        <f>IFERROR(Inv_SY_B!GJ37/Inv_SY_B!$IS37-1,"")</f>
        <v/>
      </c>
      <c r="GK37" s="62" t="str">
        <f>IFERROR(Inv_SY_B!GK37/Inv_SY_B!$IS37-1,"")</f>
        <v/>
      </c>
      <c r="GL37" s="62" t="str">
        <f>IFERROR(Inv_SY_B!GL37/Inv_SY_B!$IS37-1,"")</f>
        <v/>
      </c>
      <c r="GM37" s="62" t="str">
        <f>IFERROR(Inv_SY_B!GM37/Inv_SY_B!$IS37-1,"")</f>
        <v/>
      </c>
      <c r="GN37" s="62" t="str">
        <f>IFERROR(Inv_SY_B!GN37/Inv_SY_B!$IS37-1,"")</f>
        <v/>
      </c>
      <c r="GO37" s="62" t="str">
        <f>IFERROR(Inv_SY_B!GO37/Inv_SY_B!$IS37-1,"")</f>
        <v/>
      </c>
      <c r="GP37" s="62" t="str">
        <f>IFERROR(Inv_SY_B!GP37/Inv_SY_B!$IS37-1,"")</f>
        <v/>
      </c>
      <c r="GQ37" s="62" t="str">
        <f>IFERROR(Inv_SY_B!GQ37/Inv_SY_B!$IS37-1,"")</f>
        <v/>
      </c>
      <c r="GR37" s="62" t="str">
        <f>IFERROR(Inv_SY_B!GR37/Inv_SY_B!$IS37-1,"")</f>
        <v/>
      </c>
      <c r="GS37" s="62" t="str">
        <f>IFERROR(Inv_SY_B!GS37/Inv_SY_B!$IS37-1,"")</f>
        <v/>
      </c>
      <c r="GT37" s="62" t="str">
        <f>IFERROR(Inv_SY_B!GT37/Inv_SY_B!$IS37-1,"")</f>
        <v/>
      </c>
      <c r="GU37" s="62" t="str">
        <f>IFERROR(Inv_SY_B!GU37/Inv_SY_B!$IS37-1,"")</f>
        <v/>
      </c>
      <c r="GV37" s="62" t="str">
        <f>IFERROR(Inv_SY_B!GV37/Inv_SY_B!$IS37-1,"")</f>
        <v/>
      </c>
      <c r="GW37" s="62" t="str">
        <f>IFERROR(Inv_SY_B!GW37/Inv_SY_B!$IS37-1,"")</f>
        <v/>
      </c>
      <c r="GX37" s="62" t="str">
        <f>IFERROR(Inv_SY_B!GX37/Inv_SY_B!$IS37-1,"")</f>
        <v/>
      </c>
      <c r="GY37" s="62" t="str">
        <f>IFERROR(Inv_SY_B!GY37/Inv_SY_B!$IS37-1,"")</f>
        <v/>
      </c>
      <c r="GZ37" s="62" t="str">
        <f>IFERROR(Inv_SY_B!GZ37/Inv_SY_B!$IS37-1,"")</f>
        <v/>
      </c>
      <c r="HA37" s="62" t="str">
        <f>IFERROR(Inv_SY_B!HA37/Inv_SY_B!$IS37-1,"")</f>
        <v/>
      </c>
      <c r="HB37" s="62" t="str">
        <f>IFERROR(Inv_SY_B!HB37/Inv_SY_B!$IS37-1,"")</f>
        <v/>
      </c>
      <c r="HC37" s="62" t="str">
        <f>IFERROR(Inv_SY_B!HC37/Inv_SY_B!$IS37-1,"")</f>
        <v/>
      </c>
      <c r="HD37" s="62" t="str">
        <f>IFERROR(Inv_SY_B!HD37/Inv_SY_B!$IS37-1,"")</f>
        <v/>
      </c>
      <c r="HE37" s="62" t="str">
        <f>IFERROR(Inv_SY_B!HE37/Inv_SY_B!$IS37-1,"")</f>
        <v/>
      </c>
      <c r="HF37" s="62" t="str">
        <f>IFERROR(Inv_SY_B!HF37/Inv_SY_B!$IS37-1,"")</f>
        <v/>
      </c>
      <c r="HG37" s="62" t="str">
        <f>IFERROR(Inv_SY_B!HG37/Inv_SY_B!$IS37-1,"")</f>
        <v/>
      </c>
      <c r="HH37" s="62" t="str">
        <f>IFERROR(Inv_SY_B!HH37/Inv_SY_B!$IS37-1,"")</f>
        <v/>
      </c>
      <c r="HI37" s="62" t="str">
        <f>IFERROR(Inv_SY_B!HI37/Inv_SY_B!$IS37-1,"")</f>
        <v/>
      </c>
      <c r="HJ37" s="62" t="str">
        <f>IFERROR(Inv_SY_B!HJ37/Inv_SY_B!$IS37-1,"")</f>
        <v/>
      </c>
      <c r="HK37" s="62" t="str">
        <f>IFERROR(Inv_SY_B!HK37/Inv_SY_B!$IS37-1,"")</f>
        <v/>
      </c>
      <c r="HL37" s="62" t="str">
        <f>IFERROR(Inv_SY_B!HL37/Inv_SY_B!$IS37-1,"")</f>
        <v/>
      </c>
      <c r="HM37" s="62" t="str">
        <f>IFERROR(Inv_SY_B!HM37/Inv_SY_B!$IS37-1,"")</f>
        <v/>
      </c>
      <c r="HN37" s="62" t="str">
        <f>IFERROR(Inv_SY_B!HN37/Inv_SY_B!$IS37-1,"")</f>
        <v/>
      </c>
      <c r="HO37" s="62" t="str">
        <f>IFERROR(Inv_SY_B!HO37/Inv_SY_B!$IS37-1,"")</f>
        <v/>
      </c>
      <c r="HP37" s="62" t="str">
        <f>IFERROR(Inv_SY_B!HP37/Inv_SY_B!$IS37-1,"")</f>
        <v/>
      </c>
      <c r="HQ37" s="62" t="str">
        <f>IFERROR(Inv_SY_B!HQ37/Inv_SY_B!$IS37-1,"")</f>
        <v/>
      </c>
      <c r="HR37" s="62" t="str">
        <f>IFERROR(Inv_SY_B!HR37/Inv_SY_B!$IS37-1,"")</f>
        <v/>
      </c>
      <c r="HS37" s="62" t="str">
        <f>IFERROR(Inv_SY_B!HS37/Inv_SY_B!$IS37-1,"")</f>
        <v/>
      </c>
      <c r="HT37" s="62" t="str">
        <f>IFERROR(Inv_SY_B!HT37/Inv_SY_B!$IS37-1,"")</f>
        <v/>
      </c>
      <c r="HU37" s="62" t="str">
        <f>IFERROR(Inv_SY_B!HU37/Inv_SY_B!$IS37-1,"")</f>
        <v/>
      </c>
      <c r="HV37" s="62" t="str">
        <f>IFERROR(Inv_SY_B!HV37/Inv_SY_B!$IS37-1,"")</f>
        <v/>
      </c>
      <c r="HW37" s="62" t="str">
        <f>IFERROR(Inv_SY_B!HW37/Inv_SY_B!$IS37-1,"")</f>
        <v/>
      </c>
      <c r="HX37" s="62" t="str">
        <f>IFERROR(Inv_SY_B!HX37/Inv_SY_B!$IS37-1,"")</f>
        <v/>
      </c>
      <c r="HY37" s="62" t="str">
        <f>IFERROR(Inv_SY_B!HY37/Inv_SY_B!$IS37-1,"")</f>
        <v/>
      </c>
      <c r="HZ37" s="62" t="str">
        <f>IFERROR(Inv_SY_B!HZ37/Inv_SY_B!$IS37-1,"")</f>
        <v/>
      </c>
      <c r="IA37" s="62" t="str">
        <f>IFERROR(Inv_SY_B!IA37/Inv_SY_B!$IS37-1,"")</f>
        <v/>
      </c>
      <c r="IB37" s="62" t="str">
        <f>IFERROR(Inv_SY_B!IB37/Inv_SY_B!$IS37-1,"")</f>
        <v/>
      </c>
      <c r="IC37" s="62" t="str">
        <f>IFERROR(Inv_SY_B!IC37/Inv_SY_B!$IS37-1,"")</f>
        <v/>
      </c>
      <c r="ID37" s="62" t="str">
        <f>IFERROR(Inv_SY_B!ID37/Inv_SY_B!$IS37-1,"")</f>
        <v/>
      </c>
      <c r="IE37" s="62" t="str">
        <f>IFERROR(Inv_SY_B!IE37/Inv_SY_B!$IS37-1,"")</f>
        <v/>
      </c>
      <c r="IF37" s="62" t="str">
        <f>IFERROR(Inv_SY_B!IF37/Inv_SY_B!$IS37-1,"")</f>
        <v/>
      </c>
      <c r="IG37" s="62" t="str">
        <f>IFERROR(Inv_SY_B!IG37/Inv_SY_B!$IS37-1,"")</f>
        <v/>
      </c>
      <c r="IH37" s="62" t="str">
        <f>IFERROR(Inv_SY_B!IH37/Inv_SY_B!$IS37-1,"")</f>
        <v/>
      </c>
      <c r="II37" s="62" t="str">
        <f>IFERROR(Inv_SY_B!II37/Inv_SY_B!$IS37-1,"")</f>
        <v/>
      </c>
      <c r="IJ37" s="62" t="str">
        <f>IFERROR(Inv_SY_B!IJ37/Inv_SY_B!$IS37-1,"")</f>
        <v/>
      </c>
      <c r="IK37" s="62" t="str">
        <f>IFERROR(Inv_SY_B!IK37/Inv_SY_B!$IS37-1,"")</f>
        <v/>
      </c>
      <c r="IL37" s="62" t="str">
        <f>IFERROR(Inv_SY_B!IL37/Inv_SY_B!$IS37-1,"")</f>
        <v/>
      </c>
      <c r="IM37" s="62" t="str">
        <f>IFERROR(Inv_SY_B!IM37/Inv_SY_B!$IS37-1,"")</f>
        <v/>
      </c>
      <c r="IN37" s="62" t="str">
        <f>IFERROR(Inv_SY_B!IN37/Inv_SY_B!$IS37-1,"")</f>
        <v/>
      </c>
      <c r="IO37" s="62" t="str">
        <f>IFERROR(Inv_SY_B!IO37/Inv_SY_B!$IS37-1,"")</f>
        <v/>
      </c>
      <c r="IP37" s="62" t="str">
        <f>IFERROR(Inv_SY_B!IP37/Inv_SY_B!$IS37-1,"")</f>
        <v/>
      </c>
      <c r="IQ37" s="62" t="str">
        <f>IFERROR(Inv_SY_B!IQ37/Inv_SY_B!$IS37-1,"")</f>
        <v/>
      </c>
      <c r="IR37" s="62" t="str">
        <f>IFERROR(Inv_SY_B!IR37/Inv_SY_B!$IS37-1,"")</f>
        <v/>
      </c>
    </row>
    <row r="38" spans="2:252" x14ac:dyDescent="0.25">
      <c r="B38" s="85">
        <f t="shared" si="0"/>
        <v>45864</v>
      </c>
      <c r="C38" s="62" t="str">
        <f>IFERROR(Inv_SY_B!C38/Inv_SY_B!$IS38-1,"")</f>
        <v/>
      </c>
      <c r="D38" s="62" t="str">
        <f>IFERROR(Inv_SY_B!D38/Inv_SY_B!$IS38-1,"")</f>
        <v/>
      </c>
      <c r="E38" s="62" t="str">
        <f>IFERROR(Inv_SY_B!E38/Inv_SY_B!$IS38-1,"")</f>
        <v/>
      </c>
      <c r="F38" s="62" t="str">
        <f>IFERROR(Inv_SY_B!F38/Inv_SY_B!$IS38-1,"")</f>
        <v/>
      </c>
      <c r="G38" s="62" t="str">
        <f>IFERROR(Inv_SY_B!G38/Inv_SY_B!$IS38-1,"")</f>
        <v/>
      </c>
      <c r="H38" s="62" t="str">
        <f>IFERROR(Inv_SY_B!H38/Inv_SY_B!$IS38-1,"")</f>
        <v/>
      </c>
      <c r="I38" s="62" t="str">
        <f>IFERROR(Inv_SY_B!I38/Inv_SY_B!$IS38-1,"")</f>
        <v/>
      </c>
      <c r="J38" s="62" t="str">
        <f>IFERROR(Inv_SY_B!J38/Inv_SY_B!$IS38-1,"")</f>
        <v/>
      </c>
      <c r="K38" s="62" t="str">
        <f>IFERROR(Inv_SY_B!K38/Inv_SY_B!$IS38-1,"")</f>
        <v/>
      </c>
      <c r="L38" s="62" t="str">
        <f>IFERROR(Inv_SY_B!L38/Inv_SY_B!$IS38-1,"")</f>
        <v/>
      </c>
      <c r="M38" s="62" t="str">
        <f>IFERROR(Inv_SY_B!M38/Inv_SY_B!$IS38-1,"")</f>
        <v/>
      </c>
      <c r="N38" s="62" t="str">
        <f>IFERROR(Inv_SY_B!N38/Inv_SY_B!$IS38-1,"")</f>
        <v/>
      </c>
      <c r="O38" s="62" t="str">
        <f>IFERROR(Inv_SY_B!O38/Inv_SY_B!$IS38-1,"")</f>
        <v/>
      </c>
      <c r="P38" s="62" t="str">
        <f>IFERROR(Inv_SY_B!P38/Inv_SY_B!$IS38-1,"")</f>
        <v/>
      </c>
      <c r="Q38" s="62" t="str">
        <f>IFERROR(Inv_SY_B!Q38/Inv_SY_B!$IS38-1,"")</f>
        <v/>
      </c>
      <c r="R38" s="62" t="str">
        <f>IFERROR(Inv_SY_B!R38/Inv_SY_B!$IS38-1,"")</f>
        <v/>
      </c>
      <c r="S38" s="62" t="str">
        <f>IFERROR(Inv_SY_B!S38/Inv_SY_B!$IS38-1,"")</f>
        <v/>
      </c>
      <c r="T38" s="62" t="str">
        <f>IFERROR(Inv_SY_B!T38/Inv_SY_B!$IS38-1,"")</f>
        <v/>
      </c>
      <c r="U38" s="62" t="str">
        <f>IFERROR(Inv_SY_B!U38/Inv_SY_B!$IS38-1,"")</f>
        <v/>
      </c>
      <c r="V38" s="62" t="str">
        <f>IFERROR(Inv_SY_B!V38/Inv_SY_B!$IS38-1,"")</f>
        <v/>
      </c>
      <c r="W38" s="62" t="str">
        <f>IFERROR(Inv_SY_B!W38/Inv_SY_B!$IS38-1,"")</f>
        <v/>
      </c>
      <c r="X38" s="62" t="str">
        <f>IFERROR(Inv_SY_B!X38/Inv_SY_B!$IS38-1,"")</f>
        <v/>
      </c>
      <c r="Y38" s="62" t="str">
        <f>IFERROR(Inv_SY_B!Y38/Inv_SY_B!$IS38-1,"")</f>
        <v/>
      </c>
      <c r="Z38" s="62" t="str">
        <f>IFERROR(Inv_SY_B!Z38/Inv_SY_B!$IS38-1,"")</f>
        <v/>
      </c>
      <c r="AA38" s="62" t="str">
        <f>IFERROR(Inv_SY_B!AA38/Inv_SY_B!$IS38-1,"")</f>
        <v/>
      </c>
      <c r="AB38" s="62" t="str">
        <f>IFERROR(Inv_SY_B!AB38/Inv_SY_B!$IS38-1,"")</f>
        <v/>
      </c>
      <c r="AC38" s="62" t="str">
        <f>IFERROR(Inv_SY_B!AC38/Inv_SY_B!$IS38-1,"")</f>
        <v/>
      </c>
      <c r="AD38" s="62" t="str">
        <f>IFERROR(Inv_SY_B!AD38/Inv_SY_B!$IS38-1,"")</f>
        <v/>
      </c>
      <c r="AE38" s="62" t="str">
        <f>IFERROR(Inv_SY_B!AE38/Inv_SY_B!$IS38-1,"")</f>
        <v/>
      </c>
      <c r="AF38" s="62" t="str">
        <f>IFERROR(Inv_SY_B!AF38/Inv_SY_B!$IS38-1,"")</f>
        <v/>
      </c>
      <c r="AG38" s="62" t="str">
        <f>IFERROR(Inv_SY_B!AG38/Inv_SY_B!$IS38-1,"")</f>
        <v/>
      </c>
      <c r="AH38" s="62" t="str">
        <f>IFERROR(Inv_SY_B!AH38/Inv_SY_B!$IS38-1,"")</f>
        <v/>
      </c>
      <c r="AI38" s="62" t="str">
        <f>IFERROR(Inv_SY_B!AI38/Inv_SY_B!$IS38-1,"")</f>
        <v/>
      </c>
      <c r="AJ38" s="62" t="str">
        <f>IFERROR(Inv_SY_B!AJ38/Inv_SY_B!$IS38-1,"")</f>
        <v/>
      </c>
      <c r="AK38" s="62" t="str">
        <f>IFERROR(Inv_SY_B!AK38/Inv_SY_B!$IS38-1,"")</f>
        <v/>
      </c>
      <c r="AL38" s="62" t="str">
        <f>IFERROR(Inv_SY_B!AL38/Inv_SY_B!$IS38-1,"")</f>
        <v/>
      </c>
      <c r="AM38" s="62" t="str">
        <f>IFERROR(Inv_SY_B!AM38/Inv_SY_B!$IS38-1,"")</f>
        <v/>
      </c>
      <c r="AN38" s="62" t="str">
        <f>IFERROR(Inv_SY_B!AN38/Inv_SY_B!$IS38-1,"")</f>
        <v/>
      </c>
      <c r="AO38" s="62" t="str">
        <f>IFERROR(Inv_SY_B!AO38/Inv_SY_B!$IS38-1,"")</f>
        <v/>
      </c>
      <c r="AP38" s="62" t="str">
        <f>IFERROR(Inv_SY_B!AP38/Inv_SY_B!$IS38-1,"")</f>
        <v/>
      </c>
      <c r="AQ38" s="62" t="str">
        <f>IFERROR(Inv_SY_B!AQ38/Inv_SY_B!$IS38-1,"")</f>
        <v/>
      </c>
      <c r="AR38" s="62" t="str">
        <f>IFERROR(Inv_SY_B!AR38/Inv_SY_B!$IS38-1,"")</f>
        <v/>
      </c>
      <c r="AS38" s="62" t="str">
        <f>IFERROR(Inv_SY_B!AS38/Inv_SY_B!$IS38-1,"")</f>
        <v/>
      </c>
      <c r="AT38" s="62" t="str">
        <f>IFERROR(Inv_SY_B!AT38/Inv_SY_B!$IS38-1,"")</f>
        <v/>
      </c>
      <c r="AU38" s="62" t="str">
        <f>IFERROR(Inv_SY_B!AU38/Inv_SY_B!$IS38-1,"")</f>
        <v/>
      </c>
      <c r="AV38" s="62" t="str">
        <f>IFERROR(Inv_SY_B!AV38/Inv_SY_B!$IS38-1,"")</f>
        <v/>
      </c>
      <c r="AW38" s="62" t="str">
        <f>IFERROR(Inv_SY_B!AW38/Inv_SY_B!$IS38-1,"")</f>
        <v/>
      </c>
      <c r="AX38" s="62" t="str">
        <f>IFERROR(Inv_SY_B!AX38/Inv_SY_B!$IS38-1,"")</f>
        <v/>
      </c>
      <c r="AY38" s="62" t="str">
        <f>IFERROR(Inv_SY_B!AY38/Inv_SY_B!$IS38-1,"")</f>
        <v/>
      </c>
      <c r="AZ38" s="62" t="str">
        <f>IFERROR(Inv_SY_B!AZ38/Inv_SY_B!$IS38-1,"")</f>
        <v/>
      </c>
      <c r="BA38" s="62" t="str">
        <f>IFERROR(Inv_SY_B!BA38/Inv_SY_B!$IS38-1,"")</f>
        <v/>
      </c>
      <c r="BB38" s="62" t="str">
        <f>IFERROR(Inv_SY_B!BB38/Inv_SY_B!$IS38-1,"")</f>
        <v/>
      </c>
      <c r="BC38" s="62" t="str">
        <f>IFERROR(Inv_SY_B!BC38/Inv_SY_B!$IS38-1,"")</f>
        <v/>
      </c>
      <c r="BD38" s="62" t="str">
        <f>IFERROR(Inv_SY_B!BD38/Inv_SY_B!$IS38-1,"")</f>
        <v/>
      </c>
      <c r="BE38" s="62" t="str">
        <f>IFERROR(Inv_SY_B!BE38/Inv_SY_B!$IS38-1,"")</f>
        <v/>
      </c>
      <c r="BF38" s="62" t="str">
        <f>IFERROR(Inv_SY_B!BF38/Inv_SY_B!$IS38-1,"")</f>
        <v/>
      </c>
      <c r="BG38" s="62" t="str">
        <f>IFERROR(Inv_SY_B!BG38/Inv_SY_B!$IS38-1,"")</f>
        <v/>
      </c>
      <c r="BH38" s="62" t="str">
        <f>IFERROR(Inv_SY_B!BH38/Inv_SY_B!$IS38-1,"")</f>
        <v/>
      </c>
      <c r="BI38" s="62" t="str">
        <f>IFERROR(Inv_SY_B!BI38/Inv_SY_B!$IS38-1,"")</f>
        <v/>
      </c>
      <c r="BJ38" s="62" t="str">
        <f>IFERROR(Inv_SY_B!BJ38/Inv_SY_B!$IS38-1,"")</f>
        <v/>
      </c>
      <c r="BK38" s="62" t="str">
        <f>IFERROR(Inv_SY_B!BK38/Inv_SY_B!$IS38-1,"")</f>
        <v/>
      </c>
      <c r="BL38" s="62" t="str">
        <f>IFERROR(Inv_SY_B!BL38/Inv_SY_B!$IS38-1,"")</f>
        <v/>
      </c>
      <c r="BM38" s="62" t="str">
        <f>IFERROR(Inv_SY_B!BM38/Inv_SY_B!$IS38-1,"")</f>
        <v/>
      </c>
      <c r="BN38" s="62" t="str">
        <f>IFERROR(Inv_SY_B!BN38/Inv_SY_B!$IS38-1,"")</f>
        <v/>
      </c>
      <c r="BO38" s="62" t="str">
        <f>IFERROR(Inv_SY_B!BO38/Inv_SY_B!$IS38-1,"")</f>
        <v/>
      </c>
      <c r="BP38" s="62" t="str">
        <f>IFERROR(Inv_SY_B!BP38/Inv_SY_B!$IS38-1,"")</f>
        <v/>
      </c>
      <c r="BQ38" s="62" t="str">
        <f>IFERROR(Inv_SY_B!BQ38/Inv_SY_B!$IS38-1,"")</f>
        <v/>
      </c>
      <c r="BR38" s="62" t="str">
        <f>IFERROR(Inv_SY_B!BR38/Inv_SY_B!$IS38-1,"")</f>
        <v/>
      </c>
      <c r="BS38" s="62" t="str">
        <f>IFERROR(Inv_SY_B!BS38/Inv_SY_B!$IS38-1,"")</f>
        <v/>
      </c>
      <c r="BT38" s="62" t="str">
        <f>IFERROR(Inv_SY_B!BT38/Inv_SY_B!$IS38-1,"")</f>
        <v/>
      </c>
      <c r="BU38" s="62" t="str">
        <f>IFERROR(Inv_SY_B!BU38/Inv_SY_B!$IS38-1,"")</f>
        <v/>
      </c>
      <c r="BV38" s="62" t="str">
        <f>IFERROR(Inv_SY_B!BV38/Inv_SY_B!$IS38-1,"")</f>
        <v/>
      </c>
      <c r="BW38" s="62" t="str">
        <f>IFERROR(Inv_SY_B!BW38/Inv_SY_B!$IS38-1,"")</f>
        <v/>
      </c>
      <c r="BX38" s="62" t="str">
        <f>IFERROR(Inv_SY_B!BX38/Inv_SY_B!$IS38-1,"")</f>
        <v/>
      </c>
      <c r="BY38" s="62" t="str">
        <f>IFERROR(Inv_SY_B!BY38/Inv_SY_B!$IS38-1,"")</f>
        <v/>
      </c>
      <c r="BZ38" s="62" t="str">
        <f>IFERROR(Inv_SY_B!BZ38/Inv_SY_B!$IS38-1,"")</f>
        <v/>
      </c>
      <c r="CA38" s="62" t="str">
        <f>IFERROR(Inv_SY_B!CA38/Inv_SY_B!$IS38-1,"")</f>
        <v/>
      </c>
      <c r="CB38" s="62" t="str">
        <f>IFERROR(Inv_SY_B!CB38/Inv_SY_B!$IS38-1,"")</f>
        <v/>
      </c>
      <c r="CC38" s="62" t="str">
        <f>IFERROR(Inv_SY_B!CC38/Inv_SY_B!$IS38-1,"")</f>
        <v/>
      </c>
      <c r="CD38" s="62" t="str">
        <f>IFERROR(Inv_SY_B!CD38/Inv_SY_B!$IS38-1,"")</f>
        <v/>
      </c>
      <c r="CE38" s="62" t="str">
        <f>IFERROR(Inv_SY_B!CE38/Inv_SY_B!$IS38-1,"")</f>
        <v/>
      </c>
      <c r="CF38" s="62" t="str">
        <f>IFERROR(Inv_SY_B!CF38/Inv_SY_B!$IS38-1,"")</f>
        <v/>
      </c>
      <c r="CG38" s="62" t="str">
        <f>IFERROR(Inv_SY_B!CG38/Inv_SY_B!$IS38-1,"")</f>
        <v/>
      </c>
      <c r="CH38" s="62" t="str">
        <f>IFERROR(Inv_SY_B!CH38/Inv_SY_B!$IS38-1,"")</f>
        <v/>
      </c>
      <c r="CI38" s="62" t="str">
        <f>IFERROR(Inv_SY_B!CI38/Inv_SY_B!$IS38-1,"")</f>
        <v/>
      </c>
      <c r="CJ38" s="62" t="str">
        <f>IFERROR(Inv_SY_B!CJ38/Inv_SY_B!$IS38-1,"")</f>
        <v/>
      </c>
      <c r="CK38" s="62" t="str">
        <f>IFERROR(Inv_SY_B!CK38/Inv_SY_B!$IS38-1,"")</f>
        <v/>
      </c>
      <c r="CL38" s="62" t="str">
        <f>IFERROR(Inv_SY_B!CL38/Inv_SY_B!$IS38-1,"")</f>
        <v/>
      </c>
      <c r="CM38" s="62" t="str">
        <f>IFERROR(Inv_SY_B!CM38/Inv_SY_B!$IS38-1,"")</f>
        <v/>
      </c>
      <c r="CN38" s="62" t="str">
        <f>IFERROR(Inv_SY_B!CN38/Inv_SY_B!$IS38-1,"")</f>
        <v/>
      </c>
      <c r="CO38" s="62" t="str">
        <f>IFERROR(Inv_SY_B!CO38/Inv_SY_B!$IS38-1,"")</f>
        <v/>
      </c>
      <c r="CP38" s="62" t="str">
        <f>IFERROR(Inv_SY_B!CP38/Inv_SY_B!$IS38-1,"")</f>
        <v/>
      </c>
      <c r="CQ38" s="62" t="str">
        <f>IFERROR(Inv_SY_B!CQ38/Inv_SY_B!$IS38-1,"")</f>
        <v/>
      </c>
      <c r="CR38" s="62" t="str">
        <f>IFERROR(Inv_SY_B!CR38/Inv_SY_B!$IS38-1,"")</f>
        <v/>
      </c>
      <c r="CS38" s="62" t="str">
        <f>IFERROR(Inv_SY_B!CS38/Inv_SY_B!$IS38-1,"")</f>
        <v/>
      </c>
      <c r="CT38" s="62" t="str">
        <f>IFERROR(Inv_SY_B!CT38/Inv_SY_B!$IS38-1,"")</f>
        <v/>
      </c>
      <c r="CU38" s="62" t="str">
        <f>IFERROR(Inv_SY_B!CU38/Inv_SY_B!$IS38-1,"")</f>
        <v/>
      </c>
      <c r="CV38" s="62" t="str">
        <f>IFERROR(Inv_SY_B!CV38/Inv_SY_B!$IS38-1,"")</f>
        <v/>
      </c>
      <c r="CW38" s="62" t="str">
        <f>IFERROR(Inv_SY_B!CW38/Inv_SY_B!$IS38-1,"")</f>
        <v/>
      </c>
      <c r="CX38" s="62" t="str">
        <f>IFERROR(Inv_SY_B!CX38/Inv_SY_B!$IS38-1,"")</f>
        <v/>
      </c>
      <c r="CY38" s="62" t="str">
        <f>IFERROR(Inv_SY_B!CY38/Inv_SY_B!$IS38-1,"")</f>
        <v/>
      </c>
      <c r="CZ38" s="62" t="str">
        <f>IFERROR(Inv_SY_B!CZ38/Inv_SY_B!$IS38-1,"")</f>
        <v/>
      </c>
      <c r="DA38" s="62" t="str">
        <f>IFERROR(Inv_SY_B!DA38/Inv_SY_B!$IS38-1,"")</f>
        <v/>
      </c>
      <c r="DB38" s="62" t="str">
        <f>IFERROR(Inv_SY_B!DB38/Inv_SY_B!$IS38-1,"")</f>
        <v/>
      </c>
      <c r="DC38" s="62" t="str">
        <f>IFERROR(Inv_SY_B!DC38/Inv_SY_B!$IS38-1,"")</f>
        <v/>
      </c>
      <c r="DD38" s="62" t="str">
        <f>IFERROR(Inv_SY_B!DD38/Inv_SY_B!$IS38-1,"")</f>
        <v/>
      </c>
      <c r="DE38" s="62" t="str">
        <f>IFERROR(Inv_SY_B!DE38/Inv_SY_B!$IS38-1,"")</f>
        <v/>
      </c>
      <c r="DF38" s="62" t="str">
        <f>IFERROR(Inv_SY_B!DF38/Inv_SY_B!$IS38-1,"")</f>
        <v/>
      </c>
      <c r="DG38" s="62" t="str">
        <f>IFERROR(Inv_SY_B!DG38/Inv_SY_B!$IS38-1,"")</f>
        <v/>
      </c>
      <c r="DH38" s="62" t="str">
        <f>IFERROR(Inv_SY_B!DH38/Inv_SY_B!$IS38-1,"")</f>
        <v/>
      </c>
      <c r="DI38" s="62" t="str">
        <f>IFERROR(Inv_SY_B!DI38/Inv_SY_B!$IS38-1,"")</f>
        <v/>
      </c>
      <c r="DJ38" s="62" t="str">
        <f>IFERROR(Inv_SY_B!DJ38/Inv_SY_B!$IS38-1,"")</f>
        <v/>
      </c>
      <c r="DK38" s="62" t="str">
        <f>IFERROR(Inv_SY_B!DK38/Inv_SY_B!$IS38-1,"")</f>
        <v/>
      </c>
      <c r="DL38" s="62" t="str">
        <f>IFERROR(Inv_SY_B!DL38/Inv_SY_B!$IS38-1,"")</f>
        <v/>
      </c>
      <c r="DM38" s="62" t="str">
        <f>IFERROR(Inv_SY_B!DM38/Inv_SY_B!$IS38-1,"")</f>
        <v/>
      </c>
      <c r="DN38" s="62" t="str">
        <f>IFERROR(Inv_SY_B!DN38/Inv_SY_B!$IS38-1,"")</f>
        <v/>
      </c>
      <c r="DO38" s="62" t="str">
        <f>IFERROR(Inv_SY_B!DO38/Inv_SY_B!$IS38-1,"")</f>
        <v/>
      </c>
      <c r="DP38" s="62" t="str">
        <f>IFERROR(Inv_SY_B!DP38/Inv_SY_B!$IS38-1,"")</f>
        <v/>
      </c>
      <c r="DQ38" s="62" t="str">
        <f>IFERROR(Inv_SY_B!DQ38/Inv_SY_B!$IS38-1,"")</f>
        <v/>
      </c>
      <c r="DR38" s="62" t="str">
        <f>IFERROR(Inv_SY_B!DR38/Inv_SY_B!$IS38-1,"")</f>
        <v/>
      </c>
      <c r="DS38" s="62" t="str">
        <f>IFERROR(Inv_SY_B!DS38/Inv_SY_B!$IS38-1,"")</f>
        <v/>
      </c>
      <c r="DT38" s="62" t="str">
        <f>IFERROR(Inv_SY_B!DT38/Inv_SY_B!$IS38-1,"")</f>
        <v/>
      </c>
      <c r="DU38" s="62" t="str">
        <f>IFERROR(Inv_SY_B!DU38/Inv_SY_B!$IS38-1,"")</f>
        <v/>
      </c>
      <c r="DV38" s="62" t="str">
        <f>IFERROR(Inv_SY_B!DV38/Inv_SY_B!$IS38-1,"")</f>
        <v/>
      </c>
      <c r="DW38" s="62" t="str">
        <f>IFERROR(Inv_SY_B!DW38/Inv_SY_B!$IS38-1,"")</f>
        <v/>
      </c>
      <c r="DX38" s="62" t="str">
        <f>IFERROR(Inv_SY_B!DX38/Inv_SY_B!$IS38-1,"")</f>
        <v/>
      </c>
      <c r="DY38" s="62" t="str">
        <f>IFERROR(Inv_SY_B!DY38/Inv_SY_B!$IS38-1,"")</f>
        <v/>
      </c>
      <c r="DZ38" s="62" t="str">
        <f>IFERROR(Inv_SY_B!DZ38/Inv_SY_B!$IS38-1,"")</f>
        <v/>
      </c>
      <c r="EA38" s="62" t="str">
        <f>IFERROR(Inv_SY_B!EA38/Inv_SY_B!$IS38-1,"")</f>
        <v/>
      </c>
      <c r="EB38" s="62" t="str">
        <f>IFERROR(Inv_SY_B!EB38/Inv_SY_B!$IS38-1,"")</f>
        <v/>
      </c>
      <c r="EC38" s="62" t="str">
        <f>IFERROR(Inv_SY_B!EC38/Inv_SY_B!$IS38-1,"")</f>
        <v/>
      </c>
      <c r="ED38" s="62" t="str">
        <f>IFERROR(Inv_SY_B!ED38/Inv_SY_B!$IS38-1,"")</f>
        <v/>
      </c>
      <c r="EE38" s="62" t="str">
        <f>IFERROR(Inv_SY_B!EE38/Inv_SY_B!$IS38-1,"")</f>
        <v/>
      </c>
      <c r="EF38" s="62" t="str">
        <f>IFERROR(Inv_SY_B!EF38/Inv_SY_B!$IS38-1,"")</f>
        <v/>
      </c>
      <c r="EG38" s="62" t="str">
        <f>IFERROR(Inv_SY_B!EG38/Inv_SY_B!$IS38-1,"")</f>
        <v/>
      </c>
      <c r="EH38" s="62" t="str">
        <f>IFERROR(Inv_SY_B!EH38/Inv_SY_B!$IS38-1,"")</f>
        <v/>
      </c>
      <c r="EI38" s="62" t="str">
        <f>IFERROR(Inv_SY_B!EI38/Inv_SY_B!$IS38-1,"")</f>
        <v/>
      </c>
      <c r="EJ38" s="62" t="str">
        <f>IFERROR(Inv_SY_B!EJ38/Inv_SY_B!$IS38-1,"")</f>
        <v/>
      </c>
      <c r="EK38" s="62" t="str">
        <f>IFERROR(Inv_SY_B!EK38/Inv_SY_B!$IS38-1,"")</f>
        <v/>
      </c>
      <c r="EL38" s="62" t="str">
        <f>IFERROR(Inv_SY_B!EL38/Inv_SY_B!$IS38-1,"")</f>
        <v/>
      </c>
      <c r="EM38" s="62" t="str">
        <f>IFERROR(Inv_SY_B!EM38/Inv_SY_B!$IS38-1,"")</f>
        <v/>
      </c>
      <c r="EN38" s="62" t="str">
        <f>IFERROR(Inv_SY_B!EN38/Inv_SY_B!$IS38-1,"")</f>
        <v/>
      </c>
      <c r="EO38" s="62" t="str">
        <f>IFERROR(Inv_SY_B!EO38/Inv_SY_B!$IS38-1,"")</f>
        <v/>
      </c>
      <c r="EP38" s="62" t="str">
        <f>IFERROR(Inv_SY_B!EP38/Inv_SY_B!$IS38-1,"")</f>
        <v/>
      </c>
      <c r="EQ38" s="62" t="str">
        <f>IFERROR(Inv_SY_B!EQ38/Inv_SY_B!$IS38-1,"")</f>
        <v/>
      </c>
      <c r="ER38" s="62" t="str">
        <f>IFERROR(Inv_SY_B!ER38/Inv_SY_B!$IS38-1,"")</f>
        <v/>
      </c>
      <c r="ES38" s="62" t="str">
        <f>IFERROR(Inv_SY_B!ES38/Inv_SY_B!$IS38-1,"")</f>
        <v/>
      </c>
      <c r="ET38" s="62" t="str">
        <f>IFERROR(Inv_SY_B!ET38/Inv_SY_B!$IS38-1,"")</f>
        <v/>
      </c>
      <c r="EU38" s="62" t="str">
        <f>IFERROR(Inv_SY_B!EU38/Inv_SY_B!$IS38-1,"")</f>
        <v/>
      </c>
      <c r="EV38" s="62" t="str">
        <f>IFERROR(Inv_SY_B!EV38/Inv_SY_B!$IS38-1,"")</f>
        <v/>
      </c>
      <c r="EW38" s="62" t="str">
        <f>IFERROR(Inv_SY_B!EW38/Inv_SY_B!$IS38-1,"")</f>
        <v/>
      </c>
      <c r="EX38" s="62" t="str">
        <f>IFERROR(Inv_SY_B!EX38/Inv_SY_B!$IS38-1,"")</f>
        <v/>
      </c>
      <c r="EY38" s="62" t="str">
        <f>IFERROR(Inv_SY_B!EY38/Inv_SY_B!$IS38-1,"")</f>
        <v/>
      </c>
      <c r="EZ38" s="62" t="str">
        <f>IFERROR(Inv_SY_B!EZ38/Inv_SY_B!$IS38-1,"")</f>
        <v/>
      </c>
      <c r="FA38" s="62" t="str">
        <f>IFERROR(Inv_SY_B!FA38/Inv_SY_B!$IS38-1,"")</f>
        <v/>
      </c>
      <c r="FB38" s="62" t="str">
        <f>IFERROR(Inv_SY_B!FB38/Inv_SY_B!$IS38-1,"")</f>
        <v/>
      </c>
      <c r="FC38" s="62" t="str">
        <f>IFERROR(Inv_SY_B!FC38/Inv_SY_B!$IS38-1,"")</f>
        <v/>
      </c>
      <c r="FD38" s="62" t="str">
        <f>IFERROR(Inv_SY_B!FD38/Inv_SY_B!$IS38-1,"")</f>
        <v/>
      </c>
      <c r="FE38" s="62" t="str">
        <f>IFERROR(Inv_SY_B!FE38/Inv_SY_B!$IS38-1,"")</f>
        <v/>
      </c>
      <c r="FF38" s="62" t="str">
        <f>IFERROR(Inv_SY_B!FF38/Inv_SY_B!$IS38-1,"")</f>
        <v/>
      </c>
      <c r="FG38" s="62" t="str">
        <f>IFERROR(Inv_SY_B!FG38/Inv_SY_B!$IS38-1,"")</f>
        <v/>
      </c>
      <c r="FH38" s="62" t="str">
        <f>IFERROR(Inv_SY_B!FH38/Inv_SY_B!$IS38-1,"")</f>
        <v/>
      </c>
      <c r="FI38" s="62" t="str">
        <f>IFERROR(Inv_SY_B!FI38/Inv_SY_B!$IS38-1,"")</f>
        <v/>
      </c>
      <c r="FJ38" s="62" t="str">
        <f>IFERROR(Inv_SY_B!FJ38/Inv_SY_B!$IS38-1,"")</f>
        <v/>
      </c>
      <c r="FK38" s="62" t="str">
        <f>IFERROR(Inv_SY_B!FK38/Inv_SY_B!$IS38-1,"")</f>
        <v/>
      </c>
      <c r="FL38" s="62" t="str">
        <f>IFERROR(Inv_SY_B!FL38/Inv_SY_B!$IS38-1,"")</f>
        <v/>
      </c>
      <c r="FM38" s="62" t="str">
        <f>IFERROR(Inv_SY_B!FM38/Inv_SY_B!$IS38-1,"")</f>
        <v/>
      </c>
      <c r="FN38" s="62" t="str">
        <f>IFERROR(Inv_SY_B!FN38/Inv_SY_B!$IS38-1,"")</f>
        <v/>
      </c>
      <c r="FO38" s="62" t="str">
        <f>IFERROR(Inv_SY_B!FO38/Inv_SY_B!$IS38-1,"")</f>
        <v/>
      </c>
      <c r="FP38" s="62" t="str">
        <f>IFERROR(Inv_SY_B!FP38/Inv_SY_B!$IS38-1,"")</f>
        <v/>
      </c>
      <c r="FQ38" s="62" t="str">
        <f>IFERROR(Inv_SY_B!FQ38/Inv_SY_B!$IS38-1,"")</f>
        <v/>
      </c>
      <c r="FR38" s="62" t="str">
        <f>IFERROR(Inv_SY_B!FR38/Inv_SY_B!$IS38-1,"")</f>
        <v/>
      </c>
      <c r="FS38" s="62" t="str">
        <f>IFERROR(Inv_SY_B!FS38/Inv_SY_B!$IS38-1,"")</f>
        <v/>
      </c>
      <c r="FT38" s="62" t="str">
        <f>IFERROR(Inv_SY_B!FT38/Inv_SY_B!$IS38-1,"")</f>
        <v/>
      </c>
      <c r="FU38" s="62" t="str">
        <f>IFERROR(Inv_SY_B!FU38/Inv_SY_B!$IS38-1,"")</f>
        <v/>
      </c>
      <c r="FV38" s="62" t="str">
        <f>IFERROR(Inv_SY_B!FV38/Inv_SY_B!$IS38-1,"")</f>
        <v/>
      </c>
      <c r="FW38" s="62" t="str">
        <f>IFERROR(Inv_SY_B!FW38/Inv_SY_B!$IS38-1,"")</f>
        <v/>
      </c>
      <c r="FX38" s="62" t="str">
        <f>IFERROR(Inv_SY_B!FX38/Inv_SY_B!$IS38-1,"")</f>
        <v/>
      </c>
      <c r="FY38" s="62" t="str">
        <f>IFERROR(Inv_SY_B!FY38/Inv_SY_B!$IS38-1,"")</f>
        <v/>
      </c>
      <c r="FZ38" s="62" t="str">
        <f>IFERROR(Inv_SY_B!FZ38/Inv_SY_B!$IS38-1,"")</f>
        <v/>
      </c>
      <c r="GA38" s="62" t="str">
        <f>IFERROR(Inv_SY_B!GA38/Inv_SY_B!$IS38-1,"")</f>
        <v/>
      </c>
      <c r="GB38" s="62" t="str">
        <f>IFERROR(Inv_SY_B!GB38/Inv_SY_B!$IS38-1,"")</f>
        <v/>
      </c>
      <c r="GC38" s="62" t="str">
        <f>IFERROR(Inv_SY_B!GC38/Inv_SY_B!$IS38-1,"")</f>
        <v/>
      </c>
      <c r="GD38" s="62" t="str">
        <f>IFERROR(Inv_SY_B!GD38/Inv_SY_B!$IS38-1,"")</f>
        <v/>
      </c>
      <c r="GE38" s="62" t="str">
        <f>IFERROR(Inv_SY_B!GE38/Inv_SY_B!$IS38-1,"")</f>
        <v/>
      </c>
      <c r="GF38" s="62" t="str">
        <f>IFERROR(Inv_SY_B!GF38/Inv_SY_B!$IS38-1,"")</f>
        <v/>
      </c>
      <c r="GG38" s="62" t="str">
        <f>IFERROR(Inv_SY_B!GG38/Inv_SY_B!$IS38-1,"")</f>
        <v/>
      </c>
      <c r="GH38" s="62" t="str">
        <f>IFERROR(Inv_SY_B!GH38/Inv_SY_B!$IS38-1,"")</f>
        <v/>
      </c>
      <c r="GI38" s="62" t="str">
        <f>IFERROR(Inv_SY_B!GI38/Inv_SY_B!$IS38-1,"")</f>
        <v/>
      </c>
      <c r="GJ38" s="62" t="str">
        <f>IFERROR(Inv_SY_B!GJ38/Inv_SY_B!$IS38-1,"")</f>
        <v/>
      </c>
      <c r="GK38" s="62" t="str">
        <f>IFERROR(Inv_SY_B!GK38/Inv_SY_B!$IS38-1,"")</f>
        <v/>
      </c>
      <c r="GL38" s="62" t="str">
        <f>IFERROR(Inv_SY_B!GL38/Inv_SY_B!$IS38-1,"")</f>
        <v/>
      </c>
      <c r="GM38" s="62" t="str">
        <f>IFERROR(Inv_SY_B!GM38/Inv_SY_B!$IS38-1,"")</f>
        <v/>
      </c>
      <c r="GN38" s="62" t="str">
        <f>IFERROR(Inv_SY_B!GN38/Inv_SY_B!$IS38-1,"")</f>
        <v/>
      </c>
      <c r="GO38" s="62" t="str">
        <f>IFERROR(Inv_SY_B!GO38/Inv_SY_B!$IS38-1,"")</f>
        <v/>
      </c>
      <c r="GP38" s="62" t="str">
        <f>IFERROR(Inv_SY_B!GP38/Inv_SY_B!$IS38-1,"")</f>
        <v/>
      </c>
      <c r="GQ38" s="62" t="str">
        <f>IFERROR(Inv_SY_B!GQ38/Inv_SY_B!$IS38-1,"")</f>
        <v/>
      </c>
      <c r="GR38" s="62" t="str">
        <f>IFERROR(Inv_SY_B!GR38/Inv_SY_B!$IS38-1,"")</f>
        <v/>
      </c>
      <c r="GS38" s="62" t="str">
        <f>IFERROR(Inv_SY_B!GS38/Inv_SY_B!$IS38-1,"")</f>
        <v/>
      </c>
      <c r="GT38" s="62" t="str">
        <f>IFERROR(Inv_SY_B!GT38/Inv_SY_B!$IS38-1,"")</f>
        <v/>
      </c>
      <c r="GU38" s="62" t="str">
        <f>IFERROR(Inv_SY_B!GU38/Inv_SY_B!$IS38-1,"")</f>
        <v/>
      </c>
      <c r="GV38" s="62" t="str">
        <f>IFERROR(Inv_SY_B!GV38/Inv_SY_B!$IS38-1,"")</f>
        <v/>
      </c>
      <c r="GW38" s="62" t="str">
        <f>IFERROR(Inv_SY_B!GW38/Inv_SY_B!$IS38-1,"")</f>
        <v/>
      </c>
      <c r="GX38" s="62" t="str">
        <f>IFERROR(Inv_SY_B!GX38/Inv_SY_B!$IS38-1,"")</f>
        <v/>
      </c>
      <c r="GY38" s="62" t="str">
        <f>IFERROR(Inv_SY_B!GY38/Inv_SY_B!$IS38-1,"")</f>
        <v/>
      </c>
      <c r="GZ38" s="62" t="str">
        <f>IFERROR(Inv_SY_B!GZ38/Inv_SY_B!$IS38-1,"")</f>
        <v/>
      </c>
      <c r="HA38" s="62" t="str">
        <f>IFERROR(Inv_SY_B!HA38/Inv_SY_B!$IS38-1,"")</f>
        <v/>
      </c>
      <c r="HB38" s="62" t="str">
        <f>IFERROR(Inv_SY_B!HB38/Inv_SY_B!$IS38-1,"")</f>
        <v/>
      </c>
      <c r="HC38" s="62" t="str">
        <f>IFERROR(Inv_SY_B!HC38/Inv_SY_B!$IS38-1,"")</f>
        <v/>
      </c>
      <c r="HD38" s="62" t="str">
        <f>IFERROR(Inv_SY_B!HD38/Inv_SY_B!$IS38-1,"")</f>
        <v/>
      </c>
      <c r="HE38" s="62" t="str">
        <f>IFERROR(Inv_SY_B!HE38/Inv_SY_B!$IS38-1,"")</f>
        <v/>
      </c>
      <c r="HF38" s="62" t="str">
        <f>IFERROR(Inv_SY_B!HF38/Inv_SY_B!$IS38-1,"")</f>
        <v/>
      </c>
      <c r="HG38" s="62" t="str">
        <f>IFERROR(Inv_SY_B!HG38/Inv_SY_B!$IS38-1,"")</f>
        <v/>
      </c>
      <c r="HH38" s="62" t="str">
        <f>IFERROR(Inv_SY_B!HH38/Inv_SY_B!$IS38-1,"")</f>
        <v/>
      </c>
      <c r="HI38" s="62" t="str">
        <f>IFERROR(Inv_SY_B!HI38/Inv_SY_B!$IS38-1,"")</f>
        <v/>
      </c>
      <c r="HJ38" s="62" t="str">
        <f>IFERROR(Inv_SY_B!HJ38/Inv_SY_B!$IS38-1,"")</f>
        <v/>
      </c>
      <c r="HK38" s="62" t="str">
        <f>IFERROR(Inv_SY_B!HK38/Inv_SY_B!$IS38-1,"")</f>
        <v/>
      </c>
      <c r="HL38" s="62" t="str">
        <f>IFERROR(Inv_SY_B!HL38/Inv_SY_B!$IS38-1,"")</f>
        <v/>
      </c>
      <c r="HM38" s="62" t="str">
        <f>IFERROR(Inv_SY_B!HM38/Inv_SY_B!$IS38-1,"")</f>
        <v/>
      </c>
      <c r="HN38" s="62" t="str">
        <f>IFERROR(Inv_SY_B!HN38/Inv_SY_B!$IS38-1,"")</f>
        <v/>
      </c>
      <c r="HO38" s="62" t="str">
        <f>IFERROR(Inv_SY_B!HO38/Inv_SY_B!$IS38-1,"")</f>
        <v/>
      </c>
      <c r="HP38" s="62" t="str">
        <f>IFERROR(Inv_SY_B!HP38/Inv_SY_B!$IS38-1,"")</f>
        <v/>
      </c>
      <c r="HQ38" s="62" t="str">
        <f>IFERROR(Inv_SY_B!HQ38/Inv_SY_B!$IS38-1,"")</f>
        <v/>
      </c>
      <c r="HR38" s="62" t="str">
        <f>IFERROR(Inv_SY_B!HR38/Inv_SY_B!$IS38-1,"")</f>
        <v/>
      </c>
      <c r="HS38" s="62" t="str">
        <f>IFERROR(Inv_SY_B!HS38/Inv_SY_B!$IS38-1,"")</f>
        <v/>
      </c>
      <c r="HT38" s="62" t="str">
        <f>IFERROR(Inv_SY_B!HT38/Inv_SY_B!$IS38-1,"")</f>
        <v/>
      </c>
      <c r="HU38" s="62" t="str">
        <f>IFERROR(Inv_SY_B!HU38/Inv_SY_B!$IS38-1,"")</f>
        <v/>
      </c>
      <c r="HV38" s="62" t="str">
        <f>IFERROR(Inv_SY_B!HV38/Inv_SY_B!$IS38-1,"")</f>
        <v/>
      </c>
      <c r="HW38" s="62" t="str">
        <f>IFERROR(Inv_SY_B!HW38/Inv_SY_B!$IS38-1,"")</f>
        <v/>
      </c>
      <c r="HX38" s="62" t="str">
        <f>IFERROR(Inv_SY_B!HX38/Inv_SY_B!$IS38-1,"")</f>
        <v/>
      </c>
      <c r="HY38" s="62" t="str">
        <f>IFERROR(Inv_SY_B!HY38/Inv_SY_B!$IS38-1,"")</f>
        <v/>
      </c>
      <c r="HZ38" s="62" t="str">
        <f>IFERROR(Inv_SY_B!HZ38/Inv_SY_B!$IS38-1,"")</f>
        <v/>
      </c>
      <c r="IA38" s="62" t="str">
        <f>IFERROR(Inv_SY_B!IA38/Inv_SY_B!$IS38-1,"")</f>
        <v/>
      </c>
      <c r="IB38" s="62" t="str">
        <f>IFERROR(Inv_SY_B!IB38/Inv_SY_B!$IS38-1,"")</f>
        <v/>
      </c>
      <c r="IC38" s="62" t="str">
        <f>IFERROR(Inv_SY_B!IC38/Inv_SY_B!$IS38-1,"")</f>
        <v/>
      </c>
      <c r="ID38" s="62" t="str">
        <f>IFERROR(Inv_SY_B!ID38/Inv_SY_B!$IS38-1,"")</f>
        <v/>
      </c>
      <c r="IE38" s="62" t="str">
        <f>IFERROR(Inv_SY_B!IE38/Inv_SY_B!$IS38-1,"")</f>
        <v/>
      </c>
      <c r="IF38" s="62" t="str">
        <f>IFERROR(Inv_SY_B!IF38/Inv_SY_B!$IS38-1,"")</f>
        <v/>
      </c>
      <c r="IG38" s="62" t="str">
        <f>IFERROR(Inv_SY_B!IG38/Inv_SY_B!$IS38-1,"")</f>
        <v/>
      </c>
      <c r="IH38" s="62" t="str">
        <f>IFERROR(Inv_SY_B!IH38/Inv_SY_B!$IS38-1,"")</f>
        <v/>
      </c>
      <c r="II38" s="62" t="str">
        <f>IFERROR(Inv_SY_B!II38/Inv_SY_B!$IS38-1,"")</f>
        <v/>
      </c>
      <c r="IJ38" s="62" t="str">
        <f>IFERROR(Inv_SY_B!IJ38/Inv_SY_B!$IS38-1,"")</f>
        <v/>
      </c>
      <c r="IK38" s="62" t="str">
        <f>IFERROR(Inv_SY_B!IK38/Inv_SY_B!$IS38-1,"")</f>
        <v/>
      </c>
      <c r="IL38" s="62" t="str">
        <f>IFERROR(Inv_SY_B!IL38/Inv_SY_B!$IS38-1,"")</f>
        <v/>
      </c>
      <c r="IM38" s="62" t="str">
        <f>IFERROR(Inv_SY_B!IM38/Inv_SY_B!$IS38-1,"")</f>
        <v/>
      </c>
      <c r="IN38" s="62" t="str">
        <f>IFERROR(Inv_SY_B!IN38/Inv_SY_B!$IS38-1,"")</f>
        <v/>
      </c>
      <c r="IO38" s="62" t="str">
        <f>IFERROR(Inv_SY_B!IO38/Inv_SY_B!$IS38-1,"")</f>
        <v/>
      </c>
      <c r="IP38" s="62" t="str">
        <f>IFERROR(Inv_SY_B!IP38/Inv_SY_B!$IS38-1,"")</f>
        <v/>
      </c>
      <c r="IQ38" s="62" t="str">
        <f>IFERROR(Inv_SY_B!IQ38/Inv_SY_B!$IS38-1,"")</f>
        <v/>
      </c>
      <c r="IR38" s="62" t="str">
        <f>IFERROR(Inv_SY_B!IR38/Inv_SY_B!$IS38-1,"")</f>
        <v/>
      </c>
    </row>
    <row r="39" spans="2:252" x14ac:dyDescent="0.25">
      <c r="B39" s="85">
        <f t="shared" si="0"/>
        <v>45865</v>
      </c>
      <c r="C39" s="62" t="str">
        <f>IFERROR(Inv_SY_B!C39/Inv_SY_B!$IS39-1,"")</f>
        <v/>
      </c>
      <c r="D39" s="62" t="str">
        <f>IFERROR(Inv_SY_B!D39/Inv_SY_B!$IS39-1,"")</f>
        <v/>
      </c>
      <c r="E39" s="62" t="str">
        <f>IFERROR(Inv_SY_B!E39/Inv_SY_B!$IS39-1,"")</f>
        <v/>
      </c>
      <c r="F39" s="62" t="str">
        <f>IFERROR(Inv_SY_B!F39/Inv_SY_B!$IS39-1,"")</f>
        <v/>
      </c>
      <c r="G39" s="62" t="str">
        <f>IFERROR(Inv_SY_B!G39/Inv_SY_B!$IS39-1,"")</f>
        <v/>
      </c>
      <c r="H39" s="62" t="str">
        <f>IFERROR(Inv_SY_B!H39/Inv_SY_B!$IS39-1,"")</f>
        <v/>
      </c>
      <c r="I39" s="62" t="str">
        <f>IFERROR(Inv_SY_B!I39/Inv_SY_B!$IS39-1,"")</f>
        <v/>
      </c>
      <c r="J39" s="62" t="str">
        <f>IFERROR(Inv_SY_B!J39/Inv_SY_B!$IS39-1,"")</f>
        <v/>
      </c>
      <c r="K39" s="62" t="str">
        <f>IFERROR(Inv_SY_B!K39/Inv_SY_B!$IS39-1,"")</f>
        <v/>
      </c>
      <c r="L39" s="62" t="str">
        <f>IFERROR(Inv_SY_B!L39/Inv_SY_B!$IS39-1,"")</f>
        <v/>
      </c>
      <c r="M39" s="62" t="str">
        <f>IFERROR(Inv_SY_B!M39/Inv_SY_B!$IS39-1,"")</f>
        <v/>
      </c>
      <c r="N39" s="62" t="str">
        <f>IFERROR(Inv_SY_B!N39/Inv_SY_B!$IS39-1,"")</f>
        <v/>
      </c>
      <c r="O39" s="62" t="str">
        <f>IFERROR(Inv_SY_B!O39/Inv_SY_B!$IS39-1,"")</f>
        <v/>
      </c>
      <c r="P39" s="62" t="str">
        <f>IFERROR(Inv_SY_B!P39/Inv_SY_B!$IS39-1,"")</f>
        <v/>
      </c>
      <c r="Q39" s="62" t="str">
        <f>IFERROR(Inv_SY_B!Q39/Inv_SY_B!$IS39-1,"")</f>
        <v/>
      </c>
      <c r="R39" s="62" t="str">
        <f>IFERROR(Inv_SY_B!R39/Inv_SY_B!$IS39-1,"")</f>
        <v/>
      </c>
      <c r="S39" s="62" t="str">
        <f>IFERROR(Inv_SY_B!S39/Inv_SY_B!$IS39-1,"")</f>
        <v/>
      </c>
      <c r="T39" s="62" t="str">
        <f>IFERROR(Inv_SY_B!T39/Inv_SY_B!$IS39-1,"")</f>
        <v/>
      </c>
      <c r="U39" s="62" t="str">
        <f>IFERROR(Inv_SY_B!U39/Inv_SY_B!$IS39-1,"")</f>
        <v/>
      </c>
      <c r="V39" s="62" t="str">
        <f>IFERROR(Inv_SY_B!V39/Inv_SY_B!$IS39-1,"")</f>
        <v/>
      </c>
      <c r="W39" s="62" t="str">
        <f>IFERROR(Inv_SY_B!W39/Inv_SY_B!$IS39-1,"")</f>
        <v/>
      </c>
      <c r="X39" s="62" t="str">
        <f>IFERROR(Inv_SY_B!X39/Inv_SY_B!$IS39-1,"")</f>
        <v/>
      </c>
      <c r="Y39" s="62" t="str">
        <f>IFERROR(Inv_SY_B!Y39/Inv_SY_B!$IS39-1,"")</f>
        <v/>
      </c>
      <c r="Z39" s="62" t="str">
        <f>IFERROR(Inv_SY_B!Z39/Inv_SY_B!$IS39-1,"")</f>
        <v/>
      </c>
      <c r="AA39" s="62" t="str">
        <f>IFERROR(Inv_SY_B!AA39/Inv_SY_B!$IS39-1,"")</f>
        <v/>
      </c>
      <c r="AB39" s="62" t="str">
        <f>IFERROR(Inv_SY_B!AB39/Inv_SY_B!$IS39-1,"")</f>
        <v/>
      </c>
      <c r="AC39" s="62" t="str">
        <f>IFERROR(Inv_SY_B!AC39/Inv_SY_B!$IS39-1,"")</f>
        <v/>
      </c>
      <c r="AD39" s="62" t="str">
        <f>IFERROR(Inv_SY_B!AD39/Inv_SY_B!$IS39-1,"")</f>
        <v/>
      </c>
      <c r="AE39" s="62" t="str">
        <f>IFERROR(Inv_SY_B!AE39/Inv_SY_B!$IS39-1,"")</f>
        <v/>
      </c>
      <c r="AF39" s="62" t="str">
        <f>IFERROR(Inv_SY_B!AF39/Inv_SY_B!$IS39-1,"")</f>
        <v/>
      </c>
      <c r="AG39" s="62" t="str">
        <f>IFERROR(Inv_SY_B!AG39/Inv_SY_B!$IS39-1,"")</f>
        <v/>
      </c>
      <c r="AH39" s="62" t="str">
        <f>IFERROR(Inv_SY_B!AH39/Inv_SY_B!$IS39-1,"")</f>
        <v/>
      </c>
      <c r="AI39" s="62" t="str">
        <f>IFERROR(Inv_SY_B!AI39/Inv_SY_B!$IS39-1,"")</f>
        <v/>
      </c>
      <c r="AJ39" s="62" t="str">
        <f>IFERROR(Inv_SY_B!AJ39/Inv_SY_B!$IS39-1,"")</f>
        <v/>
      </c>
      <c r="AK39" s="62" t="str">
        <f>IFERROR(Inv_SY_B!AK39/Inv_SY_B!$IS39-1,"")</f>
        <v/>
      </c>
      <c r="AL39" s="62" t="str">
        <f>IFERROR(Inv_SY_B!AL39/Inv_SY_B!$IS39-1,"")</f>
        <v/>
      </c>
      <c r="AM39" s="62" t="str">
        <f>IFERROR(Inv_SY_B!AM39/Inv_SY_B!$IS39-1,"")</f>
        <v/>
      </c>
      <c r="AN39" s="62" t="str">
        <f>IFERROR(Inv_SY_B!AN39/Inv_SY_B!$IS39-1,"")</f>
        <v/>
      </c>
      <c r="AO39" s="62" t="str">
        <f>IFERROR(Inv_SY_B!AO39/Inv_SY_B!$IS39-1,"")</f>
        <v/>
      </c>
      <c r="AP39" s="62" t="str">
        <f>IFERROR(Inv_SY_B!AP39/Inv_SY_B!$IS39-1,"")</f>
        <v/>
      </c>
      <c r="AQ39" s="62" t="str">
        <f>IFERROR(Inv_SY_B!AQ39/Inv_SY_B!$IS39-1,"")</f>
        <v/>
      </c>
      <c r="AR39" s="62" t="str">
        <f>IFERROR(Inv_SY_B!AR39/Inv_SY_B!$IS39-1,"")</f>
        <v/>
      </c>
      <c r="AS39" s="62" t="str">
        <f>IFERROR(Inv_SY_B!AS39/Inv_SY_B!$IS39-1,"")</f>
        <v/>
      </c>
      <c r="AT39" s="62" t="str">
        <f>IFERROR(Inv_SY_B!AT39/Inv_SY_B!$IS39-1,"")</f>
        <v/>
      </c>
      <c r="AU39" s="62" t="str">
        <f>IFERROR(Inv_SY_B!AU39/Inv_SY_B!$IS39-1,"")</f>
        <v/>
      </c>
      <c r="AV39" s="62" t="str">
        <f>IFERROR(Inv_SY_B!AV39/Inv_SY_B!$IS39-1,"")</f>
        <v/>
      </c>
      <c r="AW39" s="62" t="str">
        <f>IFERROR(Inv_SY_B!AW39/Inv_SY_B!$IS39-1,"")</f>
        <v/>
      </c>
      <c r="AX39" s="62" t="str">
        <f>IFERROR(Inv_SY_B!AX39/Inv_SY_B!$IS39-1,"")</f>
        <v/>
      </c>
      <c r="AY39" s="62" t="str">
        <f>IFERROR(Inv_SY_B!AY39/Inv_SY_B!$IS39-1,"")</f>
        <v/>
      </c>
      <c r="AZ39" s="62" t="str">
        <f>IFERROR(Inv_SY_B!AZ39/Inv_SY_B!$IS39-1,"")</f>
        <v/>
      </c>
      <c r="BA39" s="62" t="str">
        <f>IFERROR(Inv_SY_B!BA39/Inv_SY_B!$IS39-1,"")</f>
        <v/>
      </c>
      <c r="BB39" s="62" t="str">
        <f>IFERROR(Inv_SY_B!BB39/Inv_SY_B!$IS39-1,"")</f>
        <v/>
      </c>
      <c r="BC39" s="62" t="str">
        <f>IFERROR(Inv_SY_B!BC39/Inv_SY_B!$IS39-1,"")</f>
        <v/>
      </c>
      <c r="BD39" s="62" t="str">
        <f>IFERROR(Inv_SY_B!BD39/Inv_SY_B!$IS39-1,"")</f>
        <v/>
      </c>
      <c r="BE39" s="62" t="str">
        <f>IFERROR(Inv_SY_B!BE39/Inv_SY_B!$IS39-1,"")</f>
        <v/>
      </c>
      <c r="BF39" s="62" t="str">
        <f>IFERROR(Inv_SY_B!BF39/Inv_SY_B!$IS39-1,"")</f>
        <v/>
      </c>
      <c r="BG39" s="62" t="str">
        <f>IFERROR(Inv_SY_B!BG39/Inv_SY_B!$IS39-1,"")</f>
        <v/>
      </c>
      <c r="BH39" s="62" t="str">
        <f>IFERROR(Inv_SY_B!BH39/Inv_SY_B!$IS39-1,"")</f>
        <v/>
      </c>
      <c r="BI39" s="62" t="str">
        <f>IFERROR(Inv_SY_B!BI39/Inv_SY_B!$IS39-1,"")</f>
        <v/>
      </c>
      <c r="BJ39" s="62" t="str">
        <f>IFERROR(Inv_SY_B!BJ39/Inv_SY_B!$IS39-1,"")</f>
        <v/>
      </c>
      <c r="BK39" s="62" t="str">
        <f>IFERROR(Inv_SY_B!BK39/Inv_SY_B!$IS39-1,"")</f>
        <v/>
      </c>
      <c r="BL39" s="62" t="str">
        <f>IFERROR(Inv_SY_B!BL39/Inv_SY_B!$IS39-1,"")</f>
        <v/>
      </c>
      <c r="BM39" s="62" t="str">
        <f>IFERROR(Inv_SY_B!BM39/Inv_SY_B!$IS39-1,"")</f>
        <v/>
      </c>
      <c r="BN39" s="62" t="str">
        <f>IFERROR(Inv_SY_B!BN39/Inv_SY_B!$IS39-1,"")</f>
        <v/>
      </c>
      <c r="BO39" s="62" t="str">
        <f>IFERROR(Inv_SY_B!BO39/Inv_SY_B!$IS39-1,"")</f>
        <v/>
      </c>
      <c r="BP39" s="62" t="str">
        <f>IFERROR(Inv_SY_B!BP39/Inv_SY_B!$IS39-1,"")</f>
        <v/>
      </c>
      <c r="BQ39" s="62" t="str">
        <f>IFERROR(Inv_SY_B!BQ39/Inv_SY_B!$IS39-1,"")</f>
        <v/>
      </c>
      <c r="BR39" s="62" t="str">
        <f>IFERROR(Inv_SY_B!BR39/Inv_SY_B!$IS39-1,"")</f>
        <v/>
      </c>
      <c r="BS39" s="62" t="str">
        <f>IFERROR(Inv_SY_B!BS39/Inv_SY_B!$IS39-1,"")</f>
        <v/>
      </c>
      <c r="BT39" s="62" t="str">
        <f>IFERROR(Inv_SY_B!BT39/Inv_SY_B!$IS39-1,"")</f>
        <v/>
      </c>
      <c r="BU39" s="62" t="str">
        <f>IFERROR(Inv_SY_B!BU39/Inv_SY_B!$IS39-1,"")</f>
        <v/>
      </c>
      <c r="BV39" s="62" t="str">
        <f>IFERROR(Inv_SY_B!BV39/Inv_SY_B!$IS39-1,"")</f>
        <v/>
      </c>
      <c r="BW39" s="62" t="str">
        <f>IFERROR(Inv_SY_B!BW39/Inv_SY_B!$IS39-1,"")</f>
        <v/>
      </c>
      <c r="BX39" s="62" t="str">
        <f>IFERROR(Inv_SY_B!BX39/Inv_SY_B!$IS39-1,"")</f>
        <v/>
      </c>
      <c r="BY39" s="62" t="str">
        <f>IFERROR(Inv_SY_B!BY39/Inv_SY_B!$IS39-1,"")</f>
        <v/>
      </c>
      <c r="BZ39" s="62" t="str">
        <f>IFERROR(Inv_SY_B!BZ39/Inv_SY_B!$IS39-1,"")</f>
        <v/>
      </c>
      <c r="CA39" s="62" t="str">
        <f>IFERROR(Inv_SY_B!CA39/Inv_SY_B!$IS39-1,"")</f>
        <v/>
      </c>
      <c r="CB39" s="62" t="str">
        <f>IFERROR(Inv_SY_B!CB39/Inv_SY_B!$IS39-1,"")</f>
        <v/>
      </c>
      <c r="CC39" s="62" t="str">
        <f>IFERROR(Inv_SY_B!CC39/Inv_SY_B!$IS39-1,"")</f>
        <v/>
      </c>
      <c r="CD39" s="62" t="str">
        <f>IFERROR(Inv_SY_B!CD39/Inv_SY_B!$IS39-1,"")</f>
        <v/>
      </c>
      <c r="CE39" s="62" t="str">
        <f>IFERROR(Inv_SY_B!CE39/Inv_SY_B!$IS39-1,"")</f>
        <v/>
      </c>
      <c r="CF39" s="62" t="str">
        <f>IFERROR(Inv_SY_B!CF39/Inv_SY_B!$IS39-1,"")</f>
        <v/>
      </c>
      <c r="CG39" s="62" t="str">
        <f>IFERROR(Inv_SY_B!CG39/Inv_SY_B!$IS39-1,"")</f>
        <v/>
      </c>
      <c r="CH39" s="62" t="str">
        <f>IFERROR(Inv_SY_B!CH39/Inv_SY_B!$IS39-1,"")</f>
        <v/>
      </c>
      <c r="CI39" s="62" t="str">
        <f>IFERROR(Inv_SY_B!CI39/Inv_SY_B!$IS39-1,"")</f>
        <v/>
      </c>
      <c r="CJ39" s="62" t="str">
        <f>IFERROR(Inv_SY_B!CJ39/Inv_SY_B!$IS39-1,"")</f>
        <v/>
      </c>
      <c r="CK39" s="62" t="str">
        <f>IFERROR(Inv_SY_B!CK39/Inv_SY_B!$IS39-1,"")</f>
        <v/>
      </c>
      <c r="CL39" s="62" t="str">
        <f>IFERROR(Inv_SY_B!CL39/Inv_SY_B!$IS39-1,"")</f>
        <v/>
      </c>
      <c r="CM39" s="62" t="str">
        <f>IFERROR(Inv_SY_B!CM39/Inv_SY_B!$IS39-1,"")</f>
        <v/>
      </c>
      <c r="CN39" s="62" t="str">
        <f>IFERROR(Inv_SY_B!CN39/Inv_SY_B!$IS39-1,"")</f>
        <v/>
      </c>
      <c r="CO39" s="62" t="str">
        <f>IFERROR(Inv_SY_B!CO39/Inv_SY_B!$IS39-1,"")</f>
        <v/>
      </c>
      <c r="CP39" s="62" t="str">
        <f>IFERROR(Inv_SY_B!CP39/Inv_SY_B!$IS39-1,"")</f>
        <v/>
      </c>
      <c r="CQ39" s="62" t="str">
        <f>IFERROR(Inv_SY_B!CQ39/Inv_SY_B!$IS39-1,"")</f>
        <v/>
      </c>
      <c r="CR39" s="62" t="str">
        <f>IFERROR(Inv_SY_B!CR39/Inv_SY_B!$IS39-1,"")</f>
        <v/>
      </c>
      <c r="CS39" s="62" t="str">
        <f>IFERROR(Inv_SY_B!CS39/Inv_SY_B!$IS39-1,"")</f>
        <v/>
      </c>
      <c r="CT39" s="62" t="str">
        <f>IFERROR(Inv_SY_B!CT39/Inv_SY_B!$IS39-1,"")</f>
        <v/>
      </c>
      <c r="CU39" s="62" t="str">
        <f>IFERROR(Inv_SY_B!CU39/Inv_SY_B!$IS39-1,"")</f>
        <v/>
      </c>
      <c r="CV39" s="62" t="str">
        <f>IFERROR(Inv_SY_B!CV39/Inv_SY_B!$IS39-1,"")</f>
        <v/>
      </c>
      <c r="CW39" s="62" t="str">
        <f>IFERROR(Inv_SY_B!CW39/Inv_SY_B!$IS39-1,"")</f>
        <v/>
      </c>
      <c r="CX39" s="62" t="str">
        <f>IFERROR(Inv_SY_B!CX39/Inv_SY_B!$IS39-1,"")</f>
        <v/>
      </c>
      <c r="CY39" s="62" t="str">
        <f>IFERROR(Inv_SY_B!CY39/Inv_SY_B!$IS39-1,"")</f>
        <v/>
      </c>
      <c r="CZ39" s="62" t="str">
        <f>IFERROR(Inv_SY_B!CZ39/Inv_SY_B!$IS39-1,"")</f>
        <v/>
      </c>
      <c r="DA39" s="62" t="str">
        <f>IFERROR(Inv_SY_B!DA39/Inv_SY_B!$IS39-1,"")</f>
        <v/>
      </c>
      <c r="DB39" s="62" t="str">
        <f>IFERROR(Inv_SY_B!DB39/Inv_SY_B!$IS39-1,"")</f>
        <v/>
      </c>
      <c r="DC39" s="62" t="str">
        <f>IFERROR(Inv_SY_B!DC39/Inv_SY_B!$IS39-1,"")</f>
        <v/>
      </c>
      <c r="DD39" s="62" t="str">
        <f>IFERROR(Inv_SY_B!DD39/Inv_SY_B!$IS39-1,"")</f>
        <v/>
      </c>
      <c r="DE39" s="62" t="str">
        <f>IFERROR(Inv_SY_B!DE39/Inv_SY_B!$IS39-1,"")</f>
        <v/>
      </c>
      <c r="DF39" s="62" t="str">
        <f>IFERROR(Inv_SY_B!DF39/Inv_SY_B!$IS39-1,"")</f>
        <v/>
      </c>
      <c r="DG39" s="62" t="str">
        <f>IFERROR(Inv_SY_B!DG39/Inv_SY_B!$IS39-1,"")</f>
        <v/>
      </c>
      <c r="DH39" s="62" t="str">
        <f>IFERROR(Inv_SY_B!DH39/Inv_SY_B!$IS39-1,"")</f>
        <v/>
      </c>
      <c r="DI39" s="62" t="str">
        <f>IFERROR(Inv_SY_B!DI39/Inv_SY_B!$IS39-1,"")</f>
        <v/>
      </c>
      <c r="DJ39" s="62" t="str">
        <f>IFERROR(Inv_SY_B!DJ39/Inv_SY_B!$IS39-1,"")</f>
        <v/>
      </c>
      <c r="DK39" s="62" t="str">
        <f>IFERROR(Inv_SY_B!DK39/Inv_SY_B!$IS39-1,"")</f>
        <v/>
      </c>
      <c r="DL39" s="62" t="str">
        <f>IFERROR(Inv_SY_B!DL39/Inv_SY_B!$IS39-1,"")</f>
        <v/>
      </c>
      <c r="DM39" s="62" t="str">
        <f>IFERROR(Inv_SY_B!DM39/Inv_SY_B!$IS39-1,"")</f>
        <v/>
      </c>
      <c r="DN39" s="62" t="str">
        <f>IFERROR(Inv_SY_B!DN39/Inv_SY_B!$IS39-1,"")</f>
        <v/>
      </c>
      <c r="DO39" s="62" t="str">
        <f>IFERROR(Inv_SY_B!DO39/Inv_SY_B!$IS39-1,"")</f>
        <v/>
      </c>
      <c r="DP39" s="62" t="str">
        <f>IFERROR(Inv_SY_B!DP39/Inv_SY_B!$IS39-1,"")</f>
        <v/>
      </c>
      <c r="DQ39" s="62" t="str">
        <f>IFERROR(Inv_SY_B!DQ39/Inv_SY_B!$IS39-1,"")</f>
        <v/>
      </c>
      <c r="DR39" s="62" t="str">
        <f>IFERROR(Inv_SY_B!DR39/Inv_SY_B!$IS39-1,"")</f>
        <v/>
      </c>
      <c r="DS39" s="62" t="str">
        <f>IFERROR(Inv_SY_B!DS39/Inv_SY_B!$IS39-1,"")</f>
        <v/>
      </c>
      <c r="DT39" s="62" t="str">
        <f>IFERROR(Inv_SY_B!DT39/Inv_SY_B!$IS39-1,"")</f>
        <v/>
      </c>
      <c r="DU39" s="62" t="str">
        <f>IFERROR(Inv_SY_B!DU39/Inv_SY_B!$IS39-1,"")</f>
        <v/>
      </c>
      <c r="DV39" s="62" t="str">
        <f>IFERROR(Inv_SY_B!DV39/Inv_SY_B!$IS39-1,"")</f>
        <v/>
      </c>
      <c r="DW39" s="62" t="str">
        <f>IFERROR(Inv_SY_B!DW39/Inv_SY_B!$IS39-1,"")</f>
        <v/>
      </c>
      <c r="DX39" s="62" t="str">
        <f>IFERROR(Inv_SY_B!DX39/Inv_SY_B!$IS39-1,"")</f>
        <v/>
      </c>
      <c r="DY39" s="62" t="str">
        <f>IFERROR(Inv_SY_B!DY39/Inv_SY_B!$IS39-1,"")</f>
        <v/>
      </c>
      <c r="DZ39" s="62" t="str">
        <f>IFERROR(Inv_SY_B!DZ39/Inv_SY_B!$IS39-1,"")</f>
        <v/>
      </c>
      <c r="EA39" s="62" t="str">
        <f>IFERROR(Inv_SY_B!EA39/Inv_SY_B!$IS39-1,"")</f>
        <v/>
      </c>
      <c r="EB39" s="62" t="str">
        <f>IFERROR(Inv_SY_B!EB39/Inv_SY_B!$IS39-1,"")</f>
        <v/>
      </c>
      <c r="EC39" s="62" t="str">
        <f>IFERROR(Inv_SY_B!EC39/Inv_SY_B!$IS39-1,"")</f>
        <v/>
      </c>
      <c r="ED39" s="62" t="str">
        <f>IFERROR(Inv_SY_B!ED39/Inv_SY_B!$IS39-1,"")</f>
        <v/>
      </c>
      <c r="EE39" s="62" t="str">
        <f>IFERROR(Inv_SY_B!EE39/Inv_SY_B!$IS39-1,"")</f>
        <v/>
      </c>
      <c r="EF39" s="62" t="str">
        <f>IFERROR(Inv_SY_B!EF39/Inv_SY_B!$IS39-1,"")</f>
        <v/>
      </c>
      <c r="EG39" s="62" t="str">
        <f>IFERROR(Inv_SY_B!EG39/Inv_SY_B!$IS39-1,"")</f>
        <v/>
      </c>
      <c r="EH39" s="62" t="str">
        <f>IFERROR(Inv_SY_B!EH39/Inv_SY_B!$IS39-1,"")</f>
        <v/>
      </c>
      <c r="EI39" s="62" t="str">
        <f>IFERROR(Inv_SY_B!EI39/Inv_SY_B!$IS39-1,"")</f>
        <v/>
      </c>
      <c r="EJ39" s="62" t="str">
        <f>IFERROR(Inv_SY_B!EJ39/Inv_SY_B!$IS39-1,"")</f>
        <v/>
      </c>
      <c r="EK39" s="62" t="str">
        <f>IFERROR(Inv_SY_B!EK39/Inv_SY_B!$IS39-1,"")</f>
        <v/>
      </c>
      <c r="EL39" s="62" t="str">
        <f>IFERROR(Inv_SY_B!EL39/Inv_SY_B!$IS39-1,"")</f>
        <v/>
      </c>
      <c r="EM39" s="62" t="str">
        <f>IFERROR(Inv_SY_B!EM39/Inv_SY_B!$IS39-1,"")</f>
        <v/>
      </c>
      <c r="EN39" s="62" t="str">
        <f>IFERROR(Inv_SY_B!EN39/Inv_SY_B!$IS39-1,"")</f>
        <v/>
      </c>
      <c r="EO39" s="62" t="str">
        <f>IFERROR(Inv_SY_B!EO39/Inv_SY_B!$IS39-1,"")</f>
        <v/>
      </c>
      <c r="EP39" s="62" t="str">
        <f>IFERROR(Inv_SY_B!EP39/Inv_SY_B!$IS39-1,"")</f>
        <v/>
      </c>
      <c r="EQ39" s="62" t="str">
        <f>IFERROR(Inv_SY_B!EQ39/Inv_SY_B!$IS39-1,"")</f>
        <v/>
      </c>
      <c r="ER39" s="62" t="str">
        <f>IFERROR(Inv_SY_B!ER39/Inv_SY_B!$IS39-1,"")</f>
        <v/>
      </c>
      <c r="ES39" s="62" t="str">
        <f>IFERROR(Inv_SY_B!ES39/Inv_SY_B!$IS39-1,"")</f>
        <v/>
      </c>
      <c r="ET39" s="62" t="str">
        <f>IFERROR(Inv_SY_B!ET39/Inv_SY_B!$IS39-1,"")</f>
        <v/>
      </c>
      <c r="EU39" s="62" t="str">
        <f>IFERROR(Inv_SY_B!EU39/Inv_SY_B!$IS39-1,"")</f>
        <v/>
      </c>
      <c r="EV39" s="62" t="str">
        <f>IFERROR(Inv_SY_B!EV39/Inv_SY_B!$IS39-1,"")</f>
        <v/>
      </c>
      <c r="EW39" s="62" t="str">
        <f>IFERROR(Inv_SY_B!EW39/Inv_SY_B!$IS39-1,"")</f>
        <v/>
      </c>
      <c r="EX39" s="62" t="str">
        <f>IFERROR(Inv_SY_B!EX39/Inv_SY_B!$IS39-1,"")</f>
        <v/>
      </c>
      <c r="EY39" s="62" t="str">
        <f>IFERROR(Inv_SY_B!EY39/Inv_SY_B!$IS39-1,"")</f>
        <v/>
      </c>
      <c r="EZ39" s="62" t="str">
        <f>IFERROR(Inv_SY_B!EZ39/Inv_SY_B!$IS39-1,"")</f>
        <v/>
      </c>
      <c r="FA39" s="62" t="str">
        <f>IFERROR(Inv_SY_B!FA39/Inv_SY_B!$IS39-1,"")</f>
        <v/>
      </c>
      <c r="FB39" s="62" t="str">
        <f>IFERROR(Inv_SY_B!FB39/Inv_SY_B!$IS39-1,"")</f>
        <v/>
      </c>
      <c r="FC39" s="62" t="str">
        <f>IFERROR(Inv_SY_B!FC39/Inv_SY_B!$IS39-1,"")</f>
        <v/>
      </c>
      <c r="FD39" s="62" t="str">
        <f>IFERROR(Inv_SY_B!FD39/Inv_SY_B!$IS39-1,"")</f>
        <v/>
      </c>
      <c r="FE39" s="62" t="str">
        <f>IFERROR(Inv_SY_B!FE39/Inv_SY_B!$IS39-1,"")</f>
        <v/>
      </c>
      <c r="FF39" s="62" t="str">
        <f>IFERROR(Inv_SY_B!FF39/Inv_SY_B!$IS39-1,"")</f>
        <v/>
      </c>
      <c r="FG39" s="62" t="str">
        <f>IFERROR(Inv_SY_B!FG39/Inv_SY_B!$IS39-1,"")</f>
        <v/>
      </c>
      <c r="FH39" s="62" t="str">
        <f>IFERROR(Inv_SY_B!FH39/Inv_SY_B!$IS39-1,"")</f>
        <v/>
      </c>
      <c r="FI39" s="62" t="str">
        <f>IFERROR(Inv_SY_B!FI39/Inv_SY_B!$IS39-1,"")</f>
        <v/>
      </c>
      <c r="FJ39" s="62" t="str">
        <f>IFERROR(Inv_SY_B!FJ39/Inv_SY_B!$IS39-1,"")</f>
        <v/>
      </c>
      <c r="FK39" s="62" t="str">
        <f>IFERROR(Inv_SY_B!FK39/Inv_SY_B!$IS39-1,"")</f>
        <v/>
      </c>
      <c r="FL39" s="62" t="str">
        <f>IFERROR(Inv_SY_B!FL39/Inv_SY_B!$IS39-1,"")</f>
        <v/>
      </c>
      <c r="FM39" s="62" t="str">
        <f>IFERROR(Inv_SY_B!FM39/Inv_SY_B!$IS39-1,"")</f>
        <v/>
      </c>
      <c r="FN39" s="62" t="str">
        <f>IFERROR(Inv_SY_B!FN39/Inv_SY_B!$IS39-1,"")</f>
        <v/>
      </c>
      <c r="FO39" s="62" t="str">
        <f>IFERROR(Inv_SY_B!FO39/Inv_SY_B!$IS39-1,"")</f>
        <v/>
      </c>
      <c r="FP39" s="62" t="str">
        <f>IFERROR(Inv_SY_B!FP39/Inv_SY_B!$IS39-1,"")</f>
        <v/>
      </c>
      <c r="FQ39" s="62" t="str">
        <f>IFERROR(Inv_SY_B!FQ39/Inv_SY_B!$IS39-1,"")</f>
        <v/>
      </c>
      <c r="FR39" s="62" t="str">
        <f>IFERROR(Inv_SY_B!FR39/Inv_SY_B!$IS39-1,"")</f>
        <v/>
      </c>
      <c r="FS39" s="62" t="str">
        <f>IFERROR(Inv_SY_B!FS39/Inv_SY_B!$IS39-1,"")</f>
        <v/>
      </c>
      <c r="FT39" s="62" t="str">
        <f>IFERROR(Inv_SY_B!FT39/Inv_SY_B!$IS39-1,"")</f>
        <v/>
      </c>
      <c r="FU39" s="62" t="str">
        <f>IFERROR(Inv_SY_B!FU39/Inv_SY_B!$IS39-1,"")</f>
        <v/>
      </c>
      <c r="FV39" s="62" t="str">
        <f>IFERROR(Inv_SY_B!FV39/Inv_SY_B!$IS39-1,"")</f>
        <v/>
      </c>
      <c r="FW39" s="62" t="str">
        <f>IFERROR(Inv_SY_B!FW39/Inv_SY_B!$IS39-1,"")</f>
        <v/>
      </c>
      <c r="FX39" s="62" t="str">
        <f>IFERROR(Inv_SY_B!FX39/Inv_SY_B!$IS39-1,"")</f>
        <v/>
      </c>
      <c r="FY39" s="62" t="str">
        <f>IFERROR(Inv_SY_B!FY39/Inv_SY_B!$IS39-1,"")</f>
        <v/>
      </c>
      <c r="FZ39" s="62" t="str">
        <f>IFERROR(Inv_SY_B!FZ39/Inv_SY_B!$IS39-1,"")</f>
        <v/>
      </c>
      <c r="GA39" s="62" t="str">
        <f>IFERROR(Inv_SY_B!GA39/Inv_SY_B!$IS39-1,"")</f>
        <v/>
      </c>
      <c r="GB39" s="62" t="str">
        <f>IFERROR(Inv_SY_B!GB39/Inv_SY_B!$IS39-1,"")</f>
        <v/>
      </c>
      <c r="GC39" s="62" t="str">
        <f>IFERROR(Inv_SY_B!GC39/Inv_SY_B!$IS39-1,"")</f>
        <v/>
      </c>
      <c r="GD39" s="62" t="str">
        <f>IFERROR(Inv_SY_B!GD39/Inv_SY_B!$IS39-1,"")</f>
        <v/>
      </c>
      <c r="GE39" s="62" t="str">
        <f>IFERROR(Inv_SY_B!GE39/Inv_SY_B!$IS39-1,"")</f>
        <v/>
      </c>
      <c r="GF39" s="62" t="str">
        <f>IFERROR(Inv_SY_B!GF39/Inv_SY_B!$IS39-1,"")</f>
        <v/>
      </c>
      <c r="GG39" s="62" t="str">
        <f>IFERROR(Inv_SY_B!GG39/Inv_SY_B!$IS39-1,"")</f>
        <v/>
      </c>
      <c r="GH39" s="62" t="str">
        <f>IFERROR(Inv_SY_B!GH39/Inv_SY_B!$IS39-1,"")</f>
        <v/>
      </c>
      <c r="GI39" s="62" t="str">
        <f>IFERROR(Inv_SY_B!GI39/Inv_SY_B!$IS39-1,"")</f>
        <v/>
      </c>
      <c r="GJ39" s="62" t="str">
        <f>IFERROR(Inv_SY_B!GJ39/Inv_SY_B!$IS39-1,"")</f>
        <v/>
      </c>
      <c r="GK39" s="62" t="str">
        <f>IFERROR(Inv_SY_B!GK39/Inv_SY_B!$IS39-1,"")</f>
        <v/>
      </c>
      <c r="GL39" s="62" t="str">
        <f>IFERROR(Inv_SY_B!GL39/Inv_SY_B!$IS39-1,"")</f>
        <v/>
      </c>
      <c r="GM39" s="62" t="str">
        <f>IFERROR(Inv_SY_B!GM39/Inv_SY_B!$IS39-1,"")</f>
        <v/>
      </c>
      <c r="GN39" s="62" t="str">
        <f>IFERROR(Inv_SY_B!GN39/Inv_SY_B!$IS39-1,"")</f>
        <v/>
      </c>
      <c r="GO39" s="62" t="str">
        <f>IFERROR(Inv_SY_B!GO39/Inv_SY_B!$IS39-1,"")</f>
        <v/>
      </c>
      <c r="GP39" s="62" t="str">
        <f>IFERROR(Inv_SY_B!GP39/Inv_SY_B!$IS39-1,"")</f>
        <v/>
      </c>
      <c r="GQ39" s="62" t="str">
        <f>IFERROR(Inv_SY_B!GQ39/Inv_SY_B!$IS39-1,"")</f>
        <v/>
      </c>
      <c r="GR39" s="62" t="str">
        <f>IFERROR(Inv_SY_B!GR39/Inv_SY_B!$IS39-1,"")</f>
        <v/>
      </c>
      <c r="GS39" s="62" t="str">
        <f>IFERROR(Inv_SY_B!GS39/Inv_SY_B!$IS39-1,"")</f>
        <v/>
      </c>
      <c r="GT39" s="62" t="str">
        <f>IFERROR(Inv_SY_B!GT39/Inv_SY_B!$IS39-1,"")</f>
        <v/>
      </c>
      <c r="GU39" s="62" t="str">
        <f>IFERROR(Inv_SY_B!GU39/Inv_SY_B!$IS39-1,"")</f>
        <v/>
      </c>
      <c r="GV39" s="62" t="str">
        <f>IFERROR(Inv_SY_B!GV39/Inv_SY_B!$IS39-1,"")</f>
        <v/>
      </c>
      <c r="GW39" s="62" t="str">
        <f>IFERROR(Inv_SY_B!GW39/Inv_SY_B!$IS39-1,"")</f>
        <v/>
      </c>
      <c r="GX39" s="62" t="str">
        <f>IFERROR(Inv_SY_B!GX39/Inv_SY_B!$IS39-1,"")</f>
        <v/>
      </c>
      <c r="GY39" s="62" t="str">
        <f>IFERROR(Inv_SY_B!GY39/Inv_SY_B!$IS39-1,"")</f>
        <v/>
      </c>
      <c r="GZ39" s="62" t="str">
        <f>IFERROR(Inv_SY_B!GZ39/Inv_SY_B!$IS39-1,"")</f>
        <v/>
      </c>
      <c r="HA39" s="62" t="str">
        <f>IFERROR(Inv_SY_B!HA39/Inv_SY_B!$IS39-1,"")</f>
        <v/>
      </c>
      <c r="HB39" s="62" t="str">
        <f>IFERROR(Inv_SY_B!HB39/Inv_SY_B!$IS39-1,"")</f>
        <v/>
      </c>
      <c r="HC39" s="62" t="str">
        <f>IFERROR(Inv_SY_B!HC39/Inv_SY_B!$IS39-1,"")</f>
        <v/>
      </c>
      <c r="HD39" s="62" t="str">
        <f>IFERROR(Inv_SY_B!HD39/Inv_SY_B!$IS39-1,"")</f>
        <v/>
      </c>
      <c r="HE39" s="62" t="str">
        <f>IFERROR(Inv_SY_B!HE39/Inv_SY_B!$IS39-1,"")</f>
        <v/>
      </c>
      <c r="HF39" s="62" t="str">
        <f>IFERROR(Inv_SY_B!HF39/Inv_SY_B!$IS39-1,"")</f>
        <v/>
      </c>
      <c r="HG39" s="62" t="str">
        <f>IFERROR(Inv_SY_B!HG39/Inv_SY_B!$IS39-1,"")</f>
        <v/>
      </c>
      <c r="HH39" s="62" t="str">
        <f>IFERROR(Inv_SY_B!HH39/Inv_SY_B!$IS39-1,"")</f>
        <v/>
      </c>
      <c r="HI39" s="62" t="str">
        <f>IFERROR(Inv_SY_B!HI39/Inv_SY_B!$IS39-1,"")</f>
        <v/>
      </c>
      <c r="HJ39" s="62" t="str">
        <f>IFERROR(Inv_SY_B!HJ39/Inv_SY_B!$IS39-1,"")</f>
        <v/>
      </c>
      <c r="HK39" s="62" t="str">
        <f>IFERROR(Inv_SY_B!HK39/Inv_SY_B!$IS39-1,"")</f>
        <v/>
      </c>
      <c r="HL39" s="62" t="str">
        <f>IFERROR(Inv_SY_B!HL39/Inv_SY_B!$IS39-1,"")</f>
        <v/>
      </c>
      <c r="HM39" s="62" t="str">
        <f>IFERROR(Inv_SY_B!HM39/Inv_SY_B!$IS39-1,"")</f>
        <v/>
      </c>
      <c r="HN39" s="62" t="str">
        <f>IFERROR(Inv_SY_B!HN39/Inv_SY_B!$IS39-1,"")</f>
        <v/>
      </c>
      <c r="HO39" s="62" t="str">
        <f>IFERROR(Inv_SY_B!HO39/Inv_SY_B!$IS39-1,"")</f>
        <v/>
      </c>
      <c r="HP39" s="62" t="str">
        <f>IFERROR(Inv_SY_B!HP39/Inv_SY_B!$IS39-1,"")</f>
        <v/>
      </c>
      <c r="HQ39" s="62" t="str">
        <f>IFERROR(Inv_SY_B!HQ39/Inv_SY_B!$IS39-1,"")</f>
        <v/>
      </c>
      <c r="HR39" s="62" t="str">
        <f>IFERROR(Inv_SY_B!HR39/Inv_SY_B!$IS39-1,"")</f>
        <v/>
      </c>
      <c r="HS39" s="62" t="str">
        <f>IFERROR(Inv_SY_B!HS39/Inv_SY_B!$IS39-1,"")</f>
        <v/>
      </c>
      <c r="HT39" s="62" t="str">
        <f>IFERROR(Inv_SY_B!HT39/Inv_SY_B!$IS39-1,"")</f>
        <v/>
      </c>
      <c r="HU39" s="62" t="str">
        <f>IFERROR(Inv_SY_B!HU39/Inv_SY_B!$IS39-1,"")</f>
        <v/>
      </c>
      <c r="HV39" s="62" t="str">
        <f>IFERROR(Inv_SY_B!HV39/Inv_SY_B!$IS39-1,"")</f>
        <v/>
      </c>
      <c r="HW39" s="62" t="str">
        <f>IFERROR(Inv_SY_B!HW39/Inv_SY_B!$IS39-1,"")</f>
        <v/>
      </c>
      <c r="HX39" s="62" t="str">
        <f>IFERROR(Inv_SY_B!HX39/Inv_SY_B!$IS39-1,"")</f>
        <v/>
      </c>
      <c r="HY39" s="62" t="str">
        <f>IFERROR(Inv_SY_B!HY39/Inv_SY_B!$IS39-1,"")</f>
        <v/>
      </c>
      <c r="HZ39" s="62" t="str">
        <f>IFERROR(Inv_SY_B!HZ39/Inv_SY_B!$IS39-1,"")</f>
        <v/>
      </c>
      <c r="IA39" s="62" t="str">
        <f>IFERROR(Inv_SY_B!IA39/Inv_SY_B!$IS39-1,"")</f>
        <v/>
      </c>
      <c r="IB39" s="62" t="str">
        <f>IFERROR(Inv_SY_B!IB39/Inv_SY_B!$IS39-1,"")</f>
        <v/>
      </c>
      <c r="IC39" s="62" t="str">
        <f>IFERROR(Inv_SY_B!IC39/Inv_SY_B!$IS39-1,"")</f>
        <v/>
      </c>
      <c r="ID39" s="62" t="str">
        <f>IFERROR(Inv_SY_B!ID39/Inv_SY_B!$IS39-1,"")</f>
        <v/>
      </c>
      <c r="IE39" s="62" t="str">
        <f>IFERROR(Inv_SY_B!IE39/Inv_SY_B!$IS39-1,"")</f>
        <v/>
      </c>
      <c r="IF39" s="62" t="str">
        <f>IFERROR(Inv_SY_B!IF39/Inv_SY_B!$IS39-1,"")</f>
        <v/>
      </c>
      <c r="IG39" s="62" t="str">
        <f>IFERROR(Inv_SY_B!IG39/Inv_SY_B!$IS39-1,"")</f>
        <v/>
      </c>
      <c r="IH39" s="62" t="str">
        <f>IFERROR(Inv_SY_B!IH39/Inv_SY_B!$IS39-1,"")</f>
        <v/>
      </c>
      <c r="II39" s="62" t="str">
        <f>IFERROR(Inv_SY_B!II39/Inv_SY_B!$IS39-1,"")</f>
        <v/>
      </c>
      <c r="IJ39" s="62" t="str">
        <f>IFERROR(Inv_SY_B!IJ39/Inv_SY_B!$IS39-1,"")</f>
        <v/>
      </c>
      <c r="IK39" s="62" t="str">
        <f>IFERROR(Inv_SY_B!IK39/Inv_SY_B!$IS39-1,"")</f>
        <v/>
      </c>
      <c r="IL39" s="62" t="str">
        <f>IFERROR(Inv_SY_B!IL39/Inv_SY_B!$IS39-1,"")</f>
        <v/>
      </c>
      <c r="IM39" s="62" t="str">
        <f>IFERROR(Inv_SY_B!IM39/Inv_SY_B!$IS39-1,"")</f>
        <v/>
      </c>
      <c r="IN39" s="62" t="str">
        <f>IFERROR(Inv_SY_B!IN39/Inv_SY_B!$IS39-1,"")</f>
        <v/>
      </c>
      <c r="IO39" s="62" t="str">
        <f>IFERROR(Inv_SY_B!IO39/Inv_SY_B!$IS39-1,"")</f>
        <v/>
      </c>
      <c r="IP39" s="62" t="str">
        <f>IFERROR(Inv_SY_B!IP39/Inv_SY_B!$IS39-1,"")</f>
        <v/>
      </c>
      <c r="IQ39" s="62" t="str">
        <f>IFERROR(Inv_SY_B!IQ39/Inv_SY_B!$IS39-1,"")</f>
        <v/>
      </c>
      <c r="IR39" s="62" t="str">
        <f>IFERROR(Inv_SY_B!IR39/Inv_SY_B!$IS39-1,"")</f>
        <v/>
      </c>
    </row>
    <row r="40" spans="2:252" x14ac:dyDescent="0.25">
      <c r="B40" s="85">
        <f t="shared" si="0"/>
        <v>45866</v>
      </c>
      <c r="C40" s="62" t="str">
        <f>IFERROR(Inv_SY_B!C40/Inv_SY_B!$IS40-1,"")</f>
        <v/>
      </c>
      <c r="D40" s="62" t="str">
        <f>IFERROR(Inv_SY_B!D40/Inv_SY_B!$IS40-1,"")</f>
        <v/>
      </c>
      <c r="E40" s="62" t="str">
        <f>IFERROR(Inv_SY_B!E40/Inv_SY_B!$IS40-1,"")</f>
        <v/>
      </c>
      <c r="F40" s="62" t="str">
        <f>IFERROR(Inv_SY_B!F40/Inv_SY_B!$IS40-1,"")</f>
        <v/>
      </c>
      <c r="G40" s="62" t="str">
        <f>IFERROR(Inv_SY_B!G40/Inv_SY_B!$IS40-1,"")</f>
        <v/>
      </c>
      <c r="H40" s="62" t="str">
        <f>IFERROR(Inv_SY_B!H40/Inv_SY_B!$IS40-1,"")</f>
        <v/>
      </c>
      <c r="I40" s="62" t="str">
        <f>IFERROR(Inv_SY_B!I40/Inv_SY_B!$IS40-1,"")</f>
        <v/>
      </c>
      <c r="J40" s="62" t="str">
        <f>IFERROR(Inv_SY_B!J40/Inv_SY_B!$IS40-1,"")</f>
        <v/>
      </c>
      <c r="K40" s="62" t="str">
        <f>IFERROR(Inv_SY_B!K40/Inv_SY_B!$IS40-1,"")</f>
        <v/>
      </c>
      <c r="L40" s="62" t="str">
        <f>IFERROR(Inv_SY_B!L40/Inv_SY_B!$IS40-1,"")</f>
        <v/>
      </c>
      <c r="M40" s="62" t="str">
        <f>IFERROR(Inv_SY_B!M40/Inv_SY_B!$IS40-1,"")</f>
        <v/>
      </c>
      <c r="N40" s="62" t="str">
        <f>IFERROR(Inv_SY_B!N40/Inv_SY_B!$IS40-1,"")</f>
        <v/>
      </c>
      <c r="O40" s="62" t="str">
        <f>IFERROR(Inv_SY_B!O40/Inv_SY_B!$IS40-1,"")</f>
        <v/>
      </c>
      <c r="P40" s="62" t="str">
        <f>IFERROR(Inv_SY_B!P40/Inv_SY_B!$IS40-1,"")</f>
        <v/>
      </c>
      <c r="Q40" s="62" t="str">
        <f>IFERROR(Inv_SY_B!Q40/Inv_SY_B!$IS40-1,"")</f>
        <v/>
      </c>
      <c r="R40" s="62" t="str">
        <f>IFERROR(Inv_SY_B!R40/Inv_SY_B!$IS40-1,"")</f>
        <v/>
      </c>
      <c r="S40" s="62" t="str">
        <f>IFERROR(Inv_SY_B!S40/Inv_SY_B!$IS40-1,"")</f>
        <v/>
      </c>
      <c r="T40" s="62" t="str">
        <f>IFERROR(Inv_SY_B!T40/Inv_SY_B!$IS40-1,"")</f>
        <v/>
      </c>
      <c r="U40" s="62" t="str">
        <f>IFERROR(Inv_SY_B!U40/Inv_SY_B!$IS40-1,"")</f>
        <v/>
      </c>
      <c r="V40" s="62" t="str">
        <f>IFERROR(Inv_SY_B!V40/Inv_SY_B!$IS40-1,"")</f>
        <v/>
      </c>
      <c r="W40" s="62" t="str">
        <f>IFERROR(Inv_SY_B!W40/Inv_SY_B!$IS40-1,"")</f>
        <v/>
      </c>
      <c r="X40" s="62" t="str">
        <f>IFERROR(Inv_SY_B!X40/Inv_SY_B!$IS40-1,"")</f>
        <v/>
      </c>
      <c r="Y40" s="62" t="str">
        <f>IFERROR(Inv_SY_B!Y40/Inv_SY_B!$IS40-1,"")</f>
        <v/>
      </c>
      <c r="Z40" s="62" t="str">
        <f>IFERROR(Inv_SY_B!Z40/Inv_SY_B!$IS40-1,"")</f>
        <v/>
      </c>
      <c r="AA40" s="62" t="str">
        <f>IFERROR(Inv_SY_B!AA40/Inv_SY_B!$IS40-1,"")</f>
        <v/>
      </c>
      <c r="AB40" s="62" t="str">
        <f>IFERROR(Inv_SY_B!AB40/Inv_SY_B!$IS40-1,"")</f>
        <v/>
      </c>
      <c r="AC40" s="62" t="str">
        <f>IFERROR(Inv_SY_B!AC40/Inv_SY_B!$IS40-1,"")</f>
        <v/>
      </c>
      <c r="AD40" s="62" t="str">
        <f>IFERROR(Inv_SY_B!AD40/Inv_SY_B!$IS40-1,"")</f>
        <v/>
      </c>
      <c r="AE40" s="62" t="str">
        <f>IFERROR(Inv_SY_B!AE40/Inv_SY_B!$IS40-1,"")</f>
        <v/>
      </c>
      <c r="AF40" s="62" t="str">
        <f>IFERROR(Inv_SY_B!AF40/Inv_SY_B!$IS40-1,"")</f>
        <v/>
      </c>
      <c r="AG40" s="62" t="str">
        <f>IFERROR(Inv_SY_B!AG40/Inv_SY_B!$IS40-1,"")</f>
        <v/>
      </c>
      <c r="AH40" s="62" t="str">
        <f>IFERROR(Inv_SY_B!AH40/Inv_SY_B!$IS40-1,"")</f>
        <v/>
      </c>
      <c r="AI40" s="62" t="str">
        <f>IFERROR(Inv_SY_B!AI40/Inv_SY_B!$IS40-1,"")</f>
        <v/>
      </c>
      <c r="AJ40" s="62" t="str">
        <f>IFERROR(Inv_SY_B!AJ40/Inv_SY_B!$IS40-1,"")</f>
        <v/>
      </c>
      <c r="AK40" s="62" t="str">
        <f>IFERROR(Inv_SY_B!AK40/Inv_SY_B!$IS40-1,"")</f>
        <v/>
      </c>
      <c r="AL40" s="62" t="str">
        <f>IFERROR(Inv_SY_B!AL40/Inv_SY_B!$IS40-1,"")</f>
        <v/>
      </c>
      <c r="AM40" s="62" t="str">
        <f>IFERROR(Inv_SY_B!AM40/Inv_SY_B!$IS40-1,"")</f>
        <v/>
      </c>
      <c r="AN40" s="62" t="str">
        <f>IFERROR(Inv_SY_B!AN40/Inv_SY_B!$IS40-1,"")</f>
        <v/>
      </c>
      <c r="AO40" s="62" t="str">
        <f>IFERROR(Inv_SY_B!AO40/Inv_SY_B!$IS40-1,"")</f>
        <v/>
      </c>
      <c r="AP40" s="62" t="str">
        <f>IFERROR(Inv_SY_B!AP40/Inv_SY_B!$IS40-1,"")</f>
        <v/>
      </c>
      <c r="AQ40" s="62" t="str">
        <f>IFERROR(Inv_SY_B!AQ40/Inv_SY_B!$IS40-1,"")</f>
        <v/>
      </c>
      <c r="AR40" s="62" t="str">
        <f>IFERROR(Inv_SY_B!AR40/Inv_SY_B!$IS40-1,"")</f>
        <v/>
      </c>
      <c r="AS40" s="62" t="str">
        <f>IFERROR(Inv_SY_B!AS40/Inv_SY_B!$IS40-1,"")</f>
        <v/>
      </c>
      <c r="AT40" s="62" t="str">
        <f>IFERROR(Inv_SY_B!AT40/Inv_SY_B!$IS40-1,"")</f>
        <v/>
      </c>
      <c r="AU40" s="62" t="str">
        <f>IFERROR(Inv_SY_B!AU40/Inv_SY_B!$IS40-1,"")</f>
        <v/>
      </c>
      <c r="AV40" s="62" t="str">
        <f>IFERROR(Inv_SY_B!AV40/Inv_SY_B!$IS40-1,"")</f>
        <v/>
      </c>
      <c r="AW40" s="62" t="str">
        <f>IFERROR(Inv_SY_B!AW40/Inv_SY_B!$IS40-1,"")</f>
        <v/>
      </c>
      <c r="AX40" s="62" t="str">
        <f>IFERROR(Inv_SY_B!AX40/Inv_SY_B!$IS40-1,"")</f>
        <v/>
      </c>
      <c r="AY40" s="62" t="str">
        <f>IFERROR(Inv_SY_B!AY40/Inv_SY_B!$IS40-1,"")</f>
        <v/>
      </c>
      <c r="AZ40" s="62" t="str">
        <f>IFERROR(Inv_SY_B!AZ40/Inv_SY_B!$IS40-1,"")</f>
        <v/>
      </c>
      <c r="BA40" s="62" t="str">
        <f>IFERROR(Inv_SY_B!BA40/Inv_SY_B!$IS40-1,"")</f>
        <v/>
      </c>
      <c r="BB40" s="62" t="str">
        <f>IFERROR(Inv_SY_B!BB40/Inv_SY_B!$IS40-1,"")</f>
        <v/>
      </c>
      <c r="BC40" s="62" t="str">
        <f>IFERROR(Inv_SY_B!BC40/Inv_SY_B!$IS40-1,"")</f>
        <v/>
      </c>
      <c r="BD40" s="62" t="str">
        <f>IFERROR(Inv_SY_B!BD40/Inv_SY_B!$IS40-1,"")</f>
        <v/>
      </c>
      <c r="BE40" s="62" t="str">
        <f>IFERROR(Inv_SY_B!BE40/Inv_SY_B!$IS40-1,"")</f>
        <v/>
      </c>
      <c r="BF40" s="62" t="str">
        <f>IFERROR(Inv_SY_B!BF40/Inv_SY_B!$IS40-1,"")</f>
        <v/>
      </c>
      <c r="BG40" s="62" t="str">
        <f>IFERROR(Inv_SY_B!BG40/Inv_SY_B!$IS40-1,"")</f>
        <v/>
      </c>
      <c r="BH40" s="62" t="str">
        <f>IFERROR(Inv_SY_B!BH40/Inv_SY_B!$IS40-1,"")</f>
        <v/>
      </c>
      <c r="BI40" s="62" t="str">
        <f>IFERROR(Inv_SY_B!BI40/Inv_SY_B!$IS40-1,"")</f>
        <v/>
      </c>
      <c r="BJ40" s="62" t="str">
        <f>IFERROR(Inv_SY_B!BJ40/Inv_SY_B!$IS40-1,"")</f>
        <v/>
      </c>
      <c r="BK40" s="62" t="str">
        <f>IFERROR(Inv_SY_B!BK40/Inv_SY_B!$IS40-1,"")</f>
        <v/>
      </c>
      <c r="BL40" s="62" t="str">
        <f>IFERROR(Inv_SY_B!BL40/Inv_SY_B!$IS40-1,"")</f>
        <v/>
      </c>
      <c r="BM40" s="62" t="str">
        <f>IFERROR(Inv_SY_B!BM40/Inv_SY_B!$IS40-1,"")</f>
        <v/>
      </c>
      <c r="BN40" s="62" t="str">
        <f>IFERROR(Inv_SY_B!BN40/Inv_SY_B!$IS40-1,"")</f>
        <v/>
      </c>
      <c r="BO40" s="62" t="str">
        <f>IFERROR(Inv_SY_B!BO40/Inv_SY_B!$IS40-1,"")</f>
        <v/>
      </c>
      <c r="BP40" s="62" t="str">
        <f>IFERROR(Inv_SY_B!BP40/Inv_SY_B!$IS40-1,"")</f>
        <v/>
      </c>
      <c r="BQ40" s="62" t="str">
        <f>IFERROR(Inv_SY_B!BQ40/Inv_SY_B!$IS40-1,"")</f>
        <v/>
      </c>
      <c r="BR40" s="62" t="str">
        <f>IFERROR(Inv_SY_B!BR40/Inv_SY_B!$IS40-1,"")</f>
        <v/>
      </c>
      <c r="BS40" s="62" t="str">
        <f>IFERROR(Inv_SY_B!BS40/Inv_SY_B!$IS40-1,"")</f>
        <v/>
      </c>
      <c r="BT40" s="62" t="str">
        <f>IFERROR(Inv_SY_B!BT40/Inv_SY_B!$IS40-1,"")</f>
        <v/>
      </c>
      <c r="BU40" s="62" t="str">
        <f>IFERROR(Inv_SY_B!BU40/Inv_SY_B!$IS40-1,"")</f>
        <v/>
      </c>
      <c r="BV40" s="62" t="str">
        <f>IFERROR(Inv_SY_B!BV40/Inv_SY_B!$IS40-1,"")</f>
        <v/>
      </c>
      <c r="BW40" s="62" t="str">
        <f>IFERROR(Inv_SY_B!BW40/Inv_SY_B!$IS40-1,"")</f>
        <v/>
      </c>
      <c r="BX40" s="62" t="str">
        <f>IFERROR(Inv_SY_B!BX40/Inv_SY_B!$IS40-1,"")</f>
        <v/>
      </c>
      <c r="BY40" s="62" t="str">
        <f>IFERROR(Inv_SY_B!BY40/Inv_SY_B!$IS40-1,"")</f>
        <v/>
      </c>
      <c r="BZ40" s="62" t="str">
        <f>IFERROR(Inv_SY_B!BZ40/Inv_SY_B!$IS40-1,"")</f>
        <v/>
      </c>
      <c r="CA40" s="62" t="str">
        <f>IFERROR(Inv_SY_B!CA40/Inv_SY_B!$IS40-1,"")</f>
        <v/>
      </c>
      <c r="CB40" s="62" t="str">
        <f>IFERROR(Inv_SY_B!CB40/Inv_SY_B!$IS40-1,"")</f>
        <v/>
      </c>
      <c r="CC40" s="62" t="str">
        <f>IFERROR(Inv_SY_B!CC40/Inv_SY_B!$IS40-1,"")</f>
        <v/>
      </c>
      <c r="CD40" s="62" t="str">
        <f>IFERROR(Inv_SY_B!CD40/Inv_SY_B!$IS40-1,"")</f>
        <v/>
      </c>
      <c r="CE40" s="62" t="str">
        <f>IFERROR(Inv_SY_B!CE40/Inv_SY_B!$IS40-1,"")</f>
        <v/>
      </c>
      <c r="CF40" s="62" t="str">
        <f>IFERROR(Inv_SY_B!CF40/Inv_SY_B!$IS40-1,"")</f>
        <v/>
      </c>
      <c r="CG40" s="62" t="str">
        <f>IFERROR(Inv_SY_B!CG40/Inv_SY_B!$IS40-1,"")</f>
        <v/>
      </c>
      <c r="CH40" s="62" t="str">
        <f>IFERROR(Inv_SY_B!CH40/Inv_SY_B!$IS40-1,"")</f>
        <v/>
      </c>
      <c r="CI40" s="62" t="str">
        <f>IFERROR(Inv_SY_B!CI40/Inv_SY_B!$IS40-1,"")</f>
        <v/>
      </c>
      <c r="CJ40" s="62" t="str">
        <f>IFERROR(Inv_SY_B!CJ40/Inv_SY_B!$IS40-1,"")</f>
        <v/>
      </c>
      <c r="CK40" s="62" t="str">
        <f>IFERROR(Inv_SY_B!CK40/Inv_SY_B!$IS40-1,"")</f>
        <v/>
      </c>
      <c r="CL40" s="62" t="str">
        <f>IFERROR(Inv_SY_B!CL40/Inv_SY_B!$IS40-1,"")</f>
        <v/>
      </c>
      <c r="CM40" s="62" t="str">
        <f>IFERROR(Inv_SY_B!CM40/Inv_SY_B!$IS40-1,"")</f>
        <v/>
      </c>
      <c r="CN40" s="62" t="str">
        <f>IFERROR(Inv_SY_B!CN40/Inv_SY_B!$IS40-1,"")</f>
        <v/>
      </c>
      <c r="CO40" s="62" t="str">
        <f>IFERROR(Inv_SY_B!CO40/Inv_SY_B!$IS40-1,"")</f>
        <v/>
      </c>
      <c r="CP40" s="62" t="str">
        <f>IFERROR(Inv_SY_B!CP40/Inv_SY_B!$IS40-1,"")</f>
        <v/>
      </c>
      <c r="CQ40" s="62" t="str">
        <f>IFERROR(Inv_SY_B!CQ40/Inv_SY_B!$IS40-1,"")</f>
        <v/>
      </c>
      <c r="CR40" s="62" t="str">
        <f>IFERROR(Inv_SY_B!CR40/Inv_SY_B!$IS40-1,"")</f>
        <v/>
      </c>
      <c r="CS40" s="62" t="str">
        <f>IFERROR(Inv_SY_B!CS40/Inv_SY_B!$IS40-1,"")</f>
        <v/>
      </c>
      <c r="CT40" s="62" t="str">
        <f>IFERROR(Inv_SY_B!CT40/Inv_SY_B!$IS40-1,"")</f>
        <v/>
      </c>
      <c r="CU40" s="62" t="str">
        <f>IFERROR(Inv_SY_B!CU40/Inv_SY_B!$IS40-1,"")</f>
        <v/>
      </c>
      <c r="CV40" s="62" t="str">
        <f>IFERROR(Inv_SY_B!CV40/Inv_SY_B!$IS40-1,"")</f>
        <v/>
      </c>
      <c r="CW40" s="62" t="str">
        <f>IFERROR(Inv_SY_B!CW40/Inv_SY_B!$IS40-1,"")</f>
        <v/>
      </c>
      <c r="CX40" s="62" t="str">
        <f>IFERROR(Inv_SY_B!CX40/Inv_SY_B!$IS40-1,"")</f>
        <v/>
      </c>
      <c r="CY40" s="62" t="str">
        <f>IFERROR(Inv_SY_B!CY40/Inv_SY_B!$IS40-1,"")</f>
        <v/>
      </c>
      <c r="CZ40" s="62" t="str">
        <f>IFERROR(Inv_SY_B!CZ40/Inv_SY_B!$IS40-1,"")</f>
        <v/>
      </c>
      <c r="DA40" s="62" t="str">
        <f>IFERROR(Inv_SY_B!DA40/Inv_SY_B!$IS40-1,"")</f>
        <v/>
      </c>
      <c r="DB40" s="62" t="str">
        <f>IFERROR(Inv_SY_B!DB40/Inv_SY_B!$IS40-1,"")</f>
        <v/>
      </c>
      <c r="DC40" s="62" t="str">
        <f>IFERROR(Inv_SY_B!DC40/Inv_SY_B!$IS40-1,"")</f>
        <v/>
      </c>
      <c r="DD40" s="62" t="str">
        <f>IFERROR(Inv_SY_B!DD40/Inv_SY_B!$IS40-1,"")</f>
        <v/>
      </c>
      <c r="DE40" s="62" t="str">
        <f>IFERROR(Inv_SY_B!DE40/Inv_SY_B!$IS40-1,"")</f>
        <v/>
      </c>
      <c r="DF40" s="62" t="str">
        <f>IFERROR(Inv_SY_B!DF40/Inv_SY_B!$IS40-1,"")</f>
        <v/>
      </c>
      <c r="DG40" s="62" t="str">
        <f>IFERROR(Inv_SY_B!DG40/Inv_SY_B!$IS40-1,"")</f>
        <v/>
      </c>
      <c r="DH40" s="62" t="str">
        <f>IFERROR(Inv_SY_B!DH40/Inv_SY_B!$IS40-1,"")</f>
        <v/>
      </c>
      <c r="DI40" s="62" t="str">
        <f>IFERROR(Inv_SY_B!DI40/Inv_SY_B!$IS40-1,"")</f>
        <v/>
      </c>
      <c r="DJ40" s="62" t="str">
        <f>IFERROR(Inv_SY_B!DJ40/Inv_SY_B!$IS40-1,"")</f>
        <v/>
      </c>
      <c r="DK40" s="62" t="str">
        <f>IFERROR(Inv_SY_B!DK40/Inv_SY_B!$IS40-1,"")</f>
        <v/>
      </c>
      <c r="DL40" s="62" t="str">
        <f>IFERROR(Inv_SY_B!DL40/Inv_SY_B!$IS40-1,"")</f>
        <v/>
      </c>
      <c r="DM40" s="62" t="str">
        <f>IFERROR(Inv_SY_B!DM40/Inv_SY_B!$IS40-1,"")</f>
        <v/>
      </c>
      <c r="DN40" s="62" t="str">
        <f>IFERROR(Inv_SY_B!DN40/Inv_SY_B!$IS40-1,"")</f>
        <v/>
      </c>
      <c r="DO40" s="62" t="str">
        <f>IFERROR(Inv_SY_B!DO40/Inv_SY_B!$IS40-1,"")</f>
        <v/>
      </c>
      <c r="DP40" s="62" t="str">
        <f>IFERROR(Inv_SY_B!DP40/Inv_SY_B!$IS40-1,"")</f>
        <v/>
      </c>
      <c r="DQ40" s="62" t="str">
        <f>IFERROR(Inv_SY_B!DQ40/Inv_SY_B!$IS40-1,"")</f>
        <v/>
      </c>
      <c r="DR40" s="62" t="str">
        <f>IFERROR(Inv_SY_B!DR40/Inv_SY_B!$IS40-1,"")</f>
        <v/>
      </c>
      <c r="DS40" s="62" t="str">
        <f>IFERROR(Inv_SY_B!DS40/Inv_SY_B!$IS40-1,"")</f>
        <v/>
      </c>
      <c r="DT40" s="62" t="str">
        <f>IFERROR(Inv_SY_B!DT40/Inv_SY_B!$IS40-1,"")</f>
        <v/>
      </c>
      <c r="DU40" s="62" t="str">
        <f>IFERROR(Inv_SY_B!DU40/Inv_SY_B!$IS40-1,"")</f>
        <v/>
      </c>
      <c r="DV40" s="62" t="str">
        <f>IFERROR(Inv_SY_B!DV40/Inv_SY_B!$IS40-1,"")</f>
        <v/>
      </c>
      <c r="DW40" s="62" t="str">
        <f>IFERROR(Inv_SY_B!DW40/Inv_SY_B!$IS40-1,"")</f>
        <v/>
      </c>
      <c r="DX40" s="62" t="str">
        <f>IFERROR(Inv_SY_B!DX40/Inv_SY_B!$IS40-1,"")</f>
        <v/>
      </c>
      <c r="DY40" s="62" t="str">
        <f>IFERROR(Inv_SY_B!DY40/Inv_SY_B!$IS40-1,"")</f>
        <v/>
      </c>
      <c r="DZ40" s="62" t="str">
        <f>IFERROR(Inv_SY_B!DZ40/Inv_SY_B!$IS40-1,"")</f>
        <v/>
      </c>
      <c r="EA40" s="62" t="str">
        <f>IFERROR(Inv_SY_B!EA40/Inv_SY_B!$IS40-1,"")</f>
        <v/>
      </c>
      <c r="EB40" s="62" t="str">
        <f>IFERROR(Inv_SY_B!EB40/Inv_SY_B!$IS40-1,"")</f>
        <v/>
      </c>
      <c r="EC40" s="62" t="str">
        <f>IFERROR(Inv_SY_B!EC40/Inv_SY_B!$IS40-1,"")</f>
        <v/>
      </c>
      <c r="ED40" s="62" t="str">
        <f>IFERROR(Inv_SY_B!ED40/Inv_SY_B!$IS40-1,"")</f>
        <v/>
      </c>
      <c r="EE40" s="62" t="str">
        <f>IFERROR(Inv_SY_B!EE40/Inv_SY_B!$IS40-1,"")</f>
        <v/>
      </c>
      <c r="EF40" s="62" t="str">
        <f>IFERROR(Inv_SY_B!EF40/Inv_SY_B!$IS40-1,"")</f>
        <v/>
      </c>
      <c r="EG40" s="62" t="str">
        <f>IFERROR(Inv_SY_B!EG40/Inv_SY_B!$IS40-1,"")</f>
        <v/>
      </c>
      <c r="EH40" s="62" t="str">
        <f>IFERROR(Inv_SY_B!EH40/Inv_SY_B!$IS40-1,"")</f>
        <v/>
      </c>
      <c r="EI40" s="62" t="str">
        <f>IFERROR(Inv_SY_B!EI40/Inv_SY_B!$IS40-1,"")</f>
        <v/>
      </c>
      <c r="EJ40" s="62" t="str">
        <f>IFERROR(Inv_SY_B!EJ40/Inv_SY_B!$IS40-1,"")</f>
        <v/>
      </c>
      <c r="EK40" s="62" t="str">
        <f>IFERROR(Inv_SY_B!EK40/Inv_SY_B!$IS40-1,"")</f>
        <v/>
      </c>
      <c r="EL40" s="62" t="str">
        <f>IFERROR(Inv_SY_B!EL40/Inv_SY_B!$IS40-1,"")</f>
        <v/>
      </c>
      <c r="EM40" s="62" t="str">
        <f>IFERROR(Inv_SY_B!EM40/Inv_SY_B!$IS40-1,"")</f>
        <v/>
      </c>
      <c r="EN40" s="62" t="str">
        <f>IFERROR(Inv_SY_B!EN40/Inv_SY_B!$IS40-1,"")</f>
        <v/>
      </c>
      <c r="EO40" s="62" t="str">
        <f>IFERROR(Inv_SY_B!EO40/Inv_SY_B!$IS40-1,"")</f>
        <v/>
      </c>
      <c r="EP40" s="62" t="str">
        <f>IFERROR(Inv_SY_B!EP40/Inv_SY_B!$IS40-1,"")</f>
        <v/>
      </c>
      <c r="EQ40" s="62" t="str">
        <f>IFERROR(Inv_SY_B!EQ40/Inv_SY_B!$IS40-1,"")</f>
        <v/>
      </c>
      <c r="ER40" s="62" t="str">
        <f>IFERROR(Inv_SY_B!ER40/Inv_SY_B!$IS40-1,"")</f>
        <v/>
      </c>
      <c r="ES40" s="62" t="str">
        <f>IFERROR(Inv_SY_B!ES40/Inv_SY_B!$IS40-1,"")</f>
        <v/>
      </c>
      <c r="ET40" s="62" t="str">
        <f>IFERROR(Inv_SY_B!ET40/Inv_SY_B!$IS40-1,"")</f>
        <v/>
      </c>
      <c r="EU40" s="62" t="str">
        <f>IFERROR(Inv_SY_B!EU40/Inv_SY_B!$IS40-1,"")</f>
        <v/>
      </c>
      <c r="EV40" s="62" t="str">
        <f>IFERROR(Inv_SY_B!EV40/Inv_SY_B!$IS40-1,"")</f>
        <v/>
      </c>
      <c r="EW40" s="62" t="str">
        <f>IFERROR(Inv_SY_B!EW40/Inv_SY_B!$IS40-1,"")</f>
        <v/>
      </c>
      <c r="EX40" s="62" t="str">
        <f>IFERROR(Inv_SY_B!EX40/Inv_SY_B!$IS40-1,"")</f>
        <v/>
      </c>
      <c r="EY40" s="62" t="str">
        <f>IFERROR(Inv_SY_B!EY40/Inv_SY_B!$IS40-1,"")</f>
        <v/>
      </c>
      <c r="EZ40" s="62" t="str">
        <f>IFERROR(Inv_SY_B!EZ40/Inv_SY_B!$IS40-1,"")</f>
        <v/>
      </c>
      <c r="FA40" s="62" t="str">
        <f>IFERROR(Inv_SY_B!FA40/Inv_SY_B!$IS40-1,"")</f>
        <v/>
      </c>
      <c r="FB40" s="62" t="str">
        <f>IFERROR(Inv_SY_B!FB40/Inv_SY_B!$IS40-1,"")</f>
        <v/>
      </c>
      <c r="FC40" s="62" t="str">
        <f>IFERROR(Inv_SY_B!FC40/Inv_SY_B!$IS40-1,"")</f>
        <v/>
      </c>
      <c r="FD40" s="62" t="str">
        <f>IFERROR(Inv_SY_B!FD40/Inv_SY_B!$IS40-1,"")</f>
        <v/>
      </c>
      <c r="FE40" s="62" t="str">
        <f>IFERROR(Inv_SY_B!FE40/Inv_SY_B!$IS40-1,"")</f>
        <v/>
      </c>
      <c r="FF40" s="62" t="str">
        <f>IFERROR(Inv_SY_B!FF40/Inv_SY_B!$IS40-1,"")</f>
        <v/>
      </c>
      <c r="FG40" s="62" t="str">
        <f>IFERROR(Inv_SY_B!FG40/Inv_SY_B!$IS40-1,"")</f>
        <v/>
      </c>
      <c r="FH40" s="62" t="str">
        <f>IFERROR(Inv_SY_B!FH40/Inv_SY_B!$IS40-1,"")</f>
        <v/>
      </c>
      <c r="FI40" s="62" t="str">
        <f>IFERROR(Inv_SY_B!FI40/Inv_SY_B!$IS40-1,"")</f>
        <v/>
      </c>
      <c r="FJ40" s="62" t="str">
        <f>IFERROR(Inv_SY_B!FJ40/Inv_SY_B!$IS40-1,"")</f>
        <v/>
      </c>
      <c r="FK40" s="62" t="str">
        <f>IFERROR(Inv_SY_B!FK40/Inv_SY_B!$IS40-1,"")</f>
        <v/>
      </c>
      <c r="FL40" s="62" t="str">
        <f>IFERROR(Inv_SY_B!FL40/Inv_SY_B!$IS40-1,"")</f>
        <v/>
      </c>
      <c r="FM40" s="62" t="str">
        <f>IFERROR(Inv_SY_B!FM40/Inv_SY_B!$IS40-1,"")</f>
        <v/>
      </c>
      <c r="FN40" s="62" t="str">
        <f>IFERROR(Inv_SY_B!FN40/Inv_SY_B!$IS40-1,"")</f>
        <v/>
      </c>
      <c r="FO40" s="62" t="str">
        <f>IFERROR(Inv_SY_B!FO40/Inv_SY_B!$IS40-1,"")</f>
        <v/>
      </c>
      <c r="FP40" s="62" t="str">
        <f>IFERROR(Inv_SY_B!FP40/Inv_SY_B!$IS40-1,"")</f>
        <v/>
      </c>
      <c r="FQ40" s="62" t="str">
        <f>IFERROR(Inv_SY_B!FQ40/Inv_SY_B!$IS40-1,"")</f>
        <v/>
      </c>
      <c r="FR40" s="62" t="str">
        <f>IFERROR(Inv_SY_B!FR40/Inv_SY_B!$IS40-1,"")</f>
        <v/>
      </c>
      <c r="FS40" s="62" t="str">
        <f>IFERROR(Inv_SY_B!FS40/Inv_SY_B!$IS40-1,"")</f>
        <v/>
      </c>
      <c r="FT40" s="62" t="str">
        <f>IFERROR(Inv_SY_B!FT40/Inv_SY_B!$IS40-1,"")</f>
        <v/>
      </c>
      <c r="FU40" s="62" t="str">
        <f>IFERROR(Inv_SY_B!FU40/Inv_SY_B!$IS40-1,"")</f>
        <v/>
      </c>
      <c r="FV40" s="62" t="str">
        <f>IFERROR(Inv_SY_B!FV40/Inv_SY_B!$IS40-1,"")</f>
        <v/>
      </c>
      <c r="FW40" s="62" t="str">
        <f>IFERROR(Inv_SY_B!FW40/Inv_SY_B!$IS40-1,"")</f>
        <v/>
      </c>
      <c r="FX40" s="62" t="str">
        <f>IFERROR(Inv_SY_B!FX40/Inv_SY_B!$IS40-1,"")</f>
        <v/>
      </c>
      <c r="FY40" s="62" t="str">
        <f>IFERROR(Inv_SY_B!FY40/Inv_SY_B!$IS40-1,"")</f>
        <v/>
      </c>
      <c r="FZ40" s="62" t="str">
        <f>IFERROR(Inv_SY_B!FZ40/Inv_SY_B!$IS40-1,"")</f>
        <v/>
      </c>
      <c r="GA40" s="62" t="str">
        <f>IFERROR(Inv_SY_B!GA40/Inv_SY_B!$IS40-1,"")</f>
        <v/>
      </c>
      <c r="GB40" s="62" t="str">
        <f>IFERROR(Inv_SY_B!GB40/Inv_SY_B!$IS40-1,"")</f>
        <v/>
      </c>
      <c r="GC40" s="62" t="str">
        <f>IFERROR(Inv_SY_B!GC40/Inv_SY_B!$IS40-1,"")</f>
        <v/>
      </c>
      <c r="GD40" s="62" t="str">
        <f>IFERROR(Inv_SY_B!GD40/Inv_SY_B!$IS40-1,"")</f>
        <v/>
      </c>
      <c r="GE40" s="62" t="str">
        <f>IFERROR(Inv_SY_B!GE40/Inv_SY_B!$IS40-1,"")</f>
        <v/>
      </c>
      <c r="GF40" s="62" t="str">
        <f>IFERROR(Inv_SY_B!GF40/Inv_SY_B!$IS40-1,"")</f>
        <v/>
      </c>
      <c r="GG40" s="62" t="str">
        <f>IFERROR(Inv_SY_B!GG40/Inv_SY_B!$IS40-1,"")</f>
        <v/>
      </c>
      <c r="GH40" s="62" t="str">
        <f>IFERROR(Inv_SY_B!GH40/Inv_SY_B!$IS40-1,"")</f>
        <v/>
      </c>
      <c r="GI40" s="62" t="str">
        <f>IFERROR(Inv_SY_B!GI40/Inv_SY_B!$IS40-1,"")</f>
        <v/>
      </c>
      <c r="GJ40" s="62" t="str">
        <f>IFERROR(Inv_SY_B!GJ40/Inv_SY_B!$IS40-1,"")</f>
        <v/>
      </c>
      <c r="GK40" s="62" t="str">
        <f>IFERROR(Inv_SY_B!GK40/Inv_SY_B!$IS40-1,"")</f>
        <v/>
      </c>
      <c r="GL40" s="62" t="str">
        <f>IFERROR(Inv_SY_B!GL40/Inv_SY_B!$IS40-1,"")</f>
        <v/>
      </c>
      <c r="GM40" s="62" t="str">
        <f>IFERROR(Inv_SY_B!GM40/Inv_SY_B!$IS40-1,"")</f>
        <v/>
      </c>
      <c r="GN40" s="62" t="str">
        <f>IFERROR(Inv_SY_B!GN40/Inv_SY_B!$IS40-1,"")</f>
        <v/>
      </c>
      <c r="GO40" s="62" t="str">
        <f>IFERROR(Inv_SY_B!GO40/Inv_SY_B!$IS40-1,"")</f>
        <v/>
      </c>
      <c r="GP40" s="62" t="str">
        <f>IFERROR(Inv_SY_B!GP40/Inv_SY_B!$IS40-1,"")</f>
        <v/>
      </c>
      <c r="GQ40" s="62" t="str">
        <f>IFERROR(Inv_SY_B!GQ40/Inv_SY_B!$IS40-1,"")</f>
        <v/>
      </c>
      <c r="GR40" s="62" t="str">
        <f>IFERROR(Inv_SY_B!GR40/Inv_SY_B!$IS40-1,"")</f>
        <v/>
      </c>
      <c r="GS40" s="62" t="str">
        <f>IFERROR(Inv_SY_B!GS40/Inv_SY_B!$IS40-1,"")</f>
        <v/>
      </c>
      <c r="GT40" s="62" t="str">
        <f>IFERROR(Inv_SY_B!GT40/Inv_SY_B!$IS40-1,"")</f>
        <v/>
      </c>
      <c r="GU40" s="62" t="str">
        <f>IFERROR(Inv_SY_B!GU40/Inv_SY_B!$IS40-1,"")</f>
        <v/>
      </c>
      <c r="GV40" s="62" t="str">
        <f>IFERROR(Inv_SY_B!GV40/Inv_SY_B!$IS40-1,"")</f>
        <v/>
      </c>
      <c r="GW40" s="62" t="str">
        <f>IFERROR(Inv_SY_B!GW40/Inv_SY_B!$IS40-1,"")</f>
        <v/>
      </c>
      <c r="GX40" s="62" t="str">
        <f>IFERROR(Inv_SY_B!GX40/Inv_SY_B!$IS40-1,"")</f>
        <v/>
      </c>
      <c r="GY40" s="62" t="str">
        <f>IFERROR(Inv_SY_B!GY40/Inv_SY_B!$IS40-1,"")</f>
        <v/>
      </c>
      <c r="GZ40" s="62" t="str">
        <f>IFERROR(Inv_SY_B!GZ40/Inv_SY_B!$IS40-1,"")</f>
        <v/>
      </c>
      <c r="HA40" s="62" t="str">
        <f>IFERROR(Inv_SY_B!HA40/Inv_SY_B!$IS40-1,"")</f>
        <v/>
      </c>
      <c r="HB40" s="62" t="str">
        <f>IFERROR(Inv_SY_B!HB40/Inv_SY_B!$IS40-1,"")</f>
        <v/>
      </c>
      <c r="HC40" s="62" t="str">
        <f>IFERROR(Inv_SY_B!HC40/Inv_SY_B!$IS40-1,"")</f>
        <v/>
      </c>
      <c r="HD40" s="62" t="str">
        <f>IFERROR(Inv_SY_B!HD40/Inv_SY_B!$IS40-1,"")</f>
        <v/>
      </c>
      <c r="HE40" s="62" t="str">
        <f>IFERROR(Inv_SY_B!HE40/Inv_SY_B!$IS40-1,"")</f>
        <v/>
      </c>
      <c r="HF40" s="62" t="str">
        <f>IFERROR(Inv_SY_B!HF40/Inv_SY_B!$IS40-1,"")</f>
        <v/>
      </c>
      <c r="HG40" s="62" t="str">
        <f>IFERROR(Inv_SY_B!HG40/Inv_SY_B!$IS40-1,"")</f>
        <v/>
      </c>
      <c r="HH40" s="62" t="str">
        <f>IFERROR(Inv_SY_B!HH40/Inv_SY_B!$IS40-1,"")</f>
        <v/>
      </c>
      <c r="HI40" s="62" t="str">
        <f>IFERROR(Inv_SY_B!HI40/Inv_SY_B!$IS40-1,"")</f>
        <v/>
      </c>
      <c r="HJ40" s="62" t="str">
        <f>IFERROR(Inv_SY_B!HJ40/Inv_SY_B!$IS40-1,"")</f>
        <v/>
      </c>
      <c r="HK40" s="62" t="str">
        <f>IFERROR(Inv_SY_B!HK40/Inv_SY_B!$IS40-1,"")</f>
        <v/>
      </c>
      <c r="HL40" s="62" t="str">
        <f>IFERROR(Inv_SY_B!HL40/Inv_SY_B!$IS40-1,"")</f>
        <v/>
      </c>
      <c r="HM40" s="62" t="str">
        <f>IFERROR(Inv_SY_B!HM40/Inv_SY_B!$IS40-1,"")</f>
        <v/>
      </c>
      <c r="HN40" s="62" t="str">
        <f>IFERROR(Inv_SY_B!HN40/Inv_SY_B!$IS40-1,"")</f>
        <v/>
      </c>
      <c r="HO40" s="62" t="str">
        <f>IFERROR(Inv_SY_B!HO40/Inv_SY_B!$IS40-1,"")</f>
        <v/>
      </c>
      <c r="HP40" s="62" t="str">
        <f>IFERROR(Inv_SY_B!HP40/Inv_SY_B!$IS40-1,"")</f>
        <v/>
      </c>
      <c r="HQ40" s="62" t="str">
        <f>IFERROR(Inv_SY_B!HQ40/Inv_SY_B!$IS40-1,"")</f>
        <v/>
      </c>
      <c r="HR40" s="62" t="str">
        <f>IFERROR(Inv_SY_B!HR40/Inv_SY_B!$IS40-1,"")</f>
        <v/>
      </c>
      <c r="HS40" s="62" t="str">
        <f>IFERROR(Inv_SY_B!HS40/Inv_SY_B!$IS40-1,"")</f>
        <v/>
      </c>
      <c r="HT40" s="62" t="str">
        <f>IFERROR(Inv_SY_B!HT40/Inv_SY_B!$IS40-1,"")</f>
        <v/>
      </c>
      <c r="HU40" s="62" t="str">
        <f>IFERROR(Inv_SY_B!HU40/Inv_SY_B!$IS40-1,"")</f>
        <v/>
      </c>
      <c r="HV40" s="62" t="str">
        <f>IFERROR(Inv_SY_B!HV40/Inv_SY_B!$IS40-1,"")</f>
        <v/>
      </c>
      <c r="HW40" s="62" t="str">
        <f>IFERROR(Inv_SY_B!HW40/Inv_SY_B!$IS40-1,"")</f>
        <v/>
      </c>
      <c r="HX40" s="62" t="str">
        <f>IFERROR(Inv_SY_B!HX40/Inv_SY_B!$IS40-1,"")</f>
        <v/>
      </c>
      <c r="HY40" s="62" t="str">
        <f>IFERROR(Inv_SY_B!HY40/Inv_SY_B!$IS40-1,"")</f>
        <v/>
      </c>
      <c r="HZ40" s="62" t="str">
        <f>IFERROR(Inv_SY_B!HZ40/Inv_SY_B!$IS40-1,"")</f>
        <v/>
      </c>
      <c r="IA40" s="62" t="str">
        <f>IFERROR(Inv_SY_B!IA40/Inv_SY_B!$IS40-1,"")</f>
        <v/>
      </c>
      <c r="IB40" s="62" t="str">
        <f>IFERROR(Inv_SY_B!IB40/Inv_SY_B!$IS40-1,"")</f>
        <v/>
      </c>
      <c r="IC40" s="62" t="str">
        <f>IFERROR(Inv_SY_B!IC40/Inv_SY_B!$IS40-1,"")</f>
        <v/>
      </c>
      <c r="ID40" s="62" t="str">
        <f>IFERROR(Inv_SY_B!ID40/Inv_SY_B!$IS40-1,"")</f>
        <v/>
      </c>
      <c r="IE40" s="62" t="str">
        <f>IFERROR(Inv_SY_B!IE40/Inv_SY_B!$IS40-1,"")</f>
        <v/>
      </c>
      <c r="IF40" s="62" t="str">
        <f>IFERROR(Inv_SY_B!IF40/Inv_SY_B!$IS40-1,"")</f>
        <v/>
      </c>
      <c r="IG40" s="62" t="str">
        <f>IFERROR(Inv_SY_B!IG40/Inv_SY_B!$IS40-1,"")</f>
        <v/>
      </c>
      <c r="IH40" s="62" t="str">
        <f>IFERROR(Inv_SY_B!IH40/Inv_SY_B!$IS40-1,"")</f>
        <v/>
      </c>
      <c r="II40" s="62" t="str">
        <f>IFERROR(Inv_SY_B!II40/Inv_SY_B!$IS40-1,"")</f>
        <v/>
      </c>
      <c r="IJ40" s="62" t="str">
        <f>IFERROR(Inv_SY_B!IJ40/Inv_SY_B!$IS40-1,"")</f>
        <v/>
      </c>
      <c r="IK40" s="62" t="str">
        <f>IFERROR(Inv_SY_B!IK40/Inv_SY_B!$IS40-1,"")</f>
        <v/>
      </c>
      <c r="IL40" s="62" t="str">
        <f>IFERROR(Inv_SY_B!IL40/Inv_SY_B!$IS40-1,"")</f>
        <v/>
      </c>
      <c r="IM40" s="62" t="str">
        <f>IFERROR(Inv_SY_B!IM40/Inv_SY_B!$IS40-1,"")</f>
        <v/>
      </c>
      <c r="IN40" s="62" t="str">
        <f>IFERROR(Inv_SY_B!IN40/Inv_SY_B!$IS40-1,"")</f>
        <v/>
      </c>
      <c r="IO40" s="62" t="str">
        <f>IFERROR(Inv_SY_B!IO40/Inv_SY_B!$IS40-1,"")</f>
        <v/>
      </c>
      <c r="IP40" s="62" t="str">
        <f>IFERROR(Inv_SY_B!IP40/Inv_SY_B!$IS40-1,"")</f>
        <v/>
      </c>
      <c r="IQ40" s="62" t="str">
        <f>IFERROR(Inv_SY_B!IQ40/Inv_SY_B!$IS40-1,"")</f>
        <v/>
      </c>
      <c r="IR40" s="62" t="str">
        <f>IFERROR(Inv_SY_B!IR40/Inv_SY_B!$IS40-1,"")</f>
        <v/>
      </c>
    </row>
    <row r="41" spans="2:252" x14ac:dyDescent="0.25">
      <c r="B41" s="85">
        <f t="shared" si="0"/>
        <v>45867</v>
      </c>
      <c r="C41" s="62" t="str">
        <f>IFERROR(Inv_SY_B!C41/Inv_SY_B!$IS41-1,"")</f>
        <v/>
      </c>
      <c r="D41" s="62" t="str">
        <f>IFERROR(Inv_SY_B!D41/Inv_SY_B!$IS41-1,"")</f>
        <v/>
      </c>
      <c r="E41" s="62" t="str">
        <f>IFERROR(Inv_SY_B!E41/Inv_SY_B!$IS41-1,"")</f>
        <v/>
      </c>
      <c r="F41" s="62" t="str">
        <f>IFERROR(Inv_SY_B!F41/Inv_SY_B!$IS41-1,"")</f>
        <v/>
      </c>
      <c r="G41" s="62" t="str">
        <f>IFERROR(Inv_SY_B!G41/Inv_SY_B!$IS41-1,"")</f>
        <v/>
      </c>
      <c r="H41" s="62" t="str">
        <f>IFERROR(Inv_SY_B!H41/Inv_SY_B!$IS41-1,"")</f>
        <v/>
      </c>
      <c r="I41" s="62" t="str">
        <f>IFERROR(Inv_SY_B!I41/Inv_SY_B!$IS41-1,"")</f>
        <v/>
      </c>
      <c r="J41" s="62" t="str">
        <f>IFERROR(Inv_SY_B!J41/Inv_SY_B!$IS41-1,"")</f>
        <v/>
      </c>
      <c r="K41" s="62" t="str">
        <f>IFERROR(Inv_SY_B!K41/Inv_SY_B!$IS41-1,"")</f>
        <v/>
      </c>
      <c r="L41" s="62" t="str">
        <f>IFERROR(Inv_SY_B!L41/Inv_SY_B!$IS41-1,"")</f>
        <v/>
      </c>
      <c r="M41" s="62" t="str">
        <f>IFERROR(Inv_SY_B!M41/Inv_SY_B!$IS41-1,"")</f>
        <v/>
      </c>
      <c r="N41" s="62" t="str">
        <f>IFERROR(Inv_SY_B!N41/Inv_SY_B!$IS41-1,"")</f>
        <v/>
      </c>
      <c r="O41" s="62" t="str">
        <f>IFERROR(Inv_SY_B!O41/Inv_SY_B!$IS41-1,"")</f>
        <v/>
      </c>
      <c r="P41" s="62" t="str">
        <f>IFERROR(Inv_SY_B!P41/Inv_SY_B!$IS41-1,"")</f>
        <v/>
      </c>
      <c r="Q41" s="62" t="str">
        <f>IFERROR(Inv_SY_B!Q41/Inv_SY_B!$IS41-1,"")</f>
        <v/>
      </c>
      <c r="R41" s="62" t="str">
        <f>IFERROR(Inv_SY_B!R41/Inv_SY_B!$IS41-1,"")</f>
        <v/>
      </c>
      <c r="S41" s="62" t="str">
        <f>IFERROR(Inv_SY_B!S41/Inv_SY_B!$IS41-1,"")</f>
        <v/>
      </c>
      <c r="T41" s="62" t="str">
        <f>IFERROR(Inv_SY_B!T41/Inv_SY_B!$IS41-1,"")</f>
        <v/>
      </c>
      <c r="U41" s="62" t="str">
        <f>IFERROR(Inv_SY_B!U41/Inv_SY_B!$IS41-1,"")</f>
        <v/>
      </c>
      <c r="V41" s="62" t="str">
        <f>IFERROR(Inv_SY_B!V41/Inv_SY_B!$IS41-1,"")</f>
        <v/>
      </c>
      <c r="W41" s="62" t="str">
        <f>IFERROR(Inv_SY_B!W41/Inv_SY_B!$IS41-1,"")</f>
        <v/>
      </c>
      <c r="X41" s="62" t="str">
        <f>IFERROR(Inv_SY_B!X41/Inv_SY_B!$IS41-1,"")</f>
        <v/>
      </c>
      <c r="Y41" s="62" t="str">
        <f>IFERROR(Inv_SY_B!Y41/Inv_SY_B!$IS41-1,"")</f>
        <v/>
      </c>
      <c r="Z41" s="62" t="str">
        <f>IFERROR(Inv_SY_B!Z41/Inv_SY_B!$IS41-1,"")</f>
        <v/>
      </c>
      <c r="AA41" s="62" t="str">
        <f>IFERROR(Inv_SY_B!AA41/Inv_SY_B!$IS41-1,"")</f>
        <v/>
      </c>
      <c r="AB41" s="62" t="str">
        <f>IFERROR(Inv_SY_B!AB41/Inv_SY_B!$IS41-1,"")</f>
        <v/>
      </c>
      <c r="AC41" s="62" t="str">
        <f>IFERROR(Inv_SY_B!AC41/Inv_SY_B!$IS41-1,"")</f>
        <v/>
      </c>
      <c r="AD41" s="62" t="str">
        <f>IFERROR(Inv_SY_B!AD41/Inv_SY_B!$IS41-1,"")</f>
        <v/>
      </c>
      <c r="AE41" s="62" t="str">
        <f>IFERROR(Inv_SY_B!AE41/Inv_SY_B!$IS41-1,"")</f>
        <v/>
      </c>
      <c r="AF41" s="62" t="str">
        <f>IFERROR(Inv_SY_B!AF41/Inv_SY_B!$IS41-1,"")</f>
        <v/>
      </c>
      <c r="AG41" s="62" t="str">
        <f>IFERROR(Inv_SY_B!AG41/Inv_SY_B!$IS41-1,"")</f>
        <v/>
      </c>
      <c r="AH41" s="62" t="str">
        <f>IFERROR(Inv_SY_B!AH41/Inv_SY_B!$IS41-1,"")</f>
        <v/>
      </c>
      <c r="AI41" s="62" t="str">
        <f>IFERROR(Inv_SY_B!AI41/Inv_SY_B!$IS41-1,"")</f>
        <v/>
      </c>
      <c r="AJ41" s="62" t="str">
        <f>IFERROR(Inv_SY_B!AJ41/Inv_SY_B!$IS41-1,"")</f>
        <v/>
      </c>
      <c r="AK41" s="62" t="str">
        <f>IFERROR(Inv_SY_B!AK41/Inv_SY_B!$IS41-1,"")</f>
        <v/>
      </c>
      <c r="AL41" s="62" t="str">
        <f>IFERROR(Inv_SY_B!AL41/Inv_SY_B!$IS41-1,"")</f>
        <v/>
      </c>
      <c r="AM41" s="62" t="str">
        <f>IFERROR(Inv_SY_B!AM41/Inv_SY_B!$IS41-1,"")</f>
        <v/>
      </c>
      <c r="AN41" s="62" t="str">
        <f>IFERROR(Inv_SY_B!AN41/Inv_SY_B!$IS41-1,"")</f>
        <v/>
      </c>
      <c r="AO41" s="62" t="str">
        <f>IFERROR(Inv_SY_B!AO41/Inv_SY_B!$IS41-1,"")</f>
        <v/>
      </c>
      <c r="AP41" s="62" t="str">
        <f>IFERROR(Inv_SY_B!AP41/Inv_SY_B!$IS41-1,"")</f>
        <v/>
      </c>
      <c r="AQ41" s="62" t="str">
        <f>IFERROR(Inv_SY_B!AQ41/Inv_SY_B!$IS41-1,"")</f>
        <v/>
      </c>
      <c r="AR41" s="62" t="str">
        <f>IFERROR(Inv_SY_B!AR41/Inv_SY_B!$IS41-1,"")</f>
        <v/>
      </c>
      <c r="AS41" s="62" t="str">
        <f>IFERROR(Inv_SY_B!AS41/Inv_SY_B!$IS41-1,"")</f>
        <v/>
      </c>
      <c r="AT41" s="62" t="str">
        <f>IFERROR(Inv_SY_B!AT41/Inv_SY_B!$IS41-1,"")</f>
        <v/>
      </c>
      <c r="AU41" s="62" t="str">
        <f>IFERROR(Inv_SY_B!AU41/Inv_SY_B!$IS41-1,"")</f>
        <v/>
      </c>
      <c r="AV41" s="62" t="str">
        <f>IFERROR(Inv_SY_B!AV41/Inv_SY_B!$IS41-1,"")</f>
        <v/>
      </c>
      <c r="AW41" s="62" t="str">
        <f>IFERROR(Inv_SY_B!AW41/Inv_SY_B!$IS41-1,"")</f>
        <v/>
      </c>
      <c r="AX41" s="62" t="str">
        <f>IFERROR(Inv_SY_B!AX41/Inv_SY_B!$IS41-1,"")</f>
        <v/>
      </c>
      <c r="AY41" s="62" t="str">
        <f>IFERROR(Inv_SY_B!AY41/Inv_SY_B!$IS41-1,"")</f>
        <v/>
      </c>
      <c r="AZ41" s="62" t="str">
        <f>IFERROR(Inv_SY_B!AZ41/Inv_SY_B!$IS41-1,"")</f>
        <v/>
      </c>
      <c r="BA41" s="62" t="str">
        <f>IFERROR(Inv_SY_B!BA41/Inv_SY_B!$IS41-1,"")</f>
        <v/>
      </c>
      <c r="BB41" s="62" t="str">
        <f>IFERROR(Inv_SY_B!BB41/Inv_SY_B!$IS41-1,"")</f>
        <v/>
      </c>
      <c r="BC41" s="62" t="str">
        <f>IFERROR(Inv_SY_B!BC41/Inv_SY_B!$IS41-1,"")</f>
        <v/>
      </c>
      <c r="BD41" s="62" t="str">
        <f>IFERROR(Inv_SY_B!BD41/Inv_SY_B!$IS41-1,"")</f>
        <v/>
      </c>
      <c r="BE41" s="62" t="str">
        <f>IFERROR(Inv_SY_B!BE41/Inv_SY_B!$IS41-1,"")</f>
        <v/>
      </c>
      <c r="BF41" s="62" t="str">
        <f>IFERROR(Inv_SY_B!BF41/Inv_SY_B!$IS41-1,"")</f>
        <v/>
      </c>
      <c r="BG41" s="62" t="str">
        <f>IFERROR(Inv_SY_B!BG41/Inv_SY_B!$IS41-1,"")</f>
        <v/>
      </c>
      <c r="BH41" s="62" t="str">
        <f>IFERROR(Inv_SY_B!BH41/Inv_SY_B!$IS41-1,"")</f>
        <v/>
      </c>
      <c r="BI41" s="62" t="str">
        <f>IFERROR(Inv_SY_B!BI41/Inv_SY_B!$IS41-1,"")</f>
        <v/>
      </c>
      <c r="BJ41" s="62" t="str">
        <f>IFERROR(Inv_SY_B!BJ41/Inv_SY_B!$IS41-1,"")</f>
        <v/>
      </c>
      <c r="BK41" s="62" t="str">
        <f>IFERROR(Inv_SY_B!BK41/Inv_SY_B!$IS41-1,"")</f>
        <v/>
      </c>
      <c r="BL41" s="62" t="str">
        <f>IFERROR(Inv_SY_B!BL41/Inv_SY_B!$IS41-1,"")</f>
        <v/>
      </c>
      <c r="BM41" s="62" t="str">
        <f>IFERROR(Inv_SY_B!BM41/Inv_SY_B!$IS41-1,"")</f>
        <v/>
      </c>
      <c r="BN41" s="62" t="str">
        <f>IFERROR(Inv_SY_B!BN41/Inv_SY_B!$IS41-1,"")</f>
        <v/>
      </c>
      <c r="BO41" s="62" t="str">
        <f>IFERROR(Inv_SY_B!BO41/Inv_SY_B!$IS41-1,"")</f>
        <v/>
      </c>
      <c r="BP41" s="62" t="str">
        <f>IFERROR(Inv_SY_B!BP41/Inv_SY_B!$IS41-1,"")</f>
        <v/>
      </c>
      <c r="BQ41" s="62" t="str">
        <f>IFERROR(Inv_SY_B!BQ41/Inv_SY_B!$IS41-1,"")</f>
        <v/>
      </c>
      <c r="BR41" s="62" t="str">
        <f>IFERROR(Inv_SY_B!BR41/Inv_SY_B!$IS41-1,"")</f>
        <v/>
      </c>
      <c r="BS41" s="62" t="str">
        <f>IFERROR(Inv_SY_B!BS41/Inv_SY_B!$IS41-1,"")</f>
        <v/>
      </c>
      <c r="BT41" s="62" t="str">
        <f>IFERROR(Inv_SY_B!BT41/Inv_SY_B!$IS41-1,"")</f>
        <v/>
      </c>
      <c r="BU41" s="62" t="str">
        <f>IFERROR(Inv_SY_B!BU41/Inv_SY_B!$IS41-1,"")</f>
        <v/>
      </c>
      <c r="BV41" s="62" t="str">
        <f>IFERROR(Inv_SY_B!BV41/Inv_SY_B!$IS41-1,"")</f>
        <v/>
      </c>
      <c r="BW41" s="62" t="str">
        <f>IFERROR(Inv_SY_B!BW41/Inv_SY_B!$IS41-1,"")</f>
        <v/>
      </c>
      <c r="BX41" s="62" t="str">
        <f>IFERROR(Inv_SY_B!BX41/Inv_SY_B!$IS41-1,"")</f>
        <v/>
      </c>
      <c r="BY41" s="62" t="str">
        <f>IFERROR(Inv_SY_B!BY41/Inv_SY_B!$IS41-1,"")</f>
        <v/>
      </c>
      <c r="BZ41" s="62" t="str">
        <f>IFERROR(Inv_SY_B!BZ41/Inv_SY_B!$IS41-1,"")</f>
        <v/>
      </c>
      <c r="CA41" s="62" t="str">
        <f>IFERROR(Inv_SY_B!CA41/Inv_SY_B!$IS41-1,"")</f>
        <v/>
      </c>
      <c r="CB41" s="62" t="str">
        <f>IFERROR(Inv_SY_B!CB41/Inv_SY_B!$IS41-1,"")</f>
        <v/>
      </c>
      <c r="CC41" s="62" t="str">
        <f>IFERROR(Inv_SY_B!CC41/Inv_SY_B!$IS41-1,"")</f>
        <v/>
      </c>
      <c r="CD41" s="62" t="str">
        <f>IFERROR(Inv_SY_B!CD41/Inv_SY_B!$IS41-1,"")</f>
        <v/>
      </c>
      <c r="CE41" s="62" t="str">
        <f>IFERROR(Inv_SY_B!CE41/Inv_SY_B!$IS41-1,"")</f>
        <v/>
      </c>
      <c r="CF41" s="62" t="str">
        <f>IFERROR(Inv_SY_B!CF41/Inv_SY_B!$IS41-1,"")</f>
        <v/>
      </c>
      <c r="CG41" s="62" t="str">
        <f>IFERROR(Inv_SY_B!CG41/Inv_SY_B!$IS41-1,"")</f>
        <v/>
      </c>
      <c r="CH41" s="62" t="str">
        <f>IFERROR(Inv_SY_B!CH41/Inv_SY_B!$IS41-1,"")</f>
        <v/>
      </c>
      <c r="CI41" s="62" t="str">
        <f>IFERROR(Inv_SY_B!CI41/Inv_SY_B!$IS41-1,"")</f>
        <v/>
      </c>
      <c r="CJ41" s="62" t="str">
        <f>IFERROR(Inv_SY_B!CJ41/Inv_SY_B!$IS41-1,"")</f>
        <v/>
      </c>
      <c r="CK41" s="62" t="str">
        <f>IFERROR(Inv_SY_B!CK41/Inv_SY_B!$IS41-1,"")</f>
        <v/>
      </c>
      <c r="CL41" s="62" t="str">
        <f>IFERROR(Inv_SY_B!CL41/Inv_SY_B!$IS41-1,"")</f>
        <v/>
      </c>
      <c r="CM41" s="62" t="str">
        <f>IFERROR(Inv_SY_B!CM41/Inv_SY_B!$IS41-1,"")</f>
        <v/>
      </c>
      <c r="CN41" s="62" t="str">
        <f>IFERROR(Inv_SY_B!CN41/Inv_SY_B!$IS41-1,"")</f>
        <v/>
      </c>
      <c r="CO41" s="62" t="str">
        <f>IFERROR(Inv_SY_B!CO41/Inv_SY_B!$IS41-1,"")</f>
        <v/>
      </c>
      <c r="CP41" s="62" t="str">
        <f>IFERROR(Inv_SY_B!CP41/Inv_SY_B!$IS41-1,"")</f>
        <v/>
      </c>
      <c r="CQ41" s="62" t="str">
        <f>IFERROR(Inv_SY_B!CQ41/Inv_SY_B!$IS41-1,"")</f>
        <v/>
      </c>
      <c r="CR41" s="62" t="str">
        <f>IFERROR(Inv_SY_B!CR41/Inv_SY_B!$IS41-1,"")</f>
        <v/>
      </c>
      <c r="CS41" s="62" t="str">
        <f>IFERROR(Inv_SY_B!CS41/Inv_SY_B!$IS41-1,"")</f>
        <v/>
      </c>
      <c r="CT41" s="62" t="str">
        <f>IFERROR(Inv_SY_B!CT41/Inv_SY_B!$IS41-1,"")</f>
        <v/>
      </c>
      <c r="CU41" s="62" t="str">
        <f>IFERROR(Inv_SY_B!CU41/Inv_SY_B!$IS41-1,"")</f>
        <v/>
      </c>
      <c r="CV41" s="62" t="str">
        <f>IFERROR(Inv_SY_B!CV41/Inv_SY_B!$IS41-1,"")</f>
        <v/>
      </c>
      <c r="CW41" s="62" t="str">
        <f>IFERROR(Inv_SY_B!CW41/Inv_SY_B!$IS41-1,"")</f>
        <v/>
      </c>
      <c r="CX41" s="62" t="str">
        <f>IFERROR(Inv_SY_B!CX41/Inv_SY_B!$IS41-1,"")</f>
        <v/>
      </c>
      <c r="CY41" s="62" t="str">
        <f>IFERROR(Inv_SY_B!CY41/Inv_SY_B!$IS41-1,"")</f>
        <v/>
      </c>
      <c r="CZ41" s="62" t="str">
        <f>IFERROR(Inv_SY_B!CZ41/Inv_SY_B!$IS41-1,"")</f>
        <v/>
      </c>
      <c r="DA41" s="62" t="str">
        <f>IFERROR(Inv_SY_B!DA41/Inv_SY_B!$IS41-1,"")</f>
        <v/>
      </c>
      <c r="DB41" s="62" t="str">
        <f>IFERROR(Inv_SY_B!DB41/Inv_SY_B!$IS41-1,"")</f>
        <v/>
      </c>
      <c r="DC41" s="62" t="str">
        <f>IFERROR(Inv_SY_B!DC41/Inv_SY_B!$IS41-1,"")</f>
        <v/>
      </c>
      <c r="DD41" s="62" t="str">
        <f>IFERROR(Inv_SY_B!DD41/Inv_SY_B!$IS41-1,"")</f>
        <v/>
      </c>
      <c r="DE41" s="62" t="str">
        <f>IFERROR(Inv_SY_B!DE41/Inv_SY_B!$IS41-1,"")</f>
        <v/>
      </c>
      <c r="DF41" s="62" t="str">
        <f>IFERROR(Inv_SY_B!DF41/Inv_SY_B!$IS41-1,"")</f>
        <v/>
      </c>
      <c r="DG41" s="62" t="str">
        <f>IFERROR(Inv_SY_B!DG41/Inv_SY_B!$IS41-1,"")</f>
        <v/>
      </c>
      <c r="DH41" s="62" t="str">
        <f>IFERROR(Inv_SY_B!DH41/Inv_SY_B!$IS41-1,"")</f>
        <v/>
      </c>
      <c r="DI41" s="62" t="str">
        <f>IFERROR(Inv_SY_B!DI41/Inv_SY_B!$IS41-1,"")</f>
        <v/>
      </c>
      <c r="DJ41" s="62" t="str">
        <f>IFERROR(Inv_SY_B!DJ41/Inv_SY_B!$IS41-1,"")</f>
        <v/>
      </c>
      <c r="DK41" s="62" t="str">
        <f>IFERROR(Inv_SY_B!DK41/Inv_SY_B!$IS41-1,"")</f>
        <v/>
      </c>
      <c r="DL41" s="62" t="str">
        <f>IFERROR(Inv_SY_B!DL41/Inv_SY_B!$IS41-1,"")</f>
        <v/>
      </c>
      <c r="DM41" s="62" t="str">
        <f>IFERROR(Inv_SY_B!DM41/Inv_SY_B!$IS41-1,"")</f>
        <v/>
      </c>
      <c r="DN41" s="62" t="str">
        <f>IFERROR(Inv_SY_B!DN41/Inv_SY_B!$IS41-1,"")</f>
        <v/>
      </c>
      <c r="DO41" s="62" t="str">
        <f>IFERROR(Inv_SY_B!DO41/Inv_SY_B!$IS41-1,"")</f>
        <v/>
      </c>
      <c r="DP41" s="62" t="str">
        <f>IFERROR(Inv_SY_B!DP41/Inv_SY_B!$IS41-1,"")</f>
        <v/>
      </c>
      <c r="DQ41" s="62" t="str">
        <f>IFERROR(Inv_SY_B!DQ41/Inv_SY_B!$IS41-1,"")</f>
        <v/>
      </c>
      <c r="DR41" s="62" t="str">
        <f>IFERROR(Inv_SY_B!DR41/Inv_SY_B!$IS41-1,"")</f>
        <v/>
      </c>
      <c r="DS41" s="62" t="str">
        <f>IFERROR(Inv_SY_B!DS41/Inv_SY_B!$IS41-1,"")</f>
        <v/>
      </c>
      <c r="DT41" s="62" t="str">
        <f>IFERROR(Inv_SY_B!DT41/Inv_SY_B!$IS41-1,"")</f>
        <v/>
      </c>
      <c r="DU41" s="62" t="str">
        <f>IFERROR(Inv_SY_B!DU41/Inv_SY_B!$IS41-1,"")</f>
        <v/>
      </c>
      <c r="DV41" s="62" t="str">
        <f>IFERROR(Inv_SY_B!DV41/Inv_SY_B!$IS41-1,"")</f>
        <v/>
      </c>
      <c r="DW41" s="62" t="str">
        <f>IFERROR(Inv_SY_B!DW41/Inv_SY_B!$IS41-1,"")</f>
        <v/>
      </c>
      <c r="DX41" s="62" t="str">
        <f>IFERROR(Inv_SY_B!DX41/Inv_SY_B!$IS41-1,"")</f>
        <v/>
      </c>
      <c r="DY41" s="62" t="str">
        <f>IFERROR(Inv_SY_B!DY41/Inv_SY_B!$IS41-1,"")</f>
        <v/>
      </c>
      <c r="DZ41" s="62" t="str">
        <f>IFERROR(Inv_SY_B!DZ41/Inv_SY_B!$IS41-1,"")</f>
        <v/>
      </c>
      <c r="EA41" s="62" t="str">
        <f>IFERROR(Inv_SY_B!EA41/Inv_SY_B!$IS41-1,"")</f>
        <v/>
      </c>
      <c r="EB41" s="62" t="str">
        <f>IFERROR(Inv_SY_B!EB41/Inv_SY_B!$IS41-1,"")</f>
        <v/>
      </c>
      <c r="EC41" s="62" t="str">
        <f>IFERROR(Inv_SY_B!EC41/Inv_SY_B!$IS41-1,"")</f>
        <v/>
      </c>
      <c r="ED41" s="62" t="str">
        <f>IFERROR(Inv_SY_B!ED41/Inv_SY_B!$IS41-1,"")</f>
        <v/>
      </c>
      <c r="EE41" s="62" t="str">
        <f>IFERROR(Inv_SY_B!EE41/Inv_SY_B!$IS41-1,"")</f>
        <v/>
      </c>
      <c r="EF41" s="62" t="str">
        <f>IFERROR(Inv_SY_B!EF41/Inv_SY_B!$IS41-1,"")</f>
        <v/>
      </c>
      <c r="EG41" s="62" t="str">
        <f>IFERROR(Inv_SY_B!EG41/Inv_SY_B!$IS41-1,"")</f>
        <v/>
      </c>
      <c r="EH41" s="62" t="str">
        <f>IFERROR(Inv_SY_B!EH41/Inv_SY_B!$IS41-1,"")</f>
        <v/>
      </c>
      <c r="EI41" s="62" t="str">
        <f>IFERROR(Inv_SY_B!EI41/Inv_SY_B!$IS41-1,"")</f>
        <v/>
      </c>
      <c r="EJ41" s="62" t="str">
        <f>IFERROR(Inv_SY_B!EJ41/Inv_SY_B!$IS41-1,"")</f>
        <v/>
      </c>
      <c r="EK41" s="62" t="str">
        <f>IFERROR(Inv_SY_B!EK41/Inv_SY_B!$IS41-1,"")</f>
        <v/>
      </c>
      <c r="EL41" s="62" t="str">
        <f>IFERROR(Inv_SY_B!EL41/Inv_SY_B!$IS41-1,"")</f>
        <v/>
      </c>
      <c r="EM41" s="62" t="str">
        <f>IFERROR(Inv_SY_B!EM41/Inv_SY_B!$IS41-1,"")</f>
        <v/>
      </c>
      <c r="EN41" s="62" t="str">
        <f>IFERROR(Inv_SY_B!EN41/Inv_SY_B!$IS41-1,"")</f>
        <v/>
      </c>
      <c r="EO41" s="62" t="str">
        <f>IFERROR(Inv_SY_B!EO41/Inv_SY_B!$IS41-1,"")</f>
        <v/>
      </c>
      <c r="EP41" s="62" t="str">
        <f>IFERROR(Inv_SY_B!EP41/Inv_SY_B!$IS41-1,"")</f>
        <v/>
      </c>
      <c r="EQ41" s="62" t="str">
        <f>IFERROR(Inv_SY_B!EQ41/Inv_SY_B!$IS41-1,"")</f>
        <v/>
      </c>
      <c r="ER41" s="62" t="str">
        <f>IFERROR(Inv_SY_B!ER41/Inv_SY_B!$IS41-1,"")</f>
        <v/>
      </c>
      <c r="ES41" s="62" t="str">
        <f>IFERROR(Inv_SY_B!ES41/Inv_SY_B!$IS41-1,"")</f>
        <v/>
      </c>
      <c r="ET41" s="62" t="str">
        <f>IFERROR(Inv_SY_B!ET41/Inv_SY_B!$IS41-1,"")</f>
        <v/>
      </c>
      <c r="EU41" s="62" t="str">
        <f>IFERROR(Inv_SY_B!EU41/Inv_SY_B!$IS41-1,"")</f>
        <v/>
      </c>
      <c r="EV41" s="62" t="str">
        <f>IFERROR(Inv_SY_B!EV41/Inv_SY_B!$IS41-1,"")</f>
        <v/>
      </c>
      <c r="EW41" s="62" t="str">
        <f>IFERROR(Inv_SY_B!EW41/Inv_SY_B!$IS41-1,"")</f>
        <v/>
      </c>
      <c r="EX41" s="62" t="str">
        <f>IFERROR(Inv_SY_B!EX41/Inv_SY_B!$IS41-1,"")</f>
        <v/>
      </c>
      <c r="EY41" s="62" t="str">
        <f>IFERROR(Inv_SY_B!EY41/Inv_SY_B!$IS41-1,"")</f>
        <v/>
      </c>
      <c r="EZ41" s="62" t="str">
        <f>IFERROR(Inv_SY_B!EZ41/Inv_SY_B!$IS41-1,"")</f>
        <v/>
      </c>
      <c r="FA41" s="62" t="str">
        <f>IFERROR(Inv_SY_B!FA41/Inv_SY_B!$IS41-1,"")</f>
        <v/>
      </c>
      <c r="FB41" s="62" t="str">
        <f>IFERROR(Inv_SY_B!FB41/Inv_SY_B!$IS41-1,"")</f>
        <v/>
      </c>
      <c r="FC41" s="62" t="str">
        <f>IFERROR(Inv_SY_B!FC41/Inv_SY_B!$IS41-1,"")</f>
        <v/>
      </c>
      <c r="FD41" s="62" t="str">
        <f>IFERROR(Inv_SY_B!FD41/Inv_SY_B!$IS41-1,"")</f>
        <v/>
      </c>
      <c r="FE41" s="62" t="str">
        <f>IFERROR(Inv_SY_B!FE41/Inv_SY_B!$IS41-1,"")</f>
        <v/>
      </c>
      <c r="FF41" s="62" t="str">
        <f>IFERROR(Inv_SY_B!FF41/Inv_SY_B!$IS41-1,"")</f>
        <v/>
      </c>
      <c r="FG41" s="62" t="str">
        <f>IFERROR(Inv_SY_B!FG41/Inv_SY_B!$IS41-1,"")</f>
        <v/>
      </c>
      <c r="FH41" s="62" t="str">
        <f>IFERROR(Inv_SY_B!FH41/Inv_SY_B!$IS41-1,"")</f>
        <v/>
      </c>
      <c r="FI41" s="62" t="str">
        <f>IFERROR(Inv_SY_B!FI41/Inv_SY_B!$IS41-1,"")</f>
        <v/>
      </c>
      <c r="FJ41" s="62" t="str">
        <f>IFERROR(Inv_SY_B!FJ41/Inv_SY_B!$IS41-1,"")</f>
        <v/>
      </c>
      <c r="FK41" s="62" t="str">
        <f>IFERROR(Inv_SY_B!FK41/Inv_SY_B!$IS41-1,"")</f>
        <v/>
      </c>
      <c r="FL41" s="62" t="str">
        <f>IFERROR(Inv_SY_B!FL41/Inv_SY_B!$IS41-1,"")</f>
        <v/>
      </c>
      <c r="FM41" s="62" t="str">
        <f>IFERROR(Inv_SY_B!FM41/Inv_SY_B!$IS41-1,"")</f>
        <v/>
      </c>
      <c r="FN41" s="62" t="str">
        <f>IFERROR(Inv_SY_B!FN41/Inv_SY_B!$IS41-1,"")</f>
        <v/>
      </c>
      <c r="FO41" s="62" t="str">
        <f>IFERROR(Inv_SY_B!FO41/Inv_SY_B!$IS41-1,"")</f>
        <v/>
      </c>
      <c r="FP41" s="62" t="str">
        <f>IFERROR(Inv_SY_B!FP41/Inv_SY_B!$IS41-1,"")</f>
        <v/>
      </c>
      <c r="FQ41" s="62" t="str">
        <f>IFERROR(Inv_SY_B!FQ41/Inv_SY_B!$IS41-1,"")</f>
        <v/>
      </c>
      <c r="FR41" s="62" t="str">
        <f>IFERROR(Inv_SY_B!FR41/Inv_SY_B!$IS41-1,"")</f>
        <v/>
      </c>
      <c r="FS41" s="62" t="str">
        <f>IFERROR(Inv_SY_B!FS41/Inv_SY_B!$IS41-1,"")</f>
        <v/>
      </c>
      <c r="FT41" s="62" t="str">
        <f>IFERROR(Inv_SY_B!FT41/Inv_SY_B!$IS41-1,"")</f>
        <v/>
      </c>
      <c r="FU41" s="62" t="str">
        <f>IFERROR(Inv_SY_B!FU41/Inv_SY_B!$IS41-1,"")</f>
        <v/>
      </c>
      <c r="FV41" s="62" t="str">
        <f>IFERROR(Inv_SY_B!FV41/Inv_SY_B!$IS41-1,"")</f>
        <v/>
      </c>
      <c r="FW41" s="62" t="str">
        <f>IFERROR(Inv_SY_B!FW41/Inv_SY_B!$IS41-1,"")</f>
        <v/>
      </c>
      <c r="FX41" s="62" t="str">
        <f>IFERROR(Inv_SY_B!FX41/Inv_SY_B!$IS41-1,"")</f>
        <v/>
      </c>
      <c r="FY41" s="62" t="str">
        <f>IFERROR(Inv_SY_B!FY41/Inv_SY_B!$IS41-1,"")</f>
        <v/>
      </c>
      <c r="FZ41" s="62" t="str">
        <f>IFERROR(Inv_SY_B!FZ41/Inv_SY_B!$IS41-1,"")</f>
        <v/>
      </c>
      <c r="GA41" s="62" t="str">
        <f>IFERROR(Inv_SY_B!GA41/Inv_SY_B!$IS41-1,"")</f>
        <v/>
      </c>
      <c r="GB41" s="62" t="str">
        <f>IFERROR(Inv_SY_B!GB41/Inv_SY_B!$IS41-1,"")</f>
        <v/>
      </c>
      <c r="GC41" s="62" t="str">
        <f>IFERROR(Inv_SY_B!GC41/Inv_SY_B!$IS41-1,"")</f>
        <v/>
      </c>
      <c r="GD41" s="62" t="str">
        <f>IFERROR(Inv_SY_B!GD41/Inv_SY_B!$IS41-1,"")</f>
        <v/>
      </c>
      <c r="GE41" s="62" t="str">
        <f>IFERROR(Inv_SY_B!GE41/Inv_SY_B!$IS41-1,"")</f>
        <v/>
      </c>
      <c r="GF41" s="62" t="str">
        <f>IFERROR(Inv_SY_B!GF41/Inv_SY_B!$IS41-1,"")</f>
        <v/>
      </c>
      <c r="GG41" s="62" t="str">
        <f>IFERROR(Inv_SY_B!GG41/Inv_SY_B!$IS41-1,"")</f>
        <v/>
      </c>
      <c r="GH41" s="62" t="str">
        <f>IFERROR(Inv_SY_B!GH41/Inv_SY_B!$IS41-1,"")</f>
        <v/>
      </c>
      <c r="GI41" s="62" t="str">
        <f>IFERROR(Inv_SY_B!GI41/Inv_SY_B!$IS41-1,"")</f>
        <v/>
      </c>
      <c r="GJ41" s="62" t="str">
        <f>IFERROR(Inv_SY_B!GJ41/Inv_SY_B!$IS41-1,"")</f>
        <v/>
      </c>
      <c r="GK41" s="62" t="str">
        <f>IFERROR(Inv_SY_B!GK41/Inv_SY_B!$IS41-1,"")</f>
        <v/>
      </c>
      <c r="GL41" s="62" t="str">
        <f>IFERROR(Inv_SY_B!GL41/Inv_SY_B!$IS41-1,"")</f>
        <v/>
      </c>
      <c r="GM41" s="62" t="str">
        <f>IFERROR(Inv_SY_B!GM41/Inv_SY_B!$IS41-1,"")</f>
        <v/>
      </c>
      <c r="GN41" s="62" t="str">
        <f>IFERROR(Inv_SY_B!GN41/Inv_SY_B!$IS41-1,"")</f>
        <v/>
      </c>
      <c r="GO41" s="62" t="str">
        <f>IFERROR(Inv_SY_B!GO41/Inv_SY_B!$IS41-1,"")</f>
        <v/>
      </c>
      <c r="GP41" s="62" t="str">
        <f>IFERROR(Inv_SY_B!GP41/Inv_SY_B!$IS41-1,"")</f>
        <v/>
      </c>
      <c r="GQ41" s="62" t="str">
        <f>IFERROR(Inv_SY_B!GQ41/Inv_SY_B!$IS41-1,"")</f>
        <v/>
      </c>
      <c r="GR41" s="62" t="str">
        <f>IFERROR(Inv_SY_B!GR41/Inv_SY_B!$IS41-1,"")</f>
        <v/>
      </c>
      <c r="GS41" s="62" t="str">
        <f>IFERROR(Inv_SY_B!GS41/Inv_SY_B!$IS41-1,"")</f>
        <v/>
      </c>
      <c r="GT41" s="62" t="str">
        <f>IFERROR(Inv_SY_B!GT41/Inv_SY_B!$IS41-1,"")</f>
        <v/>
      </c>
      <c r="GU41" s="62" t="str">
        <f>IFERROR(Inv_SY_B!GU41/Inv_SY_B!$IS41-1,"")</f>
        <v/>
      </c>
      <c r="GV41" s="62" t="str">
        <f>IFERROR(Inv_SY_B!GV41/Inv_SY_B!$IS41-1,"")</f>
        <v/>
      </c>
      <c r="GW41" s="62" t="str">
        <f>IFERROR(Inv_SY_B!GW41/Inv_SY_B!$IS41-1,"")</f>
        <v/>
      </c>
      <c r="GX41" s="62" t="str">
        <f>IFERROR(Inv_SY_B!GX41/Inv_SY_B!$IS41-1,"")</f>
        <v/>
      </c>
      <c r="GY41" s="62" t="str">
        <f>IFERROR(Inv_SY_B!GY41/Inv_SY_B!$IS41-1,"")</f>
        <v/>
      </c>
      <c r="GZ41" s="62" t="str">
        <f>IFERROR(Inv_SY_B!GZ41/Inv_SY_B!$IS41-1,"")</f>
        <v/>
      </c>
      <c r="HA41" s="62" t="str">
        <f>IFERROR(Inv_SY_B!HA41/Inv_SY_B!$IS41-1,"")</f>
        <v/>
      </c>
      <c r="HB41" s="62" t="str">
        <f>IFERROR(Inv_SY_B!HB41/Inv_SY_B!$IS41-1,"")</f>
        <v/>
      </c>
      <c r="HC41" s="62" t="str">
        <f>IFERROR(Inv_SY_B!HC41/Inv_SY_B!$IS41-1,"")</f>
        <v/>
      </c>
      <c r="HD41" s="62" t="str">
        <f>IFERROR(Inv_SY_B!HD41/Inv_SY_B!$IS41-1,"")</f>
        <v/>
      </c>
      <c r="HE41" s="62" t="str">
        <f>IFERROR(Inv_SY_B!HE41/Inv_SY_B!$IS41-1,"")</f>
        <v/>
      </c>
      <c r="HF41" s="62" t="str">
        <f>IFERROR(Inv_SY_B!HF41/Inv_SY_B!$IS41-1,"")</f>
        <v/>
      </c>
      <c r="HG41" s="62" t="str">
        <f>IFERROR(Inv_SY_B!HG41/Inv_SY_B!$IS41-1,"")</f>
        <v/>
      </c>
      <c r="HH41" s="62" t="str">
        <f>IFERROR(Inv_SY_B!HH41/Inv_SY_B!$IS41-1,"")</f>
        <v/>
      </c>
      <c r="HI41" s="62" t="str">
        <f>IFERROR(Inv_SY_B!HI41/Inv_SY_B!$IS41-1,"")</f>
        <v/>
      </c>
      <c r="HJ41" s="62" t="str">
        <f>IFERROR(Inv_SY_B!HJ41/Inv_SY_B!$IS41-1,"")</f>
        <v/>
      </c>
      <c r="HK41" s="62" t="str">
        <f>IFERROR(Inv_SY_B!HK41/Inv_SY_B!$IS41-1,"")</f>
        <v/>
      </c>
      <c r="HL41" s="62" t="str">
        <f>IFERROR(Inv_SY_B!HL41/Inv_SY_B!$IS41-1,"")</f>
        <v/>
      </c>
      <c r="HM41" s="62" t="str">
        <f>IFERROR(Inv_SY_B!HM41/Inv_SY_B!$IS41-1,"")</f>
        <v/>
      </c>
      <c r="HN41" s="62" t="str">
        <f>IFERROR(Inv_SY_B!HN41/Inv_SY_B!$IS41-1,"")</f>
        <v/>
      </c>
      <c r="HO41" s="62" t="str">
        <f>IFERROR(Inv_SY_B!HO41/Inv_SY_B!$IS41-1,"")</f>
        <v/>
      </c>
      <c r="HP41" s="62" t="str">
        <f>IFERROR(Inv_SY_B!HP41/Inv_SY_B!$IS41-1,"")</f>
        <v/>
      </c>
      <c r="HQ41" s="62" t="str">
        <f>IFERROR(Inv_SY_B!HQ41/Inv_SY_B!$IS41-1,"")</f>
        <v/>
      </c>
      <c r="HR41" s="62" t="str">
        <f>IFERROR(Inv_SY_B!HR41/Inv_SY_B!$IS41-1,"")</f>
        <v/>
      </c>
      <c r="HS41" s="62" t="str">
        <f>IFERROR(Inv_SY_B!HS41/Inv_SY_B!$IS41-1,"")</f>
        <v/>
      </c>
      <c r="HT41" s="62" t="str">
        <f>IFERROR(Inv_SY_B!HT41/Inv_SY_B!$IS41-1,"")</f>
        <v/>
      </c>
      <c r="HU41" s="62" t="str">
        <f>IFERROR(Inv_SY_B!HU41/Inv_SY_B!$IS41-1,"")</f>
        <v/>
      </c>
      <c r="HV41" s="62" t="str">
        <f>IFERROR(Inv_SY_B!HV41/Inv_SY_B!$IS41-1,"")</f>
        <v/>
      </c>
      <c r="HW41" s="62" t="str">
        <f>IFERROR(Inv_SY_B!HW41/Inv_SY_B!$IS41-1,"")</f>
        <v/>
      </c>
      <c r="HX41" s="62" t="str">
        <f>IFERROR(Inv_SY_B!HX41/Inv_SY_B!$IS41-1,"")</f>
        <v/>
      </c>
      <c r="HY41" s="62" t="str">
        <f>IFERROR(Inv_SY_B!HY41/Inv_SY_B!$IS41-1,"")</f>
        <v/>
      </c>
      <c r="HZ41" s="62" t="str">
        <f>IFERROR(Inv_SY_B!HZ41/Inv_SY_B!$IS41-1,"")</f>
        <v/>
      </c>
      <c r="IA41" s="62" t="str">
        <f>IFERROR(Inv_SY_B!IA41/Inv_SY_B!$IS41-1,"")</f>
        <v/>
      </c>
      <c r="IB41" s="62" t="str">
        <f>IFERROR(Inv_SY_B!IB41/Inv_SY_B!$IS41-1,"")</f>
        <v/>
      </c>
      <c r="IC41" s="62" t="str">
        <f>IFERROR(Inv_SY_B!IC41/Inv_SY_B!$IS41-1,"")</f>
        <v/>
      </c>
      <c r="ID41" s="62" t="str">
        <f>IFERROR(Inv_SY_B!ID41/Inv_SY_B!$IS41-1,"")</f>
        <v/>
      </c>
      <c r="IE41" s="62" t="str">
        <f>IFERROR(Inv_SY_B!IE41/Inv_SY_B!$IS41-1,"")</f>
        <v/>
      </c>
      <c r="IF41" s="62" t="str">
        <f>IFERROR(Inv_SY_B!IF41/Inv_SY_B!$IS41-1,"")</f>
        <v/>
      </c>
      <c r="IG41" s="62" t="str">
        <f>IFERROR(Inv_SY_B!IG41/Inv_SY_B!$IS41-1,"")</f>
        <v/>
      </c>
      <c r="IH41" s="62" t="str">
        <f>IFERROR(Inv_SY_B!IH41/Inv_SY_B!$IS41-1,"")</f>
        <v/>
      </c>
      <c r="II41" s="62" t="str">
        <f>IFERROR(Inv_SY_B!II41/Inv_SY_B!$IS41-1,"")</f>
        <v/>
      </c>
      <c r="IJ41" s="62" t="str">
        <f>IFERROR(Inv_SY_B!IJ41/Inv_SY_B!$IS41-1,"")</f>
        <v/>
      </c>
      <c r="IK41" s="62" t="str">
        <f>IFERROR(Inv_SY_B!IK41/Inv_SY_B!$IS41-1,"")</f>
        <v/>
      </c>
      <c r="IL41" s="62" t="str">
        <f>IFERROR(Inv_SY_B!IL41/Inv_SY_B!$IS41-1,"")</f>
        <v/>
      </c>
      <c r="IM41" s="62" t="str">
        <f>IFERROR(Inv_SY_B!IM41/Inv_SY_B!$IS41-1,"")</f>
        <v/>
      </c>
      <c r="IN41" s="62" t="str">
        <f>IFERROR(Inv_SY_B!IN41/Inv_SY_B!$IS41-1,"")</f>
        <v/>
      </c>
      <c r="IO41" s="62" t="str">
        <f>IFERROR(Inv_SY_B!IO41/Inv_SY_B!$IS41-1,"")</f>
        <v/>
      </c>
      <c r="IP41" s="62" t="str">
        <f>IFERROR(Inv_SY_B!IP41/Inv_SY_B!$IS41-1,"")</f>
        <v/>
      </c>
      <c r="IQ41" s="62" t="str">
        <f>IFERROR(Inv_SY_B!IQ41/Inv_SY_B!$IS41-1,"")</f>
        <v/>
      </c>
      <c r="IR41" s="62" t="str">
        <f>IFERROR(Inv_SY_B!IR41/Inv_SY_B!$IS41-1,"")</f>
        <v/>
      </c>
    </row>
    <row r="42" spans="2:252" x14ac:dyDescent="0.25">
      <c r="B42" s="85">
        <f t="shared" si="0"/>
        <v>45868</v>
      </c>
      <c r="C42" s="62" t="str">
        <f>IFERROR(Inv_SY_B!C42/Inv_SY_B!$IS42-1,"")</f>
        <v/>
      </c>
      <c r="D42" s="62" t="str">
        <f>IFERROR(Inv_SY_B!D42/Inv_SY_B!$IS42-1,"")</f>
        <v/>
      </c>
      <c r="E42" s="62" t="str">
        <f>IFERROR(Inv_SY_B!E42/Inv_SY_B!$IS42-1,"")</f>
        <v/>
      </c>
      <c r="F42" s="62" t="str">
        <f>IFERROR(Inv_SY_B!F42/Inv_SY_B!$IS42-1,"")</f>
        <v/>
      </c>
      <c r="G42" s="62" t="str">
        <f>IFERROR(Inv_SY_B!G42/Inv_SY_B!$IS42-1,"")</f>
        <v/>
      </c>
      <c r="H42" s="62" t="str">
        <f>IFERROR(Inv_SY_B!H42/Inv_SY_B!$IS42-1,"")</f>
        <v/>
      </c>
      <c r="I42" s="62" t="str">
        <f>IFERROR(Inv_SY_B!I42/Inv_SY_B!$IS42-1,"")</f>
        <v/>
      </c>
      <c r="J42" s="62" t="str">
        <f>IFERROR(Inv_SY_B!J42/Inv_SY_B!$IS42-1,"")</f>
        <v/>
      </c>
      <c r="K42" s="62" t="str">
        <f>IFERROR(Inv_SY_B!K42/Inv_SY_B!$IS42-1,"")</f>
        <v/>
      </c>
      <c r="L42" s="62" t="str">
        <f>IFERROR(Inv_SY_B!L42/Inv_SY_B!$IS42-1,"")</f>
        <v/>
      </c>
      <c r="M42" s="62" t="str">
        <f>IFERROR(Inv_SY_B!M42/Inv_SY_B!$IS42-1,"")</f>
        <v/>
      </c>
      <c r="N42" s="62" t="str">
        <f>IFERROR(Inv_SY_B!N42/Inv_SY_B!$IS42-1,"")</f>
        <v/>
      </c>
      <c r="O42" s="62" t="str">
        <f>IFERROR(Inv_SY_B!O42/Inv_SY_B!$IS42-1,"")</f>
        <v/>
      </c>
      <c r="P42" s="62" t="str">
        <f>IFERROR(Inv_SY_B!P42/Inv_SY_B!$IS42-1,"")</f>
        <v/>
      </c>
      <c r="Q42" s="62" t="str">
        <f>IFERROR(Inv_SY_B!Q42/Inv_SY_B!$IS42-1,"")</f>
        <v/>
      </c>
      <c r="R42" s="62" t="str">
        <f>IFERROR(Inv_SY_B!R42/Inv_SY_B!$IS42-1,"")</f>
        <v/>
      </c>
      <c r="S42" s="62" t="str">
        <f>IFERROR(Inv_SY_B!S42/Inv_SY_B!$IS42-1,"")</f>
        <v/>
      </c>
      <c r="T42" s="62" t="str">
        <f>IFERROR(Inv_SY_B!T42/Inv_SY_B!$IS42-1,"")</f>
        <v/>
      </c>
      <c r="U42" s="62" t="str">
        <f>IFERROR(Inv_SY_B!U42/Inv_SY_B!$IS42-1,"")</f>
        <v/>
      </c>
      <c r="V42" s="62" t="str">
        <f>IFERROR(Inv_SY_B!V42/Inv_SY_B!$IS42-1,"")</f>
        <v/>
      </c>
      <c r="W42" s="62" t="str">
        <f>IFERROR(Inv_SY_B!W42/Inv_SY_B!$IS42-1,"")</f>
        <v/>
      </c>
      <c r="X42" s="62" t="str">
        <f>IFERROR(Inv_SY_B!X42/Inv_SY_B!$IS42-1,"")</f>
        <v/>
      </c>
      <c r="Y42" s="62" t="str">
        <f>IFERROR(Inv_SY_B!Y42/Inv_SY_B!$IS42-1,"")</f>
        <v/>
      </c>
      <c r="Z42" s="62" t="str">
        <f>IFERROR(Inv_SY_B!Z42/Inv_SY_B!$IS42-1,"")</f>
        <v/>
      </c>
      <c r="AA42" s="62" t="str">
        <f>IFERROR(Inv_SY_B!AA42/Inv_SY_B!$IS42-1,"")</f>
        <v/>
      </c>
      <c r="AB42" s="62" t="str">
        <f>IFERROR(Inv_SY_B!AB42/Inv_SY_B!$IS42-1,"")</f>
        <v/>
      </c>
      <c r="AC42" s="62" t="str">
        <f>IFERROR(Inv_SY_B!AC42/Inv_SY_B!$IS42-1,"")</f>
        <v/>
      </c>
      <c r="AD42" s="62" t="str">
        <f>IFERROR(Inv_SY_B!AD42/Inv_SY_B!$IS42-1,"")</f>
        <v/>
      </c>
      <c r="AE42" s="62" t="str">
        <f>IFERROR(Inv_SY_B!AE42/Inv_SY_B!$IS42-1,"")</f>
        <v/>
      </c>
      <c r="AF42" s="62" t="str">
        <f>IFERROR(Inv_SY_B!AF42/Inv_SY_B!$IS42-1,"")</f>
        <v/>
      </c>
      <c r="AG42" s="62" t="str">
        <f>IFERROR(Inv_SY_B!AG42/Inv_SY_B!$IS42-1,"")</f>
        <v/>
      </c>
      <c r="AH42" s="62" t="str">
        <f>IFERROR(Inv_SY_B!AH42/Inv_SY_B!$IS42-1,"")</f>
        <v/>
      </c>
      <c r="AI42" s="62" t="str">
        <f>IFERROR(Inv_SY_B!AI42/Inv_SY_B!$IS42-1,"")</f>
        <v/>
      </c>
      <c r="AJ42" s="62" t="str">
        <f>IFERROR(Inv_SY_B!AJ42/Inv_SY_B!$IS42-1,"")</f>
        <v/>
      </c>
      <c r="AK42" s="62" t="str">
        <f>IFERROR(Inv_SY_B!AK42/Inv_SY_B!$IS42-1,"")</f>
        <v/>
      </c>
      <c r="AL42" s="62" t="str">
        <f>IFERROR(Inv_SY_B!AL42/Inv_SY_B!$IS42-1,"")</f>
        <v/>
      </c>
      <c r="AM42" s="62" t="str">
        <f>IFERROR(Inv_SY_B!AM42/Inv_SY_B!$IS42-1,"")</f>
        <v/>
      </c>
      <c r="AN42" s="62" t="str">
        <f>IFERROR(Inv_SY_B!AN42/Inv_SY_B!$IS42-1,"")</f>
        <v/>
      </c>
      <c r="AO42" s="62" t="str">
        <f>IFERROR(Inv_SY_B!AO42/Inv_SY_B!$IS42-1,"")</f>
        <v/>
      </c>
      <c r="AP42" s="62" t="str">
        <f>IFERROR(Inv_SY_B!AP42/Inv_SY_B!$IS42-1,"")</f>
        <v/>
      </c>
      <c r="AQ42" s="62" t="str">
        <f>IFERROR(Inv_SY_B!AQ42/Inv_SY_B!$IS42-1,"")</f>
        <v/>
      </c>
      <c r="AR42" s="62" t="str">
        <f>IFERROR(Inv_SY_B!AR42/Inv_SY_B!$IS42-1,"")</f>
        <v/>
      </c>
      <c r="AS42" s="62" t="str">
        <f>IFERROR(Inv_SY_B!AS42/Inv_SY_B!$IS42-1,"")</f>
        <v/>
      </c>
      <c r="AT42" s="62" t="str">
        <f>IFERROR(Inv_SY_B!AT42/Inv_SY_B!$IS42-1,"")</f>
        <v/>
      </c>
      <c r="AU42" s="62" t="str">
        <f>IFERROR(Inv_SY_B!AU42/Inv_SY_B!$IS42-1,"")</f>
        <v/>
      </c>
      <c r="AV42" s="62" t="str">
        <f>IFERROR(Inv_SY_B!AV42/Inv_SY_B!$IS42-1,"")</f>
        <v/>
      </c>
      <c r="AW42" s="62" t="str">
        <f>IFERROR(Inv_SY_B!AW42/Inv_SY_B!$IS42-1,"")</f>
        <v/>
      </c>
      <c r="AX42" s="62" t="str">
        <f>IFERROR(Inv_SY_B!AX42/Inv_SY_B!$IS42-1,"")</f>
        <v/>
      </c>
      <c r="AY42" s="62" t="str">
        <f>IFERROR(Inv_SY_B!AY42/Inv_SY_B!$IS42-1,"")</f>
        <v/>
      </c>
      <c r="AZ42" s="62" t="str">
        <f>IFERROR(Inv_SY_B!AZ42/Inv_SY_B!$IS42-1,"")</f>
        <v/>
      </c>
      <c r="BA42" s="62" t="str">
        <f>IFERROR(Inv_SY_B!BA42/Inv_SY_B!$IS42-1,"")</f>
        <v/>
      </c>
      <c r="BB42" s="62" t="str">
        <f>IFERROR(Inv_SY_B!BB42/Inv_SY_B!$IS42-1,"")</f>
        <v/>
      </c>
      <c r="BC42" s="62" t="str">
        <f>IFERROR(Inv_SY_B!BC42/Inv_SY_B!$IS42-1,"")</f>
        <v/>
      </c>
      <c r="BD42" s="62" t="str">
        <f>IFERROR(Inv_SY_B!BD42/Inv_SY_B!$IS42-1,"")</f>
        <v/>
      </c>
      <c r="BE42" s="62" t="str">
        <f>IFERROR(Inv_SY_B!BE42/Inv_SY_B!$IS42-1,"")</f>
        <v/>
      </c>
      <c r="BF42" s="62" t="str">
        <f>IFERROR(Inv_SY_B!BF42/Inv_SY_B!$IS42-1,"")</f>
        <v/>
      </c>
      <c r="BG42" s="62" t="str">
        <f>IFERROR(Inv_SY_B!BG42/Inv_SY_B!$IS42-1,"")</f>
        <v/>
      </c>
      <c r="BH42" s="62" t="str">
        <f>IFERROR(Inv_SY_B!BH42/Inv_SY_B!$IS42-1,"")</f>
        <v/>
      </c>
      <c r="BI42" s="62" t="str">
        <f>IFERROR(Inv_SY_B!BI42/Inv_SY_B!$IS42-1,"")</f>
        <v/>
      </c>
      <c r="BJ42" s="62" t="str">
        <f>IFERROR(Inv_SY_B!BJ42/Inv_SY_B!$IS42-1,"")</f>
        <v/>
      </c>
      <c r="BK42" s="62" t="str">
        <f>IFERROR(Inv_SY_B!BK42/Inv_SY_B!$IS42-1,"")</f>
        <v/>
      </c>
      <c r="BL42" s="62" t="str">
        <f>IFERROR(Inv_SY_B!BL42/Inv_SY_B!$IS42-1,"")</f>
        <v/>
      </c>
      <c r="BM42" s="62" t="str">
        <f>IFERROR(Inv_SY_B!BM42/Inv_SY_B!$IS42-1,"")</f>
        <v/>
      </c>
      <c r="BN42" s="62" t="str">
        <f>IFERROR(Inv_SY_B!BN42/Inv_SY_B!$IS42-1,"")</f>
        <v/>
      </c>
      <c r="BO42" s="62" t="str">
        <f>IFERROR(Inv_SY_B!BO42/Inv_SY_B!$IS42-1,"")</f>
        <v/>
      </c>
      <c r="BP42" s="62" t="str">
        <f>IFERROR(Inv_SY_B!BP42/Inv_SY_B!$IS42-1,"")</f>
        <v/>
      </c>
      <c r="BQ42" s="62" t="str">
        <f>IFERROR(Inv_SY_B!BQ42/Inv_SY_B!$IS42-1,"")</f>
        <v/>
      </c>
      <c r="BR42" s="62" t="str">
        <f>IFERROR(Inv_SY_B!BR42/Inv_SY_B!$IS42-1,"")</f>
        <v/>
      </c>
      <c r="BS42" s="62" t="str">
        <f>IFERROR(Inv_SY_B!BS42/Inv_SY_B!$IS42-1,"")</f>
        <v/>
      </c>
      <c r="BT42" s="62" t="str">
        <f>IFERROR(Inv_SY_B!BT42/Inv_SY_B!$IS42-1,"")</f>
        <v/>
      </c>
      <c r="BU42" s="62" t="str">
        <f>IFERROR(Inv_SY_B!BU42/Inv_SY_B!$IS42-1,"")</f>
        <v/>
      </c>
      <c r="BV42" s="62" t="str">
        <f>IFERROR(Inv_SY_B!BV42/Inv_SY_B!$IS42-1,"")</f>
        <v/>
      </c>
      <c r="BW42" s="62" t="str">
        <f>IFERROR(Inv_SY_B!BW42/Inv_SY_B!$IS42-1,"")</f>
        <v/>
      </c>
      <c r="BX42" s="62" t="str">
        <f>IFERROR(Inv_SY_B!BX42/Inv_SY_B!$IS42-1,"")</f>
        <v/>
      </c>
      <c r="BY42" s="62" t="str">
        <f>IFERROR(Inv_SY_B!BY42/Inv_SY_B!$IS42-1,"")</f>
        <v/>
      </c>
      <c r="BZ42" s="62" t="str">
        <f>IFERROR(Inv_SY_B!BZ42/Inv_SY_B!$IS42-1,"")</f>
        <v/>
      </c>
      <c r="CA42" s="62" t="str">
        <f>IFERROR(Inv_SY_B!CA42/Inv_SY_B!$IS42-1,"")</f>
        <v/>
      </c>
      <c r="CB42" s="62" t="str">
        <f>IFERROR(Inv_SY_B!CB42/Inv_SY_B!$IS42-1,"")</f>
        <v/>
      </c>
      <c r="CC42" s="62" t="str">
        <f>IFERROR(Inv_SY_B!CC42/Inv_SY_B!$IS42-1,"")</f>
        <v/>
      </c>
      <c r="CD42" s="62" t="str">
        <f>IFERROR(Inv_SY_B!CD42/Inv_SY_B!$IS42-1,"")</f>
        <v/>
      </c>
      <c r="CE42" s="62" t="str">
        <f>IFERROR(Inv_SY_B!CE42/Inv_SY_B!$IS42-1,"")</f>
        <v/>
      </c>
      <c r="CF42" s="62" t="str">
        <f>IFERROR(Inv_SY_B!CF42/Inv_SY_B!$IS42-1,"")</f>
        <v/>
      </c>
      <c r="CG42" s="62" t="str">
        <f>IFERROR(Inv_SY_B!CG42/Inv_SY_B!$IS42-1,"")</f>
        <v/>
      </c>
      <c r="CH42" s="62" t="str">
        <f>IFERROR(Inv_SY_B!CH42/Inv_SY_B!$IS42-1,"")</f>
        <v/>
      </c>
      <c r="CI42" s="62" t="str">
        <f>IFERROR(Inv_SY_B!CI42/Inv_SY_B!$IS42-1,"")</f>
        <v/>
      </c>
      <c r="CJ42" s="62" t="str">
        <f>IFERROR(Inv_SY_B!CJ42/Inv_SY_B!$IS42-1,"")</f>
        <v/>
      </c>
      <c r="CK42" s="62" t="str">
        <f>IFERROR(Inv_SY_B!CK42/Inv_SY_B!$IS42-1,"")</f>
        <v/>
      </c>
      <c r="CL42" s="62" t="str">
        <f>IFERROR(Inv_SY_B!CL42/Inv_SY_B!$IS42-1,"")</f>
        <v/>
      </c>
      <c r="CM42" s="62" t="str">
        <f>IFERROR(Inv_SY_B!CM42/Inv_SY_B!$IS42-1,"")</f>
        <v/>
      </c>
      <c r="CN42" s="62" t="str">
        <f>IFERROR(Inv_SY_B!CN42/Inv_SY_B!$IS42-1,"")</f>
        <v/>
      </c>
      <c r="CO42" s="62" t="str">
        <f>IFERROR(Inv_SY_B!CO42/Inv_SY_B!$IS42-1,"")</f>
        <v/>
      </c>
      <c r="CP42" s="62" t="str">
        <f>IFERROR(Inv_SY_B!CP42/Inv_SY_B!$IS42-1,"")</f>
        <v/>
      </c>
      <c r="CQ42" s="62" t="str">
        <f>IFERROR(Inv_SY_B!CQ42/Inv_SY_B!$IS42-1,"")</f>
        <v/>
      </c>
      <c r="CR42" s="62" t="str">
        <f>IFERROR(Inv_SY_B!CR42/Inv_SY_B!$IS42-1,"")</f>
        <v/>
      </c>
      <c r="CS42" s="62" t="str">
        <f>IFERROR(Inv_SY_B!CS42/Inv_SY_B!$IS42-1,"")</f>
        <v/>
      </c>
      <c r="CT42" s="62" t="str">
        <f>IFERROR(Inv_SY_B!CT42/Inv_SY_B!$IS42-1,"")</f>
        <v/>
      </c>
      <c r="CU42" s="62" t="str">
        <f>IFERROR(Inv_SY_B!CU42/Inv_SY_B!$IS42-1,"")</f>
        <v/>
      </c>
      <c r="CV42" s="62" t="str">
        <f>IFERROR(Inv_SY_B!CV42/Inv_SY_B!$IS42-1,"")</f>
        <v/>
      </c>
      <c r="CW42" s="62" t="str">
        <f>IFERROR(Inv_SY_B!CW42/Inv_SY_B!$IS42-1,"")</f>
        <v/>
      </c>
      <c r="CX42" s="62" t="str">
        <f>IFERROR(Inv_SY_B!CX42/Inv_SY_B!$IS42-1,"")</f>
        <v/>
      </c>
      <c r="CY42" s="62" t="str">
        <f>IFERROR(Inv_SY_B!CY42/Inv_SY_B!$IS42-1,"")</f>
        <v/>
      </c>
      <c r="CZ42" s="62" t="str">
        <f>IFERROR(Inv_SY_B!CZ42/Inv_SY_B!$IS42-1,"")</f>
        <v/>
      </c>
      <c r="DA42" s="62" t="str">
        <f>IFERROR(Inv_SY_B!DA42/Inv_SY_B!$IS42-1,"")</f>
        <v/>
      </c>
      <c r="DB42" s="62" t="str">
        <f>IFERROR(Inv_SY_B!DB42/Inv_SY_B!$IS42-1,"")</f>
        <v/>
      </c>
      <c r="DC42" s="62" t="str">
        <f>IFERROR(Inv_SY_B!DC42/Inv_SY_B!$IS42-1,"")</f>
        <v/>
      </c>
      <c r="DD42" s="62" t="str">
        <f>IFERROR(Inv_SY_B!DD42/Inv_SY_B!$IS42-1,"")</f>
        <v/>
      </c>
      <c r="DE42" s="62" t="str">
        <f>IFERROR(Inv_SY_B!DE42/Inv_SY_B!$IS42-1,"")</f>
        <v/>
      </c>
      <c r="DF42" s="62" t="str">
        <f>IFERROR(Inv_SY_B!DF42/Inv_SY_B!$IS42-1,"")</f>
        <v/>
      </c>
      <c r="DG42" s="62" t="str">
        <f>IFERROR(Inv_SY_B!DG42/Inv_SY_B!$IS42-1,"")</f>
        <v/>
      </c>
      <c r="DH42" s="62" t="str">
        <f>IFERROR(Inv_SY_B!DH42/Inv_SY_B!$IS42-1,"")</f>
        <v/>
      </c>
      <c r="DI42" s="62" t="str">
        <f>IFERROR(Inv_SY_B!DI42/Inv_SY_B!$IS42-1,"")</f>
        <v/>
      </c>
      <c r="DJ42" s="62" t="str">
        <f>IFERROR(Inv_SY_B!DJ42/Inv_SY_B!$IS42-1,"")</f>
        <v/>
      </c>
      <c r="DK42" s="62" t="str">
        <f>IFERROR(Inv_SY_B!DK42/Inv_SY_B!$IS42-1,"")</f>
        <v/>
      </c>
      <c r="DL42" s="62" t="str">
        <f>IFERROR(Inv_SY_B!DL42/Inv_SY_B!$IS42-1,"")</f>
        <v/>
      </c>
      <c r="DM42" s="62" t="str">
        <f>IFERROR(Inv_SY_B!DM42/Inv_SY_B!$IS42-1,"")</f>
        <v/>
      </c>
      <c r="DN42" s="62" t="str">
        <f>IFERROR(Inv_SY_B!DN42/Inv_SY_B!$IS42-1,"")</f>
        <v/>
      </c>
      <c r="DO42" s="62" t="str">
        <f>IFERROR(Inv_SY_B!DO42/Inv_SY_B!$IS42-1,"")</f>
        <v/>
      </c>
      <c r="DP42" s="62" t="str">
        <f>IFERROR(Inv_SY_B!DP42/Inv_SY_B!$IS42-1,"")</f>
        <v/>
      </c>
      <c r="DQ42" s="62" t="str">
        <f>IFERROR(Inv_SY_B!DQ42/Inv_SY_B!$IS42-1,"")</f>
        <v/>
      </c>
      <c r="DR42" s="62" t="str">
        <f>IFERROR(Inv_SY_B!DR42/Inv_SY_B!$IS42-1,"")</f>
        <v/>
      </c>
      <c r="DS42" s="62" t="str">
        <f>IFERROR(Inv_SY_B!DS42/Inv_SY_B!$IS42-1,"")</f>
        <v/>
      </c>
      <c r="DT42" s="62" t="str">
        <f>IFERROR(Inv_SY_B!DT42/Inv_SY_B!$IS42-1,"")</f>
        <v/>
      </c>
      <c r="DU42" s="62" t="str">
        <f>IFERROR(Inv_SY_B!DU42/Inv_SY_B!$IS42-1,"")</f>
        <v/>
      </c>
      <c r="DV42" s="62" t="str">
        <f>IFERROR(Inv_SY_B!DV42/Inv_SY_B!$IS42-1,"")</f>
        <v/>
      </c>
      <c r="DW42" s="62" t="str">
        <f>IFERROR(Inv_SY_B!DW42/Inv_SY_B!$IS42-1,"")</f>
        <v/>
      </c>
      <c r="DX42" s="62" t="str">
        <f>IFERROR(Inv_SY_B!DX42/Inv_SY_B!$IS42-1,"")</f>
        <v/>
      </c>
      <c r="DY42" s="62" t="str">
        <f>IFERROR(Inv_SY_B!DY42/Inv_SY_B!$IS42-1,"")</f>
        <v/>
      </c>
      <c r="DZ42" s="62" t="str">
        <f>IFERROR(Inv_SY_B!DZ42/Inv_SY_B!$IS42-1,"")</f>
        <v/>
      </c>
      <c r="EA42" s="62" t="str">
        <f>IFERROR(Inv_SY_B!EA42/Inv_SY_B!$IS42-1,"")</f>
        <v/>
      </c>
      <c r="EB42" s="62" t="str">
        <f>IFERROR(Inv_SY_B!EB42/Inv_SY_B!$IS42-1,"")</f>
        <v/>
      </c>
      <c r="EC42" s="62" t="str">
        <f>IFERROR(Inv_SY_B!EC42/Inv_SY_B!$IS42-1,"")</f>
        <v/>
      </c>
      <c r="ED42" s="62" t="str">
        <f>IFERROR(Inv_SY_B!ED42/Inv_SY_B!$IS42-1,"")</f>
        <v/>
      </c>
      <c r="EE42" s="62" t="str">
        <f>IFERROR(Inv_SY_B!EE42/Inv_SY_B!$IS42-1,"")</f>
        <v/>
      </c>
      <c r="EF42" s="62" t="str">
        <f>IFERROR(Inv_SY_B!EF42/Inv_SY_B!$IS42-1,"")</f>
        <v/>
      </c>
      <c r="EG42" s="62" t="str">
        <f>IFERROR(Inv_SY_B!EG42/Inv_SY_B!$IS42-1,"")</f>
        <v/>
      </c>
      <c r="EH42" s="62" t="str">
        <f>IFERROR(Inv_SY_B!EH42/Inv_SY_B!$IS42-1,"")</f>
        <v/>
      </c>
      <c r="EI42" s="62" t="str">
        <f>IFERROR(Inv_SY_B!EI42/Inv_SY_B!$IS42-1,"")</f>
        <v/>
      </c>
      <c r="EJ42" s="62" t="str">
        <f>IFERROR(Inv_SY_B!EJ42/Inv_SY_B!$IS42-1,"")</f>
        <v/>
      </c>
      <c r="EK42" s="62" t="str">
        <f>IFERROR(Inv_SY_B!EK42/Inv_SY_B!$IS42-1,"")</f>
        <v/>
      </c>
      <c r="EL42" s="62" t="str">
        <f>IFERROR(Inv_SY_B!EL42/Inv_SY_B!$IS42-1,"")</f>
        <v/>
      </c>
      <c r="EM42" s="62" t="str">
        <f>IFERROR(Inv_SY_B!EM42/Inv_SY_B!$IS42-1,"")</f>
        <v/>
      </c>
      <c r="EN42" s="62" t="str">
        <f>IFERROR(Inv_SY_B!EN42/Inv_SY_B!$IS42-1,"")</f>
        <v/>
      </c>
      <c r="EO42" s="62" t="str">
        <f>IFERROR(Inv_SY_B!EO42/Inv_SY_B!$IS42-1,"")</f>
        <v/>
      </c>
      <c r="EP42" s="62" t="str">
        <f>IFERROR(Inv_SY_B!EP42/Inv_SY_B!$IS42-1,"")</f>
        <v/>
      </c>
      <c r="EQ42" s="62" t="str">
        <f>IFERROR(Inv_SY_B!EQ42/Inv_SY_B!$IS42-1,"")</f>
        <v/>
      </c>
      <c r="ER42" s="62" t="str">
        <f>IFERROR(Inv_SY_B!ER42/Inv_SY_B!$IS42-1,"")</f>
        <v/>
      </c>
      <c r="ES42" s="62" t="str">
        <f>IFERROR(Inv_SY_B!ES42/Inv_SY_B!$IS42-1,"")</f>
        <v/>
      </c>
      <c r="ET42" s="62" t="str">
        <f>IFERROR(Inv_SY_B!ET42/Inv_SY_B!$IS42-1,"")</f>
        <v/>
      </c>
      <c r="EU42" s="62" t="str">
        <f>IFERROR(Inv_SY_B!EU42/Inv_SY_B!$IS42-1,"")</f>
        <v/>
      </c>
      <c r="EV42" s="62" t="str">
        <f>IFERROR(Inv_SY_B!EV42/Inv_SY_B!$IS42-1,"")</f>
        <v/>
      </c>
      <c r="EW42" s="62" t="str">
        <f>IFERROR(Inv_SY_B!EW42/Inv_SY_B!$IS42-1,"")</f>
        <v/>
      </c>
      <c r="EX42" s="62" t="str">
        <f>IFERROR(Inv_SY_B!EX42/Inv_SY_B!$IS42-1,"")</f>
        <v/>
      </c>
      <c r="EY42" s="62" t="str">
        <f>IFERROR(Inv_SY_B!EY42/Inv_SY_B!$IS42-1,"")</f>
        <v/>
      </c>
      <c r="EZ42" s="62" t="str">
        <f>IFERROR(Inv_SY_B!EZ42/Inv_SY_B!$IS42-1,"")</f>
        <v/>
      </c>
      <c r="FA42" s="62" t="str">
        <f>IFERROR(Inv_SY_B!FA42/Inv_SY_B!$IS42-1,"")</f>
        <v/>
      </c>
      <c r="FB42" s="62" t="str">
        <f>IFERROR(Inv_SY_B!FB42/Inv_SY_B!$IS42-1,"")</f>
        <v/>
      </c>
      <c r="FC42" s="62" t="str">
        <f>IFERROR(Inv_SY_B!FC42/Inv_SY_B!$IS42-1,"")</f>
        <v/>
      </c>
      <c r="FD42" s="62" t="str">
        <f>IFERROR(Inv_SY_B!FD42/Inv_SY_B!$IS42-1,"")</f>
        <v/>
      </c>
      <c r="FE42" s="62" t="str">
        <f>IFERROR(Inv_SY_B!FE42/Inv_SY_B!$IS42-1,"")</f>
        <v/>
      </c>
      <c r="FF42" s="62" t="str">
        <f>IFERROR(Inv_SY_B!FF42/Inv_SY_B!$IS42-1,"")</f>
        <v/>
      </c>
      <c r="FG42" s="62" t="str">
        <f>IFERROR(Inv_SY_B!FG42/Inv_SY_B!$IS42-1,"")</f>
        <v/>
      </c>
      <c r="FH42" s="62" t="str">
        <f>IFERROR(Inv_SY_B!FH42/Inv_SY_B!$IS42-1,"")</f>
        <v/>
      </c>
      <c r="FI42" s="62" t="str">
        <f>IFERROR(Inv_SY_B!FI42/Inv_SY_B!$IS42-1,"")</f>
        <v/>
      </c>
      <c r="FJ42" s="62" t="str">
        <f>IFERROR(Inv_SY_B!FJ42/Inv_SY_B!$IS42-1,"")</f>
        <v/>
      </c>
      <c r="FK42" s="62" t="str">
        <f>IFERROR(Inv_SY_B!FK42/Inv_SY_B!$IS42-1,"")</f>
        <v/>
      </c>
      <c r="FL42" s="62" t="str">
        <f>IFERROR(Inv_SY_B!FL42/Inv_SY_B!$IS42-1,"")</f>
        <v/>
      </c>
      <c r="FM42" s="62" t="str">
        <f>IFERROR(Inv_SY_B!FM42/Inv_SY_B!$IS42-1,"")</f>
        <v/>
      </c>
      <c r="FN42" s="62" t="str">
        <f>IFERROR(Inv_SY_B!FN42/Inv_SY_B!$IS42-1,"")</f>
        <v/>
      </c>
      <c r="FO42" s="62" t="str">
        <f>IFERROR(Inv_SY_B!FO42/Inv_SY_B!$IS42-1,"")</f>
        <v/>
      </c>
      <c r="FP42" s="62" t="str">
        <f>IFERROR(Inv_SY_B!FP42/Inv_SY_B!$IS42-1,"")</f>
        <v/>
      </c>
      <c r="FQ42" s="62" t="str">
        <f>IFERROR(Inv_SY_B!FQ42/Inv_SY_B!$IS42-1,"")</f>
        <v/>
      </c>
      <c r="FR42" s="62" t="str">
        <f>IFERROR(Inv_SY_B!FR42/Inv_SY_B!$IS42-1,"")</f>
        <v/>
      </c>
      <c r="FS42" s="62" t="str">
        <f>IFERROR(Inv_SY_B!FS42/Inv_SY_B!$IS42-1,"")</f>
        <v/>
      </c>
      <c r="FT42" s="62" t="str">
        <f>IFERROR(Inv_SY_B!FT42/Inv_SY_B!$IS42-1,"")</f>
        <v/>
      </c>
      <c r="FU42" s="62" t="str">
        <f>IFERROR(Inv_SY_B!FU42/Inv_SY_B!$IS42-1,"")</f>
        <v/>
      </c>
      <c r="FV42" s="62" t="str">
        <f>IFERROR(Inv_SY_B!FV42/Inv_SY_B!$IS42-1,"")</f>
        <v/>
      </c>
      <c r="FW42" s="62" t="str">
        <f>IFERROR(Inv_SY_B!FW42/Inv_SY_B!$IS42-1,"")</f>
        <v/>
      </c>
      <c r="FX42" s="62" t="str">
        <f>IFERROR(Inv_SY_B!FX42/Inv_SY_B!$IS42-1,"")</f>
        <v/>
      </c>
      <c r="FY42" s="62" t="str">
        <f>IFERROR(Inv_SY_B!FY42/Inv_SY_B!$IS42-1,"")</f>
        <v/>
      </c>
      <c r="FZ42" s="62" t="str">
        <f>IFERROR(Inv_SY_B!FZ42/Inv_SY_B!$IS42-1,"")</f>
        <v/>
      </c>
      <c r="GA42" s="62" t="str">
        <f>IFERROR(Inv_SY_B!GA42/Inv_SY_B!$IS42-1,"")</f>
        <v/>
      </c>
      <c r="GB42" s="62" t="str">
        <f>IFERROR(Inv_SY_B!GB42/Inv_SY_B!$IS42-1,"")</f>
        <v/>
      </c>
      <c r="GC42" s="62" t="str">
        <f>IFERROR(Inv_SY_B!GC42/Inv_SY_B!$IS42-1,"")</f>
        <v/>
      </c>
      <c r="GD42" s="62" t="str">
        <f>IFERROR(Inv_SY_B!GD42/Inv_SY_B!$IS42-1,"")</f>
        <v/>
      </c>
      <c r="GE42" s="62" t="str">
        <f>IFERROR(Inv_SY_B!GE42/Inv_SY_B!$IS42-1,"")</f>
        <v/>
      </c>
      <c r="GF42" s="62" t="str">
        <f>IFERROR(Inv_SY_B!GF42/Inv_SY_B!$IS42-1,"")</f>
        <v/>
      </c>
      <c r="GG42" s="62" t="str">
        <f>IFERROR(Inv_SY_B!GG42/Inv_SY_B!$IS42-1,"")</f>
        <v/>
      </c>
      <c r="GH42" s="62" t="str">
        <f>IFERROR(Inv_SY_B!GH42/Inv_SY_B!$IS42-1,"")</f>
        <v/>
      </c>
      <c r="GI42" s="62" t="str">
        <f>IFERROR(Inv_SY_B!GI42/Inv_SY_B!$IS42-1,"")</f>
        <v/>
      </c>
      <c r="GJ42" s="62" t="str">
        <f>IFERROR(Inv_SY_B!GJ42/Inv_SY_B!$IS42-1,"")</f>
        <v/>
      </c>
      <c r="GK42" s="62" t="str">
        <f>IFERROR(Inv_SY_B!GK42/Inv_SY_B!$IS42-1,"")</f>
        <v/>
      </c>
      <c r="GL42" s="62" t="str">
        <f>IFERROR(Inv_SY_B!GL42/Inv_SY_B!$IS42-1,"")</f>
        <v/>
      </c>
      <c r="GM42" s="62" t="str">
        <f>IFERROR(Inv_SY_B!GM42/Inv_SY_B!$IS42-1,"")</f>
        <v/>
      </c>
      <c r="GN42" s="62" t="str">
        <f>IFERROR(Inv_SY_B!GN42/Inv_SY_B!$IS42-1,"")</f>
        <v/>
      </c>
      <c r="GO42" s="62" t="str">
        <f>IFERROR(Inv_SY_B!GO42/Inv_SY_B!$IS42-1,"")</f>
        <v/>
      </c>
      <c r="GP42" s="62" t="str">
        <f>IFERROR(Inv_SY_B!GP42/Inv_SY_B!$IS42-1,"")</f>
        <v/>
      </c>
      <c r="GQ42" s="62" t="str">
        <f>IFERROR(Inv_SY_B!GQ42/Inv_SY_B!$IS42-1,"")</f>
        <v/>
      </c>
      <c r="GR42" s="62" t="str">
        <f>IFERROR(Inv_SY_B!GR42/Inv_SY_B!$IS42-1,"")</f>
        <v/>
      </c>
      <c r="GS42" s="62" t="str">
        <f>IFERROR(Inv_SY_B!GS42/Inv_SY_B!$IS42-1,"")</f>
        <v/>
      </c>
      <c r="GT42" s="62" t="str">
        <f>IFERROR(Inv_SY_B!GT42/Inv_SY_B!$IS42-1,"")</f>
        <v/>
      </c>
      <c r="GU42" s="62" t="str">
        <f>IFERROR(Inv_SY_B!GU42/Inv_SY_B!$IS42-1,"")</f>
        <v/>
      </c>
      <c r="GV42" s="62" t="str">
        <f>IFERROR(Inv_SY_B!GV42/Inv_SY_B!$IS42-1,"")</f>
        <v/>
      </c>
      <c r="GW42" s="62" t="str">
        <f>IFERROR(Inv_SY_B!GW42/Inv_SY_B!$IS42-1,"")</f>
        <v/>
      </c>
      <c r="GX42" s="62" t="str">
        <f>IFERROR(Inv_SY_B!GX42/Inv_SY_B!$IS42-1,"")</f>
        <v/>
      </c>
      <c r="GY42" s="62" t="str">
        <f>IFERROR(Inv_SY_B!GY42/Inv_SY_B!$IS42-1,"")</f>
        <v/>
      </c>
      <c r="GZ42" s="62" t="str">
        <f>IFERROR(Inv_SY_B!GZ42/Inv_SY_B!$IS42-1,"")</f>
        <v/>
      </c>
      <c r="HA42" s="62" t="str">
        <f>IFERROR(Inv_SY_B!HA42/Inv_SY_B!$IS42-1,"")</f>
        <v/>
      </c>
      <c r="HB42" s="62" t="str">
        <f>IFERROR(Inv_SY_B!HB42/Inv_SY_B!$IS42-1,"")</f>
        <v/>
      </c>
      <c r="HC42" s="62" t="str">
        <f>IFERROR(Inv_SY_B!HC42/Inv_SY_B!$IS42-1,"")</f>
        <v/>
      </c>
      <c r="HD42" s="62" t="str">
        <f>IFERROR(Inv_SY_B!HD42/Inv_SY_B!$IS42-1,"")</f>
        <v/>
      </c>
      <c r="HE42" s="62" t="str">
        <f>IFERROR(Inv_SY_B!HE42/Inv_SY_B!$IS42-1,"")</f>
        <v/>
      </c>
      <c r="HF42" s="62" t="str">
        <f>IFERROR(Inv_SY_B!HF42/Inv_SY_B!$IS42-1,"")</f>
        <v/>
      </c>
      <c r="HG42" s="62" t="str">
        <f>IFERROR(Inv_SY_B!HG42/Inv_SY_B!$IS42-1,"")</f>
        <v/>
      </c>
      <c r="HH42" s="62" t="str">
        <f>IFERROR(Inv_SY_B!HH42/Inv_SY_B!$IS42-1,"")</f>
        <v/>
      </c>
      <c r="HI42" s="62" t="str">
        <f>IFERROR(Inv_SY_B!HI42/Inv_SY_B!$IS42-1,"")</f>
        <v/>
      </c>
      <c r="HJ42" s="62" t="str">
        <f>IFERROR(Inv_SY_B!HJ42/Inv_SY_B!$IS42-1,"")</f>
        <v/>
      </c>
      <c r="HK42" s="62" t="str">
        <f>IFERROR(Inv_SY_B!HK42/Inv_SY_B!$IS42-1,"")</f>
        <v/>
      </c>
      <c r="HL42" s="62" t="str">
        <f>IFERROR(Inv_SY_B!HL42/Inv_SY_B!$IS42-1,"")</f>
        <v/>
      </c>
      <c r="HM42" s="62" t="str">
        <f>IFERROR(Inv_SY_B!HM42/Inv_SY_B!$IS42-1,"")</f>
        <v/>
      </c>
      <c r="HN42" s="62" t="str">
        <f>IFERROR(Inv_SY_B!HN42/Inv_SY_B!$IS42-1,"")</f>
        <v/>
      </c>
      <c r="HO42" s="62" t="str">
        <f>IFERROR(Inv_SY_B!HO42/Inv_SY_B!$IS42-1,"")</f>
        <v/>
      </c>
      <c r="HP42" s="62" t="str">
        <f>IFERROR(Inv_SY_B!HP42/Inv_SY_B!$IS42-1,"")</f>
        <v/>
      </c>
      <c r="HQ42" s="62" t="str">
        <f>IFERROR(Inv_SY_B!HQ42/Inv_SY_B!$IS42-1,"")</f>
        <v/>
      </c>
      <c r="HR42" s="62" t="str">
        <f>IFERROR(Inv_SY_B!HR42/Inv_SY_B!$IS42-1,"")</f>
        <v/>
      </c>
      <c r="HS42" s="62" t="str">
        <f>IFERROR(Inv_SY_B!HS42/Inv_SY_B!$IS42-1,"")</f>
        <v/>
      </c>
      <c r="HT42" s="62" t="str">
        <f>IFERROR(Inv_SY_B!HT42/Inv_SY_B!$IS42-1,"")</f>
        <v/>
      </c>
      <c r="HU42" s="62" t="str">
        <f>IFERROR(Inv_SY_B!HU42/Inv_SY_B!$IS42-1,"")</f>
        <v/>
      </c>
      <c r="HV42" s="62" t="str">
        <f>IFERROR(Inv_SY_B!HV42/Inv_SY_B!$IS42-1,"")</f>
        <v/>
      </c>
      <c r="HW42" s="62" t="str">
        <f>IFERROR(Inv_SY_B!HW42/Inv_SY_B!$IS42-1,"")</f>
        <v/>
      </c>
      <c r="HX42" s="62" t="str">
        <f>IFERROR(Inv_SY_B!HX42/Inv_SY_B!$IS42-1,"")</f>
        <v/>
      </c>
      <c r="HY42" s="62" t="str">
        <f>IFERROR(Inv_SY_B!HY42/Inv_SY_B!$IS42-1,"")</f>
        <v/>
      </c>
      <c r="HZ42" s="62" t="str">
        <f>IFERROR(Inv_SY_B!HZ42/Inv_SY_B!$IS42-1,"")</f>
        <v/>
      </c>
      <c r="IA42" s="62" t="str">
        <f>IFERROR(Inv_SY_B!IA42/Inv_SY_B!$IS42-1,"")</f>
        <v/>
      </c>
      <c r="IB42" s="62" t="str">
        <f>IFERROR(Inv_SY_B!IB42/Inv_SY_B!$IS42-1,"")</f>
        <v/>
      </c>
      <c r="IC42" s="62" t="str">
        <f>IFERROR(Inv_SY_B!IC42/Inv_SY_B!$IS42-1,"")</f>
        <v/>
      </c>
      <c r="ID42" s="62" t="str">
        <f>IFERROR(Inv_SY_B!ID42/Inv_SY_B!$IS42-1,"")</f>
        <v/>
      </c>
      <c r="IE42" s="62" t="str">
        <f>IFERROR(Inv_SY_B!IE42/Inv_SY_B!$IS42-1,"")</f>
        <v/>
      </c>
      <c r="IF42" s="62" t="str">
        <f>IFERROR(Inv_SY_B!IF42/Inv_SY_B!$IS42-1,"")</f>
        <v/>
      </c>
      <c r="IG42" s="62" t="str">
        <f>IFERROR(Inv_SY_B!IG42/Inv_SY_B!$IS42-1,"")</f>
        <v/>
      </c>
      <c r="IH42" s="62" t="str">
        <f>IFERROR(Inv_SY_B!IH42/Inv_SY_B!$IS42-1,"")</f>
        <v/>
      </c>
      <c r="II42" s="62" t="str">
        <f>IFERROR(Inv_SY_B!II42/Inv_SY_B!$IS42-1,"")</f>
        <v/>
      </c>
      <c r="IJ42" s="62" t="str">
        <f>IFERROR(Inv_SY_B!IJ42/Inv_SY_B!$IS42-1,"")</f>
        <v/>
      </c>
      <c r="IK42" s="62" t="str">
        <f>IFERROR(Inv_SY_B!IK42/Inv_SY_B!$IS42-1,"")</f>
        <v/>
      </c>
      <c r="IL42" s="62" t="str">
        <f>IFERROR(Inv_SY_B!IL42/Inv_SY_B!$IS42-1,"")</f>
        <v/>
      </c>
      <c r="IM42" s="62" t="str">
        <f>IFERROR(Inv_SY_B!IM42/Inv_SY_B!$IS42-1,"")</f>
        <v/>
      </c>
      <c r="IN42" s="62" t="str">
        <f>IFERROR(Inv_SY_B!IN42/Inv_SY_B!$IS42-1,"")</f>
        <v/>
      </c>
      <c r="IO42" s="62" t="str">
        <f>IFERROR(Inv_SY_B!IO42/Inv_SY_B!$IS42-1,"")</f>
        <v/>
      </c>
      <c r="IP42" s="62" t="str">
        <f>IFERROR(Inv_SY_B!IP42/Inv_SY_B!$IS42-1,"")</f>
        <v/>
      </c>
      <c r="IQ42" s="62" t="str">
        <f>IFERROR(Inv_SY_B!IQ42/Inv_SY_B!$IS42-1,"")</f>
        <v/>
      </c>
      <c r="IR42" s="62" t="str">
        <f>IFERROR(Inv_SY_B!IR42/Inv_SY_B!$IS42-1,"")</f>
        <v/>
      </c>
    </row>
    <row r="43" spans="2:252" x14ac:dyDescent="0.25">
      <c r="B43" s="85">
        <f t="shared" si="0"/>
        <v>45869</v>
      </c>
      <c r="C43" s="62" t="str">
        <f>IFERROR(Inv_SY_B!C43/Inv_SY_B!$IS43-1,"")</f>
        <v/>
      </c>
      <c r="D43" s="62" t="str">
        <f>IFERROR(Inv_SY_B!D43/Inv_SY_B!$IS43-1,"")</f>
        <v/>
      </c>
      <c r="E43" s="62" t="str">
        <f>IFERROR(Inv_SY_B!E43/Inv_SY_B!$IS43-1,"")</f>
        <v/>
      </c>
      <c r="F43" s="62" t="str">
        <f>IFERROR(Inv_SY_B!F43/Inv_SY_B!$IS43-1,"")</f>
        <v/>
      </c>
      <c r="G43" s="62" t="str">
        <f>IFERROR(Inv_SY_B!G43/Inv_SY_B!$IS43-1,"")</f>
        <v/>
      </c>
      <c r="H43" s="62" t="str">
        <f>IFERROR(Inv_SY_B!H43/Inv_SY_B!$IS43-1,"")</f>
        <v/>
      </c>
      <c r="I43" s="62" t="str">
        <f>IFERROR(Inv_SY_B!I43/Inv_SY_B!$IS43-1,"")</f>
        <v/>
      </c>
      <c r="J43" s="62" t="str">
        <f>IFERROR(Inv_SY_B!J43/Inv_SY_B!$IS43-1,"")</f>
        <v/>
      </c>
      <c r="K43" s="62" t="str">
        <f>IFERROR(Inv_SY_B!K43/Inv_SY_B!$IS43-1,"")</f>
        <v/>
      </c>
      <c r="L43" s="62" t="str">
        <f>IFERROR(Inv_SY_B!L43/Inv_SY_B!$IS43-1,"")</f>
        <v/>
      </c>
      <c r="M43" s="62" t="str">
        <f>IFERROR(Inv_SY_B!M43/Inv_SY_B!$IS43-1,"")</f>
        <v/>
      </c>
      <c r="N43" s="62" t="str">
        <f>IFERROR(Inv_SY_B!N43/Inv_SY_B!$IS43-1,"")</f>
        <v/>
      </c>
      <c r="O43" s="62" t="str">
        <f>IFERROR(Inv_SY_B!O43/Inv_SY_B!$IS43-1,"")</f>
        <v/>
      </c>
      <c r="P43" s="62" t="str">
        <f>IFERROR(Inv_SY_B!P43/Inv_SY_B!$IS43-1,"")</f>
        <v/>
      </c>
      <c r="Q43" s="62" t="str">
        <f>IFERROR(Inv_SY_B!Q43/Inv_SY_B!$IS43-1,"")</f>
        <v/>
      </c>
      <c r="R43" s="62" t="str">
        <f>IFERROR(Inv_SY_B!R43/Inv_SY_B!$IS43-1,"")</f>
        <v/>
      </c>
      <c r="S43" s="62" t="str">
        <f>IFERROR(Inv_SY_B!S43/Inv_SY_B!$IS43-1,"")</f>
        <v/>
      </c>
      <c r="T43" s="62" t="str">
        <f>IFERROR(Inv_SY_B!T43/Inv_SY_B!$IS43-1,"")</f>
        <v/>
      </c>
      <c r="U43" s="62" t="str">
        <f>IFERROR(Inv_SY_B!U43/Inv_SY_B!$IS43-1,"")</f>
        <v/>
      </c>
      <c r="V43" s="62" t="str">
        <f>IFERROR(Inv_SY_B!V43/Inv_SY_B!$IS43-1,"")</f>
        <v/>
      </c>
      <c r="W43" s="62" t="str">
        <f>IFERROR(Inv_SY_B!W43/Inv_SY_B!$IS43-1,"")</f>
        <v/>
      </c>
      <c r="X43" s="62" t="str">
        <f>IFERROR(Inv_SY_B!X43/Inv_SY_B!$IS43-1,"")</f>
        <v/>
      </c>
      <c r="Y43" s="62" t="str">
        <f>IFERROR(Inv_SY_B!Y43/Inv_SY_B!$IS43-1,"")</f>
        <v/>
      </c>
      <c r="Z43" s="62" t="str">
        <f>IFERROR(Inv_SY_B!Z43/Inv_SY_B!$IS43-1,"")</f>
        <v/>
      </c>
      <c r="AA43" s="62" t="str">
        <f>IFERROR(Inv_SY_B!AA43/Inv_SY_B!$IS43-1,"")</f>
        <v/>
      </c>
      <c r="AB43" s="62" t="str">
        <f>IFERROR(Inv_SY_B!AB43/Inv_SY_B!$IS43-1,"")</f>
        <v/>
      </c>
      <c r="AC43" s="62" t="str">
        <f>IFERROR(Inv_SY_B!AC43/Inv_SY_B!$IS43-1,"")</f>
        <v/>
      </c>
      <c r="AD43" s="62" t="str">
        <f>IFERROR(Inv_SY_B!AD43/Inv_SY_B!$IS43-1,"")</f>
        <v/>
      </c>
      <c r="AE43" s="62" t="str">
        <f>IFERROR(Inv_SY_B!AE43/Inv_SY_B!$IS43-1,"")</f>
        <v/>
      </c>
      <c r="AF43" s="62" t="str">
        <f>IFERROR(Inv_SY_B!AF43/Inv_SY_B!$IS43-1,"")</f>
        <v/>
      </c>
      <c r="AG43" s="62" t="str">
        <f>IFERROR(Inv_SY_B!AG43/Inv_SY_B!$IS43-1,"")</f>
        <v/>
      </c>
      <c r="AH43" s="62" t="str">
        <f>IFERROR(Inv_SY_B!AH43/Inv_SY_B!$IS43-1,"")</f>
        <v/>
      </c>
      <c r="AI43" s="62" t="str">
        <f>IFERROR(Inv_SY_B!AI43/Inv_SY_B!$IS43-1,"")</f>
        <v/>
      </c>
      <c r="AJ43" s="62" t="str">
        <f>IFERROR(Inv_SY_B!AJ43/Inv_SY_B!$IS43-1,"")</f>
        <v/>
      </c>
      <c r="AK43" s="62" t="str">
        <f>IFERROR(Inv_SY_B!AK43/Inv_SY_B!$IS43-1,"")</f>
        <v/>
      </c>
      <c r="AL43" s="62" t="str">
        <f>IFERROR(Inv_SY_B!AL43/Inv_SY_B!$IS43-1,"")</f>
        <v/>
      </c>
      <c r="AM43" s="62" t="str">
        <f>IFERROR(Inv_SY_B!AM43/Inv_SY_B!$IS43-1,"")</f>
        <v/>
      </c>
      <c r="AN43" s="62" t="str">
        <f>IFERROR(Inv_SY_B!AN43/Inv_SY_B!$IS43-1,"")</f>
        <v/>
      </c>
      <c r="AO43" s="62" t="str">
        <f>IFERROR(Inv_SY_B!AO43/Inv_SY_B!$IS43-1,"")</f>
        <v/>
      </c>
      <c r="AP43" s="62" t="str">
        <f>IFERROR(Inv_SY_B!AP43/Inv_SY_B!$IS43-1,"")</f>
        <v/>
      </c>
      <c r="AQ43" s="62" t="str">
        <f>IFERROR(Inv_SY_B!AQ43/Inv_SY_B!$IS43-1,"")</f>
        <v/>
      </c>
      <c r="AR43" s="62" t="str">
        <f>IFERROR(Inv_SY_B!AR43/Inv_SY_B!$IS43-1,"")</f>
        <v/>
      </c>
      <c r="AS43" s="62" t="str">
        <f>IFERROR(Inv_SY_B!AS43/Inv_SY_B!$IS43-1,"")</f>
        <v/>
      </c>
      <c r="AT43" s="62" t="str">
        <f>IFERROR(Inv_SY_B!AT43/Inv_SY_B!$IS43-1,"")</f>
        <v/>
      </c>
      <c r="AU43" s="62" t="str">
        <f>IFERROR(Inv_SY_B!AU43/Inv_SY_B!$IS43-1,"")</f>
        <v/>
      </c>
      <c r="AV43" s="62" t="str">
        <f>IFERROR(Inv_SY_B!AV43/Inv_SY_B!$IS43-1,"")</f>
        <v/>
      </c>
      <c r="AW43" s="62" t="str">
        <f>IFERROR(Inv_SY_B!AW43/Inv_SY_B!$IS43-1,"")</f>
        <v/>
      </c>
      <c r="AX43" s="62" t="str">
        <f>IFERROR(Inv_SY_B!AX43/Inv_SY_B!$IS43-1,"")</f>
        <v/>
      </c>
      <c r="AY43" s="62" t="str">
        <f>IFERROR(Inv_SY_B!AY43/Inv_SY_B!$IS43-1,"")</f>
        <v/>
      </c>
      <c r="AZ43" s="62" t="str">
        <f>IFERROR(Inv_SY_B!AZ43/Inv_SY_B!$IS43-1,"")</f>
        <v/>
      </c>
      <c r="BA43" s="62" t="str">
        <f>IFERROR(Inv_SY_B!BA43/Inv_SY_B!$IS43-1,"")</f>
        <v/>
      </c>
      <c r="BB43" s="62" t="str">
        <f>IFERROR(Inv_SY_B!BB43/Inv_SY_B!$IS43-1,"")</f>
        <v/>
      </c>
      <c r="BC43" s="62" t="str">
        <f>IFERROR(Inv_SY_B!BC43/Inv_SY_B!$IS43-1,"")</f>
        <v/>
      </c>
      <c r="BD43" s="62" t="str">
        <f>IFERROR(Inv_SY_B!BD43/Inv_SY_B!$IS43-1,"")</f>
        <v/>
      </c>
      <c r="BE43" s="62" t="str">
        <f>IFERROR(Inv_SY_B!BE43/Inv_SY_B!$IS43-1,"")</f>
        <v/>
      </c>
      <c r="BF43" s="62" t="str">
        <f>IFERROR(Inv_SY_B!BF43/Inv_SY_B!$IS43-1,"")</f>
        <v/>
      </c>
      <c r="BG43" s="62" t="str">
        <f>IFERROR(Inv_SY_B!BG43/Inv_SY_B!$IS43-1,"")</f>
        <v/>
      </c>
      <c r="BH43" s="62" t="str">
        <f>IFERROR(Inv_SY_B!BH43/Inv_SY_B!$IS43-1,"")</f>
        <v/>
      </c>
      <c r="BI43" s="62" t="str">
        <f>IFERROR(Inv_SY_B!BI43/Inv_SY_B!$IS43-1,"")</f>
        <v/>
      </c>
      <c r="BJ43" s="62" t="str">
        <f>IFERROR(Inv_SY_B!BJ43/Inv_SY_B!$IS43-1,"")</f>
        <v/>
      </c>
      <c r="BK43" s="62" t="str">
        <f>IFERROR(Inv_SY_B!BK43/Inv_SY_B!$IS43-1,"")</f>
        <v/>
      </c>
      <c r="BL43" s="62" t="str">
        <f>IFERROR(Inv_SY_B!BL43/Inv_SY_B!$IS43-1,"")</f>
        <v/>
      </c>
      <c r="BM43" s="62" t="str">
        <f>IFERROR(Inv_SY_B!BM43/Inv_SY_B!$IS43-1,"")</f>
        <v/>
      </c>
      <c r="BN43" s="62" t="str">
        <f>IFERROR(Inv_SY_B!BN43/Inv_SY_B!$IS43-1,"")</f>
        <v/>
      </c>
      <c r="BO43" s="62" t="str">
        <f>IFERROR(Inv_SY_B!BO43/Inv_SY_B!$IS43-1,"")</f>
        <v/>
      </c>
      <c r="BP43" s="62" t="str">
        <f>IFERROR(Inv_SY_B!BP43/Inv_SY_B!$IS43-1,"")</f>
        <v/>
      </c>
      <c r="BQ43" s="62" t="str">
        <f>IFERROR(Inv_SY_B!BQ43/Inv_SY_B!$IS43-1,"")</f>
        <v/>
      </c>
      <c r="BR43" s="62" t="str">
        <f>IFERROR(Inv_SY_B!BR43/Inv_SY_B!$IS43-1,"")</f>
        <v/>
      </c>
      <c r="BS43" s="62" t="str">
        <f>IFERROR(Inv_SY_B!BS43/Inv_SY_B!$IS43-1,"")</f>
        <v/>
      </c>
      <c r="BT43" s="62" t="str">
        <f>IFERROR(Inv_SY_B!BT43/Inv_SY_B!$IS43-1,"")</f>
        <v/>
      </c>
      <c r="BU43" s="62" t="str">
        <f>IFERROR(Inv_SY_B!BU43/Inv_SY_B!$IS43-1,"")</f>
        <v/>
      </c>
      <c r="BV43" s="62" t="str">
        <f>IFERROR(Inv_SY_B!BV43/Inv_SY_B!$IS43-1,"")</f>
        <v/>
      </c>
      <c r="BW43" s="62" t="str">
        <f>IFERROR(Inv_SY_B!BW43/Inv_SY_B!$IS43-1,"")</f>
        <v/>
      </c>
      <c r="BX43" s="62" t="str">
        <f>IFERROR(Inv_SY_B!BX43/Inv_SY_B!$IS43-1,"")</f>
        <v/>
      </c>
      <c r="BY43" s="62" t="str">
        <f>IFERROR(Inv_SY_B!BY43/Inv_SY_B!$IS43-1,"")</f>
        <v/>
      </c>
      <c r="BZ43" s="62" t="str">
        <f>IFERROR(Inv_SY_B!BZ43/Inv_SY_B!$IS43-1,"")</f>
        <v/>
      </c>
      <c r="CA43" s="62" t="str">
        <f>IFERROR(Inv_SY_B!CA43/Inv_SY_B!$IS43-1,"")</f>
        <v/>
      </c>
      <c r="CB43" s="62" t="str">
        <f>IFERROR(Inv_SY_B!CB43/Inv_SY_B!$IS43-1,"")</f>
        <v/>
      </c>
      <c r="CC43" s="62" t="str">
        <f>IFERROR(Inv_SY_B!CC43/Inv_SY_B!$IS43-1,"")</f>
        <v/>
      </c>
      <c r="CD43" s="62" t="str">
        <f>IFERROR(Inv_SY_B!CD43/Inv_SY_B!$IS43-1,"")</f>
        <v/>
      </c>
      <c r="CE43" s="62" t="str">
        <f>IFERROR(Inv_SY_B!CE43/Inv_SY_B!$IS43-1,"")</f>
        <v/>
      </c>
      <c r="CF43" s="62" t="str">
        <f>IFERROR(Inv_SY_B!CF43/Inv_SY_B!$IS43-1,"")</f>
        <v/>
      </c>
      <c r="CG43" s="62" t="str">
        <f>IFERROR(Inv_SY_B!CG43/Inv_SY_B!$IS43-1,"")</f>
        <v/>
      </c>
      <c r="CH43" s="62" t="str">
        <f>IFERROR(Inv_SY_B!CH43/Inv_SY_B!$IS43-1,"")</f>
        <v/>
      </c>
      <c r="CI43" s="62" t="str">
        <f>IFERROR(Inv_SY_B!CI43/Inv_SY_B!$IS43-1,"")</f>
        <v/>
      </c>
      <c r="CJ43" s="62" t="str">
        <f>IFERROR(Inv_SY_B!CJ43/Inv_SY_B!$IS43-1,"")</f>
        <v/>
      </c>
      <c r="CK43" s="62" t="str">
        <f>IFERROR(Inv_SY_B!CK43/Inv_SY_B!$IS43-1,"")</f>
        <v/>
      </c>
      <c r="CL43" s="62" t="str">
        <f>IFERROR(Inv_SY_B!CL43/Inv_SY_B!$IS43-1,"")</f>
        <v/>
      </c>
      <c r="CM43" s="62" t="str">
        <f>IFERROR(Inv_SY_B!CM43/Inv_SY_B!$IS43-1,"")</f>
        <v/>
      </c>
      <c r="CN43" s="62" t="str">
        <f>IFERROR(Inv_SY_B!CN43/Inv_SY_B!$IS43-1,"")</f>
        <v/>
      </c>
      <c r="CO43" s="62" t="str">
        <f>IFERROR(Inv_SY_B!CO43/Inv_SY_B!$IS43-1,"")</f>
        <v/>
      </c>
      <c r="CP43" s="62" t="str">
        <f>IFERROR(Inv_SY_B!CP43/Inv_SY_B!$IS43-1,"")</f>
        <v/>
      </c>
      <c r="CQ43" s="62" t="str">
        <f>IFERROR(Inv_SY_B!CQ43/Inv_SY_B!$IS43-1,"")</f>
        <v/>
      </c>
      <c r="CR43" s="62" t="str">
        <f>IFERROR(Inv_SY_B!CR43/Inv_SY_B!$IS43-1,"")</f>
        <v/>
      </c>
      <c r="CS43" s="62" t="str">
        <f>IFERROR(Inv_SY_B!CS43/Inv_SY_B!$IS43-1,"")</f>
        <v/>
      </c>
      <c r="CT43" s="62" t="str">
        <f>IFERROR(Inv_SY_B!CT43/Inv_SY_B!$IS43-1,"")</f>
        <v/>
      </c>
      <c r="CU43" s="62" t="str">
        <f>IFERROR(Inv_SY_B!CU43/Inv_SY_B!$IS43-1,"")</f>
        <v/>
      </c>
      <c r="CV43" s="62" t="str">
        <f>IFERROR(Inv_SY_B!CV43/Inv_SY_B!$IS43-1,"")</f>
        <v/>
      </c>
      <c r="CW43" s="62" t="str">
        <f>IFERROR(Inv_SY_B!CW43/Inv_SY_B!$IS43-1,"")</f>
        <v/>
      </c>
      <c r="CX43" s="62" t="str">
        <f>IFERROR(Inv_SY_B!CX43/Inv_SY_B!$IS43-1,"")</f>
        <v/>
      </c>
      <c r="CY43" s="62" t="str">
        <f>IFERROR(Inv_SY_B!CY43/Inv_SY_B!$IS43-1,"")</f>
        <v/>
      </c>
      <c r="CZ43" s="62" t="str">
        <f>IFERROR(Inv_SY_B!CZ43/Inv_SY_B!$IS43-1,"")</f>
        <v/>
      </c>
      <c r="DA43" s="62" t="str">
        <f>IFERROR(Inv_SY_B!DA43/Inv_SY_B!$IS43-1,"")</f>
        <v/>
      </c>
      <c r="DB43" s="62" t="str">
        <f>IFERROR(Inv_SY_B!DB43/Inv_SY_B!$IS43-1,"")</f>
        <v/>
      </c>
      <c r="DC43" s="62" t="str">
        <f>IFERROR(Inv_SY_B!DC43/Inv_SY_B!$IS43-1,"")</f>
        <v/>
      </c>
      <c r="DD43" s="62" t="str">
        <f>IFERROR(Inv_SY_B!DD43/Inv_SY_B!$IS43-1,"")</f>
        <v/>
      </c>
      <c r="DE43" s="62" t="str">
        <f>IFERROR(Inv_SY_B!DE43/Inv_SY_B!$IS43-1,"")</f>
        <v/>
      </c>
      <c r="DF43" s="62" t="str">
        <f>IFERROR(Inv_SY_B!DF43/Inv_SY_B!$IS43-1,"")</f>
        <v/>
      </c>
      <c r="DG43" s="62" t="str">
        <f>IFERROR(Inv_SY_B!DG43/Inv_SY_B!$IS43-1,"")</f>
        <v/>
      </c>
      <c r="DH43" s="62" t="str">
        <f>IFERROR(Inv_SY_B!DH43/Inv_SY_B!$IS43-1,"")</f>
        <v/>
      </c>
      <c r="DI43" s="62" t="str">
        <f>IFERROR(Inv_SY_B!DI43/Inv_SY_B!$IS43-1,"")</f>
        <v/>
      </c>
      <c r="DJ43" s="62" t="str">
        <f>IFERROR(Inv_SY_B!DJ43/Inv_SY_B!$IS43-1,"")</f>
        <v/>
      </c>
      <c r="DK43" s="62" t="str">
        <f>IFERROR(Inv_SY_B!DK43/Inv_SY_B!$IS43-1,"")</f>
        <v/>
      </c>
      <c r="DL43" s="62" t="str">
        <f>IFERROR(Inv_SY_B!DL43/Inv_SY_B!$IS43-1,"")</f>
        <v/>
      </c>
      <c r="DM43" s="62" t="str">
        <f>IFERROR(Inv_SY_B!DM43/Inv_SY_B!$IS43-1,"")</f>
        <v/>
      </c>
      <c r="DN43" s="62" t="str">
        <f>IFERROR(Inv_SY_B!DN43/Inv_SY_B!$IS43-1,"")</f>
        <v/>
      </c>
      <c r="DO43" s="62" t="str">
        <f>IFERROR(Inv_SY_B!DO43/Inv_SY_B!$IS43-1,"")</f>
        <v/>
      </c>
      <c r="DP43" s="62" t="str">
        <f>IFERROR(Inv_SY_B!DP43/Inv_SY_B!$IS43-1,"")</f>
        <v/>
      </c>
      <c r="DQ43" s="62" t="str">
        <f>IFERROR(Inv_SY_B!DQ43/Inv_SY_B!$IS43-1,"")</f>
        <v/>
      </c>
      <c r="DR43" s="62" t="str">
        <f>IFERROR(Inv_SY_B!DR43/Inv_SY_B!$IS43-1,"")</f>
        <v/>
      </c>
      <c r="DS43" s="62" t="str">
        <f>IFERROR(Inv_SY_B!DS43/Inv_SY_B!$IS43-1,"")</f>
        <v/>
      </c>
      <c r="DT43" s="62" t="str">
        <f>IFERROR(Inv_SY_B!DT43/Inv_SY_B!$IS43-1,"")</f>
        <v/>
      </c>
      <c r="DU43" s="62" t="str">
        <f>IFERROR(Inv_SY_B!DU43/Inv_SY_B!$IS43-1,"")</f>
        <v/>
      </c>
      <c r="DV43" s="62" t="str">
        <f>IFERROR(Inv_SY_B!DV43/Inv_SY_B!$IS43-1,"")</f>
        <v/>
      </c>
      <c r="DW43" s="62" t="str">
        <f>IFERROR(Inv_SY_B!DW43/Inv_SY_B!$IS43-1,"")</f>
        <v/>
      </c>
      <c r="DX43" s="62" t="str">
        <f>IFERROR(Inv_SY_B!DX43/Inv_SY_B!$IS43-1,"")</f>
        <v/>
      </c>
      <c r="DY43" s="62" t="str">
        <f>IFERROR(Inv_SY_B!DY43/Inv_SY_B!$IS43-1,"")</f>
        <v/>
      </c>
      <c r="DZ43" s="62" t="str">
        <f>IFERROR(Inv_SY_B!DZ43/Inv_SY_B!$IS43-1,"")</f>
        <v/>
      </c>
      <c r="EA43" s="62" t="str">
        <f>IFERROR(Inv_SY_B!EA43/Inv_SY_B!$IS43-1,"")</f>
        <v/>
      </c>
      <c r="EB43" s="62" t="str">
        <f>IFERROR(Inv_SY_B!EB43/Inv_SY_B!$IS43-1,"")</f>
        <v/>
      </c>
      <c r="EC43" s="62" t="str">
        <f>IFERROR(Inv_SY_B!EC43/Inv_SY_B!$IS43-1,"")</f>
        <v/>
      </c>
      <c r="ED43" s="62" t="str">
        <f>IFERROR(Inv_SY_B!ED43/Inv_SY_B!$IS43-1,"")</f>
        <v/>
      </c>
      <c r="EE43" s="62" t="str">
        <f>IFERROR(Inv_SY_B!EE43/Inv_SY_B!$IS43-1,"")</f>
        <v/>
      </c>
      <c r="EF43" s="62" t="str">
        <f>IFERROR(Inv_SY_B!EF43/Inv_SY_B!$IS43-1,"")</f>
        <v/>
      </c>
      <c r="EG43" s="62" t="str">
        <f>IFERROR(Inv_SY_B!EG43/Inv_SY_B!$IS43-1,"")</f>
        <v/>
      </c>
      <c r="EH43" s="62" t="str">
        <f>IFERROR(Inv_SY_B!EH43/Inv_SY_B!$IS43-1,"")</f>
        <v/>
      </c>
      <c r="EI43" s="62" t="str">
        <f>IFERROR(Inv_SY_B!EI43/Inv_SY_B!$IS43-1,"")</f>
        <v/>
      </c>
      <c r="EJ43" s="62" t="str">
        <f>IFERROR(Inv_SY_B!EJ43/Inv_SY_B!$IS43-1,"")</f>
        <v/>
      </c>
      <c r="EK43" s="62" t="str">
        <f>IFERROR(Inv_SY_B!EK43/Inv_SY_B!$IS43-1,"")</f>
        <v/>
      </c>
      <c r="EL43" s="62" t="str">
        <f>IFERROR(Inv_SY_B!EL43/Inv_SY_B!$IS43-1,"")</f>
        <v/>
      </c>
      <c r="EM43" s="62" t="str">
        <f>IFERROR(Inv_SY_B!EM43/Inv_SY_B!$IS43-1,"")</f>
        <v/>
      </c>
      <c r="EN43" s="62" t="str">
        <f>IFERROR(Inv_SY_B!EN43/Inv_SY_B!$IS43-1,"")</f>
        <v/>
      </c>
      <c r="EO43" s="62" t="str">
        <f>IFERROR(Inv_SY_B!EO43/Inv_SY_B!$IS43-1,"")</f>
        <v/>
      </c>
      <c r="EP43" s="62" t="str">
        <f>IFERROR(Inv_SY_B!EP43/Inv_SY_B!$IS43-1,"")</f>
        <v/>
      </c>
      <c r="EQ43" s="62" t="str">
        <f>IFERROR(Inv_SY_B!EQ43/Inv_SY_B!$IS43-1,"")</f>
        <v/>
      </c>
      <c r="ER43" s="62" t="str">
        <f>IFERROR(Inv_SY_B!ER43/Inv_SY_B!$IS43-1,"")</f>
        <v/>
      </c>
      <c r="ES43" s="62" t="str">
        <f>IFERROR(Inv_SY_B!ES43/Inv_SY_B!$IS43-1,"")</f>
        <v/>
      </c>
      <c r="ET43" s="62" t="str">
        <f>IFERROR(Inv_SY_B!ET43/Inv_SY_B!$IS43-1,"")</f>
        <v/>
      </c>
      <c r="EU43" s="62" t="str">
        <f>IFERROR(Inv_SY_B!EU43/Inv_SY_B!$IS43-1,"")</f>
        <v/>
      </c>
      <c r="EV43" s="62" t="str">
        <f>IFERROR(Inv_SY_B!EV43/Inv_SY_B!$IS43-1,"")</f>
        <v/>
      </c>
      <c r="EW43" s="62" t="str">
        <f>IFERROR(Inv_SY_B!EW43/Inv_SY_B!$IS43-1,"")</f>
        <v/>
      </c>
      <c r="EX43" s="62" t="str">
        <f>IFERROR(Inv_SY_B!EX43/Inv_SY_B!$IS43-1,"")</f>
        <v/>
      </c>
      <c r="EY43" s="62" t="str">
        <f>IFERROR(Inv_SY_B!EY43/Inv_SY_B!$IS43-1,"")</f>
        <v/>
      </c>
      <c r="EZ43" s="62" t="str">
        <f>IFERROR(Inv_SY_B!EZ43/Inv_SY_B!$IS43-1,"")</f>
        <v/>
      </c>
      <c r="FA43" s="62" t="str">
        <f>IFERROR(Inv_SY_B!FA43/Inv_SY_B!$IS43-1,"")</f>
        <v/>
      </c>
      <c r="FB43" s="62" t="str">
        <f>IFERROR(Inv_SY_B!FB43/Inv_SY_B!$IS43-1,"")</f>
        <v/>
      </c>
      <c r="FC43" s="62" t="str">
        <f>IFERROR(Inv_SY_B!FC43/Inv_SY_B!$IS43-1,"")</f>
        <v/>
      </c>
      <c r="FD43" s="62" t="str">
        <f>IFERROR(Inv_SY_B!FD43/Inv_SY_B!$IS43-1,"")</f>
        <v/>
      </c>
      <c r="FE43" s="62" t="str">
        <f>IFERROR(Inv_SY_B!FE43/Inv_SY_B!$IS43-1,"")</f>
        <v/>
      </c>
      <c r="FF43" s="62" t="str">
        <f>IFERROR(Inv_SY_B!FF43/Inv_SY_B!$IS43-1,"")</f>
        <v/>
      </c>
      <c r="FG43" s="62" t="str">
        <f>IFERROR(Inv_SY_B!FG43/Inv_SY_B!$IS43-1,"")</f>
        <v/>
      </c>
      <c r="FH43" s="62" t="str">
        <f>IFERROR(Inv_SY_B!FH43/Inv_SY_B!$IS43-1,"")</f>
        <v/>
      </c>
      <c r="FI43" s="62" t="str">
        <f>IFERROR(Inv_SY_B!FI43/Inv_SY_B!$IS43-1,"")</f>
        <v/>
      </c>
      <c r="FJ43" s="62" t="str">
        <f>IFERROR(Inv_SY_B!FJ43/Inv_SY_B!$IS43-1,"")</f>
        <v/>
      </c>
      <c r="FK43" s="62" t="str">
        <f>IFERROR(Inv_SY_B!FK43/Inv_SY_B!$IS43-1,"")</f>
        <v/>
      </c>
      <c r="FL43" s="62" t="str">
        <f>IFERROR(Inv_SY_B!FL43/Inv_SY_B!$IS43-1,"")</f>
        <v/>
      </c>
      <c r="FM43" s="62" t="str">
        <f>IFERROR(Inv_SY_B!FM43/Inv_SY_B!$IS43-1,"")</f>
        <v/>
      </c>
      <c r="FN43" s="62" t="str">
        <f>IFERROR(Inv_SY_B!FN43/Inv_SY_B!$IS43-1,"")</f>
        <v/>
      </c>
      <c r="FO43" s="62" t="str">
        <f>IFERROR(Inv_SY_B!FO43/Inv_SY_B!$IS43-1,"")</f>
        <v/>
      </c>
      <c r="FP43" s="62" t="str">
        <f>IFERROR(Inv_SY_B!FP43/Inv_SY_B!$IS43-1,"")</f>
        <v/>
      </c>
      <c r="FQ43" s="62" t="str">
        <f>IFERROR(Inv_SY_B!FQ43/Inv_SY_B!$IS43-1,"")</f>
        <v/>
      </c>
      <c r="FR43" s="62" t="str">
        <f>IFERROR(Inv_SY_B!FR43/Inv_SY_B!$IS43-1,"")</f>
        <v/>
      </c>
      <c r="FS43" s="62" t="str">
        <f>IFERROR(Inv_SY_B!FS43/Inv_SY_B!$IS43-1,"")</f>
        <v/>
      </c>
      <c r="FT43" s="62" t="str">
        <f>IFERROR(Inv_SY_B!FT43/Inv_SY_B!$IS43-1,"")</f>
        <v/>
      </c>
      <c r="FU43" s="62" t="str">
        <f>IFERROR(Inv_SY_B!FU43/Inv_SY_B!$IS43-1,"")</f>
        <v/>
      </c>
      <c r="FV43" s="62" t="str">
        <f>IFERROR(Inv_SY_B!FV43/Inv_SY_B!$IS43-1,"")</f>
        <v/>
      </c>
      <c r="FW43" s="62" t="str">
        <f>IFERROR(Inv_SY_B!FW43/Inv_SY_B!$IS43-1,"")</f>
        <v/>
      </c>
      <c r="FX43" s="62" t="str">
        <f>IFERROR(Inv_SY_B!FX43/Inv_SY_B!$IS43-1,"")</f>
        <v/>
      </c>
      <c r="FY43" s="62" t="str">
        <f>IFERROR(Inv_SY_B!FY43/Inv_SY_B!$IS43-1,"")</f>
        <v/>
      </c>
      <c r="FZ43" s="62" t="str">
        <f>IFERROR(Inv_SY_B!FZ43/Inv_SY_B!$IS43-1,"")</f>
        <v/>
      </c>
      <c r="GA43" s="62" t="str">
        <f>IFERROR(Inv_SY_B!GA43/Inv_SY_B!$IS43-1,"")</f>
        <v/>
      </c>
      <c r="GB43" s="62" t="str">
        <f>IFERROR(Inv_SY_B!GB43/Inv_SY_B!$IS43-1,"")</f>
        <v/>
      </c>
      <c r="GC43" s="62" t="str">
        <f>IFERROR(Inv_SY_B!GC43/Inv_SY_B!$IS43-1,"")</f>
        <v/>
      </c>
      <c r="GD43" s="62" t="str">
        <f>IFERROR(Inv_SY_B!GD43/Inv_SY_B!$IS43-1,"")</f>
        <v/>
      </c>
      <c r="GE43" s="62" t="str">
        <f>IFERROR(Inv_SY_B!GE43/Inv_SY_B!$IS43-1,"")</f>
        <v/>
      </c>
      <c r="GF43" s="62" t="str">
        <f>IFERROR(Inv_SY_B!GF43/Inv_SY_B!$IS43-1,"")</f>
        <v/>
      </c>
      <c r="GG43" s="62" t="str">
        <f>IFERROR(Inv_SY_B!GG43/Inv_SY_B!$IS43-1,"")</f>
        <v/>
      </c>
      <c r="GH43" s="62" t="str">
        <f>IFERROR(Inv_SY_B!GH43/Inv_SY_B!$IS43-1,"")</f>
        <v/>
      </c>
      <c r="GI43" s="62" t="str">
        <f>IFERROR(Inv_SY_B!GI43/Inv_SY_B!$IS43-1,"")</f>
        <v/>
      </c>
      <c r="GJ43" s="62" t="str">
        <f>IFERROR(Inv_SY_B!GJ43/Inv_SY_B!$IS43-1,"")</f>
        <v/>
      </c>
      <c r="GK43" s="62" t="str">
        <f>IFERROR(Inv_SY_B!GK43/Inv_SY_B!$IS43-1,"")</f>
        <v/>
      </c>
      <c r="GL43" s="62" t="str">
        <f>IFERROR(Inv_SY_B!GL43/Inv_SY_B!$IS43-1,"")</f>
        <v/>
      </c>
      <c r="GM43" s="62" t="str">
        <f>IFERROR(Inv_SY_B!GM43/Inv_SY_B!$IS43-1,"")</f>
        <v/>
      </c>
      <c r="GN43" s="62" t="str">
        <f>IFERROR(Inv_SY_B!GN43/Inv_SY_B!$IS43-1,"")</f>
        <v/>
      </c>
      <c r="GO43" s="62" t="str">
        <f>IFERROR(Inv_SY_B!GO43/Inv_SY_B!$IS43-1,"")</f>
        <v/>
      </c>
      <c r="GP43" s="62" t="str">
        <f>IFERROR(Inv_SY_B!GP43/Inv_SY_B!$IS43-1,"")</f>
        <v/>
      </c>
      <c r="GQ43" s="62" t="str">
        <f>IFERROR(Inv_SY_B!GQ43/Inv_SY_B!$IS43-1,"")</f>
        <v/>
      </c>
      <c r="GR43" s="62" t="str">
        <f>IFERROR(Inv_SY_B!GR43/Inv_SY_B!$IS43-1,"")</f>
        <v/>
      </c>
      <c r="GS43" s="62" t="str">
        <f>IFERROR(Inv_SY_B!GS43/Inv_SY_B!$IS43-1,"")</f>
        <v/>
      </c>
      <c r="GT43" s="62" t="str">
        <f>IFERROR(Inv_SY_B!GT43/Inv_SY_B!$IS43-1,"")</f>
        <v/>
      </c>
      <c r="GU43" s="62" t="str">
        <f>IFERROR(Inv_SY_B!GU43/Inv_SY_B!$IS43-1,"")</f>
        <v/>
      </c>
      <c r="GV43" s="62" t="str">
        <f>IFERROR(Inv_SY_B!GV43/Inv_SY_B!$IS43-1,"")</f>
        <v/>
      </c>
      <c r="GW43" s="62" t="str">
        <f>IFERROR(Inv_SY_B!GW43/Inv_SY_B!$IS43-1,"")</f>
        <v/>
      </c>
      <c r="GX43" s="62" t="str">
        <f>IFERROR(Inv_SY_B!GX43/Inv_SY_B!$IS43-1,"")</f>
        <v/>
      </c>
      <c r="GY43" s="62" t="str">
        <f>IFERROR(Inv_SY_B!GY43/Inv_SY_B!$IS43-1,"")</f>
        <v/>
      </c>
      <c r="GZ43" s="62" t="str">
        <f>IFERROR(Inv_SY_B!GZ43/Inv_SY_B!$IS43-1,"")</f>
        <v/>
      </c>
      <c r="HA43" s="62" t="str">
        <f>IFERROR(Inv_SY_B!HA43/Inv_SY_B!$IS43-1,"")</f>
        <v/>
      </c>
      <c r="HB43" s="62" t="str">
        <f>IFERROR(Inv_SY_B!HB43/Inv_SY_B!$IS43-1,"")</f>
        <v/>
      </c>
      <c r="HC43" s="62" t="str">
        <f>IFERROR(Inv_SY_B!HC43/Inv_SY_B!$IS43-1,"")</f>
        <v/>
      </c>
      <c r="HD43" s="62" t="str">
        <f>IFERROR(Inv_SY_B!HD43/Inv_SY_B!$IS43-1,"")</f>
        <v/>
      </c>
      <c r="HE43" s="62" t="str">
        <f>IFERROR(Inv_SY_B!HE43/Inv_SY_B!$IS43-1,"")</f>
        <v/>
      </c>
      <c r="HF43" s="62" t="str">
        <f>IFERROR(Inv_SY_B!HF43/Inv_SY_B!$IS43-1,"")</f>
        <v/>
      </c>
      <c r="HG43" s="62" t="str">
        <f>IFERROR(Inv_SY_B!HG43/Inv_SY_B!$IS43-1,"")</f>
        <v/>
      </c>
      <c r="HH43" s="62" t="str">
        <f>IFERROR(Inv_SY_B!HH43/Inv_SY_B!$IS43-1,"")</f>
        <v/>
      </c>
      <c r="HI43" s="62" t="str">
        <f>IFERROR(Inv_SY_B!HI43/Inv_SY_B!$IS43-1,"")</f>
        <v/>
      </c>
      <c r="HJ43" s="62" t="str">
        <f>IFERROR(Inv_SY_B!HJ43/Inv_SY_B!$IS43-1,"")</f>
        <v/>
      </c>
      <c r="HK43" s="62" t="str">
        <f>IFERROR(Inv_SY_B!HK43/Inv_SY_B!$IS43-1,"")</f>
        <v/>
      </c>
      <c r="HL43" s="62" t="str">
        <f>IFERROR(Inv_SY_B!HL43/Inv_SY_B!$IS43-1,"")</f>
        <v/>
      </c>
      <c r="HM43" s="62" t="str">
        <f>IFERROR(Inv_SY_B!HM43/Inv_SY_B!$IS43-1,"")</f>
        <v/>
      </c>
      <c r="HN43" s="62" t="str">
        <f>IFERROR(Inv_SY_B!HN43/Inv_SY_B!$IS43-1,"")</f>
        <v/>
      </c>
      <c r="HO43" s="62" t="str">
        <f>IFERROR(Inv_SY_B!HO43/Inv_SY_B!$IS43-1,"")</f>
        <v/>
      </c>
      <c r="HP43" s="62" t="str">
        <f>IFERROR(Inv_SY_B!HP43/Inv_SY_B!$IS43-1,"")</f>
        <v/>
      </c>
      <c r="HQ43" s="62" t="str">
        <f>IFERROR(Inv_SY_B!HQ43/Inv_SY_B!$IS43-1,"")</f>
        <v/>
      </c>
      <c r="HR43" s="62" t="str">
        <f>IFERROR(Inv_SY_B!HR43/Inv_SY_B!$IS43-1,"")</f>
        <v/>
      </c>
      <c r="HS43" s="62" t="str">
        <f>IFERROR(Inv_SY_B!HS43/Inv_SY_B!$IS43-1,"")</f>
        <v/>
      </c>
      <c r="HT43" s="62" t="str">
        <f>IFERROR(Inv_SY_B!HT43/Inv_SY_B!$IS43-1,"")</f>
        <v/>
      </c>
      <c r="HU43" s="62" t="str">
        <f>IFERROR(Inv_SY_B!HU43/Inv_SY_B!$IS43-1,"")</f>
        <v/>
      </c>
      <c r="HV43" s="62" t="str">
        <f>IFERROR(Inv_SY_B!HV43/Inv_SY_B!$IS43-1,"")</f>
        <v/>
      </c>
      <c r="HW43" s="62" t="str">
        <f>IFERROR(Inv_SY_B!HW43/Inv_SY_B!$IS43-1,"")</f>
        <v/>
      </c>
      <c r="HX43" s="62" t="str">
        <f>IFERROR(Inv_SY_B!HX43/Inv_SY_B!$IS43-1,"")</f>
        <v/>
      </c>
      <c r="HY43" s="62" t="str">
        <f>IFERROR(Inv_SY_B!HY43/Inv_SY_B!$IS43-1,"")</f>
        <v/>
      </c>
      <c r="HZ43" s="62" t="str">
        <f>IFERROR(Inv_SY_B!HZ43/Inv_SY_B!$IS43-1,"")</f>
        <v/>
      </c>
      <c r="IA43" s="62" t="str">
        <f>IFERROR(Inv_SY_B!IA43/Inv_SY_B!$IS43-1,"")</f>
        <v/>
      </c>
      <c r="IB43" s="62" t="str">
        <f>IFERROR(Inv_SY_B!IB43/Inv_SY_B!$IS43-1,"")</f>
        <v/>
      </c>
      <c r="IC43" s="62" t="str">
        <f>IFERROR(Inv_SY_B!IC43/Inv_SY_B!$IS43-1,"")</f>
        <v/>
      </c>
      <c r="ID43" s="62" t="str">
        <f>IFERROR(Inv_SY_B!ID43/Inv_SY_B!$IS43-1,"")</f>
        <v/>
      </c>
      <c r="IE43" s="62" t="str">
        <f>IFERROR(Inv_SY_B!IE43/Inv_SY_B!$IS43-1,"")</f>
        <v/>
      </c>
      <c r="IF43" s="62" t="str">
        <f>IFERROR(Inv_SY_B!IF43/Inv_SY_B!$IS43-1,"")</f>
        <v/>
      </c>
      <c r="IG43" s="62" t="str">
        <f>IFERROR(Inv_SY_B!IG43/Inv_SY_B!$IS43-1,"")</f>
        <v/>
      </c>
      <c r="IH43" s="62" t="str">
        <f>IFERROR(Inv_SY_B!IH43/Inv_SY_B!$IS43-1,"")</f>
        <v/>
      </c>
      <c r="II43" s="62" t="str">
        <f>IFERROR(Inv_SY_B!II43/Inv_SY_B!$IS43-1,"")</f>
        <v/>
      </c>
      <c r="IJ43" s="62" t="str">
        <f>IFERROR(Inv_SY_B!IJ43/Inv_SY_B!$IS43-1,"")</f>
        <v/>
      </c>
      <c r="IK43" s="62" t="str">
        <f>IFERROR(Inv_SY_B!IK43/Inv_SY_B!$IS43-1,"")</f>
        <v/>
      </c>
      <c r="IL43" s="62" t="str">
        <f>IFERROR(Inv_SY_B!IL43/Inv_SY_B!$IS43-1,"")</f>
        <v/>
      </c>
      <c r="IM43" s="62" t="str">
        <f>IFERROR(Inv_SY_B!IM43/Inv_SY_B!$IS43-1,"")</f>
        <v/>
      </c>
      <c r="IN43" s="62" t="str">
        <f>IFERROR(Inv_SY_B!IN43/Inv_SY_B!$IS43-1,"")</f>
        <v/>
      </c>
      <c r="IO43" s="62" t="str">
        <f>IFERROR(Inv_SY_B!IO43/Inv_SY_B!$IS43-1,"")</f>
        <v/>
      </c>
      <c r="IP43" s="62" t="str">
        <f>IFERROR(Inv_SY_B!IP43/Inv_SY_B!$IS43-1,"")</f>
        <v/>
      </c>
      <c r="IQ43" s="62" t="str">
        <f>IFERROR(Inv_SY_B!IQ43/Inv_SY_B!$IS43-1,"")</f>
        <v/>
      </c>
      <c r="IR43" s="62" t="str">
        <f>IFERROR(Inv_SY_B!IR43/Inv_SY_B!$IS43-1,"")</f>
        <v/>
      </c>
    </row>
    <row r="44" spans="2:252" x14ac:dyDescent="0.25">
      <c r="B44" s="85">
        <f t="shared" si="0"/>
        <v>45870</v>
      </c>
      <c r="C44" s="62" t="str">
        <f>IFERROR(Inv_SY_B!C44/Inv_SY_B!$IS44-1,"")</f>
        <v/>
      </c>
      <c r="D44" s="62" t="str">
        <f>IFERROR(Inv_SY_B!D44/Inv_SY_B!$IS44-1,"")</f>
        <v/>
      </c>
      <c r="E44" s="62" t="str">
        <f>IFERROR(Inv_SY_B!E44/Inv_SY_B!$IS44-1,"")</f>
        <v/>
      </c>
      <c r="F44" s="62" t="str">
        <f>IFERROR(Inv_SY_B!F44/Inv_SY_B!$IS44-1,"")</f>
        <v/>
      </c>
      <c r="G44" s="62" t="str">
        <f>IFERROR(Inv_SY_B!G44/Inv_SY_B!$IS44-1,"")</f>
        <v/>
      </c>
      <c r="H44" s="62" t="str">
        <f>IFERROR(Inv_SY_B!H44/Inv_SY_B!$IS44-1,"")</f>
        <v/>
      </c>
      <c r="I44" s="62" t="str">
        <f>IFERROR(Inv_SY_B!I44/Inv_SY_B!$IS44-1,"")</f>
        <v/>
      </c>
      <c r="J44" s="62" t="str">
        <f>IFERROR(Inv_SY_B!J44/Inv_SY_B!$IS44-1,"")</f>
        <v/>
      </c>
      <c r="K44" s="62" t="str">
        <f>IFERROR(Inv_SY_B!K44/Inv_SY_B!$IS44-1,"")</f>
        <v/>
      </c>
      <c r="L44" s="62" t="str">
        <f>IFERROR(Inv_SY_B!L44/Inv_SY_B!$IS44-1,"")</f>
        <v/>
      </c>
      <c r="M44" s="62" t="str">
        <f>IFERROR(Inv_SY_B!M44/Inv_SY_B!$IS44-1,"")</f>
        <v/>
      </c>
      <c r="N44" s="62" t="str">
        <f>IFERROR(Inv_SY_B!N44/Inv_SY_B!$IS44-1,"")</f>
        <v/>
      </c>
      <c r="O44" s="62" t="str">
        <f>IFERROR(Inv_SY_B!O44/Inv_SY_B!$IS44-1,"")</f>
        <v/>
      </c>
      <c r="P44" s="62" t="str">
        <f>IFERROR(Inv_SY_B!P44/Inv_SY_B!$IS44-1,"")</f>
        <v/>
      </c>
      <c r="Q44" s="62" t="str">
        <f>IFERROR(Inv_SY_B!Q44/Inv_SY_B!$IS44-1,"")</f>
        <v/>
      </c>
      <c r="R44" s="62" t="str">
        <f>IFERROR(Inv_SY_B!R44/Inv_SY_B!$IS44-1,"")</f>
        <v/>
      </c>
      <c r="S44" s="62" t="str">
        <f>IFERROR(Inv_SY_B!S44/Inv_SY_B!$IS44-1,"")</f>
        <v/>
      </c>
      <c r="T44" s="62" t="str">
        <f>IFERROR(Inv_SY_B!T44/Inv_SY_B!$IS44-1,"")</f>
        <v/>
      </c>
      <c r="U44" s="62" t="str">
        <f>IFERROR(Inv_SY_B!U44/Inv_SY_B!$IS44-1,"")</f>
        <v/>
      </c>
      <c r="V44" s="62" t="str">
        <f>IFERROR(Inv_SY_B!V44/Inv_SY_B!$IS44-1,"")</f>
        <v/>
      </c>
      <c r="W44" s="62" t="str">
        <f>IFERROR(Inv_SY_B!W44/Inv_SY_B!$IS44-1,"")</f>
        <v/>
      </c>
      <c r="X44" s="62" t="str">
        <f>IFERROR(Inv_SY_B!X44/Inv_SY_B!$IS44-1,"")</f>
        <v/>
      </c>
      <c r="Y44" s="62" t="str">
        <f>IFERROR(Inv_SY_B!Y44/Inv_SY_B!$IS44-1,"")</f>
        <v/>
      </c>
      <c r="Z44" s="62" t="str">
        <f>IFERROR(Inv_SY_B!Z44/Inv_SY_B!$IS44-1,"")</f>
        <v/>
      </c>
      <c r="AA44" s="62" t="str">
        <f>IFERROR(Inv_SY_B!AA44/Inv_SY_B!$IS44-1,"")</f>
        <v/>
      </c>
      <c r="AB44" s="62" t="str">
        <f>IFERROR(Inv_SY_B!AB44/Inv_SY_B!$IS44-1,"")</f>
        <v/>
      </c>
      <c r="AC44" s="62" t="str">
        <f>IFERROR(Inv_SY_B!AC44/Inv_SY_B!$IS44-1,"")</f>
        <v/>
      </c>
      <c r="AD44" s="62" t="str">
        <f>IFERROR(Inv_SY_B!AD44/Inv_SY_B!$IS44-1,"")</f>
        <v/>
      </c>
      <c r="AE44" s="62" t="str">
        <f>IFERROR(Inv_SY_B!AE44/Inv_SY_B!$IS44-1,"")</f>
        <v/>
      </c>
      <c r="AF44" s="62" t="str">
        <f>IFERROR(Inv_SY_B!AF44/Inv_SY_B!$IS44-1,"")</f>
        <v/>
      </c>
      <c r="AG44" s="62" t="str">
        <f>IFERROR(Inv_SY_B!AG44/Inv_SY_B!$IS44-1,"")</f>
        <v/>
      </c>
      <c r="AH44" s="62" t="str">
        <f>IFERROR(Inv_SY_B!AH44/Inv_SY_B!$IS44-1,"")</f>
        <v/>
      </c>
      <c r="AI44" s="62" t="str">
        <f>IFERROR(Inv_SY_B!AI44/Inv_SY_B!$IS44-1,"")</f>
        <v/>
      </c>
      <c r="AJ44" s="62" t="str">
        <f>IFERROR(Inv_SY_B!AJ44/Inv_SY_B!$IS44-1,"")</f>
        <v/>
      </c>
      <c r="AK44" s="62" t="str">
        <f>IFERROR(Inv_SY_B!AK44/Inv_SY_B!$IS44-1,"")</f>
        <v/>
      </c>
      <c r="AL44" s="62" t="str">
        <f>IFERROR(Inv_SY_B!AL44/Inv_SY_B!$IS44-1,"")</f>
        <v/>
      </c>
      <c r="AM44" s="62" t="str">
        <f>IFERROR(Inv_SY_B!AM44/Inv_SY_B!$IS44-1,"")</f>
        <v/>
      </c>
      <c r="AN44" s="62" t="str">
        <f>IFERROR(Inv_SY_B!AN44/Inv_SY_B!$IS44-1,"")</f>
        <v/>
      </c>
      <c r="AO44" s="62" t="str">
        <f>IFERROR(Inv_SY_B!AO44/Inv_SY_B!$IS44-1,"")</f>
        <v/>
      </c>
      <c r="AP44" s="62" t="str">
        <f>IFERROR(Inv_SY_B!AP44/Inv_SY_B!$IS44-1,"")</f>
        <v/>
      </c>
      <c r="AQ44" s="62" t="str">
        <f>IFERROR(Inv_SY_B!AQ44/Inv_SY_B!$IS44-1,"")</f>
        <v/>
      </c>
      <c r="AR44" s="62" t="str">
        <f>IFERROR(Inv_SY_B!AR44/Inv_SY_B!$IS44-1,"")</f>
        <v/>
      </c>
      <c r="AS44" s="62" t="str">
        <f>IFERROR(Inv_SY_B!AS44/Inv_SY_B!$IS44-1,"")</f>
        <v/>
      </c>
      <c r="AT44" s="62" t="str">
        <f>IFERROR(Inv_SY_B!AT44/Inv_SY_B!$IS44-1,"")</f>
        <v/>
      </c>
      <c r="AU44" s="62" t="str">
        <f>IFERROR(Inv_SY_B!AU44/Inv_SY_B!$IS44-1,"")</f>
        <v/>
      </c>
      <c r="AV44" s="62" t="str">
        <f>IFERROR(Inv_SY_B!AV44/Inv_SY_B!$IS44-1,"")</f>
        <v/>
      </c>
      <c r="AW44" s="62" t="str">
        <f>IFERROR(Inv_SY_B!AW44/Inv_SY_B!$IS44-1,"")</f>
        <v/>
      </c>
      <c r="AX44" s="62" t="str">
        <f>IFERROR(Inv_SY_B!AX44/Inv_SY_B!$IS44-1,"")</f>
        <v/>
      </c>
      <c r="AY44" s="62" t="str">
        <f>IFERROR(Inv_SY_B!AY44/Inv_SY_B!$IS44-1,"")</f>
        <v/>
      </c>
      <c r="AZ44" s="62" t="str">
        <f>IFERROR(Inv_SY_B!AZ44/Inv_SY_B!$IS44-1,"")</f>
        <v/>
      </c>
      <c r="BA44" s="62" t="str">
        <f>IFERROR(Inv_SY_B!BA44/Inv_SY_B!$IS44-1,"")</f>
        <v/>
      </c>
      <c r="BB44" s="62" t="str">
        <f>IFERROR(Inv_SY_B!BB44/Inv_SY_B!$IS44-1,"")</f>
        <v/>
      </c>
      <c r="BC44" s="62" t="str">
        <f>IFERROR(Inv_SY_B!BC44/Inv_SY_B!$IS44-1,"")</f>
        <v/>
      </c>
      <c r="BD44" s="62" t="str">
        <f>IFERROR(Inv_SY_B!BD44/Inv_SY_B!$IS44-1,"")</f>
        <v/>
      </c>
      <c r="BE44" s="62" t="str">
        <f>IFERROR(Inv_SY_B!BE44/Inv_SY_B!$IS44-1,"")</f>
        <v/>
      </c>
      <c r="BF44" s="62" t="str">
        <f>IFERROR(Inv_SY_B!BF44/Inv_SY_B!$IS44-1,"")</f>
        <v/>
      </c>
      <c r="BG44" s="62" t="str">
        <f>IFERROR(Inv_SY_B!BG44/Inv_SY_B!$IS44-1,"")</f>
        <v/>
      </c>
      <c r="BH44" s="62" t="str">
        <f>IFERROR(Inv_SY_B!BH44/Inv_SY_B!$IS44-1,"")</f>
        <v/>
      </c>
      <c r="BI44" s="62" t="str">
        <f>IFERROR(Inv_SY_B!BI44/Inv_SY_B!$IS44-1,"")</f>
        <v/>
      </c>
      <c r="BJ44" s="62" t="str">
        <f>IFERROR(Inv_SY_B!BJ44/Inv_SY_B!$IS44-1,"")</f>
        <v/>
      </c>
      <c r="BK44" s="62" t="str">
        <f>IFERROR(Inv_SY_B!BK44/Inv_SY_B!$IS44-1,"")</f>
        <v/>
      </c>
      <c r="BL44" s="62" t="str">
        <f>IFERROR(Inv_SY_B!BL44/Inv_SY_B!$IS44-1,"")</f>
        <v/>
      </c>
      <c r="BM44" s="62" t="str">
        <f>IFERROR(Inv_SY_B!BM44/Inv_SY_B!$IS44-1,"")</f>
        <v/>
      </c>
      <c r="BN44" s="62" t="str">
        <f>IFERROR(Inv_SY_B!BN44/Inv_SY_B!$IS44-1,"")</f>
        <v/>
      </c>
      <c r="BO44" s="62" t="str">
        <f>IFERROR(Inv_SY_B!BO44/Inv_SY_B!$IS44-1,"")</f>
        <v/>
      </c>
      <c r="BP44" s="62" t="str">
        <f>IFERROR(Inv_SY_B!BP44/Inv_SY_B!$IS44-1,"")</f>
        <v/>
      </c>
      <c r="BQ44" s="62" t="str">
        <f>IFERROR(Inv_SY_B!BQ44/Inv_SY_B!$IS44-1,"")</f>
        <v/>
      </c>
      <c r="BR44" s="62" t="str">
        <f>IFERROR(Inv_SY_B!BR44/Inv_SY_B!$IS44-1,"")</f>
        <v/>
      </c>
      <c r="BS44" s="62" t="str">
        <f>IFERROR(Inv_SY_B!BS44/Inv_SY_B!$IS44-1,"")</f>
        <v/>
      </c>
      <c r="BT44" s="62" t="str">
        <f>IFERROR(Inv_SY_B!BT44/Inv_SY_B!$IS44-1,"")</f>
        <v/>
      </c>
      <c r="BU44" s="62" t="str">
        <f>IFERROR(Inv_SY_B!BU44/Inv_SY_B!$IS44-1,"")</f>
        <v/>
      </c>
      <c r="BV44" s="62" t="str">
        <f>IFERROR(Inv_SY_B!BV44/Inv_SY_B!$IS44-1,"")</f>
        <v/>
      </c>
      <c r="BW44" s="62" t="str">
        <f>IFERROR(Inv_SY_B!BW44/Inv_SY_B!$IS44-1,"")</f>
        <v/>
      </c>
      <c r="BX44" s="62" t="str">
        <f>IFERROR(Inv_SY_B!BX44/Inv_SY_B!$IS44-1,"")</f>
        <v/>
      </c>
      <c r="BY44" s="62" t="str">
        <f>IFERROR(Inv_SY_B!BY44/Inv_SY_B!$IS44-1,"")</f>
        <v/>
      </c>
      <c r="BZ44" s="62" t="str">
        <f>IFERROR(Inv_SY_B!BZ44/Inv_SY_B!$IS44-1,"")</f>
        <v/>
      </c>
      <c r="CA44" s="62" t="str">
        <f>IFERROR(Inv_SY_B!CA44/Inv_SY_B!$IS44-1,"")</f>
        <v/>
      </c>
      <c r="CB44" s="62" t="str">
        <f>IFERROR(Inv_SY_B!CB44/Inv_SY_B!$IS44-1,"")</f>
        <v/>
      </c>
      <c r="CC44" s="62" t="str">
        <f>IFERROR(Inv_SY_B!CC44/Inv_SY_B!$IS44-1,"")</f>
        <v/>
      </c>
      <c r="CD44" s="62" t="str">
        <f>IFERROR(Inv_SY_B!CD44/Inv_SY_B!$IS44-1,"")</f>
        <v/>
      </c>
      <c r="CE44" s="62" t="str">
        <f>IFERROR(Inv_SY_B!CE44/Inv_SY_B!$IS44-1,"")</f>
        <v/>
      </c>
      <c r="CF44" s="62" t="str">
        <f>IFERROR(Inv_SY_B!CF44/Inv_SY_B!$IS44-1,"")</f>
        <v/>
      </c>
      <c r="CG44" s="62" t="str">
        <f>IFERROR(Inv_SY_B!CG44/Inv_SY_B!$IS44-1,"")</f>
        <v/>
      </c>
      <c r="CH44" s="62" t="str">
        <f>IFERROR(Inv_SY_B!CH44/Inv_SY_B!$IS44-1,"")</f>
        <v/>
      </c>
      <c r="CI44" s="62" t="str">
        <f>IFERROR(Inv_SY_B!CI44/Inv_SY_B!$IS44-1,"")</f>
        <v/>
      </c>
      <c r="CJ44" s="62" t="str">
        <f>IFERROR(Inv_SY_B!CJ44/Inv_SY_B!$IS44-1,"")</f>
        <v/>
      </c>
      <c r="CK44" s="62" t="str">
        <f>IFERROR(Inv_SY_B!CK44/Inv_SY_B!$IS44-1,"")</f>
        <v/>
      </c>
      <c r="CL44" s="62" t="str">
        <f>IFERROR(Inv_SY_B!CL44/Inv_SY_B!$IS44-1,"")</f>
        <v/>
      </c>
      <c r="CM44" s="62" t="str">
        <f>IFERROR(Inv_SY_B!CM44/Inv_SY_B!$IS44-1,"")</f>
        <v/>
      </c>
      <c r="CN44" s="62" t="str">
        <f>IFERROR(Inv_SY_B!CN44/Inv_SY_B!$IS44-1,"")</f>
        <v/>
      </c>
      <c r="CO44" s="62" t="str">
        <f>IFERROR(Inv_SY_B!CO44/Inv_SY_B!$IS44-1,"")</f>
        <v/>
      </c>
      <c r="CP44" s="62" t="str">
        <f>IFERROR(Inv_SY_B!CP44/Inv_SY_B!$IS44-1,"")</f>
        <v/>
      </c>
      <c r="CQ44" s="62" t="str">
        <f>IFERROR(Inv_SY_B!CQ44/Inv_SY_B!$IS44-1,"")</f>
        <v/>
      </c>
      <c r="CR44" s="62" t="str">
        <f>IFERROR(Inv_SY_B!CR44/Inv_SY_B!$IS44-1,"")</f>
        <v/>
      </c>
      <c r="CS44" s="62" t="str">
        <f>IFERROR(Inv_SY_B!CS44/Inv_SY_B!$IS44-1,"")</f>
        <v/>
      </c>
      <c r="CT44" s="62" t="str">
        <f>IFERROR(Inv_SY_B!CT44/Inv_SY_B!$IS44-1,"")</f>
        <v/>
      </c>
      <c r="CU44" s="62" t="str">
        <f>IFERROR(Inv_SY_B!CU44/Inv_SY_B!$IS44-1,"")</f>
        <v/>
      </c>
      <c r="CV44" s="62" t="str">
        <f>IFERROR(Inv_SY_B!CV44/Inv_SY_B!$IS44-1,"")</f>
        <v/>
      </c>
      <c r="CW44" s="62" t="str">
        <f>IFERROR(Inv_SY_B!CW44/Inv_SY_B!$IS44-1,"")</f>
        <v/>
      </c>
      <c r="CX44" s="62" t="str">
        <f>IFERROR(Inv_SY_B!CX44/Inv_SY_B!$IS44-1,"")</f>
        <v/>
      </c>
      <c r="CY44" s="62" t="str">
        <f>IFERROR(Inv_SY_B!CY44/Inv_SY_B!$IS44-1,"")</f>
        <v/>
      </c>
      <c r="CZ44" s="62" t="str">
        <f>IFERROR(Inv_SY_B!CZ44/Inv_SY_B!$IS44-1,"")</f>
        <v/>
      </c>
      <c r="DA44" s="62" t="str">
        <f>IFERROR(Inv_SY_B!DA44/Inv_SY_B!$IS44-1,"")</f>
        <v/>
      </c>
      <c r="DB44" s="62" t="str">
        <f>IFERROR(Inv_SY_B!DB44/Inv_SY_B!$IS44-1,"")</f>
        <v/>
      </c>
      <c r="DC44" s="62" t="str">
        <f>IFERROR(Inv_SY_B!DC44/Inv_SY_B!$IS44-1,"")</f>
        <v/>
      </c>
      <c r="DD44" s="62" t="str">
        <f>IFERROR(Inv_SY_B!DD44/Inv_SY_B!$IS44-1,"")</f>
        <v/>
      </c>
      <c r="DE44" s="62" t="str">
        <f>IFERROR(Inv_SY_B!DE44/Inv_SY_B!$IS44-1,"")</f>
        <v/>
      </c>
      <c r="DF44" s="62" t="str">
        <f>IFERROR(Inv_SY_B!DF44/Inv_SY_B!$IS44-1,"")</f>
        <v/>
      </c>
      <c r="DG44" s="62" t="str">
        <f>IFERROR(Inv_SY_B!DG44/Inv_SY_B!$IS44-1,"")</f>
        <v/>
      </c>
      <c r="DH44" s="62" t="str">
        <f>IFERROR(Inv_SY_B!DH44/Inv_SY_B!$IS44-1,"")</f>
        <v/>
      </c>
      <c r="DI44" s="62" t="str">
        <f>IFERROR(Inv_SY_B!DI44/Inv_SY_B!$IS44-1,"")</f>
        <v/>
      </c>
      <c r="DJ44" s="62" t="str">
        <f>IFERROR(Inv_SY_B!DJ44/Inv_SY_B!$IS44-1,"")</f>
        <v/>
      </c>
      <c r="DK44" s="62" t="str">
        <f>IFERROR(Inv_SY_B!DK44/Inv_SY_B!$IS44-1,"")</f>
        <v/>
      </c>
      <c r="DL44" s="62" t="str">
        <f>IFERROR(Inv_SY_B!DL44/Inv_SY_B!$IS44-1,"")</f>
        <v/>
      </c>
      <c r="DM44" s="62" t="str">
        <f>IFERROR(Inv_SY_B!DM44/Inv_SY_B!$IS44-1,"")</f>
        <v/>
      </c>
      <c r="DN44" s="62" t="str">
        <f>IFERROR(Inv_SY_B!DN44/Inv_SY_B!$IS44-1,"")</f>
        <v/>
      </c>
      <c r="DO44" s="62" t="str">
        <f>IFERROR(Inv_SY_B!DO44/Inv_SY_B!$IS44-1,"")</f>
        <v/>
      </c>
      <c r="DP44" s="62" t="str">
        <f>IFERROR(Inv_SY_B!DP44/Inv_SY_B!$IS44-1,"")</f>
        <v/>
      </c>
      <c r="DQ44" s="62" t="str">
        <f>IFERROR(Inv_SY_B!DQ44/Inv_SY_B!$IS44-1,"")</f>
        <v/>
      </c>
      <c r="DR44" s="62" t="str">
        <f>IFERROR(Inv_SY_B!DR44/Inv_SY_B!$IS44-1,"")</f>
        <v/>
      </c>
      <c r="DS44" s="62" t="str">
        <f>IFERROR(Inv_SY_B!DS44/Inv_SY_B!$IS44-1,"")</f>
        <v/>
      </c>
      <c r="DT44" s="62" t="str">
        <f>IFERROR(Inv_SY_B!DT44/Inv_SY_B!$IS44-1,"")</f>
        <v/>
      </c>
      <c r="DU44" s="62" t="str">
        <f>IFERROR(Inv_SY_B!DU44/Inv_SY_B!$IS44-1,"")</f>
        <v/>
      </c>
      <c r="DV44" s="62" t="str">
        <f>IFERROR(Inv_SY_B!DV44/Inv_SY_B!$IS44-1,"")</f>
        <v/>
      </c>
      <c r="DW44" s="62" t="str">
        <f>IFERROR(Inv_SY_B!DW44/Inv_SY_B!$IS44-1,"")</f>
        <v/>
      </c>
      <c r="DX44" s="62" t="str">
        <f>IFERROR(Inv_SY_B!DX44/Inv_SY_B!$IS44-1,"")</f>
        <v/>
      </c>
      <c r="DY44" s="62" t="str">
        <f>IFERROR(Inv_SY_B!DY44/Inv_SY_B!$IS44-1,"")</f>
        <v/>
      </c>
      <c r="DZ44" s="62" t="str">
        <f>IFERROR(Inv_SY_B!DZ44/Inv_SY_B!$IS44-1,"")</f>
        <v/>
      </c>
      <c r="EA44" s="62" t="str">
        <f>IFERROR(Inv_SY_B!EA44/Inv_SY_B!$IS44-1,"")</f>
        <v/>
      </c>
      <c r="EB44" s="62" t="str">
        <f>IFERROR(Inv_SY_B!EB44/Inv_SY_B!$IS44-1,"")</f>
        <v/>
      </c>
      <c r="EC44" s="62" t="str">
        <f>IFERROR(Inv_SY_B!EC44/Inv_SY_B!$IS44-1,"")</f>
        <v/>
      </c>
      <c r="ED44" s="62" t="str">
        <f>IFERROR(Inv_SY_B!ED44/Inv_SY_B!$IS44-1,"")</f>
        <v/>
      </c>
      <c r="EE44" s="62" t="str">
        <f>IFERROR(Inv_SY_B!EE44/Inv_SY_B!$IS44-1,"")</f>
        <v/>
      </c>
      <c r="EF44" s="62" t="str">
        <f>IFERROR(Inv_SY_B!EF44/Inv_SY_B!$IS44-1,"")</f>
        <v/>
      </c>
      <c r="EG44" s="62" t="str">
        <f>IFERROR(Inv_SY_B!EG44/Inv_SY_B!$IS44-1,"")</f>
        <v/>
      </c>
      <c r="EH44" s="62" t="str">
        <f>IFERROR(Inv_SY_B!EH44/Inv_SY_B!$IS44-1,"")</f>
        <v/>
      </c>
      <c r="EI44" s="62" t="str">
        <f>IFERROR(Inv_SY_B!EI44/Inv_SY_B!$IS44-1,"")</f>
        <v/>
      </c>
      <c r="EJ44" s="62" t="str">
        <f>IFERROR(Inv_SY_B!EJ44/Inv_SY_B!$IS44-1,"")</f>
        <v/>
      </c>
      <c r="EK44" s="62" t="str">
        <f>IFERROR(Inv_SY_B!EK44/Inv_SY_B!$IS44-1,"")</f>
        <v/>
      </c>
      <c r="EL44" s="62" t="str">
        <f>IFERROR(Inv_SY_B!EL44/Inv_SY_B!$IS44-1,"")</f>
        <v/>
      </c>
      <c r="EM44" s="62" t="str">
        <f>IFERROR(Inv_SY_B!EM44/Inv_SY_B!$IS44-1,"")</f>
        <v/>
      </c>
      <c r="EN44" s="62" t="str">
        <f>IFERROR(Inv_SY_B!EN44/Inv_SY_B!$IS44-1,"")</f>
        <v/>
      </c>
      <c r="EO44" s="62" t="str">
        <f>IFERROR(Inv_SY_B!EO44/Inv_SY_B!$IS44-1,"")</f>
        <v/>
      </c>
      <c r="EP44" s="62" t="str">
        <f>IFERROR(Inv_SY_B!EP44/Inv_SY_B!$IS44-1,"")</f>
        <v/>
      </c>
      <c r="EQ44" s="62" t="str">
        <f>IFERROR(Inv_SY_B!EQ44/Inv_SY_B!$IS44-1,"")</f>
        <v/>
      </c>
      <c r="ER44" s="62" t="str">
        <f>IFERROR(Inv_SY_B!ER44/Inv_SY_B!$IS44-1,"")</f>
        <v/>
      </c>
      <c r="ES44" s="62" t="str">
        <f>IFERROR(Inv_SY_B!ES44/Inv_SY_B!$IS44-1,"")</f>
        <v/>
      </c>
      <c r="ET44" s="62" t="str">
        <f>IFERROR(Inv_SY_B!ET44/Inv_SY_B!$IS44-1,"")</f>
        <v/>
      </c>
      <c r="EU44" s="62" t="str">
        <f>IFERROR(Inv_SY_B!EU44/Inv_SY_B!$IS44-1,"")</f>
        <v/>
      </c>
      <c r="EV44" s="62" t="str">
        <f>IFERROR(Inv_SY_B!EV44/Inv_SY_B!$IS44-1,"")</f>
        <v/>
      </c>
      <c r="EW44" s="62" t="str">
        <f>IFERROR(Inv_SY_B!EW44/Inv_SY_B!$IS44-1,"")</f>
        <v/>
      </c>
      <c r="EX44" s="62" t="str">
        <f>IFERROR(Inv_SY_B!EX44/Inv_SY_B!$IS44-1,"")</f>
        <v/>
      </c>
      <c r="EY44" s="62" t="str">
        <f>IFERROR(Inv_SY_B!EY44/Inv_SY_B!$IS44-1,"")</f>
        <v/>
      </c>
      <c r="EZ44" s="62" t="str">
        <f>IFERROR(Inv_SY_B!EZ44/Inv_SY_B!$IS44-1,"")</f>
        <v/>
      </c>
      <c r="FA44" s="62" t="str">
        <f>IFERROR(Inv_SY_B!FA44/Inv_SY_B!$IS44-1,"")</f>
        <v/>
      </c>
      <c r="FB44" s="62" t="str">
        <f>IFERROR(Inv_SY_B!FB44/Inv_SY_B!$IS44-1,"")</f>
        <v/>
      </c>
      <c r="FC44" s="62" t="str">
        <f>IFERROR(Inv_SY_B!FC44/Inv_SY_B!$IS44-1,"")</f>
        <v/>
      </c>
      <c r="FD44" s="62" t="str">
        <f>IFERROR(Inv_SY_B!FD44/Inv_SY_B!$IS44-1,"")</f>
        <v/>
      </c>
      <c r="FE44" s="62" t="str">
        <f>IFERROR(Inv_SY_B!FE44/Inv_SY_B!$IS44-1,"")</f>
        <v/>
      </c>
      <c r="FF44" s="62" t="str">
        <f>IFERROR(Inv_SY_B!FF44/Inv_SY_B!$IS44-1,"")</f>
        <v/>
      </c>
      <c r="FG44" s="62" t="str">
        <f>IFERROR(Inv_SY_B!FG44/Inv_SY_B!$IS44-1,"")</f>
        <v/>
      </c>
      <c r="FH44" s="62" t="str">
        <f>IFERROR(Inv_SY_B!FH44/Inv_SY_B!$IS44-1,"")</f>
        <v/>
      </c>
      <c r="FI44" s="62" t="str">
        <f>IFERROR(Inv_SY_B!FI44/Inv_SY_B!$IS44-1,"")</f>
        <v/>
      </c>
      <c r="FJ44" s="62" t="str">
        <f>IFERROR(Inv_SY_B!FJ44/Inv_SY_B!$IS44-1,"")</f>
        <v/>
      </c>
      <c r="FK44" s="62" t="str">
        <f>IFERROR(Inv_SY_B!FK44/Inv_SY_B!$IS44-1,"")</f>
        <v/>
      </c>
      <c r="FL44" s="62" t="str">
        <f>IFERROR(Inv_SY_B!FL44/Inv_SY_B!$IS44-1,"")</f>
        <v/>
      </c>
      <c r="FM44" s="62" t="str">
        <f>IFERROR(Inv_SY_B!FM44/Inv_SY_B!$IS44-1,"")</f>
        <v/>
      </c>
      <c r="FN44" s="62" t="str">
        <f>IFERROR(Inv_SY_B!FN44/Inv_SY_B!$IS44-1,"")</f>
        <v/>
      </c>
      <c r="FO44" s="62" t="str">
        <f>IFERROR(Inv_SY_B!FO44/Inv_SY_B!$IS44-1,"")</f>
        <v/>
      </c>
      <c r="FP44" s="62" t="str">
        <f>IFERROR(Inv_SY_B!FP44/Inv_SY_B!$IS44-1,"")</f>
        <v/>
      </c>
      <c r="FQ44" s="62" t="str">
        <f>IFERROR(Inv_SY_B!FQ44/Inv_SY_B!$IS44-1,"")</f>
        <v/>
      </c>
      <c r="FR44" s="62" t="str">
        <f>IFERROR(Inv_SY_B!FR44/Inv_SY_B!$IS44-1,"")</f>
        <v/>
      </c>
      <c r="FS44" s="62" t="str">
        <f>IFERROR(Inv_SY_B!FS44/Inv_SY_B!$IS44-1,"")</f>
        <v/>
      </c>
      <c r="FT44" s="62" t="str">
        <f>IFERROR(Inv_SY_B!FT44/Inv_SY_B!$IS44-1,"")</f>
        <v/>
      </c>
      <c r="FU44" s="62" t="str">
        <f>IFERROR(Inv_SY_B!FU44/Inv_SY_B!$IS44-1,"")</f>
        <v/>
      </c>
      <c r="FV44" s="62" t="str">
        <f>IFERROR(Inv_SY_B!FV44/Inv_SY_B!$IS44-1,"")</f>
        <v/>
      </c>
      <c r="FW44" s="62" t="str">
        <f>IFERROR(Inv_SY_B!FW44/Inv_SY_B!$IS44-1,"")</f>
        <v/>
      </c>
      <c r="FX44" s="62" t="str">
        <f>IFERROR(Inv_SY_B!FX44/Inv_SY_B!$IS44-1,"")</f>
        <v/>
      </c>
      <c r="FY44" s="62" t="str">
        <f>IFERROR(Inv_SY_B!FY44/Inv_SY_B!$IS44-1,"")</f>
        <v/>
      </c>
      <c r="FZ44" s="62" t="str">
        <f>IFERROR(Inv_SY_B!FZ44/Inv_SY_B!$IS44-1,"")</f>
        <v/>
      </c>
      <c r="GA44" s="62" t="str">
        <f>IFERROR(Inv_SY_B!GA44/Inv_SY_B!$IS44-1,"")</f>
        <v/>
      </c>
      <c r="GB44" s="62" t="str">
        <f>IFERROR(Inv_SY_B!GB44/Inv_SY_B!$IS44-1,"")</f>
        <v/>
      </c>
      <c r="GC44" s="62" t="str">
        <f>IFERROR(Inv_SY_B!GC44/Inv_SY_B!$IS44-1,"")</f>
        <v/>
      </c>
      <c r="GD44" s="62" t="str">
        <f>IFERROR(Inv_SY_B!GD44/Inv_SY_B!$IS44-1,"")</f>
        <v/>
      </c>
      <c r="GE44" s="62" t="str">
        <f>IFERROR(Inv_SY_B!GE44/Inv_SY_B!$IS44-1,"")</f>
        <v/>
      </c>
      <c r="GF44" s="62" t="str">
        <f>IFERROR(Inv_SY_B!GF44/Inv_SY_B!$IS44-1,"")</f>
        <v/>
      </c>
      <c r="GG44" s="62" t="str">
        <f>IFERROR(Inv_SY_B!GG44/Inv_SY_B!$IS44-1,"")</f>
        <v/>
      </c>
      <c r="GH44" s="62" t="str">
        <f>IFERROR(Inv_SY_B!GH44/Inv_SY_B!$IS44-1,"")</f>
        <v/>
      </c>
      <c r="GI44" s="62" t="str">
        <f>IFERROR(Inv_SY_B!GI44/Inv_SY_B!$IS44-1,"")</f>
        <v/>
      </c>
      <c r="GJ44" s="62" t="str">
        <f>IFERROR(Inv_SY_B!GJ44/Inv_SY_B!$IS44-1,"")</f>
        <v/>
      </c>
      <c r="GK44" s="62" t="str">
        <f>IFERROR(Inv_SY_B!GK44/Inv_SY_B!$IS44-1,"")</f>
        <v/>
      </c>
      <c r="GL44" s="62" t="str">
        <f>IFERROR(Inv_SY_B!GL44/Inv_SY_B!$IS44-1,"")</f>
        <v/>
      </c>
      <c r="GM44" s="62" t="str">
        <f>IFERROR(Inv_SY_B!GM44/Inv_SY_B!$IS44-1,"")</f>
        <v/>
      </c>
      <c r="GN44" s="62" t="str">
        <f>IFERROR(Inv_SY_B!GN44/Inv_SY_B!$IS44-1,"")</f>
        <v/>
      </c>
      <c r="GO44" s="62" t="str">
        <f>IFERROR(Inv_SY_B!GO44/Inv_SY_B!$IS44-1,"")</f>
        <v/>
      </c>
      <c r="GP44" s="62" t="str">
        <f>IFERROR(Inv_SY_B!GP44/Inv_SY_B!$IS44-1,"")</f>
        <v/>
      </c>
      <c r="GQ44" s="62" t="str">
        <f>IFERROR(Inv_SY_B!GQ44/Inv_SY_B!$IS44-1,"")</f>
        <v/>
      </c>
      <c r="GR44" s="62" t="str">
        <f>IFERROR(Inv_SY_B!GR44/Inv_SY_B!$IS44-1,"")</f>
        <v/>
      </c>
      <c r="GS44" s="62" t="str">
        <f>IFERROR(Inv_SY_B!GS44/Inv_SY_B!$IS44-1,"")</f>
        <v/>
      </c>
      <c r="GT44" s="62" t="str">
        <f>IFERROR(Inv_SY_B!GT44/Inv_SY_B!$IS44-1,"")</f>
        <v/>
      </c>
      <c r="GU44" s="62" t="str">
        <f>IFERROR(Inv_SY_B!GU44/Inv_SY_B!$IS44-1,"")</f>
        <v/>
      </c>
      <c r="GV44" s="62" t="str">
        <f>IFERROR(Inv_SY_B!GV44/Inv_SY_B!$IS44-1,"")</f>
        <v/>
      </c>
      <c r="GW44" s="62" t="str">
        <f>IFERROR(Inv_SY_B!GW44/Inv_SY_B!$IS44-1,"")</f>
        <v/>
      </c>
      <c r="GX44" s="62" t="str">
        <f>IFERROR(Inv_SY_B!GX44/Inv_SY_B!$IS44-1,"")</f>
        <v/>
      </c>
      <c r="GY44" s="62" t="str">
        <f>IFERROR(Inv_SY_B!GY44/Inv_SY_B!$IS44-1,"")</f>
        <v/>
      </c>
      <c r="GZ44" s="62" t="str">
        <f>IFERROR(Inv_SY_B!GZ44/Inv_SY_B!$IS44-1,"")</f>
        <v/>
      </c>
      <c r="HA44" s="62" t="str">
        <f>IFERROR(Inv_SY_B!HA44/Inv_SY_B!$IS44-1,"")</f>
        <v/>
      </c>
      <c r="HB44" s="62" t="str">
        <f>IFERROR(Inv_SY_B!HB44/Inv_SY_B!$IS44-1,"")</f>
        <v/>
      </c>
      <c r="HC44" s="62" t="str">
        <f>IFERROR(Inv_SY_B!HC44/Inv_SY_B!$IS44-1,"")</f>
        <v/>
      </c>
      <c r="HD44" s="62" t="str">
        <f>IFERROR(Inv_SY_B!HD44/Inv_SY_B!$IS44-1,"")</f>
        <v/>
      </c>
      <c r="HE44" s="62" t="str">
        <f>IFERROR(Inv_SY_B!HE44/Inv_SY_B!$IS44-1,"")</f>
        <v/>
      </c>
      <c r="HF44" s="62" t="str">
        <f>IFERROR(Inv_SY_B!HF44/Inv_SY_B!$IS44-1,"")</f>
        <v/>
      </c>
      <c r="HG44" s="62" t="str">
        <f>IFERROR(Inv_SY_B!HG44/Inv_SY_B!$IS44-1,"")</f>
        <v/>
      </c>
      <c r="HH44" s="62" t="str">
        <f>IFERROR(Inv_SY_B!HH44/Inv_SY_B!$IS44-1,"")</f>
        <v/>
      </c>
      <c r="HI44" s="62" t="str">
        <f>IFERROR(Inv_SY_B!HI44/Inv_SY_B!$IS44-1,"")</f>
        <v/>
      </c>
      <c r="HJ44" s="62" t="str">
        <f>IFERROR(Inv_SY_B!HJ44/Inv_SY_B!$IS44-1,"")</f>
        <v/>
      </c>
      <c r="HK44" s="62" t="str">
        <f>IFERROR(Inv_SY_B!HK44/Inv_SY_B!$IS44-1,"")</f>
        <v/>
      </c>
      <c r="HL44" s="62" t="str">
        <f>IFERROR(Inv_SY_B!HL44/Inv_SY_B!$IS44-1,"")</f>
        <v/>
      </c>
      <c r="HM44" s="62" t="str">
        <f>IFERROR(Inv_SY_B!HM44/Inv_SY_B!$IS44-1,"")</f>
        <v/>
      </c>
      <c r="HN44" s="62" t="str">
        <f>IFERROR(Inv_SY_B!HN44/Inv_SY_B!$IS44-1,"")</f>
        <v/>
      </c>
      <c r="HO44" s="62" t="str">
        <f>IFERROR(Inv_SY_B!HO44/Inv_SY_B!$IS44-1,"")</f>
        <v/>
      </c>
      <c r="HP44" s="62" t="str">
        <f>IFERROR(Inv_SY_B!HP44/Inv_SY_B!$IS44-1,"")</f>
        <v/>
      </c>
      <c r="HQ44" s="62" t="str">
        <f>IFERROR(Inv_SY_B!HQ44/Inv_SY_B!$IS44-1,"")</f>
        <v/>
      </c>
      <c r="HR44" s="62" t="str">
        <f>IFERROR(Inv_SY_B!HR44/Inv_SY_B!$IS44-1,"")</f>
        <v/>
      </c>
      <c r="HS44" s="62" t="str">
        <f>IFERROR(Inv_SY_B!HS44/Inv_SY_B!$IS44-1,"")</f>
        <v/>
      </c>
      <c r="HT44" s="62" t="str">
        <f>IFERROR(Inv_SY_B!HT44/Inv_SY_B!$IS44-1,"")</f>
        <v/>
      </c>
      <c r="HU44" s="62" t="str">
        <f>IFERROR(Inv_SY_B!HU44/Inv_SY_B!$IS44-1,"")</f>
        <v/>
      </c>
      <c r="HV44" s="62" t="str">
        <f>IFERROR(Inv_SY_B!HV44/Inv_SY_B!$IS44-1,"")</f>
        <v/>
      </c>
      <c r="HW44" s="62" t="str">
        <f>IFERROR(Inv_SY_B!HW44/Inv_SY_B!$IS44-1,"")</f>
        <v/>
      </c>
      <c r="HX44" s="62" t="str">
        <f>IFERROR(Inv_SY_B!HX44/Inv_SY_B!$IS44-1,"")</f>
        <v/>
      </c>
      <c r="HY44" s="62" t="str">
        <f>IFERROR(Inv_SY_B!HY44/Inv_SY_B!$IS44-1,"")</f>
        <v/>
      </c>
      <c r="HZ44" s="62" t="str">
        <f>IFERROR(Inv_SY_B!HZ44/Inv_SY_B!$IS44-1,"")</f>
        <v/>
      </c>
      <c r="IA44" s="62" t="str">
        <f>IFERROR(Inv_SY_B!IA44/Inv_SY_B!$IS44-1,"")</f>
        <v/>
      </c>
      <c r="IB44" s="62" t="str">
        <f>IFERROR(Inv_SY_B!IB44/Inv_SY_B!$IS44-1,"")</f>
        <v/>
      </c>
      <c r="IC44" s="62" t="str">
        <f>IFERROR(Inv_SY_B!IC44/Inv_SY_B!$IS44-1,"")</f>
        <v/>
      </c>
      <c r="ID44" s="62" t="str">
        <f>IFERROR(Inv_SY_B!ID44/Inv_SY_B!$IS44-1,"")</f>
        <v/>
      </c>
      <c r="IE44" s="62" t="str">
        <f>IFERROR(Inv_SY_B!IE44/Inv_SY_B!$IS44-1,"")</f>
        <v/>
      </c>
      <c r="IF44" s="62" t="str">
        <f>IFERROR(Inv_SY_B!IF44/Inv_SY_B!$IS44-1,"")</f>
        <v/>
      </c>
      <c r="IG44" s="62" t="str">
        <f>IFERROR(Inv_SY_B!IG44/Inv_SY_B!$IS44-1,"")</f>
        <v/>
      </c>
      <c r="IH44" s="62" t="str">
        <f>IFERROR(Inv_SY_B!IH44/Inv_SY_B!$IS44-1,"")</f>
        <v/>
      </c>
      <c r="II44" s="62" t="str">
        <f>IFERROR(Inv_SY_B!II44/Inv_SY_B!$IS44-1,"")</f>
        <v/>
      </c>
      <c r="IJ44" s="62" t="str">
        <f>IFERROR(Inv_SY_B!IJ44/Inv_SY_B!$IS44-1,"")</f>
        <v/>
      </c>
      <c r="IK44" s="62" t="str">
        <f>IFERROR(Inv_SY_B!IK44/Inv_SY_B!$IS44-1,"")</f>
        <v/>
      </c>
      <c r="IL44" s="62" t="str">
        <f>IFERROR(Inv_SY_B!IL44/Inv_SY_B!$IS44-1,"")</f>
        <v/>
      </c>
      <c r="IM44" s="62" t="str">
        <f>IFERROR(Inv_SY_B!IM44/Inv_SY_B!$IS44-1,"")</f>
        <v/>
      </c>
      <c r="IN44" s="62" t="str">
        <f>IFERROR(Inv_SY_B!IN44/Inv_SY_B!$IS44-1,"")</f>
        <v/>
      </c>
      <c r="IO44" s="62" t="str">
        <f>IFERROR(Inv_SY_B!IO44/Inv_SY_B!$IS44-1,"")</f>
        <v/>
      </c>
      <c r="IP44" s="62" t="str">
        <f>IFERROR(Inv_SY_B!IP44/Inv_SY_B!$IS44-1,"")</f>
        <v/>
      </c>
      <c r="IQ44" s="62" t="str">
        <f>IFERROR(Inv_SY_B!IQ44/Inv_SY_B!$IS44-1,"")</f>
        <v/>
      </c>
      <c r="IR44" s="62" t="str">
        <f>IFERROR(Inv_SY_B!IR44/Inv_SY_B!$IS44-1,"")</f>
        <v/>
      </c>
    </row>
    <row r="45" spans="2:252" x14ac:dyDescent="0.25">
      <c r="B45" s="85">
        <f t="shared" si="0"/>
        <v>45871</v>
      </c>
      <c r="C45" s="62" t="str">
        <f>IFERROR(Inv_SY_B!C45/Inv_SY_B!$IS45-1,"")</f>
        <v/>
      </c>
      <c r="D45" s="62" t="str">
        <f>IFERROR(Inv_SY_B!D45/Inv_SY_B!$IS45-1,"")</f>
        <v/>
      </c>
      <c r="E45" s="62" t="str">
        <f>IFERROR(Inv_SY_B!E45/Inv_SY_B!$IS45-1,"")</f>
        <v/>
      </c>
      <c r="F45" s="62" t="str">
        <f>IFERROR(Inv_SY_B!F45/Inv_SY_B!$IS45-1,"")</f>
        <v/>
      </c>
      <c r="G45" s="62" t="str">
        <f>IFERROR(Inv_SY_B!G45/Inv_SY_B!$IS45-1,"")</f>
        <v/>
      </c>
      <c r="H45" s="62" t="str">
        <f>IFERROR(Inv_SY_B!H45/Inv_SY_B!$IS45-1,"")</f>
        <v/>
      </c>
      <c r="I45" s="62" t="str">
        <f>IFERROR(Inv_SY_B!I45/Inv_SY_B!$IS45-1,"")</f>
        <v/>
      </c>
      <c r="J45" s="62" t="str">
        <f>IFERROR(Inv_SY_B!J45/Inv_SY_B!$IS45-1,"")</f>
        <v/>
      </c>
      <c r="K45" s="62" t="str">
        <f>IFERROR(Inv_SY_B!K45/Inv_SY_B!$IS45-1,"")</f>
        <v/>
      </c>
      <c r="L45" s="62" t="str">
        <f>IFERROR(Inv_SY_B!L45/Inv_SY_B!$IS45-1,"")</f>
        <v/>
      </c>
      <c r="M45" s="62" t="str">
        <f>IFERROR(Inv_SY_B!M45/Inv_SY_B!$IS45-1,"")</f>
        <v/>
      </c>
      <c r="N45" s="62" t="str">
        <f>IFERROR(Inv_SY_B!N45/Inv_SY_B!$IS45-1,"")</f>
        <v/>
      </c>
      <c r="O45" s="62" t="str">
        <f>IFERROR(Inv_SY_B!O45/Inv_SY_B!$IS45-1,"")</f>
        <v/>
      </c>
      <c r="P45" s="62" t="str">
        <f>IFERROR(Inv_SY_B!P45/Inv_SY_B!$IS45-1,"")</f>
        <v/>
      </c>
      <c r="Q45" s="62" t="str">
        <f>IFERROR(Inv_SY_B!Q45/Inv_SY_B!$IS45-1,"")</f>
        <v/>
      </c>
      <c r="R45" s="62" t="str">
        <f>IFERROR(Inv_SY_B!R45/Inv_SY_B!$IS45-1,"")</f>
        <v/>
      </c>
      <c r="S45" s="62" t="str">
        <f>IFERROR(Inv_SY_B!S45/Inv_SY_B!$IS45-1,"")</f>
        <v/>
      </c>
      <c r="T45" s="62" t="str">
        <f>IFERROR(Inv_SY_B!T45/Inv_SY_B!$IS45-1,"")</f>
        <v/>
      </c>
      <c r="U45" s="62" t="str">
        <f>IFERROR(Inv_SY_B!U45/Inv_SY_B!$IS45-1,"")</f>
        <v/>
      </c>
      <c r="V45" s="62" t="str">
        <f>IFERROR(Inv_SY_B!V45/Inv_SY_B!$IS45-1,"")</f>
        <v/>
      </c>
      <c r="W45" s="62" t="str">
        <f>IFERROR(Inv_SY_B!W45/Inv_SY_B!$IS45-1,"")</f>
        <v/>
      </c>
      <c r="X45" s="62" t="str">
        <f>IFERROR(Inv_SY_B!X45/Inv_SY_B!$IS45-1,"")</f>
        <v/>
      </c>
      <c r="Y45" s="62" t="str">
        <f>IFERROR(Inv_SY_B!Y45/Inv_SY_B!$IS45-1,"")</f>
        <v/>
      </c>
      <c r="Z45" s="62" t="str">
        <f>IFERROR(Inv_SY_B!Z45/Inv_SY_B!$IS45-1,"")</f>
        <v/>
      </c>
      <c r="AA45" s="62" t="str">
        <f>IFERROR(Inv_SY_B!AA45/Inv_SY_B!$IS45-1,"")</f>
        <v/>
      </c>
      <c r="AB45" s="62" t="str">
        <f>IFERROR(Inv_SY_B!AB45/Inv_SY_B!$IS45-1,"")</f>
        <v/>
      </c>
      <c r="AC45" s="62" t="str">
        <f>IFERROR(Inv_SY_B!AC45/Inv_SY_B!$IS45-1,"")</f>
        <v/>
      </c>
      <c r="AD45" s="62" t="str">
        <f>IFERROR(Inv_SY_B!AD45/Inv_SY_B!$IS45-1,"")</f>
        <v/>
      </c>
      <c r="AE45" s="62" t="str">
        <f>IFERROR(Inv_SY_B!AE45/Inv_SY_B!$IS45-1,"")</f>
        <v/>
      </c>
      <c r="AF45" s="62" t="str">
        <f>IFERROR(Inv_SY_B!AF45/Inv_SY_B!$IS45-1,"")</f>
        <v/>
      </c>
      <c r="AG45" s="62" t="str">
        <f>IFERROR(Inv_SY_B!AG45/Inv_SY_B!$IS45-1,"")</f>
        <v/>
      </c>
      <c r="AH45" s="62" t="str">
        <f>IFERROR(Inv_SY_B!AH45/Inv_SY_B!$IS45-1,"")</f>
        <v/>
      </c>
      <c r="AI45" s="62" t="str">
        <f>IFERROR(Inv_SY_B!AI45/Inv_SY_B!$IS45-1,"")</f>
        <v/>
      </c>
      <c r="AJ45" s="62" t="str">
        <f>IFERROR(Inv_SY_B!AJ45/Inv_SY_B!$IS45-1,"")</f>
        <v/>
      </c>
      <c r="AK45" s="62" t="str">
        <f>IFERROR(Inv_SY_B!AK45/Inv_SY_B!$IS45-1,"")</f>
        <v/>
      </c>
      <c r="AL45" s="62" t="str">
        <f>IFERROR(Inv_SY_B!AL45/Inv_SY_B!$IS45-1,"")</f>
        <v/>
      </c>
      <c r="AM45" s="62" t="str">
        <f>IFERROR(Inv_SY_B!AM45/Inv_SY_B!$IS45-1,"")</f>
        <v/>
      </c>
      <c r="AN45" s="62" t="str">
        <f>IFERROR(Inv_SY_B!AN45/Inv_SY_B!$IS45-1,"")</f>
        <v/>
      </c>
      <c r="AO45" s="62" t="str">
        <f>IFERROR(Inv_SY_B!AO45/Inv_SY_B!$IS45-1,"")</f>
        <v/>
      </c>
      <c r="AP45" s="62" t="str">
        <f>IFERROR(Inv_SY_B!AP45/Inv_SY_B!$IS45-1,"")</f>
        <v/>
      </c>
      <c r="AQ45" s="62" t="str">
        <f>IFERROR(Inv_SY_B!AQ45/Inv_SY_B!$IS45-1,"")</f>
        <v/>
      </c>
      <c r="AR45" s="62" t="str">
        <f>IFERROR(Inv_SY_B!AR45/Inv_SY_B!$IS45-1,"")</f>
        <v/>
      </c>
      <c r="AS45" s="62" t="str">
        <f>IFERROR(Inv_SY_B!AS45/Inv_SY_B!$IS45-1,"")</f>
        <v/>
      </c>
      <c r="AT45" s="62" t="str">
        <f>IFERROR(Inv_SY_B!AT45/Inv_SY_B!$IS45-1,"")</f>
        <v/>
      </c>
      <c r="AU45" s="62" t="str">
        <f>IFERROR(Inv_SY_B!AU45/Inv_SY_B!$IS45-1,"")</f>
        <v/>
      </c>
      <c r="AV45" s="62" t="str">
        <f>IFERROR(Inv_SY_B!AV45/Inv_SY_B!$IS45-1,"")</f>
        <v/>
      </c>
      <c r="AW45" s="62" t="str">
        <f>IFERROR(Inv_SY_B!AW45/Inv_SY_B!$IS45-1,"")</f>
        <v/>
      </c>
      <c r="AX45" s="62" t="str">
        <f>IFERROR(Inv_SY_B!AX45/Inv_SY_B!$IS45-1,"")</f>
        <v/>
      </c>
      <c r="AY45" s="62" t="str">
        <f>IFERROR(Inv_SY_B!AY45/Inv_SY_B!$IS45-1,"")</f>
        <v/>
      </c>
      <c r="AZ45" s="62" t="str">
        <f>IFERROR(Inv_SY_B!AZ45/Inv_SY_B!$IS45-1,"")</f>
        <v/>
      </c>
      <c r="BA45" s="62" t="str">
        <f>IFERROR(Inv_SY_B!BA45/Inv_SY_B!$IS45-1,"")</f>
        <v/>
      </c>
      <c r="BB45" s="62" t="str">
        <f>IFERROR(Inv_SY_B!BB45/Inv_SY_B!$IS45-1,"")</f>
        <v/>
      </c>
      <c r="BC45" s="62" t="str">
        <f>IFERROR(Inv_SY_B!BC45/Inv_SY_B!$IS45-1,"")</f>
        <v/>
      </c>
      <c r="BD45" s="62" t="str">
        <f>IFERROR(Inv_SY_B!BD45/Inv_SY_B!$IS45-1,"")</f>
        <v/>
      </c>
      <c r="BE45" s="62" t="str">
        <f>IFERROR(Inv_SY_B!BE45/Inv_SY_B!$IS45-1,"")</f>
        <v/>
      </c>
      <c r="BF45" s="62" t="str">
        <f>IFERROR(Inv_SY_B!BF45/Inv_SY_B!$IS45-1,"")</f>
        <v/>
      </c>
      <c r="BG45" s="62" t="str">
        <f>IFERROR(Inv_SY_B!BG45/Inv_SY_B!$IS45-1,"")</f>
        <v/>
      </c>
      <c r="BH45" s="62" t="str">
        <f>IFERROR(Inv_SY_B!BH45/Inv_SY_B!$IS45-1,"")</f>
        <v/>
      </c>
      <c r="BI45" s="62" t="str">
        <f>IFERROR(Inv_SY_B!BI45/Inv_SY_B!$IS45-1,"")</f>
        <v/>
      </c>
      <c r="BJ45" s="62" t="str">
        <f>IFERROR(Inv_SY_B!BJ45/Inv_SY_B!$IS45-1,"")</f>
        <v/>
      </c>
      <c r="BK45" s="62" t="str">
        <f>IFERROR(Inv_SY_B!BK45/Inv_SY_B!$IS45-1,"")</f>
        <v/>
      </c>
      <c r="BL45" s="62" t="str">
        <f>IFERROR(Inv_SY_B!BL45/Inv_SY_B!$IS45-1,"")</f>
        <v/>
      </c>
      <c r="BM45" s="62" t="str">
        <f>IFERROR(Inv_SY_B!BM45/Inv_SY_B!$IS45-1,"")</f>
        <v/>
      </c>
      <c r="BN45" s="62" t="str">
        <f>IFERROR(Inv_SY_B!BN45/Inv_SY_B!$IS45-1,"")</f>
        <v/>
      </c>
      <c r="BO45" s="62" t="str">
        <f>IFERROR(Inv_SY_B!BO45/Inv_SY_B!$IS45-1,"")</f>
        <v/>
      </c>
      <c r="BP45" s="62" t="str">
        <f>IFERROR(Inv_SY_B!BP45/Inv_SY_B!$IS45-1,"")</f>
        <v/>
      </c>
      <c r="BQ45" s="62" t="str">
        <f>IFERROR(Inv_SY_B!BQ45/Inv_SY_B!$IS45-1,"")</f>
        <v/>
      </c>
      <c r="BR45" s="62" t="str">
        <f>IFERROR(Inv_SY_B!BR45/Inv_SY_B!$IS45-1,"")</f>
        <v/>
      </c>
      <c r="BS45" s="62" t="str">
        <f>IFERROR(Inv_SY_B!BS45/Inv_SY_B!$IS45-1,"")</f>
        <v/>
      </c>
      <c r="BT45" s="62" t="str">
        <f>IFERROR(Inv_SY_B!BT45/Inv_SY_B!$IS45-1,"")</f>
        <v/>
      </c>
      <c r="BU45" s="62" t="str">
        <f>IFERROR(Inv_SY_B!BU45/Inv_SY_B!$IS45-1,"")</f>
        <v/>
      </c>
      <c r="BV45" s="62" t="str">
        <f>IFERROR(Inv_SY_B!BV45/Inv_SY_B!$IS45-1,"")</f>
        <v/>
      </c>
      <c r="BW45" s="62" t="str">
        <f>IFERROR(Inv_SY_B!BW45/Inv_SY_B!$IS45-1,"")</f>
        <v/>
      </c>
      <c r="BX45" s="62" t="str">
        <f>IFERROR(Inv_SY_B!BX45/Inv_SY_B!$IS45-1,"")</f>
        <v/>
      </c>
      <c r="BY45" s="62" t="str">
        <f>IFERROR(Inv_SY_B!BY45/Inv_SY_B!$IS45-1,"")</f>
        <v/>
      </c>
      <c r="BZ45" s="62" t="str">
        <f>IFERROR(Inv_SY_B!BZ45/Inv_SY_B!$IS45-1,"")</f>
        <v/>
      </c>
      <c r="CA45" s="62" t="str">
        <f>IFERROR(Inv_SY_B!CA45/Inv_SY_B!$IS45-1,"")</f>
        <v/>
      </c>
      <c r="CB45" s="62" t="str">
        <f>IFERROR(Inv_SY_B!CB45/Inv_SY_B!$IS45-1,"")</f>
        <v/>
      </c>
      <c r="CC45" s="62" t="str">
        <f>IFERROR(Inv_SY_B!CC45/Inv_SY_B!$IS45-1,"")</f>
        <v/>
      </c>
      <c r="CD45" s="62" t="str">
        <f>IFERROR(Inv_SY_B!CD45/Inv_SY_B!$IS45-1,"")</f>
        <v/>
      </c>
      <c r="CE45" s="62" t="str">
        <f>IFERROR(Inv_SY_B!CE45/Inv_SY_B!$IS45-1,"")</f>
        <v/>
      </c>
      <c r="CF45" s="62" t="str">
        <f>IFERROR(Inv_SY_B!CF45/Inv_SY_B!$IS45-1,"")</f>
        <v/>
      </c>
      <c r="CG45" s="62" t="str">
        <f>IFERROR(Inv_SY_B!CG45/Inv_SY_B!$IS45-1,"")</f>
        <v/>
      </c>
      <c r="CH45" s="62" t="str">
        <f>IFERROR(Inv_SY_B!CH45/Inv_SY_B!$IS45-1,"")</f>
        <v/>
      </c>
      <c r="CI45" s="62" t="str">
        <f>IFERROR(Inv_SY_B!CI45/Inv_SY_B!$IS45-1,"")</f>
        <v/>
      </c>
      <c r="CJ45" s="62" t="str">
        <f>IFERROR(Inv_SY_B!CJ45/Inv_SY_B!$IS45-1,"")</f>
        <v/>
      </c>
      <c r="CK45" s="62" t="str">
        <f>IFERROR(Inv_SY_B!CK45/Inv_SY_B!$IS45-1,"")</f>
        <v/>
      </c>
      <c r="CL45" s="62" t="str">
        <f>IFERROR(Inv_SY_B!CL45/Inv_SY_B!$IS45-1,"")</f>
        <v/>
      </c>
      <c r="CM45" s="62" t="str">
        <f>IFERROR(Inv_SY_B!CM45/Inv_SY_B!$IS45-1,"")</f>
        <v/>
      </c>
      <c r="CN45" s="62" t="str">
        <f>IFERROR(Inv_SY_B!CN45/Inv_SY_B!$IS45-1,"")</f>
        <v/>
      </c>
      <c r="CO45" s="62" t="str">
        <f>IFERROR(Inv_SY_B!CO45/Inv_SY_B!$IS45-1,"")</f>
        <v/>
      </c>
      <c r="CP45" s="62" t="str">
        <f>IFERROR(Inv_SY_B!CP45/Inv_SY_B!$IS45-1,"")</f>
        <v/>
      </c>
      <c r="CQ45" s="62" t="str">
        <f>IFERROR(Inv_SY_B!CQ45/Inv_SY_B!$IS45-1,"")</f>
        <v/>
      </c>
      <c r="CR45" s="62" t="str">
        <f>IFERROR(Inv_SY_B!CR45/Inv_SY_B!$IS45-1,"")</f>
        <v/>
      </c>
      <c r="CS45" s="62" t="str">
        <f>IFERROR(Inv_SY_B!CS45/Inv_SY_B!$IS45-1,"")</f>
        <v/>
      </c>
      <c r="CT45" s="62" t="str">
        <f>IFERROR(Inv_SY_B!CT45/Inv_SY_B!$IS45-1,"")</f>
        <v/>
      </c>
      <c r="CU45" s="62" t="str">
        <f>IFERROR(Inv_SY_B!CU45/Inv_SY_B!$IS45-1,"")</f>
        <v/>
      </c>
      <c r="CV45" s="62" t="str">
        <f>IFERROR(Inv_SY_B!CV45/Inv_SY_B!$IS45-1,"")</f>
        <v/>
      </c>
      <c r="CW45" s="62" t="str">
        <f>IFERROR(Inv_SY_B!CW45/Inv_SY_B!$IS45-1,"")</f>
        <v/>
      </c>
      <c r="CX45" s="62" t="str">
        <f>IFERROR(Inv_SY_B!CX45/Inv_SY_B!$IS45-1,"")</f>
        <v/>
      </c>
      <c r="CY45" s="62" t="str">
        <f>IFERROR(Inv_SY_B!CY45/Inv_SY_B!$IS45-1,"")</f>
        <v/>
      </c>
      <c r="CZ45" s="62" t="str">
        <f>IFERROR(Inv_SY_B!CZ45/Inv_SY_B!$IS45-1,"")</f>
        <v/>
      </c>
      <c r="DA45" s="62" t="str">
        <f>IFERROR(Inv_SY_B!DA45/Inv_SY_B!$IS45-1,"")</f>
        <v/>
      </c>
      <c r="DB45" s="62" t="str">
        <f>IFERROR(Inv_SY_B!DB45/Inv_SY_B!$IS45-1,"")</f>
        <v/>
      </c>
      <c r="DC45" s="62" t="str">
        <f>IFERROR(Inv_SY_B!DC45/Inv_SY_B!$IS45-1,"")</f>
        <v/>
      </c>
      <c r="DD45" s="62" t="str">
        <f>IFERROR(Inv_SY_B!DD45/Inv_SY_B!$IS45-1,"")</f>
        <v/>
      </c>
      <c r="DE45" s="62" t="str">
        <f>IFERROR(Inv_SY_B!DE45/Inv_SY_B!$IS45-1,"")</f>
        <v/>
      </c>
      <c r="DF45" s="62" t="str">
        <f>IFERROR(Inv_SY_B!DF45/Inv_SY_B!$IS45-1,"")</f>
        <v/>
      </c>
      <c r="DG45" s="62" t="str">
        <f>IFERROR(Inv_SY_B!DG45/Inv_SY_B!$IS45-1,"")</f>
        <v/>
      </c>
      <c r="DH45" s="62" t="str">
        <f>IFERROR(Inv_SY_B!DH45/Inv_SY_B!$IS45-1,"")</f>
        <v/>
      </c>
      <c r="DI45" s="62" t="str">
        <f>IFERROR(Inv_SY_B!DI45/Inv_SY_B!$IS45-1,"")</f>
        <v/>
      </c>
      <c r="DJ45" s="62" t="str">
        <f>IFERROR(Inv_SY_B!DJ45/Inv_SY_B!$IS45-1,"")</f>
        <v/>
      </c>
      <c r="DK45" s="62" t="str">
        <f>IFERROR(Inv_SY_B!DK45/Inv_SY_B!$IS45-1,"")</f>
        <v/>
      </c>
      <c r="DL45" s="62" t="str">
        <f>IFERROR(Inv_SY_B!DL45/Inv_SY_B!$IS45-1,"")</f>
        <v/>
      </c>
      <c r="DM45" s="62" t="str">
        <f>IFERROR(Inv_SY_B!DM45/Inv_SY_B!$IS45-1,"")</f>
        <v/>
      </c>
      <c r="DN45" s="62" t="str">
        <f>IFERROR(Inv_SY_B!DN45/Inv_SY_B!$IS45-1,"")</f>
        <v/>
      </c>
      <c r="DO45" s="62" t="str">
        <f>IFERROR(Inv_SY_B!DO45/Inv_SY_B!$IS45-1,"")</f>
        <v/>
      </c>
      <c r="DP45" s="62" t="str">
        <f>IFERROR(Inv_SY_B!DP45/Inv_SY_B!$IS45-1,"")</f>
        <v/>
      </c>
      <c r="DQ45" s="62" t="str">
        <f>IFERROR(Inv_SY_B!DQ45/Inv_SY_B!$IS45-1,"")</f>
        <v/>
      </c>
      <c r="DR45" s="62" t="str">
        <f>IFERROR(Inv_SY_B!DR45/Inv_SY_B!$IS45-1,"")</f>
        <v/>
      </c>
      <c r="DS45" s="62" t="str">
        <f>IFERROR(Inv_SY_B!DS45/Inv_SY_B!$IS45-1,"")</f>
        <v/>
      </c>
      <c r="DT45" s="62" t="str">
        <f>IFERROR(Inv_SY_B!DT45/Inv_SY_B!$IS45-1,"")</f>
        <v/>
      </c>
      <c r="DU45" s="62" t="str">
        <f>IFERROR(Inv_SY_B!DU45/Inv_SY_B!$IS45-1,"")</f>
        <v/>
      </c>
      <c r="DV45" s="62" t="str">
        <f>IFERROR(Inv_SY_B!DV45/Inv_SY_B!$IS45-1,"")</f>
        <v/>
      </c>
      <c r="DW45" s="62" t="str">
        <f>IFERROR(Inv_SY_B!DW45/Inv_SY_B!$IS45-1,"")</f>
        <v/>
      </c>
      <c r="DX45" s="62" t="str">
        <f>IFERROR(Inv_SY_B!DX45/Inv_SY_B!$IS45-1,"")</f>
        <v/>
      </c>
      <c r="DY45" s="62" t="str">
        <f>IFERROR(Inv_SY_B!DY45/Inv_SY_B!$IS45-1,"")</f>
        <v/>
      </c>
      <c r="DZ45" s="62" t="str">
        <f>IFERROR(Inv_SY_B!DZ45/Inv_SY_B!$IS45-1,"")</f>
        <v/>
      </c>
      <c r="EA45" s="62" t="str">
        <f>IFERROR(Inv_SY_B!EA45/Inv_SY_B!$IS45-1,"")</f>
        <v/>
      </c>
      <c r="EB45" s="62" t="str">
        <f>IFERROR(Inv_SY_B!EB45/Inv_SY_B!$IS45-1,"")</f>
        <v/>
      </c>
      <c r="EC45" s="62" t="str">
        <f>IFERROR(Inv_SY_B!EC45/Inv_SY_B!$IS45-1,"")</f>
        <v/>
      </c>
      <c r="ED45" s="62" t="str">
        <f>IFERROR(Inv_SY_B!ED45/Inv_SY_B!$IS45-1,"")</f>
        <v/>
      </c>
      <c r="EE45" s="62" t="str">
        <f>IFERROR(Inv_SY_B!EE45/Inv_SY_B!$IS45-1,"")</f>
        <v/>
      </c>
      <c r="EF45" s="62" t="str">
        <f>IFERROR(Inv_SY_B!EF45/Inv_SY_B!$IS45-1,"")</f>
        <v/>
      </c>
      <c r="EG45" s="62" t="str">
        <f>IFERROR(Inv_SY_B!EG45/Inv_SY_B!$IS45-1,"")</f>
        <v/>
      </c>
      <c r="EH45" s="62" t="str">
        <f>IFERROR(Inv_SY_B!EH45/Inv_SY_B!$IS45-1,"")</f>
        <v/>
      </c>
      <c r="EI45" s="62" t="str">
        <f>IFERROR(Inv_SY_B!EI45/Inv_SY_B!$IS45-1,"")</f>
        <v/>
      </c>
      <c r="EJ45" s="62" t="str">
        <f>IFERROR(Inv_SY_B!EJ45/Inv_SY_B!$IS45-1,"")</f>
        <v/>
      </c>
      <c r="EK45" s="62" t="str">
        <f>IFERROR(Inv_SY_B!EK45/Inv_SY_B!$IS45-1,"")</f>
        <v/>
      </c>
      <c r="EL45" s="62" t="str">
        <f>IFERROR(Inv_SY_B!EL45/Inv_SY_B!$IS45-1,"")</f>
        <v/>
      </c>
      <c r="EM45" s="62" t="str">
        <f>IFERROR(Inv_SY_B!EM45/Inv_SY_B!$IS45-1,"")</f>
        <v/>
      </c>
      <c r="EN45" s="62" t="str">
        <f>IFERROR(Inv_SY_B!EN45/Inv_SY_B!$IS45-1,"")</f>
        <v/>
      </c>
      <c r="EO45" s="62" t="str">
        <f>IFERROR(Inv_SY_B!EO45/Inv_SY_B!$IS45-1,"")</f>
        <v/>
      </c>
      <c r="EP45" s="62" t="str">
        <f>IFERROR(Inv_SY_B!EP45/Inv_SY_B!$IS45-1,"")</f>
        <v/>
      </c>
      <c r="EQ45" s="62" t="str">
        <f>IFERROR(Inv_SY_B!EQ45/Inv_SY_B!$IS45-1,"")</f>
        <v/>
      </c>
      <c r="ER45" s="62" t="str">
        <f>IFERROR(Inv_SY_B!ER45/Inv_SY_B!$IS45-1,"")</f>
        <v/>
      </c>
      <c r="ES45" s="62" t="str">
        <f>IFERROR(Inv_SY_B!ES45/Inv_SY_B!$IS45-1,"")</f>
        <v/>
      </c>
      <c r="ET45" s="62" t="str">
        <f>IFERROR(Inv_SY_B!ET45/Inv_SY_B!$IS45-1,"")</f>
        <v/>
      </c>
      <c r="EU45" s="62" t="str">
        <f>IFERROR(Inv_SY_B!EU45/Inv_SY_B!$IS45-1,"")</f>
        <v/>
      </c>
      <c r="EV45" s="62" t="str">
        <f>IFERROR(Inv_SY_B!EV45/Inv_SY_B!$IS45-1,"")</f>
        <v/>
      </c>
      <c r="EW45" s="62" t="str">
        <f>IFERROR(Inv_SY_B!EW45/Inv_SY_B!$IS45-1,"")</f>
        <v/>
      </c>
      <c r="EX45" s="62" t="str">
        <f>IFERROR(Inv_SY_B!EX45/Inv_SY_B!$IS45-1,"")</f>
        <v/>
      </c>
      <c r="EY45" s="62" t="str">
        <f>IFERROR(Inv_SY_B!EY45/Inv_SY_B!$IS45-1,"")</f>
        <v/>
      </c>
      <c r="EZ45" s="62" t="str">
        <f>IFERROR(Inv_SY_B!EZ45/Inv_SY_B!$IS45-1,"")</f>
        <v/>
      </c>
      <c r="FA45" s="62" t="str">
        <f>IFERROR(Inv_SY_B!FA45/Inv_SY_B!$IS45-1,"")</f>
        <v/>
      </c>
      <c r="FB45" s="62" t="str">
        <f>IFERROR(Inv_SY_B!FB45/Inv_SY_B!$IS45-1,"")</f>
        <v/>
      </c>
      <c r="FC45" s="62" t="str">
        <f>IFERROR(Inv_SY_B!FC45/Inv_SY_B!$IS45-1,"")</f>
        <v/>
      </c>
      <c r="FD45" s="62" t="str">
        <f>IFERROR(Inv_SY_B!FD45/Inv_SY_B!$IS45-1,"")</f>
        <v/>
      </c>
      <c r="FE45" s="62" t="str">
        <f>IFERROR(Inv_SY_B!FE45/Inv_SY_B!$IS45-1,"")</f>
        <v/>
      </c>
      <c r="FF45" s="62" t="str">
        <f>IFERROR(Inv_SY_B!FF45/Inv_SY_B!$IS45-1,"")</f>
        <v/>
      </c>
      <c r="FG45" s="62" t="str">
        <f>IFERROR(Inv_SY_B!FG45/Inv_SY_B!$IS45-1,"")</f>
        <v/>
      </c>
      <c r="FH45" s="62" t="str">
        <f>IFERROR(Inv_SY_B!FH45/Inv_SY_B!$IS45-1,"")</f>
        <v/>
      </c>
      <c r="FI45" s="62" t="str">
        <f>IFERROR(Inv_SY_B!FI45/Inv_SY_B!$IS45-1,"")</f>
        <v/>
      </c>
      <c r="FJ45" s="62" t="str">
        <f>IFERROR(Inv_SY_B!FJ45/Inv_SY_B!$IS45-1,"")</f>
        <v/>
      </c>
      <c r="FK45" s="62" t="str">
        <f>IFERROR(Inv_SY_B!FK45/Inv_SY_B!$IS45-1,"")</f>
        <v/>
      </c>
      <c r="FL45" s="62" t="str">
        <f>IFERROR(Inv_SY_B!FL45/Inv_SY_B!$IS45-1,"")</f>
        <v/>
      </c>
      <c r="FM45" s="62" t="str">
        <f>IFERROR(Inv_SY_B!FM45/Inv_SY_B!$IS45-1,"")</f>
        <v/>
      </c>
      <c r="FN45" s="62" t="str">
        <f>IFERROR(Inv_SY_B!FN45/Inv_SY_B!$IS45-1,"")</f>
        <v/>
      </c>
      <c r="FO45" s="62" t="str">
        <f>IFERROR(Inv_SY_B!FO45/Inv_SY_B!$IS45-1,"")</f>
        <v/>
      </c>
      <c r="FP45" s="62" t="str">
        <f>IFERROR(Inv_SY_B!FP45/Inv_SY_B!$IS45-1,"")</f>
        <v/>
      </c>
      <c r="FQ45" s="62" t="str">
        <f>IFERROR(Inv_SY_B!FQ45/Inv_SY_B!$IS45-1,"")</f>
        <v/>
      </c>
      <c r="FR45" s="62" t="str">
        <f>IFERROR(Inv_SY_B!FR45/Inv_SY_B!$IS45-1,"")</f>
        <v/>
      </c>
      <c r="FS45" s="62" t="str">
        <f>IFERROR(Inv_SY_B!FS45/Inv_SY_B!$IS45-1,"")</f>
        <v/>
      </c>
      <c r="FT45" s="62" t="str">
        <f>IFERROR(Inv_SY_B!FT45/Inv_SY_B!$IS45-1,"")</f>
        <v/>
      </c>
      <c r="FU45" s="62" t="str">
        <f>IFERROR(Inv_SY_B!FU45/Inv_SY_B!$IS45-1,"")</f>
        <v/>
      </c>
      <c r="FV45" s="62" t="str">
        <f>IFERROR(Inv_SY_B!FV45/Inv_SY_B!$IS45-1,"")</f>
        <v/>
      </c>
      <c r="FW45" s="62" t="str">
        <f>IFERROR(Inv_SY_B!FW45/Inv_SY_B!$IS45-1,"")</f>
        <v/>
      </c>
      <c r="FX45" s="62" t="str">
        <f>IFERROR(Inv_SY_B!FX45/Inv_SY_B!$IS45-1,"")</f>
        <v/>
      </c>
      <c r="FY45" s="62" t="str">
        <f>IFERROR(Inv_SY_B!FY45/Inv_SY_B!$IS45-1,"")</f>
        <v/>
      </c>
      <c r="FZ45" s="62" t="str">
        <f>IFERROR(Inv_SY_B!FZ45/Inv_SY_B!$IS45-1,"")</f>
        <v/>
      </c>
      <c r="GA45" s="62" t="str">
        <f>IFERROR(Inv_SY_B!GA45/Inv_SY_B!$IS45-1,"")</f>
        <v/>
      </c>
      <c r="GB45" s="62" t="str">
        <f>IFERROR(Inv_SY_B!GB45/Inv_SY_B!$IS45-1,"")</f>
        <v/>
      </c>
      <c r="GC45" s="62" t="str">
        <f>IFERROR(Inv_SY_B!GC45/Inv_SY_B!$IS45-1,"")</f>
        <v/>
      </c>
      <c r="GD45" s="62" t="str">
        <f>IFERROR(Inv_SY_B!GD45/Inv_SY_B!$IS45-1,"")</f>
        <v/>
      </c>
      <c r="GE45" s="62" t="str">
        <f>IFERROR(Inv_SY_B!GE45/Inv_SY_B!$IS45-1,"")</f>
        <v/>
      </c>
      <c r="GF45" s="62" t="str">
        <f>IFERROR(Inv_SY_B!GF45/Inv_SY_B!$IS45-1,"")</f>
        <v/>
      </c>
      <c r="GG45" s="62" t="str">
        <f>IFERROR(Inv_SY_B!GG45/Inv_SY_B!$IS45-1,"")</f>
        <v/>
      </c>
      <c r="GH45" s="62" t="str">
        <f>IFERROR(Inv_SY_B!GH45/Inv_SY_B!$IS45-1,"")</f>
        <v/>
      </c>
      <c r="GI45" s="62" t="str">
        <f>IFERROR(Inv_SY_B!GI45/Inv_SY_B!$IS45-1,"")</f>
        <v/>
      </c>
      <c r="GJ45" s="62" t="str">
        <f>IFERROR(Inv_SY_B!GJ45/Inv_SY_B!$IS45-1,"")</f>
        <v/>
      </c>
      <c r="GK45" s="62" t="str">
        <f>IFERROR(Inv_SY_B!GK45/Inv_SY_B!$IS45-1,"")</f>
        <v/>
      </c>
      <c r="GL45" s="62" t="str">
        <f>IFERROR(Inv_SY_B!GL45/Inv_SY_B!$IS45-1,"")</f>
        <v/>
      </c>
      <c r="GM45" s="62" t="str">
        <f>IFERROR(Inv_SY_B!GM45/Inv_SY_B!$IS45-1,"")</f>
        <v/>
      </c>
      <c r="GN45" s="62" t="str">
        <f>IFERROR(Inv_SY_B!GN45/Inv_SY_B!$IS45-1,"")</f>
        <v/>
      </c>
      <c r="GO45" s="62" t="str">
        <f>IFERROR(Inv_SY_B!GO45/Inv_SY_B!$IS45-1,"")</f>
        <v/>
      </c>
      <c r="GP45" s="62" t="str">
        <f>IFERROR(Inv_SY_B!GP45/Inv_SY_B!$IS45-1,"")</f>
        <v/>
      </c>
      <c r="GQ45" s="62" t="str">
        <f>IFERROR(Inv_SY_B!GQ45/Inv_SY_B!$IS45-1,"")</f>
        <v/>
      </c>
      <c r="GR45" s="62" t="str">
        <f>IFERROR(Inv_SY_B!GR45/Inv_SY_B!$IS45-1,"")</f>
        <v/>
      </c>
      <c r="GS45" s="62" t="str">
        <f>IFERROR(Inv_SY_B!GS45/Inv_SY_B!$IS45-1,"")</f>
        <v/>
      </c>
      <c r="GT45" s="62" t="str">
        <f>IFERROR(Inv_SY_B!GT45/Inv_SY_B!$IS45-1,"")</f>
        <v/>
      </c>
      <c r="GU45" s="62" t="str">
        <f>IFERROR(Inv_SY_B!GU45/Inv_SY_B!$IS45-1,"")</f>
        <v/>
      </c>
      <c r="GV45" s="62" t="str">
        <f>IFERROR(Inv_SY_B!GV45/Inv_SY_B!$IS45-1,"")</f>
        <v/>
      </c>
      <c r="GW45" s="62" t="str">
        <f>IFERROR(Inv_SY_B!GW45/Inv_SY_B!$IS45-1,"")</f>
        <v/>
      </c>
      <c r="GX45" s="62" t="str">
        <f>IFERROR(Inv_SY_B!GX45/Inv_SY_B!$IS45-1,"")</f>
        <v/>
      </c>
      <c r="GY45" s="62" t="str">
        <f>IFERROR(Inv_SY_B!GY45/Inv_SY_B!$IS45-1,"")</f>
        <v/>
      </c>
      <c r="GZ45" s="62" t="str">
        <f>IFERROR(Inv_SY_B!GZ45/Inv_SY_B!$IS45-1,"")</f>
        <v/>
      </c>
      <c r="HA45" s="62" t="str">
        <f>IFERROR(Inv_SY_B!HA45/Inv_SY_B!$IS45-1,"")</f>
        <v/>
      </c>
      <c r="HB45" s="62" t="str">
        <f>IFERROR(Inv_SY_B!HB45/Inv_SY_B!$IS45-1,"")</f>
        <v/>
      </c>
      <c r="HC45" s="62" t="str">
        <f>IFERROR(Inv_SY_B!HC45/Inv_SY_B!$IS45-1,"")</f>
        <v/>
      </c>
      <c r="HD45" s="62" t="str">
        <f>IFERROR(Inv_SY_B!HD45/Inv_SY_B!$IS45-1,"")</f>
        <v/>
      </c>
      <c r="HE45" s="62" t="str">
        <f>IFERROR(Inv_SY_B!HE45/Inv_SY_B!$IS45-1,"")</f>
        <v/>
      </c>
      <c r="HF45" s="62" t="str">
        <f>IFERROR(Inv_SY_B!HF45/Inv_SY_B!$IS45-1,"")</f>
        <v/>
      </c>
      <c r="HG45" s="62" t="str">
        <f>IFERROR(Inv_SY_B!HG45/Inv_SY_B!$IS45-1,"")</f>
        <v/>
      </c>
      <c r="HH45" s="62" t="str">
        <f>IFERROR(Inv_SY_B!HH45/Inv_SY_B!$IS45-1,"")</f>
        <v/>
      </c>
      <c r="HI45" s="62" t="str">
        <f>IFERROR(Inv_SY_B!HI45/Inv_SY_B!$IS45-1,"")</f>
        <v/>
      </c>
      <c r="HJ45" s="62" t="str">
        <f>IFERROR(Inv_SY_B!HJ45/Inv_SY_B!$IS45-1,"")</f>
        <v/>
      </c>
      <c r="HK45" s="62" t="str">
        <f>IFERROR(Inv_SY_B!HK45/Inv_SY_B!$IS45-1,"")</f>
        <v/>
      </c>
      <c r="HL45" s="62" t="str">
        <f>IFERROR(Inv_SY_B!HL45/Inv_SY_B!$IS45-1,"")</f>
        <v/>
      </c>
      <c r="HM45" s="62" t="str">
        <f>IFERROR(Inv_SY_B!HM45/Inv_SY_B!$IS45-1,"")</f>
        <v/>
      </c>
      <c r="HN45" s="62" t="str">
        <f>IFERROR(Inv_SY_B!HN45/Inv_SY_B!$IS45-1,"")</f>
        <v/>
      </c>
      <c r="HO45" s="62" t="str">
        <f>IFERROR(Inv_SY_B!HO45/Inv_SY_B!$IS45-1,"")</f>
        <v/>
      </c>
      <c r="HP45" s="62" t="str">
        <f>IFERROR(Inv_SY_B!HP45/Inv_SY_B!$IS45-1,"")</f>
        <v/>
      </c>
      <c r="HQ45" s="62" t="str">
        <f>IFERROR(Inv_SY_B!HQ45/Inv_SY_B!$IS45-1,"")</f>
        <v/>
      </c>
      <c r="HR45" s="62" t="str">
        <f>IFERROR(Inv_SY_B!HR45/Inv_SY_B!$IS45-1,"")</f>
        <v/>
      </c>
      <c r="HS45" s="62" t="str">
        <f>IFERROR(Inv_SY_B!HS45/Inv_SY_B!$IS45-1,"")</f>
        <v/>
      </c>
      <c r="HT45" s="62" t="str">
        <f>IFERROR(Inv_SY_B!HT45/Inv_SY_B!$IS45-1,"")</f>
        <v/>
      </c>
      <c r="HU45" s="62" t="str">
        <f>IFERROR(Inv_SY_B!HU45/Inv_SY_B!$IS45-1,"")</f>
        <v/>
      </c>
      <c r="HV45" s="62" t="str">
        <f>IFERROR(Inv_SY_B!HV45/Inv_SY_B!$IS45-1,"")</f>
        <v/>
      </c>
      <c r="HW45" s="62" t="str">
        <f>IFERROR(Inv_SY_B!HW45/Inv_SY_B!$IS45-1,"")</f>
        <v/>
      </c>
      <c r="HX45" s="62" t="str">
        <f>IFERROR(Inv_SY_B!HX45/Inv_SY_B!$IS45-1,"")</f>
        <v/>
      </c>
      <c r="HY45" s="62" t="str">
        <f>IFERROR(Inv_SY_B!HY45/Inv_SY_B!$IS45-1,"")</f>
        <v/>
      </c>
      <c r="HZ45" s="62" t="str">
        <f>IFERROR(Inv_SY_B!HZ45/Inv_SY_B!$IS45-1,"")</f>
        <v/>
      </c>
      <c r="IA45" s="62" t="str">
        <f>IFERROR(Inv_SY_B!IA45/Inv_SY_B!$IS45-1,"")</f>
        <v/>
      </c>
      <c r="IB45" s="62" t="str">
        <f>IFERROR(Inv_SY_B!IB45/Inv_SY_B!$IS45-1,"")</f>
        <v/>
      </c>
      <c r="IC45" s="62" t="str">
        <f>IFERROR(Inv_SY_B!IC45/Inv_SY_B!$IS45-1,"")</f>
        <v/>
      </c>
      <c r="ID45" s="62" t="str">
        <f>IFERROR(Inv_SY_B!ID45/Inv_SY_B!$IS45-1,"")</f>
        <v/>
      </c>
      <c r="IE45" s="62" t="str">
        <f>IFERROR(Inv_SY_B!IE45/Inv_SY_B!$IS45-1,"")</f>
        <v/>
      </c>
      <c r="IF45" s="62" t="str">
        <f>IFERROR(Inv_SY_B!IF45/Inv_SY_B!$IS45-1,"")</f>
        <v/>
      </c>
      <c r="IG45" s="62" t="str">
        <f>IFERROR(Inv_SY_B!IG45/Inv_SY_B!$IS45-1,"")</f>
        <v/>
      </c>
      <c r="IH45" s="62" t="str">
        <f>IFERROR(Inv_SY_B!IH45/Inv_SY_B!$IS45-1,"")</f>
        <v/>
      </c>
      <c r="II45" s="62" t="str">
        <f>IFERROR(Inv_SY_B!II45/Inv_SY_B!$IS45-1,"")</f>
        <v/>
      </c>
      <c r="IJ45" s="62" t="str">
        <f>IFERROR(Inv_SY_B!IJ45/Inv_SY_B!$IS45-1,"")</f>
        <v/>
      </c>
      <c r="IK45" s="62" t="str">
        <f>IFERROR(Inv_SY_B!IK45/Inv_SY_B!$IS45-1,"")</f>
        <v/>
      </c>
      <c r="IL45" s="62" t="str">
        <f>IFERROR(Inv_SY_B!IL45/Inv_SY_B!$IS45-1,"")</f>
        <v/>
      </c>
      <c r="IM45" s="62" t="str">
        <f>IFERROR(Inv_SY_B!IM45/Inv_SY_B!$IS45-1,"")</f>
        <v/>
      </c>
      <c r="IN45" s="62" t="str">
        <f>IFERROR(Inv_SY_B!IN45/Inv_SY_B!$IS45-1,"")</f>
        <v/>
      </c>
      <c r="IO45" s="62" t="str">
        <f>IFERROR(Inv_SY_B!IO45/Inv_SY_B!$IS45-1,"")</f>
        <v/>
      </c>
      <c r="IP45" s="62" t="str">
        <f>IFERROR(Inv_SY_B!IP45/Inv_SY_B!$IS45-1,"")</f>
        <v/>
      </c>
      <c r="IQ45" s="62" t="str">
        <f>IFERROR(Inv_SY_B!IQ45/Inv_SY_B!$IS45-1,"")</f>
        <v/>
      </c>
      <c r="IR45" s="62" t="str">
        <f>IFERROR(Inv_SY_B!IR45/Inv_SY_B!$IS45-1,"")</f>
        <v/>
      </c>
    </row>
    <row r="46" spans="2:252" x14ac:dyDescent="0.25">
      <c r="B46" s="85">
        <f t="shared" si="0"/>
        <v>45872</v>
      </c>
      <c r="C46" s="62" t="str">
        <f>IFERROR(Inv_SY_B!C46/Inv_SY_B!$IS46-1,"")</f>
        <v/>
      </c>
      <c r="D46" s="62" t="str">
        <f>IFERROR(Inv_SY_B!D46/Inv_SY_B!$IS46-1,"")</f>
        <v/>
      </c>
      <c r="E46" s="62" t="str">
        <f>IFERROR(Inv_SY_B!E46/Inv_SY_B!$IS46-1,"")</f>
        <v/>
      </c>
      <c r="F46" s="62" t="str">
        <f>IFERROR(Inv_SY_B!F46/Inv_SY_B!$IS46-1,"")</f>
        <v/>
      </c>
      <c r="G46" s="62" t="str">
        <f>IFERROR(Inv_SY_B!G46/Inv_SY_B!$IS46-1,"")</f>
        <v/>
      </c>
      <c r="H46" s="62" t="str">
        <f>IFERROR(Inv_SY_B!H46/Inv_SY_B!$IS46-1,"")</f>
        <v/>
      </c>
      <c r="I46" s="62" t="str">
        <f>IFERROR(Inv_SY_B!I46/Inv_SY_B!$IS46-1,"")</f>
        <v/>
      </c>
      <c r="J46" s="62" t="str">
        <f>IFERROR(Inv_SY_B!J46/Inv_SY_B!$IS46-1,"")</f>
        <v/>
      </c>
      <c r="K46" s="62" t="str">
        <f>IFERROR(Inv_SY_B!K46/Inv_SY_B!$IS46-1,"")</f>
        <v/>
      </c>
      <c r="L46" s="62" t="str">
        <f>IFERROR(Inv_SY_B!L46/Inv_SY_B!$IS46-1,"")</f>
        <v/>
      </c>
      <c r="M46" s="62" t="str">
        <f>IFERROR(Inv_SY_B!M46/Inv_SY_B!$IS46-1,"")</f>
        <v/>
      </c>
      <c r="N46" s="62" t="str">
        <f>IFERROR(Inv_SY_B!N46/Inv_SY_B!$IS46-1,"")</f>
        <v/>
      </c>
      <c r="O46" s="62" t="str">
        <f>IFERROR(Inv_SY_B!O46/Inv_SY_B!$IS46-1,"")</f>
        <v/>
      </c>
      <c r="P46" s="62" t="str">
        <f>IFERROR(Inv_SY_B!P46/Inv_SY_B!$IS46-1,"")</f>
        <v/>
      </c>
      <c r="Q46" s="62" t="str">
        <f>IFERROR(Inv_SY_B!Q46/Inv_SY_B!$IS46-1,"")</f>
        <v/>
      </c>
      <c r="R46" s="62" t="str">
        <f>IFERROR(Inv_SY_B!R46/Inv_SY_B!$IS46-1,"")</f>
        <v/>
      </c>
      <c r="S46" s="62" t="str">
        <f>IFERROR(Inv_SY_B!S46/Inv_SY_B!$IS46-1,"")</f>
        <v/>
      </c>
      <c r="T46" s="62" t="str">
        <f>IFERROR(Inv_SY_B!T46/Inv_SY_B!$IS46-1,"")</f>
        <v/>
      </c>
      <c r="U46" s="62" t="str">
        <f>IFERROR(Inv_SY_B!U46/Inv_SY_B!$IS46-1,"")</f>
        <v/>
      </c>
      <c r="V46" s="62" t="str">
        <f>IFERROR(Inv_SY_B!V46/Inv_SY_B!$IS46-1,"")</f>
        <v/>
      </c>
      <c r="W46" s="62" t="str">
        <f>IFERROR(Inv_SY_B!W46/Inv_SY_B!$IS46-1,"")</f>
        <v/>
      </c>
      <c r="X46" s="62" t="str">
        <f>IFERROR(Inv_SY_B!X46/Inv_SY_B!$IS46-1,"")</f>
        <v/>
      </c>
      <c r="Y46" s="62" t="str">
        <f>IFERROR(Inv_SY_B!Y46/Inv_SY_B!$IS46-1,"")</f>
        <v/>
      </c>
      <c r="Z46" s="62" t="str">
        <f>IFERROR(Inv_SY_B!Z46/Inv_SY_B!$IS46-1,"")</f>
        <v/>
      </c>
      <c r="AA46" s="62" t="str">
        <f>IFERROR(Inv_SY_B!AA46/Inv_SY_B!$IS46-1,"")</f>
        <v/>
      </c>
      <c r="AB46" s="62" t="str">
        <f>IFERROR(Inv_SY_B!AB46/Inv_SY_B!$IS46-1,"")</f>
        <v/>
      </c>
      <c r="AC46" s="62" t="str">
        <f>IFERROR(Inv_SY_B!AC46/Inv_SY_B!$IS46-1,"")</f>
        <v/>
      </c>
      <c r="AD46" s="62" t="str">
        <f>IFERROR(Inv_SY_B!AD46/Inv_SY_B!$IS46-1,"")</f>
        <v/>
      </c>
      <c r="AE46" s="62" t="str">
        <f>IFERROR(Inv_SY_B!AE46/Inv_SY_B!$IS46-1,"")</f>
        <v/>
      </c>
      <c r="AF46" s="62" t="str">
        <f>IFERROR(Inv_SY_B!AF46/Inv_SY_B!$IS46-1,"")</f>
        <v/>
      </c>
      <c r="AG46" s="62" t="str">
        <f>IFERROR(Inv_SY_B!AG46/Inv_SY_B!$IS46-1,"")</f>
        <v/>
      </c>
      <c r="AH46" s="62" t="str">
        <f>IFERROR(Inv_SY_B!AH46/Inv_SY_B!$IS46-1,"")</f>
        <v/>
      </c>
      <c r="AI46" s="62" t="str">
        <f>IFERROR(Inv_SY_B!AI46/Inv_SY_B!$IS46-1,"")</f>
        <v/>
      </c>
      <c r="AJ46" s="62" t="str">
        <f>IFERROR(Inv_SY_B!AJ46/Inv_SY_B!$IS46-1,"")</f>
        <v/>
      </c>
      <c r="AK46" s="62" t="str">
        <f>IFERROR(Inv_SY_B!AK46/Inv_SY_B!$IS46-1,"")</f>
        <v/>
      </c>
      <c r="AL46" s="62" t="str">
        <f>IFERROR(Inv_SY_B!AL46/Inv_SY_B!$IS46-1,"")</f>
        <v/>
      </c>
      <c r="AM46" s="62" t="str">
        <f>IFERROR(Inv_SY_B!AM46/Inv_SY_B!$IS46-1,"")</f>
        <v/>
      </c>
      <c r="AN46" s="62" t="str">
        <f>IFERROR(Inv_SY_B!AN46/Inv_SY_B!$IS46-1,"")</f>
        <v/>
      </c>
      <c r="AO46" s="62" t="str">
        <f>IFERROR(Inv_SY_B!AO46/Inv_SY_B!$IS46-1,"")</f>
        <v/>
      </c>
      <c r="AP46" s="62" t="str">
        <f>IFERROR(Inv_SY_B!AP46/Inv_SY_B!$IS46-1,"")</f>
        <v/>
      </c>
      <c r="AQ46" s="62" t="str">
        <f>IFERROR(Inv_SY_B!AQ46/Inv_SY_B!$IS46-1,"")</f>
        <v/>
      </c>
      <c r="AR46" s="62" t="str">
        <f>IFERROR(Inv_SY_B!AR46/Inv_SY_B!$IS46-1,"")</f>
        <v/>
      </c>
      <c r="AS46" s="62" t="str">
        <f>IFERROR(Inv_SY_B!AS46/Inv_SY_B!$IS46-1,"")</f>
        <v/>
      </c>
      <c r="AT46" s="62" t="str">
        <f>IFERROR(Inv_SY_B!AT46/Inv_SY_B!$IS46-1,"")</f>
        <v/>
      </c>
      <c r="AU46" s="62" t="str">
        <f>IFERROR(Inv_SY_B!AU46/Inv_SY_B!$IS46-1,"")</f>
        <v/>
      </c>
      <c r="AV46" s="62" t="str">
        <f>IFERROR(Inv_SY_B!AV46/Inv_SY_B!$IS46-1,"")</f>
        <v/>
      </c>
      <c r="AW46" s="62" t="str">
        <f>IFERROR(Inv_SY_B!AW46/Inv_SY_B!$IS46-1,"")</f>
        <v/>
      </c>
      <c r="AX46" s="62" t="str">
        <f>IFERROR(Inv_SY_B!AX46/Inv_SY_B!$IS46-1,"")</f>
        <v/>
      </c>
      <c r="AY46" s="62" t="str">
        <f>IFERROR(Inv_SY_B!AY46/Inv_SY_B!$IS46-1,"")</f>
        <v/>
      </c>
      <c r="AZ46" s="62" t="str">
        <f>IFERROR(Inv_SY_B!AZ46/Inv_SY_B!$IS46-1,"")</f>
        <v/>
      </c>
      <c r="BA46" s="62" t="str">
        <f>IFERROR(Inv_SY_B!BA46/Inv_SY_B!$IS46-1,"")</f>
        <v/>
      </c>
      <c r="BB46" s="62" t="str">
        <f>IFERROR(Inv_SY_B!BB46/Inv_SY_B!$IS46-1,"")</f>
        <v/>
      </c>
      <c r="BC46" s="62" t="str">
        <f>IFERROR(Inv_SY_B!BC46/Inv_SY_B!$IS46-1,"")</f>
        <v/>
      </c>
      <c r="BD46" s="62" t="str">
        <f>IFERROR(Inv_SY_B!BD46/Inv_SY_B!$IS46-1,"")</f>
        <v/>
      </c>
      <c r="BE46" s="62" t="str">
        <f>IFERROR(Inv_SY_B!BE46/Inv_SY_B!$IS46-1,"")</f>
        <v/>
      </c>
      <c r="BF46" s="62" t="str">
        <f>IFERROR(Inv_SY_B!BF46/Inv_SY_B!$IS46-1,"")</f>
        <v/>
      </c>
      <c r="BG46" s="62" t="str">
        <f>IFERROR(Inv_SY_B!BG46/Inv_SY_B!$IS46-1,"")</f>
        <v/>
      </c>
      <c r="BH46" s="62" t="str">
        <f>IFERROR(Inv_SY_B!BH46/Inv_SY_B!$IS46-1,"")</f>
        <v/>
      </c>
      <c r="BI46" s="62" t="str">
        <f>IFERROR(Inv_SY_B!BI46/Inv_SY_B!$IS46-1,"")</f>
        <v/>
      </c>
      <c r="BJ46" s="62" t="str">
        <f>IFERROR(Inv_SY_B!BJ46/Inv_SY_B!$IS46-1,"")</f>
        <v/>
      </c>
      <c r="BK46" s="62" t="str">
        <f>IFERROR(Inv_SY_B!BK46/Inv_SY_B!$IS46-1,"")</f>
        <v/>
      </c>
      <c r="BL46" s="62" t="str">
        <f>IFERROR(Inv_SY_B!BL46/Inv_SY_B!$IS46-1,"")</f>
        <v/>
      </c>
      <c r="BM46" s="62" t="str">
        <f>IFERROR(Inv_SY_B!BM46/Inv_SY_B!$IS46-1,"")</f>
        <v/>
      </c>
      <c r="BN46" s="62" t="str">
        <f>IFERROR(Inv_SY_B!BN46/Inv_SY_B!$IS46-1,"")</f>
        <v/>
      </c>
      <c r="BO46" s="62" t="str">
        <f>IFERROR(Inv_SY_B!BO46/Inv_SY_B!$IS46-1,"")</f>
        <v/>
      </c>
      <c r="BP46" s="62" t="str">
        <f>IFERROR(Inv_SY_B!BP46/Inv_SY_B!$IS46-1,"")</f>
        <v/>
      </c>
      <c r="BQ46" s="62" t="str">
        <f>IFERROR(Inv_SY_B!BQ46/Inv_SY_B!$IS46-1,"")</f>
        <v/>
      </c>
      <c r="BR46" s="62" t="str">
        <f>IFERROR(Inv_SY_B!BR46/Inv_SY_B!$IS46-1,"")</f>
        <v/>
      </c>
      <c r="BS46" s="62" t="str">
        <f>IFERROR(Inv_SY_B!BS46/Inv_SY_B!$IS46-1,"")</f>
        <v/>
      </c>
      <c r="BT46" s="62" t="str">
        <f>IFERROR(Inv_SY_B!BT46/Inv_SY_B!$IS46-1,"")</f>
        <v/>
      </c>
      <c r="BU46" s="62" t="str">
        <f>IFERROR(Inv_SY_B!BU46/Inv_SY_B!$IS46-1,"")</f>
        <v/>
      </c>
      <c r="BV46" s="62" t="str">
        <f>IFERROR(Inv_SY_B!BV46/Inv_SY_B!$IS46-1,"")</f>
        <v/>
      </c>
      <c r="BW46" s="62" t="str">
        <f>IFERROR(Inv_SY_B!BW46/Inv_SY_B!$IS46-1,"")</f>
        <v/>
      </c>
      <c r="BX46" s="62" t="str">
        <f>IFERROR(Inv_SY_B!BX46/Inv_SY_B!$IS46-1,"")</f>
        <v/>
      </c>
      <c r="BY46" s="62" t="str">
        <f>IFERROR(Inv_SY_B!BY46/Inv_SY_B!$IS46-1,"")</f>
        <v/>
      </c>
      <c r="BZ46" s="62" t="str">
        <f>IFERROR(Inv_SY_B!BZ46/Inv_SY_B!$IS46-1,"")</f>
        <v/>
      </c>
      <c r="CA46" s="62" t="str">
        <f>IFERROR(Inv_SY_B!CA46/Inv_SY_B!$IS46-1,"")</f>
        <v/>
      </c>
      <c r="CB46" s="62" t="str">
        <f>IFERROR(Inv_SY_B!CB46/Inv_SY_B!$IS46-1,"")</f>
        <v/>
      </c>
      <c r="CC46" s="62" t="str">
        <f>IFERROR(Inv_SY_B!CC46/Inv_SY_B!$IS46-1,"")</f>
        <v/>
      </c>
      <c r="CD46" s="62" t="str">
        <f>IFERROR(Inv_SY_B!CD46/Inv_SY_B!$IS46-1,"")</f>
        <v/>
      </c>
      <c r="CE46" s="62" t="str">
        <f>IFERROR(Inv_SY_B!CE46/Inv_SY_B!$IS46-1,"")</f>
        <v/>
      </c>
      <c r="CF46" s="62" t="str">
        <f>IFERROR(Inv_SY_B!CF46/Inv_SY_B!$IS46-1,"")</f>
        <v/>
      </c>
      <c r="CG46" s="62" t="str">
        <f>IFERROR(Inv_SY_B!CG46/Inv_SY_B!$IS46-1,"")</f>
        <v/>
      </c>
      <c r="CH46" s="62" t="str">
        <f>IFERROR(Inv_SY_B!CH46/Inv_SY_B!$IS46-1,"")</f>
        <v/>
      </c>
      <c r="CI46" s="62" t="str">
        <f>IFERROR(Inv_SY_B!CI46/Inv_SY_B!$IS46-1,"")</f>
        <v/>
      </c>
      <c r="CJ46" s="62" t="str">
        <f>IFERROR(Inv_SY_B!CJ46/Inv_SY_B!$IS46-1,"")</f>
        <v/>
      </c>
      <c r="CK46" s="62" t="str">
        <f>IFERROR(Inv_SY_B!CK46/Inv_SY_B!$IS46-1,"")</f>
        <v/>
      </c>
      <c r="CL46" s="62" t="str">
        <f>IFERROR(Inv_SY_B!CL46/Inv_SY_B!$IS46-1,"")</f>
        <v/>
      </c>
      <c r="CM46" s="62" t="str">
        <f>IFERROR(Inv_SY_B!CM46/Inv_SY_B!$IS46-1,"")</f>
        <v/>
      </c>
      <c r="CN46" s="62" t="str">
        <f>IFERROR(Inv_SY_B!CN46/Inv_SY_B!$IS46-1,"")</f>
        <v/>
      </c>
      <c r="CO46" s="62" t="str">
        <f>IFERROR(Inv_SY_B!CO46/Inv_SY_B!$IS46-1,"")</f>
        <v/>
      </c>
      <c r="CP46" s="62" t="str">
        <f>IFERROR(Inv_SY_B!CP46/Inv_SY_B!$IS46-1,"")</f>
        <v/>
      </c>
      <c r="CQ46" s="62" t="str">
        <f>IFERROR(Inv_SY_B!CQ46/Inv_SY_B!$IS46-1,"")</f>
        <v/>
      </c>
      <c r="CR46" s="62" t="str">
        <f>IFERROR(Inv_SY_B!CR46/Inv_SY_B!$IS46-1,"")</f>
        <v/>
      </c>
      <c r="CS46" s="62" t="str">
        <f>IFERROR(Inv_SY_B!CS46/Inv_SY_B!$IS46-1,"")</f>
        <v/>
      </c>
      <c r="CT46" s="62" t="str">
        <f>IFERROR(Inv_SY_B!CT46/Inv_SY_B!$IS46-1,"")</f>
        <v/>
      </c>
      <c r="CU46" s="62" t="str">
        <f>IFERROR(Inv_SY_B!CU46/Inv_SY_B!$IS46-1,"")</f>
        <v/>
      </c>
      <c r="CV46" s="62" t="str">
        <f>IFERROR(Inv_SY_B!CV46/Inv_SY_B!$IS46-1,"")</f>
        <v/>
      </c>
      <c r="CW46" s="62" t="str">
        <f>IFERROR(Inv_SY_B!CW46/Inv_SY_B!$IS46-1,"")</f>
        <v/>
      </c>
      <c r="CX46" s="62" t="str">
        <f>IFERROR(Inv_SY_B!CX46/Inv_SY_B!$IS46-1,"")</f>
        <v/>
      </c>
      <c r="CY46" s="62" t="str">
        <f>IFERROR(Inv_SY_B!CY46/Inv_SY_B!$IS46-1,"")</f>
        <v/>
      </c>
      <c r="CZ46" s="62" t="str">
        <f>IFERROR(Inv_SY_B!CZ46/Inv_SY_B!$IS46-1,"")</f>
        <v/>
      </c>
      <c r="DA46" s="62" t="str">
        <f>IFERROR(Inv_SY_B!DA46/Inv_SY_B!$IS46-1,"")</f>
        <v/>
      </c>
      <c r="DB46" s="62" t="str">
        <f>IFERROR(Inv_SY_B!DB46/Inv_SY_B!$IS46-1,"")</f>
        <v/>
      </c>
      <c r="DC46" s="62" t="str">
        <f>IFERROR(Inv_SY_B!DC46/Inv_SY_B!$IS46-1,"")</f>
        <v/>
      </c>
      <c r="DD46" s="62" t="str">
        <f>IFERROR(Inv_SY_B!DD46/Inv_SY_B!$IS46-1,"")</f>
        <v/>
      </c>
      <c r="DE46" s="62" t="str">
        <f>IFERROR(Inv_SY_B!DE46/Inv_SY_B!$IS46-1,"")</f>
        <v/>
      </c>
      <c r="DF46" s="62" t="str">
        <f>IFERROR(Inv_SY_B!DF46/Inv_SY_B!$IS46-1,"")</f>
        <v/>
      </c>
      <c r="DG46" s="62" t="str">
        <f>IFERROR(Inv_SY_B!DG46/Inv_SY_B!$IS46-1,"")</f>
        <v/>
      </c>
      <c r="DH46" s="62" t="str">
        <f>IFERROR(Inv_SY_B!DH46/Inv_SY_B!$IS46-1,"")</f>
        <v/>
      </c>
      <c r="DI46" s="62" t="str">
        <f>IFERROR(Inv_SY_B!DI46/Inv_SY_B!$IS46-1,"")</f>
        <v/>
      </c>
      <c r="DJ46" s="62" t="str">
        <f>IFERROR(Inv_SY_B!DJ46/Inv_SY_B!$IS46-1,"")</f>
        <v/>
      </c>
      <c r="DK46" s="62" t="str">
        <f>IFERROR(Inv_SY_B!DK46/Inv_SY_B!$IS46-1,"")</f>
        <v/>
      </c>
      <c r="DL46" s="62" t="str">
        <f>IFERROR(Inv_SY_B!DL46/Inv_SY_B!$IS46-1,"")</f>
        <v/>
      </c>
      <c r="DM46" s="62" t="str">
        <f>IFERROR(Inv_SY_B!DM46/Inv_SY_B!$IS46-1,"")</f>
        <v/>
      </c>
      <c r="DN46" s="62" t="str">
        <f>IFERROR(Inv_SY_B!DN46/Inv_SY_B!$IS46-1,"")</f>
        <v/>
      </c>
      <c r="DO46" s="62" t="str">
        <f>IFERROR(Inv_SY_B!DO46/Inv_SY_B!$IS46-1,"")</f>
        <v/>
      </c>
      <c r="DP46" s="62" t="str">
        <f>IFERROR(Inv_SY_B!DP46/Inv_SY_B!$IS46-1,"")</f>
        <v/>
      </c>
      <c r="DQ46" s="62" t="str">
        <f>IFERROR(Inv_SY_B!DQ46/Inv_SY_B!$IS46-1,"")</f>
        <v/>
      </c>
      <c r="DR46" s="62" t="str">
        <f>IFERROR(Inv_SY_B!DR46/Inv_SY_B!$IS46-1,"")</f>
        <v/>
      </c>
      <c r="DS46" s="62" t="str">
        <f>IFERROR(Inv_SY_B!DS46/Inv_SY_B!$IS46-1,"")</f>
        <v/>
      </c>
      <c r="DT46" s="62" t="str">
        <f>IFERROR(Inv_SY_B!DT46/Inv_SY_B!$IS46-1,"")</f>
        <v/>
      </c>
      <c r="DU46" s="62" t="str">
        <f>IFERROR(Inv_SY_B!DU46/Inv_SY_B!$IS46-1,"")</f>
        <v/>
      </c>
      <c r="DV46" s="62" t="str">
        <f>IFERROR(Inv_SY_B!DV46/Inv_SY_B!$IS46-1,"")</f>
        <v/>
      </c>
      <c r="DW46" s="62" t="str">
        <f>IFERROR(Inv_SY_B!DW46/Inv_SY_B!$IS46-1,"")</f>
        <v/>
      </c>
      <c r="DX46" s="62" t="str">
        <f>IFERROR(Inv_SY_B!DX46/Inv_SY_B!$IS46-1,"")</f>
        <v/>
      </c>
      <c r="DY46" s="62" t="str">
        <f>IFERROR(Inv_SY_B!DY46/Inv_SY_B!$IS46-1,"")</f>
        <v/>
      </c>
      <c r="DZ46" s="62" t="str">
        <f>IFERROR(Inv_SY_B!DZ46/Inv_SY_B!$IS46-1,"")</f>
        <v/>
      </c>
      <c r="EA46" s="62" t="str">
        <f>IFERROR(Inv_SY_B!EA46/Inv_SY_B!$IS46-1,"")</f>
        <v/>
      </c>
      <c r="EB46" s="62" t="str">
        <f>IFERROR(Inv_SY_B!EB46/Inv_SY_B!$IS46-1,"")</f>
        <v/>
      </c>
      <c r="EC46" s="62" t="str">
        <f>IFERROR(Inv_SY_B!EC46/Inv_SY_B!$IS46-1,"")</f>
        <v/>
      </c>
      <c r="ED46" s="62" t="str">
        <f>IFERROR(Inv_SY_B!ED46/Inv_SY_B!$IS46-1,"")</f>
        <v/>
      </c>
      <c r="EE46" s="62" t="str">
        <f>IFERROR(Inv_SY_B!EE46/Inv_SY_B!$IS46-1,"")</f>
        <v/>
      </c>
      <c r="EF46" s="62" t="str">
        <f>IFERROR(Inv_SY_B!EF46/Inv_SY_B!$IS46-1,"")</f>
        <v/>
      </c>
      <c r="EG46" s="62" t="str">
        <f>IFERROR(Inv_SY_B!EG46/Inv_SY_B!$IS46-1,"")</f>
        <v/>
      </c>
      <c r="EH46" s="62" t="str">
        <f>IFERROR(Inv_SY_B!EH46/Inv_SY_B!$IS46-1,"")</f>
        <v/>
      </c>
      <c r="EI46" s="62" t="str">
        <f>IFERROR(Inv_SY_B!EI46/Inv_SY_B!$IS46-1,"")</f>
        <v/>
      </c>
      <c r="EJ46" s="62" t="str">
        <f>IFERROR(Inv_SY_B!EJ46/Inv_SY_B!$IS46-1,"")</f>
        <v/>
      </c>
      <c r="EK46" s="62" t="str">
        <f>IFERROR(Inv_SY_B!EK46/Inv_SY_B!$IS46-1,"")</f>
        <v/>
      </c>
      <c r="EL46" s="62" t="str">
        <f>IFERROR(Inv_SY_B!EL46/Inv_SY_B!$IS46-1,"")</f>
        <v/>
      </c>
      <c r="EM46" s="62" t="str">
        <f>IFERROR(Inv_SY_B!EM46/Inv_SY_B!$IS46-1,"")</f>
        <v/>
      </c>
      <c r="EN46" s="62" t="str">
        <f>IFERROR(Inv_SY_B!EN46/Inv_SY_B!$IS46-1,"")</f>
        <v/>
      </c>
      <c r="EO46" s="62" t="str">
        <f>IFERROR(Inv_SY_B!EO46/Inv_SY_B!$IS46-1,"")</f>
        <v/>
      </c>
      <c r="EP46" s="62" t="str">
        <f>IFERROR(Inv_SY_B!EP46/Inv_SY_B!$IS46-1,"")</f>
        <v/>
      </c>
      <c r="EQ46" s="62" t="str">
        <f>IFERROR(Inv_SY_B!EQ46/Inv_SY_B!$IS46-1,"")</f>
        <v/>
      </c>
      <c r="ER46" s="62" t="str">
        <f>IFERROR(Inv_SY_B!ER46/Inv_SY_B!$IS46-1,"")</f>
        <v/>
      </c>
      <c r="ES46" s="62" t="str">
        <f>IFERROR(Inv_SY_B!ES46/Inv_SY_B!$IS46-1,"")</f>
        <v/>
      </c>
      <c r="ET46" s="62" t="str">
        <f>IFERROR(Inv_SY_B!ET46/Inv_SY_B!$IS46-1,"")</f>
        <v/>
      </c>
      <c r="EU46" s="62" t="str">
        <f>IFERROR(Inv_SY_B!EU46/Inv_SY_B!$IS46-1,"")</f>
        <v/>
      </c>
      <c r="EV46" s="62" t="str">
        <f>IFERROR(Inv_SY_B!EV46/Inv_SY_B!$IS46-1,"")</f>
        <v/>
      </c>
      <c r="EW46" s="62" t="str">
        <f>IFERROR(Inv_SY_B!EW46/Inv_SY_B!$IS46-1,"")</f>
        <v/>
      </c>
      <c r="EX46" s="62" t="str">
        <f>IFERROR(Inv_SY_B!EX46/Inv_SY_B!$IS46-1,"")</f>
        <v/>
      </c>
      <c r="EY46" s="62" t="str">
        <f>IFERROR(Inv_SY_B!EY46/Inv_SY_B!$IS46-1,"")</f>
        <v/>
      </c>
      <c r="EZ46" s="62" t="str">
        <f>IFERROR(Inv_SY_B!EZ46/Inv_SY_B!$IS46-1,"")</f>
        <v/>
      </c>
      <c r="FA46" s="62" t="str">
        <f>IFERROR(Inv_SY_B!FA46/Inv_SY_B!$IS46-1,"")</f>
        <v/>
      </c>
      <c r="FB46" s="62" t="str">
        <f>IFERROR(Inv_SY_B!FB46/Inv_SY_B!$IS46-1,"")</f>
        <v/>
      </c>
      <c r="FC46" s="62" t="str">
        <f>IFERROR(Inv_SY_B!FC46/Inv_SY_B!$IS46-1,"")</f>
        <v/>
      </c>
      <c r="FD46" s="62" t="str">
        <f>IFERROR(Inv_SY_B!FD46/Inv_SY_B!$IS46-1,"")</f>
        <v/>
      </c>
      <c r="FE46" s="62" t="str">
        <f>IFERROR(Inv_SY_B!FE46/Inv_SY_B!$IS46-1,"")</f>
        <v/>
      </c>
      <c r="FF46" s="62" t="str">
        <f>IFERROR(Inv_SY_B!FF46/Inv_SY_B!$IS46-1,"")</f>
        <v/>
      </c>
      <c r="FG46" s="62" t="str">
        <f>IFERROR(Inv_SY_B!FG46/Inv_SY_B!$IS46-1,"")</f>
        <v/>
      </c>
      <c r="FH46" s="62" t="str">
        <f>IFERROR(Inv_SY_B!FH46/Inv_SY_B!$IS46-1,"")</f>
        <v/>
      </c>
      <c r="FI46" s="62" t="str">
        <f>IFERROR(Inv_SY_B!FI46/Inv_SY_B!$IS46-1,"")</f>
        <v/>
      </c>
      <c r="FJ46" s="62" t="str">
        <f>IFERROR(Inv_SY_B!FJ46/Inv_SY_B!$IS46-1,"")</f>
        <v/>
      </c>
      <c r="FK46" s="62" t="str">
        <f>IFERROR(Inv_SY_B!FK46/Inv_SY_B!$IS46-1,"")</f>
        <v/>
      </c>
      <c r="FL46" s="62" t="str">
        <f>IFERROR(Inv_SY_B!FL46/Inv_SY_B!$IS46-1,"")</f>
        <v/>
      </c>
      <c r="FM46" s="62" t="str">
        <f>IFERROR(Inv_SY_B!FM46/Inv_SY_B!$IS46-1,"")</f>
        <v/>
      </c>
      <c r="FN46" s="62" t="str">
        <f>IFERROR(Inv_SY_B!FN46/Inv_SY_B!$IS46-1,"")</f>
        <v/>
      </c>
      <c r="FO46" s="62" t="str">
        <f>IFERROR(Inv_SY_B!FO46/Inv_SY_B!$IS46-1,"")</f>
        <v/>
      </c>
      <c r="FP46" s="62" t="str">
        <f>IFERROR(Inv_SY_B!FP46/Inv_SY_B!$IS46-1,"")</f>
        <v/>
      </c>
      <c r="FQ46" s="62" t="str">
        <f>IFERROR(Inv_SY_B!FQ46/Inv_SY_B!$IS46-1,"")</f>
        <v/>
      </c>
      <c r="FR46" s="62" t="str">
        <f>IFERROR(Inv_SY_B!FR46/Inv_SY_B!$IS46-1,"")</f>
        <v/>
      </c>
      <c r="FS46" s="62" t="str">
        <f>IFERROR(Inv_SY_B!FS46/Inv_SY_B!$IS46-1,"")</f>
        <v/>
      </c>
      <c r="FT46" s="62" t="str">
        <f>IFERROR(Inv_SY_B!FT46/Inv_SY_B!$IS46-1,"")</f>
        <v/>
      </c>
      <c r="FU46" s="62" t="str">
        <f>IFERROR(Inv_SY_B!FU46/Inv_SY_B!$IS46-1,"")</f>
        <v/>
      </c>
      <c r="FV46" s="62" t="str">
        <f>IFERROR(Inv_SY_B!FV46/Inv_SY_B!$IS46-1,"")</f>
        <v/>
      </c>
      <c r="FW46" s="62" t="str">
        <f>IFERROR(Inv_SY_B!FW46/Inv_SY_B!$IS46-1,"")</f>
        <v/>
      </c>
      <c r="FX46" s="62" t="str">
        <f>IFERROR(Inv_SY_B!FX46/Inv_SY_B!$IS46-1,"")</f>
        <v/>
      </c>
      <c r="FY46" s="62" t="str">
        <f>IFERROR(Inv_SY_B!FY46/Inv_SY_B!$IS46-1,"")</f>
        <v/>
      </c>
      <c r="FZ46" s="62" t="str">
        <f>IFERROR(Inv_SY_B!FZ46/Inv_SY_B!$IS46-1,"")</f>
        <v/>
      </c>
      <c r="GA46" s="62" t="str">
        <f>IFERROR(Inv_SY_B!GA46/Inv_SY_B!$IS46-1,"")</f>
        <v/>
      </c>
      <c r="GB46" s="62" t="str">
        <f>IFERROR(Inv_SY_B!GB46/Inv_SY_B!$IS46-1,"")</f>
        <v/>
      </c>
      <c r="GC46" s="62" t="str">
        <f>IFERROR(Inv_SY_B!GC46/Inv_SY_B!$IS46-1,"")</f>
        <v/>
      </c>
      <c r="GD46" s="62" t="str">
        <f>IFERROR(Inv_SY_B!GD46/Inv_SY_B!$IS46-1,"")</f>
        <v/>
      </c>
      <c r="GE46" s="62" t="str">
        <f>IFERROR(Inv_SY_B!GE46/Inv_SY_B!$IS46-1,"")</f>
        <v/>
      </c>
      <c r="GF46" s="62" t="str">
        <f>IFERROR(Inv_SY_B!GF46/Inv_SY_B!$IS46-1,"")</f>
        <v/>
      </c>
      <c r="GG46" s="62" t="str">
        <f>IFERROR(Inv_SY_B!GG46/Inv_SY_B!$IS46-1,"")</f>
        <v/>
      </c>
      <c r="GH46" s="62" t="str">
        <f>IFERROR(Inv_SY_B!GH46/Inv_SY_B!$IS46-1,"")</f>
        <v/>
      </c>
      <c r="GI46" s="62" t="str">
        <f>IFERROR(Inv_SY_B!GI46/Inv_SY_B!$IS46-1,"")</f>
        <v/>
      </c>
      <c r="GJ46" s="62" t="str">
        <f>IFERROR(Inv_SY_B!GJ46/Inv_SY_B!$IS46-1,"")</f>
        <v/>
      </c>
      <c r="GK46" s="62" t="str">
        <f>IFERROR(Inv_SY_B!GK46/Inv_SY_B!$IS46-1,"")</f>
        <v/>
      </c>
      <c r="GL46" s="62" t="str">
        <f>IFERROR(Inv_SY_B!GL46/Inv_SY_B!$IS46-1,"")</f>
        <v/>
      </c>
      <c r="GM46" s="62" t="str">
        <f>IFERROR(Inv_SY_B!GM46/Inv_SY_B!$IS46-1,"")</f>
        <v/>
      </c>
      <c r="GN46" s="62" t="str">
        <f>IFERROR(Inv_SY_B!GN46/Inv_SY_B!$IS46-1,"")</f>
        <v/>
      </c>
      <c r="GO46" s="62" t="str">
        <f>IFERROR(Inv_SY_B!GO46/Inv_SY_B!$IS46-1,"")</f>
        <v/>
      </c>
      <c r="GP46" s="62" t="str">
        <f>IFERROR(Inv_SY_B!GP46/Inv_SY_B!$IS46-1,"")</f>
        <v/>
      </c>
      <c r="GQ46" s="62" t="str">
        <f>IFERROR(Inv_SY_B!GQ46/Inv_SY_B!$IS46-1,"")</f>
        <v/>
      </c>
      <c r="GR46" s="62" t="str">
        <f>IFERROR(Inv_SY_B!GR46/Inv_SY_B!$IS46-1,"")</f>
        <v/>
      </c>
      <c r="GS46" s="62" t="str">
        <f>IFERROR(Inv_SY_B!GS46/Inv_SY_B!$IS46-1,"")</f>
        <v/>
      </c>
      <c r="GT46" s="62" t="str">
        <f>IFERROR(Inv_SY_B!GT46/Inv_SY_B!$IS46-1,"")</f>
        <v/>
      </c>
      <c r="GU46" s="62" t="str">
        <f>IFERROR(Inv_SY_B!GU46/Inv_SY_B!$IS46-1,"")</f>
        <v/>
      </c>
      <c r="GV46" s="62" t="str">
        <f>IFERROR(Inv_SY_B!GV46/Inv_SY_B!$IS46-1,"")</f>
        <v/>
      </c>
      <c r="GW46" s="62" t="str">
        <f>IFERROR(Inv_SY_B!GW46/Inv_SY_B!$IS46-1,"")</f>
        <v/>
      </c>
      <c r="GX46" s="62" t="str">
        <f>IFERROR(Inv_SY_B!GX46/Inv_SY_B!$IS46-1,"")</f>
        <v/>
      </c>
      <c r="GY46" s="62" t="str">
        <f>IFERROR(Inv_SY_B!GY46/Inv_SY_B!$IS46-1,"")</f>
        <v/>
      </c>
      <c r="GZ46" s="62" t="str">
        <f>IFERROR(Inv_SY_B!GZ46/Inv_SY_B!$IS46-1,"")</f>
        <v/>
      </c>
      <c r="HA46" s="62" t="str">
        <f>IFERROR(Inv_SY_B!HA46/Inv_SY_B!$IS46-1,"")</f>
        <v/>
      </c>
      <c r="HB46" s="62" t="str">
        <f>IFERROR(Inv_SY_B!HB46/Inv_SY_B!$IS46-1,"")</f>
        <v/>
      </c>
      <c r="HC46" s="62" t="str">
        <f>IFERROR(Inv_SY_B!HC46/Inv_SY_B!$IS46-1,"")</f>
        <v/>
      </c>
      <c r="HD46" s="62" t="str">
        <f>IFERROR(Inv_SY_B!HD46/Inv_SY_B!$IS46-1,"")</f>
        <v/>
      </c>
      <c r="HE46" s="62" t="str">
        <f>IFERROR(Inv_SY_B!HE46/Inv_SY_B!$IS46-1,"")</f>
        <v/>
      </c>
      <c r="HF46" s="62" t="str">
        <f>IFERROR(Inv_SY_B!HF46/Inv_SY_B!$IS46-1,"")</f>
        <v/>
      </c>
      <c r="HG46" s="62" t="str">
        <f>IFERROR(Inv_SY_B!HG46/Inv_SY_B!$IS46-1,"")</f>
        <v/>
      </c>
      <c r="HH46" s="62" t="str">
        <f>IFERROR(Inv_SY_B!HH46/Inv_SY_B!$IS46-1,"")</f>
        <v/>
      </c>
      <c r="HI46" s="62" t="str">
        <f>IFERROR(Inv_SY_B!HI46/Inv_SY_B!$IS46-1,"")</f>
        <v/>
      </c>
      <c r="HJ46" s="62" t="str">
        <f>IFERROR(Inv_SY_B!HJ46/Inv_SY_B!$IS46-1,"")</f>
        <v/>
      </c>
      <c r="HK46" s="62" t="str">
        <f>IFERROR(Inv_SY_B!HK46/Inv_SY_B!$IS46-1,"")</f>
        <v/>
      </c>
      <c r="HL46" s="62" t="str">
        <f>IFERROR(Inv_SY_B!HL46/Inv_SY_B!$IS46-1,"")</f>
        <v/>
      </c>
      <c r="HM46" s="62" t="str">
        <f>IFERROR(Inv_SY_B!HM46/Inv_SY_B!$IS46-1,"")</f>
        <v/>
      </c>
      <c r="HN46" s="62" t="str">
        <f>IFERROR(Inv_SY_B!HN46/Inv_SY_B!$IS46-1,"")</f>
        <v/>
      </c>
      <c r="HO46" s="62" t="str">
        <f>IFERROR(Inv_SY_B!HO46/Inv_SY_B!$IS46-1,"")</f>
        <v/>
      </c>
      <c r="HP46" s="62" t="str">
        <f>IFERROR(Inv_SY_B!HP46/Inv_SY_B!$IS46-1,"")</f>
        <v/>
      </c>
      <c r="HQ46" s="62" t="str">
        <f>IFERROR(Inv_SY_B!HQ46/Inv_SY_B!$IS46-1,"")</f>
        <v/>
      </c>
      <c r="HR46" s="62" t="str">
        <f>IFERROR(Inv_SY_B!HR46/Inv_SY_B!$IS46-1,"")</f>
        <v/>
      </c>
      <c r="HS46" s="62" t="str">
        <f>IFERROR(Inv_SY_B!HS46/Inv_SY_B!$IS46-1,"")</f>
        <v/>
      </c>
      <c r="HT46" s="62" t="str">
        <f>IFERROR(Inv_SY_B!HT46/Inv_SY_B!$IS46-1,"")</f>
        <v/>
      </c>
      <c r="HU46" s="62" t="str">
        <f>IFERROR(Inv_SY_B!HU46/Inv_SY_B!$IS46-1,"")</f>
        <v/>
      </c>
      <c r="HV46" s="62" t="str">
        <f>IFERROR(Inv_SY_B!HV46/Inv_SY_B!$IS46-1,"")</f>
        <v/>
      </c>
      <c r="HW46" s="62" t="str">
        <f>IFERROR(Inv_SY_B!HW46/Inv_SY_B!$IS46-1,"")</f>
        <v/>
      </c>
      <c r="HX46" s="62" t="str">
        <f>IFERROR(Inv_SY_B!HX46/Inv_SY_B!$IS46-1,"")</f>
        <v/>
      </c>
      <c r="HY46" s="62" t="str">
        <f>IFERROR(Inv_SY_B!HY46/Inv_SY_B!$IS46-1,"")</f>
        <v/>
      </c>
      <c r="HZ46" s="62" t="str">
        <f>IFERROR(Inv_SY_B!HZ46/Inv_SY_B!$IS46-1,"")</f>
        <v/>
      </c>
      <c r="IA46" s="62" t="str">
        <f>IFERROR(Inv_SY_B!IA46/Inv_SY_B!$IS46-1,"")</f>
        <v/>
      </c>
      <c r="IB46" s="62" t="str">
        <f>IFERROR(Inv_SY_B!IB46/Inv_SY_B!$IS46-1,"")</f>
        <v/>
      </c>
      <c r="IC46" s="62" t="str">
        <f>IFERROR(Inv_SY_B!IC46/Inv_SY_B!$IS46-1,"")</f>
        <v/>
      </c>
      <c r="ID46" s="62" t="str">
        <f>IFERROR(Inv_SY_B!ID46/Inv_SY_B!$IS46-1,"")</f>
        <v/>
      </c>
      <c r="IE46" s="62" t="str">
        <f>IFERROR(Inv_SY_B!IE46/Inv_SY_B!$IS46-1,"")</f>
        <v/>
      </c>
      <c r="IF46" s="62" t="str">
        <f>IFERROR(Inv_SY_B!IF46/Inv_SY_B!$IS46-1,"")</f>
        <v/>
      </c>
      <c r="IG46" s="62" t="str">
        <f>IFERROR(Inv_SY_B!IG46/Inv_SY_B!$IS46-1,"")</f>
        <v/>
      </c>
      <c r="IH46" s="62" t="str">
        <f>IFERROR(Inv_SY_B!IH46/Inv_SY_B!$IS46-1,"")</f>
        <v/>
      </c>
      <c r="II46" s="62" t="str">
        <f>IFERROR(Inv_SY_B!II46/Inv_SY_B!$IS46-1,"")</f>
        <v/>
      </c>
      <c r="IJ46" s="62" t="str">
        <f>IFERROR(Inv_SY_B!IJ46/Inv_SY_B!$IS46-1,"")</f>
        <v/>
      </c>
      <c r="IK46" s="62" t="str">
        <f>IFERROR(Inv_SY_B!IK46/Inv_SY_B!$IS46-1,"")</f>
        <v/>
      </c>
      <c r="IL46" s="62" t="str">
        <f>IFERROR(Inv_SY_B!IL46/Inv_SY_B!$IS46-1,"")</f>
        <v/>
      </c>
      <c r="IM46" s="62" t="str">
        <f>IFERROR(Inv_SY_B!IM46/Inv_SY_B!$IS46-1,"")</f>
        <v/>
      </c>
      <c r="IN46" s="62" t="str">
        <f>IFERROR(Inv_SY_B!IN46/Inv_SY_B!$IS46-1,"")</f>
        <v/>
      </c>
      <c r="IO46" s="62" t="str">
        <f>IFERROR(Inv_SY_B!IO46/Inv_SY_B!$IS46-1,"")</f>
        <v/>
      </c>
      <c r="IP46" s="62" t="str">
        <f>IFERROR(Inv_SY_B!IP46/Inv_SY_B!$IS46-1,"")</f>
        <v/>
      </c>
      <c r="IQ46" s="62" t="str">
        <f>IFERROR(Inv_SY_B!IQ46/Inv_SY_B!$IS46-1,"")</f>
        <v/>
      </c>
      <c r="IR46" s="62" t="str">
        <f>IFERROR(Inv_SY_B!IR46/Inv_SY_B!$IS46-1,"")</f>
        <v/>
      </c>
    </row>
    <row r="47" spans="2:252" x14ac:dyDescent="0.25">
      <c r="B47" s="85">
        <f t="shared" si="0"/>
        <v>45873</v>
      </c>
      <c r="C47" s="62" t="str">
        <f>IFERROR(Inv_SY_B!C47/Inv_SY_B!$IS47-1,"")</f>
        <v/>
      </c>
      <c r="D47" s="62" t="str">
        <f>IFERROR(Inv_SY_B!D47/Inv_SY_B!$IS47-1,"")</f>
        <v/>
      </c>
      <c r="E47" s="62" t="str">
        <f>IFERROR(Inv_SY_B!E47/Inv_SY_B!$IS47-1,"")</f>
        <v/>
      </c>
      <c r="F47" s="62" t="str">
        <f>IFERROR(Inv_SY_B!F47/Inv_SY_B!$IS47-1,"")</f>
        <v/>
      </c>
      <c r="G47" s="62" t="str">
        <f>IFERROR(Inv_SY_B!G47/Inv_SY_B!$IS47-1,"")</f>
        <v/>
      </c>
      <c r="H47" s="62" t="str">
        <f>IFERROR(Inv_SY_B!H47/Inv_SY_B!$IS47-1,"")</f>
        <v/>
      </c>
      <c r="I47" s="62" t="str">
        <f>IFERROR(Inv_SY_B!I47/Inv_SY_B!$IS47-1,"")</f>
        <v/>
      </c>
      <c r="J47" s="62" t="str">
        <f>IFERROR(Inv_SY_B!J47/Inv_SY_B!$IS47-1,"")</f>
        <v/>
      </c>
      <c r="K47" s="62" t="str">
        <f>IFERROR(Inv_SY_B!K47/Inv_SY_B!$IS47-1,"")</f>
        <v/>
      </c>
      <c r="L47" s="62" t="str">
        <f>IFERROR(Inv_SY_B!L47/Inv_SY_B!$IS47-1,"")</f>
        <v/>
      </c>
      <c r="M47" s="62" t="str">
        <f>IFERROR(Inv_SY_B!M47/Inv_SY_B!$IS47-1,"")</f>
        <v/>
      </c>
      <c r="N47" s="62" t="str">
        <f>IFERROR(Inv_SY_B!N47/Inv_SY_B!$IS47-1,"")</f>
        <v/>
      </c>
      <c r="O47" s="62" t="str">
        <f>IFERROR(Inv_SY_B!O47/Inv_SY_B!$IS47-1,"")</f>
        <v/>
      </c>
      <c r="P47" s="62" t="str">
        <f>IFERROR(Inv_SY_B!P47/Inv_SY_B!$IS47-1,"")</f>
        <v/>
      </c>
      <c r="Q47" s="62" t="str">
        <f>IFERROR(Inv_SY_B!Q47/Inv_SY_B!$IS47-1,"")</f>
        <v/>
      </c>
      <c r="R47" s="62" t="str">
        <f>IFERROR(Inv_SY_B!R47/Inv_SY_B!$IS47-1,"")</f>
        <v/>
      </c>
      <c r="S47" s="62" t="str">
        <f>IFERROR(Inv_SY_B!S47/Inv_SY_B!$IS47-1,"")</f>
        <v/>
      </c>
      <c r="T47" s="62" t="str">
        <f>IFERROR(Inv_SY_B!T47/Inv_SY_B!$IS47-1,"")</f>
        <v/>
      </c>
      <c r="U47" s="62" t="str">
        <f>IFERROR(Inv_SY_B!U47/Inv_SY_B!$IS47-1,"")</f>
        <v/>
      </c>
      <c r="V47" s="62" t="str">
        <f>IFERROR(Inv_SY_B!V47/Inv_SY_B!$IS47-1,"")</f>
        <v/>
      </c>
      <c r="W47" s="62" t="str">
        <f>IFERROR(Inv_SY_B!W47/Inv_SY_B!$IS47-1,"")</f>
        <v/>
      </c>
      <c r="X47" s="62" t="str">
        <f>IFERROR(Inv_SY_B!X47/Inv_SY_B!$IS47-1,"")</f>
        <v/>
      </c>
      <c r="Y47" s="62" t="str">
        <f>IFERROR(Inv_SY_B!Y47/Inv_SY_B!$IS47-1,"")</f>
        <v/>
      </c>
      <c r="Z47" s="62" t="str">
        <f>IFERROR(Inv_SY_B!Z47/Inv_SY_B!$IS47-1,"")</f>
        <v/>
      </c>
      <c r="AA47" s="62" t="str">
        <f>IFERROR(Inv_SY_B!AA47/Inv_SY_B!$IS47-1,"")</f>
        <v/>
      </c>
      <c r="AB47" s="62" t="str">
        <f>IFERROR(Inv_SY_B!AB47/Inv_SY_B!$IS47-1,"")</f>
        <v/>
      </c>
      <c r="AC47" s="62" t="str">
        <f>IFERROR(Inv_SY_B!AC47/Inv_SY_B!$IS47-1,"")</f>
        <v/>
      </c>
      <c r="AD47" s="62" t="str">
        <f>IFERROR(Inv_SY_B!AD47/Inv_SY_B!$IS47-1,"")</f>
        <v/>
      </c>
      <c r="AE47" s="62" t="str">
        <f>IFERROR(Inv_SY_B!AE47/Inv_SY_B!$IS47-1,"")</f>
        <v/>
      </c>
      <c r="AF47" s="62" t="str">
        <f>IFERROR(Inv_SY_B!AF47/Inv_SY_B!$IS47-1,"")</f>
        <v/>
      </c>
      <c r="AG47" s="62" t="str">
        <f>IFERROR(Inv_SY_B!AG47/Inv_SY_B!$IS47-1,"")</f>
        <v/>
      </c>
      <c r="AH47" s="62" t="str">
        <f>IFERROR(Inv_SY_B!AH47/Inv_SY_B!$IS47-1,"")</f>
        <v/>
      </c>
      <c r="AI47" s="62" t="str">
        <f>IFERROR(Inv_SY_B!AI47/Inv_SY_B!$IS47-1,"")</f>
        <v/>
      </c>
      <c r="AJ47" s="62" t="str">
        <f>IFERROR(Inv_SY_B!AJ47/Inv_SY_B!$IS47-1,"")</f>
        <v/>
      </c>
      <c r="AK47" s="62" t="str">
        <f>IFERROR(Inv_SY_B!AK47/Inv_SY_B!$IS47-1,"")</f>
        <v/>
      </c>
      <c r="AL47" s="62" t="str">
        <f>IFERROR(Inv_SY_B!AL47/Inv_SY_B!$IS47-1,"")</f>
        <v/>
      </c>
      <c r="AM47" s="62" t="str">
        <f>IFERROR(Inv_SY_B!AM47/Inv_SY_B!$IS47-1,"")</f>
        <v/>
      </c>
      <c r="AN47" s="62" t="str">
        <f>IFERROR(Inv_SY_B!AN47/Inv_SY_B!$IS47-1,"")</f>
        <v/>
      </c>
      <c r="AO47" s="62" t="str">
        <f>IFERROR(Inv_SY_B!AO47/Inv_SY_B!$IS47-1,"")</f>
        <v/>
      </c>
      <c r="AP47" s="62" t="str">
        <f>IFERROR(Inv_SY_B!AP47/Inv_SY_B!$IS47-1,"")</f>
        <v/>
      </c>
      <c r="AQ47" s="62" t="str">
        <f>IFERROR(Inv_SY_B!AQ47/Inv_SY_B!$IS47-1,"")</f>
        <v/>
      </c>
      <c r="AR47" s="62" t="str">
        <f>IFERROR(Inv_SY_B!AR47/Inv_SY_B!$IS47-1,"")</f>
        <v/>
      </c>
      <c r="AS47" s="62" t="str">
        <f>IFERROR(Inv_SY_B!AS47/Inv_SY_B!$IS47-1,"")</f>
        <v/>
      </c>
      <c r="AT47" s="62" t="str">
        <f>IFERROR(Inv_SY_B!AT47/Inv_SY_B!$IS47-1,"")</f>
        <v/>
      </c>
      <c r="AU47" s="62" t="str">
        <f>IFERROR(Inv_SY_B!AU47/Inv_SY_B!$IS47-1,"")</f>
        <v/>
      </c>
      <c r="AV47" s="62" t="str">
        <f>IFERROR(Inv_SY_B!AV47/Inv_SY_B!$IS47-1,"")</f>
        <v/>
      </c>
      <c r="AW47" s="62" t="str">
        <f>IFERROR(Inv_SY_B!AW47/Inv_SY_B!$IS47-1,"")</f>
        <v/>
      </c>
      <c r="AX47" s="62" t="str">
        <f>IFERROR(Inv_SY_B!AX47/Inv_SY_B!$IS47-1,"")</f>
        <v/>
      </c>
      <c r="AY47" s="62" t="str">
        <f>IFERROR(Inv_SY_B!AY47/Inv_SY_B!$IS47-1,"")</f>
        <v/>
      </c>
      <c r="AZ47" s="62" t="str">
        <f>IFERROR(Inv_SY_B!AZ47/Inv_SY_B!$IS47-1,"")</f>
        <v/>
      </c>
      <c r="BA47" s="62" t="str">
        <f>IFERROR(Inv_SY_B!BA47/Inv_SY_B!$IS47-1,"")</f>
        <v/>
      </c>
      <c r="BB47" s="62" t="str">
        <f>IFERROR(Inv_SY_B!BB47/Inv_SY_B!$IS47-1,"")</f>
        <v/>
      </c>
      <c r="BC47" s="62" t="str">
        <f>IFERROR(Inv_SY_B!BC47/Inv_SY_B!$IS47-1,"")</f>
        <v/>
      </c>
      <c r="BD47" s="62" t="str">
        <f>IFERROR(Inv_SY_B!BD47/Inv_SY_B!$IS47-1,"")</f>
        <v/>
      </c>
      <c r="BE47" s="62" t="str">
        <f>IFERROR(Inv_SY_B!BE47/Inv_SY_B!$IS47-1,"")</f>
        <v/>
      </c>
      <c r="BF47" s="62" t="str">
        <f>IFERROR(Inv_SY_B!BF47/Inv_SY_B!$IS47-1,"")</f>
        <v/>
      </c>
      <c r="BG47" s="62" t="str">
        <f>IFERROR(Inv_SY_B!BG47/Inv_SY_B!$IS47-1,"")</f>
        <v/>
      </c>
      <c r="BH47" s="62" t="str">
        <f>IFERROR(Inv_SY_B!BH47/Inv_SY_B!$IS47-1,"")</f>
        <v/>
      </c>
      <c r="BI47" s="62" t="str">
        <f>IFERROR(Inv_SY_B!BI47/Inv_SY_B!$IS47-1,"")</f>
        <v/>
      </c>
      <c r="BJ47" s="62" t="str">
        <f>IFERROR(Inv_SY_B!BJ47/Inv_SY_B!$IS47-1,"")</f>
        <v/>
      </c>
      <c r="BK47" s="62" t="str">
        <f>IFERROR(Inv_SY_B!BK47/Inv_SY_B!$IS47-1,"")</f>
        <v/>
      </c>
      <c r="BL47" s="62" t="str">
        <f>IFERROR(Inv_SY_B!BL47/Inv_SY_B!$IS47-1,"")</f>
        <v/>
      </c>
      <c r="BM47" s="62" t="str">
        <f>IFERROR(Inv_SY_B!BM47/Inv_SY_B!$IS47-1,"")</f>
        <v/>
      </c>
      <c r="BN47" s="62" t="str">
        <f>IFERROR(Inv_SY_B!BN47/Inv_SY_B!$IS47-1,"")</f>
        <v/>
      </c>
      <c r="BO47" s="62" t="str">
        <f>IFERROR(Inv_SY_B!BO47/Inv_SY_B!$IS47-1,"")</f>
        <v/>
      </c>
      <c r="BP47" s="62" t="str">
        <f>IFERROR(Inv_SY_B!BP47/Inv_SY_B!$IS47-1,"")</f>
        <v/>
      </c>
      <c r="BQ47" s="62" t="str">
        <f>IFERROR(Inv_SY_B!BQ47/Inv_SY_B!$IS47-1,"")</f>
        <v/>
      </c>
      <c r="BR47" s="62" t="str">
        <f>IFERROR(Inv_SY_B!BR47/Inv_SY_B!$IS47-1,"")</f>
        <v/>
      </c>
      <c r="BS47" s="62" t="str">
        <f>IFERROR(Inv_SY_B!BS47/Inv_SY_B!$IS47-1,"")</f>
        <v/>
      </c>
      <c r="BT47" s="62" t="str">
        <f>IFERROR(Inv_SY_B!BT47/Inv_SY_B!$IS47-1,"")</f>
        <v/>
      </c>
      <c r="BU47" s="62" t="str">
        <f>IFERROR(Inv_SY_B!BU47/Inv_SY_B!$IS47-1,"")</f>
        <v/>
      </c>
      <c r="BV47" s="62" t="str">
        <f>IFERROR(Inv_SY_B!BV47/Inv_SY_B!$IS47-1,"")</f>
        <v/>
      </c>
      <c r="BW47" s="62" t="str">
        <f>IFERROR(Inv_SY_B!BW47/Inv_SY_B!$IS47-1,"")</f>
        <v/>
      </c>
      <c r="BX47" s="62" t="str">
        <f>IFERROR(Inv_SY_B!BX47/Inv_SY_B!$IS47-1,"")</f>
        <v/>
      </c>
      <c r="BY47" s="62" t="str">
        <f>IFERROR(Inv_SY_B!BY47/Inv_SY_B!$IS47-1,"")</f>
        <v/>
      </c>
      <c r="BZ47" s="62" t="str">
        <f>IFERROR(Inv_SY_B!BZ47/Inv_SY_B!$IS47-1,"")</f>
        <v/>
      </c>
      <c r="CA47" s="62" t="str">
        <f>IFERROR(Inv_SY_B!CA47/Inv_SY_B!$IS47-1,"")</f>
        <v/>
      </c>
      <c r="CB47" s="62" t="str">
        <f>IFERROR(Inv_SY_B!CB47/Inv_SY_B!$IS47-1,"")</f>
        <v/>
      </c>
      <c r="CC47" s="62" t="str">
        <f>IFERROR(Inv_SY_B!CC47/Inv_SY_B!$IS47-1,"")</f>
        <v/>
      </c>
      <c r="CD47" s="62" t="str">
        <f>IFERROR(Inv_SY_B!CD47/Inv_SY_B!$IS47-1,"")</f>
        <v/>
      </c>
      <c r="CE47" s="62" t="str">
        <f>IFERROR(Inv_SY_B!CE47/Inv_SY_B!$IS47-1,"")</f>
        <v/>
      </c>
      <c r="CF47" s="62" t="str">
        <f>IFERROR(Inv_SY_B!CF47/Inv_SY_B!$IS47-1,"")</f>
        <v/>
      </c>
      <c r="CG47" s="62" t="str">
        <f>IFERROR(Inv_SY_B!CG47/Inv_SY_B!$IS47-1,"")</f>
        <v/>
      </c>
      <c r="CH47" s="62" t="str">
        <f>IFERROR(Inv_SY_B!CH47/Inv_SY_B!$IS47-1,"")</f>
        <v/>
      </c>
      <c r="CI47" s="62" t="str">
        <f>IFERROR(Inv_SY_B!CI47/Inv_SY_B!$IS47-1,"")</f>
        <v/>
      </c>
      <c r="CJ47" s="62" t="str">
        <f>IFERROR(Inv_SY_B!CJ47/Inv_SY_B!$IS47-1,"")</f>
        <v/>
      </c>
      <c r="CK47" s="62" t="str">
        <f>IFERROR(Inv_SY_B!CK47/Inv_SY_B!$IS47-1,"")</f>
        <v/>
      </c>
      <c r="CL47" s="62" t="str">
        <f>IFERROR(Inv_SY_B!CL47/Inv_SY_B!$IS47-1,"")</f>
        <v/>
      </c>
      <c r="CM47" s="62" t="str">
        <f>IFERROR(Inv_SY_B!CM47/Inv_SY_B!$IS47-1,"")</f>
        <v/>
      </c>
      <c r="CN47" s="62" t="str">
        <f>IFERROR(Inv_SY_B!CN47/Inv_SY_B!$IS47-1,"")</f>
        <v/>
      </c>
      <c r="CO47" s="62" t="str">
        <f>IFERROR(Inv_SY_B!CO47/Inv_SY_B!$IS47-1,"")</f>
        <v/>
      </c>
      <c r="CP47" s="62" t="str">
        <f>IFERROR(Inv_SY_B!CP47/Inv_SY_B!$IS47-1,"")</f>
        <v/>
      </c>
      <c r="CQ47" s="62" t="str">
        <f>IFERROR(Inv_SY_B!CQ47/Inv_SY_B!$IS47-1,"")</f>
        <v/>
      </c>
      <c r="CR47" s="62" t="str">
        <f>IFERROR(Inv_SY_B!CR47/Inv_SY_B!$IS47-1,"")</f>
        <v/>
      </c>
      <c r="CS47" s="62" t="str">
        <f>IFERROR(Inv_SY_B!CS47/Inv_SY_B!$IS47-1,"")</f>
        <v/>
      </c>
      <c r="CT47" s="62" t="str">
        <f>IFERROR(Inv_SY_B!CT47/Inv_SY_B!$IS47-1,"")</f>
        <v/>
      </c>
      <c r="CU47" s="62" t="str">
        <f>IFERROR(Inv_SY_B!CU47/Inv_SY_B!$IS47-1,"")</f>
        <v/>
      </c>
      <c r="CV47" s="62" t="str">
        <f>IFERROR(Inv_SY_B!CV47/Inv_SY_B!$IS47-1,"")</f>
        <v/>
      </c>
      <c r="CW47" s="62" t="str">
        <f>IFERROR(Inv_SY_B!CW47/Inv_SY_B!$IS47-1,"")</f>
        <v/>
      </c>
      <c r="CX47" s="62" t="str">
        <f>IFERROR(Inv_SY_B!CX47/Inv_SY_B!$IS47-1,"")</f>
        <v/>
      </c>
      <c r="CY47" s="62" t="str">
        <f>IFERROR(Inv_SY_B!CY47/Inv_SY_B!$IS47-1,"")</f>
        <v/>
      </c>
      <c r="CZ47" s="62" t="str">
        <f>IFERROR(Inv_SY_B!CZ47/Inv_SY_B!$IS47-1,"")</f>
        <v/>
      </c>
      <c r="DA47" s="62" t="str">
        <f>IFERROR(Inv_SY_B!DA47/Inv_SY_B!$IS47-1,"")</f>
        <v/>
      </c>
      <c r="DB47" s="62" t="str">
        <f>IFERROR(Inv_SY_B!DB47/Inv_SY_B!$IS47-1,"")</f>
        <v/>
      </c>
      <c r="DC47" s="62" t="str">
        <f>IFERROR(Inv_SY_B!DC47/Inv_SY_B!$IS47-1,"")</f>
        <v/>
      </c>
      <c r="DD47" s="62" t="str">
        <f>IFERROR(Inv_SY_B!DD47/Inv_SY_B!$IS47-1,"")</f>
        <v/>
      </c>
      <c r="DE47" s="62" t="str">
        <f>IFERROR(Inv_SY_B!DE47/Inv_SY_B!$IS47-1,"")</f>
        <v/>
      </c>
      <c r="DF47" s="62" t="str">
        <f>IFERROR(Inv_SY_B!DF47/Inv_SY_B!$IS47-1,"")</f>
        <v/>
      </c>
      <c r="DG47" s="62" t="str">
        <f>IFERROR(Inv_SY_B!DG47/Inv_SY_B!$IS47-1,"")</f>
        <v/>
      </c>
      <c r="DH47" s="62" t="str">
        <f>IFERROR(Inv_SY_B!DH47/Inv_SY_B!$IS47-1,"")</f>
        <v/>
      </c>
      <c r="DI47" s="62" t="str">
        <f>IFERROR(Inv_SY_B!DI47/Inv_SY_B!$IS47-1,"")</f>
        <v/>
      </c>
      <c r="DJ47" s="62" t="str">
        <f>IFERROR(Inv_SY_B!DJ47/Inv_SY_B!$IS47-1,"")</f>
        <v/>
      </c>
      <c r="DK47" s="62" t="str">
        <f>IFERROR(Inv_SY_B!DK47/Inv_SY_B!$IS47-1,"")</f>
        <v/>
      </c>
      <c r="DL47" s="62" t="str">
        <f>IFERROR(Inv_SY_B!DL47/Inv_SY_B!$IS47-1,"")</f>
        <v/>
      </c>
      <c r="DM47" s="62" t="str">
        <f>IFERROR(Inv_SY_B!DM47/Inv_SY_B!$IS47-1,"")</f>
        <v/>
      </c>
      <c r="DN47" s="62" t="str">
        <f>IFERROR(Inv_SY_B!DN47/Inv_SY_B!$IS47-1,"")</f>
        <v/>
      </c>
      <c r="DO47" s="62" t="str">
        <f>IFERROR(Inv_SY_B!DO47/Inv_SY_B!$IS47-1,"")</f>
        <v/>
      </c>
      <c r="DP47" s="62" t="str">
        <f>IFERROR(Inv_SY_B!DP47/Inv_SY_B!$IS47-1,"")</f>
        <v/>
      </c>
      <c r="DQ47" s="62" t="str">
        <f>IFERROR(Inv_SY_B!DQ47/Inv_SY_B!$IS47-1,"")</f>
        <v/>
      </c>
      <c r="DR47" s="62" t="str">
        <f>IFERROR(Inv_SY_B!DR47/Inv_SY_B!$IS47-1,"")</f>
        <v/>
      </c>
      <c r="DS47" s="62" t="str">
        <f>IFERROR(Inv_SY_B!DS47/Inv_SY_B!$IS47-1,"")</f>
        <v/>
      </c>
      <c r="DT47" s="62" t="str">
        <f>IFERROR(Inv_SY_B!DT47/Inv_SY_B!$IS47-1,"")</f>
        <v/>
      </c>
      <c r="DU47" s="62" t="str">
        <f>IFERROR(Inv_SY_B!DU47/Inv_SY_B!$IS47-1,"")</f>
        <v/>
      </c>
      <c r="DV47" s="62" t="str">
        <f>IFERROR(Inv_SY_B!DV47/Inv_SY_B!$IS47-1,"")</f>
        <v/>
      </c>
      <c r="DW47" s="62" t="str">
        <f>IFERROR(Inv_SY_B!DW47/Inv_SY_B!$IS47-1,"")</f>
        <v/>
      </c>
      <c r="DX47" s="62" t="str">
        <f>IFERROR(Inv_SY_B!DX47/Inv_SY_B!$IS47-1,"")</f>
        <v/>
      </c>
      <c r="DY47" s="62" t="str">
        <f>IFERROR(Inv_SY_B!DY47/Inv_SY_B!$IS47-1,"")</f>
        <v/>
      </c>
      <c r="DZ47" s="62" t="str">
        <f>IFERROR(Inv_SY_B!DZ47/Inv_SY_B!$IS47-1,"")</f>
        <v/>
      </c>
      <c r="EA47" s="62" t="str">
        <f>IFERROR(Inv_SY_B!EA47/Inv_SY_B!$IS47-1,"")</f>
        <v/>
      </c>
      <c r="EB47" s="62" t="str">
        <f>IFERROR(Inv_SY_B!EB47/Inv_SY_B!$IS47-1,"")</f>
        <v/>
      </c>
      <c r="EC47" s="62" t="str">
        <f>IFERROR(Inv_SY_B!EC47/Inv_SY_B!$IS47-1,"")</f>
        <v/>
      </c>
      <c r="ED47" s="62" t="str">
        <f>IFERROR(Inv_SY_B!ED47/Inv_SY_B!$IS47-1,"")</f>
        <v/>
      </c>
      <c r="EE47" s="62" t="str">
        <f>IFERROR(Inv_SY_B!EE47/Inv_SY_B!$IS47-1,"")</f>
        <v/>
      </c>
      <c r="EF47" s="62" t="str">
        <f>IFERROR(Inv_SY_B!EF47/Inv_SY_B!$IS47-1,"")</f>
        <v/>
      </c>
      <c r="EG47" s="62" t="str">
        <f>IFERROR(Inv_SY_B!EG47/Inv_SY_B!$IS47-1,"")</f>
        <v/>
      </c>
      <c r="EH47" s="62" t="str">
        <f>IFERROR(Inv_SY_B!EH47/Inv_SY_B!$IS47-1,"")</f>
        <v/>
      </c>
      <c r="EI47" s="62" t="str">
        <f>IFERROR(Inv_SY_B!EI47/Inv_SY_B!$IS47-1,"")</f>
        <v/>
      </c>
      <c r="EJ47" s="62" t="str">
        <f>IFERROR(Inv_SY_B!EJ47/Inv_SY_B!$IS47-1,"")</f>
        <v/>
      </c>
      <c r="EK47" s="62" t="str">
        <f>IFERROR(Inv_SY_B!EK47/Inv_SY_B!$IS47-1,"")</f>
        <v/>
      </c>
      <c r="EL47" s="62" t="str">
        <f>IFERROR(Inv_SY_B!EL47/Inv_SY_B!$IS47-1,"")</f>
        <v/>
      </c>
      <c r="EM47" s="62" t="str">
        <f>IFERROR(Inv_SY_B!EM47/Inv_SY_B!$IS47-1,"")</f>
        <v/>
      </c>
      <c r="EN47" s="62" t="str">
        <f>IFERROR(Inv_SY_B!EN47/Inv_SY_B!$IS47-1,"")</f>
        <v/>
      </c>
      <c r="EO47" s="62" t="str">
        <f>IFERROR(Inv_SY_B!EO47/Inv_SY_B!$IS47-1,"")</f>
        <v/>
      </c>
      <c r="EP47" s="62" t="str">
        <f>IFERROR(Inv_SY_B!EP47/Inv_SY_B!$IS47-1,"")</f>
        <v/>
      </c>
      <c r="EQ47" s="62" t="str">
        <f>IFERROR(Inv_SY_B!EQ47/Inv_SY_B!$IS47-1,"")</f>
        <v/>
      </c>
      <c r="ER47" s="62" t="str">
        <f>IFERROR(Inv_SY_B!ER47/Inv_SY_B!$IS47-1,"")</f>
        <v/>
      </c>
      <c r="ES47" s="62" t="str">
        <f>IFERROR(Inv_SY_B!ES47/Inv_SY_B!$IS47-1,"")</f>
        <v/>
      </c>
      <c r="ET47" s="62" t="str">
        <f>IFERROR(Inv_SY_B!ET47/Inv_SY_B!$IS47-1,"")</f>
        <v/>
      </c>
      <c r="EU47" s="62" t="str">
        <f>IFERROR(Inv_SY_B!EU47/Inv_SY_B!$IS47-1,"")</f>
        <v/>
      </c>
      <c r="EV47" s="62" t="str">
        <f>IFERROR(Inv_SY_B!EV47/Inv_SY_B!$IS47-1,"")</f>
        <v/>
      </c>
      <c r="EW47" s="62" t="str">
        <f>IFERROR(Inv_SY_B!EW47/Inv_SY_B!$IS47-1,"")</f>
        <v/>
      </c>
      <c r="EX47" s="62" t="str">
        <f>IFERROR(Inv_SY_B!EX47/Inv_SY_B!$IS47-1,"")</f>
        <v/>
      </c>
      <c r="EY47" s="62" t="str">
        <f>IFERROR(Inv_SY_B!EY47/Inv_SY_B!$IS47-1,"")</f>
        <v/>
      </c>
      <c r="EZ47" s="62" t="str">
        <f>IFERROR(Inv_SY_B!EZ47/Inv_SY_B!$IS47-1,"")</f>
        <v/>
      </c>
      <c r="FA47" s="62" t="str">
        <f>IFERROR(Inv_SY_B!FA47/Inv_SY_B!$IS47-1,"")</f>
        <v/>
      </c>
      <c r="FB47" s="62" t="str">
        <f>IFERROR(Inv_SY_B!FB47/Inv_SY_B!$IS47-1,"")</f>
        <v/>
      </c>
      <c r="FC47" s="62" t="str">
        <f>IFERROR(Inv_SY_B!FC47/Inv_SY_B!$IS47-1,"")</f>
        <v/>
      </c>
      <c r="FD47" s="62" t="str">
        <f>IFERROR(Inv_SY_B!FD47/Inv_SY_B!$IS47-1,"")</f>
        <v/>
      </c>
      <c r="FE47" s="62" t="str">
        <f>IFERROR(Inv_SY_B!FE47/Inv_SY_B!$IS47-1,"")</f>
        <v/>
      </c>
      <c r="FF47" s="62" t="str">
        <f>IFERROR(Inv_SY_B!FF47/Inv_SY_B!$IS47-1,"")</f>
        <v/>
      </c>
      <c r="FG47" s="62" t="str">
        <f>IFERROR(Inv_SY_B!FG47/Inv_SY_B!$IS47-1,"")</f>
        <v/>
      </c>
      <c r="FH47" s="62" t="str">
        <f>IFERROR(Inv_SY_B!FH47/Inv_SY_B!$IS47-1,"")</f>
        <v/>
      </c>
      <c r="FI47" s="62" t="str">
        <f>IFERROR(Inv_SY_B!FI47/Inv_SY_B!$IS47-1,"")</f>
        <v/>
      </c>
      <c r="FJ47" s="62" t="str">
        <f>IFERROR(Inv_SY_B!FJ47/Inv_SY_B!$IS47-1,"")</f>
        <v/>
      </c>
      <c r="FK47" s="62" t="str">
        <f>IFERROR(Inv_SY_B!FK47/Inv_SY_B!$IS47-1,"")</f>
        <v/>
      </c>
      <c r="FL47" s="62" t="str">
        <f>IFERROR(Inv_SY_B!FL47/Inv_SY_B!$IS47-1,"")</f>
        <v/>
      </c>
      <c r="FM47" s="62" t="str">
        <f>IFERROR(Inv_SY_B!FM47/Inv_SY_B!$IS47-1,"")</f>
        <v/>
      </c>
      <c r="FN47" s="62" t="str">
        <f>IFERROR(Inv_SY_B!FN47/Inv_SY_B!$IS47-1,"")</f>
        <v/>
      </c>
      <c r="FO47" s="62" t="str">
        <f>IFERROR(Inv_SY_B!FO47/Inv_SY_B!$IS47-1,"")</f>
        <v/>
      </c>
      <c r="FP47" s="62" t="str">
        <f>IFERROR(Inv_SY_B!FP47/Inv_SY_B!$IS47-1,"")</f>
        <v/>
      </c>
      <c r="FQ47" s="62" t="str">
        <f>IFERROR(Inv_SY_B!FQ47/Inv_SY_B!$IS47-1,"")</f>
        <v/>
      </c>
      <c r="FR47" s="62" t="str">
        <f>IFERROR(Inv_SY_B!FR47/Inv_SY_B!$IS47-1,"")</f>
        <v/>
      </c>
      <c r="FS47" s="62" t="str">
        <f>IFERROR(Inv_SY_B!FS47/Inv_SY_B!$IS47-1,"")</f>
        <v/>
      </c>
      <c r="FT47" s="62" t="str">
        <f>IFERROR(Inv_SY_B!FT47/Inv_SY_B!$IS47-1,"")</f>
        <v/>
      </c>
      <c r="FU47" s="62" t="str">
        <f>IFERROR(Inv_SY_B!FU47/Inv_SY_B!$IS47-1,"")</f>
        <v/>
      </c>
      <c r="FV47" s="62" t="str">
        <f>IFERROR(Inv_SY_B!FV47/Inv_SY_B!$IS47-1,"")</f>
        <v/>
      </c>
      <c r="FW47" s="62" t="str">
        <f>IFERROR(Inv_SY_B!FW47/Inv_SY_B!$IS47-1,"")</f>
        <v/>
      </c>
      <c r="FX47" s="62" t="str">
        <f>IFERROR(Inv_SY_B!FX47/Inv_SY_B!$IS47-1,"")</f>
        <v/>
      </c>
      <c r="FY47" s="62" t="str">
        <f>IFERROR(Inv_SY_B!FY47/Inv_SY_B!$IS47-1,"")</f>
        <v/>
      </c>
      <c r="FZ47" s="62" t="str">
        <f>IFERROR(Inv_SY_B!FZ47/Inv_SY_B!$IS47-1,"")</f>
        <v/>
      </c>
      <c r="GA47" s="62" t="str">
        <f>IFERROR(Inv_SY_B!GA47/Inv_SY_B!$IS47-1,"")</f>
        <v/>
      </c>
      <c r="GB47" s="62" t="str">
        <f>IFERROR(Inv_SY_B!GB47/Inv_SY_B!$IS47-1,"")</f>
        <v/>
      </c>
      <c r="GC47" s="62" t="str">
        <f>IFERROR(Inv_SY_B!GC47/Inv_SY_B!$IS47-1,"")</f>
        <v/>
      </c>
      <c r="GD47" s="62" t="str">
        <f>IFERROR(Inv_SY_B!GD47/Inv_SY_B!$IS47-1,"")</f>
        <v/>
      </c>
      <c r="GE47" s="62" t="str">
        <f>IFERROR(Inv_SY_B!GE47/Inv_SY_B!$IS47-1,"")</f>
        <v/>
      </c>
      <c r="GF47" s="62" t="str">
        <f>IFERROR(Inv_SY_B!GF47/Inv_SY_B!$IS47-1,"")</f>
        <v/>
      </c>
      <c r="GG47" s="62" t="str">
        <f>IFERROR(Inv_SY_B!GG47/Inv_SY_B!$IS47-1,"")</f>
        <v/>
      </c>
      <c r="GH47" s="62" t="str">
        <f>IFERROR(Inv_SY_B!GH47/Inv_SY_B!$IS47-1,"")</f>
        <v/>
      </c>
      <c r="GI47" s="62" t="str">
        <f>IFERROR(Inv_SY_B!GI47/Inv_SY_B!$IS47-1,"")</f>
        <v/>
      </c>
      <c r="GJ47" s="62" t="str">
        <f>IFERROR(Inv_SY_B!GJ47/Inv_SY_B!$IS47-1,"")</f>
        <v/>
      </c>
      <c r="GK47" s="62" t="str">
        <f>IFERROR(Inv_SY_B!GK47/Inv_SY_B!$IS47-1,"")</f>
        <v/>
      </c>
      <c r="GL47" s="62" t="str">
        <f>IFERROR(Inv_SY_B!GL47/Inv_SY_B!$IS47-1,"")</f>
        <v/>
      </c>
      <c r="GM47" s="62" t="str">
        <f>IFERROR(Inv_SY_B!GM47/Inv_SY_B!$IS47-1,"")</f>
        <v/>
      </c>
      <c r="GN47" s="62" t="str">
        <f>IFERROR(Inv_SY_B!GN47/Inv_SY_B!$IS47-1,"")</f>
        <v/>
      </c>
      <c r="GO47" s="62" t="str">
        <f>IFERROR(Inv_SY_B!GO47/Inv_SY_B!$IS47-1,"")</f>
        <v/>
      </c>
      <c r="GP47" s="62" t="str">
        <f>IFERROR(Inv_SY_B!GP47/Inv_SY_B!$IS47-1,"")</f>
        <v/>
      </c>
      <c r="GQ47" s="62" t="str">
        <f>IFERROR(Inv_SY_B!GQ47/Inv_SY_B!$IS47-1,"")</f>
        <v/>
      </c>
      <c r="GR47" s="62" t="str">
        <f>IFERROR(Inv_SY_B!GR47/Inv_SY_B!$IS47-1,"")</f>
        <v/>
      </c>
      <c r="GS47" s="62" t="str">
        <f>IFERROR(Inv_SY_B!GS47/Inv_SY_B!$IS47-1,"")</f>
        <v/>
      </c>
      <c r="GT47" s="62" t="str">
        <f>IFERROR(Inv_SY_B!GT47/Inv_SY_B!$IS47-1,"")</f>
        <v/>
      </c>
      <c r="GU47" s="62" t="str">
        <f>IFERROR(Inv_SY_B!GU47/Inv_SY_B!$IS47-1,"")</f>
        <v/>
      </c>
      <c r="GV47" s="62" t="str">
        <f>IFERROR(Inv_SY_B!GV47/Inv_SY_B!$IS47-1,"")</f>
        <v/>
      </c>
      <c r="GW47" s="62" t="str">
        <f>IFERROR(Inv_SY_B!GW47/Inv_SY_B!$IS47-1,"")</f>
        <v/>
      </c>
      <c r="GX47" s="62" t="str">
        <f>IFERROR(Inv_SY_B!GX47/Inv_SY_B!$IS47-1,"")</f>
        <v/>
      </c>
      <c r="GY47" s="62" t="str">
        <f>IFERROR(Inv_SY_B!GY47/Inv_SY_B!$IS47-1,"")</f>
        <v/>
      </c>
      <c r="GZ47" s="62" t="str">
        <f>IFERROR(Inv_SY_B!GZ47/Inv_SY_B!$IS47-1,"")</f>
        <v/>
      </c>
      <c r="HA47" s="62" t="str">
        <f>IFERROR(Inv_SY_B!HA47/Inv_SY_B!$IS47-1,"")</f>
        <v/>
      </c>
      <c r="HB47" s="62" t="str">
        <f>IFERROR(Inv_SY_B!HB47/Inv_SY_B!$IS47-1,"")</f>
        <v/>
      </c>
      <c r="HC47" s="62" t="str">
        <f>IFERROR(Inv_SY_B!HC47/Inv_SY_B!$IS47-1,"")</f>
        <v/>
      </c>
      <c r="HD47" s="62" t="str">
        <f>IFERROR(Inv_SY_B!HD47/Inv_SY_B!$IS47-1,"")</f>
        <v/>
      </c>
      <c r="HE47" s="62" t="str">
        <f>IFERROR(Inv_SY_B!HE47/Inv_SY_B!$IS47-1,"")</f>
        <v/>
      </c>
      <c r="HF47" s="62" t="str">
        <f>IFERROR(Inv_SY_B!HF47/Inv_SY_B!$IS47-1,"")</f>
        <v/>
      </c>
      <c r="HG47" s="62" t="str">
        <f>IFERROR(Inv_SY_B!HG47/Inv_SY_B!$IS47-1,"")</f>
        <v/>
      </c>
      <c r="HH47" s="62" t="str">
        <f>IFERROR(Inv_SY_B!HH47/Inv_SY_B!$IS47-1,"")</f>
        <v/>
      </c>
      <c r="HI47" s="62" t="str">
        <f>IFERROR(Inv_SY_B!HI47/Inv_SY_B!$IS47-1,"")</f>
        <v/>
      </c>
      <c r="HJ47" s="62" t="str">
        <f>IFERROR(Inv_SY_B!HJ47/Inv_SY_B!$IS47-1,"")</f>
        <v/>
      </c>
      <c r="HK47" s="62" t="str">
        <f>IFERROR(Inv_SY_B!HK47/Inv_SY_B!$IS47-1,"")</f>
        <v/>
      </c>
      <c r="HL47" s="62" t="str">
        <f>IFERROR(Inv_SY_B!HL47/Inv_SY_B!$IS47-1,"")</f>
        <v/>
      </c>
      <c r="HM47" s="62" t="str">
        <f>IFERROR(Inv_SY_B!HM47/Inv_SY_B!$IS47-1,"")</f>
        <v/>
      </c>
      <c r="HN47" s="62" t="str">
        <f>IFERROR(Inv_SY_B!HN47/Inv_SY_B!$IS47-1,"")</f>
        <v/>
      </c>
      <c r="HO47" s="62" t="str">
        <f>IFERROR(Inv_SY_B!HO47/Inv_SY_B!$IS47-1,"")</f>
        <v/>
      </c>
      <c r="HP47" s="62" t="str">
        <f>IFERROR(Inv_SY_B!HP47/Inv_SY_B!$IS47-1,"")</f>
        <v/>
      </c>
      <c r="HQ47" s="62" t="str">
        <f>IFERROR(Inv_SY_B!HQ47/Inv_SY_B!$IS47-1,"")</f>
        <v/>
      </c>
      <c r="HR47" s="62" t="str">
        <f>IFERROR(Inv_SY_B!HR47/Inv_SY_B!$IS47-1,"")</f>
        <v/>
      </c>
      <c r="HS47" s="62" t="str">
        <f>IFERROR(Inv_SY_B!HS47/Inv_SY_B!$IS47-1,"")</f>
        <v/>
      </c>
      <c r="HT47" s="62" t="str">
        <f>IFERROR(Inv_SY_B!HT47/Inv_SY_B!$IS47-1,"")</f>
        <v/>
      </c>
      <c r="HU47" s="62" t="str">
        <f>IFERROR(Inv_SY_B!HU47/Inv_SY_B!$IS47-1,"")</f>
        <v/>
      </c>
      <c r="HV47" s="62" t="str">
        <f>IFERROR(Inv_SY_B!HV47/Inv_SY_B!$IS47-1,"")</f>
        <v/>
      </c>
      <c r="HW47" s="62" t="str">
        <f>IFERROR(Inv_SY_B!HW47/Inv_SY_B!$IS47-1,"")</f>
        <v/>
      </c>
      <c r="HX47" s="62" t="str">
        <f>IFERROR(Inv_SY_B!HX47/Inv_SY_B!$IS47-1,"")</f>
        <v/>
      </c>
      <c r="HY47" s="62" t="str">
        <f>IFERROR(Inv_SY_B!HY47/Inv_SY_B!$IS47-1,"")</f>
        <v/>
      </c>
      <c r="HZ47" s="62" t="str">
        <f>IFERROR(Inv_SY_B!HZ47/Inv_SY_B!$IS47-1,"")</f>
        <v/>
      </c>
      <c r="IA47" s="62" t="str">
        <f>IFERROR(Inv_SY_B!IA47/Inv_SY_B!$IS47-1,"")</f>
        <v/>
      </c>
      <c r="IB47" s="62" t="str">
        <f>IFERROR(Inv_SY_B!IB47/Inv_SY_B!$IS47-1,"")</f>
        <v/>
      </c>
      <c r="IC47" s="62" t="str">
        <f>IFERROR(Inv_SY_B!IC47/Inv_SY_B!$IS47-1,"")</f>
        <v/>
      </c>
      <c r="ID47" s="62" t="str">
        <f>IFERROR(Inv_SY_B!ID47/Inv_SY_B!$IS47-1,"")</f>
        <v/>
      </c>
      <c r="IE47" s="62" t="str">
        <f>IFERROR(Inv_SY_B!IE47/Inv_SY_B!$IS47-1,"")</f>
        <v/>
      </c>
      <c r="IF47" s="62" t="str">
        <f>IFERROR(Inv_SY_B!IF47/Inv_SY_B!$IS47-1,"")</f>
        <v/>
      </c>
      <c r="IG47" s="62" t="str">
        <f>IFERROR(Inv_SY_B!IG47/Inv_SY_B!$IS47-1,"")</f>
        <v/>
      </c>
      <c r="IH47" s="62" t="str">
        <f>IFERROR(Inv_SY_B!IH47/Inv_SY_B!$IS47-1,"")</f>
        <v/>
      </c>
      <c r="II47" s="62" t="str">
        <f>IFERROR(Inv_SY_B!II47/Inv_SY_B!$IS47-1,"")</f>
        <v/>
      </c>
      <c r="IJ47" s="62" t="str">
        <f>IFERROR(Inv_SY_B!IJ47/Inv_SY_B!$IS47-1,"")</f>
        <v/>
      </c>
      <c r="IK47" s="62" t="str">
        <f>IFERROR(Inv_SY_B!IK47/Inv_SY_B!$IS47-1,"")</f>
        <v/>
      </c>
      <c r="IL47" s="62" t="str">
        <f>IFERROR(Inv_SY_B!IL47/Inv_SY_B!$IS47-1,"")</f>
        <v/>
      </c>
      <c r="IM47" s="62" t="str">
        <f>IFERROR(Inv_SY_B!IM47/Inv_SY_B!$IS47-1,"")</f>
        <v/>
      </c>
      <c r="IN47" s="62" t="str">
        <f>IFERROR(Inv_SY_B!IN47/Inv_SY_B!$IS47-1,"")</f>
        <v/>
      </c>
      <c r="IO47" s="62" t="str">
        <f>IFERROR(Inv_SY_B!IO47/Inv_SY_B!$IS47-1,"")</f>
        <v/>
      </c>
      <c r="IP47" s="62" t="str">
        <f>IFERROR(Inv_SY_B!IP47/Inv_SY_B!$IS47-1,"")</f>
        <v/>
      </c>
      <c r="IQ47" s="62" t="str">
        <f>IFERROR(Inv_SY_B!IQ47/Inv_SY_B!$IS47-1,"")</f>
        <v/>
      </c>
      <c r="IR47" s="62" t="str">
        <f>IFERROR(Inv_SY_B!IR47/Inv_SY_B!$IS47-1,"")</f>
        <v/>
      </c>
    </row>
    <row r="48" spans="2:252" x14ac:dyDescent="0.25">
      <c r="B48" s="85">
        <f t="shared" si="0"/>
        <v>45874</v>
      </c>
      <c r="C48" s="62" t="str">
        <f>IFERROR(Inv_SY_B!C48/Inv_SY_B!$IS48-1,"")</f>
        <v/>
      </c>
      <c r="D48" s="62" t="str">
        <f>IFERROR(Inv_SY_B!D48/Inv_SY_B!$IS48-1,"")</f>
        <v/>
      </c>
      <c r="E48" s="62" t="str">
        <f>IFERROR(Inv_SY_B!E48/Inv_SY_B!$IS48-1,"")</f>
        <v/>
      </c>
      <c r="F48" s="62" t="str">
        <f>IFERROR(Inv_SY_B!F48/Inv_SY_B!$IS48-1,"")</f>
        <v/>
      </c>
      <c r="G48" s="62" t="str">
        <f>IFERROR(Inv_SY_B!G48/Inv_SY_B!$IS48-1,"")</f>
        <v/>
      </c>
      <c r="H48" s="62" t="str">
        <f>IFERROR(Inv_SY_B!H48/Inv_SY_B!$IS48-1,"")</f>
        <v/>
      </c>
      <c r="I48" s="62" t="str">
        <f>IFERROR(Inv_SY_B!I48/Inv_SY_B!$IS48-1,"")</f>
        <v/>
      </c>
      <c r="J48" s="62" t="str">
        <f>IFERROR(Inv_SY_B!J48/Inv_SY_B!$IS48-1,"")</f>
        <v/>
      </c>
      <c r="K48" s="62" t="str">
        <f>IFERROR(Inv_SY_B!K48/Inv_SY_B!$IS48-1,"")</f>
        <v/>
      </c>
      <c r="L48" s="62" t="str">
        <f>IFERROR(Inv_SY_B!L48/Inv_SY_B!$IS48-1,"")</f>
        <v/>
      </c>
      <c r="M48" s="62" t="str">
        <f>IFERROR(Inv_SY_B!M48/Inv_SY_B!$IS48-1,"")</f>
        <v/>
      </c>
      <c r="N48" s="62" t="str">
        <f>IFERROR(Inv_SY_B!N48/Inv_SY_B!$IS48-1,"")</f>
        <v/>
      </c>
      <c r="O48" s="62" t="str">
        <f>IFERROR(Inv_SY_B!O48/Inv_SY_B!$IS48-1,"")</f>
        <v/>
      </c>
      <c r="P48" s="62" t="str">
        <f>IFERROR(Inv_SY_B!P48/Inv_SY_B!$IS48-1,"")</f>
        <v/>
      </c>
      <c r="Q48" s="62" t="str">
        <f>IFERROR(Inv_SY_B!Q48/Inv_SY_B!$IS48-1,"")</f>
        <v/>
      </c>
      <c r="R48" s="62" t="str">
        <f>IFERROR(Inv_SY_B!R48/Inv_SY_B!$IS48-1,"")</f>
        <v/>
      </c>
      <c r="S48" s="62" t="str">
        <f>IFERROR(Inv_SY_B!S48/Inv_SY_B!$IS48-1,"")</f>
        <v/>
      </c>
      <c r="T48" s="62" t="str">
        <f>IFERROR(Inv_SY_B!T48/Inv_SY_B!$IS48-1,"")</f>
        <v/>
      </c>
      <c r="U48" s="62" t="str">
        <f>IFERROR(Inv_SY_B!U48/Inv_SY_B!$IS48-1,"")</f>
        <v/>
      </c>
      <c r="V48" s="62" t="str">
        <f>IFERROR(Inv_SY_B!V48/Inv_SY_B!$IS48-1,"")</f>
        <v/>
      </c>
      <c r="W48" s="62" t="str">
        <f>IFERROR(Inv_SY_B!W48/Inv_SY_B!$IS48-1,"")</f>
        <v/>
      </c>
      <c r="X48" s="62" t="str">
        <f>IFERROR(Inv_SY_B!X48/Inv_SY_B!$IS48-1,"")</f>
        <v/>
      </c>
      <c r="Y48" s="62" t="str">
        <f>IFERROR(Inv_SY_B!Y48/Inv_SY_B!$IS48-1,"")</f>
        <v/>
      </c>
      <c r="Z48" s="62" t="str">
        <f>IFERROR(Inv_SY_B!Z48/Inv_SY_B!$IS48-1,"")</f>
        <v/>
      </c>
      <c r="AA48" s="62" t="str">
        <f>IFERROR(Inv_SY_B!AA48/Inv_SY_B!$IS48-1,"")</f>
        <v/>
      </c>
      <c r="AB48" s="62" t="str">
        <f>IFERROR(Inv_SY_B!AB48/Inv_SY_B!$IS48-1,"")</f>
        <v/>
      </c>
      <c r="AC48" s="62" t="str">
        <f>IFERROR(Inv_SY_B!AC48/Inv_SY_B!$IS48-1,"")</f>
        <v/>
      </c>
      <c r="AD48" s="62" t="str">
        <f>IFERROR(Inv_SY_B!AD48/Inv_SY_B!$IS48-1,"")</f>
        <v/>
      </c>
      <c r="AE48" s="62" t="str">
        <f>IFERROR(Inv_SY_B!AE48/Inv_SY_B!$IS48-1,"")</f>
        <v/>
      </c>
      <c r="AF48" s="62" t="str">
        <f>IFERROR(Inv_SY_B!AF48/Inv_SY_B!$IS48-1,"")</f>
        <v/>
      </c>
      <c r="AG48" s="62" t="str">
        <f>IFERROR(Inv_SY_B!AG48/Inv_SY_B!$IS48-1,"")</f>
        <v/>
      </c>
      <c r="AH48" s="62" t="str">
        <f>IFERROR(Inv_SY_B!AH48/Inv_SY_B!$IS48-1,"")</f>
        <v/>
      </c>
      <c r="AI48" s="62" t="str">
        <f>IFERROR(Inv_SY_B!AI48/Inv_SY_B!$IS48-1,"")</f>
        <v/>
      </c>
      <c r="AJ48" s="62" t="str">
        <f>IFERROR(Inv_SY_B!AJ48/Inv_SY_B!$IS48-1,"")</f>
        <v/>
      </c>
      <c r="AK48" s="62" t="str">
        <f>IFERROR(Inv_SY_B!AK48/Inv_SY_B!$IS48-1,"")</f>
        <v/>
      </c>
      <c r="AL48" s="62" t="str">
        <f>IFERROR(Inv_SY_B!AL48/Inv_SY_B!$IS48-1,"")</f>
        <v/>
      </c>
      <c r="AM48" s="62" t="str">
        <f>IFERROR(Inv_SY_B!AM48/Inv_SY_B!$IS48-1,"")</f>
        <v/>
      </c>
      <c r="AN48" s="62" t="str">
        <f>IFERROR(Inv_SY_B!AN48/Inv_SY_B!$IS48-1,"")</f>
        <v/>
      </c>
      <c r="AO48" s="62" t="str">
        <f>IFERROR(Inv_SY_B!AO48/Inv_SY_B!$IS48-1,"")</f>
        <v/>
      </c>
      <c r="AP48" s="62" t="str">
        <f>IFERROR(Inv_SY_B!AP48/Inv_SY_B!$IS48-1,"")</f>
        <v/>
      </c>
      <c r="AQ48" s="62" t="str">
        <f>IFERROR(Inv_SY_B!AQ48/Inv_SY_B!$IS48-1,"")</f>
        <v/>
      </c>
      <c r="AR48" s="62" t="str">
        <f>IFERROR(Inv_SY_B!AR48/Inv_SY_B!$IS48-1,"")</f>
        <v/>
      </c>
      <c r="AS48" s="62" t="str">
        <f>IFERROR(Inv_SY_B!AS48/Inv_SY_B!$IS48-1,"")</f>
        <v/>
      </c>
      <c r="AT48" s="62" t="str">
        <f>IFERROR(Inv_SY_B!AT48/Inv_SY_B!$IS48-1,"")</f>
        <v/>
      </c>
      <c r="AU48" s="62" t="str">
        <f>IFERROR(Inv_SY_B!AU48/Inv_SY_B!$IS48-1,"")</f>
        <v/>
      </c>
      <c r="AV48" s="62" t="str">
        <f>IFERROR(Inv_SY_B!AV48/Inv_SY_B!$IS48-1,"")</f>
        <v/>
      </c>
      <c r="AW48" s="62" t="str">
        <f>IFERROR(Inv_SY_B!AW48/Inv_SY_B!$IS48-1,"")</f>
        <v/>
      </c>
      <c r="AX48" s="62" t="str">
        <f>IFERROR(Inv_SY_B!AX48/Inv_SY_B!$IS48-1,"")</f>
        <v/>
      </c>
      <c r="AY48" s="62" t="str">
        <f>IFERROR(Inv_SY_B!AY48/Inv_SY_B!$IS48-1,"")</f>
        <v/>
      </c>
      <c r="AZ48" s="62" t="str">
        <f>IFERROR(Inv_SY_B!AZ48/Inv_SY_B!$IS48-1,"")</f>
        <v/>
      </c>
      <c r="BA48" s="62" t="str">
        <f>IFERROR(Inv_SY_B!BA48/Inv_SY_B!$IS48-1,"")</f>
        <v/>
      </c>
      <c r="BB48" s="62" t="str">
        <f>IFERROR(Inv_SY_B!BB48/Inv_SY_B!$IS48-1,"")</f>
        <v/>
      </c>
      <c r="BC48" s="62" t="str">
        <f>IFERROR(Inv_SY_B!BC48/Inv_SY_B!$IS48-1,"")</f>
        <v/>
      </c>
      <c r="BD48" s="62" t="str">
        <f>IFERROR(Inv_SY_B!BD48/Inv_SY_B!$IS48-1,"")</f>
        <v/>
      </c>
      <c r="BE48" s="62" t="str">
        <f>IFERROR(Inv_SY_B!BE48/Inv_SY_B!$IS48-1,"")</f>
        <v/>
      </c>
      <c r="BF48" s="62" t="str">
        <f>IFERROR(Inv_SY_B!BF48/Inv_SY_B!$IS48-1,"")</f>
        <v/>
      </c>
      <c r="BG48" s="62" t="str">
        <f>IFERROR(Inv_SY_B!BG48/Inv_SY_B!$IS48-1,"")</f>
        <v/>
      </c>
      <c r="BH48" s="62" t="str">
        <f>IFERROR(Inv_SY_B!BH48/Inv_SY_B!$IS48-1,"")</f>
        <v/>
      </c>
      <c r="BI48" s="62" t="str">
        <f>IFERROR(Inv_SY_B!BI48/Inv_SY_B!$IS48-1,"")</f>
        <v/>
      </c>
      <c r="BJ48" s="62" t="str">
        <f>IFERROR(Inv_SY_B!BJ48/Inv_SY_B!$IS48-1,"")</f>
        <v/>
      </c>
      <c r="BK48" s="62" t="str">
        <f>IFERROR(Inv_SY_B!BK48/Inv_SY_B!$IS48-1,"")</f>
        <v/>
      </c>
      <c r="BL48" s="62" t="str">
        <f>IFERROR(Inv_SY_B!BL48/Inv_SY_B!$IS48-1,"")</f>
        <v/>
      </c>
      <c r="BM48" s="62" t="str">
        <f>IFERROR(Inv_SY_B!BM48/Inv_SY_B!$IS48-1,"")</f>
        <v/>
      </c>
      <c r="BN48" s="62" t="str">
        <f>IFERROR(Inv_SY_B!BN48/Inv_SY_B!$IS48-1,"")</f>
        <v/>
      </c>
      <c r="BO48" s="62" t="str">
        <f>IFERROR(Inv_SY_B!BO48/Inv_SY_B!$IS48-1,"")</f>
        <v/>
      </c>
      <c r="BP48" s="62" t="str">
        <f>IFERROR(Inv_SY_B!BP48/Inv_SY_B!$IS48-1,"")</f>
        <v/>
      </c>
      <c r="BQ48" s="62" t="str">
        <f>IFERROR(Inv_SY_B!BQ48/Inv_SY_B!$IS48-1,"")</f>
        <v/>
      </c>
      <c r="BR48" s="62" t="str">
        <f>IFERROR(Inv_SY_B!BR48/Inv_SY_B!$IS48-1,"")</f>
        <v/>
      </c>
      <c r="BS48" s="62" t="str">
        <f>IFERROR(Inv_SY_B!BS48/Inv_SY_B!$IS48-1,"")</f>
        <v/>
      </c>
      <c r="BT48" s="62" t="str">
        <f>IFERROR(Inv_SY_B!BT48/Inv_SY_B!$IS48-1,"")</f>
        <v/>
      </c>
      <c r="BU48" s="62" t="str">
        <f>IFERROR(Inv_SY_B!BU48/Inv_SY_B!$IS48-1,"")</f>
        <v/>
      </c>
      <c r="BV48" s="62" t="str">
        <f>IFERROR(Inv_SY_B!BV48/Inv_SY_B!$IS48-1,"")</f>
        <v/>
      </c>
      <c r="BW48" s="62" t="str">
        <f>IFERROR(Inv_SY_B!BW48/Inv_SY_B!$IS48-1,"")</f>
        <v/>
      </c>
      <c r="BX48" s="62" t="str">
        <f>IFERROR(Inv_SY_B!BX48/Inv_SY_B!$IS48-1,"")</f>
        <v/>
      </c>
      <c r="BY48" s="62" t="str">
        <f>IFERROR(Inv_SY_B!BY48/Inv_SY_B!$IS48-1,"")</f>
        <v/>
      </c>
      <c r="BZ48" s="62" t="str">
        <f>IFERROR(Inv_SY_B!BZ48/Inv_SY_B!$IS48-1,"")</f>
        <v/>
      </c>
      <c r="CA48" s="62" t="str">
        <f>IFERROR(Inv_SY_B!CA48/Inv_SY_B!$IS48-1,"")</f>
        <v/>
      </c>
      <c r="CB48" s="62" t="str">
        <f>IFERROR(Inv_SY_B!CB48/Inv_SY_B!$IS48-1,"")</f>
        <v/>
      </c>
      <c r="CC48" s="62" t="str">
        <f>IFERROR(Inv_SY_B!CC48/Inv_SY_B!$IS48-1,"")</f>
        <v/>
      </c>
      <c r="CD48" s="62" t="str">
        <f>IFERROR(Inv_SY_B!CD48/Inv_SY_B!$IS48-1,"")</f>
        <v/>
      </c>
      <c r="CE48" s="62" t="str">
        <f>IFERROR(Inv_SY_B!CE48/Inv_SY_B!$IS48-1,"")</f>
        <v/>
      </c>
      <c r="CF48" s="62" t="str">
        <f>IFERROR(Inv_SY_B!CF48/Inv_SY_B!$IS48-1,"")</f>
        <v/>
      </c>
      <c r="CG48" s="62" t="str">
        <f>IFERROR(Inv_SY_B!CG48/Inv_SY_B!$IS48-1,"")</f>
        <v/>
      </c>
      <c r="CH48" s="62" t="str">
        <f>IFERROR(Inv_SY_B!CH48/Inv_SY_B!$IS48-1,"")</f>
        <v/>
      </c>
      <c r="CI48" s="62" t="str">
        <f>IFERROR(Inv_SY_B!CI48/Inv_SY_B!$IS48-1,"")</f>
        <v/>
      </c>
      <c r="CJ48" s="62" t="str">
        <f>IFERROR(Inv_SY_B!CJ48/Inv_SY_B!$IS48-1,"")</f>
        <v/>
      </c>
      <c r="CK48" s="62" t="str">
        <f>IFERROR(Inv_SY_B!CK48/Inv_SY_B!$IS48-1,"")</f>
        <v/>
      </c>
      <c r="CL48" s="62" t="str">
        <f>IFERROR(Inv_SY_B!CL48/Inv_SY_B!$IS48-1,"")</f>
        <v/>
      </c>
      <c r="CM48" s="62" t="str">
        <f>IFERROR(Inv_SY_B!CM48/Inv_SY_B!$IS48-1,"")</f>
        <v/>
      </c>
      <c r="CN48" s="62" t="str">
        <f>IFERROR(Inv_SY_B!CN48/Inv_SY_B!$IS48-1,"")</f>
        <v/>
      </c>
      <c r="CO48" s="62" t="str">
        <f>IFERROR(Inv_SY_B!CO48/Inv_SY_B!$IS48-1,"")</f>
        <v/>
      </c>
      <c r="CP48" s="62" t="str">
        <f>IFERROR(Inv_SY_B!CP48/Inv_SY_B!$IS48-1,"")</f>
        <v/>
      </c>
      <c r="CQ48" s="62" t="str">
        <f>IFERROR(Inv_SY_B!CQ48/Inv_SY_B!$IS48-1,"")</f>
        <v/>
      </c>
      <c r="CR48" s="62" t="str">
        <f>IFERROR(Inv_SY_B!CR48/Inv_SY_B!$IS48-1,"")</f>
        <v/>
      </c>
      <c r="CS48" s="62" t="str">
        <f>IFERROR(Inv_SY_B!CS48/Inv_SY_B!$IS48-1,"")</f>
        <v/>
      </c>
      <c r="CT48" s="62" t="str">
        <f>IFERROR(Inv_SY_B!CT48/Inv_SY_B!$IS48-1,"")</f>
        <v/>
      </c>
      <c r="CU48" s="62" t="str">
        <f>IFERROR(Inv_SY_B!CU48/Inv_SY_B!$IS48-1,"")</f>
        <v/>
      </c>
      <c r="CV48" s="62" t="str">
        <f>IFERROR(Inv_SY_B!CV48/Inv_SY_B!$IS48-1,"")</f>
        <v/>
      </c>
      <c r="CW48" s="62" t="str">
        <f>IFERROR(Inv_SY_B!CW48/Inv_SY_B!$IS48-1,"")</f>
        <v/>
      </c>
      <c r="CX48" s="62" t="str">
        <f>IFERROR(Inv_SY_B!CX48/Inv_SY_B!$IS48-1,"")</f>
        <v/>
      </c>
      <c r="CY48" s="62" t="str">
        <f>IFERROR(Inv_SY_B!CY48/Inv_SY_B!$IS48-1,"")</f>
        <v/>
      </c>
      <c r="CZ48" s="62" t="str">
        <f>IFERROR(Inv_SY_B!CZ48/Inv_SY_B!$IS48-1,"")</f>
        <v/>
      </c>
      <c r="DA48" s="62" t="str">
        <f>IFERROR(Inv_SY_B!DA48/Inv_SY_B!$IS48-1,"")</f>
        <v/>
      </c>
      <c r="DB48" s="62" t="str">
        <f>IFERROR(Inv_SY_B!DB48/Inv_SY_B!$IS48-1,"")</f>
        <v/>
      </c>
      <c r="DC48" s="62" t="str">
        <f>IFERROR(Inv_SY_B!DC48/Inv_SY_B!$IS48-1,"")</f>
        <v/>
      </c>
      <c r="DD48" s="62" t="str">
        <f>IFERROR(Inv_SY_B!DD48/Inv_SY_B!$IS48-1,"")</f>
        <v/>
      </c>
      <c r="DE48" s="62" t="str">
        <f>IFERROR(Inv_SY_B!DE48/Inv_SY_B!$IS48-1,"")</f>
        <v/>
      </c>
      <c r="DF48" s="62" t="str">
        <f>IFERROR(Inv_SY_B!DF48/Inv_SY_B!$IS48-1,"")</f>
        <v/>
      </c>
      <c r="DG48" s="62" t="str">
        <f>IFERROR(Inv_SY_B!DG48/Inv_SY_B!$IS48-1,"")</f>
        <v/>
      </c>
      <c r="DH48" s="62" t="str">
        <f>IFERROR(Inv_SY_B!DH48/Inv_SY_B!$IS48-1,"")</f>
        <v/>
      </c>
      <c r="DI48" s="62" t="str">
        <f>IFERROR(Inv_SY_B!DI48/Inv_SY_B!$IS48-1,"")</f>
        <v/>
      </c>
      <c r="DJ48" s="62" t="str">
        <f>IFERROR(Inv_SY_B!DJ48/Inv_SY_B!$IS48-1,"")</f>
        <v/>
      </c>
      <c r="DK48" s="62" t="str">
        <f>IFERROR(Inv_SY_B!DK48/Inv_SY_B!$IS48-1,"")</f>
        <v/>
      </c>
      <c r="DL48" s="62" t="str">
        <f>IFERROR(Inv_SY_B!DL48/Inv_SY_B!$IS48-1,"")</f>
        <v/>
      </c>
      <c r="DM48" s="62" t="str">
        <f>IFERROR(Inv_SY_B!DM48/Inv_SY_B!$IS48-1,"")</f>
        <v/>
      </c>
      <c r="DN48" s="62" t="str">
        <f>IFERROR(Inv_SY_B!DN48/Inv_SY_B!$IS48-1,"")</f>
        <v/>
      </c>
      <c r="DO48" s="62" t="str">
        <f>IFERROR(Inv_SY_B!DO48/Inv_SY_B!$IS48-1,"")</f>
        <v/>
      </c>
      <c r="DP48" s="62" t="str">
        <f>IFERROR(Inv_SY_B!DP48/Inv_SY_B!$IS48-1,"")</f>
        <v/>
      </c>
      <c r="DQ48" s="62" t="str">
        <f>IFERROR(Inv_SY_B!DQ48/Inv_SY_B!$IS48-1,"")</f>
        <v/>
      </c>
      <c r="DR48" s="62" t="str">
        <f>IFERROR(Inv_SY_B!DR48/Inv_SY_B!$IS48-1,"")</f>
        <v/>
      </c>
      <c r="DS48" s="62" t="str">
        <f>IFERROR(Inv_SY_B!DS48/Inv_SY_B!$IS48-1,"")</f>
        <v/>
      </c>
      <c r="DT48" s="62" t="str">
        <f>IFERROR(Inv_SY_B!DT48/Inv_SY_B!$IS48-1,"")</f>
        <v/>
      </c>
      <c r="DU48" s="62" t="str">
        <f>IFERROR(Inv_SY_B!DU48/Inv_SY_B!$IS48-1,"")</f>
        <v/>
      </c>
      <c r="DV48" s="62" t="str">
        <f>IFERROR(Inv_SY_B!DV48/Inv_SY_B!$IS48-1,"")</f>
        <v/>
      </c>
      <c r="DW48" s="62" t="str">
        <f>IFERROR(Inv_SY_B!DW48/Inv_SY_B!$IS48-1,"")</f>
        <v/>
      </c>
      <c r="DX48" s="62" t="str">
        <f>IFERROR(Inv_SY_B!DX48/Inv_SY_B!$IS48-1,"")</f>
        <v/>
      </c>
      <c r="DY48" s="62" t="str">
        <f>IFERROR(Inv_SY_B!DY48/Inv_SY_B!$IS48-1,"")</f>
        <v/>
      </c>
      <c r="DZ48" s="62" t="str">
        <f>IFERROR(Inv_SY_B!DZ48/Inv_SY_B!$IS48-1,"")</f>
        <v/>
      </c>
      <c r="EA48" s="62" t="str">
        <f>IFERROR(Inv_SY_B!EA48/Inv_SY_B!$IS48-1,"")</f>
        <v/>
      </c>
      <c r="EB48" s="62" t="str">
        <f>IFERROR(Inv_SY_B!EB48/Inv_SY_B!$IS48-1,"")</f>
        <v/>
      </c>
      <c r="EC48" s="62" t="str">
        <f>IFERROR(Inv_SY_B!EC48/Inv_SY_B!$IS48-1,"")</f>
        <v/>
      </c>
      <c r="ED48" s="62" t="str">
        <f>IFERROR(Inv_SY_B!ED48/Inv_SY_B!$IS48-1,"")</f>
        <v/>
      </c>
      <c r="EE48" s="62" t="str">
        <f>IFERROR(Inv_SY_B!EE48/Inv_SY_B!$IS48-1,"")</f>
        <v/>
      </c>
      <c r="EF48" s="62" t="str">
        <f>IFERROR(Inv_SY_B!EF48/Inv_SY_B!$IS48-1,"")</f>
        <v/>
      </c>
      <c r="EG48" s="62" t="str">
        <f>IFERROR(Inv_SY_B!EG48/Inv_SY_B!$IS48-1,"")</f>
        <v/>
      </c>
      <c r="EH48" s="62" t="str">
        <f>IFERROR(Inv_SY_B!EH48/Inv_SY_B!$IS48-1,"")</f>
        <v/>
      </c>
      <c r="EI48" s="62" t="str">
        <f>IFERROR(Inv_SY_B!EI48/Inv_SY_B!$IS48-1,"")</f>
        <v/>
      </c>
      <c r="EJ48" s="62" t="str">
        <f>IFERROR(Inv_SY_B!EJ48/Inv_SY_B!$IS48-1,"")</f>
        <v/>
      </c>
      <c r="EK48" s="62" t="str">
        <f>IFERROR(Inv_SY_B!EK48/Inv_SY_B!$IS48-1,"")</f>
        <v/>
      </c>
      <c r="EL48" s="62" t="str">
        <f>IFERROR(Inv_SY_B!EL48/Inv_SY_B!$IS48-1,"")</f>
        <v/>
      </c>
      <c r="EM48" s="62" t="str">
        <f>IFERROR(Inv_SY_B!EM48/Inv_SY_B!$IS48-1,"")</f>
        <v/>
      </c>
      <c r="EN48" s="62" t="str">
        <f>IFERROR(Inv_SY_B!EN48/Inv_SY_B!$IS48-1,"")</f>
        <v/>
      </c>
      <c r="EO48" s="62" t="str">
        <f>IFERROR(Inv_SY_B!EO48/Inv_SY_B!$IS48-1,"")</f>
        <v/>
      </c>
      <c r="EP48" s="62" t="str">
        <f>IFERROR(Inv_SY_B!EP48/Inv_SY_B!$IS48-1,"")</f>
        <v/>
      </c>
      <c r="EQ48" s="62" t="str">
        <f>IFERROR(Inv_SY_B!EQ48/Inv_SY_B!$IS48-1,"")</f>
        <v/>
      </c>
      <c r="ER48" s="62" t="str">
        <f>IFERROR(Inv_SY_B!ER48/Inv_SY_B!$IS48-1,"")</f>
        <v/>
      </c>
      <c r="ES48" s="62" t="str">
        <f>IFERROR(Inv_SY_B!ES48/Inv_SY_B!$IS48-1,"")</f>
        <v/>
      </c>
      <c r="ET48" s="62" t="str">
        <f>IFERROR(Inv_SY_B!ET48/Inv_SY_B!$IS48-1,"")</f>
        <v/>
      </c>
      <c r="EU48" s="62" t="str">
        <f>IFERROR(Inv_SY_B!EU48/Inv_SY_B!$IS48-1,"")</f>
        <v/>
      </c>
      <c r="EV48" s="62" t="str">
        <f>IFERROR(Inv_SY_B!EV48/Inv_SY_B!$IS48-1,"")</f>
        <v/>
      </c>
      <c r="EW48" s="62" t="str">
        <f>IFERROR(Inv_SY_B!EW48/Inv_SY_B!$IS48-1,"")</f>
        <v/>
      </c>
      <c r="EX48" s="62" t="str">
        <f>IFERROR(Inv_SY_B!EX48/Inv_SY_B!$IS48-1,"")</f>
        <v/>
      </c>
      <c r="EY48" s="62" t="str">
        <f>IFERROR(Inv_SY_B!EY48/Inv_SY_B!$IS48-1,"")</f>
        <v/>
      </c>
      <c r="EZ48" s="62" t="str">
        <f>IFERROR(Inv_SY_B!EZ48/Inv_SY_B!$IS48-1,"")</f>
        <v/>
      </c>
      <c r="FA48" s="62" t="str">
        <f>IFERROR(Inv_SY_B!FA48/Inv_SY_B!$IS48-1,"")</f>
        <v/>
      </c>
      <c r="FB48" s="62" t="str">
        <f>IFERROR(Inv_SY_B!FB48/Inv_SY_B!$IS48-1,"")</f>
        <v/>
      </c>
      <c r="FC48" s="62" t="str">
        <f>IFERROR(Inv_SY_B!FC48/Inv_SY_B!$IS48-1,"")</f>
        <v/>
      </c>
      <c r="FD48" s="62" t="str">
        <f>IFERROR(Inv_SY_B!FD48/Inv_SY_B!$IS48-1,"")</f>
        <v/>
      </c>
      <c r="FE48" s="62" t="str">
        <f>IFERROR(Inv_SY_B!FE48/Inv_SY_B!$IS48-1,"")</f>
        <v/>
      </c>
      <c r="FF48" s="62" t="str">
        <f>IFERROR(Inv_SY_B!FF48/Inv_SY_B!$IS48-1,"")</f>
        <v/>
      </c>
      <c r="FG48" s="62" t="str">
        <f>IFERROR(Inv_SY_B!FG48/Inv_SY_B!$IS48-1,"")</f>
        <v/>
      </c>
      <c r="FH48" s="62" t="str">
        <f>IFERROR(Inv_SY_B!FH48/Inv_SY_B!$IS48-1,"")</f>
        <v/>
      </c>
      <c r="FI48" s="62" t="str">
        <f>IFERROR(Inv_SY_B!FI48/Inv_SY_B!$IS48-1,"")</f>
        <v/>
      </c>
      <c r="FJ48" s="62" t="str">
        <f>IFERROR(Inv_SY_B!FJ48/Inv_SY_B!$IS48-1,"")</f>
        <v/>
      </c>
      <c r="FK48" s="62" t="str">
        <f>IFERROR(Inv_SY_B!FK48/Inv_SY_B!$IS48-1,"")</f>
        <v/>
      </c>
      <c r="FL48" s="62" t="str">
        <f>IFERROR(Inv_SY_B!FL48/Inv_SY_B!$IS48-1,"")</f>
        <v/>
      </c>
      <c r="FM48" s="62" t="str">
        <f>IFERROR(Inv_SY_B!FM48/Inv_SY_B!$IS48-1,"")</f>
        <v/>
      </c>
      <c r="FN48" s="62" t="str">
        <f>IFERROR(Inv_SY_B!FN48/Inv_SY_B!$IS48-1,"")</f>
        <v/>
      </c>
      <c r="FO48" s="62" t="str">
        <f>IFERROR(Inv_SY_B!FO48/Inv_SY_B!$IS48-1,"")</f>
        <v/>
      </c>
      <c r="FP48" s="62" t="str">
        <f>IFERROR(Inv_SY_B!FP48/Inv_SY_B!$IS48-1,"")</f>
        <v/>
      </c>
      <c r="FQ48" s="62" t="str">
        <f>IFERROR(Inv_SY_B!FQ48/Inv_SY_B!$IS48-1,"")</f>
        <v/>
      </c>
      <c r="FR48" s="62" t="str">
        <f>IFERROR(Inv_SY_B!FR48/Inv_SY_B!$IS48-1,"")</f>
        <v/>
      </c>
      <c r="FS48" s="62" t="str">
        <f>IFERROR(Inv_SY_B!FS48/Inv_SY_B!$IS48-1,"")</f>
        <v/>
      </c>
      <c r="FT48" s="62" t="str">
        <f>IFERROR(Inv_SY_B!FT48/Inv_SY_B!$IS48-1,"")</f>
        <v/>
      </c>
      <c r="FU48" s="62" t="str">
        <f>IFERROR(Inv_SY_B!FU48/Inv_SY_B!$IS48-1,"")</f>
        <v/>
      </c>
      <c r="FV48" s="62" t="str">
        <f>IFERROR(Inv_SY_B!FV48/Inv_SY_B!$IS48-1,"")</f>
        <v/>
      </c>
      <c r="FW48" s="62" t="str">
        <f>IFERROR(Inv_SY_B!FW48/Inv_SY_B!$IS48-1,"")</f>
        <v/>
      </c>
      <c r="FX48" s="62" t="str">
        <f>IFERROR(Inv_SY_B!FX48/Inv_SY_B!$IS48-1,"")</f>
        <v/>
      </c>
      <c r="FY48" s="62" t="str">
        <f>IFERROR(Inv_SY_B!FY48/Inv_SY_B!$IS48-1,"")</f>
        <v/>
      </c>
      <c r="FZ48" s="62" t="str">
        <f>IFERROR(Inv_SY_B!FZ48/Inv_SY_B!$IS48-1,"")</f>
        <v/>
      </c>
      <c r="GA48" s="62" t="str">
        <f>IFERROR(Inv_SY_B!GA48/Inv_SY_B!$IS48-1,"")</f>
        <v/>
      </c>
      <c r="GB48" s="62" t="str">
        <f>IFERROR(Inv_SY_B!GB48/Inv_SY_B!$IS48-1,"")</f>
        <v/>
      </c>
      <c r="GC48" s="62" t="str">
        <f>IFERROR(Inv_SY_B!GC48/Inv_SY_B!$IS48-1,"")</f>
        <v/>
      </c>
      <c r="GD48" s="62" t="str">
        <f>IFERROR(Inv_SY_B!GD48/Inv_SY_B!$IS48-1,"")</f>
        <v/>
      </c>
      <c r="GE48" s="62" t="str">
        <f>IFERROR(Inv_SY_B!GE48/Inv_SY_B!$IS48-1,"")</f>
        <v/>
      </c>
      <c r="GF48" s="62" t="str">
        <f>IFERROR(Inv_SY_B!GF48/Inv_SY_B!$IS48-1,"")</f>
        <v/>
      </c>
      <c r="GG48" s="62" t="str">
        <f>IFERROR(Inv_SY_B!GG48/Inv_SY_B!$IS48-1,"")</f>
        <v/>
      </c>
      <c r="GH48" s="62" t="str">
        <f>IFERROR(Inv_SY_B!GH48/Inv_SY_B!$IS48-1,"")</f>
        <v/>
      </c>
      <c r="GI48" s="62" t="str">
        <f>IFERROR(Inv_SY_B!GI48/Inv_SY_B!$IS48-1,"")</f>
        <v/>
      </c>
      <c r="GJ48" s="62" t="str">
        <f>IFERROR(Inv_SY_B!GJ48/Inv_SY_B!$IS48-1,"")</f>
        <v/>
      </c>
      <c r="GK48" s="62" t="str">
        <f>IFERROR(Inv_SY_B!GK48/Inv_SY_B!$IS48-1,"")</f>
        <v/>
      </c>
      <c r="GL48" s="62" t="str">
        <f>IFERROR(Inv_SY_B!GL48/Inv_SY_B!$IS48-1,"")</f>
        <v/>
      </c>
      <c r="GM48" s="62" t="str">
        <f>IFERROR(Inv_SY_B!GM48/Inv_SY_B!$IS48-1,"")</f>
        <v/>
      </c>
      <c r="GN48" s="62" t="str">
        <f>IFERROR(Inv_SY_B!GN48/Inv_SY_B!$IS48-1,"")</f>
        <v/>
      </c>
      <c r="GO48" s="62" t="str">
        <f>IFERROR(Inv_SY_B!GO48/Inv_SY_B!$IS48-1,"")</f>
        <v/>
      </c>
      <c r="GP48" s="62" t="str">
        <f>IFERROR(Inv_SY_B!GP48/Inv_SY_B!$IS48-1,"")</f>
        <v/>
      </c>
      <c r="GQ48" s="62" t="str">
        <f>IFERROR(Inv_SY_B!GQ48/Inv_SY_B!$IS48-1,"")</f>
        <v/>
      </c>
      <c r="GR48" s="62" t="str">
        <f>IFERROR(Inv_SY_B!GR48/Inv_SY_B!$IS48-1,"")</f>
        <v/>
      </c>
      <c r="GS48" s="62" t="str">
        <f>IFERROR(Inv_SY_B!GS48/Inv_SY_B!$IS48-1,"")</f>
        <v/>
      </c>
      <c r="GT48" s="62" t="str">
        <f>IFERROR(Inv_SY_B!GT48/Inv_SY_B!$IS48-1,"")</f>
        <v/>
      </c>
      <c r="GU48" s="62" t="str">
        <f>IFERROR(Inv_SY_B!GU48/Inv_SY_B!$IS48-1,"")</f>
        <v/>
      </c>
      <c r="GV48" s="62" t="str">
        <f>IFERROR(Inv_SY_B!GV48/Inv_SY_B!$IS48-1,"")</f>
        <v/>
      </c>
      <c r="GW48" s="62" t="str">
        <f>IFERROR(Inv_SY_B!GW48/Inv_SY_B!$IS48-1,"")</f>
        <v/>
      </c>
      <c r="GX48" s="62" t="str">
        <f>IFERROR(Inv_SY_B!GX48/Inv_SY_B!$IS48-1,"")</f>
        <v/>
      </c>
      <c r="GY48" s="62" t="str">
        <f>IFERROR(Inv_SY_B!GY48/Inv_SY_B!$IS48-1,"")</f>
        <v/>
      </c>
      <c r="GZ48" s="62" t="str">
        <f>IFERROR(Inv_SY_B!GZ48/Inv_SY_B!$IS48-1,"")</f>
        <v/>
      </c>
      <c r="HA48" s="62" t="str">
        <f>IFERROR(Inv_SY_B!HA48/Inv_SY_B!$IS48-1,"")</f>
        <v/>
      </c>
      <c r="HB48" s="62" t="str">
        <f>IFERROR(Inv_SY_B!HB48/Inv_SY_B!$IS48-1,"")</f>
        <v/>
      </c>
      <c r="HC48" s="62" t="str">
        <f>IFERROR(Inv_SY_B!HC48/Inv_SY_B!$IS48-1,"")</f>
        <v/>
      </c>
      <c r="HD48" s="62" t="str">
        <f>IFERROR(Inv_SY_B!HD48/Inv_SY_B!$IS48-1,"")</f>
        <v/>
      </c>
      <c r="HE48" s="62" t="str">
        <f>IFERROR(Inv_SY_B!HE48/Inv_SY_B!$IS48-1,"")</f>
        <v/>
      </c>
      <c r="HF48" s="62" t="str">
        <f>IFERROR(Inv_SY_B!HF48/Inv_SY_B!$IS48-1,"")</f>
        <v/>
      </c>
      <c r="HG48" s="62" t="str">
        <f>IFERROR(Inv_SY_B!HG48/Inv_SY_B!$IS48-1,"")</f>
        <v/>
      </c>
      <c r="HH48" s="62" t="str">
        <f>IFERROR(Inv_SY_B!HH48/Inv_SY_B!$IS48-1,"")</f>
        <v/>
      </c>
      <c r="HI48" s="62" t="str">
        <f>IFERROR(Inv_SY_B!HI48/Inv_SY_B!$IS48-1,"")</f>
        <v/>
      </c>
      <c r="HJ48" s="62" t="str">
        <f>IFERROR(Inv_SY_B!HJ48/Inv_SY_B!$IS48-1,"")</f>
        <v/>
      </c>
      <c r="HK48" s="62" t="str">
        <f>IFERROR(Inv_SY_B!HK48/Inv_SY_B!$IS48-1,"")</f>
        <v/>
      </c>
      <c r="HL48" s="62" t="str">
        <f>IFERROR(Inv_SY_B!HL48/Inv_SY_B!$IS48-1,"")</f>
        <v/>
      </c>
      <c r="HM48" s="62" t="str">
        <f>IFERROR(Inv_SY_B!HM48/Inv_SY_B!$IS48-1,"")</f>
        <v/>
      </c>
      <c r="HN48" s="62" t="str">
        <f>IFERROR(Inv_SY_B!HN48/Inv_SY_B!$IS48-1,"")</f>
        <v/>
      </c>
      <c r="HO48" s="62" t="str">
        <f>IFERROR(Inv_SY_B!HO48/Inv_SY_B!$IS48-1,"")</f>
        <v/>
      </c>
      <c r="HP48" s="62" t="str">
        <f>IFERROR(Inv_SY_B!HP48/Inv_SY_B!$IS48-1,"")</f>
        <v/>
      </c>
      <c r="HQ48" s="62" t="str">
        <f>IFERROR(Inv_SY_B!HQ48/Inv_SY_B!$IS48-1,"")</f>
        <v/>
      </c>
      <c r="HR48" s="62" t="str">
        <f>IFERROR(Inv_SY_B!HR48/Inv_SY_B!$IS48-1,"")</f>
        <v/>
      </c>
      <c r="HS48" s="62" t="str">
        <f>IFERROR(Inv_SY_B!HS48/Inv_SY_B!$IS48-1,"")</f>
        <v/>
      </c>
      <c r="HT48" s="62" t="str">
        <f>IFERROR(Inv_SY_B!HT48/Inv_SY_B!$IS48-1,"")</f>
        <v/>
      </c>
      <c r="HU48" s="62" t="str">
        <f>IFERROR(Inv_SY_B!HU48/Inv_SY_B!$IS48-1,"")</f>
        <v/>
      </c>
      <c r="HV48" s="62" t="str">
        <f>IFERROR(Inv_SY_B!HV48/Inv_SY_B!$IS48-1,"")</f>
        <v/>
      </c>
      <c r="HW48" s="62" t="str">
        <f>IFERROR(Inv_SY_B!HW48/Inv_SY_B!$IS48-1,"")</f>
        <v/>
      </c>
      <c r="HX48" s="62" t="str">
        <f>IFERROR(Inv_SY_B!HX48/Inv_SY_B!$IS48-1,"")</f>
        <v/>
      </c>
      <c r="HY48" s="62" t="str">
        <f>IFERROR(Inv_SY_B!HY48/Inv_SY_B!$IS48-1,"")</f>
        <v/>
      </c>
      <c r="HZ48" s="62" t="str">
        <f>IFERROR(Inv_SY_B!HZ48/Inv_SY_B!$IS48-1,"")</f>
        <v/>
      </c>
      <c r="IA48" s="62" t="str">
        <f>IFERROR(Inv_SY_B!IA48/Inv_SY_B!$IS48-1,"")</f>
        <v/>
      </c>
      <c r="IB48" s="62" t="str">
        <f>IFERROR(Inv_SY_B!IB48/Inv_SY_B!$IS48-1,"")</f>
        <v/>
      </c>
      <c r="IC48" s="62" t="str">
        <f>IFERROR(Inv_SY_B!IC48/Inv_SY_B!$IS48-1,"")</f>
        <v/>
      </c>
      <c r="ID48" s="62" t="str">
        <f>IFERROR(Inv_SY_B!ID48/Inv_SY_B!$IS48-1,"")</f>
        <v/>
      </c>
      <c r="IE48" s="62" t="str">
        <f>IFERROR(Inv_SY_B!IE48/Inv_SY_B!$IS48-1,"")</f>
        <v/>
      </c>
      <c r="IF48" s="62" t="str">
        <f>IFERROR(Inv_SY_B!IF48/Inv_SY_B!$IS48-1,"")</f>
        <v/>
      </c>
      <c r="IG48" s="62" t="str">
        <f>IFERROR(Inv_SY_B!IG48/Inv_SY_B!$IS48-1,"")</f>
        <v/>
      </c>
      <c r="IH48" s="62" t="str">
        <f>IFERROR(Inv_SY_B!IH48/Inv_SY_B!$IS48-1,"")</f>
        <v/>
      </c>
      <c r="II48" s="62" t="str">
        <f>IFERROR(Inv_SY_B!II48/Inv_SY_B!$IS48-1,"")</f>
        <v/>
      </c>
      <c r="IJ48" s="62" t="str">
        <f>IFERROR(Inv_SY_B!IJ48/Inv_SY_B!$IS48-1,"")</f>
        <v/>
      </c>
      <c r="IK48" s="62" t="str">
        <f>IFERROR(Inv_SY_B!IK48/Inv_SY_B!$IS48-1,"")</f>
        <v/>
      </c>
      <c r="IL48" s="62" t="str">
        <f>IFERROR(Inv_SY_B!IL48/Inv_SY_B!$IS48-1,"")</f>
        <v/>
      </c>
      <c r="IM48" s="62" t="str">
        <f>IFERROR(Inv_SY_B!IM48/Inv_SY_B!$IS48-1,"")</f>
        <v/>
      </c>
      <c r="IN48" s="62" t="str">
        <f>IFERROR(Inv_SY_B!IN48/Inv_SY_B!$IS48-1,"")</f>
        <v/>
      </c>
      <c r="IO48" s="62" t="str">
        <f>IFERROR(Inv_SY_B!IO48/Inv_SY_B!$IS48-1,"")</f>
        <v/>
      </c>
      <c r="IP48" s="62" t="str">
        <f>IFERROR(Inv_SY_B!IP48/Inv_SY_B!$IS48-1,"")</f>
        <v/>
      </c>
      <c r="IQ48" s="62" t="str">
        <f>IFERROR(Inv_SY_B!IQ48/Inv_SY_B!$IS48-1,"")</f>
        <v/>
      </c>
      <c r="IR48" s="62" t="str">
        <f>IFERROR(Inv_SY_B!IR48/Inv_SY_B!$IS48-1,"")</f>
        <v/>
      </c>
    </row>
    <row r="49" spans="2:252" x14ac:dyDescent="0.25">
      <c r="B49" s="85">
        <f t="shared" si="0"/>
        <v>45875</v>
      </c>
      <c r="C49" s="62" t="str">
        <f>IFERROR(Inv_SY_B!C49/Inv_SY_B!$IS49-1,"")</f>
        <v/>
      </c>
      <c r="D49" s="62" t="str">
        <f>IFERROR(Inv_SY_B!D49/Inv_SY_B!$IS49-1,"")</f>
        <v/>
      </c>
      <c r="E49" s="62" t="str">
        <f>IFERROR(Inv_SY_B!E49/Inv_SY_B!$IS49-1,"")</f>
        <v/>
      </c>
      <c r="F49" s="62" t="str">
        <f>IFERROR(Inv_SY_B!F49/Inv_SY_B!$IS49-1,"")</f>
        <v/>
      </c>
      <c r="G49" s="62" t="str">
        <f>IFERROR(Inv_SY_B!G49/Inv_SY_B!$IS49-1,"")</f>
        <v/>
      </c>
      <c r="H49" s="62" t="str">
        <f>IFERROR(Inv_SY_B!H49/Inv_SY_B!$IS49-1,"")</f>
        <v/>
      </c>
      <c r="I49" s="62" t="str">
        <f>IFERROR(Inv_SY_B!I49/Inv_SY_B!$IS49-1,"")</f>
        <v/>
      </c>
      <c r="J49" s="62" t="str">
        <f>IFERROR(Inv_SY_B!J49/Inv_SY_B!$IS49-1,"")</f>
        <v/>
      </c>
      <c r="K49" s="62" t="str">
        <f>IFERROR(Inv_SY_B!K49/Inv_SY_B!$IS49-1,"")</f>
        <v/>
      </c>
      <c r="L49" s="62" t="str">
        <f>IFERROR(Inv_SY_B!L49/Inv_SY_B!$IS49-1,"")</f>
        <v/>
      </c>
      <c r="M49" s="62" t="str">
        <f>IFERROR(Inv_SY_B!M49/Inv_SY_B!$IS49-1,"")</f>
        <v/>
      </c>
      <c r="N49" s="62" t="str">
        <f>IFERROR(Inv_SY_B!N49/Inv_SY_B!$IS49-1,"")</f>
        <v/>
      </c>
      <c r="O49" s="62" t="str">
        <f>IFERROR(Inv_SY_B!O49/Inv_SY_B!$IS49-1,"")</f>
        <v/>
      </c>
      <c r="P49" s="62" t="str">
        <f>IFERROR(Inv_SY_B!P49/Inv_SY_B!$IS49-1,"")</f>
        <v/>
      </c>
      <c r="Q49" s="62" t="str">
        <f>IFERROR(Inv_SY_B!Q49/Inv_SY_B!$IS49-1,"")</f>
        <v/>
      </c>
      <c r="R49" s="62" t="str">
        <f>IFERROR(Inv_SY_B!R49/Inv_SY_B!$IS49-1,"")</f>
        <v/>
      </c>
      <c r="S49" s="62" t="str">
        <f>IFERROR(Inv_SY_B!S49/Inv_SY_B!$IS49-1,"")</f>
        <v/>
      </c>
      <c r="T49" s="62" t="str">
        <f>IFERROR(Inv_SY_B!T49/Inv_SY_B!$IS49-1,"")</f>
        <v/>
      </c>
      <c r="U49" s="62" t="str">
        <f>IFERROR(Inv_SY_B!U49/Inv_SY_B!$IS49-1,"")</f>
        <v/>
      </c>
      <c r="V49" s="62" t="str">
        <f>IFERROR(Inv_SY_B!V49/Inv_SY_B!$IS49-1,"")</f>
        <v/>
      </c>
      <c r="W49" s="62" t="str">
        <f>IFERROR(Inv_SY_B!W49/Inv_SY_B!$IS49-1,"")</f>
        <v/>
      </c>
      <c r="X49" s="62" t="str">
        <f>IFERROR(Inv_SY_B!X49/Inv_SY_B!$IS49-1,"")</f>
        <v/>
      </c>
      <c r="Y49" s="62" t="str">
        <f>IFERROR(Inv_SY_B!Y49/Inv_SY_B!$IS49-1,"")</f>
        <v/>
      </c>
      <c r="Z49" s="62" t="str">
        <f>IFERROR(Inv_SY_B!Z49/Inv_SY_B!$IS49-1,"")</f>
        <v/>
      </c>
      <c r="AA49" s="62" t="str">
        <f>IFERROR(Inv_SY_B!AA49/Inv_SY_B!$IS49-1,"")</f>
        <v/>
      </c>
      <c r="AB49" s="62" t="str">
        <f>IFERROR(Inv_SY_B!AB49/Inv_SY_B!$IS49-1,"")</f>
        <v/>
      </c>
      <c r="AC49" s="62" t="str">
        <f>IFERROR(Inv_SY_B!AC49/Inv_SY_B!$IS49-1,"")</f>
        <v/>
      </c>
      <c r="AD49" s="62" t="str">
        <f>IFERROR(Inv_SY_B!AD49/Inv_SY_B!$IS49-1,"")</f>
        <v/>
      </c>
      <c r="AE49" s="62" t="str">
        <f>IFERROR(Inv_SY_B!AE49/Inv_SY_B!$IS49-1,"")</f>
        <v/>
      </c>
      <c r="AF49" s="62" t="str">
        <f>IFERROR(Inv_SY_B!AF49/Inv_SY_B!$IS49-1,"")</f>
        <v/>
      </c>
      <c r="AG49" s="62" t="str">
        <f>IFERROR(Inv_SY_B!AG49/Inv_SY_B!$IS49-1,"")</f>
        <v/>
      </c>
      <c r="AH49" s="62" t="str">
        <f>IFERROR(Inv_SY_B!AH49/Inv_SY_B!$IS49-1,"")</f>
        <v/>
      </c>
      <c r="AI49" s="62" t="str">
        <f>IFERROR(Inv_SY_B!AI49/Inv_SY_B!$IS49-1,"")</f>
        <v/>
      </c>
      <c r="AJ49" s="62" t="str">
        <f>IFERROR(Inv_SY_B!AJ49/Inv_SY_B!$IS49-1,"")</f>
        <v/>
      </c>
      <c r="AK49" s="62" t="str">
        <f>IFERROR(Inv_SY_B!AK49/Inv_SY_B!$IS49-1,"")</f>
        <v/>
      </c>
      <c r="AL49" s="62" t="str">
        <f>IFERROR(Inv_SY_B!AL49/Inv_SY_B!$IS49-1,"")</f>
        <v/>
      </c>
      <c r="AM49" s="62" t="str">
        <f>IFERROR(Inv_SY_B!AM49/Inv_SY_B!$IS49-1,"")</f>
        <v/>
      </c>
      <c r="AN49" s="62" t="str">
        <f>IFERROR(Inv_SY_B!AN49/Inv_SY_B!$IS49-1,"")</f>
        <v/>
      </c>
      <c r="AO49" s="62" t="str">
        <f>IFERROR(Inv_SY_B!AO49/Inv_SY_B!$IS49-1,"")</f>
        <v/>
      </c>
      <c r="AP49" s="62" t="str">
        <f>IFERROR(Inv_SY_B!AP49/Inv_SY_B!$IS49-1,"")</f>
        <v/>
      </c>
      <c r="AQ49" s="62" t="str">
        <f>IFERROR(Inv_SY_B!AQ49/Inv_SY_B!$IS49-1,"")</f>
        <v/>
      </c>
      <c r="AR49" s="62" t="str">
        <f>IFERROR(Inv_SY_B!AR49/Inv_SY_B!$IS49-1,"")</f>
        <v/>
      </c>
      <c r="AS49" s="62" t="str">
        <f>IFERROR(Inv_SY_B!AS49/Inv_SY_B!$IS49-1,"")</f>
        <v/>
      </c>
      <c r="AT49" s="62" t="str">
        <f>IFERROR(Inv_SY_B!AT49/Inv_SY_B!$IS49-1,"")</f>
        <v/>
      </c>
      <c r="AU49" s="62" t="str">
        <f>IFERROR(Inv_SY_B!AU49/Inv_SY_B!$IS49-1,"")</f>
        <v/>
      </c>
      <c r="AV49" s="62" t="str">
        <f>IFERROR(Inv_SY_B!AV49/Inv_SY_B!$IS49-1,"")</f>
        <v/>
      </c>
      <c r="AW49" s="62" t="str">
        <f>IFERROR(Inv_SY_B!AW49/Inv_SY_B!$IS49-1,"")</f>
        <v/>
      </c>
      <c r="AX49" s="62" t="str">
        <f>IFERROR(Inv_SY_B!AX49/Inv_SY_B!$IS49-1,"")</f>
        <v/>
      </c>
      <c r="AY49" s="62" t="str">
        <f>IFERROR(Inv_SY_B!AY49/Inv_SY_B!$IS49-1,"")</f>
        <v/>
      </c>
      <c r="AZ49" s="62" t="str">
        <f>IFERROR(Inv_SY_B!AZ49/Inv_SY_B!$IS49-1,"")</f>
        <v/>
      </c>
      <c r="BA49" s="62" t="str">
        <f>IFERROR(Inv_SY_B!BA49/Inv_SY_B!$IS49-1,"")</f>
        <v/>
      </c>
      <c r="BB49" s="62" t="str">
        <f>IFERROR(Inv_SY_B!BB49/Inv_SY_B!$IS49-1,"")</f>
        <v/>
      </c>
      <c r="BC49" s="62" t="str">
        <f>IFERROR(Inv_SY_B!BC49/Inv_SY_B!$IS49-1,"")</f>
        <v/>
      </c>
      <c r="BD49" s="62" t="str">
        <f>IFERROR(Inv_SY_B!BD49/Inv_SY_B!$IS49-1,"")</f>
        <v/>
      </c>
      <c r="BE49" s="62" t="str">
        <f>IFERROR(Inv_SY_B!BE49/Inv_SY_B!$IS49-1,"")</f>
        <v/>
      </c>
      <c r="BF49" s="62" t="str">
        <f>IFERROR(Inv_SY_B!BF49/Inv_SY_B!$IS49-1,"")</f>
        <v/>
      </c>
      <c r="BG49" s="62" t="str">
        <f>IFERROR(Inv_SY_B!BG49/Inv_SY_B!$IS49-1,"")</f>
        <v/>
      </c>
      <c r="BH49" s="62" t="str">
        <f>IFERROR(Inv_SY_B!BH49/Inv_SY_B!$IS49-1,"")</f>
        <v/>
      </c>
      <c r="BI49" s="62" t="str">
        <f>IFERROR(Inv_SY_B!BI49/Inv_SY_B!$IS49-1,"")</f>
        <v/>
      </c>
      <c r="BJ49" s="62" t="str">
        <f>IFERROR(Inv_SY_B!BJ49/Inv_SY_B!$IS49-1,"")</f>
        <v/>
      </c>
      <c r="BK49" s="62" t="str">
        <f>IFERROR(Inv_SY_B!BK49/Inv_SY_B!$IS49-1,"")</f>
        <v/>
      </c>
      <c r="BL49" s="62" t="str">
        <f>IFERROR(Inv_SY_B!BL49/Inv_SY_B!$IS49-1,"")</f>
        <v/>
      </c>
      <c r="BM49" s="62" t="str">
        <f>IFERROR(Inv_SY_B!BM49/Inv_SY_B!$IS49-1,"")</f>
        <v/>
      </c>
      <c r="BN49" s="62" t="str">
        <f>IFERROR(Inv_SY_B!BN49/Inv_SY_B!$IS49-1,"")</f>
        <v/>
      </c>
      <c r="BO49" s="62" t="str">
        <f>IFERROR(Inv_SY_B!BO49/Inv_SY_B!$IS49-1,"")</f>
        <v/>
      </c>
      <c r="BP49" s="62" t="str">
        <f>IFERROR(Inv_SY_B!BP49/Inv_SY_B!$IS49-1,"")</f>
        <v/>
      </c>
      <c r="BQ49" s="62" t="str">
        <f>IFERROR(Inv_SY_B!BQ49/Inv_SY_B!$IS49-1,"")</f>
        <v/>
      </c>
      <c r="BR49" s="62" t="str">
        <f>IFERROR(Inv_SY_B!BR49/Inv_SY_B!$IS49-1,"")</f>
        <v/>
      </c>
      <c r="BS49" s="62" t="str">
        <f>IFERROR(Inv_SY_B!BS49/Inv_SY_B!$IS49-1,"")</f>
        <v/>
      </c>
      <c r="BT49" s="62" t="str">
        <f>IFERROR(Inv_SY_B!BT49/Inv_SY_B!$IS49-1,"")</f>
        <v/>
      </c>
      <c r="BU49" s="62" t="str">
        <f>IFERROR(Inv_SY_B!BU49/Inv_SY_B!$IS49-1,"")</f>
        <v/>
      </c>
      <c r="BV49" s="62" t="str">
        <f>IFERROR(Inv_SY_B!BV49/Inv_SY_B!$IS49-1,"")</f>
        <v/>
      </c>
      <c r="BW49" s="62" t="str">
        <f>IFERROR(Inv_SY_B!BW49/Inv_SY_B!$IS49-1,"")</f>
        <v/>
      </c>
      <c r="BX49" s="62" t="str">
        <f>IFERROR(Inv_SY_B!BX49/Inv_SY_B!$IS49-1,"")</f>
        <v/>
      </c>
      <c r="BY49" s="62" t="str">
        <f>IFERROR(Inv_SY_B!BY49/Inv_SY_B!$IS49-1,"")</f>
        <v/>
      </c>
      <c r="BZ49" s="62" t="str">
        <f>IFERROR(Inv_SY_B!BZ49/Inv_SY_B!$IS49-1,"")</f>
        <v/>
      </c>
      <c r="CA49" s="62" t="str">
        <f>IFERROR(Inv_SY_B!CA49/Inv_SY_B!$IS49-1,"")</f>
        <v/>
      </c>
      <c r="CB49" s="62" t="str">
        <f>IFERROR(Inv_SY_B!CB49/Inv_SY_B!$IS49-1,"")</f>
        <v/>
      </c>
      <c r="CC49" s="62" t="str">
        <f>IFERROR(Inv_SY_B!CC49/Inv_SY_B!$IS49-1,"")</f>
        <v/>
      </c>
      <c r="CD49" s="62" t="str">
        <f>IFERROR(Inv_SY_B!CD49/Inv_SY_B!$IS49-1,"")</f>
        <v/>
      </c>
      <c r="CE49" s="62" t="str">
        <f>IFERROR(Inv_SY_B!CE49/Inv_SY_B!$IS49-1,"")</f>
        <v/>
      </c>
      <c r="CF49" s="62" t="str">
        <f>IFERROR(Inv_SY_B!CF49/Inv_SY_B!$IS49-1,"")</f>
        <v/>
      </c>
      <c r="CG49" s="62" t="str">
        <f>IFERROR(Inv_SY_B!CG49/Inv_SY_B!$IS49-1,"")</f>
        <v/>
      </c>
      <c r="CH49" s="62" t="str">
        <f>IFERROR(Inv_SY_B!CH49/Inv_SY_B!$IS49-1,"")</f>
        <v/>
      </c>
      <c r="CI49" s="62" t="str">
        <f>IFERROR(Inv_SY_B!CI49/Inv_SY_B!$IS49-1,"")</f>
        <v/>
      </c>
      <c r="CJ49" s="62" t="str">
        <f>IFERROR(Inv_SY_B!CJ49/Inv_SY_B!$IS49-1,"")</f>
        <v/>
      </c>
      <c r="CK49" s="62" t="str">
        <f>IFERROR(Inv_SY_B!CK49/Inv_SY_B!$IS49-1,"")</f>
        <v/>
      </c>
      <c r="CL49" s="62" t="str">
        <f>IFERROR(Inv_SY_B!CL49/Inv_SY_B!$IS49-1,"")</f>
        <v/>
      </c>
      <c r="CM49" s="62" t="str">
        <f>IFERROR(Inv_SY_B!CM49/Inv_SY_B!$IS49-1,"")</f>
        <v/>
      </c>
      <c r="CN49" s="62" t="str">
        <f>IFERROR(Inv_SY_B!CN49/Inv_SY_B!$IS49-1,"")</f>
        <v/>
      </c>
      <c r="CO49" s="62" t="str">
        <f>IFERROR(Inv_SY_B!CO49/Inv_SY_B!$IS49-1,"")</f>
        <v/>
      </c>
      <c r="CP49" s="62" t="str">
        <f>IFERROR(Inv_SY_B!CP49/Inv_SY_B!$IS49-1,"")</f>
        <v/>
      </c>
      <c r="CQ49" s="62" t="str">
        <f>IFERROR(Inv_SY_B!CQ49/Inv_SY_B!$IS49-1,"")</f>
        <v/>
      </c>
      <c r="CR49" s="62" t="str">
        <f>IFERROR(Inv_SY_B!CR49/Inv_SY_B!$IS49-1,"")</f>
        <v/>
      </c>
      <c r="CS49" s="62" t="str">
        <f>IFERROR(Inv_SY_B!CS49/Inv_SY_B!$IS49-1,"")</f>
        <v/>
      </c>
      <c r="CT49" s="62" t="str">
        <f>IFERROR(Inv_SY_B!CT49/Inv_SY_B!$IS49-1,"")</f>
        <v/>
      </c>
      <c r="CU49" s="62" t="str">
        <f>IFERROR(Inv_SY_B!CU49/Inv_SY_B!$IS49-1,"")</f>
        <v/>
      </c>
      <c r="CV49" s="62" t="str">
        <f>IFERROR(Inv_SY_B!CV49/Inv_SY_B!$IS49-1,"")</f>
        <v/>
      </c>
      <c r="CW49" s="62" t="str">
        <f>IFERROR(Inv_SY_B!CW49/Inv_SY_B!$IS49-1,"")</f>
        <v/>
      </c>
      <c r="CX49" s="62" t="str">
        <f>IFERROR(Inv_SY_B!CX49/Inv_SY_B!$IS49-1,"")</f>
        <v/>
      </c>
      <c r="CY49" s="62" t="str">
        <f>IFERROR(Inv_SY_B!CY49/Inv_SY_B!$IS49-1,"")</f>
        <v/>
      </c>
      <c r="CZ49" s="62" t="str">
        <f>IFERROR(Inv_SY_B!CZ49/Inv_SY_B!$IS49-1,"")</f>
        <v/>
      </c>
      <c r="DA49" s="62" t="str">
        <f>IFERROR(Inv_SY_B!DA49/Inv_SY_B!$IS49-1,"")</f>
        <v/>
      </c>
      <c r="DB49" s="62" t="str">
        <f>IFERROR(Inv_SY_B!DB49/Inv_SY_B!$IS49-1,"")</f>
        <v/>
      </c>
      <c r="DC49" s="62" t="str">
        <f>IFERROR(Inv_SY_B!DC49/Inv_SY_B!$IS49-1,"")</f>
        <v/>
      </c>
      <c r="DD49" s="62" t="str">
        <f>IFERROR(Inv_SY_B!DD49/Inv_SY_B!$IS49-1,"")</f>
        <v/>
      </c>
      <c r="DE49" s="62" t="str">
        <f>IFERROR(Inv_SY_B!DE49/Inv_SY_B!$IS49-1,"")</f>
        <v/>
      </c>
      <c r="DF49" s="62" t="str">
        <f>IFERROR(Inv_SY_B!DF49/Inv_SY_B!$IS49-1,"")</f>
        <v/>
      </c>
      <c r="DG49" s="62" t="str">
        <f>IFERROR(Inv_SY_B!DG49/Inv_SY_B!$IS49-1,"")</f>
        <v/>
      </c>
      <c r="DH49" s="62" t="str">
        <f>IFERROR(Inv_SY_B!DH49/Inv_SY_B!$IS49-1,"")</f>
        <v/>
      </c>
      <c r="DI49" s="62" t="str">
        <f>IFERROR(Inv_SY_B!DI49/Inv_SY_B!$IS49-1,"")</f>
        <v/>
      </c>
      <c r="DJ49" s="62" t="str">
        <f>IFERROR(Inv_SY_B!DJ49/Inv_SY_B!$IS49-1,"")</f>
        <v/>
      </c>
      <c r="DK49" s="62" t="str">
        <f>IFERROR(Inv_SY_B!DK49/Inv_SY_B!$IS49-1,"")</f>
        <v/>
      </c>
      <c r="DL49" s="62" t="str">
        <f>IFERROR(Inv_SY_B!DL49/Inv_SY_B!$IS49-1,"")</f>
        <v/>
      </c>
      <c r="DM49" s="62" t="str">
        <f>IFERROR(Inv_SY_B!DM49/Inv_SY_B!$IS49-1,"")</f>
        <v/>
      </c>
      <c r="DN49" s="62" t="str">
        <f>IFERROR(Inv_SY_B!DN49/Inv_SY_B!$IS49-1,"")</f>
        <v/>
      </c>
      <c r="DO49" s="62" t="str">
        <f>IFERROR(Inv_SY_B!DO49/Inv_SY_B!$IS49-1,"")</f>
        <v/>
      </c>
      <c r="DP49" s="62" t="str">
        <f>IFERROR(Inv_SY_B!DP49/Inv_SY_B!$IS49-1,"")</f>
        <v/>
      </c>
      <c r="DQ49" s="62" t="str">
        <f>IFERROR(Inv_SY_B!DQ49/Inv_SY_B!$IS49-1,"")</f>
        <v/>
      </c>
      <c r="DR49" s="62" t="str">
        <f>IFERROR(Inv_SY_B!DR49/Inv_SY_B!$IS49-1,"")</f>
        <v/>
      </c>
      <c r="DS49" s="62" t="str">
        <f>IFERROR(Inv_SY_B!DS49/Inv_SY_B!$IS49-1,"")</f>
        <v/>
      </c>
      <c r="DT49" s="62" t="str">
        <f>IFERROR(Inv_SY_B!DT49/Inv_SY_B!$IS49-1,"")</f>
        <v/>
      </c>
      <c r="DU49" s="62" t="str">
        <f>IFERROR(Inv_SY_B!DU49/Inv_SY_B!$IS49-1,"")</f>
        <v/>
      </c>
      <c r="DV49" s="62" t="str">
        <f>IFERROR(Inv_SY_B!DV49/Inv_SY_B!$IS49-1,"")</f>
        <v/>
      </c>
      <c r="DW49" s="62" t="str">
        <f>IFERROR(Inv_SY_B!DW49/Inv_SY_B!$IS49-1,"")</f>
        <v/>
      </c>
      <c r="DX49" s="62" t="str">
        <f>IFERROR(Inv_SY_B!DX49/Inv_SY_B!$IS49-1,"")</f>
        <v/>
      </c>
      <c r="DY49" s="62" t="str">
        <f>IFERROR(Inv_SY_B!DY49/Inv_SY_B!$IS49-1,"")</f>
        <v/>
      </c>
      <c r="DZ49" s="62" t="str">
        <f>IFERROR(Inv_SY_B!DZ49/Inv_SY_B!$IS49-1,"")</f>
        <v/>
      </c>
      <c r="EA49" s="62" t="str">
        <f>IFERROR(Inv_SY_B!EA49/Inv_SY_B!$IS49-1,"")</f>
        <v/>
      </c>
      <c r="EB49" s="62" t="str">
        <f>IFERROR(Inv_SY_B!EB49/Inv_SY_B!$IS49-1,"")</f>
        <v/>
      </c>
      <c r="EC49" s="62" t="str">
        <f>IFERROR(Inv_SY_B!EC49/Inv_SY_B!$IS49-1,"")</f>
        <v/>
      </c>
      <c r="ED49" s="62" t="str">
        <f>IFERROR(Inv_SY_B!ED49/Inv_SY_B!$IS49-1,"")</f>
        <v/>
      </c>
      <c r="EE49" s="62" t="str">
        <f>IFERROR(Inv_SY_B!EE49/Inv_SY_B!$IS49-1,"")</f>
        <v/>
      </c>
      <c r="EF49" s="62" t="str">
        <f>IFERROR(Inv_SY_B!EF49/Inv_SY_B!$IS49-1,"")</f>
        <v/>
      </c>
      <c r="EG49" s="62" t="str">
        <f>IFERROR(Inv_SY_B!EG49/Inv_SY_B!$IS49-1,"")</f>
        <v/>
      </c>
      <c r="EH49" s="62" t="str">
        <f>IFERROR(Inv_SY_B!EH49/Inv_SY_B!$IS49-1,"")</f>
        <v/>
      </c>
      <c r="EI49" s="62" t="str">
        <f>IFERROR(Inv_SY_B!EI49/Inv_SY_B!$IS49-1,"")</f>
        <v/>
      </c>
      <c r="EJ49" s="62" t="str">
        <f>IFERROR(Inv_SY_B!EJ49/Inv_SY_B!$IS49-1,"")</f>
        <v/>
      </c>
      <c r="EK49" s="62" t="str">
        <f>IFERROR(Inv_SY_B!EK49/Inv_SY_B!$IS49-1,"")</f>
        <v/>
      </c>
      <c r="EL49" s="62" t="str">
        <f>IFERROR(Inv_SY_B!EL49/Inv_SY_B!$IS49-1,"")</f>
        <v/>
      </c>
      <c r="EM49" s="62" t="str">
        <f>IFERROR(Inv_SY_B!EM49/Inv_SY_B!$IS49-1,"")</f>
        <v/>
      </c>
      <c r="EN49" s="62" t="str">
        <f>IFERROR(Inv_SY_B!EN49/Inv_SY_B!$IS49-1,"")</f>
        <v/>
      </c>
      <c r="EO49" s="62" t="str">
        <f>IFERROR(Inv_SY_B!EO49/Inv_SY_B!$IS49-1,"")</f>
        <v/>
      </c>
      <c r="EP49" s="62" t="str">
        <f>IFERROR(Inv_SY_B!EP49/Inv_SY_B!$IS49-1,"")</f>
        <v/>
      </c>
      <c r="EQ49" s="62" t="str">
        <f>IFERROR(Inv_SY_B!EQ49/Inv_SY_B!$IS49-1,"")</f>
        <v/>
      </c>
      <c r="ER49" s="62" t="str">
        <f>IFERROR(Inv_SY_B!ER49/Inv_SY_B!$IS49-1,"")</f>
        <v/>
      </c>
      <c r="ES49" s="62" t="str">
        <f>IFERROR(Inv_SY_B!ES49/Inv_SY_B!$IS49-1,"")</f>
        <v/>
      </c>
      <c r="ET49" s="62" t="str">
        <f>IFERROR(Inv_SY_B!ET49/Inv_SY_B!$IS49-1,"")</f>
        <v/>
      </c>
      <c r="EU49" s="62" t="str">
        <f>IFERROR(Inv_SY_B!EU49/Inv_SY_B!$IS49-1,"")</f>
        <v/>
      </c>
      <c r="EV49" s="62" t="str">
        <f>IFERROR(Inv_SY_B!EV49/Inv_SY_B!$IS49-1,"")</f>
        <v/>
      </c>
      <c r="EW49" s="62" t="str">
        <f>IFERROR(Inv_SY_B!EW49/Inv_SY_B!$IS49-1,"")</f>
        <v/>
      </c>
      <c r="EX49" s="62" t="str">
        <f>IFERROR(Inv_SY_B!EX49/Inv_SY_B!$IS49-1,"")</f>
        <v/>
      </c>
      <c r="EY49" s="62" t="str">
        <f>IFERROR(Inv_SY_B!EY49/Inv_SY_B!$IS49-1,"")</f>
        <v/>
      </c>
      <c r="EZ49" s="62" t="str">
        <f>IFERROR(Inv_SY_B!EZ49/Inv_SY_B!$IS49-1,"")</f>
        <v/>
      </c>
      <c r="FA49" s="62" t="str">
        <f>IFERROR(Inv_SY_B!FA49/Inv_SY_B!$IS49-1,"")</f>
        <v/>
      </c>
      <c r="FB49" s="62" t="str">
        <f>IFERROR(Inv_SY_B!FB49/Inv_SY_B!$IS49-1,"")</f>
        <v/>
      </c>
      <c r="FC49" s="62" t="str">
        <f>IFERROR(Inv_SY_B!FC49/Inv_SY_B!$IS49-1,"")</f>
        <v/>
      </c>
      <c r="FD49" s="62" t="str">
        <f>IFERROR(Inv_SY_B!FD49/Inv_SY_B!$IS49-1,"")</f>
        <v/>
      </c>
      <c r="FE49" s="62" t="str">
        <f>IFERROR(Inv_SY_B!FE49/Inv_SY_B!$IS49-1,"")</f>
        <v/>
      </c>
      <c r="FF49" s="62" t="str">
        <f>IFERROR(Inv_SY_B!FF49/Inv_SY_B!$IS49-1,"")</f>
        <v/>
      </c>
      <c r="FG49" s="62" t="str">
        <f>IFERROR(Inv_SY_B!FG49/Inv_SY_B!$IS49-1,"")</f>
        <v/>
      </c>
      <c r="FH49" s="62" t="str">
        <f>IFERROR(Inv_SY_B!FH49/Inv_SY_B!$IS49-1,"")</f>
        <v/>
      </c>
      <c r="FI49" s="62" t="str">
        <f>IFERROR(Inv_SY_B!FI49/Inv_SY_B!$IS49-1,"")</f>
        <v/>
      </c>
      <c r="FJ49" s="62" t="str">
        <f>IFERROR(Inv_SY_B!FJ49/Inv_SY_B!$IS49-1,"")</f>
        <v/>
      </c>
      <c r="FK49" s="62" t="str">
        <f>IFERROR(Inv_SY_B!FK49/Inv_SY_B!$IS49-1,"")</f>
        <v/>
      </c>
      <c r="FL49" s="62" t="str">
        <f>IFERROR(Inv_SY_B!FL49/Inv_SY_B!$IS49-1,"")</f>
        <v/>
      </c>
      <c r="FM49" s="62" t="str">
        <f>IFERROR(Inv_SY_B!FM49/Inv_SY_B!$IS49-1,"")</f>
        <v/>
      </c>
      <c r="FN49" s="62" t="str">
        <f>IFERROR(Inv_SY_B!FN49/Inv_SY_B!$IS49-1,"")</f>
        <v/>
      </c>
      <c r="FO49" s="62" t="str">
        <f>IFERROR(Inv_SY_B!FO49/Inv_SY_B!$IS49-1,"")</f>
        <v/>
      </c>
      <c r="FP49" s="62" t="str">
        <f>IFERROR(Inv_SY_B!FP49/Inv_SY_B!$IS49-1,"")</f>
        <v/>
      </c>
      <c r="FQ49" s="62" t="str">
        <f>IFERROR(Inv_SY_B!FQ49/Inv_SY_B!$IS49-1,"")</f>
        <v/>
      </c>
      <c r="FR49" s="62" t="str">
        <f>IFERROR(Inv_SY_B!FR49/Inv_SY_B!$IS49-1,"")</f>
        <v/>
      </c>
      <c r="FS49" s="62" t="str">
        <f>IFERROR(Inv_SY_B!FS49/Inv_SY_B!$IS49-1,"")</f>
        <v/>
      </c>
      <c r="FT49" s="62" t="str">
        <f>IFERROR(Inv_SY_B!FT49/Inv_SY_B!$IS49-1,"")</f>
        <v/>
      </c>
      <c r="FU49" s="62" t="str">
        <f>IFERROR(Inv_SY_B!FU49/Inv_SY_B!$IS49-1,"")</f>
        <v/>
      </c>
      <c r="FV49" s="62" t="str">
        <f>IFERROR(Inv_SY_B!FV49/Inv_SY_B!$IS49-1,"")</f>
        <v/>
      </c>
      <c r="FW49" s="62" t="str">
        <f>IFERROR(Inv_SY_B!FW49/Inv_SY_B!$IS49-1,"")</f>
        <v/>
      </c>
      <c r="FX49" s="62" t="str">
        <f>IFERROR(Inv_SY_B!FX49/Inv_SY_B!$IS49-1,"")</f>
        <v/>
      </c>
      <c r="FY49" s="62" t="str">
        <f>IFERROR(Inv_SY_B!FY49/Inv_SY_B!$IS49-1,"")</f>
        <v/>
      </c>
      <c r="FZ49" s="62" t="str">
        <f>IFERROR(Inv_SY_B!FZ49/Inv_SY_B!$IS49-1,"")</f>
        <v/>
      </c>
      <c r="GA49" s="62" t="str">
        <f>IFERROR(Inv_SY_B!GA49/Inv_SY_B!$IS49-1,"")</f>
        <v/>
      </c>
      <c r="GB49" s="62" t="str">
        <f>IFERROR(Inv_SY_B!GB49/Inv_SY_B!$IS49-1,"")</f>
        <v/>
      </c>
      <c r="GC49" s="62" t="str">
        <f>IFERROR(Inv_SY_B!GC49/Inv_SY_B!$IS49-1,"")</f>
        <v/>
      </c>
      <c r="GD49" s="62" t="str">
        <f>IFERROR(Inv_SY_B!GD49/Inv_SY_B!$IS49-1,"")</f>
        <v/>
      </c>
      <c r="GE49" s="62" t="str">
        <f>IFERROR(Inv_SY_B!GE49/Inv_SY_B!$IS49-1,"")</f>
        <v/>
      </c>
      <c r="GF49" s="62" t="str">
        <f>IFERROR(Inv_SY_B!GF49/Inv_SY_B!$IS49-1,"")</f>
        <v/>
      </c>
      <c r="GG49" s="62" t="str">
        <f>IFERROR(Inv_SY_B!GG49/Inv_SY_B!$IS49-1,"")</f>
        <v/>
      </c>
      <c r="GH49" s="62" t="str">
        <f>IFERROR(Inv_SY_B!GH49/Inv_SY_B!$IS49-1,"")</f>
        <v/>
      </c>
      <c r="GI49" s="62" t="str">
        <f>IFERROR(Inv_SY_B!GI49/Inv_SY_B!$IS49-1,"")</f>
        <v/>
      </c>
      <c r="GJ49" s="62" t="str">
        <f>IFERROR(Inv_SY_B!GJ49/Inv_SY_B!$IS49-1,"")</f>
        <v/>
      </c>
      <c r="GK49" s="62" t="str">
        <f>IFERROR(Inv_SY_B!GK49/Inv_SY_B!$IS49-1,"")</f>
        <v/>
      </c>
      <c r="GL49" s="62" t="str">
        <f>IFERROR(Inv_SY_B!GL49/Inv_SY_B!$IS49-1,"")</f>
        <v/>
      </c>
      <c r="GM49" s="62" t="str">
        <f>IFERROR(Inv_SY_B!GM49/Inv_SY_B!$IS49-1,"")</f>
        <v/>
      </c>
      <c r="GN49" s="62" t="str">
        <f>IFERROR(Inv_SY_B!GN49/Inv_SY_B!$IS49-1,"")</f>
        <v/>
      </c>
      <c r="GO49" s="62" t="str">
        <f>IFERROR(Inv_SY_B!GO49/Inv_SY_B!$IS49-1,"")</f>
        <v/>
      </c>
      <c r="GP49" s="62" t="str">
        <f>IFERROR(Inv_SY_B!GP49/Inv_SY_B!$IS49-1,"")</f>
        <v/>
      </c>
      <c r="GQ49" s="62" t="str">
        <f>IFERROR(Inv_SY_B!GQ49/Inv_SY_B!$IS49-1,"")</f>
        <v/>
      </c>
      <c r="GR49" s="62" t="str">
        <f>IFERROR(Inv_SY_B!GR49/Inv_SY_B!$IS49-1,"")</f>
        <v/>
      </c>
      <c r="GS49" s="62" t="str">
        <f>IFERROR(Inv_SY_B!GS49/Inv_SY_B!$IS49-1,"")</f>
        <v/>
      </c>
      <c r="GT49" s="62" t="str">
        <f>IFERROR(Inv_SY_B!GT49/Inv_SY_B!$IS49-1,"")</f>
        <v/>
      </c>
      <c r="GU49" s="62" t="str">
        <f>IFERROR(Inv_SY_B!GU49/Inv_SY_B!$IS49-1,"")</f>
        <v/>
      </c>
      <c r="GV49" s="62" t="str">
        <f>IFERROR(Inv_SY_B!GV49/Inv_SY_B!$IS49-1,"")</f>
        <v/>
      </c>
      <c r="GW49" s="62" t="str">
        <f>IFERROR(Inv_SY_B!GW49/Inv_SY_B!$IS49-1,"")</f>
        <v/>
      </c>
      <c r="GX49" s="62" t="str">
        <f>IFERROR(Inv_SY_B!GX49/Inv_SY_B!$IS49-1,"")</f>
        <v/>
      </c>
      <c r="GY49" s="62" t="str">
        <f>IFERROR(Inv_SY_B!GY49/Inv_SY_B!$IS49-1,"")</f>
        <v/>
      </c>
      <c r="GZ49" s="62" t="str">
        <f>IFERROR(Inv_SY_B!GZ49/Inv_SY_B!$IS49-1,"")</f>
        <v/>
      </c>
      <c r="HA49" s="62" t="str">
        <f>IFERROR(Inv_SY_B!HA49/Inv_SY_B!$IS49-1,"")</f>
        <v/>
      </c>
      <c r="HB49" s="62" t="str">
        <f>IFERROR(Inv_SY_B!HB49/Inv_SY_B!$IS49-1,"")</f>
        <v/>
      </c>
      <c r="HC49" s="62" t="str">
        <f>IFERROR(Inv_SY_B!HC49/Inv_SY_B!$IS49-1,"")</f>
        <v/>
      </c>
      <c r="HD49" s="62" t="str">
        <f>IFERROR(Inv_SY_B!HD49/Inv_SY_B!$IS49-1,"")</f>
        <v/>
      </c>
      <c r="HE49" s="62" t="str">
        <f>IFERROR(Inv_SY_B!HE49/Inv_SY_B!$IS49-1,"")</f>
        <v/>
      </c>
      <c r="HF49" s="62" t="str">
        <f>IFERROR(Inv_SY_B!HF49/Inv_SY_B!$IS49-1,"")</f>
        <v/>
      </c>
      <c r="HG49" s="62" t="str">
        <f>IFERROR(Inv_SY_B!HG49/Inv_SY_B!$IS49-1,"")</f>
        <v/>
      </c>
      <c r="HH49" s="62" t="str">
        <f>IFERROR(Inv_SY_B!HH49/Inv_SY_B!$IS49-1,"")</f>
        <v/>
      </c>
      <c r="HI49" s="62" t="str">
        <f>IFERROR(Inv_SY_B!HI49/Inv_SY_B!$IS49-1,"")</f>
        <v/>
      </c>
      <c r="HJ49" s="62" t="str">
        <f>IFERROR(Inv_SY_B!HJ49/Inv_SY_B!$IS49-1,"")</f>
        <v/>
      </c>
      <c r="HK49" s="62" t="str">
        <f>IFERROR(Inv_SY_B!HK49/Inv_SY_B!$IS49-1,"")</f>
        <v/>
      </c>
      <c r="HL49" s="62" t="str">
        <f>IFERROR(Inv_SY_B!HL49/Inv_SY_B!$IS49-1,"")</f>
        <v/>
      </c>
      <c r="HM49" s="62" t="str">
        <f>IFERROR(Inv_SY_B!HM49/Inv_SY_B!$IS49-1,"")</f>
        <v/>
      </c>
      <c r="HN49" s="62" t="str">
        <f>IFERROR(Inv_SY_B!HN49/Inv_SY_B!$IS49-1,"")</f>
        <v/>
      </c>
      <c r="HO49" s="62" t="str">
        <f>IFERROR(Inv_SY_B!HO49/Inv_SY_B!$IS49-1,"")</f>
        <v/>
      </c>
      <c r="HP49" s="62" t="str">
        <f>IFERROR(Inv_SY_B!HP49/Inv_SY_B!$IS49-1,"")</f>
        <v/>
      </c>
      <c r="HQ49" s="62" t="str">
        <f>IFERROR(Inv_SY_B!HQ49/Inv_SY_B!$IS49-1,"")</f>
        <v/>
      </c>
      <c r="HR49" s="62" t="str">
        <f>IFERROR(Inv_SY_B!HR49/Inv_SY_B!$IS49-1,"")</f>
        <v/>
      </c>
      <c r="HS49" s="62" t="str">
        <f>IFERROR(Inv_SY_B!HS49/Inv_SY_B!$IS49-1,"")</f>
        <v/>
      </c>
      <c r="HT49" s="62" t="str">
        <f>IFERROR(Inv_SY_B!HT49/Inv_SY_B!$IS49-1,"")</f>
        <v/>
      </c>
      <c r="HU49" s="62" t="str">
        <f>IFERROR(Inv_SY_B!HU49/Inv_SY_B!$IS49-1,"")</f>
        <v/>
      </c>
      <c r="HV49" s="62" t="str">
        <f>IFERROR(Inv_SY_B!HV49/Inv_SY_B!$IS49-1,"")</f>
        <v/>
      </c>
      <c r="HW49" s="62" t="str">
        <f>IFERROR(Inv_SY_B!HW49/Inv_SY_B!$IS49-1,"")</f>
        <v/>
      </c>
      <c r="HX49" s="62" t="str">
        <f>IFERROR(Inv_SY_B!HX49/Inv_SY_B!$IS49-1,"")</f>
        <v/>
      </c>
      <c r="HY49" s="62" t="str">
        <f>IFERROR(Inv_SY_B!HY49/Inv_SY_B!$IS49-1,"")</f>
        <v/>
      </c>
      <c r="HZ49" s="62" t="str">
        <f>IFERROR(Inv_SY_B!HZ49/Inv_SY_B!$IS49-1,"")</f>
        <v/>
      </c>
      <c r="IA49" s="62" t="str">
        <f>IFERROR(Inv_SY_B!IA49/Inv_SY_B!$IS49-1,"")</f>
        <v/>
      </c>
      <c r="IB49" s="62" t="str">
        <f>IFERROR(Inv_SY_B!IB49/Inv_SY_B!$IS49-1,"")</f>
        <v/>
      </c>
      <c r="IC49" s="62" t="str">
        <f>IFERROR(Inv_SY_B!IC49/Inv_SY_B!$IS49-1,"")</f>
        <v/>
      </c>
      <c r="ID49" s="62" t="str">
        <f>IFERROR(Inv_SY_B!ID49/Inv_SY_B!$IS49-1,"")</f>
        <v/>
      </c>
      <c r="IE49" s="62" t="str">
        <f>IFERROR(Inv_SY_B!IE49/Inv_SY_B!$IS49-1,"")</f>
        <v/>
      </c>
      <c r="IF49" s="62" t="str">
        <f>IFERROR(Inv_SY_B!IF49/Inv_SY_B!$IS49-1,"")</f>
        <v/>
      </c>
      <c r="IG49" s="62" t="str">
        <f>IFERROR(Inv_SY_B!IG49/Inv_SY_B!$IS49-1,"")</f>
        <v/>
      </c>
      <c r="IH49" s="62" t="str">
        <f>IFERROR(Inv_SY_B!IH49/Inv_SY_B!$IS49-1,"")</f>
        <v/>
      </c>
      <c r="II49" s="62" t="str">
        <f>IFERROR(Inv_SY_B!II49/Inv_SY_B!$IS49-1,"")</f>
        <v/>
      </c>
      <c r="IJ49" s="62" t="str">
        <f>IFERROR(Inv_SY_B!IJ49/Inv_SY_B!$IS49-1,"")</f>
        <v/>
      </c>
      <c r="IK49" s="62" t="str">
        <f>IFERROR(Inv_SY_B!IK49/Inv_SY_B!$IS49-1,"")</f>
        <v/>
      </c>
      <c r="IL49" s="62" t="str">
        <f>IFERROR(Inv_SY_B!IL49/Inv_SY_B!$IS49-1,"")</f>
        <v/>
      </c>
      <c r="IM49" s="62" t="str">
        <f>IFERROR(Inv_SY_B!IM49/Inv_SY_B!$IS49-1,"")</f>
        <v/>
      </c>
      <c r="IN49" s="62" t="str">
        <f>IFERROR(Inv_SY_B!IN49/Inv_SY_B!$IS49-1,"")</f>
        <v/>
      </c>
      <c r="IO49" s="62" t="str">
        <f>IFERROR(Inv_SY_B!IO49/Inv_SY_B!$IS49-1,"")</f>
        <v/>
      </c>
      <c r="IP49" s="62" t="str">
        <f>IFERROR(Inv_SY_B!IP49/Inv_SY_B!$IS49-1,"")</f>
        <v/>
      </c>
      <c r="IQ49" s="62" t="str">
        <f>IFERROR(Inv_SY_B!IQ49/Inv_SY_B!$IS49-1,"")</f>
        <v/>
      </c>
      <c r="IR49" s="62" t="str">
        <f>IFERROR(Inv_SY_B!IR49/Inv_SY_B!$IS49-1,"")</f>
        <v/>
      </c>
    </row>
    <row r="50" spans="2:252" x14ac:dyDescent="0.25">
      <c r="B50" s="85">
        <f t="shared" si="0"/>
        <v>45876</v>
      </c>
      <c r="C50" s="62" t="str">
        <f>IFERROR(Inv_SY_B!C50/Inv_SY_B!$IS50-1,"")</f>
        <v/>
      </c>
      <c r="D50" s="62" t="str">
        <f>IFERROR(Inv_SY_B!D50/Inv_SY_B!$IS50-1,"")</f>
        <v/>
      </c>
      <c r="E50" s="62" t="str">
        <f>IFERROR(Inv_SY_B!E50/Inv_SY_B!$IS50-1,"")</f>
        <v/>
      </c>
      <c r="F50" s="62" t="str">
        <f>IFERROR(Inv_SY_B!F50/Inv_SY_B!$IS50-1,"")</f>
        <v/>
      </c>
      <c r="G50" s="62" t="str">
        <f>IFERROR(Inv_SY_B!G50/Inv_SY_B!$IS50-1,"")</f>
        <v/>
      </c>
      <c r="H50" s="62" t="str">
        <f>IFERROR(Inv_SY_B!H50/Inv_SY_B!$IS50-1,"")</f>
        <v/>
      </c>
      <c r="I50" s="62" t="str">
        <f>IFERROR(Inv_SY_B!I50/Inv_SY_B!$IS50-1,"")</f>
        <v/>
      </c>
      <c r="J50" s="62" t="str">
        <f>IFERROR(Inv_SY_B!J50/Inv_SY_B!$IS50-1,"")</f>
        <v/>
      </c>
      <c r="K50" s="62" t="str">
        <f>IFERROR(Inv_SY_B!K50/Inv_SY_B!$IS50-1,"")</f>
        <v/>
      </c>
      <c r="L50" s="62" t="str">
        <f>IFERROR(Inv_SY_B!L50/Inv_SY_B!$IS50-1,"")</f>
        <v/>
      </c>
      <c r="M50" s="62" t="str">
        <f>IFERROR(Inv_SY_B!M50/Inv_SY_B!$IS50-1,"")</f>
        <v/>
      </c>
      <c r="N50" s="62" t="str">
        <f>IFERROR(Inv_SY_B!N50/Inv_SY_B!$IS50-1,"")</f>
        <v/>
      </c>
      <c r="O50" s="62" t="str">
        <f>IFERROR(Inv_SY_B!O50/Inv_SY_B!$IS50-1,"")</f>
        <v/>
      </c>
      <c r="P50" s="62" t="str">
        <f>IFERROR(Inv_SY_B!P50/Inv_SY_B!$IS50-1,"")</f>
        <v/>
      </c>
      <c r="Q50" s="62" t="str">
        <f>IFERROR(Inv_SY_B!Q50/Inv_SY_B!$IS50-1,"")</f>
        <v/>
      </c>
      <c r="R50" s="62" t="str">
        <f>IFERROR(Inv_SY_B!R50/Inv_SY_B!$IS50-1,"")</f>
        <v/>
      </c>
      <c r="S50" s="62" t="str">
        <f>IFERROR(Inv_SY_B!S50/Inv_SY_B!$IS50-1,"")</f>
        <v/>
      </c>
      <c r="T50" s="62" t="str">
        <f>IFERROR(Inv_SY_B!T50/Inv_SY_B!$IS50-1,"")</f>
        <v/>
      </c>
      <c r="U50" s="62" t="str">
        <f>IFERROR(Inv_SY_B!U50/Inv_SY_B!$IS50-1,"")</f>
        <v/>
      </c>
      <c r="V50" s="62" t="str">
        <f>IFERROR(Inv_SY_B!V50/Inv_SY_B!$IS50-1,"")</f>
        <v/>
      </c>
      <c r="W50" s="62" t="str">
        <f>IFERROR(Inv_SY_B!W50/Inv_SY_B!$IS50-1,"")</f>
        <v/>
      </c>
      <c r="X50" s="62" t="str">
        <f>IFERROR(Inv_SY_B!X50/Inv_SY_B!$IS50-1,"")</f>
        <v/>
      </c>
      <c r="Y50" s="62" t="str">
        <f>IFERROR(Inv_SY_B!Y50/Inv_SY_B!$IS50-1,"")</f>
        <v/>
      </c>
      <c r="Z50" s="62" t="str">
        <f>IFERROR(Inv_SY_B!Z50/Inv_SY_B!$IS50-1,"")</f>
        <v/>
      </c>
      <c r="AA50" s="62" t="str">
        <f>IFERROR(Inv_SY_B!AA50/Inv_SY_B!$IS50-1,"")</f>
        <v/>
      </c>
      <c r="AB50" s="62" t="str">
        <f>IFERROR(Inv_SY_B!AB50/Inv_SY_B!$IS50-1,"")</f>
        <v/>
      </c>
      <c r="AC50" s="62" t="str">
        <f>IFERROR(Inv_SY_B!AC50/Inv_SY_B!$IS50-1,"")</f>
        <v/>
      </c>
      <c r="AD50" s="62" t="str">
        <f>IFERROR(Inv_SY_B!AD50/Inv_SY_B!$IS50-1,"")</f>
        <v/>
      </c>
      <c r="AE50" s="62" t="str">
        <f>IFERROR(Inv_SY_B!AE50/Inv_SY_B!$IS50-1,"")</f>
        <v/>
      </c>
      <c r="AF50" s="62" t="str">
        <f>IFERROR(Inv_SY_B!AF50/Inv_SY_B!$IS50-1,"")</f>
        <v/>
      </c>
      <c r="AG50" s="62" t="str">
        <f>IFERROR(Inv_SY_B!AG50/Inv_SY_B!$IS50-1,"")</f>
        <v/>
      </c>
      <c r="AH50" s="62" t="str">
        <f>IFERROR(Inv_SY_B!AH50/Inv_SY_B!$IS50-1,"")</f>
        <v/>
      </c>
      <c r="AI50" s="62" t="str">
        <f>IFERROR(Inv_SY_B!AI50/Inv_SY_B!$IS50-1,"")</f>
        <v/>
      </c>
      <c r="AJ50" s="62" t="str">
        <f>IFERROR(Inv_SY_B!AJ50/Inv_SY_B!$IS50-1,"")</f>
        <v/>
      </c>
      <c r="AK50" s="62" t="str">
        <f>IFERROR(Inv_SY_B!AK50/Inv_SY_B!$IS50-1,"")</f>
        <v/>
      </c>
      <c r="AL50" s="62" t="str">
        <f>IFERROR(Inv_SY_B!AL50/Inv_SY_B!$IS50-1,"")</f>
        <v/>
      </c>
      <c r="AM50" s="62" t="str">
        <f>IFERROR(Inv_SY_B!AM50/Inv_SY_B!$IS50-1,"")</f>
        <v/>
      </c>
      <c r="AN50" s="62" t="str">
        <f>IFERROR(Inv_SY_B!AN50/Inv_SY_B!$IS50-1,"")</f>
        <v/>
      </c>
      <c r="AO50" s="62" t="str">
        <f>IFERROR(Inv_SY_B!AO50/Inv_SY_B!$IS50-1,"")</f>
        <v/>
      </c>
      <c r="AP50" s="62" t="str">
        <f>IFERROR(Inv_SY_B!AP50/Inv_SY_B!$IS50-1,"")</f>
        <v/>
      </c>
      <c r="AQ50" s="62" t="str">
        <f>IFERROR(Inv_SY_B!AQ50/Inv_SY_B!$IS50-1,"")</f>
        <v/>
      </c>
      <c r="AR50" s="62" t="str">
        <f>IFERROR(Inv_SY_B!AR50/Inv_SY_B!$IS50-1,"")</f>
        <v/>
      </c>
      <c r="AS50" s="62" t="str">
        <f>IFERROR(Inv_SY_B!AS50/Inv_SY_B!$IS50-1,"")</f>
        <v/>
      </c>
      <c r="AT50" s="62" t="str">
        <f>IFERROR(Inv_SY_B!AT50/Inv_SY_B!$IS50-1,"")</f>
        <v/>
      </c>
      <c r="AU50" s="62" t="str">
        <f>IFERROR(Inv_SY_B!AU50/Inv_SY_B!$IS50-1,"")</f>
        <v/>
      </c>
      <c r="AV50" s="62" t="str">
        <f>IFERROR(Inv_SY_B!AV50/Inv_SY_B!$IS50-1,"")</f>
        <v/>
      </c>
      <c r="AW50" s="62" t="str">
        <f>IFERROR(Inv_SY_B!AW50/Inv_SY_B!$IS50-1,"")</f>
        <v/>
      </c>
      <c r="AX50" s="62" t="str">
        <f>IFERROR(Inv_SY_B!AX50/Inv_SY_B!$IS50-1,"")</f>
        <v/>
      </c>
      <c r="AY50" s="62" t="str">
        <f>IFERROR(Inv_SY_B!AY50/Inv_SY_B!$IS50-1,"")</f>
        <v/>
      </c>
      <c r="AZ50" s="62" t="str">
        <f>IFERROR(Inv_SY_B!AZ50/Inv_SY_B!$IS50-1,"")</f>
        <v/>
      </c>
      <c r="BA50" s="62" t="str">
        <f>IFERROR(Inv_SY_B!BA50/Inv_SY_B!$IS50-1,"")</f>
        <v/>
      </c>
      <c r="BB50" s="62" t="str">
        <f>IFERROR(Inv_SY_B!BB50/Inv_SY_B!$IS50-1,"")</f>
        <v/>
      </c>
      <c r="BC50" s="62" t="str">
        <f>IFERROR(Inv_SY_B!BC50/Inv_SY_B!$IS50-1,"")</f>
        <v/>
      </c>
      <c r="BD50" s="62" t="str">
        <f>IFERROR(Inv_SY_B!BD50/Inv_SY_B!$IS50-1,"")</f>
        <v/>
      </c>
      <c r="BE50" s="62" t="str">
        <f>IFERROR(Inv_SY_B!BE50/Inv_SY_B!$IS50-1,"")</f>
        <v/>
      </c>
      <c r="BF50" s="62" t="str">
        <f>IFERROR(Inv_SY_B!BF50/Inv_SY_B!$IS50-1,"")</f>
        <v/>
      </c>
      <c r="BG50" s="62" t="str">
        <f>IFERROR(Inv_SY_B!BG50/Inv_SY_B!$IS50-1,"")</f>
        <v/>
      </c>
      <c r="BH50" s="62" t="str">
        <f>IFERROR(Inv_SY_B!BH50/Inv_SY_B!$IS50-1,"")</f>
        <v/>
      </c>
      <c r="BI50" s="62" t="str">
        <f>IFERROR(Inv_SY_B!BI50/Inv_SY_B!$IS50-1,"")</f>
        <v/>
      </c>
      <c r="BJ50" s="62" t="str">
        <f>IFERROR(Inv_SY_B!BJ50/Inv_SY_B!$IS50-1,"")</f>
        <v/>
      </c>
      <c r="BK50" s="62" t="str">
        <f>IFERROR(Inv_SY_B!BK50/Inv_SY_B!$IS50-1,"")</f>
        <v/>
      </c>
      <c r="BL50" s="62" t="str">
        <f>IFERROR(Inv_SY_B!BL50/Inv_SY_B!$IS50-1,"")</f>
        <v/>
      </c>
      <c r="BM50" s="62" t="str">
        <f>IFERROR(Inv_SY_B!BM50/Inv_SY_B!$IS50-1,"")</f>
        <v/>
      </c>
      <c r="BN50" s="62" t="str">
        <f>IFERROR(Inv_SY_B!BN50/Inv_SY_B!$IS50-1,"")</f>
        <v/>
      </c>
      <c r="BO50" s="62" t="str">
        <f>IFERROR(Inv_SY_B!BO50/Inv_SY_B!$IS50-1,"")</f>
        <v/>
      </c>
      <c r="BP50" s="62" t="str">
        <f>IFERROR(Inv_SY_B!BP50/Inv_SY_B!$IS50-1,"")</f>
        <v/>
      </c>
      <c r="BQ50" s="62" t="str">
        <f>IFERROR(Inv_SY_B!BQ50/Inv_SY_B!$IS50-1,"")</f>
        <v/>
      </c>
      <c r="BR50" s="62" t="str">
        <f>IFERROR(Inv_SY_B!BR50/Inv_SY_B!$IS50-1,"")</f>
        <v/>
      </c>
      <c r="BS50" s="62" t="str">
        <f>IFERROR(Inv_SY_B!BS50/Inv_SY_B!$IS50-1,"")</f>
        <v/>
      </c>
      <c r="BT50" s="62" t="str">
        <f>IFERROR(Inv_SY_B!BT50/Inv_SY_B!$IS50-1,"")</f>
        <v/>
      </c>
      <c r="BU50" s="62" t="str">
        <f>IFERROR(Inv_SY_B!BU50/Inv_SY_B!$IS50-1,"")</f>
        <v/>
      </c>
      <c r="BV50" s="62" t="str">
        <f>IFERROR(Inv_SY_B!BV50/Inv_SY_B!$IS50-1,"")</f>
        <v/>
      </c>
      <c r="BW50" s="62" t="str">
        <f>IFERROR(Inv_SY_B!BW50/Inv_SY_B!$IS50-1,"")</f>
        <v/>
      </c>
      <c r="BX50" s="62" t="str">
        <f>IFERROR(Inv_SY_B!BX50/Inv_SY_B!$IS50-1,"")</f>
        <v/>
      </c>
      <c r="BY50" s="62" t="str">
        <f>IFERROR(Inv_SY_B!BY50/Inv_SY_B!$IS50-1,"")</f>
        <v/>
      </c>
      <c r="BZ50" s="62" t="str">
        <f>IFERROR(Inv_SY_B!BZ50/Inv_SY_B!$IS50-1,"")</f>
        <v/>
      </c>
      <c r="CA50" s="62" t="str">
        <f>IFERROR(Inv_SY_B!CA50/Inv_SY_B!$IS50-1,"")</f>
        <v/>
      </c>
      <c r="CB50" s="62" t="str">
        <f>IFERROR(Inv_SY_B!CB50/Inv_SY_B!$IS50-1,"")</f>
        <v/>
      </c>
      <c r="CC50" s="62" t="str">
        <f>IFERROR(Inv_SY_B!CC50/Inv_SY_B!$IS50-1,"")</f>
        <v/>
      </c>
      <c r="CD50" s="62" t="str">
        <f>IFERROR(Inv_SY_B!CD50/Inv_SY_B!$IS50-1,"")</f>
        <v/>
      </c>
      <c r="CE50" s="62" t="str">
        <f>IFERROR(Inv_SY_B!CE50/Inv_SY_B!$IS50-1,"")</f>
        <v/>
      </c>
      <c r="CF50" s="62" t="str">
        <f>IFERROR(Inv_SY_B!CF50/Inv_SY_B!$IS50-1,"")</f>
        <v/>
      </c>
      <c r="CG50" s="62" t="str">
        <f>IFERROR(Inv_SY_B!CG50/Inv_SY_B!$IS50-1,"")</f>
        <v/>
      </c>
      <c r="CH50" s="62" t="str">
        <f>IFERROR(Inv_SY_B!CH50/Inv_SY_B!$IS50-1,"")</f>
        <v/>
      </c>
      <c r="CI50" s="62" t="str">
        <f>IFERROR(Inv_SY_B!CI50/Inv_SY_B!$IS50-1,"")</f>
        <v/>
      </c>
      <c r="CJ50" s="62" t="str">
        <f>IFERROR(Inv_SY_B!CJ50/Inv_SY_B!$IS50-1,"")</f>
        <v/>
      </c>
      <c r="CK50" s="62" t="str">
        <f>IFERROR(Inv_SY_B!CK50/Inv_SY_B!$IS50-1,"")</f>
        <v/>
      </c>
      <c r="CL50" s="62" t="str">
        <f>IFERROR(Inv_SY_B!CL50/Inv_SY_B!$IS50-1,"")</f>
        <v/>
      </c>
      <c r="CM50" s="62" t="str">
        <f>IFERROR(Inv_SY_B!CM50/Inv_SY_B!$IS50-1,"")</f>
        <v/>
      </c>
      <c r="CN50" s="62" t="str">
        <f>IFERROR(Inv_SY_B!CN50/Inv_SY_B!$IS50-1,"")</f>
        <v/>
      </c>
      <c r="CO50" s="62" t="str">
        <f>IFERROR(Inv_SY_B!CO50/Inv_SY_B!$IS50-1,"")</f>
        <v/>
      </c>
      <c r="CP50" s="62" t="str">
        <f>IFERROR(Inv_SY_B!CP50/Inv_SY_B!$IS50-1,"")</f>
        <v/>
      </c>
      <c r="CQ50" s="62" t="str">
        <f>IFERROR(Inv_SY_B!CQ50/Inv_SY_B!$IS50-1,"")</f>
        <v/>
      </c>
      <c r="CR50" s="62" t="str">
        <f>IFERROR(Inv_SY_B!CR50/Inv_SY_B!$IS50-1,"")</f>
        <v/>
      </c>
      <c r="CS50" s="62" t="str">
        <f>IFERROR(Inv_SY_B!CS50/Inv_SY_B!$IS50-1,"")</f>
        <v/>
      </c>
      <c r="CT50" s="62" t="str">
        <f>IFERROR(Inv_SY_B!CT50/Inv_SY_B!$IS50-1,"")</f>
        <v/>
      </c>
      <c r="CU50" s="62" t="str">
        <f>IFERROR(Inv_SY_B!CU50/Inv_SY_B!$IS50-1,"")</f>
        <v/>
      </c>
      <c r="CV50" s="62" t="str">
        <f>IFERROR(Inv_SY_B!CV50/Inv_SY_B!$IS50-1,"")</f>
        <v/>
      </c>
      <c r="CW50" s="62" t="str">
        <f>IFERROR(Inv_SY_B!CW50/Inv_SY_B!$IS50-1,"")</f>
        <v/>
      </c>
      <c r="CX50" s="62" t="str">
        <f>IFERROR(Inv_SY_B!CX50/Inv_SY_B!$IS50-1,"")</f>
        <v/>
      </c>
      <c r="CY50" s="62" t="str">
        <f>IFERROR(Inv_SY_B!CY50/Inv_SY_B!$IS50-1,"")</f>
        <v/>
      </c>
      <c r="CZ50" s="62" t="str">
        <f>IFERROR(Inv_SY_B!CZ50/Inv_SY_B!$IS50-1,"")</f>
        <v/>
      </c>
      <c r="DA50" s="62" t="str">
        <f>IFERROR(Inv_SY_B!DA50/Inv_SY_B!$IS50-1,"")</f>
        <v/>
      </c>
      <c r="DB50" s="62" t="str">
        <f>IFERROR(Inv_SY_B!DB50/Inv_SY_B!$IS50-1,"")</f>
        <v/>
      </c>
      <c r="DC50" s="62" t="str">
        <f>IFERROR(Inv_SY_B!DC50/Inv_SY_B!$IS50-1,"")</f>
        <v/>
      </c>
      <c r="DD50" s="62" t="str">
        <f>IFERROR(Inv_SY_B!DD50/Inv_SY_B!$IS50-1,"")</f>
        <v/>
      </c>
      <c r="DE50" s="62" t="str">
        <f>IFERROR(Inv_SY_B!DE50/Inv_SY_B!$IS50-1,"")</f>
        <v/>
      </c>
      <c r="DF50" s="62" t="str">
        <f>IFERROR(Inv_SY_B!DF50/Inv_SY_B!$IS50-1,"")</f>
        <v/>
      </c>
      <c r="DG50" s="62" t="str">
        <f>IFERROR(Inv_SY_B!DG50/Inv_SY_B!$IS50-1,"")</f>
        <v/>
      </c>
      <c r="DH50" s="62" t="str">
        <f>IFERROR(Inv_SY_B!DH50/Inv_SY_B!$IS50-1,"")</f>
        <v/>
      </c>
      <c r="DI50" s="62" t="str">
        <f>IFERROR(Inv_SY_B!DI50/Inv_SY_B!$IS50-1,"")</f>
        <v/>
      </c>
      <c r="DJ50" s="62" t="str">
        <f>IFERROR(Inv_SY_B!DJ50/Inv_SY_B!$IS50-1,"")</f>
        <v/>
      </c>
      <c r="DK50" s="62" t="str">
        <f>IFERROR(Inv_SY_B!DK50/Inv_SY_B!$IS50-1,"")</f>
        <v/>
      </c>
      <c r="DL50" s="62" t="str">
        <f>IFERROR(Inv_SY_B!DL50/Inv_SY_B!$IS50-1,"")</f>
        <v/>
      </c>
      <c r="DM50" s="62" t="str">
        <f>IFERROR(Inv_SY_B!DM50/Inv_SY_B!$IS50-1,"")</f>
        <v/>
      </c>
      <c r="DN50" s="62" t="str">
        <f>IFERROR(Inv_SY_B!DN50/Inv_SY_B!$IS50-1,"")</f>
        <v/>
      </c>
      <c r="DO50" s="62" t="str">
        <f>IFERROR(Inv_SY_B!DO50/Inv_SY_B!$IS50-1,"")</f>
        <v/>
      </c>
      <c r="DP50" s="62" t="str">
        <f>IFERROR(Inv_SY_B!DP50/Inv_SY_B!$IS50-1,"")</f>
        <v/>
      </c>
      <c r="DQ50" s="62" t="str">
        <f>IFERROR(Inv_SY_B!DQ50/Inv_SY_B!$IS50-1,"")</f>
        <v/>
      </c>
      <c r="DR50" s="62" t="str">
        <f>IFERROR(Inv_SY_B!DR50/Inv_SY_B!$IS50-1,"")</f>
        <v/>
      </c>
      <c r="DS50" s="62" t="str">
        <f>IFERROR(Inv_SY_B!DS50/Inv_SY_B!$IS50-1,"")</f>
        <v/>
      </c>
      <c r="DT50" s="62" t="str">
        <f>IFERROR(Inv_SY_B!DT50/Inv_SY_B!$IS50-1,"")</f>
        <v/>
      </c>
      <c r="DU50" s="62" t="str">
        <f>IFERROR(Inv_SY_B!DU50/Inv_SY_B!$IS50-1,"")</f>
        <v/>
      </c>
      <c r="DV50" s="62" t="str">
        <f>IFERROR(Inv_SY_B!DV50/Inv_SY_B!$IS50-1,"")</f>
        <v/>
      </c>
      <c r="DW50" s="62" t="str">
        <f>IFERROR(Inv_SY_B!DW50/Inv_SY_B!$IS50-1,"")</f>
        <v/>
      </c>
      <c r="DX50" s="62" t="str">
        <f>IFERROR(Inv_SY_B!DX50/Inv_SY_B!$IS50-1,"")</f>
        <v/>
      </c>
      <c r="DY50" s="62" t="str">
        <f>IFERROR(Inv_SY_B!DY50/Inv_SY_B!$IS50-1,"")</f>
        <v/>
      </c>
      <c r="DZ50" s="62" t="str">
        <f>IFERROR(Inv_SY_B!DZ50/Inv_SY_B!$IS50-1,"")</f>
        <v/>
      </c>
      <c r="EA50" s="62" t="str">
        <f>IFERROR(Inv_SY_B!EA50/Inv_SY_B!$IS50-1,"")</f>
        <v/>
      </c>
      <c r="EB50" s="62" t="str">
        <f>IFERROR(Inv_SY_B!EB50/Inv_SY_B!$IS50-1,"")</f>
        <v/>
      </c>
      <c r="EC50" s="62" t="str">
        <f>IFERROR(Inv_SY_B!EC50/Inv_SY_B!$IS50-1,"")</f>
        <v/>
      </c>
      <c r="ED50" s="62" t="str">
        <f>IFERROR(Inv_SY_B!ED50/Inv_SY_B!$IS50-1,"")</f>
        <v/>
      </c>
      <c r="EE50" s="62" t="str">
        <f>IFERROR(Inv_SY_B!EE50/Inv_SY_B!$IS50-1,"")</f>
        <v/>
      </c>
      <c r="EF50" s="62" t="str">
        <f>IFERROR(Inv_SY_B!EF50/Inv_SY_B!$IS50-1,"")</f>
        <v/>
      </c>
      <c r="EG50" s="62" t="str">
        <f>IFERROR(Inv_SY_B!EG50/Inv_SY_B!$IS50-1,"")</f>
        <v/>
      </c>
      <c r="EH50" s="62" t="str">
        <f>IFERROR(Inv_SY_B!EH50/Inv_SY_B!$IS50-1,"")</f>
        <v/>
      </c>
      <c r="EI50" s="62" t="str">
        <f>IFERROR(Inv_SY_B!EI50/Inv_SY_B!$IS50-1,"")</f>
        <v/>
      </c>
      <c r="EJ50" s="62" t="str">
        <f>IFERROR(Inv_SY_B!EJ50/Inv_SY_B!$IS50-1,"")</f>
        <v/>
      </c>
      <c r="EK50" s="62" t="str">
        <f>IFERROR(Inv_SY_B!EK50/Inv_SY_B!$IS50-1,"")</f>
        <v/>
      </c>
      <c r="EL50" s="62" t="str">
        <f>IFERROR(Inv_SY_B!EL50/Inv_SY_B!$IS50-1,"")</f>
        <v/>
      </c>
      <c r="EM50" s="62" t="str">
        <f>IFERROR(Inv_SY_B!EM50/Inv_SY_B!$IS50-1,"")</f>
        <v/>
      </c>
      <c r="EN50" s="62" t="str">
        <f>IFERROR(Inv_SY_B!EN50/Inv_SY_B!$IS50-1,"")</f>
        <v/>
      </c>
      <c r="EO50" s="62" t="str">
        <f>IFERROR(Inv_SY_B!EO50/Inv_SY_B!$IS50-1,"")</f>
        <v/>
      </c>
      <c r="EP50" s="62" t="str">
        <f>IFERROR(Inv_SY_B!EP50/Inv_SY_B!$IS50-1,"")</f>
        <v/>
      </c>
      <c r="EQ50" s="62" t="str">
        <f>IFERROR(Inv_SY_B!EQ50/Inv_SY_B!$IS50-1,"")</f>
        <v/>
      </c>
      <c r="ER50" s="62" t="str">
        <f>IFERROR(Inv_SY_B!ER50/Inv_SY_B!$IS50-1,"")</f>
        <v/>
      </c>
      <c r="ES50" s="62" t="str">
        <f>IFERROR(Inv_SY_B!ES50/Inv_SY_B!$IS50-1,"")</f>
        <v/>
      </c>
      <c r="ET50" s="62" t="str">
        <f>IFERROR(Inv_SY_B!ET50/Inv_SY_B!$IS50-1,"")</f>
        <v/>
      </c>
      <c r="EU50" s="62" t="str">
        <f>IFERROR(Inv_SY_B!EU50/Inv_SY_B!$IS50-1,"")</f>
        <v/>
      </c>
      <c r="EV50" s="62" t="str">
        <f>IFERROR(Inv_SY_B!EV50/Inv_SY_B!$IS50-1,"")</f>
        <v/>
      </c>
      <c r="EW50" s="62" t="str">
        <f>IFERROR(Inv_SY_B!EW50/Inv_SY_B!$IS50-1,"")</f>
        <v/>
      </c>
      <c r="EX50" s="62" t="str">
        <f>IFERROR(Inv_SY_B!EX50/Inv_SY_B!$IS50-1,"")</f>
        <v/>
      </c>
      <c r="EY50" s="62" t="str">
        <f>IFERROR(Inv_SY_B!EY50/Inv_SY_B!$IS50-1,"")</f>
        <v/>
      </c>
      <c r="EZ50" s="62" t="str">
        <f>IFERROR(Inv_SY_B!EZ50/Inv_SY_B!$IS50-1,"")</f>
        <v/>
      </c>
      <c r="FA50" s="62" t="str">
        <f>IFERROR(Inv_SY_B!FA50/Inv_SY_B!$IS50-1,"")</f>
        <v/>
      </c>
      <c r="FB50" s="62" t="str">
        <f>IFERROR(Inv_SY_B!FB50/Inv_SY_B!$IS50-1,"")</f>
        <v/>
      </c>
      <c r="FC50" s="62" t="str">
        <f>IFERROR(Inv_SY_B!FC50/Inv_SY_B!$IS50-1,"")</f>
        <v/>
      </c>
      <c r="FD50" s="62" t="str">
        <f>IFERROR(Inv_SY_B!FD50/Inv_SY_B!$IS50-1,"")</f>
        <v/>
      </c>
      <c r="FE50" s="62" t="str">
        <f>IFERROR(Inv_SY_B!FE50/Inv_SY_B!$IS50-1,"")</f>
        <v/>
      </c>
      <c r="FF50" s="62" t="str">
        <f>IFERROR(Inv_SY_B!FF50/Inv_SY_B!$IS50-1,"")</f>
        <v/>
      </c>
      <c r="FG50" s="62" t="str">
        <f>IFERROR(Inv_SY_B!FG50/Inv_SY_B!$IS50-1,"")</f>
        <v/>
      </c>
      <c r="FH50" s="62" t="str">
        <f>IFERROR(Inv_SY_B!FH50/Inv_SY_B!$IS50-1,"")</f>
        <v/>
      </c>
      <c r="FI50" s="62" t="str">
        <f>IFERROR(Inv_SY_B!FI50/Inv_SY_B!$IS50-1,"")</f>
        <v/>
      </c>
      <c r="FJ50" s="62" t="str">
        <f>IFERROR(Inv_SY_B!FJ50/Inv_SY_B!$IS50-1,"")</f>
        <v/>
      </c>
      <c r="FK50" s="62" t="str">
        <f>IFERROR(Inv_SY_B!FK50/Inv_SY_B!$IS50-1,"")</f>
        <v/>
      </c>
      <c r="FL50" s="62" t="str">
        <f>IFERROR(Inv_SY_B!FL50/Inv_SY_B!$IS50-1,"")</f>
        <v/>
      </c>
      <c r="FM50" s="62" t="str">
        <f>IFERROR(Inv_SY_B!FM50/Inv_SY_B!$IS50-1,"")</f>
        <v/>
      </c>
      <c r="FN50" s="62" t="str">
        <f>IFERROR(Inv_SY_B!FN50/Inv_SY_B!$IS50-1,"")</f>
        <v/>
      </c>
      <c r="FO50" s="62" t="str">
        <f>IFERROR(Inv_SY_B!FO50/Inv_SY_B!$IS50-1,"")</f>
        <v/>
      </c>
      <c r="FP50" s="62" t="str">
        <f>IFERROR(Inv_SY_B!FP50/Inv_SY_B!$IS50-1,"")</f>
        <v/>
      </c>
      <c r="FQ50" s="62" t="str">
        <f>IFERROR(Inv_SY_B!FQ50/Inv_SY_B!$IS50-1,"")</f>
        <v/>
      </c>
      <c r="FR50" s="62" t="str">
        <f>IFERROR(Inv_SY_B!FR50/Inv_SY_B!$IS50-1,"")</f>
        <v/>
      </c>
      <c r="FS50" s="62" t="str">
        <f>IFERROR(Inv_SY_B!FS50/Inv_SY_B!$IS50-1,"")</f>
        <v/>
      </c>
      <c r="FT50" s="62" t="str">
        <f>IFERROR(Inv_SY_B!FT50/Inv_SY_B!$IS50-1,"")</f>
        <v/>
      </c>
      <c r="FU50" s="62" t="str">
        <f>IFERROR(Inv_SY_B!FU50/Inv_SY_B!$IS50-1,"")</f>
        <v/>
      </c>
      <c r="FV50" s="62" t="str">
        <f>IFERROR(Inv_SY_B!FV50/Inv_SY_B!$IS50-1,"")</f>
        <v/>
      </c>
      <c r="FW50" s="62" t="str">
        <f>IFERROR(Inv_SY_B!FW50/Inv_SY_B!$IS50-1,"")</f>
        <v/>
      </c>
      <c r="FX50" s="62" t="str">
        <f>IFERROR(Inv_SY_B!FX50/Inv_SY_B!$IS50-1,"")</f>
        <v/>
      </c>
      <c r="FY50" s="62" t="str">
        <f>IFERROR(Inv_SY_B!FY50/Inv_SY_B!$IS50-1,"")</f>
        <v/>
      </c>
      <c r="FZ50" s="62" t="str">
        <f>IFERROR(Inv_SY_B!FZ50/Inv_SY_B!$IS50-1,"")</f>
        <v/>
      </c>
      <c r="GA50" s="62" t="str">
        <f>IFERROR(Inv_SY_B!GA50/Inv_SY_B!$IS50-1,"")</f>
        <v/>
      </c>
      <c r="GB50" s="62" t="str">
        <f>IFERROR(Inv_SY_B!GB50/Inv_SY_B!$IS50-1,"")</f>
        <v/>
      </c>
      <c r="GC50" s="62" t="str">
        <f>IFERROR(Inv_SY_B!GC50/Inv_SY_B!$IS50-1,"")</f>
        <v/>
      </c>
      <c r="GD50" s="62" t="str">
        <f>IFERROR(Inv_SY_B!GD50/Inv_SY_B!$IS50-1,"")</f>
        <v/>
      </c>
      <c r="GE50" s="62" t="str">
        <f>IFERROR(Inv_SY_B!GE50/Inv_SY_B!$IS50-1,"")</f>
        <v/>
      </c>
      <c r="GF50" s="62" t="str">
        <f>IFERROR(Inv_SY_B!GF50/Inv_SY_B!$IS50-1,"")</f>
        <v/>
      </c>
      <c r="GG50" s="62" t="str">
        <f>IFERROR(Inv_SY_B!GG50/Inv_SY_B!$IS50-1,"")</f>
        <v/>
      </c>
      <c r="GH50" s="62" t="str">
        <f>IFERROR(Inv_SY_B!GH50/Inv_SY_B!$IS50-1,"")</f>
        <v/>
      </c>
      <c r="GI50" s="62" t="str">
        <f>IFERROR(Inv_SY_B!GI50/Inv_SY_B!$IS50-1,"")</f>
        <v/>
      </c>
      <c r="GJ50" s="62" t="str">
        <f>IFERROR(Inv_SY_B!GJ50/Inv_SY_B!$IS50-1,"")</f>
        <v/>
      </c>
      <c r="GK50" s="62" t="str">
        <f>IFERROR(Inv_SY_B!GK50/Inv_SY_B!$IS50-1,"")</f>
        <v/>
      </c>
      <c r="GL50" s="62" t="str">
        <f>IFERROR(Inv_SY_B!GL50/Inv_SY_B!$IS50-1,"")</f>
        <v/>
      </c>
      <c r="GM50" s="62" t="str">
        <f>IFERROR(Inv_SY_B!GM50/Inv_SY_B!$IS50-1,"")</f>
        <v/>
      </c>
      <c r="GN50" s="62" t="str">
        <f>IFERROR(Inv_SY_B!GN50/Inv_SY_B!$IS50-1,"")</f>
        <v/>
      </c>
      <c r="GO50" s="62" t="str">
        <f>IFERROR(Inv_SY_B!GO50/Inv_SY_B!$IS50-1,"")</f>
        <v/>
      </c>
      <c r="GP50" s="62" t="str">
        <f>IFERROR(Inv_SY_B!GP50/Inv_SY_B!$IS50-1,"")</f>
        <v/>
      </c>
      <c r="GQ50" s="62" t="str">
        <f>IFERROR(Inv_SY_B!GQ50/Inv_SY_B!$IS50-1,"")</f>
        <v/>
      </c>
      <c r="GR50" s="62" t="str">
        <f>IFERROR(Inv_SY_B!GR50/Inv_SY_B!$IS50-1,"")</f>
        <v/>
      </c>
      <c r="GS50" s="62" t="str">
        <f>IFERROR(Inv_SY_B!GS50/Inv_SY_B!$IS50-1,"")</f>
        <v/>
      </c>
      <c r="GT50" s="62" t="str">
        <f>IFERROR(Inv_SY_B!GT50/Inv_SY_B!$IS50-1,"")</f>
        <v/>
      </c>
      <c r="GU50" s="62" t="str">
        <f>IFERROR(Inv_SY_B!GU50/Inv_SY_B!$IS50-1,"")</f>
        <v/>
      </c>
      <c r="GV50" s="62" t="str">
        <f>IFERROR(Inv_SY_B!GV50/Inv_SY_B!$IS50-1,"")</f>
        <v/>
      </c>
      <c r="GW50" s="62" t="str">
        <f>IFERROR(Inv_SY_B!GW50/Inv_SY_B!$IS50-1,"")</f>
        <v/>
      </c>
      <c r="GX50" s="62" t="str">
        <f>IFERROR(Inv_SY_B!GX50/Inv_SY_B!$IS50-1,"")</f>
        <v/>
      </c>
      <c r="GY50" s="62" t="str">
        <f>IFERROR(Inv_SY_B!GY50/Inv_SY_B!$IS50-1,"")</f>
        <v/>
      </c>
      <c r="GZ50" s="62" t="str">
        <f>IFERROR(Inv_SY_B!GZ50/Inv_SY_B!$IS50-1,"")</f>
        <v/>
      </c>
      <c r="HA50" s="62" t="str">
        <f>IFERROR(Inv_SY_B!HA50/Inv_SY_B!$IS50-1,"")</f>
        <v/>
      </c>
      <c r="HB50" s="62" t="str">
        <f>IFERROR(Inv_SY_B!HB50/Inv_SY_B!$IS50-1,"")</f>
        <v/>
      </c>
      <c r="HC50" s="62" t="str">
        <f>IFERROR(Inv_SY_B!HC50/Inv_SY_B!$IS50-1,"")</f>
        <v/>
      </c>
      <c r="HD50" s="62" t="str">
        <f>IFERROR(Inv_SY_B!HD50/Inv_SY_B!$IS50-1,"")</f>
        <v/>
      </c>
      <c r="HE50" s="62" t="str">
        <f>IFERROR(Inv_SY_B!HE50/Inv_SY_B!$IS50-1,"")</f>
        <v/>
      </c>
      <c r="HF50" s="62" t="str">
        <f>IFERROR(Inv_SY_B!HF50/Inv_SY_B!$IS50-1,"")</f>
        <v/>
      </c>
      <c r="HG50" s="62" t="str">
        <f>IFERROR(Inv_SY_B!HG50/Inv_SY_B!$IS50-1,"")</f>
        <v/>
      </c>
      <c r="HH50" s="62" t="str">
        <f>IFERROR(Inv_SY_B!HH50/Inv_SY_B!$IS50-1,"")</f>
        <v/>
      </c>
      <c r="HI50" s="62" t="str">
        <f>IFERROR(Inv_SY_B!HI50/Inv_SY_B!$IS50-1,"")</f>
        <v/>
      </c>
      <c r="HJ50" s="62" t="str">
        <f>IFERROR(Inv_SY_B!HJ50/Inv_SY_B!$IS50-1,"")</f>
        <v/>
      </c>
      <c r="HK50" s="62" t="str">
        <f>IFERROR(Inv_SY_B!HK50/Inv_SY_B!$IS50-1,"")</f>
        <v/>
      </c>
      <c r="HL50" s="62" t="str">
        <f>IFERROR(Inv_SY_B!HL50/Inv_SY_B!$IS50-1,"")</f>
        <v/>
      </c>
      <c r="HM50" s="62" t="str">
        <f>IFERROR(Inv_SY_B!HM50/Inv_SY_B!$IS50-1,"")</f>
        <v/>
      </c>
      <c r="HN50" s="62" t="str">
        <f>IFERROR(Inv_SY_B!HN50/Inv_SY_B!$IS50-1,"")</f>
        <v/>
      </c>
      <c r="HO50" s="62" t="str">
        <f>IFERROR(Inv_SY_B!HO50/Inv_SY_B!$IS50-1,"")</f>
        <v/>
      </c>
      <c r="HP50" s="62" t="str">
        <f>IFERROR(Inv_SY_B!HP50/Inv_SY_B!$IS50-1,"")</f>
        <v/>
      </c>
      <c r="HQ50" s="62" t="str">
        <f>IFERROR(Inv_SY_B!HQ50/Inv_SY_B!$IS50-1,"")</f>
        <v/>
      </c>
      <c r="HR50" s="62" t="str">
        <f>IFERROR(Inv_SY_B!HR50/Inv_SY_B!$IS50-1,"")</f>
        <v/>
      </c>
      <c r="HS50" s="62" t="str">
        <f>IFERROR(Inv_SY_B!HS50/Inv_SY_B!$IS50-1,"")</f>
        <v/>
      </c>
      <c r="HT50" s="62" t="str">
        <f>IFERROR(Inv_SY_B!HT50/Inv_SY_B!$IS50-1,"")</f>
        <v/>
      </c>
      <c r="HU50" s="62" t="str">
        <f>IFERROR(Inv_SY_B!HU50/Inv_SY_B!$IS50-1,"")</f>
        <v/>
      </c>
      <c r="HV50" s="62" t="str">
        <f>IFERROR(Inv_SY_B!HV50/Inv_SY_B!$IS50-1,"")</f>
        <v/>
      </c>
      <c r="HW50" s="62" t="str">
        <f>IFERROR(Inv_SY_B!HW50/Inv_SY_B!$IS50-1,"")</f>
        <v/>
      </c>
      <c r="HX50" s="62" t="str">
        <f>IFERROR(Inv_SY_B!HX50/Inv_SY_B!$IS50-1,"")</f>
        <v/>
      </c>
      <c r="HY50" s="62" t="str">
        <f>IFERROR(Inv_SY_B!HY50/Inv_SY_B!$IS50-1,"")</f>
        <v/>
      </c>
      <c r="HZ50" s="62" t="str">
        <f>IFERROR(Inv_SY_B!HZ50/Inv_SY_B!$IS50-1,"")</f>
        <v/>
      </c>
      <c r="IA50" s="62" t="str">
        <f>IFERROR(Inv_SY_B!IA50/Inv_SY_B!$IS50-1,"")</f>
        <v/>
      </c>
      <c r="IB50" s="62" t="str">
        <f>IFERROR(Inv_SY_B!IB50/Inv_SY_B!$IS50-1,"")</f>
        <v/>
      </c>
      <c r="IC50" s="62" t="str">
        <f>IFERROR(Inv_SY_B!IC50/Inv_SY_B!$IS50-1,"")</f>
        <v/>
      </c>
      <c r="ID50" s="62" t="str">
        <f>IFERROR(Inv_SY_B!ID50/Inv_SY_B!$IS50-1,"")</f>
        <v/>
      </c>
      <c r="IE50" s="62" t="str">
        <f>IFERROR(Inv_SY_B!IE50/Inv_SY_B!$IS50-1,"")</f>
        <v/>
      </c>
      <c r="IF50" s="62" t="str">
        <f>IFERROR(Inv_SY_B!IF50/Inv_SY_B!$IS50-1,"")</f>
        <v/>
      </c>
      <c r="IG50" s="62" t="str">
        <f>IFERROR(Inv_SY_B!IG50/Inv_SY_B!$IS50-1,"")</f>
        <v/>
      </c>
      <c r="IH50" s="62" t="str">
        <f>IFERROR(Inv_SY_B!IH50/Inv_SY_B!$IS50-1,"")</f>
        <v/>
      </c>
      <c r="II50" s="62" t="str">
        <f>IFERROR(Inv_SY_B!II50/Inv_SY_B!$IS50-1,"")</f>
        <v/>
      </c>
      <c r="IJ50" s="62" t="str">
        <f>IFERROR(Inv_SY_B!IJ50/Inv_SY_B!$IS50-1,"")</f>
        <v/>
      </c>
      <c r="IK50" s="62" t="str">
        <f>IFERROR(Inv_SY_B!IK50/Inv_SY_B!$IS50-1,"")</f>
        <v/>
      </c>
      <c r="IL50" s="62" t="str">
        <f>IFERROR(Inv_SY_B!IL50/Inv_SY_B!$IS50-1,"")</f>
        <v/>
      </c>
      <c r="IM50" s="62" t="str">
        <f>IFERROR(Inv_SY_B!IM50/Inv_SY_B!$IS50-1,"")</f>
        <v/>
      </c>
      <c r="IN50" s="62" t="str">
        <f>IFERROR(Inv_SY_B!IN50/Inv_SY_B!$IS50-1,"")</f>
        <v/>
      </c>
      <c r="IO50" s="62" t="str">
        <f>IFERROR(Inv_SY_B!IO50/Inv_SY_B!$IS50-1,"")</f>
        <v/>
      </c>
      <c r="IP50" s="62" t="str">
        <f>IFERROR(Inv_SY_B!IP50/Inv_SY_B!$IS50-1,"")</f>
        <v/>
      </c>
      <c r="IQ50" s="62" t="str">
        <f>IFERROR(Inv_SY_B!IQ50/Inv_SY_B!$IS50-1,"")</f>
        <v/>
      </c>
      <c r="IR50" s="62" t="str">
        <f>IFERROR(Inv_SY_B!IR50/Inv_SY_B!$IS50-1,"")</f>
        <v/>
      </c>
    </row>
    <row r="51" spans="2:252" x14ac:dyDescent="0.25">
      <c r="B51" s="85">
        <f t="shared" si="0"/>
        <v>45877</v>
      </c>
      <c r="C51" s="62" t="str">
        <f>IFERROR(Inv_SY_B!C51/Inv_SY_B!$IS51-1,"")</f>
        <v/>
      </c>
      <c r="D51" s="62" t="str">
        <f>IFERROR(Inv_SY_B!D51/Inv_SY_B!$IS51-1,"")</f>
        <v/>
      </c>
      <c r="E51" s="62" t="str">
        <f>IFERROR(Inv_SY_B!E51/Inv_SY_B!$IS51-1,"")</f>
        <v/>
      </c>
      <c r="F51" s="62" t="str">
        <f>IFERROR(Inv_SY_B!F51/Inv_SY_B!$IS51-1,"")</f>
        <v/>
      </c>
      <c r="G51" s="62" t="str">
        <f>IFERROR(Inv_SY_B!G51/Inv_SY_B!$IS51-1,"")</f>
        <v/>
      </c>
      <c r="H51" s="62" t="str">
        <f>IFERROR(Inv_SY_B!H51/Inv_SY_B!$IS51-1,"")</f>
        <v/>
      </c>
      <c r="I51" s="62" t="str">
        <f>IFERROR(Inv_SY_B!I51/Inv_SY_B!$IS51-1,"")</f>
        <v/>
      </c>
      <c r="J51" s="62" t="str">
        <f>IFERROR(Inv_SY_B!J51/Inv_SY_B!$IS51-1,"")</f>
        <v/>
      </c>
      <c r="K51" s="62" t="str">
        <f>IFERROR(Inv_SY_B!K51/Inv_SY_B!$IS51-1,"")</f>
        <v/>
      </c>
      <c r="L51" s="62" t="str">
        <f>IFERROR(Inv_SY_B!L51/Inv_SY_B!$IS51-1,"")</f>
        <v/>
      </c>
      <c r="M51" s="62" t="str">
        <f>IFERROR(Inv_SY_B!M51/Inv_SY_B!$IS51-1,"")</f>
        <v/>
      </c>
      <c r="N51" s="62" t="str">
        <f>IFERROR(Inv_SY_B!N51/Inv_SY_B!$IS51-1,"")</f>
        <v/>
      </c>
      <c r="O51" s="62" t="str">
        <f>IFERROR(Inv_SY_B!O51/Inv_SY_B!$IS51-1,"")</f>
        <v/>
      </c>
      <c r="P51" s="62" t="str">
        <f>IFERROR(Inv_SY_B!P51/Inv_SY_B!$IS51-1,"")</f>
        <v/>
      </c>
      <c r="Q51" s="62" t="str">
        <f>IFERROR(Inv_SY_B!Q51/Inv_SY_B!$IS51-1,"")</f>
        <v/>
      </c>
      <c r="R51" s="62" t="str">
        <f>IFERROR(Inv_SY_B!R51/Inv_SY_B!$IS51-1,"")</f>
        <v/>
      </c>
      <c r="S51" s="62" t="str">
        <f>IFERROR(Inv_SY_B!S51/Inv_SY_B!$IS51-1,"")</f>
        <v/>
      </c>
      <c r="T51" s="62" t="str">
        <f>IFERROR(Inv_SY_B!T51/Inv_SY_B!$IS51-1,"")</f>
        <v/>
      </c>
      <c r="U51" s="62" t="str">
        <f>IFERROR(Inv_SY_B!U51/Inv_SY_B!$IS51-1,"")</f>
        <v/>
      </c>
      <c r="V51" s="62" t="str">
        <f>IFERROR(Inv_SY_B!V51/Inv_SY_B!$IS51-1,"")</f>
        <v/>
      </c>
      <c r="W51" s="62" t="str">
        <f>IFERROR(Inv_SY_B!W51/Inv_SY_B!$IS51-1,"")</f>
        <v/>
      </c>
      <c r="X51" s="62" t="str">
        <f>IFERROR(Inv_SY_B!X51/Inv_SY_B!$IS51-1,"")</f>
        <v/>
      </c>
      <c r="Y51" s="62" t="str">
        <f>IFERROR(Inv_SY_B!Y51/Inv_SY_B!$IS51-1,"")</f>
        <v/>
      </c>
      <c r="Z51" s="62" t="str">
        <f>IFERROR(Inv_SY_B!Z51/Inv_SY_B!$IS51-1,"")</f>
        <v/>
      </c>
      <c r="AA51" s="62" t="str">
        <f>IFERROR(Inv_SY_B!AA51/Inv_SY_B!$IS51-1,"")</f>
        <v/>
      </c>
      <c r="AB51" s="62" t="str">
        <f>IFERROR(Inv_SY_B!AB51/Inv_SY_B!$IS51-1,"")</f>
        <v/>
      </c>
      <c r="AC51" s="62" t="str">
        <f>IFERROR(Inv_SY_B!AC51/Inv_SY_B!$IS51-1,"")</f>
        <v/>
      </c>
      <c r="AD51" s="62" t="str">
        <f>IFERROR(Inv_SY_B!AD51/Inv_SY_B!$IS51-1,"")</f>
        <v/>
      </c>
      <c r="AE51" s="62" t="str">
        <f>IFERROR(Inv_SY_B!AE51/Inv_SY_B!$IS51-1,"")</f>
        <v/>
      </c>
      <c r="AF51" s="62" t="str">
        <f>IFERROR(Inv_SY_B!AF51/Inv_SY_B!$IS51-1,"")</f>
        <v/>
      </c>
      <c r="AG51" s="62" t="str">
        <f>IFERROR(Inv_SY_B!AG51/Inv_SY_B!$IS51-1,"")</f>
        <v/>
      </c>
      <c r="AH51" s="62" t="str">
        <f>IFERROR(Inv_SY_B!AH51/Inv_SY_B!$IS51-1,"")</f>
        <v/>
      </c>
      <c r="AI51" s="62" t="str">
        <f>IFERROR(Inv_SY_B!AI51/Inv_SY_B!$IS51-1,"")</f>
        <v/>
      </c>
      <c r="AJ51" s="62" t="str">
        <f>IFERROR(Inv_SY_B!AJ51/Inv_SY_B!$IS51-1,"")</f>
        <v/>
      </c>
      <c r="AK51" s="62" t="str">
        <f>IFERROR(Inv_SY_B!AK51/Inv_SY_B!$IS51-1,"")</f>
        <v/>
      </c>
      <c r="AL51" s="62" t="str">
        <f>IFERROR(Inv_SY_B!AL51/Inv_SY_B!$IS51-1,"")</f>
        <v/>
      </c>
      <c r="AM51" s="62" t="str">
        <f>IFERROR(Inv_SY_B!AM51/Inv_SY_B!$IS51-1,"")</f>
        <v/>
      </c>
      <c r="AN51" s="62" t="str">
        <f>IFERROR(Inv_SY_B!AN51/Inv_SY_B!$IS51-1,"")</f>
        <v/>
      </c>
      <c r="AO51" s="62" t="str">
        <f>IFERROR(Inv_SY_B!AO51/Inv_SY_B!$IS51-1,"")</f>
        <v/>
      </c>
      <c r="AP51" s="62" t="str">
        <f>IFERROR(Inv_SY_B!AP51/Inv_SY_B!$IS51-1,"")</f>
        <v/>
      </c>
      <c r="AQ51" s="62" t="str">
        <f>IFERROR(Inv_SY_B!AQ51/Inv_SY_B!$IS51-1,"")</f>
        <v/>
      </c>
      <c r="AR51" s="62" t="str">
        <f>IFERROR(Inv_SY_B!AR51/Inv_SY_B!$IS51-1,"")</f>
        <v/>
      </c>
      <c r="AS51" s="62" t="str">
        <f>IFERROR(Inv_SY_B!AS51/Inv_SY_B!$IS51-1,"")</f>
        <v/>
      </c>
      <c r="AT51" s="62" t="str">
        <f>IFERROR(Inv_SY_B!AT51/Inv_SY_B!$IS51-1,"")</f>
        <v/>
      </c>
      <c r="AU51" s="62" t="str">
        <f>IFERROR(Inv_SY_B!AU51/Inv_SY_B!$IS51-1,"")</f>
        <v/>
      </c>
      <c r="AV51" s="62" t="str">
        <f>IFERROR(Inv_SY_B!AV51/Inv_SY_B!$IS51-1,"")</f>
        <v/>
      </c>
      <c r="AW51" s="62" t="str">
        <f>IFERROR(Inv_SY_B!AW51/Inv_SY_B!$IS51-1,"")</f>
        <v/>
      </c>
      <c r="AX51" s="62" t="str">
        <f>IFERROR(Inv_SY_B!AX51/Inv_SY_B!$IS51-1,"")</f>
        <v/>
      </c>
      <c r="AY51" s="62" t="str">
        <f>IFERROR(Inv_SY_B!AY51/Inv_SY_B!$IS51-1,"")</f>
        <v/>
      </c>
      <c r="AZ51" s="62" t="str">
        <f>IFERROR(Inv_SY_B!AZ51/Inv_SY_B!$IS51-1,"")</f>
        <v/>
      </c>
      <c r="BA51" s="62" t="str">
        <f>IFERROR(Inv_SY_B!BA51/Inv_SY_B!$IS51-1,"")</f>
        <v/>
      </c>
      <c r="BB51" s="62" t="str">
        <f>IFERROR(Inv_SY_B!BB51/Inv_SY_B!$IS51-1,"")</f>
        <v/>
      </c>
      <c r="BC51" s="62" t="str">
        <f>IFERROR(Inv_SY_B!BC51/Inv_SY_B!$IS51-1,"")</f>
        <v/>
      </c>
      <c r="BD51" s="62" t="str">
        <f>IFERROR(Inv_SY_B!BD51/Inv_SY_B!$IS51-1,"")</f>
        <v/>
      </c>
      <c r="BE51" s="62" t="str">
        <f>IFERROR(Inv_SY_B!BE51/Inv_SY_B!$IS51-1,"")</f>
        <v/>
      </c>
      <c r="BF51" s="62" t="str">
        <f>IFERROR(Inv_SY_B!BF51/Inv_SY_B!$IS51-1,"")</f>
        <v/>
      </c>
      <c r="BG51" s="62" t="str">
        <f>IFERROR(Inv_SY_B!BG51/Inv_SY_B!$IS51-1,"")</f>
        <v/>
      </c>
      <c r="BH51" s="62" t="str">
        <f>IFERROR(Inv_SY_B!BH51/Inv_SY_B!$IS51-1,"")</f>
        <v/>
      </c>
      <c r="BI51" s="62" t="str">
        <f>IFERROR(Inv_SY_B!BI51/Inv_SY_B!$IS51-1,"")</f>
        <v/>
      </c>
      <c r="BJ51" s="62" t="str">
        <f>IFERROR(Inv_SY_B!BJ51/Inv_SY_B!$IS51-1,"")</f>
        <v/>
      </c>
      <c r="BK51" s="62" t="str">
        <f>IFERROR(Inv_SY_B!BK51/Inv_SY_B!$IS51-1,"")</f>
        <v/>
      </c>
      <c r="BL51" s="62" t="str">
        <f>IFERROR(Inv_SY_B!BL51/Inv_SY_B!$IS51-1,"")</f>
        <v/>
      </c>
      <c r="BM51" s="62" t="str">
        <f>IFERROR(Inv_SY_B!BM51/Inv_SY_B!$IS51-1,"")</f>
        <v/>
      </c>
      <c r="BN51" s="62" t="str">
        <f>IFERROR(Inv_SY_B!BN51/Inv_SY_B!$IS51-1,"")</f>
        <v/>
      </c>
      <c r="BO51" s="62" t="str">
        <f>IFERROR(Inv_SY_B!BO51/Inv_SY_B!$IS51-1,"")</f>
        <v/>
      </c>
      <c r="BP51" s="62" t="str">
        <f>IFERROR(Inv_SY_B!BP51/Inv_SY_B!$IS51-1,"")</f>
        <v/>
      </c>
      <c r="BQ51" s="62" t="str">
        <f>IFERROR(Inv_SY_B!BQ51/Inv_SY_B!$IS51-1,"")</f>
        <v/>
      </c>
      <c r="BR51" s="62" t="str">
        <f>IFERROR(Inv_SY_B!BR51/Inv_SY_B!$IS51-1,"")</f>
        <v/>
      </c>
      <c r="BS51" s="62" t="str">
        <f>IFERROR(Inv_SY_B!BS51/Inv_SY_B!$IS51-1,"")</f>
        <v/>
      </c>
      <c r="BT51" s="62" t="str">
        <f>IFERROR(Inv_SY_B!BT51/Inv_SY_B!$IS51-1,"")</f>
        <v/>
      </c>
      <c r="BU51" s="62" t="str">
        <f>IFERROR(Inv_SY_B!BU51/Inv_SY_B!$IS51-1,"")</f>
        <v/>
      </c>
      <c r="BV51" s="62" t="str">
        <f>IFERROR(Inv_SY_B!BV51/Inv_SY_B!$IS51-1,"")</f>
        <v/>
      </c>
      <c r="BW51" s="62" t="str">
        <f>IFERROR(Inv_SY_B!BW51/Inv_SY_B!$IS51-1,"")</f>
        <v/>
      </c>
      <c r="BX51" s="62" t="str">
        <f>IFERROR(Inv_SY_B!BX51/Inv_SY_B!$IS51-1,"")</f>
        <v/>
      </c>
      <c r="BY51" s="62" t="str">
        <f>IFERROR(Inv_SY_B!BY51/Inv_SY_B!$IS51-1,"")</f>
        <v/>
      </c>
      <c r="BZ51" s="62" t="str">
        <f>IFERROR(Inv_SY_B!BZ51/Inv_SY_B!$IS51-1,"")</f>
        <v/>
      </c>
      <c r="CA51" s="62" t="str">
        <f>IFERROR(Inv_SY_B!CA51/Inv_SY_B!$IS51-1,"")</f>
        <v/>
      </c>
      <c r="CB51" s="62" t="str">
        <f>IFERROR(Inv_SY_B!CB51/Inv_SY_B!$IS51-1,"")</f>
        <v/>
      </c>
      <c r="CC51" s="62" t="str">
        <f>IFERROR(Inv_SY_B!CC51/Inv_SY_B!$IS51-1,"")</f>
        <v/>
      </c>
      <c r="CD51" s="62" t="str">
        <f>IFERROR(Inv_SY_B!CD51/Inv_SY_B!$IS51-1,"")</f>
        <v/>
      </c>
      <c r="CE51" s="62" t="str">
        <f>IFERROR(Inv_SY_B!CE51/Inv_SY_B!$IS51-1,"")</f>
        <v/>
      </c>
      <c r="CF51" s="62" t="str">
        <f>IFERROR(Inv_SY_B!CF51/Inv_SY_B!$IS51-1,"")</f>
        <v/>
      </c>
      <c r="CG51" s="62" t="str">
        <f>IFERROR(Inv_SY_B!CG51/Inv_SY_B!$IS51-1,"")</f>
        <v/>
      </c>
      <c r="CH51" s="62" t="str">
        <f>IFERROR(Inv_SY_B!CH51/Inv_SY_B!$IS51-1,"")</f>
        <v/>
      </c>
      <c r="CI51" s="62" t="str">
        <f>IFERROR(Inv_SY_B!CI51/Inv_SY_B!$IS51-1,"")</f>
        <v/>
      </c>
      <c r="CJ51" s="62" t="str">
        <f>IFERROR(Inv_SY_B!CJ51/Inv_SY_B!$IS51-1,"")</f>
        <v/>
      </c>
      <c r="CK51" s="62" t="str">
        <f>IFERROR(Inv_SY_B!CK51/Inv_SY_B!$IS51-1,"")</f>
        <v/>
      </c>
      <c r="CL51" s="62" t="str">
        <f>IFERROR(Inv_SY_B!CL51/Inv_SY_B!$IS51-1,"")</f>
        <v/>
      </c>
      <c r="CM51" s="62" t="str">
        <f>IFERROR(Inv_SY_B!CM51/Inv_SY_B!$IS51-1,"")</f>
        <v/>
      </c>
      <c r="CN51" s="62" t="str">
        <f>IFERROR(Inv_SY_B!CN51/Inv_SY_B!$IS51-1,"")</f>
        <v/>
      </c>
      <c r="CO51" s="62" t="str">
        <f>IFERROR(Inv_SY_B!CO51/Inv_SY_B!$IS51-1,"")</f>
        <v/>
      </c>
      <c r="CP51" s="62" t="str">
        <f>IFERROR(Inv_SY_B!CP51/Inv_SY_B!$IS51-1,"")</f>
        <v/>
      </c>
      <c r="CQ51" s="62" t="str">
        <f>IFERROR(Inv_SY_B!CQ51/Inv_SY_B!$IS51-1,"")</f>
        <v/>
      </c>
      <c r="CR51" s="62" t="str">
        <f>IFERROR(Inv_SY_B!CR51/Inv_SY_B!$IS51-1,"")</f>
        <v/>
      </c>
      <c r="CS51" s="62" t="str">
        <f>IFERROR(Inv_SY_B!CS51/Inv_SY_B!$IS51-1,"")</f>
        <v/>
      </c>
      <c r="CT51" s="62" t="str">
        <f>IFERROR(Inv_SY_B!CT51/Inv_SY_B!$IS51-1,"")</f>
        <v/>
      </c>
      <c r="CU51" s="62" t="str">
        <f>IFERROR(Inv_SY_B!CU51/Inv_SY_B!$IS51-1,"")</f>
        <v/>
      </c>
      <c r="CV51" s="62" t="str">
        <f>IFERROR(Inv_SY_B!CV51/Inv_SY_B!$IS51-1,"")</f>
        <v/>
      </c>
      <c r="CW51" s="62" t="str">
        <f>IFERROR(Inv_SY_B!CW51/Inv_SY_B!$IS51-1,"")</f>
        <v/>
      </c>
      <c r="CX51" s="62" t="str">
        <f>IFERROR(Inv_SY_B!CX51/Inv_SY_B!$IS51-1,"")</f>
        <v/>
      </c>
      <c r="CY51" s="62" t="str">
        <f>IFERROR(Inv_SY_B!CY51/Inv_SY_B!$IS51-1,"")</f>
        <v/>
      </c>
      <c r="CZ51" s="62" t="str">
        <f>IFERROR(Inv_SY_B!CZ51/Inv_SY_B!$IS51-1,"")</f>
        <v/>
      </c>
      <c r="DA51" s="62" t="str">
        <f>IFERROR(Inv_SY_B!DA51/Inv_SY_B!$IS51-1,"")</f>
        <v/>
      </c>
      <c r="DB51" s="62" t="str">
        <f>IFERROR(Inv_SY_B!DB51/Inv_SY_B!$IS51-1,"")</f>
        <v/>
      </c>
      <c r="DC51" s="62" t="str">
        <f>IFERROR(Inv_SY_B!DC51/Inv_SY_B!$IS51-1,"")</f>
        <v/>
      </c>
      <c r="DD51" s="62" t="str">
        <f>IFERROR(Inv_SY_B!DD51/Inv_SY_B!$IS51-1,"")</f>
        <v/>
      </c>
      <c r="DE51" s="62" t="str">
        <f>IFERROR(Inv_SY_B!DE51/Inv_SY_B!$IS51-1,"")</f>
        <v/>
      </c>
      <c r="DF51" s="62" t="str">
        <f>IFERROR(Inv_SY_B!DF51/Inv_SY_B!$IS51-1,"")</f>
        <v/>
      </c>
      <c r="DG51" s="62" t="str">
        <f>IFERROR(Inv_SY_B!DG51/Inv_SY_B!$IS51-1,"")</f>
        <v/>
      </c>
      <c r="DH51" s="62" t="str">
        <f>IFERROR(Inv_SY_B!DH51/Inv_SY_B!$IS51-1,"")</f>
        <v/>
      </c>
      <c r="DI51" s="62" t="str">
        <f>IFERROR(Inv_SY_B!DI51/Inv_SY_B!$IS51-1,"")</f>
        <v/>
      </c>
      <c r="DJ51" s="62" t="str">
        <f>IFERROR(Inv_SY_B!DJ51/Inv_SY_B!$IS51-1,"")</f>
        <v/>
      </c>
      <c r="DK51" s="62" t="str">
        <f>IFERROR(Inv_SY_B!DK51/Inv_SY_B!$IS51-1,"")</f>
        <v/>
      </c>
      <c r="DL51" s="62" t="str">
        <f>IFERROR(Inv_SY_B!DL51/Inv_SY_B!$IS51-1,"")</f>
        <v/>
      </c>
      <c r="DM51" s="62" t="str">
        <f>IFERROR(Inv_SY_B!DM51/Inv_SY_B!$IS51-1,"")</f>
        <v/>
      </c>
      <c r="DN51" s="62" t="str">
        <f>IFERROR(Inv_SY_B!DN51/Inv_SY_B!$IS51-1,"")</f>
        <v/>
      </c>
      <c r="DO51" s="62" t="str">
        <f>IFERROR(Inv_SY_B!DO51/Inv_SY_B!$IS51-1,"")</f>
        <v/>
      </c>
      <c r="DP51" s="62" t="str">
        <f>IFERROR(Inv_SY_B!DP51/Inv_SY_B!$IS51-1,"")</f>
        <v/>
      </c>
      <c r="DQ51" s="62" t="str">
        <f>IFERROR(Inv_SY_B!DQ51/Inv_SY_B!$IS51-1,"")</f>
        <v/>
      </c>
      <c r="DR51" s="62" t="str">
        <f>IFERROR(Inv_SY_B!DR51/Inv_SY_B!$IS51-1,"")</f>
        <v/>
      </c>
      <c r="DS51" s="62" t="str">
        <f>IFERROR(Inv_SY_B!DS51/Inv_SY_B!$IS51-1,"")</f>
        <v/>
      </c>
      <c r="DT51" s="62" t="str">
        <f>IFERROR(Inv_SY_B!DT51/Inv_SY_B!$IS51-1,"")</f>
        <v/>
      </c>
      <c r="DU51" s="62" t="str">
        <f>IFERROR(Inv_SY_B!DU51/Inv_SY_B!$IS51-1,"")</f>
        <v/>
      </c>
      <c r="DV51" s="62" t="str">
        <f>IFERROR(Inv_SY_B!DV51/Inv_SY_B!$IS51-1,"")</f>
        <v/>
      </c>
      <c r="DW51" s="62" t="str">
        <f>IFERROR(Inv_SY_B!DW51/Inv_SY_B!$IS51-1,"")</f>
        <v/>
      </c>
      <c r="DX51" s="62" t="str">
        <f>IFERROR(Inv_SY_B!DX51/Inv_SY_B!$IS51-1,"")</f>
        <v/>
      </c>
      <c r="DY51" s="62" t="str">
        <f>IFERROR(Inv_SY_B!DY51/Inv_SY_B!$IS51-1,"")</f>
        <v/>
      </c>
      <c r="DZ51" s="62" t="str">
        <f>IFERROR(Inv_SY_B!DZ51/Inv_SY_B!$IS51-1,"")</f>
        <v/>
      </c>
      <c r="EA51" s="62" t="str">
        <f>IFERROR(Inv_SY_B!EA51/Inv_SY_B!$IS51-1,"")</f>
        <v/>
      </c>
      <c r="EB51" s="62" t="str">
        <f>IFERROR(Inv_SY_B!EB51/Inv_SY_B!$IS51-1,"")</f>
        <v/>
      </c>
      <c r="EC51" s="62" t="str">
        <f>IFERROR(Inv_SY_B!EC51/Inv_SY_B!$IS51-1,"")</f>
        <v/>
      </c>
      <c r="ED51" s="62" t="str">
        <f>IFERROR(Inv_SY_B!ED51/Inv_SY_B!$IS51-1,"")</f>
        <v/>
      </c>
      <c r="EE51" s="62" t="str">
        <f>IFERROR(Inv_SY_B!EE51/Inv_SY_B!$IS51-1,"")</f>
        <v/>
      </c>
      <c r="EF51" s="62" t="str">
        <f>IFERROR(Inv_SY_B!EF51/Inv_SY_B!$IS51-1,"")</f>
        <v/>
      </c>
      <c r="EG51" s="62" t="str">
        <f>IFERROR(Inv_SY_B!EG51/Inv_SY_B!$IS51-1,"")</f>
        <v/>
      </c>
      <c r="EH51" s="62" t="str">
        <f>IFERROR(Inv_SY_B!EH51/Inv_SY_B!$IS51-1,"")</f>
        <v/>
      </c>
      <c r="EI51" s="62" t="str">
        <f>IFERROR(Inv_SY_B!EI51/Inv_SY_B!$IS51-1,"")</f>
        <v/>
      </c>
      <c r="EJ51" s="62" t="str">
        <f>IFERROR(Inv_SY_B!EJ51/Inv_SY_B!$IS51-1,"")</f>
        <v/>
      </c>
      <c r="EK51" s="62" t="str">
        <f>IFERROR(Inv_SY_B!EK51/Inv_SY_B!$IS51-1,"")</f>
        <v/>
      </c>
      <c r="EL51" s="62" t="str">
        <f>IFERROR(Inv_SY_B!EL51/Inv_SY_B!$IS51-1,"")</f>
        <v/>
      </c>
      <c r="EM51" s="62" t="str">
        <f>IFERROR(Inv_SY_B!EM51/Inv_SY_B!$IS51-1,"")</f>
        <v/>
      </c>
      <c r="EN51" s="62" t="str">
        <f>IFERROR(Inv_SY_B!EN51/Inv_SY_B!$IS51-1,"")</f>
        <v/>
      </c>
      <c r="EO51" s="62" t="str">
        <f>IFERROR(Inv_SY_B!EO51/Inv_SY_B!$IS51-1,"")</f>
        <v/>
      </c>
      <c r="EP51" s="62" t="str">
        <f>IFERROR(Inv_SY_B!EP51/Inv_SY_B!$IS51-1,"")</f>
        <v/>
      </c>
      <c r="EQ51" s="62" t="str">
        <f>IFERROR(Inv_SY_B!EQ51/Inv_SY_B!$IS51-1,"")</f>
        <v/>
      </c>
      <c r="ER51" s="62" t="str">
        <f>IFERROR(Inv_SY_B!ER51/Inv_SY_B!$IS51-1,"")</f>
        <v/>
      </c>
      <c r="ES51" s="62" t="str">
        <f>IFERROR(Inv_SY_B!ES51/Inv_SY_B!$IS51-1,"")</f>
        <v/>
      </c>
      <c r="ET51" s="62" t="str">
        <f>IFERROR(Inv_SY_B!ET51/Inv_SY_B!$IS51-1,"")</f>
        <v/>
      </c>
      <c r="EU51" s="62" t="str">
        <f>IFERROR(Inv_SY_B!EU51/Inv_SY_B!$IS51-1,"")</f>
        <v/>
      </c>
      <c r="EV51" s="62" t="str">
        <f>IFERROR(Inv_SY_B!EV51/Inv_SY_B!$IS51-1,"")</f>
        <v/>
      </c>
      <c r="EW51" s="62" t="str">
        <f>IFERROR(Inv_SY_B!EW51/Inv_SY_B!$IS51-1,"")</f>
        <v/>
      </c>
      <c r="EX51" s="62" t="str">
        <f>IFERROR(Inv_SY_B!EX51/Inv_SY_B!$IS51-1,"")</f>
        <v/>
      </c>
      <c r="EY51" s="62" t="str">
        <f>IFERROR(Inv_SY_B!EY51/Inv_SY_B!$IS51-1,"")</f>
        <v/>
      </c>
      <c r="EZ51" s="62" t="str">
        <f>IFERROR(Inv_SY_B!EZ51/Inv_SY_B!$IS51-1,"")</f>
        <v/>
      </c>
      <c r="FA51" s="62" t="str">
        <f>IFERROR(Inv_SY_B!FA51/Inv_SY_B!$IS51-1,"")</f>
        <v/>
      </c>
      <c r="FB51" s="62" t="str">
        <f>IFERROR(Inv_SY_B!FB51/Inv_SY_B!$IS51-1,"")</f>
        <v/>
      </c>
      <c r="FC51" s="62" t="str">
        <f>IFERROR(Inv_SY_B!FC51/Inv_SY_B!$IS51-1,"")</f>
        <v/>
      </c>
      <c r="FD51" s="62" t="str">
        <f>IFERROR(Inv_SY_B!FD51/Inv_SY_B!$IS51-1,"")</f>
        <v/>
      </c>
      <c r="FE51" s="62" t="str">
        <f>IFERROR(Inv_SY_B!FE51/Inv_SY_B!$IS51-1,"")</f>
        <v/>
      </c>
      <c r="FF51" s="62" t="str">
        <f>IFERROR(Inv_SY_B!FF51/Inv_SY_B!$IS51-1,"")</f>
        <v/>
      </c>
      <c r="FG51" s="62" t="str">
        <f>IFERROR(Inv_SY_B!FG51/Inv_SY_B!$IS51-1,"")</f>
        <v/>
      </c>
      <c r="FH51" s="62" t="str">
        <f>IFERROR(Inv_SY_B!FH51/Inv_SY_B!$IS51-1,"")</f>
        <v/>
      </c>
      <c r="FI51" s="62" t="str">
        <f>IFERROR(Inv_SY_B!FI51/Inv_SY_B!$IS51-1,"")</f>
        <v/>
      </c>
      <c r="FJ51" s="62" t="str">
        <f>IFERROR(Inv_SY_B!FJ51/Inv_SY_B!$IS51-1,"")</f>
        <v/>
      </c>
      <c r="FK51" s="62" t="str">
        <f>IFERROR(Inv_SY_B!FK51/Inv_SY_B!$IS51-1,"")</f>
        <v/>
      </c>
      <c r="FL51" s="62" t="str">
        <f>IFERROR(Inv_SY_B!FL51/Inv_SY_B!$IS51-1,"")</f>
        <v/>
      </c>
      <c r="FM51" s="62" t="str">
        <f>IFERROR(Inv_SY_B!FM51/Inv_SY_B!$IS51-1,"")</f>
        <v/>
      </c>
      <c r="FN51" s="62" t="str">
        <f>IFERROR(Inv_SY_B!FN51/Inv_SY_B!$IS51-1,"")</f>
        <v/>
      </c>
      <c r="FO51" s="62" t="str">
        <f>IFERROR(Inv_SY_B!FO51/Inv_SY_B!$IS51-1,"")</f>
        <v/>
      </c>
      <c r="FP51" s="62" t="str">
        <f>IFERROR(Inv_SY_B!FP51/Inv_SY_B!$IS51-1,"")</f>
        <v/>
      </c>
      <c r="FQ51" s="62" t="str">
        <f>IFERROR(Inv_SY_B!FQ51/Inv_SY_B!$IS51-1,"")</f>
        <v/>
      </c>
      <c r="FR51" s="62" t="str">
        <f>IFERROR(Inv_SY_B!FR51/Inv_SY_B!$IS51-1,"")</f>
        <v/>
      </c>
      <c r="FS51" s="62" t="str">
        <f>IFERROR(Inv_SY_B!FS51/Inv_SY_B!$IS51-1,"")</f>
        <v/>
      </c>
      <c r="FT51" s="62" t="str">
        <f>IFERROR(Inv_SY_B!FT51/Inv_SY_B!$IS51-1,"")</f>
        <v/>
      </c>
      <c r="FU51" s="62" t="str">
        <f>IFERROR(Inv_SY_B!FU51/Inv_SY_B!$IS51-1,"")</f>
        <v/>
      </c>
      <c r="FV51" s="62" t="str">
        <f>IFERROR(Inv_SY_B!FV51/Inv_SY_B!$IS51-1,"")</f>
        <v/>
      </c>
      <c r="FW51" s="62" t="str">
        <f>IFERROR(Inv_SY_B!FW51/Inv_SY_B!$IS51-1,"")</f>
        <v/>
      </c>
      <c r="FX51" s="62" t="str">
        <f>IFERROR(Inv_SY_B!FX51/Inv_SY_B!$IS51-1,"")</f>
        <v/>
      </c>
      <c r="FY51" s="62" t="str">
        <f>IFERROR(Inv_SY_B!FY51/Inv_SY_B!$IS51-1,"")</f>
        <v/>
      </c>
      <c r="FZ51" s="62" t="str">
        <f>IFERROR(Inv_SY_B!FZ51/Inv_SY_B!$IS51-1,"")</f>
        <v/>
      </c>
      <c r="GA51" s="62" t="str">
        <f>IFERROR(Inv_SY_B!GA51/Inv_SY_B!$IS51-1,"")</f>
        <v/>
      </c>
      <c r="GB51" s="62" t="str">
        <f>IFERROR(Inv_SY_B!GB51/Inv_SY_B!$IS51-1,"")</f>
        <v/>
      </c>
      <c r="GC51" s="62" t="str">
        <f>IFERROR(Inv_SY_B!GC51/Inv_SY_B!$IS51-1,"")</f>
        <v/>
      </c>
      <c r="GD51" s="62" t="str">
        <f>IFERROR(Inv_SY_B!GD51/Inv_SY_B!$IS51-1,"")</f>
        <v/>
      </c>
      <c r="GE51" s="62" t="str">
        <f>IFERROR(Inv_SY_B!GE51/Inv_SY_B!$IS51-1,"")</f>
        <v/>
      </c>
      <c r="GF51" s="62" t="str">
        <f>IFERROR(Inv_SY_B!GF51/Inv_SY_B!$IS51-1,"")</f>
        <v/>
      </c>
      <c r="GG51" s="62" t="str">
        <f>IFERROR(Inv_SY_B!GG51/Inv_SY_B!$IS51-1,"")</f>
        <v/>
      </c>
      <c r="GH51" s="62" t="str">
        <f>IFERROR(Inv_SY_B!GH51/Inv_SY_B!$IS51-1,"")</f>
        <v/>
      </c>
      <c r="GI51" s="62" t="str">
        <f>IFERROR(Inv_SY_B!GI51/Inv_SY_B!$IS51-1,"")</f>
        <v/>
      </c>
      <c r="GJ51" s="62" t="str">
        <f>IFERROR(Inv_SY_B!GJ51/Inv_SY_B!$IS51-1,"")</f>
        <v/>
      </c>
      <c r="GK51" s="62" t="str">
        <f>IFERROR(Inv_SY_B!GK51/Inv_SY_B!$IS51-1,"")</f>
        <v/>
      </c>
      <c r="GL51" s="62" t="str">
        <f>IFERROR(Inv_SY_B!GL51/Inv_SY_B!$IS51-1,"")</f>
        <v/>
      </c>
      <c r="GM51" s="62" t="str">
        <f>IFERROR(Inv_SY_B!GM51/Inv_SY_B!$IS51-1,"")</f>
        <v/>
      </c>
      <c r="GN51" s="62" t="str">
        <f>IFERROR(Inv_SY_B!GN51/Inv_SY_B!$IS51-1,"")</f>
        <v/>
      </c>
      <c r="GO51" s="62" t="str">
        <f>IFERROR(Inv_SY_B!GO51/Inv_SY_B!$IS51-1,"")</f>
        <v/>
      </c>
      <c r="GP51" s="62" t="str">
        <f>IFERROR(Inv_SY_B!GP51/Inv_SY_B!$IS51-1,"")</f>
        <v/>
      </c>
      <c r="GQ51" s="62" t="str">
        <f>IFERROR(Inv_SY_B!GQ51/Inv_SY_B!$IS51-1,"")</f>
        <v/>
      </c>
      <c r="GR51" s="62" t="str">
        <f>IFERROR(Inv_SY_B!GR51/Inv_SY_B!$IS51-1,"")</f>
        <v/>
      </c>
      <c r="GS51" s="62" t="str">
        <f>IFERROR(Inv_SY_B!GS51/Inv_SY_B!$IS51-1,"")</f>
        <v/>
      </c>
      <c r="GT51" s="62" t="str">
        <f>IFERROR(Inv_SY_B!GT51/Inv_SY_B!$IS51-1,"")</f>
        <v/>
      </c>
      <c r="GU51" s="62" t="str">
        <f>IFERROR(Inv_SY_B!GU51/Inv_SY_B!$IS51-1,"")</f>
        <v/>
      </c>
      <c r="GV51" s="62" t="str">
        <f>IFERROR(Inv_SY_B!GV51/Inv_SY_B!$IS51-1,"")</f>
        <v/>
      </c>
      <c r="GW51" s="62" t="str">
        <f>IFERROR(Inv_SY_B!GW51/Inv_SY_B!$IS51-1,"")</f>
        <v/>
      </c>
      <c r="GX51" s="62" t="str">
        <f>IFERROR(Inv_SY_B!GX51/Inv_SY_B!$IS51-1,"")</f>
        <v/>
      </c>
      <c r="GY51" s="62" t="str">
        <f>IFERROR(Inv_SY_B!GY51/Inv_SY_B!$IS51-1,"")</f>
        <v/>
      </c>
      <c r="GZ51" s="62" t="str">
        <f>IFERROR(Inv_SY_B!GZ51/Inv_SY_B!$IS51-1,"")</f>
        <v/>
      </c>
      <c r="HA51" s="62" t="str">
        <f>IFERROR(Inv_SY_B!HA51/Inv_SY_B!$IS51-1,"")</f>
        <v/>
      </c>
      <c r="HB51" s="62" t="str">
        <f>IFERROR(Inv_SY_B!HB51/Inv_SY_B!$IS51-1,"")</f>
        <v/>
      </c>
      <c r="HC51" s="62" t="str">
        <f>IFERROR(Inv_SY_B!HC51/Inv_SY_B!$IS51-1,"")</f>
        <v/>
      </c>
      <c r="HD51" s="62" t="str">
        <f>IFERROR(Inv_SY_B!HD51/Inv_SY_B!$IS51-1,"")</f>
        <v/>
      </c>
      <c r="HE51" s="62" t="str">
        <f>IFERROR(Inv_SY_B!HE51/Inv_SY_B!$IS51-1,"")</f>
        <v/>
      </c>
      <c r="HF51" s="62" t="str">
        <f>IFERROR(Inv_SY_B!HF51/Inv_SY_B!$IS51-1,"")</f>
        <v/>
      </c>
      <c r="HG51" s="62" t="str">
        <f>IFERROR(Inv_SY_B!HG51/Inv_SY_B!$IS51-1,"")</f>
        <v/>
      </c>
      <c r="HH51" s="62" t="str">
        <f>IFERROR(Inv_SY_B!HH51/Inv_SY_B!$IS51-1,"")</f>
        <v/>
      </c>
      <c r="HI51" s="62" t="str">
        <f>IFERROR(Inv_SY_B!HI51/Inv_SY_B!$IS51-1,"")</f>
        <v/>
      </c>
      <c r="HJ51" s="62" t="str">
        <f>IFERROR(Inv_SY_B!HJ51/Inv_SY_B!$IS51-1,"")</f>
        <v/>
      </c>
      <c r="HK51" s="62" t="str">
        <f>IFERROR(Inv_SY_B!HK51/Inv_SY_B!$IS51-1,"")</f>
        <v/>
      </c>
      <c r="HL51" s="62" t="str">
        <f>IFERROR(Inv_SY_B!HL51/Inv_SY_B!$IS51-1,"")</f>
        <v/>
      </c>
      <c r="HM51" s="62" t="str">
        <f>IFERROR(Inv_SY_B!HM51/Inv_SY_B!$IS51-1,"")</f>
        <v/>
      </c>
      <c r="HN51" s="62" t="str">
        <f>IFERROR(Inv_SY_B!HN51/Inv_SY_B!$IS51-1,"")</f>
        <v/>
      </c>
      <c r="HO51" s="62" t="str">
        <f>IFERROR(Inv_SY_B!HO51/Inv_SY_B!$IS51-1,"")</f>
        <v/>
      </c>
      <c r="HP51" s="62" t="str">
        <f>IFERROR(Inv_SY_B!HP51/Inv_SY_B!$IS51-1,"")</f>
        <v/>
      </c>
      <c r="HQ51" s="62" t="str">
        <f>IFERROR(Inv_SY_B!HQ51/Inv_SY_B!$IS51-1,"")</f>
        <v/>
      </c>
      <c r="HR51" s="62" t="str">
        <f>IFERROR(Inv_SY_B!HR51/Inv_SY_B!$IS51-1,"")</f>
        <v/>
      </c>
      <c r="HS51" s="62" t="str">
        <f>IFERROR(Inv_SY_B!HS51/Inv_SY_B!$IS51-1,"")</f>
        <v/>
      </c>
      <c r="HT51" s="62" t="str">
        <f>IFERROR(Inv_SY_B!HT51/Inv_SY_B!$IS51-1,"")</f>
        <v/>
      </c>
      <c r="HU51" s="62" t="str">
        <f>IFERROR(Inv_SY_B!HU51/Inv_SY_B!$IS51-1,"")</f>
        <v/>
      </c>
      <c r="HV51" s="62" t="str">
        <f>IFERROR(Inv_SY_B!HV51/Inv_SY_B!$IS51-1,"")</f>
        <v/>
      </c>
      <c r="HW51" s="62" t="str">
        <f>IFERROR(Inv_SY_B!HW51/Inv_SY_B!$IS51-1,"")</f>
        <v/>
      </c>
      <c r="HX51" s="62" t="str">
        <f>IFERROR(Inv_SY_B!HX51/Inv_SY_B!$IS51-1,"")</f>
        <v/>
      </c>
      <c r="HY51" s="62" t="str">
        <f>IFERROR(Inv_SY_B!HY51/Inv_SY_B!$IS51-1,"")</f>
        <v/>
      </c>
      <c r="HZ51" s="62" t="str">
        <f>IFERROR(Inv_SY_B!HZ51/Inv_SY_B!$IS51-1,"")</f>
        <v/>
      </c>
      <c r="IA51" s="62" t="str">
        <f>IFERROR(Inv_SY_B!IA51/Inv_SY_B!$IS51-1,"")</f>
        <v/>
      </c>
      <c r="IB51" s="62" t="str">
        <f>IFERROR(Inv_SY_B!IB51/Inv_SY_B!$IS51-1,"")</f>
        <v/>
      </c>
      <c r="IC51" s="62" t="str">
        <f>IFERROR(Inv_SY_B!IC51/Inv_SY_B!$IS51-1,"")</f>
        <v/>
      </c>
      <c r="ID51" s="62" t="str">
        <f>IFERROR(Inv_SY_B!ID51/Inv_SY_B!$IS51-1,"")</f>
        <v/>
      </c>
      <c r="IE51" s="62" t="str">
        <f>IFERROR(Inv_SY_B!IE51/Inv_SY_B!$IS51-1,"")</f>
        <v/>
      </c>
      <c r="IF51" s="62" t="str">
        <f>IFERROR(Inv_SY_B!IF51/Inv_SY_B!$IS51-1,"")</f>
        <v/>
      </c>
      <c r="IG51" s="62" t="str">
        <f>IFERROR(Inv_SY_B!IG51/Inv_SY_B!$IS51-1,"")</f>
        <v/>
      </c>
      <c r="IH51" s="62" t="str">
        <f>IFERROR(Inv_SY_B!IH51/Inv_SY_B!$IS51-1,"")</f>
        <v/>
      </c>
      <c r="II51" s="62" t="str">
        <f>IFERROR(Inv_SY_B!II51/Inv_SY_B!$IS51-1,"")</f>
        <v/>
      </c>
      <c r="IJ51" s="62" t="str">
        <f>IFERROR(Inv_SY_B!IJ51/Inv_SY_B!$IS51-1,"")</f>
        <v/>
      </c>
      <c r="IK51" s="62" t="str">
        <f>IFERROR(Inv_SY_B!IK51/Inv_SY_B!$IS51-1,"")</f>
        <v/>
      </c>
      <c r="IL51" s="62" t="str">
        <f>IFERROR(Inv_SY_B!IL51/Inv_SY_B!$IS51-1,"")</f>
        <v/>
      </c>
      <c r="IM51" s="62" t="str">
        <f>IFERROR(Inv_SY_B!IM51/Inv_SY_B!$IS51-1,"")</f>
        <v/>
      </c>
      <c r="IN51" s="62" t="str">
        <f>IFERROR(Inv_SY_B!IN51/Inv_SY_B!$IS51-1,"")</f>
        <v/>
      </c>
      <c r="IO51" s="62" t="str">
        <f>IFERROR(Inv_SY_B!IO51/Inv_SY_B!$IS51-1,"")</f>
        <v/>
      </c>
      <c r="IP51" s="62" t="str">
        <f>IFERROR(Inv_SY_B!IP51/Inv_SY_B!$IS51-1,"")</f>
        <v/>
      </c>
      <c r="IQ51" s="62" t="str">
        <f>IFERROR(Inv_SY_B!IQ51/Inv_SY_B!$IS51-1,"")</f>
        <v/>
      </c>
      <c r="IR51" s="62" t="str">
        <f>IFERROR(Inv_SY_B!IR51/Inv_SY_B!$IS51-1,"")</f>
        <v/>
      </c>
    </row>
    <row r="52" spans="2:252" x14ac:dyDescent="0.25">
      <c r="B52" s="85">
        <f t="shared" si="0"/>
        <v>45878</v>
      </c>
      <c r="C52" s="62" t="str">
        <f>IFERROR(Inv_SY_B!C52/Inv_SY_B!$IS52-1,"")</f>
        <v/>
      </c>
      <c r="D52" s="62" t="str">
        <f>IFERROR(Inv_SY_B!D52/Inv_SY_B!$IS52-1,"")</f>
        <v/>
      </c>
      <c r="E52" s="62" t="str">
        <f>IFERROR(Inv_SY_B!E52/Inv_SY_B!$IS52-1,"")</f>
        <v/>
      </c>
      <c r="F52" s="62" t="str">
        <f>IFERROR(Inv_SY_B!F52/Inv_SY_B!$IS52-1,"")</f>
        <v/>
      </c>
      <c r="G52" s="62" t="str">
        <f>IFERROR(Inv_SY_B!G52/Inv_SY_B!$IS52-1,"")</f>
        <v/>
      </c>
      <c r="H52" s="62" t="str">
        <f>IFERROR(Inv_SY_B!H52/Inv_SY_B!$IS52-1,"")</f>
        <v/>
      </c>
      <c r="I52" s="62" t="str">
        <f>IFERROR(Inv_SY_B!I52/Inv_SY_B!$IS52-1,"")</f>
        <v/>
      </c>
      <c r="J52" s="62" t="str">
        <f>IFERROR(Inv_SY_B!J52/Inv_SY_B!$IS52-1,"")</f>
        <v/>
      </c>
      <c r="K52" s="62" t="str">
        <f>IFERROR(Inv_SY_B!K52/Inv_SY_B!$IS52-1,"")</f>
        <v/>
      </c>
      <c r="L52" s="62" t="str">
        <f>IFERROR(Inv_SY_B!L52/Inv_SY_B!$IS52-1,"")</f>
        <v/>
      </c>
      <c r="M52" s="62" t="str">
        <f>IFERROR(Inv_SY_B!M52/Inv_SY_B!$IS52-1,"")</f>
        <v/>
      </c>
      <c r="N52" s="62" t="str">
        <f>IFERROR(Inv_SY_B!N52/Inv_SY_B!$IS52-1,"")</f>
        <v/>
      </c>
      <c r="O52" s="62" t="str">
        <f>IFERROR(Inv_SY_B!O52/Inv_SY_B!$IS52-1,"")</f>
        <v/>
      </c>
      <c r="P52" s="62" t="str">
        <f>IFERROR(Inv_SY_B!P52/Inv_SY_B!$IS52-1,"")</f>
        <v/>
      </c>
      <c r="Q52" s="62" t="str">
        <f>IFERROR(Inv_SY_B!Q52/Inv_SY_B!$IS52-1,"")</f>
        <v/>
      </c>
      <c r="R52" s="62" t="str">
        <f>IFERROR(Inv_SY_B!R52/Inv_SY_B!$IS52-1,"")</f>
        <v/>
      </c>
      <c r="S52" s="62" t="str">
        <f>IFERROR(Inv_SY_B!S52/Inv_SY_B!$IS52-1,"")</f>
        <v/>
      </c>
      <c r="T52" s="62" t="str">
        <f>IFERROR(Inv_SY_B!T52/Inv_SY_B!$IS52-1,"")</f>
        <v/>
      </c>
      <c r="U52" s="62" t="str">
        <f>IFERROR(Inv_SY_B!U52/Inv_SY_B!$IS52-1,"")</f>
        <v/>
      </c>
      <c r="V52" s="62" t="str">
        <f>IFERROR(Inv_SY_B!V52/Inv_SY_B!$IS52-1,"")</f>
        <v/>
      </c>
      <c r="W52" s="62" t="str">
        <f>IFERROR(Inv_SY_B!W52/Inv_SY_B!$IS52-1,"")</f>
        <v/>
      </c>
      <c r="X52" s="62" t="str">
        <f>IFERROR(Inv_SY_B!X52/Inv_SY_B!$IS52-1,"")</f>
        <v/>
      </c>
      <c r="Y52" s="62" t="str">
        <f>IFERROR(Inv_SY_B!Y52/Inv_SY_B!$IS52-1,"")</f>
        <v/>
      </c>
      <c r="Z52" s="62" t="str">
        <f>IFERROR(Inv_SY_B!Z52/Inv_SY_B!$IS52-1,"")</f>
        <v/>
      </c>
      <c r="AA52" s="62" t="str">
        <f>IFERROR(Inv_SY_B!AA52/Inv_SY_B!$IS52-1,"")</f>
        <v/>
      </c>
      <c r="AB52" s="62" t="str">
        <f>IFERROR(Inv_SY_B!AB52/Inv_SY_B!$IS52-1,"")</f>
        <v/>
      </c>
      <c r="AC52" s="62" t="str">
        <f>IFERROR(Inv_SY_B!AC52/Inv_SY_B!$IS52-1,"")</f>
        <v/>
      </c>
      <c r="AD52" s="62" t="str">
        <f>IFERROR(Inv_SY_B!AD52/Inv_SY_B!$IS52-1,"")</f>
        <v/>
      </c>
      <c r="AE52" s="62" t="str">
        <f>IFERROR(Inv_SY_B!AE52/Inv_SY_B!$IS52-1,"")</f>
        <v/>
      </c>
      <c r="AF52" s="62" t="str">
        <f>IFERROR(Inv_SY_B!AF52/Inv_SY_B!$IS52-1,"")</f>
        <v/>
      </c>
      <c r="AG52" s="62" t="str">
        <f>IFERROR(Inv_SY_B!AG52/Inv_SY_B!$IS52-1,"")</f>
        <v/>
      </c>
      <c r="AH52" s="62" t="str">
        <f>IFERROR(Inv_SY_B!AH52/Inv_SY_B!$IS52-1,"")</f>
        <v/>
      </c>
      <c r="AI52" s="62" t="str">
        <f>IFERROR(Inv_SY_B!AI52/Inv_SY_B!$IS52-1,"")</f>
        <v/>
      </c>
      <c r="AJ52" s="62" t="str">
        <f>IFERROR(Inv_SY_B!AJ52/Inv_SY_B!$IS52-1,"")</f>
        <v/>
      </c>
      <c r="AK52" s="62" t="str">
        <f>IFERROR(Inv_SY_B!AK52/Inv_SY_B!$IS52-1,"")</f>
        <v/>
      </c>
      <c r="AL52" s="62" t="str">
        <f>IFERROR(Inv_SY_B!AL52/Inv_SY_B!$IS52-1,"")</f>
        <v/>
      </c>
      <c r="AM52" s="62" t="str">
        <f>IFERROR(Inv_SY_B!AM52/Inv_SY_B!$IS52-1,"")</f>
        <v/>
      </c>
      <c r="AN52" s="62" t="str">
        <f>IFERROR(Inv_SY_B!AN52/Inv_SY_B!$IS52-1,"")</f>
        <v/>
      </c>
      <c r="AO52" s="62" t="str">
        <f>IFERROR(Inv_SY_B!AO52/Inv_SY_B!$IS52-1,"")</f>
        <v/>
      </c>
      <c r="AP52" s="62" t="str">
        <f>IFERROR(Inv_SY_B!AP52/Inv_SY_B!$IS52-1,"")</f>
        <v/>
      </c>
      <c r="AQ52" s="62" t="str">
        <f>IFERROR(Inv_SY_B!AQ52/Inv_SY_B!$IS52-1,"")</f>
        <v/>
      </c>
      <c r="AR52" s="62" t="str">
        <f>IFERROR(Inv_SY_B!AR52/Inv_SY_B!$IS52-1,"")</f>
        <v/>
      </c>
      <c r="AS52" s="62" t="str">
        <f>IFERROR(Inv_SY_B!AS52/Inv_SY_B!$IS52-1,"")</f>
        <v/>
      </c>
      <c r="AT52" s="62" t="str">
        <f>IFERROR(Inv_SY_B!AT52/Inv_SY_B!$IS52-1,"")</f>
        <v/>
      </c>
      <c r="AU52" s="62" t="str">
        <f>IFERROR(Inv_SY_B!AU52/Inv_SY_B!$IS52-1,"")</f>
        <v/>
      </c>
      <c r="AV52" s="62" t="str">
        <f>IFERROR(Inv_SY_B!AV52/Inv_SY_B!$IS52-1,"")</f>
        <v/>
      </c>
      <c r="AW52" s="62" t="str">
        <f>IFERROR(Inv_SY_B!AW52/Inv_SY_B!$IS52-1,"")</f>
        <v/>
      </c>
      <c r="AX52" s="62" t="str">
        <f>IFERROR(Inv_SY_B!AX52/Inv_SY_B!$IS52-1,"")</f>
        <v/>
      </c>
      <c r="AY52" s="62" t="str">
        <f>IFERROR(Inv_SY_B!AY52/Inv_SY_B!$IS52-1,"")</f>
        <v/>
      </c>
      <c r="AZ52" s="62" t="str">
        <f>IFERROR(Inv_SY_B!AZ52/Inv_SY_B!$IS52-1,"")</f>
        <v/>
      </c>
      <c r="BA52" s="62" t="str">
        <f>IFERROR(Inv_SY_B!BA52/Inv_SY_B!$IS52-1,"")</f>
        <v/>
      </c>
      <c r="BB52" s="62" t="str">
        <f>IFERROR(Inv_SY_B!BB52/Inv_SY_B!$IS52-1,"")</f>
        <v/>
      </c>
      <c r="BC52" s="62" t="str">
        <f>IFERROR(Inv_SY_B!BC52/Inv_SY_B!$IS52-1,"")</f>
        <v/>
      </c>
      <c r="BD52" s="62" t="str">
        <f>IFERROR(Inv_SY_B!BD52/Inv_SY_B!$IS52-1,"")</f>
        <v/>
      </c>
      <c r="BE52" s="62" t="str">
        <f>IFERROR(Inv_SY_B!BE52/Inv_SY_B!$IS52-1,"")</f>
        <v/>
      </c>
      <c r="BF52" s="62" t="str">
        <f>IFERROR(Inv_SY_B!BF52/Inv_SY_B!$IS52-1,"")</f>
        <v/>
      </c>
      <c r="BG52" s="62" t="str">
        <f>IFERROR(Inv_SY_B!BG52/Inv_SY_B!$IS52-1,"")</f>
        <v/>
      </c>
      <c r="BH52" s="62" t="str">
        <f>IFERROR(Inv_SY_B!BH52/Inv_SY_B!$IS52-1,"")</f>
        <v/>
      </c>
      <c r="BI52" s="62" t="str">
        <f>IFERROR(Inv_SY_B!BI52/Inv_SY_B!$IS52-1,"")</f>
        <v/>
      </c>
      <c r="BJ52" s="62" t="str">
        <f>IFERROR(Inv_SY_B!BJ52/Inv_SY_B!$IS52-1,"")</f>
        <v/>
      </c>
      <c r="BK52" s="62" t="str">
        <f>IFERROR(Inv_SY_B!BK52/Inv_SY_B!$IS52-1,"")</f>
        <v/>
      </c>
      <c r="BL52" s="62" t="str">
        <f>IFERROR(Inv_SY_B!BL52/Inv_SY_B!$IS52-1,"")</f>
        <v/>
      </c>
      <c r="BM52" s="62" t="str">
        <f>IFERROR(Inv_SY_B!BM52/Inv_SY_B!$IS52-1,"")</f>
        <v/>
      </c>
      <c r="BN52" s="62" t="str">
        <f>IFERROR(Inv_SY_B!BN52/Inv_SY_B!$IS52-1,"")</f>
        <v/>
      </c>
      <c r="BO52" s="62" t="str">
        <f>IFERROR(Inv_SY_B!BO52/Inv_SY_B!$IS52-1,"")</f>
        <v/>
      </c>
      <c r="BP52" s="62" t="str">
        <f>IFERROR(Inv_SY_B!BP52/Inv_SY_B!$IS52-1,"")</f>
        <v/>
      </c>
      <c r="BQ52" s="62" t="str">
        <f>IFERROR(Inv_SY_B!BQ52/Inv_SY_B!$IS52-1,"")</f>
        <v/>
      </c>
      <c r="BR52" s="62" t="str">
        <f>IFERROR(Inv_SY_B!BR52/Inv_SY_B!$IS52-1,"")</f>
        <v/>
      </c>
      <c r="BS52" s="62" t="str">
        <f>IFERROR(Inv_SY_B!BS52/Inv_SY_B!$IS52-1,"")</f>
        <v/>
      </c>
      <c r="BT52" s="62" t="str">
        <f>IFERROR(Inv_SY_B!BT52/Inv_SY_B!$IS52-1,"")</f>
        <v/>
      </c>
      <c r="BU52" s="62" t="str">
        <f>IFERROR(Inv_SY_B!BU52/Inv_SY_B!$IS52-1,"")</f>
        <v/>
      </c>
      <c r="BV52" s="62" t="str">
        <f>IFERROR(Inv_SY_B!BV52/Inv_SY_B!$IS52-1,"")</f>
        <v/>
      </c>
      <c r="BW52" s="62" t="str">
        <f>IFERROR(Inv_SY_B!BW52/Inv_SY_B!$IS52-1,"")</f>
        <v/>
      </c>
      <c r="BX52" s="62" t="str">
        <f>IFERROR(Inv_SY_B!BX52/Inv_SY_B!$IS52-1,"")</f>
        <v/>
      </c>
      <c r="BY52" s="62" t="str">
        <f>IFERROR(Inv_SY_B!BY52/Inv_SY_B!$IS52-1,"")</f>
        <v/>
      </c>
      <c r="BZ52" s="62" t="str">
        <f>IFERROR(Inv_SY_B!BZ52/Inv_SY_B!$IS52-1,"")</f>
        <v/>
      </c>
      <c r="CA52" s="62" t="str">
        <f>IFERROR(Inv_SY_B!CA52/Inv_SY_B!$IS52-1,"")</f>
        <v/>
      </c>
      <c r="CB52" s="62" t="str">
        <f>IFERROR(Inv_SY_B!CB52/Inv_SY_B!$IS52-1,"")</f>
        <v/>
      </c>
      <c r="CC52" s="62" t="str">
        <f>IFERROR(Inv_SY_B!CC52/Inv_SY_B!$IS52-1,"")</f>
        <v/>
      </c>
      <c r="CD52" s="62" t="str">
        <f>IFERROR(Inv_SY_B!CD52/Inv_SY_B!$IS52-1,"")</f>
        <v/>
      </c>
      <c r="CE52" s="62" t="str">
        <f>IFERROR(Inv_SY_B!CE52/Inv_SY_B!$IS52-1,"")</f>
        <v/>
      </c>
      <c r="CF52" s="62" t="str">
        <f>IFERROR(Inv_SY_B!CF52/Inv_SY_B!$IS52-1,"")</f>
        <v/>
      </c>
      <c r="CG52" s="62" t="str">
        <f>IFERROR(Inv_SY_B!CG52/Inv_SY_B!$IS52-1,"")</f>
        <v/>
      </c>
      <c r="CH52" s="62" t="str">
        <f>IFERROR(Inv_SY_B!CH52/Inv_SY_B!$IS52-1,"")</f>
        <v/>
      </c>
      <c r="CI52" s="62" t="str">
        <f>IFERROR(Inv_SY_B!CI52/Inv_SY_B!$IS52-1,"")</f>
        <v/>
      </c>
      <c r="CJ52" s="62" t="str">
        <f>IFERROR(Inv_SY_B!CJ52/Inv_SY_B!$IS52-1,"")</f>
        <v/>
      </c>
      <c r="CK52" s="62" t="str">
        <f>IFERROR(Inv_SY_B!CK52/Inv_SY_B!$IS52-1,"")</f>
        <v/>
      </c>
      <c r="CL52" s="62" t="str">
        <f>IFERROR(Inv_SY_B!CL52/Inv_SY_B!$IS52-1,"")</f>
        <v/>
      </c>
      <c r="CM52" s="62" t="str">
        <f>IFERROR(Inv_SY_B!CM52/Inv_SY_B!$IS52-1,"")</f>
        <v/>
      </c>
      <c r="CN52" s="62" t="str">
        <f>IFERROR(Inv_SY_B!CN52/Inv_SY_B!$IS52-1,"")</f>
        <v/>
      </c>
      <c r="CO52" s="62" t="str">
        <f>IFERROR(Inv_SY_B!CO52/Inv_SY_B!$IS52-1,"")</f>
        <v/>
      </c>
      <c r="CP52" s="62" t="str">
        <f>IFERROR(Inv_SY_B!CP52/Inv_SY_B!$IS52-1,"")</f>
        <v/>
      </c>
      <c r="CQ52" s="62" t="str">
        <f>IFERROR(Inv_SY_B!CQ52/Inv_SY_B!$IS52-1,"")</f>
        <v/>
      </c>
      <c r="CR52" s="62" t="str">
        <f>IFERROR(Inv_SY_B!CR52/Inv_SY_B!$IS52-1,"")</f>
        <v/>
      </c>
      <c r="CS52" s="62" t="str">
        <f>IFERROR(Inv_SY_B!CS52/Inv_SY_B!$IS52-1,"")</f>
        <v/>
      </c>
      <c r="CT52" s="62" t="str">
        <f>IFERROR(Inv_SY_B!CT52/Inv_SY_B!$IS52-1,"")</f>
        <v/>
      </c>
      <c r="CU52" s="62" t="str">
        <f>IFERROR(Inv_SY_B!CU52/Inv_SY_B!$IS52-1,"")</f>
        <v/>
      </c>
      <c r="CV52" s="62" t="str">
        <f>IFERROR(Inv_SY_B!CV52/Inv_SY_B!$IS52-1,"")</f>
        <v/>
      </c>
      <c r="CW52" s="62" t="str">
        <f>IFERROR(Inv_SY_B!CW52/Inv_SY_B!$IS52-1,"")</f>
        <v/>
      </c>
      <c r="CX52" s="62" t="str">
        <f>IFERROR(Inv_SY_B!CX52/Inv_SY_B!$IS52-1,"")</f>
        <v/>
      </c>
      <c r="CY52" s="62" t="str">
        <f>IFERROR(Inv_SY_B!CY52/Inv_SY_B!$IS52-1,"")</f>
        <v/>
      </c>
      <c r="CZ52" s="62" t="str">
        <f>IFERROR(Inv_SY_B!CZ52/Inv_SY_B!$IS52-1,"")</f>
        <v/>
      </c>
      <c r="DA52" s="62" t="str">
        <f>IFERROR(Inv_SY_B!DA52/Inv_SY_B!$IS52-1,"")</f>
        <v/>
      </c>
      <c r="DB52" s="62" t="str">
        <f>IFERROR(Inv_SY_B!DB52/Inv_SY_B!$IS52-1,"")</f>
        <v/>
      </c>
      <c r="DC52" s="62" t="str">
        <f>IFERROR(Inv_SY_B!DC52/Inv_SY_B!$IS52-1,"")</f>
        <v/>
      </c>
      <c r="DD52" s="62" t="str">
        <f>IFERROR(Inv_SY_B!DD52/Inv_SY_B!$IS52-1,"")</f>
        <v/>
      </c>
      <c r="DE52" s="62" t="str">
        <f>IFERROR(Inv_SY_B!DE52/Inv_SY_B!$IS52-1,"")</f>
        <v/>
      </c>
      <c r="DF52" s="62" t="str">
        <f>IFERROR(Inv_SY_B!DF52/Inv_SY_B!$IS52-1,"")</f>
        <v/>
      </c>
      <c r="DG52" s="62" t="str">
        <f>IFERROR(Inv_SY_B!DG52/Inv_SY_B!$IS52-1,"")</f>
        <v/>
      </c>
      <c r="DH52" s="62" t="str">
        <f>IFERROR(Inv_SY_B!DH52/Inv_SY_B!$IS52-1,"")</f>
        <v/>
      </c>
      <c r="DI52" s="62" t="str">
        <f>IFERROR(Inv_SY_B!DI52/Inv_SY_B!$IS52-1,"")</f>
        <v/>
      </c>
      <c r="DJ52" s="62" t="str">
        <f>IFERROR(Inv_SY_B!DJ52/Inv_SY_B!$IS52-1,"")</f>
        <v/>
      </c>
      <c r="DK52" s="62" t="str">
        <f>IFERROR(Inv_SY_B!DK52/Inv_SY_B!$IS52-1,"")</f>
        <v/>
      </c>
      <c r="DL52" s="62" t="str">
        <f>IFERROR(Inv_SY_B!DL52/Inv_SY_B!$IS52-1,"")</f>
        <v/>
      </c>
      <c r="DM52" s="62" t="str">
        <f>IFERROR(Inv_SY_B!DM52/Inv_SY_B!$IS52-1,"")</f>
        <v/>
      </c>
      <c r="DN52" s="62" t="str">
        <f>IFERROR(Inv_SY_B!DN52/Inv_SY_B!$IS52-1,"")</f>
        <v/>
      </c>
      <c r="DO52" s="62" t="str">
        <f>IFERROR(Inv_SY_B!DO52/Inv_SY_B!$IS52-1,"")</f>
        <v/>
      </c>
      <c r="DP52" s="62" t="str">
        <f>IFERROR(Inv_SY_B!DP52/Inv_SY_B!$IS52-1,"")</f>
        <v/>
      </c>
      <c r="DQ52" s="62" t="str">
        <f>IFERROR(Inv_SY_B!DQ52/Inv_SY_B!$IS52-1,"")</f>
        <v/>
      </c>
      <c r="DR52" s="62" t="str">
        <f>IFERROR(Inv_SY_B!DR52/Inv_SY_B!$IS52-1,"")</f>
        <v/>
      </c>
      <c r="DS52" s="62" t="str">
        <f>IFERROR(Inv_SY_B!DS52/Inv_SY_B!$IS52-1,"")</f>
        <v/>
      </c>
      <c r="DT52" s="62" t="str">
        <f>IFERROR(Inv_SY_B!DT52/Inv_SY_B!$IS52-1,"")</f>
        <v/>
      </c>
      <c r="DU52" s="62" t="str">
        <f>IFERROR(Inv_SY_B!DU52/Inv_SY_B!$IS52-1,"")</f>
        <v/>
      </c>
      <c r="DV52" s="62" t="str">
        <f>IFERROR(Inv_SY_B!DV52/Inv_SY_B!$IS52-1,"")</f>
        <v/>
      </c>
      <c r="DW52" s="62" t="str">
        <f>IFERROR(Inv_SY_B!DW52/Inv_SY_B!$IS52-1,"")</f>
        <v/>
      </c>
      <c r="DX52" s="62" t="str">
        <f>IFERROR(Inv_SY_B!DX52/Inv_SY_B!$IS52-1,"")</f>
        <v/>
      </c>
      <c r="DY52" s="62" t="str">
        <f>IFERROR(Inv_SY_B!DY52/Inv_SY_B!$IS52-1,"")</f>
        <v/>
      </c>
      <c r="DZ52" s="62" t="str">
        <f>IFERROR(Inv_SY_B!DZ52/Inv_SY_B!$IS52-1,"")</f>
        <v/>
      </c>
      <c r="EA52" s="62" t="str">
        <f>IFERROR(Inv_SY_B!EA52/Inv_SY_B!$IS52-1,"")</f>
        <v/>
      </c>
      <c r="EB52" s="62" t="str">
        <f>IFERROR(Inv_SY_B!EB52/Inv_SY_B!$IS52-1,"")</f>
        <v/>
      </c>
      <c r="EC52" s="62" t="str">
        <f>IFERROR(Inv_SY_B!EC52/Inv_SY_B!$IS52-1,"")</f>
        <v/>
      </c>
      <c r="ED52" s="62" t="str">
        <f>IFERROR(Inv_SY_B!ED52/Inv_SY_B!$IS52-1,"")</f>
        <v/>
      </c>
      <c r="EE52" s="62" t="str">
        <f>IFERROR(Inv_SY_B!EE52/Inv_SY_B!$IS52-1,"")</f>
        <v/>
      </c>
      <c r="EF52" s="62" t="str">
        <f>IFERROR(Inv_SY_B!EF52/Inv_SY_B!$IS52-1,"")</f>
        <v/>
      </c>
      <c r="EG52" s="62" t="str">
        <f>IFERROR(Inv_SY_B!EG52/Inv_SY_B!$IS52-1,"")</f>
        <v/>
      </c>
      <c r="EH52" s="62" t="str">
        <f>IFERROR(Inv_SY_B!EH52/Inv_SY_B!$IS52-1,"")</f>
        <v/>
      </c>
      <c r="EI52" s="62" t="str">
        <f>IFERROR(Inv_SY_B!EI52/Inv_SY_B!$IS52-1,"")</f>
        <v/>
      </c>
      <c r="EJ52" s="62" t="str">
        <f>IFERROR(Inv_SY_B!EJ52/Inv_SY_B!$IS52-1,"")</f>
        <v/>
      </c>
      <c r="EK52" s="62" t="str">
        <f>IFERROR(Inv_SY_B!EK52/Inv_SY_B!$IS52-1,"")</f>
        <v/>
      </c>
      <c r="EL52" s="62" t="str">
        <f>IFERROR(Inv_SY_B!EL52/Inv_SY_B!$IS52-1,"")</f>
        <v/>
      </c>
      <c r="EM52" s="62" t="str">
        <f>IFERROR(Inv_SY_B!EM52/Inv_SY_B!$IS52-1,"")</f>
        <v/>
      </c>
      <c r="EN52" s="62" t="str">
        <f>IFERROR(Inv_SY_B!EN52/Inv_SY_B!$IS52-1,"")</f>
        <v/>
      </c>
      <c r="EO52" s="62" t="str">
        <f>IFERROR(Inv_SY_B!EO52/Inv_SY_B!$IS52-1,"")</f>
        <v/>
      </c>
      <c r="EP52" s="62" t="str">
        <f>IFERROR(Inv_SY_B!EP52/Inv_SY_B!$IS52-1,"")</f>
        <v/>
      </c>
      <c r="EQ52" s="62" t="str">
        <f>IFERROR(Inv_SY_B!EQ52/Inv_SY_B!$IS52-1,"")</f>
        <v/>
      </c>
      <c r="ER52" s="62" t="str">
        <f>IFERROR(Inv_SY_B!ER52/Inv_SY_B!$IS52-1,"")</f>
        <v/>
      </c>
      <c r="ES52" s="62" t="str">
        <f>IFERROR(Inv_SY_B!ES52/Inv_SY_B!$IS52-1,"")</f>
        <v/>
      </c>
      <c r="ET52" s="62" t="str">
        <f>IFERROR(Inv_SY_B!ET52/Inv_SY_B!$IS52-1,"")</f>
        <v/>
      </c>
      <c r="EU52" s="62" t="str">
        <f>IFERROR(Inv_SY_B!EU52/Inv_SY_B!$IS52-1,"")</f>
        <v/>
      </c>
      <c r="EV52" s="62" t="str">
        <f>IFERROR(Inv_SY_B!EV52/Inv_SY_B!$IS52-1,"")</f>
        <v/>
      </c>
      <c r="EW52" s="62" t="str">
        <f>IFERROR(Inv_SY_B!EW52/Inv_SY_B!$IS52-1,"")</f>
        <v/>
      </c>
      <c r="EX52" s="62" t="str">
        <f>IFERROR(Inv_SY_B!EX52/Inv_SY_B!$IS52-1,"")</f>
        <v/>
      </c>
      <c r="EY52" s="62" t="str">
        <f>IFERROR(Inv_SY_B!EY52/Inv_SY_B!$IS52-1,"")</f>
        <v/>
      </c>
      <c r="EZ52" s="62" t="str">
        <f>IFERROR(Inv_SY_B!EZ52/Inv_SY_B!$IS52-1,"")</f>
        <v/>
      </c>
      <c r="FA52" s="62" t="str">
        <f>IFERROR(Inv_SY_B!FA52/Inv_SY_B!$IS52-1,"")</f>
        <v/>
      </c>
      <c r="FB52" s="62" t="str">
        <f>IFERROR(Inv_SY_B!FB52/Inv_SY_B!$IS52-1,"")</f>
        <v/>
      </c>
      <c r="FC52" s="62" t="str">
        <f>IFERROR(Inv_SY_B!FC52/Inv_SY_B!$IS52-1,"")</f>
        <v/>
      </c>
      <c r="FD52" s="62" t="str">
        <f>IFERROR(Inv_SY_B!FD52/Inv_SY_B!$IS52-1,"")</f>
        <v/>
      </c>
      <c r="FE52" s="62" t="str">
        <f>IFERROR(Inv_SY_B!FE52/Inv_SY_B!$IS52-1,"")</f>
        <v/>
      </c>
      <c r="FF52" s="62" t="str">
        <f>IFERROR(Inv_SY_B!FF52/Inv_SY_B!$IS52-1,"")</f>
        <v/>
      </c>
      <c r="FG52" s="62" t="str">
        <f>IFERROR(Inv_SY_B!FG52/Inv_SY_B!$IS52-1,"")</f>
        <v/>
      </c>
      <c r="FH52" s="62" t="str">
        <f>IFERROR(Inv_SY_B!FH52/Inv_SY_B!$IS52-1,"")</f>
        <v/>
      </c>
      <c r="FI52" s="62" t="str">
        <f>IFERROR(Inv_SY_B!FI52/Inv_SY_B!$IS52-1,"")</f>
        <v/>
      </c>
      <c r="FJ52" s="62" t="str">
        <f>IFERROR(Inv_SY_B!FJ52/Inv_SY_B!$IS52-1,"")</f>
        <v/>
      </c>
      <c r="FK52" s="62" t="str">
        <f>IFERROR(Inv_SY_B!FK52/Inv_SY_B!$IS52-1,"")</f>
        <v/>
      </c>
      <c r="FL52" s="62" t="str">
        <f>IFERROR(Inv_SY_B!FL52/Inv_SY_B!$IS52-1,"")</f>
        <v/>
      </c>
      <c r="FM52" s="62" t="str">
        <f>IFERROR(Inv_SY_B!FM52/Inv_SY_B!$IS52-1,"")</f>
        <v/>
      </c>
      <c r="FN52" s="62" t="str">
        <f>IFERROR(Inv_SY_B!FN52/Inv_SY_B!$IS52-1,"")</f>
        <v/>
      </c>
      <c r="FO52" s="62" t="str">
        <f>IFERROR(Inv_SY_B!FO52/Inv_SY_B!$IS52-1,"")</f>
        <v/>
      </c>
      <c r="FP52" s="62" t="str">
        <f>IFERROR(Inv_SY_B!FP52/Inv_SY_B!$IS52-1,"")</f>
        <v/>
      </c>
      <c r="FQ52" s="62" t="str">
        <f>IFERROR(Inv_SY_B!FQ52/Inv_SY_B!$IS52-1,"")</f>
        <v/>
      </c>
      <c r="FR52" s="62" t="str">
        <f>IFERROR(Inv_SY_B!FR52/Inv_SY_B!$IS52-1,"")</f>
        <v/>
      </c>
      <c r="FS52" s="62" t="str">
        <f>IFERROR(Inv_SY_B!FS52/Inv_SY_B!$IS52-1,"")</f>
        <v/>
      </c>
      <c r="FT52" s="62" t="str">
        <f>IFERROR(Inv_SY_B!FT52/Inv_SY_B!$IS52-1,"")</f>
        <v/>
      </c>
      <c r="FU52" s="62" t="str">
        <f>IFERROR(Inv_SY_B!FU52/Inv_SY_B!$IS52-1,"")</f>
        <v/>
      </c>
      <c r="FV52" s="62" t="str">
        <f>IFERROR(Inv_SY_B!FV52/Inv_SY_B!$IS52-1,"")</f>
        <v/>
      </c>
      <c r="FW52" s="62" t="str">
        <f>IFERROR(Inv_SY_B!FW52/Inv_SY_B!$IS52-1,"")</f>
        <v/>
      </c>
      <c r="FX52" s="62" t="str">
        <f>IFERROR(Inv_SY_B!FX52/Inv_SY_B!$IS52-1,"")</f>
        <v/>
      </c>
      <c r="FY52" s="62" t="str">
        <f>IFERROR(Inv_SY_B!FY52/Inv_SY_B!$IS52-1,"")</f>
        <v/>
      </c>
      <c r="FZ52" s="62" t="str">
        <f>IFERROR(Inv_SY_B!FZ52/Inv_SY_B!$IS52-1,"")</f>
        <v/>
      </c>
      <c r="GA52" s="62" t="str">
        <f>IFERROR(Inv_SY_B!GA52/Inv_SY_B!$IS52-1,"")</f>
        <v/>
      </c>
      <c r="GB52" s="62" t="str">
        <f>IFERROR(Inv_SY_B!GB52/Inv_SY_B!$IS52-1,"")</f>
        <v/>
      </c>
      <c r="GC52" s="62" t="str">
        <f>IFERROR(Inv_SY_B!GC52/Inv_SY_B!$IS52-1,"")</f>
        <v/>
      </c>
      <c r="GD52" s="62" t="str">
        <f>IFERROR(Inv_SY_B!GD52/Inv_SY_B!$IS52-1,"")</f>
        <v/>
      </c>
      <c r="GE52" s="62" t="str">
        <f>IFERROR(Inv_SY_B!GE52/Inv_SY_B!$IS52-1,"")</f>
        <v/>
      </c>
      <c r="GF52" s="62" t="str">
        <f>IFERROR(Inv_SY_B!GF52/Inv_SY_B!$IS52-1,"")</f>
        <v/>
      </c>
      <c r="GG52" s="62" t="str">
        <f>IFERROR(Inv_SY_B!GG52/Inv_SY_B!$IS52-1,"")</f>
        <v/>
      </c>
      <c r="GH52" s="62" t="str">
        <f>IFERROR(Inv_SY_B!GH52/Inv_SY_B!$IS52-1,"")</f>
        <v/>
      </c>
      <c r="GI52" s="62" t="str">
        <f>IFERROR(Inv_SY_B!GI52/Inv_SY_B!$IS52-1,"")</f>
        <v/>
      </c>
      <c r="GJ52" s="62" t="str">
        <f>IFERROR(Inv_SY_B!GJ52/Inv_SY_B!$IS52-1,"")</f>
        <v/>
      </c>
      <c r="GK52" s="62" t="str">
        <f>IFERROR(Inv_SY_B!GK52/Inv_SY_B!$IS52-1,"")</f>
        <v/>
      </c>
      <c r="GL52" s="62" t="str">
        <f>IFERROR(Inv_SY_B!GL52/Inv_SY_B!$IS52-1,"")</f>
        <v/>
      </c>
      <c r="GM52" s="62" t="str">
        <f>IFERROR(Inv_SY_B!GM52/Inv_SY_B!$IS52-1,"")</f>
        <v/>
      </c>
      <c r="GN52" s="62" t="str">
        <f>IFERROR(Inv_SY_B!GN52/Inv_SY_B!$IS52-1,"")</f>
        <v/>
      </c>
      <c r="GO52" s="62" t="str">
        <f>IFERROR(Inv_SY_B!GO52/Inv_SY_B!$IS52-1,"")</f>
        <v/>
      </c>
      <c r="GP52" s="62" t="str">
        <f>IFERROR(Inv_SY_B!GP52/Inv_SY_B!$IS52-1,"")</f>
        <v/>
      </c>
      <c r="GQ52" s="62" t="str">
        <f>IFERROR(Inv_SY_B!GQ52/Inv_SY_B!$IS52-1,"")</f>
        <v/>
      </c>
      <c r="GR52" s="62" t="str">
        <f>IFERROR(Inv_SY_B!GR52/Inv_SY_B!$IS52-1,"")</f>
        <v/>
      </c>
      <c r="GS52" s="62" t="str">
        <f>IFERROR(Inv_SY_B!GS52/Inv_SY_B!$IS52-1,"")</f>
        <v/>
      </c>
      <c r="GT52" s="62" t="str">
        <f>IFERROR(Inv_SY_B!GT52/Inv_SY_B!$IS52-1,"")</f>
        <v/>
      </c>
      <c r="GU52" s="62" t="str">
        <f>IFERROR(Inv_SY_B!GU52/Inv_SY_B!$IS52-1,"")</f>
        <v/>
      </c>
      <c r="GV52" s="62" t="str">
        <f>IFERROR(Inv_SY_B!GV52/Inv_SY_B!$IS52-1,"")</f>
        <v/>
      </c>
      <c r="GW52" s="62" t="str">
        <f>IFERROR(Inv_SY_B!GW52/Inv_SY_B!$IS52-1,"")</f>
        <v/>
      </c>
      <c r="GX52" s="62" t="str">
        <f>IFERROR(Inv_SY_B!GX52/Inv_SY_B!$IS52-1,"")</f>
        <v/>
      </c>
      <c r="GY52" s="62" t="str">
        <f>IFERROR(Inv_SY_B!GY52/Inv_SY_B!$IS52-1,"")</f>
        <v/>
      </c>
      <c r="GZ52" s="62" t="str">
        <f>IFERROR(Inv_SY_B!GZ52/Inv_SY_B!$IS52-1,"")</f>
        <v/>
      </c>
      <c r="HA52" s="62" t="str">
        <f>IFERROR(Inv_SY_B!HA52/Inv_SY_B!$IS52-1,"")</f>
        <v/>
      </c>
      <c r="HB52" s="62" t="str">
        <f>IFERROR(Inv_SY_B!HB52/Inv_SY_B!$IS52-1,"")</f>
        <v/>
      </c>
      <c r="HC52" s="62" t="str">
        <f>IFERROR(Inv_SY_B!HC52/Inv_SY_B!$IS52-1,"")</f>
        <v/>
      </c>
      <c r="HD52" s="62" t="str">
        <f>IFERROR(Inv_SY_B!HD52/Inv_SY_B!$IS52-1,"")</f>
        <v/>
      </c>
      <c r="HE52" s="62" t="str">
        <f>IFERROR(Inv_SY_B!HE52/Inv_SY_B!$IS52-1,"")</f>
        <v/>
      </c>
      <c r="HF52" s="62" t="str">
        <f>IFERROR(Inv_SY_B!HF52/Inv_SY_B!$IS52-1,"")</f>
        <v/>
      </c>
      <c r="HG52" s="62" t="str">
        <f>IFERROR(Inv_SY_B!HG52/Inv_SY_B!$IS52-1,"")</f>
        <v/>
      </c>
      <c r="HH52" s="62" t="str">
        <f>IFERROR(Inv_SY_B!HH52/Inv_SY_B!$IS52-1,"")</f>
        <v/>
      </c>
      <c r="HI52" s="62" t="str">
        <f>IFERROR(Inv_SY_B!HI52/Inv_SY_B!$IS52-1,"")</f>
        <v/>
      </c>
      <c r="HJ52" s="62" t="str">
        <f>IFERROR(Inv_SY_B!HJ52/Inv_SY_B!$IS52-1,"")</f>
        <v/>
      </c>
      <c r="HK52" s="62" t="str">
        <f>IFERROR(Inv_SY_B!HK52/Inv_SY_B!$IS52-1,"")</f>
        <v/>
      </c>
      <c r="HL52" s="62" t="str">
        <f>IFERROR(Inv_SY_B!HL52/Inv_SY_B!$IS52-1,"")</f>
        <v/>
      </c>
      <c r="HM52" s="62" t="str">
        <f>IFERROR(Inv_SY_B!HM52/Inv_SY_B!$IS52-1,"")</f>
        <v/>
      </c>
      <c r="HN52" s="62" t="str">
        <f>IFERROR(Inv_SY_B!HN52/Inv_SY_B!$IS52-1,"")</f>
        <v/>
      </c>
      <c r="HO52" s="62" t="str">
        <f>IFERROR(Inv_SY_B!HO52/Inv_SY_B!$IS52-1,"")</f>
        <v/>
      </c>
      <c r="HP52" s="62" t="str">
        <f>IFERROR(Inv_SY_B!HP52/Inv_SY_B!$IS52-1,"")</f>
        <v/>
      </c>
      <c r="HQ52" s="62" t="str">
        <f>IFERROR(Inv_SY_B!HQ52/Inv_SY_B!$IS52-1,"")</f>
        <v/>
      </c>
      <c r="HR52" s="62" t="str">
        <f>IFERROR(Inv_SY_B!HR52/Inv_SY_B!$IS52-1,"")</f>
        <v/>
      </c>
      <c r="HS52" s="62" t="str">
        <f>IFERROR(Inv_SY_B!HS52/Inv_SY_B!$IS52-1,"")</f>
        <v/>
      </c>
      <c r="HT52" s="62" t="str">
        <f>IFERROR(Inv_SY_B!HT52/Inv_SY_B!$IS52-1,"")</f>
        <v/>
      </c>
      <c r="HU52" s="62" t="str">
        <f>IFERROR(Inv_SY_B!HU52/Inv_SY_B!$IS52-1,"")</f>
        <v/>
      </c>
      <c r="HV52" s="62" t="str">
        <f>IFERROR(Inv_SY_B!HV52/Inv_SY_B!$IS52-1,"")</f>
        <v/>
      </c>
      <c r="HW52" s="62" t="str">
        <f>IFERROR(Inv_SY_B!HW52/Inv_SY_B!$IS52-1,"")</f>
        <v/>
      </c>
      <c r="HX52" s="62" t="str">
        <f>IFERROR(Inv_SY_B!HX52/Inv_SY_B!$IS52-1,"")</f>
        <v/>
      </c>
      <c r="HY52" s="62" t="str">
        <f>IFERROR(Inv_SY_B!HY52/Inv_SY_B!$IS52-1,"")</f>
        <v/>
      </c>
      <c r="HZ52" s="62" t="str">
        <f>IFERROR(Inv_SY_B!HZ52/Inv_SY_B!$IS52-1,"")</f>
        <v/>
      </c>
      <c r="IA52" s="62" t="str">
        <f>IFERROR(Inv_SY_B!IA52/Inv_SY_B!$IS52-1,"")</f>
        <v/>
      </c>
      <c r="IB52" s="62" t="str">
        <f>IFERROR(Inv_SY_B!IB52/Inv_SY_B!$IS52-1,"")</f>
        <v/>
      </c>
      <c r="IC52" s="62" t="str">
        <f>IFERROR(Inv_SY_B!IC52/Inv_SY_B!$IS52-1,"")</f>
        <v/>
      </c>
      <c r="ID52" s="62" t="str">
        <f>IFERROR(Inv_SY_B!ID52/Inv_SY_B!$IS52-1,"")</f>
        <v/>
      </c>
      <c r="IE52" s="62" t="str">
        <f>IFERROR(Inv_SY_B!IE52/Inv_SY_B!$IS52-1,"")</f>
        <v/>
      </c>
      <c r="IF52" s="62" t="str">
        <f>IFERROR(Inv_SY_B!IF52/Inv_SY_B!$IS52-1,"")</f>
        <v/>
      </c>
      <c r="IG52" s="62" t="str">
        <f>IFERROR(Inv_SY_B!IG52/Inv_SY_B!$IS52-1,"")</f>
        <v/>
      </c>
      <c r="IH52" s="62" t="str">
        <f>IFERROR(Inv_SY_B!IH52/Inv_SY_B!$IS52-1,"")</f>
        <v/>
      </c>
      <c r="II52" s="62" t="str">
        <f>IFERROR(Inv_SY_B!II52/Inv_SY_B!$IS52-1,"")</f>
        <v/>
      </c>
      <c r="IJ52" s="62" t="str">
        <f>IFERROR(Inv_SY_B!IJ52/Inv_SY_B!$IS52-1,"")</f>
        <v/>
      </c>
      <c r="IK52" s="62" t="str">
        <f>IFERROR(Inv_SY_B!IK52/Inv_SY_B!$IS52-1,"")</f>
        <v/>
      </c>
      <c r="IL52" s="62" t="str">
        <f>IFERROR(Inv_SY_B!IL52/Inv_SY_B!$IS52-1,"")</f>
        <v/>
      </c>
      <c r="IM52" s="62" t="str">
        <f>IFERROR(Inv_SY_B!IM52/Inv_SY_B!$IS52-1,"")</f>
        <v/>
      </c>
      <c r="IN52" s="62" t="str">
        <f>IFERROR(Inv_SY_B!IN52/Inv_SY_B!$IS52-1,"")</f>
        <v/>
      </c>
      <c r="IO52" s="62" t="str">
        <f>IFERROR(Inv_SY_B!IO52/Inv_SY_B!$IS52-1,"")</f>
        <v/>
      </c>
      <c r="IP52" s="62" t="str">
        <f>IFERROR(Inv_SY_B!IP52/Inv_SY_B!$IS52-1,"")</f>
        <v/>
      </c>
      <c r="IQ52" s="62" t="str">
        <f>IFERROR(Inv_SY_B!IQ52/Inv_SY_B!$IS52-1,"")</f>
        <v/>
      </c>
      <c r="IR52" s="62" t="str">
        <f>IFERROR(Inv_SY_B!IR52/Inv_SY_B!$IS52-1,"")</f>
        <v/>
      </c>
    </row>
    <row r="53" spans="2:252" x14ac:dyDescent="0.25">
      <c r="B53" s="85">
        <f t="shared" si="0"/>
        <v>45879</v>
      </c>
      <c r="C53" s="62" t="str">
        <f>IFERROR(Inv_SY_B!C53/Inv_SY_B!$IS53-1,"")</f>
        <v/>
      </c>
      <c r="D53" s="62" t="str">
        <f>IFERROR(Inv_SY_B!D53/Inv_SY_B!$IS53-1,"")</f>
        <v/>
      </c>
      <c r="E53" s="62" t="str">
        <f>IFERROR(Inv_SY_B!E53/Inv_SY_B!$IS53-1,"")</f>
        <v/>
      </c>
      <c r="F53" s="62" t="str">
        <f>IFERROR(Inv_SY_B!F53/Inv_SY_B!$IS53-1,"")</f>
        <v/>
      </c>
      <c r="G53" s="62" t="str">
        <f>IFERROR(Inv_SY_B!G53/Inv_SY_B!$IS53-1,"")</f>
        <v/>
      </c>
      <c r="H53" s="62" t="str">
        <f>IFERROR(Inv_SY_B!H53/Inv_SY_B!$IS53-1,"")</f>
        <v/>
      </c>
      <c r="I53" s="62" t="str">
        <f>IFERROR(Inv_SY_B!I53/Inv_SY_B!$IS53-1,"")</f>
        <v/>
      </c>
      <c r="J53" s="62" t="str">
        <f>IFERROR(Inv_SY_B!J53/Inv_SY_B!$IS53-1,"")</f>
        <v/>
      </c>
      <c r="K53" s="62" t="str">
        <f>IFERROR(Inv_SY_B!K53/Inv_SY_B!$IS53-1,"")</f>
        <v/>
      </c>
      <c r="L53" s="62" t="str">
        <f>IFERROR(Inv_SY_B!L53/Inv_SY_B!$IS53-1,"")</f>
        <v/>
      </c>
      <c r="M53" s="62" t="str">
        <f>IFERROR(Inv_SY_B!M53/Inv_SY_B!$IS53-1,"")</f>
        <v/>
      </c>
      <c r="N53" s="62" t="str">
        <f>IFERROR(Inv_SY_B!N53/Inv_SY_B!$IS53-1,"")</f>
        <v/>
      </c>
      <c r="O53" s="62" t="str">
        <f>IFERROR(Inv_SY_B!O53/Inv_SY_B!$IS53-1,"")</f>
        <v/>
      </c>
      <c r="P53" s="62" t="str">
        <f>IFERROR(Inv_SY_B!P53/Inv_SY_B!$IS53-1,"")</f>
        <v/>
      </c>
      <c r="Q53" s="62" t="str">
        <f>IFERROR(Inv_SY_B!Q53/Inv_SY_B!$IS53-1,"")</f>
        <v/>
      </c>
      <c r="R53" s="62" t="str">
        <f>IFERROR(Inv_SY_B!R53/Inv_SY_B!$IS53-1,"")</f>
        <v/>
      </c>
      <c r="S53" s="62" t="str">
        <f>IFERROR(Inv_SY_B!S53/Inv_SY_B!$IS53-1,"")</f>
        <v/>
      </c>
      <c r="T53" s="62" t="str">
        <f>IFERROR(Inv_SY_B!T53/Inv_SY_B!$IS53-1,"")</f>
        <v/>
      </c>
      <c r="U53" s="62" t="str">
        <f>IFERROR(Inv_SY_B!U53/Inv_SY_B!$IS53-1,"")</f>
        <v/>
      </c>
      <c r="V53" s="62" t="str">
        <f>IFERROR(Inv_SY_B!V53/Inv_SY_B!$IS53-1,"")</f>
        <v/>
      </c>
      <c r="W53" s="62" t="str">
        <f>IFERROR(Inv_SY_B!W53/Inv_SY_B!$IS53-1,"")</f>
        <v/>
      </c>
      <c r="X53" s="62" t="str">
        <f>IFERROR(Inv_SY_B!X53/Inv_SY_B!$IS53-1,"")</f>
        <v/>
      </c>
      <c r="Y53" s="62" t="str">
        <f>IFERROR(Inv_SY_B!Y53/Inv_SY_B!$IS53-1,"")</f>
        <v/>
      </c>
      <c r="Z53" s="62" t="str">
        <f>IFERROR(Inv_SY_B!Z53/Inv_SY_B!$IS53-1,"")</f>
        <v/>
      </c>
      <c r="AA53" s="62" t="str">
        <f>IFERROR(Inv_SY_B!AA53/Inv_SY_B!$IS53-1,"")</f>
        <v/>
      </c>
      <c r="AB53" s="62" t="str">
        <f>IFERROR(Inv_SY_B!AB53/Inv_SY_B!$IS53-1,"")</f>
        <v/>
      </c>
      <c r="AC53" s="62" t="str">
        <f>IFERROR(Inv_SY_B!AC53/Inv_SY_B!$IS53-1,"")</f>
        <v/>
      </c>
      <c r="AD53" s="62" t="str">
        <f>IFERROR(Inv_SY_B!AD53/Inv_SY_B!$IS53-1,"")</f>
        <v/>
      </c>
      <c r="AE53" s="62" t="str">
        <f>IFERROR(Inv_SY_B!AE53/Inv_SY_B!$IS53-1,"")</f>
        <v/>
      </c>
      <c r="AF53" s="62" t="str">
        <f>IFERROR(Inv_SY_B!AF53/Inv_SY_B!$IS53-1,"")</f>
        <v/>
      </c>
      <c r="AG53" s="62" t="str">
        <f>IFERROR(Inv_SY_B!AG53/Inv_SY_B!$IS53-1,"")</f>
        <v/>
      </c>
      <c r="AH53" s="62" t="str">
        <f>IFERROR(Inv_SY_B!AH53/Inv_SY_B!$IS53-1,"")</f>
        <v/>
      </c>
      <c r="AI53" s="62" t="str">
        <f>IFERROR(Inv_SY_B!AI53/Inv_SY_B!$IS53-1,"")</f>
        <v/>
      </c>
      <c r="AJ53" s="62" t="str">
        <f>IFERROR(Inv_SY_B!AJ53/Inv_SY_B!$IS53-1,"")</f>
        <v/>
      </c>
      <c r="AK53" s="62" t="str">
        <f>IFERROR(Inv_SY_B!AK53/Inv_SY_B!$IS53-1,"")</f>
        <v/>
      </c>
      <c r="AL53" s="62" t="str">
        <f>IFERROR(Inv_SY_B!AL53/Inv_SY_B!$IS53-1,"")</f>
        <v/>
      </c>
      <c r="AM53" s="62" t="str">
        <f>IFERROR(Inv_SY_B!AM53/Inv_SY_B!$IS53-1,"")</f>
        <v/>
      </c>
      <c r="AN53" s="62" t="str">
        <f>IFERROR(Inv_SY_B!AN53/Inv_SY_B!$IS53-1,"")</f>
        <v/>
      </c>
      <c r="AO53" s="62" t="str">
        <f>IFERROR(Inv_SY_B!AO53/Inv_SY_B!$IS53-1,"")</f>
        <v/>
      </c>
      <c r="AP53" s="62" t="str">
        <f>IFERROR(Inv_SY_B!AP53/Inv_SY_B!$IS53-1,"")</f>
        <v/>
      </c>
      <c r="AQ53" s="62" t="str">
        <f>IFERROR(Inv_SY_B!AQ53/Inv_SY_B!$IS53-1,"")</f>
        <v/>
      </c>
      <c r="AR53" s="62" t="str">
        <f>IFERROR(Inv_SY_B!AR53/Inv_SY_B!$IS53-1,"")</f>
        <v/>
      </c>
      <c r="AS53" s="62" t="str">
        <f>IFERROR(Inv_SY_B!AS53/Inv_SY_B!$IS53-1,"")</f>
        <v/>
      </c>
      <c r="AT53" s="62" t="str">
        <f>IFERROR(Inv_SY_B!AT53/Inv_SY_B!$IS53-1,"")</f>
        <v/>
      </c>
      <c r="AU53" s="62" t="str">
        <f>IFERROR(Inv_SY_B!AU53/Inv_SY_B!$IS53-1,"")</f>
        <v/>
      </c>
      <c r="AV53" s="62" t="str">
        <f>IFERROR(Inv_SY_B!AV53/Inv_SY_B!$IS53-1,"")</f>
        <v/>
      </c>
      <c r="AW53" s="62" t="str">
        <f>IFERROR(Inv_SY_B!AW53/Inv_SY_B!$IS53-1,"")</f>
        <v/>
      </c>
      <c r="AX53" s="62" t="str">
        <f>IFERROR(Inv_SY_B!AX53/Inv_SY_B!$IS53-1,"")</f>
        <v/>
      </c>
      <c r="AY53" s="62" t="str">
        <f>IFERROR(Inv_SY_B!AY53/Inv_SY_B!$IS53-1,"")</f>
        <v/>
      </c>
      <c r="AZ53" s="62" t="str">
        <f>IFERROR(Inv_SY_B!AZ53/Inv_SY_B!$IS53-1,"")</f>
        <v/>
      </c>
      <c r="BA53" s="62" t="str">
        <f>IFERROR(Inv_SY_B!BA53/Inv_SY_B!$IS53-1,"")</f>
        <v/>
      </c>
      <c r="BB53" s="62" t="str">
        <f>IFERROR(Inv_SY_B!BB53/Inv_SY_B!$IS53-1,"")</f>
        <v/>
      </c>
      <c r="BC53" s="62" t="str">
        <f>IFERROR(Inv_SY_B!BC53/Inv_SY_B!$IS53-1,"")</f>
        <v/>
      </c>
      <c r="BD53" s="62" t="str">
        <f>IFERROR(Inv_SY_B!BD53/Inv_SY_B!$IS53-1,"")</f>
        <v/>
      </c>
      <c r="BE53" s="62" t="str">
        <f>IFERROR(Inv_SY_B!BE53/Inv_SY_B!$IS53-1,"")</f>
        <v/>
      </c>
      <c r="BF53" s="62" t="str">
        <f>IFERROR(Inv_SY_B!BF53/Inv_SY_B!$IS53-1,"")</f>
        <v/>
      </c>
      <c r="BG53" s="62" t="str">
        <f>IFERROR(Inv_SY_B!BG53/Inv_SY_B!$IS53-1,"")</f>
        <v/>
      </c>
      <c r="BH53" s="62" t="str">
        <f>IFERROR(Inv_SY_B!BH53/Inv_SY_B!$IS53-1,"")</f>
        <v/>
      </c>
      <c r="BI53" s="62" t="str">
        <f>IFERROR(Inv_SY_B!BI53/Inv_SY_B!$IS53-1,"")</f>
        <v/>
      </c>
      <c r="BJ53" s="62" t="str">
        <f>IFERROR(Inv_SY_B!BJ53/Inv_SY_B!$IS53-1,"")</f>
        <v/>
      </c>
      <c r="BK53" s="62" t="str">
        <f>IFERROR(Inv_SY_B!BK53/Inv_SY_B!$IS53-1,"")</f>
        <v/>
      </c>
      <c r="BL53" s="62" t="str">
        <f>IFERROR(Inv_SY_B!BL53/Inv_SY_B!$IS53-1,"")</f>
        <v/>
      </c>
      <c r="BM53" s="62" t="str">
        <f>IFERROR(Inv_SY_B!BM53/Inv_SY_B!$IS53-1,"")</f>
        <v/>
      </c>
      <c r="BN53" s="62" t="str">
        <f>IFERROR(Inv_SY_B!BN53/Inv_SY_B!$IS53-1,"")</f>
        <v/>
      </c>
      <c r="BO53" s="62" t="str">
        <f>IFERROR(Inv_SY_B!BO53/Inv_SY_B!$IS53-1,"")</f>
        <v/>
      </c>
      <c r="BP53" s="62" t="str">
        <f>IFERROR(Inv_SY_B!BP53/Inv_SY_B!$IS53-1,"")</f>
        <v/>
      </c>
      <c r="BQ53" s="62" t="str">
        <f>IFERROR(Inv_SY_B!BQ53/Inv_SY_B!$IS53-1,"")</f>
        <v/>
      </c>
      <c r="BR53" s="62" t="str">
        <f>IFERROR(Inv_SY_B!BR53/Inv_SY_B!$IS53-1,"")</f>
        <v/>
      </c>
      <c r="BS53" s="62" t="str">
        <f>IFERROR(Inv_SY_B!BS53/Inv_SY_B!$IS53-1,"")</f>
        <v/>
      </c>
      <c r="BT53" s="62" t="str">
        <f>IFERROR(Inv_SY_B!BT53/Inv_SY_B!$IS53-1,"")</f>
        <v/>
      </c>
      <c r="BU53" s="62" t="str">
        <f>IFERROR(Inv_SY_B!BU53/Inv_SY_B!$IS53-1,"")</f>
        <v/>
      </c>
      <c r="BV53" s="62" t="str">
        <f>IFERROR(Inv_SY_B!BV53/Inv_SY_B!$IS53-1,"")</f>
        <v/>
      </c>
      <c r="BW53" s="62" t="str">
        <f>IFERROR(Inv_SY_B!BW53/Inv_SY_B!$IS53-1,"")</f>
        <v/>
      </c>
      <c r="BX53" s="62" t="str">
        <f>IFERROR(Inv_SY_B!BX53/Inv_SY_B!$IS53-1,"")</f>
        <v/>
      </c>
      <c r="BY53" s="62" t="str">
        <f>IFERROR(Inv_SY_B!BY53/Inv_SY_B!$IS53-1,"")</f>
        <v/>
      </c>
      <c r="BZ53" s="62" t="str">
        <f>IFERROR(Inv_SY_B!BZ53/Inv_SY_B!$IS53-1,"")</f>
        <v/>
      </c>
      <c r="CA53" s="62" t="str">
        <f>IFERROR(Inv_SY_B!CA53/Inv_SY_B!$IS53-1,"")</f>
        <v/>
      </c>
      <c r="CB53" s="62" t="str">
        <f>IFERROR(Inv_SY_B!CB53/Inv_SY_B!$IS53-1,"")</f>
        <v/>
      </c>
      <c r="CC53" s="62" t="str">
        <f>IFERROR(Inv_SY_B!CC53/Inv_SY_B!$IS53-1,"")</f>
        <v/>
      </c>
      <c r="CD53" s="62" t="str">
        <f>IFERROR(Inv_SY_B!CD53/Inv_SY_B!$IS53-1,"")</f>
        <v/>
      </c>
      <c r="CE53" s="62" t="str">
        <f>IFERROR(Inv_SY_B!CE53/Inv_SY_B!$IS53-1,"")</f>
        <v/>
      </c>
      <c r="CF53" s="62" t="str">
        <f>IFERROR(Inv_SY_B!CF53/Inv_SY_B!$IS53-1,"")</f>
        <v/>
      </c>
      <c r="CG53" s="62" t="str">
        <f>IFERROR(Inv_SY_B!CG53/Inv_SY_B!$IS53-1,"")</f>
        <v/>
      </c>
      <c r="CH53" s="62" t="str">
        <f>IFERROR(Inv_SY_B!CH53/Inv_SY_B!$IS53-1,"")</f>
        <v/>
      </c>
      <c r="CI53" s="62" t="str">
        <f>IFERROR(Inv_SY_B!CI53/Inv_SY_B!$IS53-1,"")</f>
        <v/>
      </c>
      <c r="CJ53" s="62" t="str">
        <f>IFERROR(Inv_SY_B!CJ53/Inv_SY_B!$IS53-1,"")</f>
        <v/>
      </c>
      <c r="CK53" s="62" t="str">
        <f>IFERROR(Inv_SY_B!CK53/Inv_SY_B!$IS53-1,"")</f>
        <v/>
      </c>
      <c r="CL53" s="62" t="str">
        <f>IFERROR(Inv_SY_B!CL53/Inv_SY_B!$IS53-1,"")</f>
        <v/>
      </c>
      <c r="CM53" s="62" t="str">
        <f>IFERROR(Inv_SY_B!CM53/Inv_SY_B!$IS53-1,"")</f>
        <v/>
      </c>
      <c r="CN53" s="62" t="str">
        <f>IFERROR(Inv_SY_B!CN53/Inv_SY_B!$IS53-1,"")</f>
        <v/>
      </c>
      <c r="CO53" s="62" t="str">
        <f>IFERROR(Inv_SY_B!CO53/Inv_SY_B!$IS53-1,"")</f>
        <v/>
      </c>
      <c r="CP53" s="62" t="str">
        <f>IFERROR(Inv_SY_B!CP53/Inv_SY_B!$IS53-1,"")</f>
        <v/>
      </c>
      <c r="CQ53" s="62" t="str">
        <f>IFERROR(Inv_SY_B!CQ53/Inv_SY_B!$IS53-1,"")</f>
        <v/>
      </c>
      <c r="CR53" s="62" t="str">
        <f>IFERROR(Inv_SY_B!CR53/Inv_SY_B!$IS53-1,"")</f>
        <v/>
      </c>
      <c r="CS53" s="62" t="str">
        <f>IFERROR(Inv_SY_B!CS53/Inv_SY_B!$IS53-1,"")</f>
        <v/>
      </c>
      <c r="CT53" s="62" t="str">
        <f>IFERROR(Inv_SY_B!CT53/Inv_SY_B!$IS53-1,"")</f>
        <v/>
      </c>
      <c r="CU53" s="62" t="str">
        <f>IFERROR(Inv_SY_B!CU53/Inv_SY_B!$IS53-1,"")</f>
        <v/>
      </c>
      <c r="CV53" s="62" t="str">
        <f>IFERROR(Inv_SY_B!CV53/Inv_SY_B!$IS53-1,"")</f>
        <v/>
      </c>
      <c r="CW53" s="62" t="str">
        <f>IFERROR(Inv_SY_B!CW53/Inv_SY_B!$IS53-1,"")</f>
        <v/>
      </c>
      <c r="CX53" s="62" t="str">
        <f>IFERROR(Inv_SY_B!CX53/Inv_SY_B!$IS53-1,"")</f>
        <v/>
      </c>
      <c r="CY53" s="62" t="str">
        <f>IFERROR(Inv_SY_B!CY53/Inv_SY_B!$IS53-1,"")</f>
        <v/>
      </c>
      <c r="CZ53" s="62" t="str">
        <f>IFERROR(Inv_SY_B!CZ53/Inv_SY_B!$IS53-1,"")</f>
        <v/>
      </c>
      <c r="DA53" s="62" t="str">
        <f>IFERROR(Inv_SY_B!DA53/Inv_SY_B!$IS53-1,"")</f>
        <v/>
      </c>
      <c r="DB53" s="62" t="str">
        <f>IFERROR(Inv_SY_B!DB53/Inv_SY_B!$IS53-1,"")</f>
        <v/>
      </c>
      <c r="DC53" s="62" t="str">
        <f>IFERROR(Inv_SY_B!DC53/Inv_SY_B!$IS53-1,"")</f>
        <v/>
      </c>
      <c r="DD53" s="62" t="str">
        <f>IFERROR(Inv_SY_B!DD53/Inv_SY_B!$IS53-1,"")</f>
        <v/>
      </c>
      <c r="DE53" s="62" t="str">
        <f>IFERROR(Inv_SY_B!DE53/Inv_SY_B!$IS53-1,"")</f>
        <v/>
      </c>
      <c r="DF53" s="62" t="str">
        <f>IFERROR(Inv_SY_B!DF53/Inv_SY_B!$IS53-1,"")</f>
        <v/>
      </c>
      <c r="DG53" s="62" t="str">
        <f>IFERROR(Inv_SY_B!DG53/Inv_SY_B!$IS53-1,"")</f>
        <v/>
      </c>
      <c r="DH53" s="62" t="str">
        <f>IFERROR(Inv_SY_B!DH53/Inv_SY_B!$IS53-1,"")</f>
        <v/>
      </c>
      <c r="DI53" s="62" t="str">
        <f>IFERROR(Inv_SY_B!DI53/Inv_SY_B!$IS53-1,"")</f>
        <v/>
      </c>
      <c r="DJ53" s="62" t="str">
        <f>IFERROR(Inv_SY_B!DJ53/Inv_SY_B!$IS53-1,"")</f>
        <v/>
      </c>
      <c r="DK53" s="62" t="str">
        <f>IFERROR(Inv_SY_B!DK53/Inv_SY_B!$IS53-1,"")</f>
        <v/>
      </c>
      <c r="DL53" s="62" t="str">
        <f>IFERROR(Inv_SY_B!DL53/Inv_SY_B!$IS53-1,"")</f>
        <v/>
      </c>
      <c r="DM53" s="62" t="str">
        <f>IFERROR(Inv_SY_B!DM53/Inv_SY_B!$IS53-1,"")</f>
        <v/>
      </c>
      <c r="DN53" s="62" t="str">
        <f>IFERROR(Inv_SY_B!DN53/Inv_SY_B!$IS53-1,"")</f>
        <v/>
      </c>
      <c r="DO53" s="62" t="str">
        <f>IFERROR(Inv_SY_B!DO53/Inv_SY_B!$IS53-1,"")</f>
        <v/>
      </c>
      <c r="DP53" s="62" t="str">
        <f>IFERROR(Inv_SY_B!DP53/Inv_SY_B!$IS53-1,"")</f>
        <v/>
      </c>
      <c r="DQ53" s="62" t="str">
        <f>IFERROR(Inv_SY_B!DQ53/Inv_SY_B!$IS53-1,"")</f>
        <v/>
      </c>
      <c r="DR53" s="62" t="str">
        <f>IFERROR(Inv_SY_B!DR53/Inv_SY_B!$IS53-1,"")</f>
        <v/>
      </c>
      <c r="DS53" s="62" t="str">
        <f>IFERROR(Inv_SY_B!DS53/Inv_SY_B!$IS53-1,"")</f>
        <v/>
      </c>
      <c r="DT53" s="62" t="str">
        <f>IFERROR(Inv_SY_B!DT53/Inv_SY_B!$IS53-1,"")</f>
        <v/>
      </c>
      <c r="DU53" s="62" t="str">
        <f>IFERROR(Inv_SY_B!DU53/Inv_SY_B!$IS53-1,"")</f>
        <v/>
      </c>
      <c r="DV53" s="62" t="str">
        <f>IFERROR(Inv_SY_B!DV53/Inv_SY_B!$IS53-1,"")</f>
        <v/>
      </c>
      <c r="DW53" s="62" t="str">
        <f>IFERROR(Inv_SY_B!DW53/Inv_SY_B!$IS53-1,"")</f>
        <v/>
      </c>
      <c r="DX53" s="62" t="str">
        <f>IFERROR(Inv_SY_B!DX53/Inv_SY_B!$IS53-1,"")</f>
        <v/>
      </c>
      <c r="DY53" s="62" t="str">
        <f>IFERROR(Inv_SY_B!DY53/Inv_SY_B!$IS53-1,"")</f>
        <v/>
      </c>
      <c r="DZ53" s="62" t="str">
        <f>IFERROR(Inv_SY_B!DZ53/Inv_SY_B!$IS53-1,"")</f>
        <v/>
      </c>
      <c r="EA53" s="62" t="str">
        <f>IFERROR(Inv_SY_B!EA53/Inv_SY_B!$IS53-1,"")</f>
        <v/>
      </c>
      <c r="EB53" s="62" t="str">
        <f>IFERROR(Inv_SY_B!EB53/Inv_SY_B!$IS53-1,"")</f>
        <v/>
      </c>
      <c r="EC53" s="62" t="str">
        <f>IFERROR(Inv_SY_B!EC53/Inv_SY_B!$IS53-1,"")</f>
        <v/>
      </c>
      <c r="ED53" s="62" t="str">
        <f>IFERROR(Inv_SY_B!ED53/Inv_SY_B!$IS53-1,"")</f>
        <v/>
      </c>
      <c r="EE53" s="62" t="str">
        <f>IFERROR(Inv_SY_B!EE53/Inv_SY_B!$IS53-1,"")</f>
        <v/>
      </c>
      <c r="EF53" s="62" t="str">
        <f>IFERROR(Inv_SY_B!EF53/Inv_SY_B!$IS53-1,"")</f>
        <v/>
      </c>
      <c r="EG53" s="62" t="str">
        <f>IFERROR(Inv_SY_B!EG53/Inv_SY_B!$IS53-1,"")</f>
        <v/>
      </c>
      <c r="EH53" s="62" t="str">
        <f>IFERROR(Inv_SY_B!EH53/Inv_SY_B!$IS53-1,"")</f>
        <v/>
      </c>
      <c r="EI53" s="62" t="str">
        <f>IFERROR(Inv_SY_B!EI53/Inv_SY_B!$IS53-1,"")</f>
        <v/>
      </c>
      <c r="EJ53" s="62" t="str">
        <f>IFERROR(Inv_SY_B!EJ53/Inv_SY_B!$IS53-1,"")</f>
        <v/>
      </c>
      <c r="EK53" s="62" t="str">
        <f>IFERROR(Inv_SY_B!EK53/Inv_SY_B!$IS53-1,"")</f>
        <v/>
      </c>
      <c r="EL53" s="62" t="str">
        <f>IFERROR(Inv_SY_B!EL53/Inv_SY_B!$IS53-1,"")</f>
        <v/>
      </c>
      <c r="EM53" s="62" t="str">
        <f>IFERROR(Inv_SY_B!EM53/Inv_SY_B!$IS53-1,"")</f>
        <v/>
      </c>
      <c r="EN53" s="62" t="str">
        <f>IFERROR(Inv_SY_B!EN53/Inv_SY_B!$IS53-1,"")</f>
        <v/>
      </c>
      <c r="EO53" s="62" t="str">
        <f>IFERROR(Inv_SY_B!EO53/Inv_SY_B!$IS53-1,"")</f>
        <v/>
      </c>
      <c r="EP53" s="62" t="str">
        <f>IFERROR(Inv_SY_B!EP53/Inv_SY_B!$IS53-1,"")</f>
        <v/>
      </c>
      <c r="EQ53" s="62" t="str">
        <f>IFERROR(Inv_SY_B!EQ53/Inv_SY_B!$IS53-1,"")</f>
        <v/>
      </c>
      <c r="ER53" s="62" t="str">
        <f>IFERROR(Inv_SY_B!ER53/Inv_SY_B!$IS53-1,"")</f>
        <v/>
      </c>
      <c r="ES53" s="62" t="str">
        <f>IFERROR(Inv_SY_B!ES53/Inv_SY_B!$IS53-1,"")</f>
        <v/>
      </c>
      <c r="ET53" s="62" t="str">
        <f>IFERROR(Inv_SY_B!ET53/Inv_SY_B!$IS53-1,"")</f>
        <v/>
      </c>
      <c r="EU53" s="62" t="str">
        <f>IFERROR(Inv_SY_B!EU53/Inv_SY_B!$IS53-1,"")</f>
        <v/>
      </c>
      <c r="EV53" s="62" t="str">
        <f>IFERROR(Inv_SY_B!EV53/Inv_SY_B!$IS53-1,"")</f>
        <v/>
      </c>
      <c r="EW53" s="62" t="str">
        <f>IFERROR(Inv_SY_B!EW53/Inv_SY_B!$IS53-1,"")</f>
        <v/>
      </c>
      <c r="EX53" s="62" t="str">
        <f>IFERROR(Inv_SY_B!EX53/Inv_SY_B!$IS53-1,"")</f>
        <v/>
      </c>
      <c r="EY53" s="62" t="str">
        <f>IFERROR(Inv_SY_B!EY53/Inv_SY_B!$IS53-1,"")</f>
        <v/>
      </c>
      <c r="EZ53" s="62" t="str">
        <f>IFERROR(Inv_SY_B!EZ53/Inv_SY_B!$IS53-1,"")</f>
        <v/>
      </c>
      <c r="FA53" s="62" t="str">
        <f>IFERROR(Inv_SY_B!FA53/Inv_SY_B!$IS53-1,"")</f>
        <v/>
      </c>
      <c r="FB53" s="62" t="str">
        <f>IFERROR(Inv_SY_B!FB53/Inv_SY_B!$IS53-1,"")</f>
        <v/>
      </c>
      <c r="FC53" s="62" t="str">
        <f>IFERROR(Inv_SY_B!FC53/Inv_SY_B!$IS53-1,"")</f>
        <v/>
      </c>
      <c r="FD53" s="62" t="str">
        <f>IFERROR(Inv_SY_B!FD53/Inv_SY_B!$IS53-1,"")</f>
        <v/>
      </c>
      <c r="FE53" s="62" t="str">
        <f>IFERROR(Inv_SY_B!FE53/Inv_SY_B!$IS53-1,"")</f>
        <v/>
      </c>
      <c r="FF53" s="62" t="str">
        <f>IFERROR(Inv_SY_B!FF53/Inv_SY_B!$IS53-1,"")</f>
        <v/>
      </c>
      <c r="FG53" s="62" t="str">
        <f>IFERROR(Inv_SY_B!FG53/Inv_SY_B!$IS53-1,"")</f>
        <v/>
      </c>
      <c r="FH53" s="62" t="str">
        <f>IFERROR(Inv_SY_B!FH53/Inv_SY_B!$IS53-1,"")</f>
        <v/>
      </c>
      <c r="FI53" s="62" t="str">
        <f>IFERROR(Inv_SY_B!FI53/Inv_SY_B!$IS53-1,"")</f>
        <v/>
      </c>
      <c r="FJ53" s="62" t="str">
        <f>IFERROR(Inv_SY_B!FJ53/Inv_SY_B!$IS53-1,"")</f>
        <v/>
      </c>
      <c r="FK53" s="62" t="str">
        <f>IFERROR(Inv_SY_B!FK53/Inv_SY_B!$IS53-1,"")</f>
        <v/>
      </c>
      <c r="FL53" s="62" t="str">
        <f>IFERROR(Inv_SY_B!FL53/Inv_SY_B!$IS53-1,"")</f>
        <v/>
      </c>
      <c r="FM53" s="62" t="str">
        <f>IFERROR(Inv_SY_B!FM53/Inv_SY_B!$IS53-1,"")</f>
        <v/>
      </c>
      <c r="FN53" s="62" t="str">
        <f>IFERROR(Inv_SY_B!FN53/Inv_SY_B!$IS53-1,"")</f>
        <v/>
      </c>
      <c r="FO53" s="62" t="str">
        <f>IFERROR(Inv_SY_B!FO53/Inv_SY_B!$IS53-1,"")</f>
        <v/>
      </c>
      <c r="FP53" s="62" t="str">
        <f>IFERROR(Inv_SY_B!FP53/Inv_SY_B!$IS53-1,"")</f>
        <v/>
      </c>
      <c r="FQ53" s="62" t="str">
        <f>IFERROR(Inv_SY_B!FQ53/Inv_SY_B!$IS53-1,"")</f>
        <v/>
      </c>
      <c r="FR53" s="62" t="str">
        <f>IFERROR(Inv_SY_B!FR53/Inv_SY_B!$IS53-1,"")</f>
        <v/>
      </c>
      <c r="FS53" s="62" t="str">
        <f>IFERROR(Inv_SY_B!FS53/Inv_SY_B!$IS53-1,"")</f>
        <v/>
      </c>
      <c r="FT53" s="62" t="str">
        <f>IFERROR(Inv_SY_B!FT53/Inv_SY_B!$IS53-1,"")</f>
        <v/>
      </c>
      <c r="FU53" s="62" t="str">
        <f>IFERROR(Inv_SY_B!FU53/Inv_SY_B!$IS53-1,"")</f>
        <v/>
      </c>
      <c r="FV53" s="62" t="str">
        <f>IFERROR(Inv_SY_B!FV53/Inv_SY_B!$IS53-1,"")</f>
        <v/>
      </c>
      <c r="FW53" s="62" t="str">
        <f>IFERROR(Inv_SY_B!FW53/Inv_SY_B!$IS53-1,"")</f>
        <v/>
      </c>
      <c r="FX53" s="62" t="str">
        <f>IFERROR(Inv_SY_B!FX53/Inv_SY_B!$IS53-1,"")</f>
        <v/>
      </c>
      <c r="FY53" s="62" t="str">
        <f>IFERROR(Inv_SY_B!FY53/Inv_SY_B!$IS53-1,"")</f>
        <v/>
      </c>
      <c r="FZ53" s="62" t="str">
        <f>IFERROR(Inv_SY_B!FZ53/Inv_SY_B!$IS53-1,"")</f>
        <v/>
      </c>
      <c r="GA53" s="62" t="str">
        <f>IFERROR(Inv_SY_B!GA53/Inv_SY_B!$IS53-1,"")</f>
        <v/>
      </c>
      <c r="GB53" s="62" t="str">
        <f>IFERROR(Inv_SY_B!GB53/Inv_SY_B!$IS53-1,"")</f>
        <v/>
      </c>
      <c r="GC53" s="62" t="str">
        <f>IFERROR(Inv_SY_B!GC53/Inv_SY_B!$IS53-1,"")</f>
        <v/>
      </c>
      <c r="GD53" s="62" t="str">
        <f>IFERROR(Inv_SY_B!GD53/Inv_SY_B!$IS53-1,"")</f>
        <v/>
      </c>
      <c r="GE53" s="62" t="str">
        <f>IFERROR(Inv_SY_B!GE53/Inv_SY_B!$IS53-1,"")</f>
        <v/>
      </c>
      <c r="GF53" s="62" t="str">
        <f>IFERROR(Inv_SY_B!GF53/Inv_SY_B!$IS53-1,"")</f>
        <v/>
      </c>
      <c r="GG53" s="62" t="str">
        <f>IFERROR(Inv_SY_B!GG53/Inv_SY_B!$IS53-1,"")</f>
        <v/>
      </c>
      <c r="GH53" s="62" t="str">
        <f>IFERROR(Inv_SY_B!GH53/Inv_SY_B!$IS53-1,"")</f>
        <v/>
      </c>
      <c r="GI53" s="62" t="str">
        <f>IFERROR(Inv_SY_B!GI53/Inv_SY_B!$IS53-1,"")</f>
        <v/>
      </c>
      <c r="GJ53" s="62" t="str">
        <f>IFERROR(Inv_SY_B!GJ53/Inv_SY_B!$IS53-1,"")</f>
        <v/>
      </c>
      <c r="GK53" s="62" t="str">
        <f>IFERROR(Inv_SY_B!GK53/Inv_SY_B!$IS53-1,"")</f>
        <v/>
      </c>
      <c r="GL53" s="62" t="str">
        <f>IFERROR(Inv_SY_B!GL53/Inv_SY_B!$IS53-1,"")</f>
        <v/>
      </c>
      <c r="GM53" s="62" t="str">
        <f>IFERROR(Inv_SY_B!GM53/Inv_SY_B!$IS53-1,"")</f>
        <v/>
      </c>
      <c r="GN53" s="62" t="str">
        <f>IFERROR(Inv_SY_B!GN53/Inv_SY_B!$IS53-1,"")</f>
        <v/>
      </c>
      <c r="GO53" s="62" t="str">
        <f>IFERROR(Inv_SY_B!GO53/Inv_SY_B!$IS53-1,"")</f>
        <v/>
      </c>
      <c r="GP53" s="62" t="str">
        <f>IFERROR(Inv_SY_B!GP53/Inv_SY_B!$IS53-1,"")</f>
        <v/>
      </c>
      <c r="GQ53" s="62" t="str">
        <f>IFERROR(Inv_SY_B!GQ53/Inv_SY_B!$IS53-1,"")</f>
        <v/>
      </c>
      <c r="GR53" s="62" t="str">
        <f>IFERROR(Inv_SY_B!GR53/Inv_SY_B!$IS53-1,"")</f>
        <v/>
      </c>
      <c r="GS53" s="62" t="str">
        <f>IFERROR(Inv_SY_B!GS53/Inv_SY_B!$IS53-1,"")</f>
        <v/>
      </c>
      <c r="GT53" s="62" t="str">
        <f>IFERROR(Inv_SY_B!GT53/Inv_SY_B!$IS53-1,"")</f>
        <v/>
      </c>
      <c r="GU53" s="62" t="str">
        <f>IFERROR(Inv_SY_B!GU53/Inv_SY_B!$IS53-1,"")</f>
        <v/>
      </c>
      <c r="GV53" s="62" t="str">
        <f>IFERROR(Inv_SY_B!GV53/Inv_SY_B!$IS53-1,"")</f>
        <v/>
      </c>
      <c r="GW53" s="62" t="str">
        <f>IFERROR(Inv_SY_B!GW53/Inv_SY_B!$IS53-1,"")</f>
        <v/>
      </c>
      <c r="GX53" s="62" t="str">
        <f>IFERROR(Inv_SY_B!GX53/Inv_SY_B!$IS53-1,"")</f>
        <v/>
      </c>
      <c r="GY53" s="62" t="str">
        <f>IFERROR(Inv_SY_B!GY53/Inv_SY_B!$IS53-1,"")</f>
        <v/>
      </c>
      <c r="GZ53" s="62" t="str">
        <f>IFERROR(Inv_SY_B!GZ53/Inv_SY_B!$IS53-1,"")</f>
        <v/>
      </c>
      <c r="HA53" s="62" t="str">
        <f>IFERROR(Inv_SY_B!HA53/Inv_SY_B!$IS53-1,"")</f>
        <v/>
      </c>
      <c r="HB53" s="62" t="str">
        <f>IFERROR(Inv_SY_B!HB53/Inv_SY_B!$IS53-1,"")</f>
        <v/>
      </c>
      <c r="HC53" s="62" t="str">
        <f>IFERROR(Inv_SY_B!HC53/Inv_SY_B!$IS53-1,"")</f>
        <v/>
      </c>
      <c r="HD53" s="62" t="str">
        <f>IFERROR(Inv_SY_B!HD53/Inv_SY_B!$IS53-1,"")</f>
        <v/>
      </c>
      <c r="HE53" s="62" t="str">
        <f>IFERROR(Inv_SY_B!HE53/Inv_SY_B!$IS53-1,"")</f>
        <v/>
      </c>
      <c r="HF53" s="62" t="str">
        <f>IFERROR(Inv_SY_B!HF53/Inv_SY_B!$IS53-1,"")</f>
        <v/>
      </c>
      <c r="HG53" s="62" t="str">
        <f>IFERROR(Inv_SY_B!HG53/Inv_SY_B!$IS53-1,"")</f>
        <v/>
      </c>
      <c r="HH53" s="62" t="str">
        <f>IFERROR(Inv_SY_B!HH53/Inv_SY_B!$IS53-1,"")</f>
        <v/>
      </c>
      <c r="HI53" s="62" t="str">
        <f>IFERROR(Inv_SY_B!HI53/Inv_SY_B!$IS53-1,"")</f>
        <v/>
      </c>
      <c r="HJ53" s="62" t="str">
        <f>IFERROR(Inv_SY_B!HJ53/Inv_SY_B!$IS53-1,"")</f>
        <v/>
      </c>
      <c r="HK53" s="62" t="str">
        <f>IFERROR(Inv_SY_B!HK53/Inv_SY_B!$IS53-1,"")</f>
        <v/>
      </c>
      <c r="HL53" s="62" t="str">
        <f>IFERROR(Inv_SY_B!HL53/Inv_SY_B!$IS53-1,"")</f>
        <v/>
      </c>
      <c r="HM53" s="62" t="str">
        <f>IFERROR(Inv_SY_B!HM53/Inv_SY_B!$IS53-1,"")</f>
        <v/>
      </c>
      <c r="HN53" s="62" t="str">
        <f>IFERROR(Inv_SY_B!HN53/Inv_SY_B!$IS53-1,"")</f>
        <v/>
      </c>
      <c r="HO53" s="62" t="str">
        <f>IFERROR(Inv_SY_B!HO53/Inv_SY_B!$IS53-1,"")</f>
        <v/>
      </c>
      <c r="HP53" s="62" t="str">
        <f>IFERROR(Inv_SY_B!HP53/Inv_SY_B!$IS53-1,"")</f>
        <v/>
      </c>
      <c r="HQ53" s="62" t="str">
        <f>IFERROR(Inv_SY_B!HQ53/Inv_SY_B!$IS53-1,"")</f>
        <v/>
      </c>
      <c r="HR53" s="62" t="str">
        <f>IFERROR(Inv_SY_B!HR53/Inv_SY_B!$IS53-1,"")</f>
        <v/>
      </c>
      <c r="HS53" s="62" t="str">
        <f>IFERROR(Inv_SY_B!HS53/Inv_SY_B!$IS53-1,"")</f>
        <v/>
      </c>
      <c r="HT53" s="62" t="str">
        <f>IFERROR(Inv_SY_B!HT53/Inv_SY_B!$IS53-1,"")</f>
        <v/>
      </c>
      <c r="HU53" s="62" t="str">
        <f>IFERROR(Inv_SY_B!HU53/Inv_SY_B!$IS53-1,"")</f>
        <v/>
      </c>
      <c r="HV53" s="62" t="str">
        <f>IFERROR(Inv_SY_B!HV53/Inv_SY_B!$IS53-1,"")</f>
        <v/>
      </c>
      <c r="HW53" s="62" t="str">
        <f>IFERROR(Inv_SY_B!HW53/Inv_SY_B!$IS53-1,"")</f>
        <v/>
      </c>
      <c r="HX53" s="62" t="str">
        <f>IFERROR(Inv_SY_B!HX53/Inv_SY_B!$IS53-1,"")</f>
        <v/>
      </c>
      <c r="HY53" s="62" t="str">
        <f>IFERROR(Inv_SY_B!HY53/Inv_SY_B!$IS53-1,"")</f>
        <v/>
      </c>
      <c r="HZ53" s="62" t="str">
        <f>IFERROR(Inv_SY_B!HZ53/Inv_SY_B!$IS53-1,"")</f>
        <v/>
      </c>
      <c r="IA53" s="62" t="str">
        <f>IFERROR(Inv_SY_B!IA53/Inv_SY_B!$IS53-1,"")</f>
        <v/>
      </c>
      <c r="IB53" s="62" t="str">
        <f>IFERROR(Inv_SY_B!IB53/Inv_SY_B!$IS53-1,"")</f>
        <v/>
      </c>
      <c r="IC53" s="62" t="str">
        <f>IFERROR(Inv_SY_B!IC53/Inv_SY_B!$IS53-1,"")</f>
        <v/>
      </c>
      <c r="ID53" s="62" t="str">
        <f>IFERROR(Inv_SY_B!ID53/Inv_SY_B!$IS53-1,"")</f>
        <v/>
      </c>
      <c r="IE53" s="62" t="str">
        <f>IFERROR(Inv_SY_B!IE53/Inv_SY_B!$IS53-1,"")</f>
        <v/>
      </c>
      <c r="IF53" s="62" t="str">
        <f>IFERROR(Inv_SY_B!IF53/Inv_SY_B!$IS53-1,"")</f>
        <v/>
      </c>
      <c r="IG53" s="62" t="str">
        <f>IFERROR(Inv_SY_B!IG53/Inv_SY_B!$IS53-1,"")</f>
        <v/>
      </c>
      <c r="IH53" s="62" t="str">
        <f>IFERROR(Inv_SY_B!IH53/Inv_SY_B!$IS53-1,"")</f>
        <v/>
      </c>
      <c r="II53" s="62" t="str">
        <f>IFERROR(Inv_SY_B!II53/Inv_SY_B!$IS53-1,"")</f>
        <v/>
      </c>
      <c r="IJ53" s="62" t="str">
        <f>IFERROR(Inv_SY_B!IJ53/Inv_SY_B!$IS53-1,"")</f>
        <v/>
      </c>
      <c r="IK53" s="62" t="str">
        <f>IFERROR(Inv_SY_B!IK53/Inv_SY_B!$IS53-1,"")</f>
        <v/>
      </c>
      <c r="IL53" s="62" t="str">
        <f>IFERROR(Inv_SY_B!IL53/Inv_SY_B!$IS53-1,"")</f>
        <v/>
      </c>
      <c r="IM53" s="62" t="str">
        <f>IFERROR(Inv_SY_B!IM53/Inv_SY_B!$IS53-1,"")</f>
        <v/>
      </c>
      <c r="IN53" s="62" t="str">
        <f>IFERROR(Inv_SY_B!IN53/Inv_SY_B!$IS53-1,"")</f>
        <v/>
      </c>
      <c r="IO53" s="62" t="str">
        <f>IFERROR(Inv_SY_B!IO53/Inv_SY_B!$IS53-1,"")</f>
        <v/>
      </c>
      <c r="IP53" s="62" t="str">
        <f>IFERROR(Inv_SY_B!IP53/Inv_SY_B!$IS53-1,"")</f>
        <v/>
      </c>
      <c r="IQ53" s="62" t="str">
        <f>IFERROR(Inv_SY_B!IQ53/Inv_SY_B!$IS53-1,"")</f>
        <v/>
      </c>
      <c r="IR53" s="62" t="str">
        <f>IFERROR(Inv_SY_B!IR53/Inv_SY_B!$IS53-1,"")</f>
        <v/>
      </c>
    </row>
    <row r="54" spans="2:252" x14ac:dyDescent="0.25">
      <c r="B54" s="85">
        <f t="shared" si="0"/>
        <v>45880</v>
      </c>
      <c r="C54" s="62" t="str">
        <f>IFERROR(Inv_SY_B!C54/Inv_SY_B!$IS54-1,"")</f>
        <v/>
      </c>
      <c r="D54" s="62" t="str">
        <f>IFERROR(Inv_SY_B!D54/Inv_SY_B!$IS54-1,"")</f>
        <v/>
      </c>
      <c r="E54" s="62" t="str">
        <f>IFERROR(Inv_SY_B!E54/Inv_SY_B!$IS54-1,"")</f>
        <v/>
      </c>
      <c r="F54" s="62" t="str">
        <f>IFERROR(Inv_SY_B!F54/Inv_SY_B!$IS54-1,"")</f>
        <v/>
      </c>
      <c r="G54" s="62" t="str">
        <f>IFERROR(Inv_SY_B!G54/Inv_SY_B!$IS54-1,"")</f>
        <v/>
      </c>
      <c r="H54" s="62" t="str">
        <f>IFERROR(Inv_SY_B!H54/Inv_SY_B!$IS54-1,"")</f>
        <v/>
      </c>
      <c r="I54" s="62" t="str">
        <f>IFERROR(Inv_SY_B!I54/Inv_SY_B!$IS54-1,"")</f>
        <v/>
      </c>
      <c r="J54" s="62" t="str">
        <f>IFERROR(Inv_SY_B!J54/Inv_SY_B!$IS54-1,"")</f>
        <v/>
      </c>
      <c r="K54" s="62" t="str">
        <f>IFERROR(Inv_SY_B!K54/Inv_SY_B!$IS54-1,"")</f>
        <v/>
      </c>
      <c r="L54" s="62" t="str">
        <f>IFERROR(Inv_SY_B!L54/Inv_SY_B!$IS54-1,"")</f>
        <v/>
      </c>
      <c r="M54" s="62" t="str">
        <f>IFERROR(Inv_SY_B!M54/Inv_SY_B!$IS54-1,"")</f>
        <v/>
      </c>
      <c r="N54" s="62" t="str">
        <f>IFERROR(Inv_SY_B!N54/Inv_SY_B!$IS54-1,"")</f>
        <v/>
      </c>
      <c r="O54" s="62" t="str">
        <f>IFERROR(Inv_SY_B!O54/Inv_SY_B!$IS54-1,"")</f>
        <v/>
      </c>
      <c r="P54" s="62" t="str">
        <f>IFERROR(Inv_SY_B!P54/Inv_SY_B!$IS54-1,"")</f>
        <v/>
      </c>
      <c r="Q54" s="62" t="str">
        <f>IFERROR(Inv_SY_B!Q54/Inv_SY_B!$IS54-1,"")</f>
        <v/>
      </c>
      <c r="R54" s="62" t="str">
        <f>IFERROR(Inv_SY_B!R54/Inv_SY_B!$IS54-1,"")</f>
        <v/>
      </c>
      <c r="S54" s="62" t="str">
        <f>IFERROR(Inv_SY_B!S54/Inv_SY_B!$IS54-1,"")</f>
        <v/>
      </c>
      <c r="T54" s="62" t="str">
        <f>IFERROR(Inv_SY_B!T54/Inv_SY_B!$IS54-1,"")</f>
        <v/>
      </c>
      <c r="U54" s="62" t="str">
        <f>IFERROR(Inv_SY_B!U54/Inv_SY_B!$IS54-1,"")</f>
        <v/>
      </c>
      <c r="V54" s="62" t="str">
        <f>IFERROR(Inv_SY_B!V54/Inv_SY_B!$IS54-1,"")</f>
        <v/>
      </c>
      <c r="W54" s="62" t="str">
        <f>IFERROR(Inv_SY_B!W54/Inv_SY_B!$IS54-1,"")</f>
        <v/>
      </c>
      <c r="X54" s="62" t="str">
        <f>IFERROR(Inv_SY_B!X54/Inv_SY_B!$IS54-1,"")</f>
        <v/>
      </c>
      <c r="Y54" s="62" t="str">
        <f>IFERROR(Inv_SY_B!Y54/Inv_SY_B!$IS54-1,"")</f>
        <v/>
      </c>
      <c r="Z54" s="62" t="str">
        <f>IFERROR(Inv_SY_B!Z54/Inv_SY_B!$IS54-1,"")</f>
        <v/>
      </c>
      <c r="AA54" s="62" t="str">
        <f>IFERROR(Inv_SY_B!AA54/Inv_SY_B!$IS54-1,"")</f>
        <v/>
      </c>
      <c r="AB54" s="62" t="str">
        <f>IFERROR(Inv_SY_B!AB54/Inv_SY_B!$IS54-1,"")</f>
        <v/>
      </c>
      <c r="AC54" s="62" t="str">
        <f>IFERROR(Inv_SY_B!AC54/Inv_SY_B!$IS54-1,"")</f>
        <v/>
      </c>
      <c r="AD54" s="62" t="str">
        <f>IFERROR(Inv_SY_B!AD54/Inv_SY_B!$IS54-1,"")</f>
        <v/>
      </c>
      <c r="AE54" s="62" t="str">
        <f>IFERROR(Inv_SY_B!AE54/Inv_SY_B!$IS54-1,"")</f>
        <v/>
      </c>
      <c r="AF54" s="62" t="str">
        <f>IFERROR(Inv_SY_B!AF54/Inv_SY_B!$IS54-1,"")</f>
        <v/>
      </c>
      <c r="AG54" s="62" t="str">
        <f>IFERROR(Inv_SY_B!AG54/Inv_SY_B!$IS54-1,"")</f>
        <v/>
      </c>
      <c r="AH54" s="62" t="str">
        <f>IFERROR(Inv_SY_B!AH54/Inv_SY_B!$IS54-1,"")</f>
        <v/>
      </c>
      <c r="AI54" s="62" t="str">
        <f>IFERROR(Inv_SY_B!AI54/Inv_SY_B!$IS54-1,"")</f>
        <v/>
      </c>
      <c r="AJ54" s="62" t="str">
        <f>IFERROR(Inv_SY_B!AJ54/Inv_SY_B!$IS54-1,"")</f>
        <v/>
      </c>
      <c r="AK54" s="62" t="str">
        <f>IFERROR(Inv_SY_B!AK54/Inv_SY_B!$IS54-1,"")</f>
        <v/>
      </c>
      <c r="AL54" s="62" t="str">
        <f>IFERROR(Inv_SY_B!AL54/Inv_SY_B!$IS54-1,"")</f>
        <v/>
      </c>
      <c r="AM54" s="62" t="str">
        <f>IFERROR(Inv_SY_B!AM54/Inv_SY_B!$IS54-1,"")</f>
        <v/>
      </c>
      <c r="AN54" s="62" t="str">
        <f>IFERROR(Inv_SY_B!AN54/Inv_SY_B!$IS54-1,"")</f>
        <v/>
      </c>
      <c r="AO54" s="62" t="str">
        <f>IFERROR(Inv_SY_B!AO54/Inv_SY_B!$IS54-1,"")</f>
        <v/>
      </c>
      <c r="AP54" s="62" t="str">
        <f>IFERROR(Inv_SY_B!AP54/Inv_SY_B!$IS54-1,"")</f>
        <v/>
      </c>
      <c r="AQ54" s="62" t="str">
        <f>IFERROR(Inv_SY_B!AQ54/Inv_SY_B!$IS54-1,"")</f>
        <v/>
      </c>
      <c r="AR54" s="62" t="str">
        <f>IFERROR(Inv_SY_B!AR54/Inv_SY_B!$IS54-1,"")</f>
        <v/>
      </c>
      <c r="AS54" s="62" t="str">
        <f>IFERROR(Inv_SY_B!AS54/Inv_SY_B!$IS54-1,"")</f>
        <v/>
      </c>
      <c r="AT54" s="62" t="str">
        <f>IFERROR(Inv_SY_B!AT54/Inv_SY_B!$IS54-1,"")</f>
        <v/>
      </c>
      <c r="AU54" s="62" t="str">
        <f>IFERROR(Inv_SY_B!AU54/Inv_SY_B!$IS54-1,"")</f>
        <v/>
      </c>
      <c r="AV54" s="62" t="str">
        <f>IFERROR(Inv_SY_B!AV54/Inv_SY_B!$IS54-1,"")</f>
        <v/>
      </c>
      <c r="AW54" s="62" t="str">
        <f>IFERROR(Inv_SY_B!AW54/Inv_SY_B!$IS54-1,"")</f>
        <v/>
      </c>
      <c r="AX54" s="62" t="str">
        <f>IFERROR(Inv_SY_B!AX54/Inv_SY_B!$IS54-1,"")</f>
        <v/>
      </c>
      <c r="AY54" s="62" t="str">
        <f>IFERROR(Inv_SY_B!AY54/Inv_SY_B!$IS54-1,"")</f>
        <v/>
      </c>
      <c r="AZ54" s="62" t="str">
        <f>IFERROR(Inv_SY_B!AZ54/Inv_SY_B!$IS54-1,"")</f>
        <v/>
      </c>
      <c r="BA54" s="62" t="str">
        <f>IFERROR(Inv_SY_B!BA54/Inv_SY_B!$IS54-1,"")</f>
        <v/>
      </c>
      <c r="BB54" s="62" t="str">
        <f>IFERROR(Inv_SY_B!BB54/Inv_SY_B!$IS54-1,"")</f>
        <v/>
      </c>
      <c r="BC54" s="62" t="str">
        <f>IFERROR(Inv_SY_B!BC54/Inv_SY_B!$IS54-1,"")</f>
        <v/>
      </c>
      <c r="BD54" s="62" t="str">
        <f>IFERROR(Inv_SY_B!BD54/Inv_SY_B!$IS54-1,"")</f>
        <v/>
      </c>
      <c r="BE54" s="62" t="str">
        <f>IFERROR(Inv_SY_B!BE54/Inv_SY_B!$IS54-1,"")</f>
        <v/>
      </c>
      <c r="BF54" s="62" t="str">
        <f>IFERROR(Inv_SY_B!BF54/Inv_SY_B!$IS54-1,"")</f>
        <v/>
      </c>
      <c r="BG54" s="62" t="str">
        <f>IFERROR(Inv_SY_B!BG54/Inv_SY_B!$IS54-1,"")</f>
        <v/>
      </c>
      <c r="BH54" s="62" t="str">
        <f>IFERROR(Inv_SY_B!BH54/Inv_SY_B!$IS54-1,"")</f>
        <v/>
      </c>
      <c r="BI54" s="62" t="str">
        <f>IFERROR(Inv_SY_B!BI54/Inv_SY_B!$IS54-1,"")</f>
        <v/>
      </c>
      <c r="BJ54" s="62" t="str">
        <f>IFERROR(Inv_SY_B!BJ54/Inv_SY_B!$IS54-1,"")</f>
        <v/>
      </c>
      <c r="BK54" s="62" t="str">
        <f>IFERROR(Inv_SY_B!BK54/Inv_SY_B!$IS54-1,"")</f>
        <v/>
      </c>
      <c r="BL54" s="62" t="str">
        <f>IFERROR(Inv_SY_B!BL54/Inv_SY_B!$IS54-1,"")</f>
        <v/>
      </c>
      <c r="BM54" s="62" t="str">
        <f>IFERROR(Inv_SY_B!BM54/Inv_SY_B!$IS54-1,"")</f>
        <v/>
      </c>
      <c r="BN54" s="62" t="str">
        <f>IFERROR(Inv_SY_B!BN54/Inv_SY_B!$IS54-1,"")</f>
        <v/>
      </c>
      <c r="BO54" s="62" t="str">
        <f>IFERROR(Inv_SY_B!BO54/Inv_SY_B!$IS54-1,"")</f>
        <v/>
      </c>
      <c r="BP54" s="62" t="str">
        <f>IFERROR(Inv_SY_B!BP54/Inv_SY_B!$IS54-1,"")</f>
        <v/>
      </c>
      <c r="BQ54" s="62" t="str">
        <f>IFERROR(Inv_SY_B!BQ54/Inv_SY_B!$IS54-1,"")</f>
        <v/>
      </c>
      <c r="BR54" s="62" t="str">
        <f>IFERROR(Inv_SY_B!BR54/Inv_SY_B!$IS54-1,"")</f>
        <v/>
      </c>
      <c r="BS54" s="62" t="str">
        <f>IFERROR(Inv_SY_B!BS54/Inv_SY_B!$IS54-1,"")</f>
        <v/>
      </c>
      <c r="BT54" s="62" t="str">
        <f>IFERROR(Inv_SY_B!BT54/Inv_SY_B!$IS54-1,"")</f>
        <v/>
      </c>
      <c r="BU54" s="62" t="str">
        <f>IFERROR(Inv_SY_B!BU54/Inv_SY_B!$IS54-1,"")</f>
        <v/>
      </c>
      <c r="BV54" s="62" t="str">
        <f>IFERROR(Inv_SY_B!BV54/Inv_SY_B!$IS54-1,"")</f>
        <v/>
      </c>
      <c r="BW54" s="62" t="str">
        <f>IFERROR(Inv_SY_B!BW54/Inv_SY_B!$IS54-1,"")</f>
        <v/>
      </c>
      <c r="BX54" s="62" t="str">
        <f>IFERROR(Inv_SY_B!BX54/Inv_SY_B!$IS54-1,"")</f>
        <v/>
      </c>
      <c r="BY54" s="62" t="str">
        <f>IFERROR(Inv_SY_B!BY54/Inv_SY_B!$IS54-1,"")</f>
        <v/>
      </c>
      <c r="BZ54" s="62" t="str">
        <f>IFERROR(Inv_SY_B!BZ54/Inv_SY_B!$IS54-1,"")</f>
        <v/>
      </c>
      <c r="CA54" s="62" t="str">
        <f>IFERROR(Inv_SY_B!CA54/Inv_SY_B!$IS54-1,"")</f>
        <v/>
      </c>
      <c r="CB54" s="62" t="str">
        <f>IFERROR(Inv_SY_B!CB54/Inv_SY_B!$IS54-1,"")</f>
        <v/>
      </c>
      <c r="CC54" s="62" t="str">
        <f>IFERROR(Inv_SY_B!CC54/Inv_SY_B!$IS54-1,"")</f>
        <v/>
      </c>
      <c r="CD54" s="62" t="str">
        <f>IFERROR(Inv_SY_B!CD54/Inv_SY_B!$IS54-1,"")</f>
        <v/>
      </c>
      <c r="CE54" s="62" t="str">
        <f>IFERROR(Inv_SY_B!CE54/Inv_SY_B!$IS54-1,"")</f>
        <v/>
      </c>
      <c r="CF54" s="62" t="str">
        <f>IFERROR(Inv_SY_B!CF54/Inv_SY_B!$IS54-1,"")</f>
        <v/>
      </c>
      <c r="CG54" s="62" t="str">
        <f>IFERROR(Inv_SY_B!CG54/Inv_SY_B!$IS54-1,"")</f>
        <v/>
      </c>
      <c r="CH54" s="62" t="str">
        <f>IFERROR(Inv_SY_B!CH54/Inv_SY_B!$IS54-1,"")</f>
        <v/>
      </c>
      <c r="CI54" s="62" t="str">
        <f>IFERROR(Inv_SY_B!CI54/Inv_SY_B!$IS54-1,"")</f>
        <v/>
      </c>
      <c r="CJ54" s="62" t="str">
        <f>IFERROR(Inv_SY_B!CJ54/Inv_SY_B!$IS54-1,"")</f>
        <v/>
      </c>
      <c r="CK54" s="62" t="str">
        <f>IFERROR(Inv_SY_B!CK54/Inv_SY_B!$IS54-1,"")</f>
        <v/>
      </c>
      <c r="CL54" s="62" t="str">
        <f>IFERROR(Inv_SY_B!CL54/Inv_SY_B!$IS54-1,"")</f>
        <v/>
      </c>
      <c r="CM54" s="62" t="str">
        <f>IFERROR(Inv_SY_B!CM54/Inv_SY_B!$IS54-1,"")</f>
        <v/>
      </c>
      <c r="CN54" s="62" t="str">
        <f>IFERROR(Inv_SY_B!CN54/Inv_SY_B!$IS54-1,"")</f>
        <v/>
      </c>
      <c r="CO54" s="62" t="str">
        <f>IFERROR(Inv_SY_B!CO54/Inv_SY_B!$IS54-1,"")</f>
        <v/>
      </c>
      <c r="CP54" s="62" t="str">
        <f>IFERROR(Inv_SY_B!CP54/Inv_SY_B!$IS54-1,"")</f>
        <v/>
      </c>
      <c r="CQ54" s="62" t="str">
        <f>IFERROR(Inv_SY_B!CQ54/Inv_SY_B!$IS54-1,"")</f>
        <v/>
      </c>
      <c r="CR54" s="62" t="str">
        <f>IFERROR(Inv_SY_B!CR54/Inv_SY_B!$IS54-1,"")</f>
        <v/>
      </c>
      <c r="CS54" s="62" t="str">
        <f>IFERROR(Inv_SY_B!CS54/Inv_SY_B!$IS54-1,"")</f>
        <v/>
      </c>
      <c r="CT54" s="62" t="str">
        <f>IFERROR(Inv_SY_B!CT54/Inv_SY_B!$IS54-1,"")</f>
        <v/>
      </c>
      <c r="CU54" s="62" t="str">
        <f>IFERROR(Inv_SY_B!CU54/Inv_SY_B!$IS54-1,"")</f>
        <v/>
      </c>
      <c r="CV54" s="62" t="str">
        <f>IFERROR(Inv_SY_B!CV54/Inv_SY_B!$IS54-1,"")</f>
        <v/>
      </c>
      <c r="CW54" s="62" t="str">
        <f>IFERROR(Inv_SY_B!CW54/Inv_SY_B!$IS54-1,"")</f>
        <v/>
      </c>
      <c r="CX54" s="62" t="str">
        <f>IFERROR(Inv_SY_B!CX54/Inv_SY_B!$IS54-1,"")</f>
        <v/>
      </c>
      <c r="CY54" s="62" t="str">
        <f>IFERROR(Inv_SY_B!CY54/Inv_SY_B!$IS54-1,"")</f>
        <v/>
      </c>
      <c r="CZ54" s="62" t="str">
        <f>IFERROR(Inv_SY_B!CZ54/Inv_SY_B!$IS54-1,"")</f>
        <v/>
      </c>
      <c r="DA54" s="62" t="str">
        <f>IFERROR(Inv_SY_B!DA54/Inv_SY_B!$IS54-1,"")</f>
        <v/>
      </c>
      <c r="DB54" s="62" t="str">
        <f>IFERROR(Inv_SY_B!DB54/Inv_SY_B!$IS54-1,"")</f>
        <v/>
      </c>
      <c r="DC54" s="62" t="str">
        <f>IFERROR(Inv_SY_B!DC54/Inv_SY_B!$IS54-1,"")</f>
        <v/>
      </c>
      <c r="DD54" s="62" t="str">
        <f>IFERROR(Inv_SY_B!DD54/Inv_SY_B!$IS54-1,"")</f>
        <v/>
      </c>
      <c r="DE54" s="62" t="str">
        <f>IFERROR(Inv_SY_B!DE54/Inv_SY_B!$IS54-1,"")</f>
        <v/>
      </c>
      <c r="DF54" s="62" t="str">
        <f>IFERROR(Inv_SY_B!DF54/Inv_SY_B!$IS54-1,"")</f>
        <v/>
      </c>
      <c r="DG54" s="62" t="str">
        <f>IFERROR(Inv_SY_B!DG54/Inv_SY_B!$IS54-1,"")</f>
        <v/>
      </c>
      <c r="DH54" s="62" t="str">
        <f>IFERROR(Inv_SY_B!DH54/Inv_SY_B!$IS54-1,"")</f>
        <v/>
      </c>
      <c r="DI54" s="62" t="str">
        <f>IFERROR(Inv_SY_B!DI54/Inv_SY_B!$IS54-1,"")</f>
        <v/>
      </c>
      <c r="DJ54" s="62" t="str">
        <f>IFERROR(Inv_SY_B!DJ54/Inv_SY_B!$IS54-1,"")</f>
        <v/>
      </c>
      <c r="DK54" s="62" t="str">
        <f>IFERROR(Inv_SY_B!DK54/Inv_SY_B!$IS54-1,"")</f>
        <v/>
      </c>
      <c r="DL54" s="62" t="str">
        <f>IFERROR(Inv_SY_B!DL54/Inv_SY_B!$IS54-1,"")</f>
        <v/>
      </c>
      <c r="DM54" s="62" t="str">
        <f>IFERROR(Inv_SY_B!DM54/Inv_SY_B!$IS54-1,"")</f>
        <v/>
      </c>
      <c r="DN54" s="62" t="str">
        <f>IFERROR(Inv_SY_B!DN54/Inv_SY_B!$IS54-1,"")</f>
        <v/>
      </c>
      <c r="DO54" s="62" t="str">
        <f>IFERROR(Inv_SY_B!DO54/Inv_SY_B!$IS54-1,"")</f>
        <v/>
      </c>
      <c r="DP54" s="62" t="str">
        <f>IFERROR(Inv_SY_B!DP54/Inv_SY_B!$IS54-1,"")</f>
        <v/>
      </c>
      <c r="DQ54" s="62" t="str">
        <f>IFERROR(Inv_SY_B!DQ54/Inv_SY_B!$IS54-1,"")</f>
        <v/>
      </c>
      <c r="DR54" s="62" t="str">
        <f>IFERROR(Inv_SY_B!DR54/Inv_SY_B!$IS54-1,"")</f>
        <v/>
      </c>
      <c r="DS54" s="62" t="str">
        <f>IFERROR(Inv_SY_B!DS54/Inv_SY_B!$IS54-1,"")</f>
        <v/>
      </c>
      <c r="DT54" s="62" t="str">
        <f>IFERROR(Inv_SY_B!DT54/Inv_SY_B!$IS54-1,"")</f>
        <v/>
      </c>
      <c r="DU54" s="62" t="str">
        <f>IFERROR(Inv_SY_B!DU54/Inv_SY_B!$IS54-1,"")</f>
        <v/>
      </c>
      <c r="DV54" s="62" t="str">
        <f>IFERROR(Inv_SY_B!DV54/Inv_SY_B!$IS54-1,"")</f>
        <v/>
      </c>
      <c r="DW54" s="62" t="str">
        <f>IFERROR(Inv_SY_B!DW54/Inv_SY_B!$IS54-1,"")</f>
        <v/>
      </c>
      <c r="DX54" s="62" t="str">
        <f>IFERROR(Inv_SY_B!DX54/Inv_SY_B!$IS54-1,"")</f>
        <v/>
      </c>
      <c r="DY54" s="62" t="str">
        <f>IFERROR(Inv_SY_B!DY54/Inv_SY_B!$IS54-1,"")</f>
        <v/>
      </c>
      <c r="DZ54" s="62" t="str">
        <f>IFERROR(Inv_SY_B!DZ54/Inv_SY_B!$IS54-1,"")</f>
        <v/>
      </c>
      <c r="EA54" s="62" t="str">
        <f>IFERROR(Inv_SY_B!EA54/Inv_SY_B!$IS54-1,"")</f>
        <v/>
      </c>
      <c r="EB54" s="62" t="str">
        <f>IFERROR(Inv_SY_B!EB54/Inv_SY_B!$IS54-1,"")</f>
        <v/>
      </c>
      <c r="EC54" s="62" t="str">
        <f>IFERROR(Inv_SY_B!EC54/Inv_SY_B!$IS54-1,"")</f>
        <v/>
      </c>
      <c r="ED54" s="62" t="str">
        <f>IFERROR(Inv_SY_B!ED54/Inv_SY_B!$IS54-1,"")</f>
        <v/>
      </c>
      <c r="EE54" s="62" t="str">
        <f>IFERROR(Inv_SY_B!EE54/Inv_SY_B!$IS54-1,"")</f>
        <v/>
      </c>
      <c r="EF54" s="62" t="str">
        <f>IFERROR(Inv_SY_B!EF54/Inv_SY_B!$IS54-1,"")</f>
        <v/>
      </c>
      <c r="EG54" s="62" t="str">
        <f>IFERROR(Inv_SY_B!EG54/Inv_SY_B!$IS54-1,"")</f>
        <v/>
      </c>
      <c r="EH54" s="62" t="str">
        <f>IFERROR(Inv_SY_B!EH54/Inv_SY_B!$IS54-1,"")</f>
        <v/>
      </c>
      <c r="EI54" s="62" t="str">
        <f>IFERROR(Inv_SY_B!EI54/Inv_SY_B!$IS54-1,"")</f>
        <v/>
      </c>
      <c r="EJ54" s="62" t="str">
        <f>IFERROR(Inv_SY_B!EJ54/Inv_SY_B!$IS54-1,"")</f>
        <v/>
      </c>
      <c r="EK54" s="62" t="str">
        <f>IFERROR(Inv_SY_B!EK54/Inv_SY_B!$IS54-1,"")</f>
        <v/>
      </c>
      <c r="EL54" s="62" t="str">
        <f>IFERROR(Inv_SY_B!EL54/Inv_SY_B!$IS54-1,"")</f>
        <v/>
      </c>
      <c r="EM54" s="62" t="str">
        <f>IFERROR(Inv_SY_B!EM54/Inv_SY_B!$IS54-1,"")</f>
        <v/>
      </c>
      <c r="EN54" s="62" t="str">
        <f>IFERROR(Inv_SY_B!EN54/Inv_SY_B!$IS54-1,"")</f>
        <v/>
      </c>
      <c r="EO54" s="62" t="str">
        <f>IFERROR(Inv_SY_B!EO54/Inv_SY_B!$IS54-1,"")</f>
        <v/>
      </c>
      <c r="EP54" s="62" t="str">
        <f>IFERROR(Inv_SY_B!EP54/Inv_SY_B!$IS54-1,"")</f>
        <v/>
      </c>
      <c r="EQ54" s="62" t="str">
        <f>IFERROR(Inv_SY_B!EQ54/Inv_SY_B!$IS54-1,"")</f>
        <v/>
      </c>
      <c r="ER54" s="62" t="str">
        <f>IFERROR(Inv_SY_B!ER54/Inv_SY_B!$IS54-1,"")</f>
        <v/>
      </c>
      <c r="ES54" s="62" t="str">
        <f>IFERROR(Inv_SY_B!ES54/Inv_SY_B!$IS54-1,"")</f>
        <v/>
      </c>
      <c r="ET54" s="62" t="str">
        <f>IFERROR(Inv_SY_B!ET54/Inv_SY_B!$IS54-1,"")</f>
        <v/>
      </c>
      <c r="EU54" s="62" t="str">
        <f>IFERROR(Inv_SY_B!EU54/Inv_SY_B!$IS54-1,"")</f>
        <v/>
      </c>
      <c r="EV54" s="62" t="str">
        <f>IFERROR(Inv_SY_B!EV54/Inv_SY_B!$IS54-1,"")</f>
        <v/>
      </c>
      <c r="EW54" s="62" t="str">
        <f>IFERROR(Inv_SY_B!EW54/Inv_SY_B!$IS54-1,"")</f>
        <v/>
      </c>
      <c r="EX54" s="62" t="str">
        <f>IFERROR(Inv_SY_B!EX54/Inv_SY_B!$IS54-1,"")</f>
        <v/>
      </c>
      <c r="EY54" s="62" t="str">
        <f>IFERROR(Inv_SY_B!EY54/Inv_SY_B!$IS54-1,"")</f>
        <v/>
      </c>
      <c r="EZ54" s="62" t="str">
        <f>IFERROR(Inv_SY_B!EZ54/Inv_SY_B!$IS54-1,"")</f>
        <v/>
      </c>
      <c r="FA54" s="62" t="str">
        <f>IFERROR(Inv_SY_B!FA54/Inv_SY_B!$IS54-1,"")</f>
        <v/>
      </c>
      <c r="FB54" s="62" t="str">
        <f>IFERROR(Inv_SY_B!FB54/Inv_SY_B!$IS54-1,"")</f>
        <v/>
      </c>
      <c r="FC54" s="62" t="str">
        <f>IFERROR(Inv_SY_B!FC54/Inv_SY_B!$IS54-1,"")</f>
        <v/>
      </c>
      <c r="FD54" s="62" t="str">
        <f>IFERROR(Inv_SY_B!FD54/Inv_SY_B!$IS54-1,"")</f>
        <v/>
      </c>
      <c r="FE54" s="62" t="str">
        <f>IFERROR(Inv_SY_B!FE54/Inv_SY_B!$IS54-1,"")</f>
        <v/>
      </c>
      <c r="FF54" s="62" t="str">
        <f>IFERROR(Inv_SY_B!FF54/Inv_SY_B!$IS54-1,"")</f>
        <v/>
      </c>
      <c r="FG54" s="62" t="str">
        <f>IFERROR(Inv_SY_B!FG54/Inv_SY_B!$IS54-1,"")</f>
        <v/>
      </c>
      <c r="FH54" s="62" t="str">
        <f>IFERROR(Inv_SY_B!FH54/Inv_SY_B!$IS54-1,"")</f>
        <v/>
      </c>
      <c r="FI54" s="62" t="str">
        <f>IFERROR(Inv_SY_B!FI54/Inv_SY_B!$IS54-1,"")</f>
        <v/>
      </c>
      <c r="FJ54" s="62" t="str">
        <f>IFERROR(Inv_SY_B!FJ54/Inv_SY_B!$IS54-1,"")</f>
        <v/>
      </c>
      <c r="FK54" s="62" t="str">
        <f>IFERROR(Inv_SY_B!FK54/Inv_SY_B!$IS54-1,"")</f>
        <v/>
      </c>
      <c r="FL54" s="62" t="str">
        <f>IFERROR(Inv_SY_B!FL54/Inv_SY_B!$IS54-1,"")</f>
        <v/>
      </c>
      <c r="FM54" s="62" t="str">
        <f>IFERROR(Inv_SY_B!FM54/Inv_SY_B!$IS54-1,"")</f>
        <v/>
      </c>
      <c r="FN54" s="62" t="str">
        <f>IFERROR(Inv_SY_B!FN54/Inv_SY_B!$IS54-1,"")</f>
        <v/>
      </c>
      <c r="FO54" s="62" t="str">
        <f>IFERROR(Inv_SY_B!FO54/Inv_SY_B!$IS54-1,"")</f>
        <v/>
      </c>
      <c r="FP54" s="62" t="str">
        <f>IFERROR(Inv_SY_B!FP54/Inv_SY_B!$IS54-1,"")</f>
        <v/>
      </c>
      <c r="FQ54" s="62" t="str">
        <f>IFERROR(Inv_SY_B!FQ54/Inv_SY_B!$IS54-1,"")</f>
        <v/>
      </c>
      <c r="FR54" s="62" t="str">
        <f>IFERROR(Inv_SY_B!FR54/Inv_SY_B!$IS54-1,"")</f>
        <v/>
      </c>
      <c r="FS54" s="62" t="str">
        <f>IFERROR(Inv_SY_B!FS54/Inv_SY_B!$IS54-1,"")</f>
        <v/>
      </c>
      <c r="FT54" s="62" t="str">
        <f>IFERROR(Inv_SY_B!FT54/Inv_SY_B!$IS54-1,"")</f>
        <v/>
      </c>
      <c r="FU54" s="62" t="str">
        <f>IFERROR(Inv_SY_B!FU54/Inv_SY_B!$IS54-1,"")</f>
        <v/>
      </c>
      <c r="FV54" s="62" t="str">
        <f>IFERROR(Inv_SY_B!FV54/Inv_SY_B!$IS54-1,"")</f>
        <v/>
      </c>
      <c r="FW54" s="62" t="str">
        <f>IFERROR(Inv_SY_B!FW54/Inv_SY_B!$IS54-1,"")</f>
        <v/>
      </c>
      <c r="FX54" s="62" t="str">
        <f>IFERROR(Inv_SY_B!FX54/Inv_SY_B!$IS54-1,"")</f>
        <v/>
      </c>
      <c r="FY54" s="62" t="str">
        <f>IFERROR(Inv_SY_B!FY54/Inv_SY_B!$IS54-1,"")</f>
        <v/>
      </c>
      <c r="FZ54" s="62" t="str">
        <f>IFERROR(Inv_SY_B!FZ54/Inv_SY_B!$IS54-1,"")</f>
        <v/>
      </c>
      <c r="GA54" s="62" t="str">
        <f>IFERROR(Inv_SY_B!GA54/Inv_SY_B!$IS54-1,"")</f>
        <v/>
      </c>
      <c r="GB54" s="62" t="str">
        <f>IFERROR(Inv_SY_B!GB54/Inv_SY_B!$IS54-1,"")</f>
        <v/>
      </c>
      <c r="GC54" s="62" t="str">
        <f>IFERROR(Inv_SY_B!GC54/Inv_SY_B!$IS54-1,"")</f>
        <v/>
      </c>
      <c r="GD54" s="62" t="str">
        <f>IFERROR(Inv_SY_B!GD54/Inv_SY_B!$IS54-1,"")</f>
        <v/>
      </c>
      <c r="GE54" s="62" t="str">
        <f>IFERROR(Inv_SY_B!GE54/Inv_SY_B!$IS54-1,"")</f>
        <v/>
      </c>
      <c r="GF54" s="62" t="str">
        <f>IFERROR(Inv_SY_B!GF54/Inv_SY_B!$IS54-1,"")</f>
        <v/>
      </c>
      <c r="GG54" s="62" t="str">
        <f>IFERROR(Inv_SY_B!GG54/Inv_SY_B!$IS54-1,"")</f>
        <v/>
      </c>
      <c r="GH54" s="62" t="str">
        <f>IFERROR(Inv_SY_B!GH54/Inv_SY_B!$IS54-1,"")</f>
        <v/>
      </c>
      <c r="GI54" s="62" t="str">
        <f>IFERROR(Inv_SY_B!GI54/Inv_SY_B!$IS54-1,"")</f>
        <v/>
      </c>
      <c r="GJ54" s="62" t="str">
        <f>IFERROR(Inv_SY_B!GJ54/Inv_SY_B!$IS54-1,"")</f>
        <v/>
      </c>
      <c r="GK54" s="62" t="str">
        <f>IFERROR(Inv_SY_B!GK54/Inv_SY_B!$IS54-1,"")</f>
        <v/>
      </c>
      <c r="GL54" s="62" t="str">
        <f>IFERROR(Inv_SY_B!GL54/Inv_SY_B!$IS54-1,"")</f>
        <v/>
      </c>
      <c r="GM54" s="62" t="str">
        <f>IFERROR(Inv_SY_B!GM54/Inv_SY_B!$IS54-1,"")</f>
        <v/>
      </c>
      <c r="GN54" s="62" t="str">
        <f>IFERROR(Inv_SY_B!GN54/Inv_SY_B!$IS54-1,"")</f>
        <v/>
      </c>
      <c r="GO54" s="62" t="str">
        <f>IFERROR(Inv_SY_B!GO54/Inv_SY_B!$IS54-1,"")</f>
        <v/>
      </c>
      <c r="GP54" s="62" t="str">
        <f>IFERROR(Inv_SY_B!GP54/Inv_SY_B!$IS54-1,"")</f>
        <v/>
      </c>
      <c r="GQ54" s="62" t="str">
        <f>IFERROR(Inv_SY_B!GQ54/Inv_SY_B!$IS54-1,"")</f>
        <v/>
      </c>
      <c r="GR54" s="62" t="str">
        <f>IFERROR(Inv_SY_B!GR54/Inv_SY_B!$IS54-1,"")</f>
        <v/>
      </c>
      <c r="GS54" s="62" t="str">
        <f>IFERROR(Inv_SY_B!GS54/Inv_SY_B!$IS54-1,"")</f>
        <v/>
      </c>
      <c r="GT54" s="62" t="str">
        <f>IFERROR(Inv_SY_B!GT54/Inv_SY_B!$IS54-1,"")</f>
        <v/>
      </c>
      <c r="GU54" s="62" t="str">
        <f>IFERROR(Inv_SY_B!GU54/Inv_SY_B!$IS54-1,"")</f>
        <v/>
      </c>
      <c r="GV54" s="62" t="str">
        <f>IFERROR(Inv_SY_B!GV54/Inv_SY_B!$IS54-1,"")</f>
        <v/>
      </c>
      <c r="GW54" s="62" t="str">
        <f>IFERROR(Inv_SY_B!GW54/Inv_SY_B!$IS54-1,"")</f>
        <v/>
      </c>
      <c r="GX54" s="62" t="str">
        <f>IFERROR(Inv_SY_B!GX54/Inv_SY_B!$IS54-1,"")</f>
        <v/>
      </c>
      <c r="GY54" s="62" t="str">
        <f>IFERROR(Inv_SY_B!GY54/Inv_SY_B!$IS54-1,"")</f>
        <v/>
      </c>
      <c r="GZ54" s="62" t="str">
        <f>IFERROR(Inv_SY_B!GZ54/Inv_SY_B!$IS54-1,"")</f>
        <v/>
      </c>
      <c r="HA54" s="62" t="str">
        <f>IFERROR(Inv_SY_B!HA54/Inv_SY_B!$IS54-1,"")</f>
        <v/>
      </c>
      <c r="HB54" s="62" t="str">
        <f>IFERROR(Inv_SY_B!HB54/Inv_SY_B!$IS54-1,"")</f>
        <v/>
      </c>
      <c r="HC54" s="62" t="str">
        <f>IFERROR(Inv_SY_B!HC54/Inv_SY_B!$IS54-1,"")</f>
        <v/>
      </c>
      <c r="HD54" s="62" t="str">
        <f>IFERROR(Inv_SY_B!HD54/Inv_SY_B!$IS54-1,"")</f>
        <v/>
      </c>
      <c r="HE54" s="62" t="str">
        <f>IFERROR(Inv_SY_B!HE54/Inv_SY_B!$IS54-1,"")</f>
        <v/>
      </c>
      <c r="HF54" s="62" t="str">
        <f>IFERROR(Inv_SY_B!HF54/Inv_SY_B!$IS54-1,"")</f>
        <v/>
      </c>
      <c r="HG54" s="62" t="str">
        <f>IFERROR(Inv_SY_B!HG54/Inv_SY_B!$IS54-1,"")</f>
        <v/>
      </c>
      <c r="HH54" s="62" t="str">
        <f>IFERROR(Inv_SY_B!HH54/Inv_SY_B!$IS54-1,"")</f>
        <v/>
      </c>
      <c r="HI54" s="62" t="str">
        <f>IFERROR(Inv_SY_B!HI54/Inv_SY_B!$IS54-1,"")</f>
        <v/>
      </c>
      <c r="HJ54" s="62" t="str">
        <f>IFERROR(Inv_SY_B!HJ54/Inv_SY_B!$IS54-1,"")</f>
        <v/>
      </c>
      <c r="HK54" s="62" t="str">
        <f>IFERROR(Inv_SY_B!HK54/Inv_SY_B!$IS54-1,"")</f>
        <v/>
      </c>
      <c r="HL54" s="62" t="str">
        <f>IFERROR(Inv_SY_B!HL54/Inv_SY_B!$IS54-1,"")</f>
        <v/>
      </c>
      <c r="HM54" s="62" t="str">
        <f>IFERROR(Inv_SY_B!HM54/Inv_SY_B!$IS54-1,"")</f>
        <v/>
      </c>
      <c r="HN54" s="62" t="str">
        <f>IFERROR(Inv_SY_B!HN54/Inv_SY_B!$IS54-1,"")</f>
        <v/>
      </c>
      <c r="HO54" s="62" t="str">
        <f>IFERROR(Inv_SY_B!HO54/Inv_SY_B!$IS54-1,"")</f>
        <v/>
      </c>
      <c r="HP54" s="62" t="str">
        <f>IFERROR(Inv_SY_B!HP54/Inv_SY_B!$IS54-1,"")</f>
        <v/>
      </c>
      <c r="HQ54" s="62" t="str">
        <f>IFERROR(Inv_SY_B!HQ54/Inv_SY_B!$IS54-1,"")</f>
        <v/>
      </c>
      <c r="HR54" s="62" t="str">
        <f>IFERROR(Inv_SY_B!HR54/Inv_SY_B!$IS54-1,"")</f>
        <v/>
      </c>
      <c r="HS54" s="62" t="str">
        <f>IFERROR(Inv_SY_B!HS54/Inv_SY_B!$IS54-1,"")</f>
        <v/>
      </c>
      <c r="HT54" s="62" t="str">
        <f>IFERROR(Inv_SY_B!HT54/Inv_SY_B!$IS54-1,"")</f>
        <v/>
      </c>
      <c r="HU54" s="62" t="str">
        <f>IFERROR(Inv_SY_B!HU54/Inv_SY_B!$IS54-1,"")</f>
        <v/>
      </c>
      <c r="HV54" s="62" t="str">
        <f>IFERROR(Inv_SY_B!HV54/Inv_SY_B!$IS54-1,"")</f>
        <v/>
      </c>
      <c r="HW54" s="62" t="str">
        <f>IFERROR(Inv_SY_B!HW54/Inv_SY_B!$IS54-1,"")</f>
        <v/>
      </c>
      <c r="HX54" s="62" t="str">
        <f>IFERROR(Inv_SY_B!HX54/Inv_SY_B!$IS54-1,"")</f>
        <v/>
      </c>
      <c r="HY54" s="62" t="str">
        <f>IFERROR(Inv_SY_B!HY54/Inv_SY_B!$IS54-1,"")</f>
        <v/>
      </c>
      <c r="HZ54" s="62" t="str">
        <f>IFERROR(Inv_SY_B!HZ54/Inv_SY_B!$IS54-1,"")</f>
        <v/>
      </c>
      <c r="IA54" s="62" t="str">
        <f>IFERROR(Inv_SY_B!IA54/Inv_SY_B!$IS54-1,"")</f>
        <v/>
      </c>
      <c r="IB54" s="62" t="str">
        <f>IFERROR(Inv_SY_B!IB54/Inv_SY_B!$IS54-1,"")</f>
        <v/>
      </c>
      <c r="IC54" s="62" t="str">
        <f>IFERROR(Inv_SY_B!IC54/Inv_SY_B!$IS54-1,"")</f>
        <v/>
      </c>
      <c r="ID54" s="62" t="str">
        <f>IFERROR(Inv_SY_B!ID54/Inv_SY_B!$IS54-1,"")</f>
        <v/>
      </c>
      <c r="IE54" s="62" t="str">
        <f>IFERROR(Inv_SY_B!IE54/Inv_SY_B!$IS54-1,"")</f>
        <v/>
      </c>
      <c r="IF54" s="62" t="str">
        <f>IFERROR(Inv_SY_B!IF54/Inv_SY_B!$IS54-1,"")</f>
        <v/>
      </c>
      <c r="IG54" s="62" t="str">
        <f>IFERROR(Inv_SY_B!IG54/Inv_SY_B!$IS54-1,"")</f>
        <v/>
      </c>
      <c r="IH54" s="62" t="str">
        <f>IFERROR(Inv_SY_B!IH54/Inv_SY_B!$IS54-1,"")</f>
        <v/>
      </c>
      <c r="II54" s="62" t="str">
        <f>IFERROR(Inv_SY_B!II54/Inv_SY_B!$IS54-1,"")</f>
        <v/>
      </c>
      <c r="IJ54" s="62" t="str">
        <f>IFERROR(Inv_SY_B!IJ54/Inv_SY_B!$IS54-1,"")</f>
        <v/>
      </c>
      <c r="IK54" s="62" t="str">
        <f>IFERROR(Inv_SY_B!IK54/Inv_SY_B!$IS54-1,"")</f>
        <v/>
      </c>
      <c r="IL54" s="62" t="str">
        <f>IFERROR(Inv_SY_B!IL54/Inv_SY_B!$IS54-1,"")</f>
        <v/>
      </c>
      <c r="IM54" s="62" t="str">
        <f>IFERROR(Inv_SY_B!IM54/Inv_SY_B!$IS54-1,"")</f>
        <v/>
      </c>
      <c r="IN54" s="62" t="str">
        <f>IFERROR(Inv_SY_B!IN54/Inv_SY_B!$IS54-1,"")</f>
        <v/>
      </c>
      <c r="IO54" s="62" t="str">
        <f>IFERROR(Inv_SY_B!IO54/Inv_SY_B!$IS54-1,"")</f>
        <v/>
      </c>
      <c r="IP54" s="62" t="str">
        <f>IFERROR(Inv_SY_B!IP54/Inv_SY_B!$IS54-1,"")</f>
        <v/>
      </c>
      <c r="IQ54" s="62" t="str">
        <f>IFERROR(Inv_SY_B!IQ54/Inv_SY_B!$IS54-1,"")</f>
        <v/>
      </c>
      <c r="IR54" s="62" t="str">
        <f>IFERROR(Inv_SY_B!IR54/Inv_SY_B!$IS54-1,"")</f>
        <v/>
      </c>
    </row>
    <row r="55" spans="2:252" x14ac:dyDescent="0.25">
      <c r="B55" s="85">
        <f t="shared" si="0"/>
        <v>45881</v>
      </c>
      <c r="C55" s="62" t="str">
        <f>IFERROR(Inv_SY_B!C55/Inv_SY_B!$IS55-1,"")</f>
        <v/>
      </c>
      <c r="D55" s="62" t="str">
        <f>IFERROR(Inv_SY_B!D55/Inv_SY_B!$IS55-1,"")</f>
        <v/>
      </c>
      <c r="E55" s="62" t="str">
        <f>IFERROR(Inv_SY_B!E55/Inv_SY_B!$IS55-1,"")</f>
        <v/>
      </c>
      <c r="F55" s="62" t="str">
        <f>IFERROR(Inv_SY_B!F55/Inv_SY_B!$IS55-1,"")</f>
        <v/>
      </c>
      <c r="G55" s="62" t="str">
        <f>IFERROR(Inv_SY_B!G55/Inv_SY_B!$IS55-1,"")</f>
        <v/>
      </c>
      <c r="H55" s="62" t="str">
        <f>IFERROR(Inv_SY_B!H55/Inv_SY_B!$IS55-1,"")</f>
        <v/>
      </c>
      <c r="I55" s="62" t="str">
        <f>IFERROR(Inv_SY_B!I55/Inv_SY_B!$IS55-1,"")</f>
        <v/>
      </c>
      <c r="J55" s="62" t="str">
        <f>IFERROR(Inv_SY_B!J55/Inv_SY_B!$IS55-1,"")</f>
        <v/>
      </c>
      <c r="K55" s="62" t="str">
        <f>IFERROR(Inv_SY_B!K55/Inv_SY_B!$IS55-1,"")</f>
        <v/>
      </c>
      <c r="L55" s="62" t="str">
        <f>IFERROR(Inv_SY_B!L55/Inv_SY_B!$IS55-1,"")</f>
        <v/>
      </c>
      <c r="M55" s="62" t="str">
        <f>IFERROR(Inv_SY_B!M55/Inv_SY_B!$IS55-1,"")</f>
        <v/>
      </c>
      <c r="N55" s="62" t="str">
        <f>IFERROR(Inv_SY_B!N55/Inv_SY_B!$IS55-1,"")</f>
        <v/>
      </c>
      <c r="O55" s="62" t="str">
        <f>IFERROR(Inv_SY_B!O55/Inv_SY_B!$IS55-1,"")</f>
        <v/>
      </c>
      <c r="P55" s="62" t="str">
        <f>IFERROR(Inv_SY_B!P55/Inv_SY_B!$IS55-1,"")</f>
        <v/>
      </c>
      <c r="Q55" s="62" t="str">
        <f>IFERROR(Inv_SY_B!Q55/Inv_SY_B!$IS55-1,"")</f>
        <v/>
      </c>
      <c r="R55" s="62" t="str">
        <f>IFERROR(Inv_SY_B!R55/Inv_SY_B!$IS55-1,"")</f>
        <v/>
      </c>
      <c r="S55" s="62" t="str">
        <f>IFERROR(Inv_SY_B!S55/Inv_SY_B!$IS55-1,"")</f>
        <v/>
      </c>
      <c r="T55" s="62" t="str">
        <f>IFERROR(Inv_SY_B!T55/Inv_SY_B!$IS55-1,"")</f>
        <v/>
      </c>
      <c r="U55" s="62" t="str">
        <f>IFERROR(Inv_SY_B!U55/Inv_SY_B!$IS55-1,"")</f>
        <v/>
      </c>
      <c r="V55" s="62" t="str">
        <f>IFERROR(Inv_SY_B!V55/Inv_SY_B!$IS55-1,"")</f>
        <v/>
      </c>
      <c r="W55" s="62" t="str">
        <f>IFERROR(Inv_SY_B!W55/Inv_SY_B!$IS55-1,"")</f>
        <v/>
      </c>
      <c r="X55" s="62" t="str">
        <f>IFERROR(Inv_SY_B!X55/Inv_SY_B!$IS55-1,"")</f>
        <v/>
      </c>
      <c r="Y55" s="62" t="str">
        <f>IFERROR(Inv_SY_B!Y55/Inv_SY_B!$IS55-1,"")</f>
        <v/>
      </c>
      <c r="Z55" s="62" t="str">
        <f>IFERROR(Inv_SY_B!Z55/Inv_SY_B!$IS55-1,"")</f>
        <v/>
      </c>
      <c r="AA55" s="62" t="str">
        <f>IFERROR(Inv_SY_B!AA55/Inv_SY_B!$IS55-1,"")</f>
        <v/>
      </c>
      <c r="AB55" s="62" t="str">
        <f>IFERROR(Inv_SY_B!AB55/Inv_SY_B!$IS55-1,"")</f>
        <v/>
      </c>
      <c r="AC55" s="62" t="str">
        <f>IFERROR(Inv_SY_B!AC55/Inv_SY_B!$IS55-1,"")</f>
        <v/>
      </c>
      <c r="AD55" s="62" t="str">
        <f>IFERROR(Inv_SY_B!AD55/Inv_SY_B!$IS55-1,"")</f>
        <v/>
      </c>
      <c r="AE55" s="62" t="str">
        <f>IFERROR(Inv_SY_B!AE55/Inv_SY_B!$IS55-1,"")</f>
        <v/>
      </c>
      <c r="AF55" s="62" t="str">
        <f>IFERROR(Inv_SY_B!AF55/Inv_SY_B!$IS55-1,"")</f>
        <v/>
      </c>
      <c r="AG55" s="62" t="str">
        <f>IFERROR(Inv_SY_B!AG55/Inv_SY_B!$IS55-1,"")</f>
        <v/>
      </c>
      <c r="AH55" s="62" t="str">
        <f>IFERROR(Inv_SY_B!AH55/Inv_SY_B!$IS55-1,"")</f>
        <v/>
      </c>
      <c r="AI55" s="62" t="str">
        <f>IFERROR(Inv_SY_B!AI55/Inv_SY_B!$IS55-1,"")</f>
        <v/>
      </c>
      <c r="AJ55" s="62" t="str">
        <f>IFERROR(Inv_SY_B!AJ55/Inv_SY_B!$IS55-1,"")</f>
        <v/>
      </c>
      <c r="AK55" s="62" t="str">
        <f>IFERROR(Inv_SY_B!AK55/Inv_SY_B!$IS55-1,"")</f>
        <v/>
      </c>
      <c r="AL55" s="62" t="str">
        <f>IFERROR(Inv_SY_B!AL55/Inv_SY_B!$IS55-1,"")</f>
        <v/>
      </c>
      <c r="AM55" s="62" t="str">
        <f>IFERROR(Inv_SY_B!AM55/Inv_SY_B!$IS55-1,"")</f>
        <v/>
      </c>
      <c r="AN55" s="62" t="str">
        <f>IFERROR(Inv_SY_B!AN55/Inv_SY_B!$IS55-1,"")</f>
        <v/>
      </c>
      <c r="AO55" s="62" t="str">
        <f>IFERROR(Inv_SY_B!AO55/Inv_SY_B!$IS55-1,"")</f>
        <v/>
      </c>
      <c r="AP55" s="62" t="str">
        <f>IFERROR(Inv_SY_B!AP55/Inv_SY_B!$IS55-1,"")</f>
        <v/>
      </c>
      <c r="AQ55" s="62" t="str">
        <f>IFERROR(Inv_SY_B!AQ55/Inv_SY_B!$IS55-1,"")</f>
        <v/>
      </c>
      <c r="AR55" s="62" t="str">
        <f>IFERROR(Inv_SY_B!AR55/Inv_SY_B!$IS55-1,"")</f>
        <v/>
      </c>
      <c r="AS55" s="62" t="str">
        <f>IFERROR(Inv_SY_B!AS55/Inv_SY_B!$IS55-1,"")</f>
        <v/>
      </c>
      <c r="AT55" s="62" t="str">
        <f>IFERROR(Inv_SY_B!AT55/Inv_SY_B!$IS55-1,"")</f>
        <v/>
      </c>
      <c r="AU55" s="62" t="str">
        <f>IFERROR(Inv_SY_B!AU55/Inv_SY_B!$IS55-1,"")</f>
        <v/>
      </c>
      <c r="AV55" s="62" t="str">
        <f>IFERROR(Inv_SY_B!AV55/Inv_SY_B!$IS55-1,"")</f>
        <v/>
      </c>
      <c r="AW55" s="62" t="str">
        <f>IFERROR(Inv_SY_B!AW55/Inv_SY_B!$IS55-1,"")</f>
        <v/>
      </c>
      <c r="AX55" s="62" t="str">
        <f>IFERROR(Inv_SY_B!AX55/Inv_SY_B!$IS55-1,"")</f>
        <v/>
      </c>
      <c r="AY55" s="62" t="str">
        <f>IFERROR(Inv_SY_B!AY55/Inv_SY_B!$IS55-1,"")</f>
        <v/>
      </c>
      <c r="AZ55" s="62" t="str">
        <f>IFERROR(Inv_SY_B!AZ55/Inv_SY_B!$IS55-1,"")</f>
        <v/>
      </c>
      <c r="BA55" s="62" t="str">
        <f>IFERROR(Inv_SY_B!BA55/Inv_SY_B!$IS55-1,"")</f>
        <v/>
      </c>
      <c r="BB55" s="62" t="str">
        <f>IFERROR(Inv_SY_B!BB55/Inv_SY_B!$IS55-1,"")</f>
        <v/>
      </c>
      <c r="BC55" s="62" t="str">
        <f>IFERROR(Inv_SY_B!BC55/Inv_SY_B!$IS55-1,"")</f>
        <v/>
      </c>
      <c r="BD55" s="62" t="str">
        <f>IFERROR(Inv_SY_B!BD55/Inv_SY_B!$IS55-1,"")</f>
        <v/>
      </c>
      <c r="BE55" s="62" t="str">
        <f>IFERROR(Inv_SY_B!BE55/Inv_SY_B!$IS55-1,"")</f>
        <v/>
      </c>
      <c r="BF55" s="62" t="str">
        <f>IFERROR(Inv_SY_B!BF55/Inv_SY_B!$IS55-1,"")</f>
        <v/>
      </c>
      <c r="BG55" s="62" t="str">
        <f>IFERROR(Inv_SY_B!BG55/Inv_SY_B!$IS55-1,"")</f>
        <v/>
      </c>
      <c r="BH55" s="62" t="str">
        <f>IFERROR(Inv_SY_B!BH55/Inv_SY_B!$IS55-1,"")</f>
        <v/>
      </c>
      <c r="BI55" s="62" t="str">
        <f>IFERROR(Inv_SY_B!BI55/Inv_SY_B!$IS55-1,"")</f>
        <v/>
      </c>
      <c r="BJ55" s="62" t="str">
        <f>IFERROR(Inv_SY_B!BJ55/Inv_SY_B!$IS55-1,"")</f>
        <v/>
      </c>
      <c r="BK55" s="62" t="str">
        <f>IFERROR(Inv_SY_B!BK55/Inv_SY_B!$IS55-1,"")</f>
        <v/>
      </c>
      <c r="BL55" s="62" t="str">
        <f>IFERROR(Inv_SY_B!BL55/Inv_SY_B!$IS55-1,"")</f>
        <v/>
      </c>
      <c r="BM55" s="62" t="str">
        <f>IFERROR(Inv_SY_B!BM55/Inv_SY_B!$IS55-1,"")</f>
        <v/>
      </c>
      <c r="BN55" s="62" t="str">
        <f>IFERROR(Inv_SY_B!BN55/Inv_SY_B!$IS55-1,"")</f>
        <v/>
      </c>
      <c r="BO55" s="62" t="str">
        <f>IFERROR(Inv_SY_B!BO55/Inv_SY_B!$IS55-1,"")</f>
        <v/>
      </c>
      <c r="BP55" s="62" t="str">
        <f>IFERROR(Inv_SY_B!BP55/Inv_SY_B!$IS55-1,"")</f>
        <v/>
      </c>
      <c r="BQ55" s="62" t="str">
        <f>IFERROR(Inv_SY_B!BQ55/Inv_SY_B!$IS55-1,"")</f>
        <v/>
      </c>
      <c r="BR55" s="62" t="str">
        <f>IFERROR(Inv_SY_B!BR55/Inv_SY_B!$IS55-1,"")</f>
        <v/>
      </c>
      <c r="BS55" s="62" t="str">
        <f>IFERROR(Inv_SY_B!BS55/Inv_SY_B!$IS55-1,"")</f>
        <v/>
      </c>
      <c r="BT55" s="62" t="str">
        <f>IFERROR(Inv_SY_B!BT55/Inv_SY_B!$IS55-1,"")</f>
        <v/>
      </c>
      <c r="BU55" s="62" t="str">
        <f>IFERROR(Inv_SY_B!BU55/Inv_SY_B!$IS55-1,"")</f>
        <v/>
      </c>
      <c r="BV55" s="62" t="str">
        <f>IFERROR(Inv_SY_B!BV55/Inv_SY_B!$IS55-1,"")</f>
        <v/>
      </c>
      <c r="BW55" s="62" t="str">
        <f>IFERROR(Inv_SY_B!BW55/Inv_SY_B!$IS55-1,"")</f>
        <v/>
      </c>
      <c r="BX55" s="62" t="str">
        <f>IFERROR(Inv_SY_B!BX55/Inv_SY_B!$IS55-1,"")</f>
        <v/>
      </c>
      <c r="BY55" s="62" t="str">
        <f>IFERROR(Inv_SY_B!BY55/Inv_SY_B!$IS55-1,"")</f>
        <v/>
      </c>
      <c r="BZ55" s="62" t="str">
        <f>IFERROR(Inv_SY_B!BZ55/Inv_SY_B!$IS55-1,"")</f>
        <v/>
      </c>
      <c r="CA55" s="62" t="str">
        <f>IFERROR(Inv_SY_B!CA55/Inv_SY_B!$IS55-1,"")</f>
        <v/>
      </c>
      <c r="CB55" s="62" t="str">
        <f>IFERROR(Inv_SY_B!CB55/Inv_SY_B!$IS55-1,"")</f>
        <v/>
      </c>
      <c r="CC55" s="62" t="str">
        <f>IFERROR(Inv_SY_B!CC55/Inv_SY_B!$IS55-1,"")</f>
        <v/>
      </c>
      <c r="CD55" s="62" t="str">
        <f>IFERROR(Inv_SY_B!CD55/Inv_SY_B!$IS55-1,"")</f>
        <v/>
      </c>
      <c r="CE55" s="62" t="str">
        <f>IFERROR(Inv_SY_B!CE55/Inv_SY_B!$IS55-1,"")</f>
        <v/>
      </c>
      <c r="CF55" s="62" t="str">
        <f>IFERROR(Inv_SY_B!CF55/Inv_SY_B!$IS55-1,"")</f>
        <v/>
      </c>
      <c r="CG55" s="62" t="str">
        <f>IFERROR(Inv_SY_B!CG55/Inv_SY_B!$IS55-1,"")</f>
        <v/>
      </c>
      <c r="CH55" s="62" t="str">
        <f>IFERROR(Inv_SY_B!CH55/Inv_SY_B!$IS55-1,"")</f>
        <v/>
      </c>
      <c r="CI55" s="62" t="str">
        <f>IFERROR(Inv_SY_B!CI55/Inv_SY_B!$IS55-1,"")</f>
        <v/>
      </c>
      <c r="CJ55" s="62" t="str">
        <f>IFERROR(Inv_SY_B!CJ55/Inv_SY_B!$IS55-1,"")</f>
        <v/>
      </c>
      <c r="CK55" s="62" t="str">
        <f>IFERROR(Inv_SY_B!CK55/Inv_SY_B!$IS55-1,"")</f>
        <v/>
      </c>
      <c r="CL55" s="62" t="str">
        <f>IFERROR(Inv_SY_B!CL55/Inv_SY_B!$IS55-1,"")</f>
        <v/>
      </c>
      <c r="CM55" s="62" t="str">
        <f>IFERROR(Inv_SY_B!CM55/Inv_SY_B!$IS55-1,"")</f>
        <v/>
      </c>
      <c r="CN55" s="62" t="str">
        <f>IFERROR(Inv_SY_B!CN55/Inv_SY_B!$IS55-1,"")</f>
        <v/>
      </c>
      <c r="CO55" s="62" t="str">
        <f>IFERROR(Inv_SY_B!CO55/Inv_SY_B!$IS55-1,"")</f>
        <v/>
      </c>
      <c r="CP55" s="62" t="str">
        <f>IFERROR(Inv_SY_B!CP55/Inv_SY_B!$IS55-1,"")</f>
        <v/>
      </c>
      <c r="CQ55" s="62" t="str">
        <f>IFERROR(Inv_SY_B!CQ55/Inv_SY_B!$IS55-1,"")</f>
        <v/>
      </c>
      <c r="CR55" s="62" t="str">
        <f>IFERROR(Inv_SY_B!CR55/Inv_SY_B!$IS55-1,"")</f>
        <v/>
      </c>
      <c r="CS55" s="62" t="str">
        <f>IFERROR(Inv_SY_B!CS55/Inv_SY_B!$IS55-1,"")</f>
        <v/>
      </c>
      <c r="CT55" s="62" t="str">
        <f>IFERROR(Inv_SY_B!CT55/Inv_SY_B!$IS55-1,"")</f>
        <v/>
      </c>
      <c r="CU55" s="62" t="str">
        <f>IFERROR(Inv_SY_B!CU55/Inv_SY_B!$IS55-1,"")</f>
        <v/>
      </c>
      <c r="CV55" s="62" t="str">
        <f>IFERROR(Inv_SY_B!CV55/Inv_SY_B!$IS55-1,"")</f>
        <v/>
      </c>
      <c r="CW55" s="62" t="str">
        <f>IFERROR(Inv_SY_B!CW55/Inv_SY_B!$IS55-1,"")</f>
        <v/>
      </c>
      <c r="CX55" s="62" t="str">
        <f>IFERROR(Inv_SY_B!CX55/Inv_SY_B!$IS55-1,"")</f>
        <v/>
      </c>
      <c r="CY55" s="62" t="str">
        <f>IFERROR(Inv_SY_B!CY55/Inv_SY_B!$IS55-1,"")</f>
        <v/>
      </c>
      <c r="CZ55" s="62" t="str">
        <f>IFERROR(Inv_SY_B!CZ55/Inv_SY_B!$IS55-1,"")</f>
        <v/>
      </c>
      <c r="DA55" s="62" t="str">
        <f>IFERROR(Inv_SY_B!DA55/Inv_SY_B!$IS55-1,"")</f>
        <v/>
      </c>
      <c r="DB55" s="62" t="str">
        <f>IFERROR(Inv_SY_B!DB55/Inv_SY_B!$IS55-1,"")</f>
        <v/>
      </c>
      <c r="DC55" s="62" t="str">
        <f>IFERROR(Inv_SY_B!DC55/Inv_SY_B!$IS55-1,"")</f>
        <v/>
      </c>
      <c r="DD55" s="62" t="str">
        <f>IFERROR(Inv_SY_B!DD55/Inv_SY_B!$IS55-1,"")</f>
        <v/>
      </c>
      <c r="DE55" s="62" t="str">
        <f>IFERROR(Inv_SY_B!DE55/Inv_SY_B!$IS55-1,"")</f>
        <v/>
      </c>
      <c r="DF55" s="62" t="str">
        <f>IFERROR(Inv_SY_B!DF55/Inv_SY_B!$IS55-1,"")</f>
        <v/>
      </c>
      <c r="DG55" s="62" t="str">
        <f>IFERROR(Inv_SY_B!DG55/Inv_SY_B!$IS55-1,"")</f>
        <v/>
      </c>
      <c r="DH55" s="62" t="str">
        <f>IFERROR(Inv_SY_B!DH55/Inv_SY_B!$IS55-1,"")</f>
        <v/>
      </c>
      <c r="DI55" s="62" t="str">
        <f>IFERROR(Inv_SY_B!DI55/Inv_SY_B!$IS55-1,"")</f>
        <v/>
      </c>
      <c r="DJ55" s="62" t="str">
        <f>IFERROR(Inv_SY_B!DJ55/Inv_SY_B!$IS55-1,"")</f>
        <v/>
      </c>
      <c r="DK55" s="62" t="str">
        <f>IFERROR(Inv_SY_B!DK55/Inv_SY_B!$IS55-1,"")</f>
        <v/>
      </c>
      <c r="DL55" s="62" t="str">
        <f>IFERROR(Inv_SY_B!DL55/Inv_SY_B!$IS55-1,"")</f>
        <v/>
      </c>
      <c r="DM55" s="62" t="str">
        <f>IFERROR(Inv_SY_B!DM55/Inv_SY_B!$IS55-1,"")</f>
        <v/>
      </c>
      <c r="DN55" s="62" t="str">
        <f>IFERROR(Inv_SY_B!DN55/Inv_SY_B!$IS55-1,"")</f>
        <v/>
      </c>
      <c r="DO55" s="62" t="str">
        <f>IFERROR(Inv_SY_B!DO55/Inv_SY_B!$IS55-1,"")</f>
        <v/>
      </c>
      <c r="DP55" s="62" t="str">
        <f>IFERROR(Inv_SY_B!DP55/Inv_SY_B!$IS55-1,"")</f>
        <v/>
      </c>
      <c r="DQ55" s="62" t="str">
        <f>IFERROR(Inv_SY_B!DQ55/Inv_SY_B!$IS55-1,"")</f>
        <v/>
      </c>
      <c r="DR55" s="62" t="str">
        <f>IFERROR(Inv_SY_B!DR55/Inv_SY_B!$IS55-1,"")</f>
        <v/>
      </c>
      <c r="DS55" s="62" t="str">
        <f>IFERROR(Inv_SY_B!DS55/Inv_SY_B!$IS55-1,"")</f>
        <v/>
      </c>
      <c r="DT55" s="62" t="str">
        <f>IFERROR(Inv_SY_B!DT55/Inv_SY_B!$IS55-1,"")</f>
        <v/>
      </c>
      <c r="DU55" s="62" t="str">
        <f>IFERROR(Inv_SY_B!DU55/Inv_SY_B!$IS55-1,"")</f>
        <v/>
      </c>
      <c r="DV55" s="62" t="str">
        <f>IFERROR(Inv_SY_B!DV55/Inv_SY_B!$IS55-1,"")</f>
        <v/>
      </c>
      <c r="DW55" s="62" t="str">
        <f>IFERROR(Inv_SY_B!DW55/Inv_SY_B!$IS55-1,"")</f>
        <v/>
      </c>
      <c r="DX55" s="62" t="str">
        <f>IFERROR(Inv_SY_B!DX55/Inv_SY_B!$IS55-1,"")</f>
        <v/>
      </c>
      <c r="DY55" s="62" t="str">
        <f>IFERROR(Inv_SY_B!DY55/Inv_SY_B!$IS55-1,"")</f>
        <v/>
      </c>
      <c r="DZ55" s="62" t="str">
        <f>IFERROR(Inv_SY_B!DZ55/Inv_SY_B!$IS55-1,"")</f>
        <v/>
      </c>
      <c r="EA55" s="62" t="str">
        <f>IFERROR(Inv_SY_B!EA55/Inv_SY_B!$IS55-1,"")</f>
        <v/>
      </c>
      <c r="EB55" s="62" t="str">
        <f>IFERROR(Inv_SY_B!EB55/Inv_SY_B!$IS55-1,"")</f>
        <v/>
      </c>
      <c r="EC55" s="62" t="str">
        <f>IFERROR(Inv_SY_B!EC55/Inv_SY_B!$IS55-1,"")</f>
        <v/>
      </c>
      <c r="ED55" s="62" t="str">
        <f>IFERROR(Inv_SY_B!ED55/Inv_SY_B!$IS55-1,"")</f>
        <v/>
      </c>
      <c r="EE55" s="62" t="str">
        <f>IFERROR(Inv_SY_B!EE55/Inv_SY_B!$IS55-1,"")</f>
        <v/>
      </c>
      <c r="EF55" s="62" t="str">
        <f>IFERROR(Inv_SY_B!EF55/Inv_SY_B!$IS55-1,"")</f>
        <v/>
      </c>
      <c r="EG55" s="62" t="str">
        <f>IFERROR(Inv_SY_B!EG55/Inv_SY_B!$IS55-1,"")</f>
        <v/>
      </c>
      <c r="EH55" s="62" t="str">
        <f>IFERROR(Inv_SY_B!EH55/Inv_SY_B!$IS55-1,"")</f>
        <v/>
      </c>
      <c r="EI55" s="62" t="str">
        <f>IFERROR(Inv_SY_B!EI55/Inv_SY_B!$IS55-1,"")</f>
        <v/>
      </c>
      <c r="EJ55" s="62" t="str">
        <f>IFERROR(Inv_SY_B!EJ55/Inv_SY_B!$IS55-1,"")</f>
        <v/>
      </c>
      <c r="EK55" s="62" t="str">
        <f>IFERROR(Inv_SY_B!EK55/Inv_SY_B!$IS55-1,"")</f>
        <v/>
      </c>
      <c r="EL55" s="62" t="str">
        <f>IFERROR(Inv_SY_B!EL55/Inv_SY_B!$IS55-1,"")</f>
        <v/>
      </c>
      <c r="EM55" s="62" t="str">
        <f>IFERROR(Inv_SY_B!EM55/Inv_SY_B!$IS55-1,"")</f>
        <v/>
      </c>
      <c r="EN55" s="62" t="str">
        <f>IFERROR(Inv_SY_B!EN55/Inv_SY_B!$IS55-1,"")</f>
        <v/>
      </c>
      <c r="EO55" s="62" t="str">
        <f>IFERROR(Inv_SY_B!EO55/Inv_SY_B!$IS55-1,"")</f>
        <v/>
      </c>
      <c r="EP55" s="62" t="str">
        <f>IFERROR(Inv_SY_B!EP55/Inv_SY_B!$IS55-1,"")</f>
        <v/>
      </c>
      <c r="EQ55" s="62" t="str">
        <f>IFERROR(Inv_SY_B!EQ55/Inv_SY_B!$IS55-1,"")</f>
        <v/>
      </c>
      <c r="ER55" s="62" t="str">
        <f>IFERROR(Inv_SY_B!ER55/Inv_SY_B!$IS55-1,"")</f>
        <v/>
      </c>
      <c r="ES55" s="62" t="str">
        <f>IFERROR(Inv_SY_B!ES55/Inv_SY_B!$IS55-1,"")</f>
        <v/>
      </c>
      <c r="ET55" s="62" t="str">
        <f>IFERROR(Inv_SY_B!ET55/Inv_SY_B!$IS55-1,"")</f>
        <v/>
      </c>
      <c r="EU55" s="62" t="str">
        <f>IFERROR(Inv_SY_B!EU55/Inv_SY_B!$IS55-1,"")</f>
        <v/>
      </c>
      <c r="EV55" s="62" t="str">
        <f>IFERROR(Inv_SY_B!EV55/Inv_SY_B!$IS55-1,"")</f>
        <v/>
      </c>
      <c r="EW55" s="62" t="str">
        <f>IFERROR(Inv_SY_B!EW55/Inv_SY_B!$IS55-1,"")</f>
        <v/>
      </c>
      <c r="EX55" s="62" t="str">
        <f>IFERROR(Inv_SY_B!EX55/Inv_SY_B!$IS55-1,"")</f>
        <v/>
      </c>
      <c r="EY55" s="62" t="str">
        <f>IFERROR(Inv_SY_B!EY55/Inv_SY_B!$IS55-1,"")</f>
        <v/>
      </c>
      <c r="EZ55" s="62" t="str">
        <f>IFERROR(Inv_SY_B!EZ55/Inv_SY_B!$IS55-1,"")</f>
        <v/>
      </c>
      <c r="FA55" s="62" t="str">
        <f>IFERROR(Inv_SY_B!FA55/Inv_SY_B!$IS55-1,"")</f>
        <v/>
      </c>
      <c r="FB55" s="62" t="str">
        <f>IFERROR(Inv_SY_B!FB55/Inv_SY_B!$IS55-1,"")</f>
        <v/>
      </c>
      <c r="FC55" s="62" t="str">
        <f>IFERROR(Inv_SY_B!FC55/Inv_SY_B!$IS55-1,"")</f>
        <v/>
      </c>
      <c r="FD55" s="62" t="str">
        <f>IFERROR(Inv_SY_B!FD55/Inv_SY_B!$IS55-1,"")</f>
        <v/>
      </c>
      <c r="FE55" s="62" t="str">
        <f>IFERROR(Inv_SY_B!FE55/Inv_SY_B!$IS55-1,"")</f>
        <v/>
      </c>
      <c r="FF55" s="62" t="str">
        <f>IFERROR(Inv_SY_B!FF55/Inv_SY_B!$IS55-1,"")</f>
        <v/>
      </c>
      <c r="FG55" s="62" t="str">
        <f>IFERROR(Inv_SY_B!FG55/Inv_SY_B!$IS55-1,"")</f>
        <v/>
      </c>
      <c r="FH55" s="62" t="str">
        <f>IFERROR(Inv_SY_B!FH55/Inv_SY_B!$IS55-1,"")</f>
        <v/>
      </c>
      <c r="FI55" s="62" t="str">
        <f>IFERROR(Inv_SY_B!FI55/Inv_SY_B!$IS55-1,"")</f>
        <v/>
      </c>
      <c r="FJ55" s="62" t="str">
        <f>IFERROR(Inv_SY_B!FJ55/Inv_SY_B!$IS55-1,"")</f>
        <v/>
      </c>
      <c r="FK55" s="62" t="str">
        <f>IFERROR(Inv_SY_B!FK55/Inv_SY_B!$IS55-1,"")</f>
        <v/>
      </c>
      <c r="FL55" s="62" t="str">
        <f>IFERROR(Inv_SY_B!FL55/Inv_SY_B!$IS55-1,"")</f>
        <v/>
      </c>
      <c r="FM55" s="62" t="str">
        <f>IFERROR(Inv_SY_B!FM55/Inv_SY_B!$IS55-1,"")</f>
        <v/>
      </c>
      <c r="FN55" s="62" t="str">
        <f>IFERROR(Inv_SY_B!FN55/Inv_SY_B!$IS55-1,"")</f>
        <v/>
      </c>
      <c r="FO55" s="62" t="str">
        <f>IFERROR(Inv_SY_B!FO55/Inv_SY_B!$IS55-1,"")</f>
        <v/>
      </c>
      <c r="FP55" s="62" t="str">
        <f>IFERROR(Inv_SY_B!FP55/Inv_SY_B!$IS55-1,"")</f>
        <v/>
      </c>
      <c r="FQ55" s="62" t="str">
        <f>IFERROR(Inv_SY_B!FQ55/Inv_SY_B!$IS55-1,"")</f>
        <v/>
      </c>
      <c r="FR55" s="62" t="str">
        <f>IFERROR(Inv_SY_B!FR55/Inv_SY_B!$IS55-1,"")</f>
        <v/>
      </c>
      <c r="FS55" s="62" t="str">
        <f>IFERROR(Inv_SY_B!FS55/Inv_SY_B!$IS55-1,"")</f>
        <v/>
      </c>
      <c r="FT55" s="62" t="str">
        <f>IFERROR(Inv_SY_B!FT55/Inv_SY_B!$IS55-1,"")</f>
        <v/>
      </c>
      <c r="FU55" s="62" t="str">
        <f>IFERROR(Inv_SY_B!FU55/Inv_SY_B!$IS55-1,"")</f>
        <v/>
      </c>
      <c r="FV55" s="62" t="str">
        <f>IFERROR(Inv_SY_B!FV55/Inv_SY_B!$IS55-1,"")</f>
        <v/>
      </c>
      <c r="FW55" s="62" t="str">
        <f>IFERROR(Inv_SY_B!FW55/Inv_SY_B!$IS55-1,"")</f>
        <v/>
      </c>
      <c r="FX55" s="62" t="str">
        <f>IFERROR(Inv_SY_B!FX55/Inv_SY_B!$IS55-1,"")</f>
        <v/>
      </c>
      <c r="FY55" s="62" t="str">
        <f>IFERROR(Inv_SY_B!FY55/Inv_SY_B!$IS55-1,"")</f>
        <v/>
      </c>
      <c r="FZ55" s="62" t="str">
        <f>IFERROR(Inv_SY_B!FZ55/Inv_SY_B!$IS55-1,"")</f>
        <v/>
      </c>
      <c r="GA55" s="62" t="str">
        <f>IFERROR(Inv_SY_B!GA55/Inv_SY_B!$IS55-1,"")</f>
        <v/>
      </c>
      <c r="GB55" s="62" t="str">
        <f>IFERROR(Inv_SY_B!GB55/Inv_SY_B!$IS55-1,"")</f>
        <v/>
      </c>
      <c r="GC55" s="62" t="str">
        <f>IFERROR(Inv_SY_B!GC55/Inv_SY_B!$IS55-1,"")</f>
        <v/>
      </c>
      <c r="GD55" s="62" t="str">
        <f>IFERROR(Inv_SY_B!GD55/Inv_SY_B!$IS55-1,"")</f>
        <v/>
      </c>
      <c r="GE55" s="62" t="str">
        <f>IFERROR(Inv_SY_B!GE55/Inv_SY_B!$IS55-1,"")</f>
        <v/>
      </c>
      <c r="GF55" s="62" t="str">
        <f>IFERROR(Inv_SY_B!GF55/Inv_SY_B!$IS55-1,"")</f>
        <v/>
      </c>
      <c r="GG55" s="62" t="str">
        <f>IFERROR(Inv_SY_B!GG55/Inv_SY_B!$IS55-1,"")</f>
        <v/>
      </c>
      <c r="GH55" s="62" t="str">
        <f>IFERROR(Inv_SY_B!GH55/Inv_SY_B!$IS55-1,"")</f>
        <v/>
      </c>
      <c r="GI55" s="62" t="str">
        <f>IFERROR(Inv_SY_B!GI55/Inv_SY_B!$IS55-1,"")</f>
        <v/>
      </c>
      <c r="GJ55" s="62" t="str">
        <f>IFERROR(Inv_SY_B!GJ55/Inv_SY_B!$IS55-1,"")</f>
        <v/>
      </c>
      <c r="GK55" s="62" t="str">
        <f>IFERROR(Inv_SY_B!GK55/Inv_SY_B!$IS55-1,"")</f>
        <v/>
      </c>
      <c r="GL55" s="62" t="str">
        <f>IFERROR(Inv_SY_B!GL55/Inv_SY_B!$IS55-1,"")</f>
        <v/>
      </c>
      <c r="GM55" s="62" t="str">
        <f>IFERROR(Inv_SY_B!GM55/Inv_SY_B!$IS55-1,"")</f>
        <v/>
      </c>
      <c r="GN55" s="62" t="str">
        <f>IFERROR(Inv_SY_B!GN55/Inv_SY_B!$IS55-1,"")</f>
        <v/>
      </c>
      <c r="GO55" s="62" t="str">
        <f>IFERROR(Inv_SY_B!GO55/Inv_SY_B!$IS55-1,"")</f>
        <v/>
      </c>
      <c r="GP55" s="62" t="str">
        <f>IFERROR(Inv_SY_B!GP55/Inv_SY_B!$IS55-1,"")</f>
        <v/>
      </c>
      <c r="GQ55" s="62" t="str">
        <f>IFERROR(Inv_SY_B!GQ55/Inv_SY_B!$IS55-1,"")</f>
        <v/>
      </c>
      <c r="GR55" s="62" t="str">
        <f>IFERROR(Inv_SY_B!GR55/Inv_SY_B!$IS55-1,"")</f>
        <v/>
      </c>
      <c r="GS55" s="62" t="str">
        <f>IFERROR(Inv_SY_B!GS55/Inv_SY_B!$IS55-1,"")</f>
        <v/>
      </c>
      <c r="GT55" s="62" t="str">
        <f>IFERROR(Inv_SY_B!GT55/Inv_SY_B!$IS55-1,"")</f>
        <v/>
      </c>
      <c r="GU55" s="62" t="str">
        <f>IFERROR(Inv_SY_B!GU55/Inv_SY_B!$IS55-1,"")</f>
        <v/>
      </c>
      <c r="GV55" s="62" t="str">
        <f>IFERROR(Inv_SY_B!GV55/Inv_SY_B!$IS55-1,"")</f>
        <v/>
      </c>
      <c r="GW55" s="62" t="str">
        <f>IFERROR(Inv_SY_B!GW55/Inv_SY_B!$IS55-1,"")</f>
        <v/>
      </c>
      <c r="GX55" s="62" t="str">
        <f>IFERROR(Inv_SY_B!GX55/Inv_SY_B!$IS55-1,"")</f>
        <v/>
      </c>
      <c r="GY55" s="62" t="str">
        <f>IFERROR(Inv_SY_B!GY55/Inv_SY_B!$IS55-1,"")</f>
        <v/>
      </c>
      <c r="GZ55" s="62" t="str">
        <f>IFERROR(Inv_SY_B!GZ55/Inv_SY_B!$IS55-1,"")</f>
        <v/>
      </c>
      <c r="HA55" s="62" t="str">
        <f>IFERROR(Inv_SY_B!HA55/Inv_SY_B!$IS55-1,"")</f>
        <v/>
      </c>
      <c r="HB55" s="62" t="str">
        <f>IFERROR(Inv_SY_B!HB55/Inv_SY_B!$IS55-1,"")</f>
        <v/>
      </c>
      <c r="HC55" s="62" t="str">
        <f>IFERROR(Inv_SY_B!HC55/Inv_SY_B!$IS55-1,"")</f>
        <v/>
      </c>
      <c r="HD55" s="62" t="str">
        <f>IFERROR(Inv_SY_B!HD55/Inv_SY_B!$IS55-1,"")</f>
        <v/>
      </c>
      <c r="HE55" s="62" t="str">
        <f>IFERROR(Inv_SY_B!HE55/Inv_SY_B!$IS55-1,"")</f>
        <v/>
      </c>
      <c r="HF55" s="62" t="str">
        <f>IFERROR(Inv_SY_B!HF55/Inv_SY_B!$IS55-1,"")</f>
        <v/>
      </c>
      <c r="HG55" s="62" t="str">
        <f>IFERROR(Inv_SY_B!HG55/Inv_SY_B!$IS55-1,"")</f>
        <v/>
      </c>
      <c r="HH55" s="62" t="str">
        <f>IFERROR(Inv_SY_B!HH55/Inv_SY_B!$IS55-1,"")</f>
        <v/>
      </c>
      <c r="HI55" s="62" t="str">
        <f>IFERROR(Inv_SY_B!HI55/Inv_SY_B!$IS55-1,"")</f>
        <v/>
      </c>
      <c r="HJ55" s="62" t="str">
        <f>IFERROR(Inv_SY_B!HJ55/Inv_SY_B!$IS55-1,"")</f>
        <v/>
      </c>
      <c r="HK55" s="62" t="str">
        <f>IFERROR(Inv_SY_B!HK55/Inv_SY_B!$IS55-1,"")</f>
        <v/>
      </c>
      <c r="HL55" s="62" t="str">
        <f>IFERROR(Inv_SY_B!HL55/Inv_SY_B!$IS55-1,"")</f>
        <v/>
      </c>
      <c r="HM55" s="62" t="str">
        <f>IFERROR(Inv_SY_B!HM55/Inv_SY_B!$IS55-1,"")</f>
        <v/>
      </c>
      <c r="HN55" s="62" t="str">
        <f>IFERROR(Inv_SY_B!HN55/Inv_SY_B!$IS55-1,"")</f>
        <v/>
      </c>
      <c r="HO55" s="62" t="str">
        <f>IFERROR(Inv_SY_B!HO55/Inv_SY_B!$IS55-1,"")</f>
        <v/>
      </c>
      <c r="HP55" s="62" t="str">
        <f>IFERROR(Inv_SY_B!HP55/Inv_SY_B!$IS55-1,"")</f>
        <v/>
      </c>
      <c r="HQ55" s="62" t="str">
        <f>IFERROR(Inv_SY_B!HQ55/Inv_SY_B!$IS55-1,"")</f>
        <v/>
      </c>
      <c r="HR55" s="62" t="str">
        <f>IFERROR(Inv_SY_B!HR55/Inv_SY_B!$IS55-1,"")</f>
        <v/>
      </c>
      <c r="HS55" s="62" t="str">
        <f>IFERROR(Inv_SY_B!HS55/Inv_SY_B!$IS55-1,"")</f>
        <v/>
      </c>
      <c r="HT55" s="62" t="str">
        <f>IFERROR(Inv_SY_B!HT55/Inv_SY_B!$IS55-1,"")</f>
        <v/>
      </c>
      <c r="HU55" s="62" t="str">
        <f>IFERROR(Inv_SY_B!HU55/Inv_SY_B!$IS55-1,"")</f>
        <v/>
      </c>
      <c r="HV55" s="62" t="str">
        <f>IFERROR(Inv_SY_B!HV55/Inv_SY_B!$IS55-1,"")</f>
        <v/>
      </c>
      <c r="HW55" s="62" t="str">
        <f>IFERROR(Inv_SY_B!HW55/Inv_SY_B!$IS55-1,"")</f>
        <v/>
      </c>
      <c r="HX55" s="62" t="str">
        <f>IFERROR(Inv_SY_B!HX55/Inv_SY_B!$IS55-1,"")</f>
        <v/>
      </c>
      <c r="HY55" s="62" t="str">
        <f>IFERROR(Inv_SY_B!HY55/Inv_SY_B!$IS55-1,"")</f>
        <v/>
      </c>
      <c r="HZ55" s="62" t="str">
        <f>IFERROR(Inv_SY_B!HZ55/Inv_SY_B!$IS55-1,"")</f>
        <v/>
      </c>
      <c r="IA55" s="62" t="str">
        <f>IFERROR(Inv_SY_B!IA55/Inv_SY_B!$IS55-1,"")</f>
        <v/>
      </c>
      <c r="IB55" s="62" t="str">
        <f>IFERROR(Inv_SY_B!IB55/Inv_SY_B!$IS55-1,"")</f>
        <v/>
      </c>
      <c r="IC55" s="62" t="str">
        <f>IFERROR(Inv_SY_B!IC55/Inv_SY_B!$IS55-1,"")</f>
        <v/>
      </c>
      <c r="ID55" s="62" t="str">
        <f>IFERROR(Inv_SY_B!ID55/Inv_SY_B!$IS55-1,"")</f>
        <v/>
      </c>
      <c r="IE55" s="62" t="str">
        <f>IFERROR(Inv_SY_B!IE55/Inv_SY_B!$IS55-1,"")</f>
        <v/>
      </c>
      <c r="IF55" s="62" t="str">
        <f>IFERROR(Inv_SY_B!IF55/Inv_SY_B!$IS55-1,"")</f>
        <v/>
      </c>
      <c r="IG55" s="62" t="str">
        <f>IFERROR(Inv_SY_B!IG55/Inv_SY_B!$IS55-1,"")</f>
        <v/>
      </c>
      <c r="IH55" s="62" t="str">
        <f>IFERROR(Inv_SY_B!IH55/Inv_SY_B!$IS55-1,"")</f>
        <v/>
      </c>
      <c r="II55" s="62" t="str">
        <f>IFERROR(Inv_SY_B!II55/Inv_SY_B!$IS55-1,"")</f>
        <v/>
      </c>
      <c r="IJ55" s="62" t="str">
        <f>IFERROR(Inv_SY_B!IJ55/Inv_SY_B!$IS55-1,"")</f>
        <v/>
      </c>
      <c r="IK55" s="62" t="str">
        <f>IFERROR(Inv_SY_B!IK55/Inv_SY_B!$IS55-1,"")</f>
        <v/>
      </c>
      <c r="IL55" s="62" t="str">
        <f>IFERROR(Inv_SY_B!IL55/Inv_SY_B!$IS55-1,"")</f>
        <v/>
      </c>
      <c r="IM55" s="62" t="str">
        <f>IFERROR(Inv_SY_B!IM55/Inv_SY_B!$IS55-1,"")</f>
        <v/>
      </c>
      <c r="IN55" s="62" t="str">
        <f>IFERROR(Inv_SY_B!IN55/Inv_SY_B!$IS55-1,"")</f>
        <v/>
      </c>
      <c r="IO55" s="62" t="str">
        <f>IFERROR(Inv_SY_B!IO55/Inv_SY_B!$IS55-1,"")</f>
        <v/>
      </c>
      <c r="IP55" s="62" t="str">
        <f>IFERROR(Inv_SY_B!IP55/Inv_SY_B!$IS55-1,"")</f>
        <v/>
      </c>
      <c r="IQ55" s="62" t="str">
        <f>IFERROR(Inv_SY_B!IQ55/Inv_SY_B!$IS55-1,"")</f>
        <v/>
      </c>
      <c r="IR55" s="62" t="str">
        <f>IFERROR(Inv_SY_B!IR55/Inv_SY_B!$IS55-1,"")</f>
        <v/>
      </c>
    </row>
    <row r="56" spans="2:252" x14ac:dyDescent="0.25">
      <c r="B56" s="85">
        <f t="shared" si="0"/>
        <v>45882</v>
      </c>
      <c r="C56" s="62" t="str">
        <f>IFERROR(Inv_SY_B!C56/Inv_SY_B!$IS56-1,"")</f>
        <v/>
      </c>
      <c r="D56" s="62" t="str">
        <f>IFERROR(Inv_SY_B!D56/Inv_SY_B!$IS56-1,"")</f>
        <v/>
      </c>
      <c r="E56" s="62" t="str">
        <f>IFERROR(Inv_SY_B!E56/Inv_SY_B!$IS56-1,"")</f>
        <v/>
      </c>
      <c r="F56" s="62" t="str">
        <f>IFERROR(Inv_SY_B!F56/Inv_SY_B!$IS56-1,"")</f>
        <v/>
      </c>
      <c r="G56" s="62" t="str">
        <f>IFERROR(Inv_SY_B!G56/Inv_SY_B!$IS56-1,"")</f>
        <v/>
      </c>
      <c r="H56" s="62" t="str">
        <f>IFERROR(Inv_SY_B!H56/Inv_SY_B!$IS56-1,"")</f>
        <v/>
      </c>
      <c r="I56" s="62" t="str">
        <f>IFERROR(Inv_SY_B!I56/Inv_SY_B!$IS56-1,"")</f>
        <v/>
      </c>
      <c r="J56" s="62" t="str">
        <f>IFERROR(Inv_SY_B!J56/Inv_SY_B!$IS56-1,"")</f>
        <v/>
      </c>
      <c r="K56" s="62" t="str">
        <f>IFERROR(Inv_SY_B!K56/Inv_SY_B!$IS56-1,"")</f>
        <v/>
      </c>
      <c r="L56" s="62" t="str">
        <f>IFERROR(Inv_SY_B!L56/Inv_SY_B!$IS56-1,"")</f>
        <v/>
      </c>
      <c r="M56" s="62" t="str">
        <f>IFERROR(Inv_SY_B!M56/Inv_SY_B!$IS56-1,"")</f>
        <v/>
      </c>
      <c r="N56" s="62" t="str">
        <f>IFERROR(Inv_SY_B!N56/Inv_SY_B!$IS56-1,"")</f>
        <v/>
      </c>
      <c r="O56" s="62" t="str">
        <f>IFERROR(Inv_SY_B!O56/Inv_SY_B!$IS56-1,"")</f>
        <v/>
      </c>
      <c r="P56" s="62" t="str">
        <f>IFERROR(Inv_SY_B!P56/Inv_SY_B!$IS56-1,"")</f>
        <v/>
      </c>
      <c r="Q56" s="62" t="str">
        <f>IFERROR(Inv_SY_B!Q56/Inv_SY_B!$IS56-1,"")</f>
        <v/>
      </c>
      <c r="R56" s="62" t="str">
        <f>IFERROR(Inv_SY_B!R56/Inv_SY_B!$IS56-1,"")</f>
        <v/>
      </c>
      <c r="S56" s="62" t="str">
        <f>IFERROR(Inv_SY_B!S56/Inv_SY_B!$IS56-1,"")</f>
        <v/>
      </c>
      <c r="T56" s="62" t="str">
        <f>IFERROR(Inv_SY_B!T56/Inv_SY_B!$IS56-1,"")</f>
        <v/>
      </c>
      <c r="U56" s="62" t="str">
        <f>IFERROR(Inv_SY_B!U56/Inv_SY_B!$IS56-1,"")</f>
        <v/>
      </c>
      <c r="V56" s="62" t="str">
        <f>IFERROR(Inv_SY_B!V56/Inv_SY_B!$IS56-1,"")</f>
        <v/>
      </c>
      <c r="W56" s="62" t="str">
        <f>IFERROR(Inv_SY_B!W56/Inv_SY_B!$IS56-1,"")</f>
        <v/>
      </c>
      <c r="X56" s="62" t="str">
        <f>IFERROR(Inv_SY_B!X56/Inv_SY_B!$IS56-1,"")</f>
        <v/>
      </c>
      <c r="Y56" s="62" t="str">
        <f>IFERROR(Inv_SY_B!Y56/Inv_SY_B!$IS56-1,"")</f>
        <v/>
      </c>
      <c r="Z56" s="62" t="str">
        <f>IFERROR(Inv_SY_B!Z56/Inv_SY_B!$IS56-1,"")</f>
        <v/>
      </c>
      <c r="AA56" s="62" t="str">
        <f>IFERROR(Inv_SY_B!AA56/Inv_SY_B!$IS56-1,"")</f>
        <v/>
      </c>
      <c r="AB56" s="62" t="str">
        <f>IFERROR(Inv_SY_B!AB56/Inv_SY_B!$IS56-1,"")</f>
        <v/>
      </c>
      <c r="AC56" s="62" t="str">
        <f>IFERROR(Inv_SY_B!AC56/Inv_SY_B!$IS56-1,"")</f>
        <v/>
      </c>
      <c r="AD56" s="62" t="str">
        <f>IFERROR(Inv_SY_B!AD56/Inv_SY_B!$IS56-1,"")</f>
        <v/>
      </c>
      <c r="AE56" s="62" t="str">
        <f>IFERROR(Inv_SY_B!AE56/Inv_SY_B!$IS56-1,"")</f>
        <v/>
      </c>
      <c r="AF56" s="62" t="str">
        <f>IFERROR(Inv_SY_B!AF56/Inv_SY_B!$IS56-1,"")</f>
        <v/>
      </c>
      <c r="AG56" s="62" t="str">
        <f>IFERROR(Inv_SY_B!AG56/Inv_SY_B!$IS56-1,"")</f>
        <v/>
      </c>
      <c r="AH56" s="62" t="str">
        <f>IFERROR(Inv_SY_B!AH56/Inv_SY_B!$IS56-1,"")</f>
        <v/>
      </c>
      <c r="AI56" s="62" t="str">
        <f>IFERROR(Inv_SY_B!AI56/Inv_SY_B!$IS56-1,"")</f>
        <v/>
      </c>
      <c r="AJ56" s="62" t="str">
        <f>IFERROR(Inv_SY_B!AJ56/Inv_SY_B!$IS56-1,"")</f>
        <v/>
      </c>
      <c r="AK56" s="62" t="str">
        <f>IFERROR(Inv_SY_B!AK56/Inv_SY_B!$IS56-1,"")</f>
        <v/>
      </c>
      <c r="AL56" s="62" t="str">
        <f>IFERROR(Inv_SY_B!AL56/Inv_SY_B!$IS56-1,"")</f>
        <v/>
      </c>
      <c r="AM56" s="62" t="str">
        <f>IFERROR(Inv_SY_B!AM56/Inv_SY_B!$IS56-1,"")</f>
        <v/>
      </c>
      <c r="AN56" s="62" t="str">
        <f>IFERROR(Inv_SY_B!AN56/Inv_SY_B!$IS56-1,"")</f>
        <v/>
      </c>
      <c r="AO56" s="62" t="str">
        <f>IFERROR(Inv_SY_B!AO56/Inv_SY_B!$IS56-1,"")</f>
        <v/>
      </c>
      <c r="AP56" s="62" t="str">
        <f>IFERROR(Inv_SY_B!AP56/Inv_SY_B!$IS56-1,"")</f>
        <v/>
      </c>
      <c r="AQ56" s="62" t="str">
        <f>IFERROR(Inv_SY_B!AQ56/Inv_SY_B!$IS56-1,"")</f>
        <v/>
      </c>
      <c r="AR56" s="62" t="str">
        <f>IFERROR(Inv_SY_B!AR56/Inv_SY_B!$IS56-1,"")</f>
        <v/>
      </c>
      <c r="AS56" s="62" t="str">
        <f>IFERROR(Inv_SY_B!AS56/Inv_SY_B!$IS56-1,"")</f>
        <v/>
      </c>
      <c r="AT56" s="62" t="str">
        <f>IFERROR(Inv_SY_B!AT56/Inv_SY_B!$IS56-1,"")</f>
        <v/>
      </c>
      <c r="AU56" s="62" t="str">
        <f>IFERROR(Inv_SY_B!AU56/Inv_SY_B!$IS56-1,"")</f>
        <v/>
      </c>
      <c r="AV56" s="62" t="str">
        <f>IFERROR(Inv_SY_B!AV56/Inv_SY_B!$IS56-1,"")</f>
        <v/>
      </c>
      <c r="AW56" s="62" t="str">
        <f>IFERROR(Inv_SY_B!AW56/Inv_SY_B!$IS56-1,"")</f>
        <v/>
      </c>
      <c r="AX56" s="62" t="str">
        <f>IFERROR(Inv_SY_B!AX56/Inv_SY_B!$IS56-1,"")</f>
        <v/>
      </c>
      <c r="AY56" s="62" t="str">
        <f>IFERROR(Inv_SY_B!AY56/Inv_SY_B!$IS56-1,"")</f>
        <v/>
      </c>
      <c r="AZ56" s="62" t="str">
        <f>IFERROR(Inv_SY_B!AZ56/Inv_SY_B!$IS56-1,"")</f>
        <v/>
      </c>
      <c r="BA56" s="62" t="str">
        <f>IFERROR(Inv_SY_B!BA56/Inv_SY_B!$IS56-1,"")</f>
        <v/>
      </c>
      <c r="BB56" s="62" t="str">
        <f>IFERROR(Inv_SY_B!BB56/Inv_SY_B!$IS56-1,"")</f>
        <v/>
      </c>
      <c r="BC56" s="62" t="str">
        <f>IFERROR(Inv_SY_B!BC56/Inv_SY_B!$IS56-1,"")</f>
        <v/>
      </c>
      <c r="BD56" s="62" t="str">
        <f>IFERROR(Inv_SY_B!BD56/Inv_SY_B!$IS56-1,"")</f>
        <v/>
      </c>
      <c r="BE56" s="62" t="str">
        <f>IFERROR(Inv_SY_B!BE56/Inv_SY_B!$IS56-1,"")</f>
        <v/>
      </c>
      <c r="BF56" s="62" t="str">
        <f>IFERROR(Inv_SY_B!BF56/Inv_SY_B!$IS56-1,"")</f>
        <v/>
      </c>
      <c r="BG56" s="62" t="str">
        <f>IFERROR(Inv_SY_B!BG56/Inv_SY_B!$IS56-1,"")</f>
        <v/>
      </c>
      <c r="BH56" s="62" t="str">
        <f>IFERROR(Inv_SY_B!BH56/Inv_SY_B!$IS56-1,"")</f>
        <v/>
      </c>
      <c r="BI56" s="62" t="str">
        <f>IFERROR(Inv_SY_B!BI56/Inv_SY_B!$IS56-1,"")</f>
        <v/>
      </c>
      <c r="BJ56" s="62" t="str">
        <f>IFERROR(Inv_SY_B!BJ56/Inv_SY_B!$IS56-1,"")</f>
        <v/>
      </c>
      <c r="BK56" s="62" t="str">
        <f>IFERROR(Inv_SY_B!BK56/Inv_SY_B!$IS56-1,"")</f>
        <v/>
      </c>
      <c r="BL56" s="62" t="str">
        <f>IFERROR(Inv_SY_B!BL56/Inv_SY_B!$IS56-1,"")</f>
        <v/>
      </c>
      <c r="BM56" s="62" t="str">
        <f>IFERROR(Inv_SY_B!BM56/Inv_SY_B!$IS56-1,"")</f>
        <v/>
      </c>
      <c r="BN56" s="62" t="str">
        <f>IFERROR(Inv_SY_B!BN56/Inv_SY_B!$IS56-1,"")</f>
        <v/>
      </c>
      <c r="BO56" s="62" t="str">
        <f>IFERROR(Inv_SY_B!BO56/Inv_SY_B!$IS56-1,"")</f>
        <v/>
      </c>
      <c r="BP56" s="62" t="str">
        <f>IFERROR(Inv_SY_B!BP56/Inv_SY_B!$IS56-1,"")</f>
        <v/>
      </c>
      <c r="BQ56" s="62" t="str">
        <f>IFERROR(Inv_SY_B!BQ56/Inv_SY_B!$IS56-1,"")</f>
        <v/>
      </c>
      <c r="BR56" s="62" t="str">
        <f>IFERROR(Inv_SY_B!BR56/Inv_SY_B!$IS56-1,"")</f>
        <v/>
      </c>
      <c r="BS56" s="62" t="str">
        <f>IFERROR(Inv_SY_B!BS56/Inv_SY_B!$IS56-1,"")</f>
        <v/>
      </c>
      <c r="BT56" s="62" t="str">
        <f>IFERROR(Inv_SY_B!BT56/Inv_SY_B!$IS56-1,"")</f>
        <v/>
      </c>
      <c r="BU56" s="62" t="str">
        <f>IFERROR(Inv_SY_B!BU56/Inv_SY_B!$IS56-1,"")</f>
        <v/>
      </c>
      <c r="BV56" s="62" t="str">
        <f>IFERROR(Inv_SY_B!BV56/Inv_SY_B!$IS56-1,"")</f>
        <v/>
      </c>
      <c r="BW56" s="62" t="str">
        <f>IFERROR(Inv_SY_B!BW56/Inv_SY_B!$IS56-1,"")</f>
        <v/>
      </c>
      <c r="BX56" s="62" t="str">
        <f>IFERROR(Inv_SY_B!BX56/Inv_SY_B!$IS56-1,"")</f>
        <v/>
      </c>
      <c r="BY56" s="62" t="str">
        <f>IFERROR(Inv_SY_B!BY56/Inv_SY_B!$IS56-1,"")</f>
        <v/>
      </c>
      <c r="BZ56" s="62" t="str">
        <f>IFERROR(Inv_SY_B!BZ56/Inv_SY_B!$IS56-1,"")</f>
        <v/>
      </c>
      <c r="CA56" s="62" t="str">
        <f>IFERROR(Inv_SY_B!CA56/Inv_SY_B!$IS56-1,"")</f>
        <v/>
      </c>
      <c r="CB56" s="62" t="str">
        <f>IFERROR(Inv_SY_B!CB56/Inv_SY_B!$IS56-1,"")</f>
        <v/>
      </c>
      <c r="CC56" s="62" t="str">
        <f>IFERROR(Inv_SY_B!CC56/Inv_SY_B!$IS56-1,"")</f>
        <v/>
      </c>
      <c r="CD56" s="62" t="str">
        <f>IFERROR(Inv_SY_B!CD56/Inv_SY_B!$IS56-1,"")</f>
        <v/>
      </c>
      <c r="CE56" s="62" t="str">
        <f>IFERROR(Inv_SY_B!CE56/Inv_SY_B!$IS56-1,"")</f>
        <v/>
      </c>
      <c r="CF56" s="62" t="str">
        <f>IFERROR(Inv_SY_B!CF56/Inv_SY_B!$IS56-1,"")</f>
        <v/>
      </c>
      <c r="CG56" s="62" t="str">
        <f>IFERROR(Inv_SY_B!CG56/Inv_SY_B!$IS56-1,"")</f>
        <v/>
      </c>
      <c r="CH56" s="62" t="str">
        <f>IFERROR(Inv_SY_B!CH56/Inv_SY_B!$IS56-1,"")</f>
        <v/>
      </c>
      <c r="CI56" s="62" t="str">
        <f>IFERROR(Inv_SY_B!CI56/Inv_SY_B!$IS56-1,"")</f>
        <v/>
      </c>
      <c r="CJ56" s="62" t="str">
        <f>IFERROR(Inv_SY_B!CJ56/Inv_SY_B!$IS56-1,"")</f>
        <v/>
      </c>
      <c r="CK56" s="62" t="str">
        <f>IFERROR(Inv_SY_B!CK56/Inv_SY_B!$IS56-1,"")</f>
        <v/>
      </c>
      <c r="CL56" s="62" t="str">
        <f>IFERROR(Inv_SY_B!CL56/Inv_SY_B!$IS56-1,"")</f>
        <v/>
      </c>
      <c r="CM56" s="62" t="str">
        <f>IFERROR(Inv_SY_B!CM56/Inv_SY_B!$IS56-1,"")</f>
        <v/>
      </c>
      <c r="CN56" s="62" t="str">
        <f>IFERROR(Inv_SY_B!CN56/Inv_SY_B!$IS56-1,"")</f>
        <v/>
      </c>
      <c r="CO56" s="62" t="str">
        <f>IFERROR(Inv_SY_B!CO56/Inv_SY_B!$IS56-1,"")</f>
        <v/>
      </c>
      <c r="CP56" s="62" t="str">
        <f>IFERROR(Inv_SY_B!CP56/Inv_SY_B!$IS56-1,"")</f>
        <v/>
      </c>
      <c r="CQ56" s="62" t="str">
        <f>IFERROR(Inv_SY_B!CQ56/Inv_SY_B!$IS56-1,"")</f>
        <v/>
      </c>
      <c r="CR56" s="62" t="str">
        <f>IFERROR(Inv_SY_B!CR56/Inv_SY_B!$IS56-1,"")</f>
        <v/>
      </c>
      <c r="CS56" s="62" t="str">
        <f>IFERROR(Inv_SY_B!CS56/Inv_SY_B!$IS56-1,"")</f>
        <v/>
      </c>
      <c r="CT56" s="62" t="str">
        <f>IFERROR(Inv_SY_B!CT56/Inv_SY_B!$IS56-1,"")</f>
        <v/>
      </c>
      <c r="CU56" s="62" t="str">
        <f>IFERROR(Inv_SY_B!CU56/Inv_SY_B!$IS56-1,"")</f>
        <v/>
      </c>
      <c r="CV56" s="62" t="str">
        <f>IFERROR(Inv_SY_B!CV56/Inv_SY_B!$IS56-1,"")</f>
        <v/>
      </c>
      <c r="CW56" s="62" t="str">
        <f>IFERROR(Inv_SY_B!CW56/Inv_SY_B!$IS56-1,"")</f>
        <v/>
      </c>
      <c r="CX56" s="62" t="str">
        <f>IFERROR(Inv_SY_B!CX56/Inv_SY_B!$IS56-1,"")</f>
        <v/>
      </c>
      <c r="CY56" s="62" t="str">
        <f>IFERROR(Inv_SY_B!CY56/Inv_SY_B!$IS56-1,"")</f>
        <v/>
      </c>
      <c r="CZ56" s="62" t="str">
        <f>IFERROR(Inv_SY_B!CZ56/Inv_SY_B!$IS56-1,"")</f>
        <v/>
      </c>
      <c r="DA56" s="62" t="str">
        <f>IFERROR(Inv_SY_B!DA56/Inv_SY_B!$IS56-1,"")</f>
        <v/>
      </c>
      <c r="DB56" s="62" t="str">
        <f>IFERROR(Inv_SY_B!DB56/Inv_SY_B!$IS56-1,"")</f>
        <v/>
      </c>
      <c r="DC56" s="62" t="str">
        <f>IFERROR(Inv_SY_B!DC56/Inv_SY_B!$IS56-1,"")</f>
        <v/>
      </c>
      <c r="DD56" s="62" t="str">
        <f>IFERROR(Inv_SY_B!DD56/Inv_SY_B!$IS56-1,"")</f>
        <v/>
      </c>
      <c r="DE56" s="62" t="str">
        <f>IFERROR(Inv_SY_B!DE56/Inv_SY_B!$IS56-1,"")</f>
        <v/>
      </c>
      <c r="DF56" s="62" t="str">
        <f>IFERROR(Inv_SY_B!DF56/Inv_SY_B!$IS56-1,"")</f>
        <v/>
      </c>
      <c r="DG56" s="62" t="str">
        <f>IFERROR(Inv_SY_B!DG56/Inv_SY_B!$IS56-1,"")</f>
        <v/>
      </c>
      <c r="DH56" s="62" t="str">
        <f>IFERROR(Inv_SY_B!DH56/Inv_SY_B!$IS56-1,"")</f>
        <v/>
      </c>
      <c r="DI56" s="62" t="str">
        <f>IFERROR(Inv_SY_B!DI56/Inv_SY_B!$IS56-1,"")</f>
        <v/>
      </c>
      <c r="DJ56" s="62" t="str">
        <f>IFERROR(Inv_SY_B!DJ56/Inv_SY_B!$IS56-1,"")</f>
        <v/>
      </c>
      <c r="DK56" s="62" t="str">
        <f>IFERROR(Inv_SY_B!DK56/Inv_SY_B!$IS56-1,"")</f>
        <v/>
      </c>
      <c r="DL56" s="62" t="str">
        <f>IFERROR(Inv_SY_B!DL56/Inv_SY_B!$IS56-1,"")</f>
        <v/>
      </c>
      <c r="DM56" s="62" t="str">
        <f>IFERROR(Inv_SY_B!DM56/Inv_SY_B!$IS56-1,"")</f>
        <v/>
      </c>
      <c r="DN56" s="62" t="str">
        <f>IFERROR(Inv_SY_B!DN56/Inv_SY_B!$IS56-1,"")</f>
        <v/>
      </c>
      <c r="DO56" s="62" t="str">
        <f>IFERROR(Inv_SY_B!DO56/Inv_SY_B!$IS56-1,"")</f>
        <v/>
      </c>
      <c r="DP56" s="62" t="str">
        <f>IFERROR(Inv_SY_B!DP56/Inv_SY_B!$IS56-1,"")</f>
        <v/>
      </c>
      <c r="DQ56" s="62" t="str">
        <f>IFERROR(Inv_SY_B!DQ56/Inv_SY_B!$IS56-1,"")</f>
        <v/>
      </c>
      <c r="DR56" s="62" t="str">
        <f>IFERROR(Inv_SY_B!DR56/Inv_SY_B!$IS56-1,"")</f>
        <v/>
      </c>
      <c r="DS56" s="62" t="str">
        <f>IFERROR(Inv_SY_B!DS56/Inv_SY_B!$IS56-1,"")</f>
        <v/>
      </c>
      <c r="DT56" s="62" t="str">
        <f>IFERROR(Inv_SY_B!DT56/Inv_SY_B!$IS56-1,"")</f>
        <v/>
      </c>
      <c r="DU56" s="62" t="str">
        <f>IFERROR(Inv_SY_B!DU56/Inv_SY_B!$IS56-1,"")</f>
        <v/>
      </c>
      <c r="DV56" s="62" t="str">
        <f>IFERROR(Inv_SY_B!DV56/Inv_SY_B!$IS56-1,"")</f>
        <v/>
      </c>
      <c r="DW56" s="62" t="str">
        <f>IFERROR(Inv_SY_B!DW56/Inv_SY_B!$IS56-1,"")</f>
        <v/>
      </c>
      <c r="DX56" s="62" t="str">
        <f>IFERROR(Inv_SY_B!DX56/Inv_SY_B!$IS56-1,"")</f>
        <v/>
      </c>
      <c r="DY56" s="62" t="str">
        <f>IFERROR(Inv_SY_B!DY56/Inv_SY_B!$IS56-1,"")</f>
        <v/>
      </c>
      <c r="DZ56" s="62" t="str">
        <f>IFERROR(Inv_SY_B!DZ56/Inv_SY_B!$IS56-1,"")</f>
        <v/>
      </c>
      <c r="EA56" s="62" t="str">
        <f>IFERROR(Inv_SY_B!EA56/Inv_SY_B!$IS56-1,"")</f>
        <v/>
      </c>
      <c r="EB56" s="62" t="str">
        <f>IFERROR(Inv_SY_B!EB56/Inv_SY_B!$IS56-1,"")</f>
        <v/>
      </c>
      <c r="EC56" s="62" t="str">
        <f>IFERROR(Inv_SY_B!EC56/Inv_SY_B!$IS56-1,"")</f>
        <v/>
      </c>
      <c r="ED56" s="62" t="str">
        <f>IFERROR(Inv_SY_B!ED56/Inv_SY_B!$IS56-1,"")</f>
        <v/>
      </c>
      <c r="EE56" s="62" t="str">
        <f>IFERROR(Inv_SY_B!EE56/Inv_SY_B!$IS56-1,"")</f>
        <v/>
      </c>
      <c r="EF56" s="62" t="str">
        <f>IFERROR(Inv_SY_B!EF56/Inv_SY_B!$IS56-1,"")</f>
        <v/>
      </c>
      <c r="EG56" s="62" t="str">
        <f>IFERROR(Inv_SY_B!EG56/Inv_SY_B!$IS56-1,"")</f>
        <v/>
      </c>
      <c r="EH56" s="62" t="str">
        <f>IFERROR(Inv_SY_B!EH56/Inv_SY_B!$IS56-1,"")</f>
        <v/>
      </c>
      <c r="EI56" s="62" t="str">
        <f>IFERROR(Inv_SY_B!EI56/Inv_SY_B!$IS56-1,"")</f>
        <v/>
      </c>
      <c r="EJ56" s="62" t="str">
        <f>IFERROR(Inv_SY_B!EJ56/Inv_SY_B!$IS56-1,"")</f>
        <v/>
      </c>
      <c r="EK56" s="62" t="str">
        <f>IFERROR(Inv_SY_B!EK56/Inv_SY_B!$IS56-1,"")</f>
        <v/>
      </c>
      <c r="EL56" s="62" t="str">
        <f>IFERROR(Inv_SY_B!EL56/Inv_SY_B!$IS56-1,"")</f>
        <v/>
      </c>
      <c r="EM56" s="62" t="str">
        <f>IFERROR(Inv_SY_B!EM56/Inv_SY_B!$IS56-1,"")</f>
        <v/>
      </c>
      <c r="EN56" s="62" t="str">
        <f>IFERROR(Inv_SY_B!EN56/Inv_SY_B!$IS56-1,"")</f>
        <v/>
      </c>
      <c r="EO56" s="62" t="str">
        <f>IFERROR(Inv_SY_B!EO56/Inv_SY_B!$IS56-1,"")</f>
        <v/>
      </c>
      <c r="EP56" s="62" t="str">
        <f>IFERROR(Inv_SY_B!EP56/Inv_SY_B!$IS56-1,"")</f>
        <v/>
      </c>
      <c r="EQ56" s="62" t="str">
        <f>IFERROR(Inv_SY_B!EQ56/Inv_SY_B!$IS56-1,"")</f>
        <v/>
      </c>
      <c r="ER56" s="62" t="str">
        <f>IFERROR(Inv_SY_B!ER56/Inv_SY_B!$IS56-1,"")</f>
        <v/>
      </c>
      <c r="ES56" s="62" t="str">
        <f>IFERROR(Inv_SY_B!ES56/Inv_SY_B!$IS56-1,"")</f>
        <v/>
      </c>
      <c r="ET56" s="62" t="str">
        <f>IFERROR(Inv_SY_B!ET56/Inv_SY_B!$IS56-1,"")</f>
        <v/>
      </c>
      <c r="EU56" s="62" t="str">
        <f>IFERROR(Inv_SY_B!EU56/Inv_SY_B!$IS56-1,"")</f>
        <v/>
      </c>
      <c r="EV56" s="62" t="str">
        <f>IFERROR(Inv_SY_B!EV56/Inv_SY_B!$IS56-1,"")</f>
        <v/>
      </c>
      <c r="EW56" s="62" t="str">
        <f>IFERROR(Inv_SY_B!EW56/Inv_SY_B!$IS56-1,"")</f>
        <v/>
      </c>
      <c r="EX56" s="62" t="str">
        <f>IFERROR(Inv_SY_B!EX56/Inv_SY_B!$IS56-1,"")</f>
        <v/>
      </c>
      <c r="EY56" s="62" t="str">
        <f>IFERROR(Inv_SY_B!EY56/Inv_SY_B!$IS56-1,"")</f>
        <v/>
      </c>
      <c r="EZ56" s="62" t="str">
        <f>IFERROR(Inv_SY_B!EZ56/Inv_SY_B!$IS56-1,"")</f>
        <v/>
      </c>
      <c r="FA56" s="62" t="str">
        <f>IFERROR(Inv_SY_B!FA56/Inv_SY_B!$IS56-1,"")</f>
        <v/>
      </c>
      <c r="FB56" s="62" t="str">
        <f>IFERROR(Inv_SY_B!FB56/Inv_SY_B!$IS56-1,"")</f>
        <v/>
      </c>
      <c r="FC56" s="62" t="str">
        <f>IFERROR(Inv_SY_B!FC56/Inv_SY_B!$IS56-1,"")</f>
        <v/>
      </c>
      <c r="FD56" s="62" t="str">
        <f>IFERROR(Inv_SY_B!FD56/Inv_SY_B!$IS56-1,"")</f>
        <v/>
      </c>
      <c r="FE56" s="62" t="str">
        <f>IFERROR(Inv_SY_B!FE56/Inv_SY_B!$IS56-1,"")</f>
        <v/>
      </c>
      <c r="FF56" s="62" t="str">
        <f>IFERROR(Inv_SY_B!FF56/Inv_SY_B!$IS56-1,"")</f>
        <v/>
      </c>
      <c r="FG56" s="62" t="str">
        <f>IFERROR(Inv_SY_B!FG56/Inv_SY_B!$IS56-1,"")</f>
        <v/>
      </c>
      <c r="FH56" s="62" t="str">
        <f>IFERROR(Inv_SY_B!FH56/Inv_SY_B!$IS56-1,"")</f>
        <v/>
      </c>
      <c r="FI56" s="62" t="str">
        <f>IFERROR(Inv_SY_B!FI56/Inv_SY_B!$IS56-1,"")</f>
        <v/>
      </c>
      <c r="FJ56" s="62" t="str">
        <f>IFERROR(Inv_SY_B!FJ56/Inv_SY_B!$IS56-1,"")</f>
        <v/>
      </c>
      <c r="FK56" s="62" t="str">
        <f>IFERROR(Inv_SY_B!FK56/Inv_SY_B!$IS56-1,"")</f>
        <v/>
      </c>
      <c r="FL56" s="62" t="str">
        <f>IFERROR(Inv_SY_B!FL56/Inv_SY_B!$IS56-1,"")</f>
        <v/>
      </c>
      <c r="FM56" s="62" t="str">
        <f>IFERROR(Inv_SY_B!FM56/Inv_SY_B!$IS56-1,"")</f>
        <v/>
      </c>
      <c r="FN56" s="62" t="str">
        <f>IFERROR(Inv_SY_B!FN56/Inv_SY_B!$IS56-1,"")</f>
        <v/>
      </c>
      <c r="FO56" s="62" t="str">
        <f>IFERROR(Inv_SY_B!FO56/Inv_SY_B!$IS56-1,"")</f>
        <v/>
      </c>
      <c r="FP56" s="62" t="str">
        <f>IFERROR(Inv_SY_B!FP56/Inv_SY_B!$IS56-1,"")</f>
        <v/>
      </c>
      <c r="FQ56" s="62" t="str">
        <f>IFERROR(Inv_SY_B!FQ56/Inv_SY_B!$IS56-1,"")</f>
        <v/>
      </c>
      <c r="FR56" s="62" t="str">
        <f>IFERROR(Inv_SY_B!FR56/Inv_SY_B!$IS56-1,"")</f>
        <v/>
      </c>
      <c r="FS56" s="62" t="str">
        <f>IFERROR(Inv_SY_B!FS56/Inv_SY_B!$IS56-1,"")</f>
        <v/>
      </c>
      <c r="FT56" s="62" t="str">
        <f>IFERROR(Inv_SY_B!FT56/Inv_SY_B!$IS56-1,"")</f>
        <v/>
      </c>
      <c r="FU56" s="62" t="str">
        <f>IFERROR(Inv_SY_B!FU56/Inv_SY_B!$IS56-1,"")</f>
        <v/>
      </c>
      <c r="FV56" s="62" t="str">
        <f>IFERROR(Inv_SY_B!FV56/Inv_SY_B!$IS56-1,"")</f>
        <v/>
      </c>
      <c r="FW56" s="62" t="str">
        <f>IFERROR(Inv_SY_B!FW56/Inv_SY_B!$IS56-1,"")</f>
        <v/>
      </c>
      <c r="FX56" s="62" t="str">
        <f>IFERROR(Inv_SY_B!FX56/Inv_SY_B!$IS56-1,"")</f>
        <v/>
      </c>
      <c r="FY56" s="62" t="str">
        <f>IFERROR(Inv_SY_B!FY56/Inv_SY_B!$IS56-1,"")</f>
        <v/>
      </c>
      <c r="FZ56" s="62" t="str">
        <f>IFERROR(Inv_SY_B!FZ56/Inv_SY_B!$IS56-1,"")</f>
        <v/>
      </c>
      <c r="GA56" s="62" t="str">
        <f>IFERROR(Inv_SY_B!GA56/Inv_SY_B!$IS56-1,"")</f>
        <v/>
      </c>
      <c r="GB56" s="62" t="str">
        <f>IFERROR(Inv_SY_B!GB56/Inv_SY_B!$IS56-1,"")</f>
        <v/>
      </c>
      <c r="GC56" s="62" t="str">
        <f>IFERROR(Inv_SY_B!GC56/Inv_SY_B!$IS56-1,"")</f>
        <v/>
      </c>
      <c r="GD56" s="62" t="str">
        <f>IFERROR(Inv_SY_B!GD56/Inv_SY_B!$IS56-1,"")</f>
        <v/>
      </c>
      <c r="GE56" s="62" t="str">
        <f>IFERROR(Inv_SY_B!GE56/Inv_SY_B!$IS56-1,"")</f>
        <v/>
      </c>
      <c r="GF56" s="62" t="str">
        <f>IFERROR(Inv_SY_B!GF56/Inv_SY_B!$IS56-1,"")</f>
        <v/>
      </c>
      <c r="GG56" s="62" t="str">
        <f>IFERROR(Inv_SY_B!GG56/Inv_SY_B!$IS56-1,"")</f>
        <v/>
      </c>
      <c r="GH56" s="62" t="str">
        <f>IFERROR(Inv_SY_B!GH56/Inv_SY_B!$IS56-1,"")</f>
        <v/>
      </c>
      <c r="GI56" s="62" t="str">
        <f>IFERROR(Inv_SY_B!GI56/Inv_SY_B!$IS56-1,"")</f>
        <v/>
      </c>
      <c r="GJ56" s="62" t="str">
        <f>IFERROR(Inv_SY_B!GJ56/Inv_SY_B!$IS56-1,"")</f>
        <v/>
      </c>
      <c r="GK56" s="62" t="str">
        <f>IFERROR(Inv_SY_B!GK56/Inv_SY_B!$IS56-1,"")</f>
        <v/>
      </c>
      <c r="GL56" s="62" t="str">
        <f>IFERROR(Inv_SY_B!GL56/Inv_SY_B!$IS56-1,"")</f>
        <v/>
      </c>
      <c r="GM56" s="62" t="str">
        <f>IFERROR(Inv_SY_B!GM56/Inv_SY_B!$IS56-1,"")</f>
        <v/>
      </c>
      <c r="GN56" s="62" t="str">
        <f>IFERROR(Inv_SY_B!GN56/Inv_SY_B!$IS56-1,"")</f>
        <v/>
      </c>
      <c r="GO56" s="62" t="str">
        <f>IFERROR(Inv_SY_B!GO56/Inv_SY_B!$IS56-1,"")</f>
        <v/>
      </c>
      <c r="GP56" s="62" t="str">
        <f>IFERROR(Inv_SY_B!GP56/Inv_SY_B!$IS56-1,"")</f>
        <v/>
      </c>
      <c r="GQ56" s="62" t="str">
        <f>IFERROR(Inv_SY_B!GQ56/Inv_SY_B!$IS56-1,"")</f>
        <v/>
      </c>
      <c r="GR56" s="62" t="str">
        <f>IFERROR(Inv_SY_B!GR56/Inv_SY_B!$IS56-1,"")</f>
        <v/>
      </c>
      <c r="GS56" s="62" t="str">
        <f>IFERROR(Inv_SY_B!GS56/Inv_SY_B!$IS56-1,"")</f>
        <v/>
      </c>
      <c r="GT56" s="62" t="str">
        <f>IFERROR(Inv_SY_B!GT56/Inv_SY_B!$IS56-1,"")</f>
        <v/>
      </c>
      <c r="GU56" s="62" t="str">
        <f>IFERROR(Inv_SY_B!GU56/Inv_SY_B!$IS56-1,"")</f>
        <v/>
      </c>
      <c r="GV56" s="62" t="str">
        <f>IFERROR(Inv_SY_B!GV56/Inv_SY_B!$IS56-1,"")</f>
        <v/>
      </c>
      <c r="GW56" s="62" t="str">
        <f>IFERROR(Inv_SY_B!GW56/Inv_SY_B!$IS56-1,"")</f>
        <v/>
      </c>
      <c r="GX56" s="62" t="str">
        <f>IFERROR(Inv_SY_B!GX56/Inv_SY_B!$IS56-1,"")</f>
        <v/>
      </c>
      <c r="GY56" s="62" t="str">
        <f>IFERROR(Inv_SY_B!GY56/Inv_SY_B!$IS56-1,"")</f>
        <v/>
      </c>
      <c r="GZ56" s="62" t="str">
        <f>IFERROR(Inv_SY_B!GZ56/Inv_SY_B!$IS56-1,"")</f>
        <v/>
      </c>
      <c r="HA56" s="62" t="str">
        <f>IFERROR(Inv_SY_B!HA56/Inv_SY_B!$IS56-1,"")</f>
        <v/>
      </c>
      <c r="HB56" s="62" t="str">
        <f>IFERROR(Inv_SY_B!HB56/Inv_SY_B!$IS56-1,"")</f>
        <v/>
      </c>
      <c r="HC56" s="62" t="str">
        <f>IFERROR(Inv_SY_B!HC56/Inv_SY_B!$IS56-1,"")</f>
        <v/>
      </c>
      <c r="HD56" s="62" t="str">
        <f>IFERROR(Inv_SY_B!HD56/Inv_SY_B!$IS56-1,"")</f>
        <v/>
      </c>
      <c r="HE56" s="62" t="str">
        <f>IFERROR(Inv_SY_B!HE56/Inv_SY_B!$IS56-1,"")</f>
        <v/>
      </c>
      <c r="HF56" s="62" t="str">
        <f>IFERROR(Inv_SY_B!HF56/Inv_SY_B!$IS56-1,"")</f>
        <v/>
      </c>
      <c r="HG56" s="62" t="str">
        <f>IFERROR(Inv_SY_B!HG56/Inv_SY_B!$IS56-1,"")</f>
        <v/>
      </c>
      <c r="HH56" s="62" t="str">
        <f>IFERROR(Inv_SY_B!HH56/Inv_SY_B!$IS56-1,"")</f>
        <v/>
      </c>
      <c r="HI56" s="62" t="str">
        <f>IFERROR(Inv_SY_B!HI56/Inv_SY_B!$IS56-1,"")</f>
        <v/>
      </c>
      <c r="HJ56" s="62" t="str">
        <f>IFERROR(Inv_SY_B!HJ56/Inv_SY_B!$IS56-1,"")</f>
        <v/>
      </c>
      <c r="HK56" s="62" t="str">
        <f>IFERROR(Inv_SY_B!HK56/Inv_SY_B!$IS56-1,"")</f>
        <v/>
      </c>
      <c r="HL56" s="62" t="str">
        <f>IFERROR(Inv_SY_B!HL56/Inv_SY_B!$IS56-1,"")</f>
        <v/>
      </c>
      <c r="HM56" s="62" t="str">
        <f>IFERROR(Inv_SY_B!HM56/Inv_SY_B!$IS56-1,"")</f>
        <v/>
      </c>
      <c r="HN56" s="62" t="str">
        <f>IFERROR(Inv_SY_B!HN56/Inv_SY_B!$IS56-1,"")</f>
        <v/>
      </c>
      <c r="HO56" s="62" t="str">
        <f>IFERROR(Inv_SY_B!HO56/Inv_SY_B!$IS56-1,"")</f>
        <v/>
      </c>
      <c r="HP56" s="62" t="str">
        <f>IFERROR(Inv_SY_B!HP56/Inv_SY_B!$IS56-1,"")</f>
        <v/>
      </c>
      <c r="HQ56" s="62" t="str">
        <f>IFERROR(Inv_SY_B!HQ56/Inv_SY_B!$IS56-1,"")</f>
        <v/>
      </c>
      <c r="HR56" s="62" t="str">
        <f>IFERROR(Inv_SY_B!HR56/Inv_SY_B!$IS56-1,"")</f>
        <v/>
      </c>
      <c r="HS56" s="62" t="str">
        <f>IFERROR(Inv_SY_B!HS56/Inv_SY_B!$IS56-1,"")</f>
        <v/>
      </c>
      <c r="HT56" s="62" t="str">
        <f>IFERROR(Inv_SY_B!HT56/Inv_SY_B!$IS56-1,"")</f>
        <v/>
      </c>
      <c r="HU56" s="62" t="str">
        <f>IFERROR(Inv_SY_B!HU56/Inv_SY_B!$IS56-1,"")</f>
        <v/>
      </c>
      <c r="HV56" s="62" t="str">
        <f>IFERROR(Inv_SY_B!HV56/Inv_SY_B!$IS56-1,"")</f>
        <v/>
      </c>
      <c r="HW56" s="62" t="str">
        <f>IFERROR(Inv_SY_B!HW56/Inv_SY_B!$IS56-1,"")</f>
        <v/>
      </c>
      <c r="HX56" s="62" t="str">
        <f>IFERROR(Inv_SY_B!HX56/Inv_SY_B!$IS56-1,"")</f>
        <v/>
      </c>
      <c r="HY56" s="62" t="str">
        <f>IFERROR(Inv_SY_B!HY56/Inv_SY_B!$IS56-1,"")</f>
        <v/>
      </c>
      <c r="HZ56" s="62" t="str">
        <f>IFERROR(Inv_SY_B!HZ56/Inv_SY_B!$IS56-1,"")</f>
        <v/>
      </c>
      <c r="IA56" s="62" t="str">
        <f>IFERROR(Inv_SY_B!IA56/Inv_SY_B!$IS56-1,"")</f>
        <v/>
      </c>
      <c r="IB56" s="62" t="str">
        <f>IFERROR(Inv_SY_B!IB56/Inv_SY_B!$IS56-1,"")</f>
        <v/>
      </c>
      <c r="IC56" s="62" t="str">
        <f>IFERROR(Inv_SY_B!IC56/Inv_SY_B!$IS56-1,"")</f>
        <v/>
      </c>
      <c r="ID56" s="62" t="str">
        <f>IFERROR(Inv_SY_B!ID56/Inv_SY_B!$IS56-1,"")</f>
        <v/>
      </c>
      <c r="IE56" s="62" t="str">
        <f>IFERROR(Inv_SY_B!IE56/Inv_SY_B!$IS56-1,"")</f>
        <v/>
      </c>
      <c r="IF56" s="62" t="str">
        <f>IFERROR(Inv_SY_B!IF56/Inv_SY_B!$IS56-1,"")</f>
        <v/>
      </c>
      <c r="IG56" s="62" t="str">
        <f>IFERROR(Inv_SY_B!IG56/Inv_SY_B!$IS56-1,"")</f>
        <v/>
      </c>
      <c r="IH56" s="62" t="str">
        <f>IFERROR(Inv_SY_B!IH56/Inv_SY_B!$IS56-1,"")</f>
        <v/>
      </c>
      <c r="II56" s="62" t="str">
        <f>IFERROR(Inv_SY_B!II56/Inv_SY_B!$IS56-1,"")</f>
        <v/>
      </c>
      <c r="IJ56" s="62" t="str">
        <f>IFERROR(Inv_SY_B!IJ56/Inv_SY_B!$IS56-1,"")</f>
        <v/>
      </c>
      <c r="IK56" s="62" t="str">
        <f>IFERROR(Inv_SY_B!IK56/Inv_SY_B!$IS56-1,"")</f>
        <v/>
      </c>
      <c r="IL56" s="62" t="str">
        <f>IFERROR(Inv_SY_B!IL56/Inv_SY_B!$IS56-1,"")</f>
        <v/>
      </c>
      <c r="IM56" s="62" t="str">
        <f>IFERROR(Inv_SY_B!IM56/Inv_SY_B!$IS56-1,"")</f>
        <v/>
      </c>
      <c r="IN56" s="62" t="str">
        <f>IFERROR(Inv_SY_B!IN56/Inv_SY_B!$IS56-1,"")</f>
        <v/>
      </c>
      <c r="IO56" s="62" t="str">
        <f>IFERROR(Inv_SY_B!IO56/Inv_SY_B!$IS56-1,"")</f>
        <v/>
      </c>
      <c r="IP56" s="62" t="str">
        <f>IFERROR(Inv_SY_B!IP56/Inv_SY_B!$IS56-1,"")</f>
        <v/>
      </c>
      <c r="IQ56" s="62" t="str">
        <f>IFERROR(Inv_SY_B!IQ56/Inv_SY_B!$IS56-1,"")</f>
        <v/>
      </c>
      <c r="IR56" s="62" t="str">
        <f>IFERROR(Inv_SY_B!IR56/Inv_SY_B!$IS56-1,"")</f>
        <v/>
      </c>
    </row>
    <row r="57" spans="2:252" x14ac:dyDescent="0.25">
      <c r="B57" s="85">
        <f t="shared" ref="B57:B62" si="1">B56+1</f>
        <v>45883</v>
      </c>
      <c r="C57" s="62" t="str">
        <f>IFERROR(Inv_SY_B!C57/Inv_SY_B!$IS57-1,"")</f>
        <v/>
      </c>
      <c r="D57" s="62" t="str">
        <f>IFERROR(Inv_SY_B!D57/Inv_SY_B!$IS57-1,"")</f>
        <v/>
      </c>
      <c r="E57" s="62" t="str">
        <f>IFERROR(Inv_SY_B!E57/Inv_SY_B!$IS57-1,"")</f>
        <v/>
      </c>
      <c r="F57" s="62" t="str">
        <f>IFERROR(Inv_SY_B!F57/Inv_SY_B!$IS57-1,"")</f>
        <v/>
      </c>
      <c r="G57" s="62" t="str">
        <f>IFERROR(Inv_SY_B!G57/Inv_SY_B!$IS57-1,"")</f>
        <v/>
      </c>
      <c r="H57" s="62" t="str">
        <f>IFERROR(Inv_SY_B!H57/Inv_SY_B!$IS57-1,"")</f>
        <v/>
      </c>
      <c r="I57" s="62" t="str">
        <f>IFERROR(Inv_SY_B!I57/Inv_SY_B!$IS57-1,"")</f>
        <v/>
      </c>
      <c r="J57" s="62" t="str">
        <f>IFERROR(Inv_SY_B!J57/Inv_SY_B!$IS57-1,"")</f>
        <v/>
      </c>
      <c r="K57" s="62" t="str">
        <f>IFERROR(Inv_SY_B!K57/Inv_SY_B!$IS57-1,"")</f>
        <v/>
      </c>
      <c r="L57" s="62" t="str">
        <f>IFERROR(Inv_SY_B!L57/Inv_SY_B!$IS57-1,"")</f>
        <v/>
      </c>
      <c r="M57" s="62" t="str">
        <f>IFERROR(Inv_SY_B!M57/Inv_SY_B!$IS57-1,"")</f>
        <v/>
      </c>
      <c r="N57" s="62" t="str">
        <f>IFERROR(Inv_SY_B!N57/Inv_SY_B!$IS57-1,"")</f>
        <v/>
      </c>
      <c r="O57" s="62" t="str">
        <f>IFERROR(Inv_SY_B!O57/Inv_SY_B!$IS57-1,"")</f>
        <v/>
      </c>
      <c r="P57" s="62" t="str">
        <f>IFERROR(Inv_SY_B!P57/Inv_SY_B!$IS57-1,"")</f>
        <v/>
      </c>
      <c r="Q57" s="62" t="str">
        <f>IFERROR(Inv_SY_B!Q57/Inv_SY_B!$IS57-1,"")</f>
        <v/>
      </c>
      <c r="R57" s="62" t="str">
        <f>IFERROR(Inv_SY_B!R57/Inv_SY_B!$IS57-1,"")</f>
        <v/>
      </c>
      <c r="S57" s="62" t="str">
        <f>IFERROR(Inv_SY_B!S57/Inv_SY_B!$IS57-1,"")</f>
        <v/>
      </c>
      <c r="T57" s="62" t="str">
        <f>IFERROR(Inv_SY_B!T57/Inv_SY_B!$IS57-1,"")</f>
        <v/>
      </c>
      <c r="U57" s="62" t="str">
        <f>IFERROR(Inv_SY_B!U57/Inv_SY_B!$IS57-1,"")</f>
        <v/>
      </c>
      <c r="V57" s="62" t="str">
        <f>IFERROR(Inv_SY_B!V57/Inv_SY_B!$IS57-1,"")</f>
        <v/>
      </c>
      <c r="W57" s="62" t="str">
        <f>IFERROR(Inv_SY_B!W57/Inv_SY_B!$IS57-1,"")</f>
        <v/>
      </c>
      <c r="X57" s="62" t="str">
        <f>IFERROR(Inv_SY_B!X57/Inv_SY_B!$IS57-1,"")</f>
        <v/>
      </c>
      <c r="Y57" s="62" t="str">
        <f>IFERROR(Inv_SY_B!Y57/Inv_SY_B!$IS57-1,"")</f>
        <v/>
      </c>
      <c r="Z57" s="62" t="str">
        <f>IFERROR(Inv_SY_B!Z57/Inv_SY_B!$IS57-1,"")</f>
        <v/>
      </c>
      <c r="AA57" s="62" t="str">
        <f>IFERROR(Inv_SY_B!AA57/Inv_SY_B!$IS57-1,"")</f>
        <v/>
      </c>
      <c r="AB57" s="62" t="str">
        <f>IFERROR(Inv_SY_B!AB57/Inv_SY_B!$IS57-1,"")</f>
        <v/>
      </c>
      <c r="AC57" s="62" t="str">
        <f>IFERROR(Inv_SY_B!AC57/Inv_SY_B!$IS57-1,"")</f>
        <v/>
      </c>
      <c r="AD57" s="62" t="str">
        <f>IFERROR(Inv_SY_B!AD57/Inv_SY_B!$IS57-1,"")</f>
        <v/>
      </c>
      <c r="AE57" s="62" t="str">
        <f>IFERROR(Inv_SY_B!AE57/Inv_SY_B!$IS57-1,"")</f>
        <v/>
      </c>
      <c r="AF57" s="62" t="str">
        <f>IFERROR(Inv_SY_B!AF57/Inv_SY_B!$IS57-1,"")</f>
        <v/>
      </c>
      <c r="AG57" s="62" t="str">
        <f>IFERROR(Inv_SY_B!AG57/Inv_SY_B!$IS57-1,"")</f>
        <v/>
      </c>
      <c r="AH57" s="62" t="str">
        <f>IFERROR(Inv_SY_B!AH57/Inv_SY_B!$IS57-1,"")</f>
        <v/>
      </c>
      <c r="AI57" s="62" t="str">
        <f>IFERROR(Inv_SY_B!AI57/Inv_SY_B!$IS57-1,"")</f>
        <v/>
      </c>
      <c r="AJ57" s="62" t="str">
        <f>IFERROR(Inv_SY_B!AJ57/Inv_SY_B!$IS57-1,"")</f>
        <v/>
      </c>
      <c r="AK57" s="62" t="str">
        <f>IFERROR(Inv_SY_B!AK57/Inv_SY_B!$IS57-1,"")</f>
        <v/>
      </c>
      <c r="AL57" s="62" t="str">
        <f>IFERROR(Inv_SY_B!AL57/Inv_SY_B!$IS57-1,"")</f>
        <v/>
      </c>
      <c r="AM57" s="62" t="str">
        <f>IFERROR(Inv_SY_B!AM57/Inv_SY_B!$IS57-1,"")</f>
        <v/>
      </c>
      <c r="AN57" s="62" t="str">
        <f>IFERROR(Inv_SY_B!AN57/Inv_SY_B!$IS57-1,"")</f>
        <v/>
      </c>
      <c r="AO57" s="62" t="str">
        <f>IFERROR(Inv_SY_B!AO57/Inv_SY_B!$IS57-1,"")</f>
        <v/>
      </c>
      <c r="AP57" s="62" t="str">
        <f>IFERROR(Inv_SY_B!AP57/Inv_SY_B!$IS57-1,"")</f>
        <v/>
      </c>
      <c r="AQ57" s="62" t="str">
        <f>IFERROR(Inv_SY_B!AQ57/Inv_SY_B!$IS57-1,"")</f>
        <v/>
      </c>
      <c r="AR57" s="62" t="str">
        <f>IFERROR(Inv_SY_B!AR57/Inv_SY_B!$IS57-1,"")</f>
        <v/>
      </c>
      <c r="AS57" s="62" t="str">
        <f>IFERROR(Inv_SY_B!AS57/Inv_SY_B!$IS57-1,"")</f>
        <v/>
      </c>
      <c r="AT57" s="62" t="str">
        <f>IFERROR(Inv_SY_B!AT57/Inv_SY_B!$IS57-1,"")</f>
        <v/>
      </c>
      <c r="AU57" s="62" t="str">
        <f>IFERROR(Inv_SY_B!AU57/Inv_SY_B!$IS57-1,"")</f>
        <v/>
      </c>
      <c r="AV57" s="62" t="str">
        <f>IFERROR(Inv_SY_B!AV57/Inv_SY_B!$IS57-1,"")</f>
        <v/>
      </c>
      <c r="AW57" s="62" t="str">
        <f>IFERROR(Inv_SY_B!AW57/Inv_SY_B!$IS57-1,"")</f>
        <v/>
      </c>
      <c r="AX57" s="62" t="str">
        <f>IFERROR(Inv_SY_B!AX57/Inv_SY_B!$IS57-1,"")</f>
        <v/>
      </c>
      <c r="AY57" s="62" t="str">
        <f>IFERROR(Inv_SY_B!AY57/Inv_SY_B!$IS57-1,"")</f>
        <v/>
      </c>
      <c r="AZ57" s="62" t="str">
        <f>IFERROR(Inv_SY_B!AZ57/Inv_SY_B!$IS57-1,"")</f>
        <v/>
      </c>
      <c r="BA57" s="62" t="str">
        <f>IFERROR(Inv_SY_B!BA57/Inv_SY_B!$IS57-1,"")</f>
        <v/>
      </c>
      <c r="BB57" s="62" t="str">
        <f>IFERROR(Inv_SY_B!BB57/Inv_SY_B!$IS57-1,"")</f>
        <v/>
      </c>
      <c r="BC57" s="62" t="str">
        <f>IFERROR(Inv_SY_B!BC57/Inv_SY_B!$IS57-1,"")</f>
        <v/>
      </c>
      <c r="BD57" s="62" t="str">
        <f>IFERROR(Inv_SY_B!BD57/Inv_SY_B!$IS57-1,"")</f>
        <v/>
      </c>
      <c r="BE57" s="62" t="str">
        <f>IFERROR(Inv_SY_B!BE57/Inv_SY_B!$IS57-1,"")</f>
        <v/>
      </c>
      <c r="BF57" s="62" t="str">
        <f>IFERROR(Inv_SY_B!BF57/Inv_SY_B!$IS57-1,"")</f>
        <v/>
      </c>
      <c r="BG57" s="62" t="str">
        <f>IFERROR(Inv_SY_B!BG57/Inv_SY_B!$IS57-1,"")</f>
        <v/>
      </c>
      <c r="BH57" s="62" t="str">
        <f>IFERROR(Inv_SY_B!BH57/Inv_SY_B!$IS57-1,"")</f>
        <v/>
      </c>
      <c r="BI57" s="62" t="str">
        <f>IFERROR(Inv_SY_B!BI57/Inv_SY_B!$IS57-1,"")</f>
        <v/>
      </c>
      <c r="BJ57" s="62" t="str">
        <f>IFERROR(Inv_SY_B!BJ57/Inv_SY_B!$IS57-1,"")</f>
        <v/>
      </c>
      <c r="BK57" s="62" t="str">
        <f>IFERROR(Inv_SY_B!BK57/Inv_SY_B!$IS57-1,"")</f>
        <v/>
      </c>
      <c r="BL57" s="62" t="str">
        <f>IFERROR(Inv_SY_B!BL57/Inv_SY_B!$IS57-1,"")</f>
        <v/>
      </c>
      <c r="BM57" s="62" t="str">
        <f>IFERROR(Inv_SY_B!BM57/Inv_SY_B!$IS57-1,"")</f>
        <v/>
      </c>
      <c r="BN57" s="62" t="str">
        <f>IFERROR(Inv_SY_B!BN57/Inv_SY_B!$IS57-1,"")</f>
        <v/>
      </c>
      <c r="BO57" s="62" t="str">
        <f>IFERROR(Inv_SY_B!BO57/Inv_SY_B!$IS57-1,"")</f>
        <v/>
      </c>
      <c r="BP57" s="62" t="str">
        <f>IFERROR(Inv_SY_B!BP57/Inv_SY_B!$IS57-1,"")</f>
        <v/>
      </c>
      <c r="BQ57" s="62" t="str">
        <f>IFERROR(Inv_SY_B!BQ57/Inv_SY_B!$IS57-1,"")</f>
        <v/>
      </c>
      <c r="BR57" s="62" t="str">
        <f>IFERROR(Inv_SY_B!BR57/Inv_SY_B!$IS57-1,"")</f>
        <v/>
      </c>
      <c r="BS57" s="62" t="str">
        <f>IFERROR(Inv_SY_B!BS57/Inv_SY_B!$IS57-1,"")</f>
        <v/>
      </c>
      <c r="BT57" s="62" t="str">
        <f>IFERROR(Inv_SY_B!BT57/Inv_SY_B!$IS57-1,"")</f>
        <v/>
      </c>
      <c r="BU57" s="62" t="str">
        <f>IFERROR(Inv_SY_B!BU57/Inv_SY_B!$IS57-1,"")</f>
        <v/>
      </c>
      <c r="BV57" s="62" t="str">
        <f>IFERROR(Inv_SY_B!BV57/Inv_SY_B!$IS57-1,"")</f>
        <v/>
      </c>
      <c r="BW57" s="62" t="str">
        <f>IFERROR(Inv_SY_B!BW57/Inv_SY_B!$IS57-1,"")</f>
        <v/>
      </c>
      <c r="BX57" s="62" t="str">
        <f>IFERROR(Inv_SY_B!BX57/Inv_SY_B!$IS57-1,"")</f>
        <v/>
      </c>
      <c r="BY57" s="62" t="str">
        <f>IFERROR(Inv_SY_B!BY57/Inv_SY_B!$IS57-1,"")</f>
        <v/>
      </c>
      <c r="BZ57" s="62" t="str">
        <f>IFERROR(Inv_SY_B!BZ57/Inv_SY_B!$IS57-1,"")</f>
        <v/>
      </c>
      <c r="CA57" s="62" t="str">
        <f>IFERROR(Inv_SY_B!CA57/Inv_SY_B!$IS57-1,"")</f>
        <v/>
      </c>
      <c r="CB57" s="62" t="str">
        <f>IFERROR(Inv_SY_B!CB57/Inv_SY_B!$IS57-1,"")</f>
        <v/>
      </c>
      <c r="CC57" s="62" t="str">
        <f>IFERROR(Inv_SY_B!CC57/Inv_SY_B!$IS57-1,"")</f>
        <v/>
      </c>
      <c r="CD57" s="62" t="str">
        <f>IFERROR(Inv_SY_B!CD57/Inv_SY_B!$IS57-1,"")</f>
        <v/>
      </c>
      <c r="CE57" s="62" t="str">
        <f>IFERROR(Inv_SY_B!CE57/Inv_SY_B!$IS57-1,"")</f>
        <v/>
      </c>
      <c r="CF57" s="62" t="str">
        <f>IFERROR(Inv_SY_B!CF57/Inv_SY_B!$IS57-1,"")</f>
        <v/>
      </c>
      <c r="CG57" s="62" t="str">
        <f>IFERROR(Inv_SY_B!CG57/Inv_SY_B!$IS57-1,"")</f>
        <v/>
      </c>
      <c r="CH57" s="62" t="str">
        <f>IFERROR(Inv_SY_B!CH57/Inv_SY_B!$IS57-1,"")</f>
        <v/>
      </c>
      <c r="CI57" s="62" t="str">
        <f>IFERROR(Inv_SY_B!CI57/Inv_SY_B!$IS57-1,"")</f>
        <v/>
      </c>
      <c r="CJ57" s="62" t="str">
        <f>IFERROR(Inv_SY_B!CJ57/Inv_SY_B!$IS57-1,"")</f>
        <v/>
      </c>
      <c r="CK57" s="62" t="str">
        <f>IFERROR(Inv_SY_B!CK57/Inv_SY_B!$IS57-1,"")</f>
        <v/>
      </c>
      <c r="CL57" s="62" t="str">
        <f>IFERROR(Inv_SY_B!CL57/Inv_SY_B!$IS57-1,"")</f>
        <v/>
      </c>
      <c r="CM57" s="62" t="str">
        <f>IFERROR(Inv_SY_B!CM57/Inv_SY_B!$IS57-1,"")</f>
        <v/>
      </c>
      <c r="CN57" s="62" t="str">
        <f>IFERROR(Inv_SY_B!CN57/Inv_SY_B!$IS57-1,"")</f>
        <v/>
      </c>
      <c r="CO57" s="62" t="str">
        <f>IFERROR(Inv_SY_B!CO57/Inv_SY_B!$IS57-1,"")</f>
        <v/>
      </c>
      <c r="CP57" s="62" t="str">
        <f>IFERROR(Inv_SY_B!CP57/Inv_SY_B!$IS57-1,"")</f>
        <v/>
      </c>
      <c r="CQ57" s="62" t="str">
        <f>IFERROR(Inv_SY_B!CQ57/Inv_SY_B!$IS57-1,"")</f>
        <v/>
      </c>
      <c r="CR57" s="62" t="str">
        <f>IFERROR(Inv_SY_B!CR57/Inv_SY_B!$IS57-1,"")</f>
        <v/>
      </c>
      <c r="CS57" s="62" t="str">
        <f>IFERROR(Inv_SY_B!CS57/Inv_SY_B!$IS57-1,"")</f>
        <v/>
      </c>
      <c r="CT57" s="62" t="str">
        <f>IFERROR(Inv_SY_B!CT57/Inv_SY_B!$IS57-1,"")</f>
        <v/>
      </c>
      <c r="CU57" s="62" t="str">
        <f>IFERROR(Inv_SY_B!CU57/Inv_SY_B!$IS57-1,"")</f>
        <v/>
      </c>
      <c r="CV57" s="62" t="str">
        <f>IFERROR(Inv_SY_B!CV57/Inv_SY_B!$IS57-1,"")</f>
        <v/>
      </c>
      <c r="CW57" s="62" t="str">
        <f>IFERROR(Inv_SY_B!CW57/Inv_SY_B!$IS57-1,"")</f>
        <v/>
      </c>
      <c r="CX57" s="62" t="str">
        <f>IFERROR(Inv_SY_B!CX57/Inv_SY_B!$IS57-1,"")</f>
        <v/>
      </c>
      <c r="CY57" s="62" t="str">
        <f>IFERROR(Inv_SY_B!CY57/Inv_SY_B!$IS57-1,"")</f>
        <v/>
      </c>
      <c r="CZ57" s="62" t="str">
        <f>IFERROR(Inv_SY_B!CZ57/Inv_SY_B!$IS57-1,"")</f>
        <v/>
      </c>
      <c r="DA57" s="62" t="str">
        <f>IFERROR(Inv_SY_B!DA57/Inv_SY_B!$IS57-1,"")</f>
        <v/>
      </c>
      <c r="DB57" s="62" t="str">
        <f>IFERROR(Inv_SY_B!DB57/Inv_SY_B!$IS57-1,"")</f>
        <v/>
      </c>
      <c r="DC57" s="62" t="str">
        <f>IFERROR(Inv_SY_B!DC57/Inv_SY_B!$IS57-1,"")</f>
        <v/>
      </c>
      <c r="DD57" s="62" t="str">
        <f>IFERROR(Inv_SY_B!DD57/Inv_SY_B!$IS57-1,"")</f>
        <v/>
      </c>
      <c r="DE57" s="62" t="str">
        <f>IFERROR(Inv_SY_B!DE57/Inv_SY_B!$IS57-1,"")</f>
        <v/>
      </c>
      <c r="DF57" s="62" t="str">
        <f>IFERROR(Inv_SY_B!DF57/Inv_SY_B!$IS57-1,"")</f>
        <v/>
      </c>
      <c r="DG57" s="62" t="str">
        <f>IFERROR(Inv_SY_B!DG57/Inv_SY_B!$IS57-1,"")</f>
        <v/>
      </c>
      <c r="DH57" s="62" t="str">
        <f>IFERROR(Inv_SY_B!DH57/Inv_SY_B!$IS57-1,"")</f>
        <v/>
      </c>
      <c r="DI57" s="62" t="str">
        <f>IFERROR(Inv_SY_B!DI57/Inv_SY_B!$IS57-1,"")</f>
        <v/>
      </c>
      <c r="DJ57" s="62" t="str">
        <f>IFERROR(Inv_SY_B!DJ57/Inv_SY_B!$IS57-1,"")</f>
        <v/>
      </c>
      <c r="DK57" s="62" t="str">
        <f>IFERROR(Inv_SY_B!DK57/Inv_SY_B!$IS57-1,"")</f>
        <v/>
      </c>
      <c r="DL57" s="62" t="str">
        <f>IFERROR(Inv_SY_B!DL57/Inv_SY_B!$IS57-1,"")</f>
        <v/>
      </c>
      <c r="DM57" s="62" t="str">
        <f>IFERROR(Inv_SY_B!DM57/Inv_SY_B!$IS57-1,"")</f>
        <v/>
      </c>
      <c r="DN57" s="62" t="str">
        <f>IFERROR(Inv_SY_B!DN57/Inv_SY_B!$IS57-1,"")</f>
        <v/>
      </c>
      <c r="DO57" s="62" t="str">
        <f>IFERROR(Inv_SY_B!DO57/Inv_SY_B!$IS57-1,"")</f>
        <v/>
      </c>
      <c r="DP57" s="62" t="str">
        <f>IFERROR(Inv_SY_B!DP57/Inv_SY_B!$IS57-1,"")</f>
        <v/>
      </c>
      <c r="DQ57" s="62" t="str">
        <f>IFERROR(Inv_SY_B!DQ57/Inv_SY_B!$IS57-1,"")</f>
        <v/>
      </c>
      <c r="DR57" s="62" t="str">
        <f>IFERROR(Inv_SY_B!DR57/Inv_SY_B!$IS57-1,"")</f>
        <v/>
      </c>
      <c r="DS57" s="62" t="str">
        <f>IFERROR(Inv_SY_B!DS57/Inv_SY_B!$IS57-1,"")</f>
        <v/>
      </c>
      <c r="DT57" s="62" t="str">
        <f>IFERROR(Inv_SY_B!DT57/Inv_SY_B!$IS57-1,"")</f>
        <v/>
      </c>
      <c r="DU57" s="62" t="str">
        <f>IFERROR(Inv_SY_B!DU57/Inv_SY_B!$IS57-1,"")</f>
        <v/>
      </c>
      <c r="DV57" s="62" t="str">
        <f>IFERROR(Inv_SY_B!DV57/Inv_SY_B!$IS57-1,"")</f>
        <v/>
      </c>
      <c r="DW57" s="62" t="str">
        <f>IFERROR(Inv_SY_B!DW57/Inv_SY_B!$IS57-1,"")</f>
        <v/>
      </c>
      <c r="DX57" s="62" t="str">
        <f>IFERROR(Inv_SY_B!DX57/Inv_SY_B!$IS57-1,"")</f>
        <v/>
      </c>
      <c r="DY57" s="62" t="str">
        <f>IFERROR(Inv_SY_B!DY57/Inv_SY_B!$IS57-1,"")</f>
        <v/>
      </c>
      <c r="DZ57" s="62" t="str">
        <f>IFERROR(Inv_SY_B!DZ57/Inv_SY_B!$IS57-1,"")</f>
        <v/>
      </c>
      <c r="EA57" s="62" t="str">
        <f>IFERROR(Inv_SY_B!EA57/Inv_SY_B!$IS57-1,"")</f>
        <v/>
      </c>
      <c r="EB57" s="62" t="str">
        <f>IFERROR(Inv_SY_B!EB57/Inv_SY_B!$IS57-1,"")</f>
        <v/>
      </c>
      <c r="EC57" s="62" t="str">
        <f>IFERROR(Inv_SY_B!EC57/Inv_SY_B!$IS57-1,"")</f>
        <v/>
      </c>
      <c r="ED57" s="62" t="str">
        <f>IFERROR(Inv_SY_B!ED57/Inv_SY_B!$IS57-1,"")</f>
        <v/>
      </c>
      <c r="EE57" s="62" t="str">
        <f>IFERROR(Inv_SY_B!EE57/Inv_SY_B!$IS57-1,"")</f>
        <v/>
      </c>
      <c r="EF57" s="62" t="str">
        <f>IFERROR(Inv_SY_B!EF57/Inv_SY_B!$IS57-1,"")</f>
        <v/>
      </c>
      <c r="EG57" s="62" t="str">
        <f>IFERROR(Inv_SY_B!EG57/Inv_SY_B!$IS57-1,"")</f>
        <v/>
      </c>
      <c r="EH57" s="62" t="str">
        <f>IFERROR(Inv_SY_B!EH57/Inv_SY_B!$IS57-1,"")</f>
        <v/>
      </c>
      <c r="EI57" s="62" t="str">
        <f>IFERROR(Inv_SY_B!EI57/Inv_SY_B!$IS57-1,"")</f>
        <v/>
      </c>
      <c r="EJ57" s="62" t="str">
        <f>IFERROR(Inv_SY_B!EJ57/Inv_SY_B!$IS57-1,"")</f>
        <v/>
      </c>
      <c r="EK57" s="62" t="str">
        <f>IFERROR(Inv_SY_B!EK57/Inv_SY_B!$IS57-1,"")</f>
        <v/>
      </c>
      <c r="EL57" s="62" t="str">
        <f>IFERROR(Inv_SY_B!EL57/Inv_SY_B!$IS57-1,"")</f>
        <v/>
      </c>
      <c r="EM57" s="62" t="str">
        <f>IFERROR(Inv_SY_B!EM57/Inv_SY_B!$IS57-1,"")</f>
        <v/>
      </c>
      <c r="EN57" s="62" t="str">
        <f>IFERROR(Inv_SY_B!EN57/Inv_SY_B!$IS57-1,"")</f>
        <v/>
      </c>
      <c r="EO57" s="62" t="str">
        <f>IFERROR(Inv_SY_B!EO57/Inv_SY_B!$IS57-1,"")</f>
        <v/>
      </c>
      <c r="EP57" s="62" t="str">
        <f>IFERROR(Inv_SY_B!EP57/Inv_SY_B!$IS57-1,"")</f>
        <v/>
      </c>
      <c r="EQ57" s="62" t="str">
        <f>IFERROR(Inv_SY_B!EQ57/Inv_SY_B!$IS57-1,"")</f>
        <v/>
      </c>
      <c r="ER57" s="62" t="str">
        <f>IFERROR(Inv_SY_B!ER57/Inv_SY_B!$IS57-1,"")</f>
        <v/>
      </c>
      <c r="ES57" s="62" t="str">
        <f>IFERROR(Inv_SY_B!ES57/Inv_SY_B!$IS57-1,"")</f>
        <v/>
      </c>
      <c r="ET57" s="62" t="str">
        <f>IFERROR(Inv_SY_B!ET57/Inv_SY_B!$IS57-1,"")</f>
        <v/>
      </c>
      <c r="EU57" s="62" t="str">
        <f>IFERROR(Inv_SY_B!EU57/Inv_SY_B!$IS57-1,"")</f>
        <v/>
      </c>
      <c r="EV57" s="62" t="str">
        <f>IFERROR(Inv_SY_B!EV57/Inv_SY_B!$IS57-1,"")</f>
        <v/>
      </c>
      <c r="EW57" s="62" t="str">
        <f>IFERROR(Inv_SY_B!EW57/Inv_SY_B!$IS57-1,"")</f>
        <v/>
      </c>
      <c r="EX57" s="62" t="str">
        <f>IFERROR(Inv_SY_B!EX57/Inv_SY_B!$IS57-1,"")</f>
        <v/>
      </c>
      <c r="EY57" s="62" t="str">
        <f>IFERROR(Inv_SY_B!EY57/Inv_SY_B!$IS57-1,"")</f>
        <v/>
      </c>
      <c r="EZ57" s="62" t="str">
        <f>IFERROR(Inv_SY_B!EZ57/Inv_SY_B!$IS57-1,"")</f>
        <v/>
      </c>
      <c r="FA57" s="62" t="str">
        <f>IFERROR(Inv_SY_B!FA57/Inv_SY_B!$IS57-1,"")</f>
        <v/>
      </c>
      <c r="FB57" s="62" t="str">
        <f>IFERROR(Inv_SY_B!FB57/Inv_SY_B!$IS57-1,"")</f>
        <v/>
      </c>
      <c r="FC57" s="62" t="str">
        <f>IFERROR(Inv_SY_B!FC57/Inv_SY_B!$IS57-1,"")</f>
        <v/>
      </c>
      <c r="FD57" s="62" t="str">
        <f>IFERROR(Inv_SY_B!FD57/Inv_SY_B!$IS57-1,"")</f>
        <v/>
      </c>
      <c r="FE57" s="62" t="str">
        <f>IFERROR(Inv_SY_B!FE57/Inv_SY_B!$IS57-1,"")</f>
        <v/>
      </c>
      <c r="FF57" s="62" t="str">
        <f>IFERROR(Inv_SY_B!FF57/Inv_SY_B!$IS57-1,"")</f>
        <v/>
      </c>
      <c r="FG57" s="62" t="str">
        <f>IFERROR(Inv_SY_B!FG57/Inv_SY_B!$IS57-1,"")</f>
        <v/>
      </c>
      <c r="FH57" s="62" t="str">
        <f>IFERROR(Inv_SY_B!FH57/Inv_SY_B!$IS57-1,"")</f>
        <v/>
      </c>
      <c r="FI57" s="62" t="str">
        <f>IFERROR(Inv_SY_B!FI57/Inv_SY_B!$IS57-1,"")</f>
        <v/>
      </c>
      <c r="FJ57" s="62" t="str">
        <f>IFERROR(Inv_SY_B!FJ57/Inv_SY_B!$IS57-1,"")</f>
        <v/>
      </c>
      <c r="FK57" s="62" t="str">
        <f>IFERROR(Inv_SY_B!FK57/Inv_SY_B!$IS57-1,"")</f>
        <v/>
      </c>
      <c r="FL57" s="62" t="str">
        <f>IFERROR(Inv_SY_B!FL57/Inv_SY_B!$IS57-1,"")</f>
        <v/>
      </c>
      <c r="FM57" s="62" t="str">
        <f>IFERROR(Inv_SY_B!FM57/Inv_SY_B!$IS57-1,"")</f>
        <v/>
      </c>
      <c r="FN57" s="62" t="str">
        <f>IFERROR(Inv_SY_B!FN57/Inv_SY_B!$IS57-1,"")</f>
        <v/>
      </c>
      <c r="FO57" s="62" t="str">
        <f>IFERROR(Inv_SY_B!FO57/Inv_SY_B!$IS57-1,"")</f>
        <v/>
      </c>
      <c r="FP57" s="62" t="str">
        <f>IFERROR(Inv_SY_B!FP57/Inv_SY_B!$IS57-1,"")</f>
        <v/>
      </c>
      <c r="FQ57" s="62" t="str">
        <f>IFERROR(Inv_SY_B!FQ57/Inv_SY_B!$IS57-1,"")</f>
        <v/>
      </c>
      <c r="FR57" s="62" t="str">
        <f>IFERROR(Inv_SY_B!FR57/Inv_SY_B!$IS57-1,"")</f>
        <v/>
      </c>
      <c r="FS57" s="62" t="str">
        <f>IFERROR(Inv_SY_B!FS57/Inv_SY_B!$IS57-1,"")</f>
        <v/>
      </c>
      <c r="FT57" s="62" t="str">
        <f>IFERROR(Inv_SY_B!FT57/Inv_SY_B!$IS57-1,"")</f>
        <v/>
      </c>
      <c r="FU57" s="62" t="str">
        <f>IFERROR(Inv_SY_B!FU57/Inv_SY_B!$IS57-1,"")</f>
        <v/>
      </c>
      <c r="FV57" s="62" t="str">
        <f>IFERROR(Inv_SY_B!FV57/Inv_SY_B!$IS57-1,"")</f>
        <v/>
      </c>
      <c r="FW57" s="62" t="str">
        <f>IFERROR(Inv_SY_B!FW57/Inv_SY_B!$IS57-1,"")</f>
        <v/>
      </c>
      <c r="FX57" s="62" t="str">
        <f>IFERROR(Inv_SY_B!FX57/Inv_SY_B!$IS57-1,"")</f>
        <v/>
      </c>
      <c r="FY57" s="62" t="str">
        <f>IFERROR(Inv_SY_B!FY57/Inv_SY_B!$IS57-1,"")</f>
        <v/>
      </c>
      <c r="FZ57" s="62" t="str">
        <f>IFERROR(Inv_SY_B!FZ57/Inv_SY_B!$IS57-1,"")</f>
        <v/>
      </c>
      <c r="GA57" s="62" t="str">
        <f>IFERROR(Inv_SY_B!GA57/Inv_SY_B!$IS57-1,"")</f>
        <v/>
      </c>
      <c r="GB57" s="62" t="str">
        <f>IFERROR(Inv_SY_B!GB57/Inv_SY_B!$IS57-1,"")</f>
        <v/>
      </c>
      <c r="GC57" s="62" t="str">
        <f>IFERROR(Inv_SY_B!GC57/Inv_SY_B!$IS57-1,"")</f>
        <v/>
      </c>
      <c r="GD57" s="62" t="str">
        <f>IFERROR(Inv_SY_B!GD57/Inv_SY_B!$IS57-1,"")</f>
        <v/>
      </c>
      <c r="GE57" s="62" t="str">
        <f>IFERROR(Inv_SY_B!GE57/Inv_SY_B!$IS57-1,"")</f>
        <v/>
      </c>
      <c r="GF57" s="62" t="str">
        <f>IFERROR(Inv_SY_B!GF57/Inv_SY_B!$IS57-1,"")</f>
        <v/>
      </c>
      <c r="GG57" s="62" t="str">
        <f>IFERROR(Inv_SY_B!GG57/Inv_SY_B!$IS57-1,"")</f>
        <v/>
      </c>
      <c r="GH57" s="62" t="str">
        <f>IFERROR(Inv_SY_B!GH57/Inv_SY_B!$IS57-1,"")</f>
        <v/>
      </c>
      <c r="GI57" s="62" t="str">
        <f>IFERROR(Inv_SY_B!GI57/Inv_SY_B!$IS57-1,"")</f>
        <v/>
      </c>
      <c r="GJ57" s="62" t="str">
        <f>IFERROR(Inv_SY_B!GJ57/Inv_SY_B!$IS57-1,"")</f>
        <v/>
      </c>
      <c r="GK57" s="62" t="str">
        <f>IFERROR(Inv_SY_B!GK57/Inv_SY_B!$IS57-1,"")</f>
        <v/>
      </c>
      <c r="GL57" s="62" t="str">
        <f>IFERROR(Inv_SY_B!GL57/Inv_SY_B!$IS57-1,"")</f>
        <v/>
      </c>
      <c r="GM57" s="62" t="str">
        <f>IFERROR(Inv_SY_B!GM57/Inv_SY_B!$IS57-1,"")</f>
        <v/>
      </c>
      <c r="GN57" s="62" t="str">
        <f>IFERROR(Inv_SY_B!GN57/Inv_SY_B!$IS57-1,"")</f>
        <v/>
      </c>
      <c r="GO57" s="62" t="str">
        <f>IFERROR(Inv_SY_B!GO57/Inv_SY_B!$IS57-1,"")</f>
        <v/>
      </c>
      <c r="GP57" s="62" t="str">
        <f>IFERROR(Inv_SY_B!GP57/Inv_SY_B!$IS57-1,"")</f>
        <v/>
      </c>
      <c r="GQ57" s="62" t="str">
        <f>IFERROR(Inv_SY_B!GQ57/Inv_SY_B!$IS57-1,"")</f>
        <v/>
      </c>
      <c r="GR57" s="62" t="str">
        <f>IFERROR(Inv_SY_B!GR57/Inv_SY_B!$IS57-1,"")</f>
        <v/>
      </c>
      <c r="GS57" s="62" t="str">
        <f>IFERROR(Inv_SY_B!GS57/Inv_SY_B!$IS57-1,"")</f>
        <v/>
      </c>
      <c r="GT57" s="62" t="str">
        <f>IFERROR(Inv_SY_B!GT57/Inv_SY_B!$IS57-1,"")</f>
        <v/>
      </c>
      <c r="GU57" s="62" t="str">
        <f>IFERROR(Inv_SY_B!GU57/Inv_SY_B!$IS57-1,"")</f>
        <v/>
      </c>
      <c r="GV57" s="62" t="str">
        <f>IFERROR(Inv_SY_B!GV57/Inv_SY_B!$IS57-1,"")</f>
        <v/>
      </c>
      <c r="GW57" s="62" t="str">
        <f>IFERROR(Inv_SY_B!GW57/Inv_SY_B!$IS57-1,"")</f>
        <v/>
      </c>
      <c r="GX57" s="62" t="str">
        <f>IFERROR(Inv_SY_B!GX57/Inv_SY_B!$IS57-1,"")</f>
        <v/>
      </c>
      <c r="GY57" s="62" t="str">
        <f>IFERROR(Inv_SY_B!GY57/Inv_SY_B!$IS57-1,"")</f>
        <v/>
      </c>
      <c r="GZ57" s="62" t="str">
        <f>IFERROR(Inv_SY_B!GZ57/Inv_SY_B!$IS57-1,"")</f>
        <v/>
      </c>
      <c r="HA57" s="62" t="str">
        <f>IFERROR(Inv_SY_B!HA57/Inv_SY_B!$IS57-1,"")</f>
        <v/>
      </c>
      <c r="HB57" s="62" t="str">
        <f>IFERROR(Inv_SY_B!HB57/Inv_SY_B!$IS57-1,"")</f>
        <v/>
      </c>
      <c r="HC57" s="62" t="str">
        <f>IFERROR(Inv_SY_B!HC57/Inv_SY_B!$IS57-1,"")</f>
        <v/>
      </c>
      <c r="HD57" s="62" t="str">
        <f>IFERROR(Inv_SY_B!HD57/Inv_SY_B!$IS57-1,"")</f>
        <v/>
      </c>
      <c r="HE57" s="62" t="str">
        <f>IFERROR(Inv_SY_B!HE57/Inv_SY_B!$IS57-1,"")</f>
        <v/>
      </c>
      <c r="HF57" s="62" t="str">
        <f>IFERROR(Inv_SY_B!HF57/Inv_SY_B!$IS57-1,"")</f>
        <v/>
      </c>
      <c r="HG57" s="62" t="str">
        <f>IFERROR(Inv_SY_B!HG57/Inv_SY_B!$IS57-1,"")</f>
        <v/>
      </c>
      <c r="HH57" s="62" t="str">
        <f>IFERROR(Inv_SY_B!HH57/Inv_SY_B!$IS57-1,"")</f>
        <v/>
      </c>
      <c r="HI57" s="62" t="str">
        <f>IFERROR(Inv_SY_B!HI57/Inv_SY_B!$IS57-1,"")</f>
        <v/>
      </c>
      <c r="HJ57" s="62" t="str">
        <f>IFERROR(Inv_SY_B!HJ57/Inv_SY_B!$IS57-1,"")</f>
        <v/>
      </c>
      <c r="HK57" s="62" t="str">
        <f>IFERROR(Inv_SY_B!HK57/Inv_SY_B!$IS57-1,"")</f>
        <v/>
      </c>
      <c r="HL57" s="62" t="str">
        <f>IFERROR(Inv_SY_B!HL57/Inv_SY_B!$IS57-1,"")</f>
        <v/>
      </c>
      <c r="HM57" s="62" t="str">
        <f>IFERROR(Inv_SY_B!HM57/Inv_SY_B!$IS57-1,"")</f>
        <v/>
      </c>
      <c r="HN57" s="62" t="str">
        <f>IFERROR(Inv_SY_B!HN57/Inv_SY_B!$IS57-1,"")</f>
        <v/>
      </c>
      <c r="HO57" s="62" t="str">
        <f>IFERROR(Inv_SY_B!HO57/Inv_SY_B!$IS57-1,"")</f>
        <v/>
      </c>
      <c r="HP57" s="62" t="str">
        <f>IFERROR(Inv_SY_B!HP57/Inv_SY_B!$IS57-1,"")</f>
        <v/>
      </c>
      <c r="HQ57" s="62" t="str">
        <f>IFERROR(Inv_SY_B!HQ57/Inv_SY_B!$IS57-1,"")</f>
        <v/>
      </c>
      <c r="HR57" s="62" t="str">
        <f>IFERROR(Inv_SY_B!HR57/Inv_SY_B!$IS57-1,"")</f>
        <v/>
      </c>
      <c r="HS57" s="62" t="str">
        <f>IFERROR(Inv_SY_B!HS57/Inv_SY_B!$IS57-1,"")</f>
        <v/>
      </c>
      <c r="HT57" s="62" t="str">
        <f>IFERROR(Inv_SY_B!HT57/Inv_SY_B!$IS57-1,"")</f>
        <v/>
      </c>
      <c r="HU57" s="62" t="str">
        <f>IFERROR(Inv_SY_B!HU57/Inv_SY_B!$IS57-1,"")</f>
        <v/>
      </c>
      <c r="HV57" s="62" t="str">
        <f>IFERROR(Inv_SY_B!HV57/Inv_SY_B!$IS57-1,"")</f>
        <v/>
      </c>
      <c r="HW57" s="62" t="str">
        <f>IFERROR(Inv_SY_B!HW57/Inv_SY_B!$IS57-1,"")</f>
        <v/>
      </c>
      <c r="HX57" s="62" t="str">
        <f>IFERROR(Inv_SY_B!HX57/Inv_SY_B!$IS57-1,"")</f>
        <v/>
      </c>
      <c r="HY57" s="62" t="str">
        <f>IFERROR(Inv_SY_B!HY57/Inv_SY_B!$IS57-1,"")</f>
        <v/>
      </c>
      <c r="HZ57" s="62" t="str">
        <f>IFERROR(Inv_SY_B!HZ57/Inv_SY_B!$IS57-1,"")</f>
        <v/>
      </c>
      <c r="IA57" s="62" t="str">
        <f>IFERROR(Inv_SY_B!IA57/Inv_SY_B!$IS57-1,"")</f>
        <v/>
      </c>
      <c r="IB57" s="62" t="str">
        <f>IFERROR(Inv_SY_B!IB57/Inv_SY_B!$IS57-1,"")</f>
        <v/>
      </c>
      <c r="IC57" s="62" t="str">
        <f>IFERROR(Inv_SY_B!IC57/Inv_SY_B!$IS57-1,"")</f>
        <v/>
      </c>
      <c r="ID57" s="62" t="str">
        <f>IFERROR(Inv_SY_B!ID57/Inv_SY_B!$IS57-1,"")</f>
        <v/>
      </c>
      <c r="IE57" s="62" t="str">
        <f>IFERROR(Inv_SY_B!IE57/Inv_SY_B!$IS57-1,"")</f>
        <v/>
      </c>
      <c r="IF57" s="62" t="str">
        <f>IFERROR(Inv_SY_B!IF57/Inv_SY_B!$IS57-1,"")</f>
        <v/>
      </c>
      <c r="IG57" s="62" t="str">
        <f>IFERROR(Inv_SY_B!IG57/Inv_SY_B!$IS57-1,"")</f>
        <v/>
      </c>
      <c r="IH57" s="62" t="str">
        <f>IFERROR(Inv_SY_B!IH57/Inv_SY_B!$IS57-1,"")</f>
        <v/>
      </c>
      <c r="II57" s="62" t="str">
        <f>IFERROR(Inv_SY_B!II57/Inv_SY_B!$IS57-1,"")</f>
        <v/>
      </c>
      <c r="IJ57" s="62" t="str">
        <f>IFERROR(Inv_SY_B!IJ57/Inv_SY_B!$IS57-1,"")</f>
        <v/>
      </c>
      <c r="IK57" s="62" t="str">
        <f>IFERROR(Inv_SY_B!IK57/Inv_SY_B!$IS57-1,"")</f>
        <v/>
      </c>
      <c r="IL57" s="62" t="str">
        <f>IFERROR(Inv_SY_B!IL57/Inv_SY_B!$IS57-1,"")</f>
        <v/>
      </c>
      <c r="IM57" s="62" t="str">
        <f>IFERROR(Inv_SY_B!IM57/Inv_SY_B!$IS57-1,"")</f>
        <v/>
      </c>
      <c r="IN57" s="62" t="str">
        <f>IFERROR(Inv_SY_B!IN57/Inv_SY_B!$IS57-1,"")</f>
        <v/>
      </c>
      <c r="IO57" s="62" t="str">
        <f>IFERROR(Inv_SY_B!IO57/Inv_SY_B!$IS57-1,"")</f>
        <v/>
      </c>
      <c r="IP57" s="62" t="str">
        <f>IFERROR(Inv_SY_B!IP57/Inv_SY_B!$IS57-1,"")</f>
        <v/>
      </c>
      <c r="IQ57" s="62" t="str">
        <f>IFERROR(Inv_SY_B!IQ57/Inv_SY_B!$IS57-1,"")</f>
        <v/>
      </c>
      <c r="IR57" s="62" t="str">
        <f>IFERROR(Inv_SY_B!IR57/Inv_SY_B!$IS57-1,"")</f>
        <v/>
      </c>
    </row>
    <row r="58" spans="2:252" x14ac:dyDescent="0.25">
      <c r="B58" s="85">
        <f t="shared" si="1"/>
        <v>45884</v>
      </c>
      <c r="C58" s="62" t="str">
        <f>IFERROR(Inv_SY_B!C58/Inv_SY_B!$IS58-1,"")</f>
        <v/>
      </c>
      <c r="D58" s="62" t="str">
        <f>IFERROR(Inv_SY_B!D58/Inv_SY_B!$IS58-1,"")</f>
        <v/>
      </c>
      <c r="E58" s="62" t="str">
        <f>IFERROR(Inv_SY_B!E58/Inv_SY_B!$IS58-1,"")</f>
        <v/>
      </c>
      <c r="F58" s="62" t="str">
        <f>IFERROR(Inv_SY_B!F58/Inv_SY_B!$IS58-1,"")</f>
        <v/>
      </c>
      <c r="G58" s="62" t="str">
        <f>IFERROR(Inv_SY_B!G58/Inv_SY_B!$IS58-1,"")</f>
        <v/>
      </c>
      <c r="H58" s="62" t="str">
        <f>IFERROR(Inv_SY_B!H58/Inv_SY_B!$IS58-1,"")</f>
        <v/>
      </c>
      <c r="I58" s="62" t="str">
        <f>IFERROR(Inv_SY_B!I58/Inv_SY_B!$IS58-1,"")</f>
        <v/>
      </c>
      <c r="J58" s="62" t="str">
        <f>IFERROR(Inv_SY_B!J58/Inv_SY_B!$IS58-1,"")</f>
        <v/>
      </c>
      <c r="K58" s="62" t="str">
        <f>IFERROR(Inv_SY_B!K58/Inv_SY_B!$IS58-1,"")</f>
        <v/>
      </c>
      <c r="L58" s="62" t="str">
        <f>IFERROR(Inv_SY_B!L58/Inv_SY_B!$IS58-1,"")</f>
        <v/>
      </c>
      <c r="M58" s="62" t="str">
        <f>IFERROR(Inv_SY_B!M58/Inv_SY_B!$IS58-1,"")</f>
        <v/>
      </c>
      <c r="N58" s="62" t="str">
        <f>IFERROR(Inv_SY_B!N58/Inv_SY_B!$IS58-1,"")</f>
        <v/>
      </c>
      <c r="O58" s="62" t="str">
        <f>IFERROR(Inv_SY_B!O58/Inv_SY_B!$IS58-1,"")</f>
        <v/>
      </c>
      <c r="P58" s="62" t="str">
        <f>IFERROR(Inv_SY_B!P58/Inv_SY_B!$IS58-1,"")</f>
        <v/>
      </c>
      <c r="Q58" s="62" t="str">
        <f>IFERROR(Inv_SY_B!Q58/Inv_SY_B!$IS58-1,"")</f>
        <v/>
      </c>
      <c r="R58" s="62" t="str">
        <f>IFERROR(Inv_SY_B!R58/Inv_SY_B!$IS58-1,"")</f>
        <v/>
      </c>
      <c r="S58" s="62" t="str">
        <f>IFERROR(Inv_SY_B!S58/Inv_SY_B!$IS58-1,"")</f>
        <v/>
      </c>
      <c r="T58" s="62" t="str">
        <f>IFERROR(Inv_SY_B!T58/Inv_SY_B!$IS58-1,"")</f>
        <v/>
      </c>
      <c r="U58" s="62" t="str">
        <f>IFERROR(Inv_SY_B!U58/Inv_SY_B!$IS58-1,"")</f>
        <v/>
      </c>
      <c r="V58" s="62" t="str">
        <f>IFERROR(Inv_SY_B!V58/Inv_SY_B!$IS58-1,"")</f>
        <v/>
      </c>
      <c r="W58" s="62" t="str">
        <f>IFERROR(Inv_SY_B!W58/Inv_SY_B!$IS58-1,"")</f>
        <v/>
      </c>
      <c r="X58" s="62" t="str">
        <f>IFERROR(Inv_SY_B!X58/Inv_SY_B!$IS58-1,"")</f>
        <v/>
      </c>
      <c r="Y58" s="62" t="str">
        <f>IFERROR(Inv_SY_B!Y58/Inv_SY_B!$IS58-1,"")</f>
        <v/>
      </c>
      <c r="Z58" s="62" t="str">
        <f>IFERROR(Inv_SY_B!Z58/Inv_SY_B!$IS58-1,"")</f>
        <v/>
      </c>
      <c r="AA58" s="62" t="str">
        <f>IFERROR(Inv_SY_B!AA58/Inv_SY_B!$IS58-1,"")</f>
        <v/>
      </c>
      <c r="AB58" s="62" t="str">
        <f>IFERROR(Inv_SY_B!AB58/Inv_SY_B!$IS58-1,"")</f>
        <v/>
      </c>
      <c r="AC58" s="62" t="str">
        <f>IFERROR(Inv_SY_B!AC58/Inv_SY_B!$IS58-1,"")</f>
        <v/>
      </c>
      <c r="AD58" s="62" t="str">
        <f>IFERROR(Inv_SY_B!AD58/Inv_SY_B!$IS58-1,"")</f>
        <v/>
      </c>
      <c r="AE58" s="62" t="str">
        <f>IFERROR(Inv_SY_B!AE58/Inv_SY_B!$IS58-1,"")</f>
        <v/>
      </c>
      <c r="AF58" s="62" t="str">
        <f>IFERROR(Inv_SY_B!AF58/Inv_SY_B!$IS58-1,"")</f>
        <v/>
      </c>
      <c r="AG58" s="62" t="str">
        <f>IFERROR(Inv_SY_B!AG58/Inv_SY_B!$IS58-1,"")</f>
        <v/>
      </c>
      <c r="AH58" s="62" t="str">
        <f>IFERROR(Inv_SY_B!AH58/Inv_SY_B!$IS58-1,"")</f>
        <v/>
      </c>
      <c r="AI58" s="62" t="str">
        <f>IFERROR(Inv_SY_B!AI58/Inv_SY_B!$IS58-1,"")</f>
        <v/>
      </c>
      <c r="AJ58" s="62" t="str">
        <f>IFERROR(Inv_SY_B!AJ58/Inv_SY_B!$IS58-1,"")</f>
        <v/>
      </c>
      <c r="AK58" s="62" t="str">
        <f>IFERROR(Inv_SY_B!AK58/Inv_SY_B!$IS58-1,"")</f>
        <v/>
      </c>
      <c r="AL58" s="62" t="str">
        <f>IFERROR(Inv_SY_B!AL58/Inv_SY_B!$IS58-1,"")</f>
        <v/>
      </c>
      <c r="AM58" s="62" t="str">
        <f>IFERROR(Inv_SY_B!AM58/Inv_SY_B!$IS58-1,"")</f>
        <v/>
      </c>
      <c r="AN58" s="62" t="str">
        <f>IFERROR(Inv_SY_B!AN58/Inv_SY_B!$IS58-1,"")</f>
        <v/>
      </c>
      <c r="AO58" s="62" t="str">
        <f>IFERROR(Inv_SY_B!AO58/Inv_SY_B!$IS58-1,"")</f>
        <v/>
      </c>
      <c r="AP58" s="62" t="str">
        <f>IFERROR(Inv_SY_B!AP58/Inv_SY_B!$IS58-1,"")</f>
        <v/>
      </c>
      <c r="AQ58" s="62" t="str">
        <f>IFERROR(Inv_SY_B!AQ58/Inv_SY_B!$IS58-1,"")</f>
        <v/>
      </c>
      <c r="AR58" s="62" t="str">
        <f>IFERROR(Inv_SY_B!AR58/Inv_SY_B!$IS58-1,"")</f>
        <v/>
      </c>
      <c r="AS58" s="62" t="str">
        <f>IFERROR(Inv_SY_B!AS58/Inv_SY_B!$IS58-1,"")</f>
        <v/>
      </c>
      <c r="AT58" s="62" t="str">
        <f>IFERROR(Inv_SY_B!AT58/Inv_SY_B!$IS58-1,"")</f>
        <v/>
      </c>
      <c r="AU58" s="62" t="str">
        <f>IFERROR(Inv_SY_B!AU58/Inv_SY_B!$IS58-1,"")</f>
        <v/>
      </c>
      <c r="AV58" s="62" t="str">
        <f>IFERROR(Inv_SY_B!AV58/Inv_SY_B!$IS58-1,"")</f>
        <v/>
      </c>
      <c r="AW58" s="62" t="str">
        <f>IFERROR(Inv_SY_B!AW58/Inv_SY_B!$IS58-1,"")</f>
        <v/>
      </c>
      <c r="AX58" s="62" t="str">
        <f>IFERROR(Inv_SY_B!AX58/Inv_SY_B!$IS58-1,"")</f>
        <v/>
      </c>
      <c r="AY58" s="62" t="str">
        <f>IFERROR(Inv_SY_B!AY58/Inv_SY_B!$IS58-1,"")</f>
        <v/>
      </c>
      <c r="AZ58" s="62" t="str">
        <f>IFERROR(Inv_SY_B!AZ58/Inv_SY_B!$IS58-1,"")</f>
        <v/>
      </c>
      <c r="BA58" s="62" t="str">
        <f>IFERROR(Inv_SY_B!BA58/Inv_SY_B!$IS58-1,"")</f>
        <v/>
      </c>
      <c r="BB58" s="62" t="str">
        <f>IFERROR(Inv_SY_B!BB58/Inv_SY_B!$IS58-1,"")</f>
        <v/>
      </c>
      <c r="BC58" s="62" t="str">
        <f>IFERROR(Inv_SY_B!BC58/Inv_SY_B!$IS58-1,"")</f>
        <v/>
      </c>
      <c r="BD58" s="62" t="str">
        <f>IFERROR(Inv_SY_B!BD58/Inv_SY_B!$IS58-1,"")</f>
        <v/>
      </c>
      <c r="BE58" s="62" t="str">
        <f>IFERROR(Inv_SY_B!BE58/Inv_SY_B!$IS58-1,"")</f>
        <v/>
      </c>
      <c r="BF58" s="62" t="str">
        <f>IFERROR(Inv_SY_B!BF58/Inv_SY_B!$IS58-1,"")</f>
        <v/>
      </c>
      <c r="BG58" s="62" t="str">
        <f>IFERROR(Inv_SY_B!BG58/Inv_SY_B!$IS58-1,"")</f>
        <v/>
      </c>
      <c r="BH58" s="62" t="str">
        <f>IFERROR(Inv_SY_B!BH58/Inv_SY_B!$IS58-1,"")</f>
        <v/>
      </c>
      <c r="BI58" s="62" t="str">
        <f>IFERROR(Inv_SY_B!BI58/Inv_SY_B!$IS58-1,"")</f>
        <v/>
      </c>
      <c r="BJ58" s="62" t="str">
        <f>IFERROR(Inv_SY_B!BJ58/Inv_SY_B!$IS58-1,"")</f>
        <v/>
      </c>
      <c r="BK58" s="62" t="str">
        <f>IFERROR(Inv_SY_B!BK58/Inv_SY_B!$IS58-1,"")</f>
        <v/>
      </c>
      <c r="BL58" s="62" t="str">
        <f>IFERROR(Inv_SY_B!BL58/Inv_SY_B!$IS58-1,"")</f>
        <v/>
      </c>
      <c r="BM58" s="62" t="str">
        <f>IFERROR(Inv_SY_B!BM58/Inv_SY_B!$IS58-1,"")</f>
        <v/>
      </c>
      <c r="BN58" s="62" t="str">
        <f>IFERROR(Inv_SY_B!BN58/Inv_SY_B!$IS58-1,"")</f>
        <v/>
      </c>
      <c r="BO58" s="62" t="str">
        <f>IFERROR(Inv_SY_B!BO58/Inv_SY_B!$IS58-1,"")</f>
        <v/>
      </c>
      <c r="BP58" s="62" t="str">
        <f>IFERROR(Inv_SY_B!BP58/Inv_SY_B!$IS58-1,"")</f>
        <v/>
      </c>
      <c r="BQ58" s="62" t="str">
        <f>IFERROR(Inv_SY_B!BQ58/Inv_SY_B!$IS58-1,"")</f>
        <v/>
      </c>
      <c r="BR58" s="62" t="str">
        <f>IFERROR(Inv_SY_B!BR58/Inv_SY_B!$IS58-1,"")</f>
        <v/>
      </c>
      <c r="BS58" s="62" t="str">
        <f>IFERROR(Inv_SY_B!BS58/Inv_SY_B!$IS58-1,"")</f>
        <v/>
      </c>
      <c r="BT58" s="62" t="str">
        <f>IFERROR(Inv_SY_B!BT58/Inv_SY_B!$IS58-1,"")</f>
        <v/>
      </c>
      <c r="BU58" s="62" t="str">
        <f>IFERROR(Inv_SY_B!BU58/Inv_SY_B!$IS58-1,"")</f>
        <v/>
      </c>
      <c r="BV58" s="62" t="str">
        <f>IFERROR(Inv_SY_B!BV58/Inv_SY_B!$IS58-1,"")</f>
        <v/>
      </c>
      <c r="BW58" s="62" t="str">
        <f>IFERROR(Inv_SY_B!BW58/Inv_SY_B!$IS58-1,"")</f>
        <v/>
      </c>
      <c r="BX58" s="62" t="str">
        <f>IFERROR(Inv_SY_B!BX58/Inv_SY_B!$IS58-1,"")</f>
        <v/>
      </c>
      <c r="BY58" s="62" t="str">
        <f>IFERROR(Inv_SY_B!BY58/Inv_SY_B!$IS58-1,"")</f>
        <v/>
      </c>
      <c r="BZ58" s="62" t="str">
        <f>IFERROR(Inv_SY_B!BZ58/Inv_SY_B!$IS58-1,"")</f>
        <v/>
      </c>
      <c r="CA58" s="62" t="str">
        <f>IFERROR(Inv_SY_B!CA58/Inv_SY_B!$IS58-1,"")</f>
        <v/>
      </c>
      <c r="CB58" s="62" t="str">
        <f>IFERROR(Inv_SY_B!CB58/Inv_SY_B!$IS58-1,"")</f>
        <v/>
      </c>
      <c r="CC58" s="62" t="str">
        <f>IFERROR(Inv_SY_B!CC58/Inv_SY_B!$IS58-1,"")</f>
        <v/>
      </c>
      <c r="CD58" s="62" t="str">
        <f>IFERROR(Inv_SY_B!CD58/Inv_SY_B!$IS58-1,"")</f>
        <v/>
      </c>
      <c r="CE58" s="62" t="str">
        <f>IFERROR(Inv_SY_B!CE58/Inv_SY_B!$IS58-1,"")</f>
        <v/>
      </c>
      <c r="CF58" s="62" t="str">
        <f>IFERROR(Inv_SY_B!CF58/Inv_SY_B!$IS58-1,"")</f>
        <v/>
      </c>
      <c r="CG58" s="62" t="str">
        <f>IFERROR(Inv_SY_B!CG58/Inv_SY_B!$IS58-1,"")</f>
        <v/>
      </c>
      <c r="CH58" s="62" t="str">
        <f>IFERROR(Inv_SY_B!CH58/Inv_SY_B!$IS58-1,"")</f>
        <v/>
      </c>
      <c r="CI58" s="62" t="str">
        <f>IFERROR(Inv_SY_B!CI58/Inv_SY_B!$IS58-1,"")</f>
        <v/>
      </c>
      <c r="CJ58" s="62" t="str">
        <f>IFERROR(Inv_SY_B!CJ58/Inv_SY_B!$IS58-1,"")</f>
        <v/>
      </c>
      <c r="CK58" s="62" t="str">
        <f>IFERROR(Inv_SY_B!CK58/Inv_SY_B!$IS58-1,"")</f>
        <v/>
      </c>
      <c r="CL58" s="62" t="str">
        <f>IFERROR(Inv_SY_B!CL58/Inv_SY_B!$IS58-1,"")</f>
        <v/>
      </c>
      <c r="CM58" s="62" t="str">
        <f>IFERROR(Inv_SY_B!CM58/Inv_SY_B!$IS58-1,"")</f>
        <v/>
      </c>
      <c r="CN58" s="62" t="str">
        <f>IFERROR(Inv_SY_B!CN58/Inv_SY_B!$IS58-1,"")</f>
        <v/>
      </c>
      <c r="CO58" s="62" t="str">
        <f>IFERROR(Inv_SY_B!CO58/Inv_SY_B!$IS58-1,"")</f>
        <v/>
      </c>
      <c r="CP58" s="62" t="str">
        <f>IFERROR(Inv_SY_B!CP58/Inv_SY_B!$IS58-1,"")</f>
        <v/>
      </c>
      <c r="CQ58" s="62" t="str">
        <f>IFERROR(Inv_SY_B!CQ58/Inv_SY_B!$IS58-1,"")</f>
        <v/>
      </c>
      <c r="CR58" s="62" t="str">
        <f>IFERROR(Inv_SY_B!CR58/Inv_SY_B!$IS58-1,"")</f>
        <v/>
      </c>
      <c r="CS58" s="62" t="str">
        <f>IFERROR(Inv_SY_B!CS58/Inv_SY_B!$IS58-1,"")</f>
        <v/>
      </c>
      <c r="CT58" s="62" t="str">
        <f>IFERROR(Inv_SY_B!CT58/Inv_SY_B!$IS58-1,"")</f>
        <v/>
      </c>
      <c r="CU58" s="62" t="str">
        <f>IFERROR(Inv_SY_B!CU58/Inv_SY_B!$IS58-1,"")</f>
        <v/>
      </c>
      <c r="CV58" s="62" t="str">
        <f>IFERROR(Inv_SY_B!CV58/Inv_SY_B!$IS58-1,"")</f>
        <v/>
      </c>
      <c r="CW58" s="62" t="str">
        <f>IFERROR(Inv_SY_B!CW58/Inv_SY_B!$IS58-1,"")</f>
        <v/>
      </c>
      <c r="CX58" s="62" t="str">
        <f>IFERROR(Inv_SY_B!CX58/Inv_SY_B!$IS58-1,"")</f>
        <v/>
      </c>
      <c r="CY58" s="62" t="str">
        <f>IFERROR(Inv_SY_B!CY58/Inv_SY_B!$IS58-1,"")</f>
        <v/>
      </c>
      <c r="CZ58" s="62" t="str">
        <f>IFERROR(Inv_SY_B!CZ58/Inv_SY_B!$IS58-1,"")</f>
        <v/>
      </c>
      <c r="DA58" s="62" t="str">
        <f>IFERROR(Inv_SY_B!DA58/Inv_SY_B!$IS58-1,"")</f>
        <v/>
      </c>
      <c r="DB58" s="62" t="str">
        <f>IFERROR(Inv_SY_B!DB58/Inv_SY_B!$IS58-1,"")</f>
        <v/>
      </c>
      <c r="DC58" s="62" t="str">
        <f>IFERROR(Inv_SY_B!DC58/Inv_SY_B!$IS58-1,"")</f>
        <v/>
      </c>
      <c r="DD58" s="62" t="str">
        <f>IFERROR(Inv_SY_B!DD58/Inv_SY_B!$IS58-1,"")</f>
        <v/>
      </c>
      <c r="DE58" s="62" t="str">
        <f>IFERROR(Inv_SY_B!DE58/Inv_SY_B!$IS58-1,"")</f>
        <v/>
      </c>
      <c r="DF58" s="62" t="str">
        <f>IFERROR(Inv_SY_B!DF58/Inv_SY_B!$IS58-1,"")</f>
        <v/>
      </c>
      <c r="DG58" s="62" t="str">
        <f>IFERROR(Inv_SY_B!DG58/Inv_SY_B!$IS58-1,"")</f>
        <v/>
      </c>
      <c r="DH58" s="62" t="str">
        <f>IFERROR(Inv_SY_B!DH58/Inv_SY_B!$IS58-1,"")</f>
        <v/>
      </c>
      <c r="DI58" s="62" t="str">
        <f>IFERROR(Inv_SY_B!DI58/Inv_SY_B!$IS58-1,"")</f>
        <v/>
      </c>
      <c r="DJ58" s="62" t="str">
        <f>IFERROR(Inv_SY_B!DJ58/Inv_SY_B!$IS58-1,"")</f>
        <v/>
      </c>
      <c r="DK58" s="62" t="str">
        <f>IFERROR(Inv_SY_B!DK58/Inv_SY_B!$IS58-1,"")</f>
        <v/>
      </c>
      <c r="DL58" s="62" t="str">
        <f>IFERROR(Inv_SY_B!DL58/Inv_SY_B!$IS58-1,"")</f>
        <v/>
      </c>
      <c r="DM58" s="62" t="str">
        <f>IFERROR(Inv_SY_B!DM58/Inv_SY_B!$IS58-1,"")</f>
        <v/>
      </c>
      <c r="DN58" s="62" t="str">
        <f>IFERROR(Inv_SY_B!DN58/Inv_SY_B!$IS58-1,"")</f>
        <v/>
      </c>
      <c r="DO58" s="62" t="str">
        <f>IFERROR(Inv_SY_B!DO58/Inv_SY_B!$IS58-1,"")</f>
        <v/>
      </c>
      <c r="DP58" s="62" t="str">
        <f>IFERROR(Inv_SY_B!DP58/Inv_SY_B!$IS58-1,"")</f>
        <v/>
      </c>
      <c r="DQ58" s="62" t="str">
        <f>IFERROR(Inv_SY_B!DQ58/Inv_SY_B!$IS58-1,"")</f>
        <v/>
      </c>
      <c r="DR58" s="62" t="str">
        <f>IFERROR(Inv_SY_B!DR58/Inv_SY_B!$IS58-1,"")</f>
        <v/>
      </c>
      <c r="DS58" s="62" t="str">
        <f>IFERROR(Inv_SY_B!DS58/Inv_SY_B!$IS58-1,"")</f>
        <v/>
      </c>
      <c r="DT58" s="62" t="str">
        <f>IFERROR(Inv_SY_B!DT58/Inv_SY_B!$IS58-1,"")</f>
        <v/>
      </c>
      <c r="DU58" s="62" t="str">
        <f>IFERROR(Inv_SY_B!DU58/Inv_SY_B!$IS58-1,"")</f>
        <v/>
      </c>
      <c r="DV58" s="62" t="str">
        <f>IFERROR(Inv_SY_B!DV58/Inv_SY_B!$IS58-1,"")</f>
        <v/>
      </c>
      <c r="DW58" s="62" t="str">
        <f>IFERROR(Inv_SY_B!DW58/Inv_SY_B!$IS58-1,"")</f>
        <v/>
      </c>
      <c r="DX58" s="62" t="str">
        <f>IFERROR(Inv_SY_B!DX58/Inv_SY_B!$IS58-1,"")</f>
        <v/>
      </c>
      <c r="DY58" s="62" t="str">
        <f>IFERROR(Inv_SY_B!DY58/Inv_SY_B!$IS58-1,"")</f>
        <v/>
      </c>
      <c r="DZ58" s="62" t="str">
        <f>IFERROR(Inv_SY_B!DZ58/Inv_SY_B!$IS58-1,"")</f>
        <v/>
      </c>
      <c r="EA58" s="62" t="str">
        <f>IFERROR(Inv_SY_B!EA58/Inv_SY_B!$IS58-1,"")</f>
        <v/>
      </c>
      <c r="EB58" s="62" t="str">
        <f>IFERROR(Inv_SY_B!EB58/Inv_SY_B!$IS58-1,"")</f>
        <v/>
      </c>
      <c r="EC58" s="62" t="str">
        <f>IFERROR(Inv_SY_B!EC58/Inv_SY_B!$IS58-1,"")</f>
        <v/>
      </c>
      <c r="ED58" s="62" t="str">
        <f>IFERROR(Inv_SY_B!ED58/Inv_SY_B!$IS58-1,"")</f>
        <v/>
      </c>
      <c r="EE58" s="62" t="str">
        <f>IFERROR(Inv_SY_B!EE58/Inv_SY_B!$IS58-1,"")</f>
        <v/>
      </c>
      <c r="EF58" s="62" t="str">
        <f>IFERROR(Inv_SY_B!EF58/Inv_SY_B!$IS58-1,"")</f>
        <v/>
      </c>
      <c r="EG58" s="62" t="str">
        <f>IFERROR(Inv_SY_B!EG58/Inv_SY_B!$IS58-1,"")</f>
        <v/>
      </c>
      <c r="EH58" s="62" t="str">
        <f>IFERROR(Inv_SY_B!EH58/Inv_SY_B!$IS58-1,"")</f>
        <v/>
      </c>
      <c r="EI58" s="62" t="str">
        <f>IFERROR(Inv_SY_B!EI58/Inv_SY_B!$IS58-1,"")</f>
        <v/>
      </c>
      <c r="EJ58" s="62" t="str">
        <f>IFERROR(Inv_SY_B!EJ58/Inv_SY_B!$IS58-1,"")</f>
        <v/>
      </c>
      <c r="EK58" s="62" t="str">
        <f>IFERROR(Inv_SY_B!EK58/Inv_SY_B!$IS58-1,"")</f>
        <v/>
      </c>
      <c r="EL58" s="62" t="str">
        <f>IFERROR(Inv_SY_B!EL58/Inv_SY_B!$IS58-1,"")</f>
        <v/>
      </c>
      <c r="EM58" s="62" t="str">
        <f>IFERROR(Inv_SY_B!EM58/Inv_SY_B!$IS58-1,"")</f>
        <v/>
      </c>
      <c r="EN58" s="62" t="str">
        <f>IFERROR(Inv_SY_B!EN58/Inv_SY_B!$IS58-1,"")</f>
        <v/>
      </c>
      <c r="EO58" s="62" t="str">
        <f>IFERROR(Inv_SY_B!EO58/Inv_SY_B!$IS58-1,"")</f>
        <v/>
      </c>
      <c r="EP58" s="62" t="str">
        <f>IFERROR(Inv_SY_B!EP58/Inv_SY_B!$IS58-1,"")</f>
        <v/>
      </c>
      <c r="EQ58" s="62" t="str">
        <f>IFERROR(Inv_SY_B!EQ58/Inv_SY_B!$IS58-1,"")</f>
        <v/>
      </c>
      <c r="ER58" s="62" t="str">
        <f>IFERROR(Inv_SY_B!ER58/Inv_SY_B!$IS58-1,"")</f>
        <v/>
      </c>
      <c r="ES58" s="62" t="str">
        <f>IFERROR(Inv_SY_B!ES58/Inv_SY_B!$IS58-1,"")</f>
        <v/>
      </c>
      <c r="ET58" s="62" t="str">
        <f>IFERROR(Inv_SY_B!ET58/Inv_SY_B!$IS58-1,"")</f>
        <v/>
      </c>
      <c r="EU58" s="62" t="str">
        <f>IFERROR(Inv_SY_B!EU58/Inv_SY_B!$IS58-1,"")</f>
        <v/>
      </c>
      <c r="EV58" s="62" t="str">
        <f>IFERROR(Inv_SY_B!EV58/Inv_SY_B!$IS58-1,"")</f>
        <v/>
      </c>
      <c r="EW58" s="62" t="str">
        <f>IFERROR(Inv_SY_B!EW58/Inv_SY_B!$IS58-1,"")</f>
        <v/>
      </c>
      <c r="EX58" s="62" t="str">
        <f>IFERROR(Inv_SY_B!EX58/Inv_SY_B!$IS58-1,"")</f>
        <v/>
      </c>
      <c r="EY58" s="62" t="str">
        <f>IFERROR(Inv_SY_B!EY58/Inv_SY_B!$IS58-1,"")</f>
        <v/>
      </c>
      <c r="EZ58" s="62" t="str">
        <f>IFERROR(Inv_SY_B!EZ58/Inv_SY_B!$IS58-1,"")</f>
        <v/>
      </c>
      <c r="FA58" s="62" t="str">
        <f>IFERROR(Inv_SY_B!FA58/Inv_SY_B!$IS58-1,"")</f>
        <v/>
      </c>
      <c r="FB58" s="62" t="str">
        <f>IFERROR(Inv_SY_B!FB58/Inv_SY_B!$IS58-1,"")</f>
        <v/>
      </c>
      <c r="FC58" s="62" t="str">
        <f>IFERROR(Inv_SY_B!FC58/Inv_SY_B!$IS58-1,"")</f>
        <v/>
      </c>
      <c r="FD58" s="62" t="str">
        <f>IFERROR(Inv_SY_B!FD58/Inv_SY_B!$IS58-1,"")</f>
        <v/>
      </c>
      <c r="FE58" s="62" t="str">
        <f>IFERROR(Inv_SY_B!FE58/Inv_SY_B!$IS58-1,"")</f>
        <v/>
      </c>
      <c r="FF58" s="62" t="str">
        <f>IFERROR(Inv_SY_B!FF58/Inv_SY_B!$IS58-1,"")</f>
        <v/>
      </c>
      <c r="FG58" s="62" t="str">
        <f>IFERROR(Inv_SY_B!FG58/Inv_SY_B!$IS58-1,"")</f>
        <v/>
      </c>
      <c r="FH58" s="62" t="str">
        <f>IFERROR(Inv_SY_B!FH58/Inv_SY_B!$IS58-1,"")</f>
        <v/>
      </c>
      <c r="FI58" s="62" t="str">
        <f>IFERROR(Inv_SY_B!FI58/Inv_SY_B!$IS58-1,"")</f>
        <v/>
      </c>
      <c r="FJ58" s="62" t="str">
        <f>IFERROR(Inv_SY_B!FJ58/Inv_SY_B!$IS58-1,"")</f>
        <v/>
      </c>
      <c r="FK58" s="62" t="str">
        <f>IFERROR(Inv_SY_B!FK58/Inv_SY_B!$IS58-1,"")</f>
        <v/>
      </c>
      <c r="FL58" s="62" t="str">
        <f>IFERROR(Inv_SY_B!FL58/Inv_SY_B!$IS58-1,"")</f>
        <v/>
      </c>
      <c r="FM58" s="62" t="str">
        <f>IFERROR(Inv_SY_B!FM58/Inv_SY_B!$IS58-1,"")</f>
        <v/>
      </c>
      <c r="FN58" s="62" t="str">
        <f>IFERROR(Inv_SY_B!FN58/Inv_SY_B!$IS58-1,"")</f>
        <v/>
      </c>
      <c r="FO58" s="62" t="str">
        <f>IFERROR(Inv_SY_B!FO58/Inv_SY_B!$IS58-1,"")</f>
        <v/>
      </c>
      <c r="FP58" s="62" t="str">
        <f>IFERROR(Inv_SY_B!FP58/Inv_SY_B!$IS58-1,"")</f>
        <v/>
      </c>
      <c r="FQ58" s="62" t="str">
        <f>IFERROR(Inv_SY_B!FQ58/Inv_SY_B!$IS58-1,"")</f>
        <v/>
      </c>
      <c r="FR58" s="62" t="str">
        <f>IFERROR(Inv_SY_B!FR58/Inv_SY_B!$IS58-1,"")</f>
        <v/>
      </c>
      <c r="FS58" s="62" t="str">
        <f>IFERROR(Inv_SY_B!FS58/Inv_SY_B!$IS58-1,"")</f>
        <v/>
      </c>
      <c r="FT58" s="62" t="str">
        <f>IFERROR(Inv_SY_B!FT58/Inv_SY_B!$IS58-1,"")</f>
        <v/>
      </c>
      <c r="FU58" s="62" t="str">
        <f>IFERROR(Inv_SY_B!FU58/Inv_SY_B!$IS58-1,"")</f>
        <v/>
      </c>
      <c r="FV58" s="62" t="str">
        <f>IFERROR(Inv_SY_B!FV58/Inv_SY_B!$IS58-1,"")</f>
        <v/>
      </c>
      <c r="FW58" s="62" t="str">
        <f>IFERROR(Inv_SY_B!FW58/Inv_SY_B!$IS58-1,"")</f>
        <v/>
      </c>
      <c r="FX58" s="62" t="str">
        <f>IFERROR(Inv_SY_B!FX58/Inv_SY_B!$IS58-1,"")</f>
        <v/>
      </c>
      <c r="FY58" s="62" t="str">
        <f>IFERROR(Inv_SY_B!FY58/Inv_SY_B!$IS58-1,"")</f>
        <v/>
      </c>
      <c r="FZ58" s="62" t="str">
        <f>IFERROR(Inv_SY_B!FZ58/Inv_SY_B!$IS58-1,"")</f>
        <v/>
      </c>
      <c r="GA58" s="62" t="str">
        <f>IFERROR(Inv_SY_B!GA58/Inv_SY_B!$IS58-1,"")</f>
        <v/>
      </c>
      <c r="GB58" s="62" t="str">
        <f>IFERROR(Inv_SY_B!GB58/Inv_SY_B!$IS58-1,"")</f>
        <v/>
      </c>
      <c r="GC58" s="62" t="str">
        <f>IFERROR(Inv_SY_B!GC58/Inv_SY_B!$IS58-1,"")</f>
        <v/>
      </c>
      <c r="GD58" s="62" t="str">
        <f>IFERROR(Inv_SY_B!GD58/Inv_SY_B!$IS58-1,"")</f>
        <v/>
      </c>
      <c r="GE58" s="62" t="str">
        <f>IFERROR(Inv_SY_B!GE58/Inv_SY_B!$IS58-1,"")</f>
        <v/>
      </c>
      <c r="GF58" s="62" t="str">
        <f>IFERROR(Inv_SY_B!GF58/Inv_SY_B!$IS58-1,"")</f>
        <v/>
      </c>
      <c r="GG58" s="62" t="str">
        <f>IFERROR(Inv_SY_B!GG58/Inv_SY_B!$IS58-1,"")</f>
        <v/>
      </c>
      <c r="GH58" s="62" t="str">
        <f>IFERROR(Inv_SY_B!GH58/Inv_SY_B!$IS58-1,"")</f>
        <v/>
      </c>
      <c r="GI58" s="62" t="str">
        <f>IFERROR(Inv_SY_B!GI58/Inv_SY_B!$IS58-1,"")</f>
        <v/>
      </c>
      <c r="GJ58" s="62" t="str">
        <f>IFERROR(Inv_SY_B!GJ58/Inv_SY_B!$IS58-1,"")</f>
        <v/>
      </c>
      <c r="GK58" s="62" t="str">
        <f>IFERROR(Inv_SY_B!GK58/Inv_SY_B!$IS58-1,"")</f>
        <v/>
      </c>
      <c r="GL58" s="62" t="str">
        <f>IFERROR(Inv_SY_B!GL58/Inv_SY_B!$IS58-1,"")</f>
        <v/>
      </c>
      <c r="GM58" s="62" t="str">
        <f>IFERROR(Inv_SY_B!GM58/Inv_SY_B!$IS58-1,"")</f>
        <v/>
      </c>
      <c r="GN58" s="62" t="str">
        <f>IFERROR(Inv_SY_B!GN58/Inv_SY_B!$IS58-1,"")</f>
        <v/>
      </c>
      <c r="GO58" s="62" t="str">
        <f>IFERROR(Inv_SY_B!GO58/Inv_SY_B!$IS58-1,"")</f>
        <v/>
      </c>
      <c r="GP58" s="62" t="str">
        <f>IFERROR(Inv_SY_B!GP58/Inv_SY_B!$IS58-1,"")</f>
        <v/>
      </c>
      <c r="GQ58" s="62" t="str">
        <f>IFERROR(Inv_SY_B!GQ58/Inv_SY_B!$IS58-1,"")</f>
        <v/>
      </c>
      <c r="GR58" s="62" t="str">
        <f>IFERROR(Inv_SY_B!GR58/Inv_SY_B!$IS58-1,"")</f>
        <v/>
      </c>
      <c r="GS58" s="62" t="str">
        <f>IFERROR(Inv_SY_B!GS58/Inv_SY_B!$IS58-1,"")</f>
        <v/>
      </c>
      <c r="GT58" s="62" t="str">
        <f>IFERROR(Inv_SY_B!GT58/Inv_SY_B!$IS58-1,"")</f>
        <v/>
      </c>
      <c r="GU58" s="62" t="str">
        <f>IFERROR(Inv_SY_B!GU58/Inv_SY_B!$IS58-1,"")</f>
        <v/>
      </c>
      <c r="GV58" s="62" t="str">
        <f>IFERROR(Inv_SY_B!GV58/Inv_SY_B!$IS58-1,"")</f>
        <v/>
      </c>
      <c r="GW58" s="62" t="str">
        <f>IFERROR(Inv_SY_B!GW58/Inv_SY_B!$IS58-1,"")</f>
        <v/>
      </c>
      <c r="GX58" s="62" t="str">
        <f>IFERROR(Inv_SY_B!GX58/Inv_SY_B!$IS58-1,"")</f>
        <v/>
      </c>
      <c r="GY58" s="62" t="str">
        <f>IFERROR(Inv_SY_B!GY58/Inv_SY_B!$IS58-1,"")</f>
        <v/>
      </c>
      <c r="GZ58" s="62" t="str">
        <f>IFERROR(Inv_SY_B!GZ58/Inv_SY_B!$IS58-1,"")</f>
        <v/>
      </c>
      <c r="HA58" s="62" t="str">
        <f>IFERROR(Inv_SY_B!HA58/Inv_SY_B!$IS58-1,"")</f>
        <v/>
      </c>
      <c r="HB58" s="62" t="str">
        <f>IFERROR(Inv_SY_B!HB58/Inv_SY_B!$IS58-1,"")</f>
        <v/>
      </c>
      <c r="HC58" s="62" t="str">
        <f>IFERROR(Inv_SY_B!HC58/Inv_SY_B!$IS58-1,"")</f>
        <v/>
      </c>
      <c r="HD58" s="62" t="str">
        <f>IFERROR(Inv_SY_B!HD58/Inv_SY_B!$IS58-1,"")</f>
        <v/>
      </c>
      <c r="HE58" s="62" t="str">
        <f>IFERROR(Inv_SY_B!HE58/Inv_SY_B!$IS58-1,"")</f>
        <v/>
      </c>
      <c r="HF58" s="62" t="str">
        <f>IFERROR(Inv_SY_B!HF58/Inv_SY_B!$IS58-1,"")</f>
        <v/>
      </c>
      <c r="HG58" s="62" t="str">
        <f>IFERROR(Inv_SY_B!HG58/Inv_SY_B!$IS58-1,"")</f>
        <v/>
      </c>
      <c r="HH58" s="62" t="str">
        <f>IFERROR(Inv_SY_B!HH58/Inv_SY_B!$IS58-1,"")</f>
        <v/>
      </c>
      <c r="HI58" s="62" t="str">
        <f>IFERROR(Inv_SY_B!HI58/Inv_SY_B!$IS58-1,"")</f>
        <v/>
      </c>
      <c r="HJ58" s="62" t="str">
        <f>IFERROR(Inv_SY_B!HJ58/Inv_SY_B!$IS58-1,"")</f>
        <v/>
      </c>
      <c r="HK58" s="62" t="str">
        <f>IFERROR(Inv_SY_B!HK58/Inv_SY_B!$IS58-1,"")</f>
        <v/>
      </c>
      <c r="HL58" s="62" t="str">
        <f>IFERROR(Inv_SY_B!HL58/Inv_SY_B!$IS58-1,"")</f>
        <v/>
      </c>
      <c r="HM58" s="62" t="str">
        <f>IFERROR(Inv_SY_B!HM58/Inv_SY_B!$IS58-1,"")</f>
        <v/>
      </c>
      <c r="HN58" s="62" t="str">
        <f>IFERROR(Inv_SY_B!HN58/Inv_SY_B!$IS58-1,"")</f>
        <v/>
      </c>
      <c r="HO58" s="62" t="str">
        <f>IFERROR(Inv_SY_B!HO58/Inv_SY_B!$IS58-1,"")</f>
        <v/>
      </c>
      <c r="HP58" s="62" t="str">
        <f>IFERROR(Inv_SY_B!HP58/Inv_SY_B!$IS58-1,"")</f>
        <v/>
      </c>
      <c r="HQ58" s="62" t="str">
        <f>IFERROR(Inv_SY_B!HQ58/Inv_SY_B!$IS58-1,"")</f>
        <v/>
      </c>
      <c r="HR58" s="62" t="str">
        <f>IFERROR(Inv_SY_B!HR58/Inv_SY_B!$IS58-1,"")</f>
        <v/>
      </c>
      <c r="HS58" s="62" t="str">
        <f>IFERROR(Inv_SY_B!HS58/Inv_SY_B!$IS58-1,"")</f>
        <v/>
      </c>
      <c r="HT58" s="62" t="str">
        <f>IFERROR(Inv_SY_B!HT58/Inv_SY_B!$IS58-1,"")</f>
        <v/>
      </c>
      <c r="HU58" s="62" t="str">
        <f>IFERROR(Inv_SY_B!HU58/Inv_SY_B!$IS58-1,"")</f>
        <v/>
      </c>
      <c r="HV58" s="62" t="str">
        <f>IFERROR(Inv_SY_B!HV58/Inv_SY_B!$IS58-1,"")</f>
        <v/>
      </c>
      <c r="HW58" s="62" t="str">
        <f>IFERROR(Inv_SY_B!HW58/Inv_SY_B!$IS58-1,"")</f>
        <v/>
      </c>
      <c r="HX58" s="62" t="str">
        <f>IFERROR(Inv_SY_B!HX58/Inv_SY_B!$IS58-1,"")</f>
        <v/>
      </c>
      <c r="HY58" s="62" t="str">
        <f>IFERROR(Inv_SY_B!HY58/Inv_SY_B!$IS58-1,"")</f>
        <v/>
      </c>
      <c r="HZ58" s="62" t="str">
        <f>IFERROR(Inv_SY_B!HZ58/Inv_SY_B!$IS58-1,"")</f>
        <v/>
      </c>
      <c r="IA58" s="62" t="str">
        <f>IFERROR(Inv_SY_B!IA58/Inv_SY_B!$IS58-1,"")</f>
        <v/>
      </c>
      <c r="IB58" s="62" t="str">
        <f>IFERROR(Inv_SY_B!IB58/Inv_SY_B!$IS58-1,"")</f>
        <v/>
      </c>
      <c r="IC58" s="62" t="str">
        <f>IFERROR(Inv_SY_B!IC58/Inv_SY_B!$IS58-1,"")</f>
        <v/>
      </c>
      <c r="ID58" s="62" t="str">
        <f>IFERROR(Inv_SY_B!ID58/Inv_SY_B!$IS58-1,"")</f>
        <v/>
      </c>
      <c r="IE58" s="62" t="str">
        <f>IFERROR(Inv_SY_B!IE58/Inv_SY_B!$IS58-1,"")</f>
        <v/>
      </c>
      <c r="IF58" s="62" t="str">
        <f>IFERROR(Inv_SY_B!IF58/Inv_SY_B!$IS58-1,"")</f>
        <v/>
      </c>
      <c r="IG58" s="62" t="str">
        <f>IFERROR(Inv_SY_B!IG58/Inv_SY_B!$IS58-1,"")</f>
        <v/>
      </c>
      <c r="IH58" s="62" t="str">
        <f>IFERROR(Inv_SY_B!IH58/Inv_SY_B!$IS58-1,"")</f>
        <v/>
      </c>
      <c r="II58" s="62" t="str">
        <f>IFERROR(Inv_SY_B!II58/Inv_SY_B!$IS58-1,"")</f>
        <v/>
      </c>
      <c r="IJ58" s="62" t="str">
        <f>IFERROR(Inv_SY_B!IJ58/Inv_SY_B!$IS58-1,"")</f>
        <v/>
      </c>
      <c r="IK58" s="62" t="str">
        <f>IFERROR(Inv_SY_B!IK58/Inv_SY_B!$IS58-1,"")</f>
        <v/>
      </c>
      <c r="IL58" s="62" t="str">
        <f>IFERROR(Inv_SY_B!IL58/Inv_SY_B!$IS58-1,"")</f>
        <v/>
      </c>
      <c r="IM58" s="62" t="str">
        <f>IFERROR(Inv_SY_B!IM58/Inv_SY_B!$IS58-1,"")</f>
        <v/>
      </c>
      <c r="IN58" s="62" t="str">
        <f>IFERROR(Inv_SY_B!IN58/Inv_SY_B!$IS58-1,"")</f>
        <v/>
      </c>
      <c r="IO58" s="62" t="str">
        <f>IFERROR(Inv_SY_B!IO58/Inv_SY_B!$IS58-1,"")</f>
        <v/>
      </c>
      <c r="IP58" s="62" t="str">
        <f>IFERROR(Inv_SY_B!IP58/Inv_SY_B!$IS58-1,"")</f>
        <v/>
      </c>
      <c r="IQ58" s="62" t="str">
        <f>IFERROR(Inv_SY_B!IQ58/Inv_SY_B!$IS58-1,"")</f>
        <v/>
      </c>
      <c r="IR58" s="62" t="str">
        <f>IFERROR(Inv_SY_B!IR58/Inv_SY_B!$IS58-1,"")</f>
        <v/>
      </c>
    </row>
    <row r="59" spans="2:252" x14ac:dyDescent="0.25">
      <c r="B59" s="85">
        <f t="shared" si="1"/>
        <v>45885</v>
      </c>
      <c r="C59" s="62" t="str">
        <f>IFERROR(Inv_SY_B!C59/Inv_SY_B!$IS59-1,"")</f>
        <v/>
      </c>
      <c r="D59" s="62" t="str">
        <f>IFERROR(Inv_SY_B!D59/Inv_SY_B!$IS59-1,"")</f>
        <v/>
      </c>
      <c r="E59" s="62" t="str">
        <f>IFERROR(Inv_SY_B!E59/Inv_SY_B!$IS59-1,"")</f>
        <v/>
      </c>
      <c r="F59" s="62" t="str">
        <f>IFERROR(Inv_SY_B!F59/Inv_SY_B!$IS59-1,"")</f>
        <v/>
      </c>
      <c r="G59" s="62" t="str">
        <f>IFERROR(Inv_SY_B!G59/Inv_SY_B!$IS59-1,"")</f>
        <v/>
      </c>
      <c r="H59" s="62" t="str">
        <f>IFERROR(Inv_SY_B!H59/Inv_SY_B!$IS59-1,"")</f>
        <v/>
      </c>
      <c r="I59" s="62" t="str">
        <f>IFERROR(Inv_SY_B!I59/Inv_SY_B!$IS59-1,"")</f>
        <v/>
      </c>
      <c r="J59" s="62" t="str">
        <f>IFERROR(Inv_SY_B!J59/Inv_SY_B!$IS59-1,"")</f>
        <v/>
      </c>
      <c r="K59" s="62" t="str">
        <f>IFERROR(Inv_SY_B!K59/Inv_SY_B!$IS59-1,"")</f>
        <v/>
      </c>
      <c r="L59" s="62" t="str">
        <f>IFERROR(Inv_SY_B!L59/Inv_SY_B!$IS59-1,"")</f>
        <v/>
      </c>
      <c r="M59" s="62" t="str">
        <f>IFERROR(Inv_SY_B!M59/Inv_SY_B!$IS59-1,"")</f>
        <v/>
      </c>
      <c r="N59" s="62" t="str">
        <f>IFERROR(Inv_SY_B!N59/Inv_SY_B!$IS59-1,"")</f>
        <v/>
      </c>
      <c r="O59" s="62" t="str">
        <f>IFERROR(Inv_SY_B!O59/Inv_SY_B!$IS59-1,"")</f>
        <v/>
      </c>
      <c r="P59" s="62" t="str">
        <f>IFERROR(Inv_SY_B!P59/Inv_SY_B!$IS59-1,"")</f>
        <v/>
      </c>
      <c r="Q59" s="62" t="str">
        <f>IFERROR(Inv_SY_B!Q59/Inv_SY_B!$IS59-1,"")</f>
        <v/>
      </c>
      <c r="R59" s="62" t="str">
        <f>IFERROR(Inv_SY_B!R59/Inv_SY_B!$IS59-1,"")</f>
        <v/>
      </c>
      <c r="S59" s="62" t="str">
        <f>IFERROR(Inv_SY_B!S59/Inv_SY_B!$IS59-1,"")</f>
        <v/>
      </c>
      <c r="T59" s="62" t="str">
        <f>IFERROR(Inv_SY_B!T59/Inv_SY_B!$IS59-1,"")</f>
        <v/>
      </c>
      <c r="U59" s="62" t="str">
        <f>IFERROR(Inv_SY_B!U59/Inv_SY_B!$IS59-1,"")</f>
        <v/>
      </c>
      <c r="V59" s="62" t="str">
        <f>IFERROR(Inv_SY_B!V59/Inv_SY_B!$IS59-1,"")</f>
        <v/>
      </c>
      <c r="W59" s="62" t="str">
        <f>IFERROR(Inv_SY_B!W59/Inv_SY_B!$IS59-1,"")</f>
        <v/>
      </c>
      <c r="X59" s="62" t="str">
        <f>IFERROR(Inv_SY_B!X59/Inv_SY_B!$IS59-1,"")</f>
        <v/>
      </c>
      <c r="Y59" s="62" t="str">
        <f>IFERROR(Inv_SY_B!Y59/Inv_SY_B!$IS59-1,"")</f>
        <v/>
      </c>
      <c r="Z59" s="62" t="str">
        <f>IFERROR(Inv_SY_B!Z59/Inv_SY_B!$IS59-1,"")</f>
        <v/>
      </c>
      <c r="AA59" s="62" t="str">
        <f>IFERROR(Inv_SY_B!AA59/Inv_SY_B!$IS59-1,"")</f>
        <v/>
      </c>
      <c r="AB59" s="62" t="str">
        <f>IFERROR(Inv_SY_B!AB59/Inv_SY_B!$IS59-1,"")</f>
        <v/>
      </c>
      <c r="AC59" s="62" t="str">
        <f>IFERROR(Inv_SY_B!AC59/Inv_SY_B!$IS59-1,"")</f>
        <v/>
      </c>
      <c r="AD59" s="62" t="str">
        <f>IFERROR(Inv_SY_B!AD59/Inv_SY_B!$IS59-1,"")</f>
        <v/>
      </c>
      <c r="AE59" s="62" t="str">
        <f>IFERROR(Inv_SY_B!AE59/Inv_SY_B!$IS59-1,"")</f>
        <v/>
      </c>
      <c r="AF59" s="62" t="str">
        <f>IFERROR(Inv_SY_B!AF59/Inv_SY_B!$IS59-1,"")</f>
        <v/>
      </c>
      <c r="AG59" s="62" t="str">
        <f>IFERROR(Inv_SY_B!AG59/Inv_SY_B!$IS59-1,"")</f>
        <v/>
      </c>
      <c r="AH59" s="62" t="str">
        <f>IFERROR(Inv_SY_B!AH59/Inv_SY_B!$IS59-1,"")</f>
        <v/>
      </c>
      <c r="AI59" s="62" t="str">
        <f>IFERROR(Inv_SY_B!AI59/Inv_SY_B!$IS59-1,"")</f>
        <v/>
      </c>
      <c r="AJ59" s="62" t="str">
        <f>IFERROR(Inv_SY_B!AJ59/Inv_SY_B!$IS59-1,"")</f>
        <v/>
      </c>
      <c r="AK59" s="62" t="str">
        <f>IFERROR(Inv_SY_B!AK59/Inv_SY_B!$IS59-1,"")</f>
        <v/>
      </c>
      <c r="AL59" s="62" t="str">
        <f>IFERROR(Inv_SY_B!AL59/Inv_SY_B!$IS59-1,"")</f>
        <v/>
      </c>
      <c r="AM59" s="62" t="str">
        <f>IFERROR(Inv_SY_B!AM59/Inv_SY_B!$IS59-1,"")</f>
        <v/>
      </c>
      <c r="AN59" s="62" t="str">
        <f>IFERROR(Inv_SY_B!AN59/Inv_SY_B!$IS59-1,"")</f>
        <v/>
      </c>
      <c r="AO59" s="62" t="str">
        <f>IFERROR(Inv_SY_B!AO59/Inv_SY_B!$IS59-1,"")</f>
        <v/>
      </c>
      <c r="AP59" s="62" t="str">
        <f>IFERROR(Inv_SY_B!AP59/Inv_SY_B!$IS59-1,"")</f>
        <v/>
      </c>
      <c r="AQ59" s="62" t="str">
        <f>IFERROR(Inv_SY_B!AQ59/Inv_SY_B!$IS59-1,"")</f>
        <v/>
      </c>
      <c r="AR59" s="62" t="str">
        <f>IFERROR(Inv_SY_B!AR59/Inv_SY_B!$IS59-1,"")</f>
        <v/>
      </c>
      <c r="AS59" s="62" t="str">
        <f>IFERROR(Inv_SY_B!AS59/Inv_SY_B!$IS59-1,"")</f>
        <v/>
      </c>
      <c r="AT59" s="62" t="str">
        <f>IFERROR(Inv_SY_B!AT59/Inv_SY_B!$IS59-1,"")</f>
        <v/>
      </c>
      <c r="AU59" s="62" t="str">
        <f>IFERROR(Inv_SY_B!AU59/Inv_SY_B!$IS59-1,"")</f>
        <v/>
      </c>
      <c r="AV59" s="62" t="str">
        <f>IFERROR(Inv_SY_B!AV59/Inv_SY_B!$IS59-1,"")</f>
        <v/>
      </c>
      <c r="AW59" s="62" t="str">
        <f>IFERROR(Inv_SY_B!AW59/Inv_SY_B!$IS59-1,"")</f>
        <v/>
      </c>
      <c r="AX59" s="62" t="str">
        <f>IFERROR(Inv_SY_B!AX59/Inv_SY_B!$IS59-1,"")</f>
        <v/>
      </c>
      <c r="AY59" s="62" t="str">
        <f>IFERROR(Inv_SY_B!AY59/Inv_SY_B!$IS59-1,"")</f>
        <v/>
      </c>
      <c r="AZ59" s="62" t="str">
        <f>IFERROR(Inv_SY_B!AZ59/Inv_SY_B!$IS59-1,"")</f>
        <v/>
      </c>
      <c r="BA59" s="62" t="str">
        <f>IFERROR(Inv_SY_B!BA59/Inv_SY_B!$IS59-1,"")</f>
        <v/>
      </c>
      <c r="BB59" s="62" t="str">
        <f>IFERROR(Inv_SY_B!BB59/Inv_SY_B!$IS59-1,"")</f>
        <v/>
      </c>
      <c r="BC59" s="62" t="str">
        <f>IFERROR(Inv_SY_B!BC59/Inv_SY_B!$IS59-1,"")</f>
        <v/>
      </c>
      <c r="BD59" s="62" t="str">
        <f>IFERROR(Inv_SY_B!BD59/Inv_SY_B!$IS59-1,"")</f>
        <v/>
      </c>
      <c r="BE59" s="62" t="str">
        <f>IFERROR(Inv_SY_B!BE59/Inv_SY_B!$IS59-1,"")</f>
        <v/>
      </c>
      <c r="BF59" s="62" t="str">
        <f>IFERROR(Inv_SY_B!BF59/Inv_SY_B!$IS59-1,"")</f>
        <v/>
      </c>
      <c r="BG59" s="62" t="str">
        <f>IFERROR(Inv_SY_B!BG59/Inv_SY_B!$IS59-1,"")</f>
        <v/>
      </c>
      <c r="BH59" s="62" t="str">
        <f>IFERROR(Inv_SY_B!BH59/Inv_SY_B!$IS59-1,"")</f>
        <v/>
      </c>
      <c r="BI59" s="62" t="str">
        <f>IFERROR(Inv_SY_B!BI59/Inv_SY_B!$IS59-1,"")</f>
        <v/>
      </c>
      <c r="BJ59" s="62" t="str">
        <f>IFERROR(Inv_SY_B!BJ59/Inv_SY_B!$IS59-1,"")</f>
        <v/>
      </c>
      <c r="BK59" s="62" t="str">
        <f>IFERROR(Inv_SY_B!BK59/Inv_SY_B!$IS59-1,"")</f>
        <v/>
      </c>
      <c r="BL59" s="62" t="str">
        <f>IFERROR(Inv_SY_B!BL59/Inv_SY_B!$IS59-1,"")</f>
        <v/>
      </c>
      <c r="BM59" s="62" t="str">
        <f>IFERROR(Inv_SY_B!BM59/Inv_SY_B!$IS59-1,"")</f>
        <v/>
      </c>
      <c r="BN59" s="62" t="str">
        <f>IFERROR(Inv_SY_B!BN59/Inv_SY_B!$IS59-1,"")</f>
        <v/>
      </c>
      <c r="BO59" s="62" t="str">
        <f>IFERROR(Inv_SY_B!BO59/Inv_SY_B!$IS59-1,"")</f>
        <v/>
      </c>
      <c r="BP59" s="62" t="str">
        <f>IFERROR(Inv_SY_B!BP59/Inv_SY_B!$IS59-1,"")</f>
        <v/>
      </c>
      <c r="BQ59" s="62" t="str">
        <f>IFERROR(Inv_SY_B!BQ59/Inv_SY_B!$IS59-1,"")</f>
        <v/>
      </c>
      <c r="BR59" s="62" t="str">
        <f>IFERROR(Inv_SY_B!BR59/Inv_SY_B!$IS59-1,"")</f>
        <v/>
      </c>
      <c r="BS59" s="62" t="str">
        <f>IFERROR(Inv_SY_B!BS59/Inv_SY_B!$IS59-1,"")</f>
        <v/>
      </c>
      <c r="BT59" s="62" t="str">
        <f>IFERROR(Inv_SY_B!BT59/Inv_SY_B!$IS59-1,"")</f>
        <v/>
      </c>
      <c r="BU59" s="62" t="str">
        <f>IFERROR(Inv_SY_B!BU59/Inv_SY_B!$IS59-1,"")</f>
        <v/>
      </c>
      <c r="BV59" s="62" t="str">
        <f>IFERROR(Inv_SY_B!BV59/Inv_SY_B!$IS59-1,"")</f>
        <v/>
      </c>
      <c r="BW59" s="62" t="str">
        <f>IFERROR(Inv_SY_B!BW59/Inv_SY_B!$IS59-1,"")</f>
        <v/>
      </c>
      <c r="BX59" s="62" t="str">
        <f>IFERROR(Inv_SY_B!BX59/Inv_SY_B!$IS59-1,"")</f>
        <v/>
      </c>
      <c r="BY59" s="62" t="str">
        <f>IFERROR(Inv_SY_B!BY59/Inv_SY_B!$IS59-1,"")</f>
        <v/>
      </c>
      <c r="BZ59" s="62" t="str">
        <f>IFERROR(Inv_SY_B!BZ59/Inv_SY_B!$IS59-1,"")</f>
        <v/>
      </c>
      <c r="CA59" s="62" t="str">
        <f>IFERROR(Inv_SY_B!CA59/Inv_SY_B!$IS59-1,"")</f>
        <v/>
      </c>
      <c r="CB59" s="62" t="str">
        <f>IFERROR(Inv_SY_B!CB59/Inv_SY_B!$IS59-1,"")</f>
        <v/>
      </c>
      <c r="CC59" s="62" t="str">
        <f>IFERROR(Inv_SY_B!CC59/Inv_SY_B!$IS59-1,"")</f>
        <v/>
      </c>
      <c r="CD59" s="62" t="str">
        <f>IFERROR(Inv_SY_B!CD59/Inv_SY_B!$IS59-1,"")</f>
        <v/>
      </c>
      <c r="CE59" s="62" t="str">
        <f>IFERROR(Inv_SY_B!CE59/Inv_SY_B!$IS59-1,"")</f>
        <v/>
      </c>
      <c r="CF59" s="62" t="str">
        <f>IFERROR(Inv_SY_B!CF59/Inv_SY_B!$IS59-1,"")</f>
        <v/>
      </c>
      <c r="CG59" s="62" t="str">
        <f>IFERROR(Inv_SY_B!CG59/Inv_SY_B!$IS59-1,"")</f>
        <v/>
      </c>
      <c r="CH59" s="62" t="str">
        <f>IFERROR(Inv_SY_B!CH59/Inv_SY_B!$IS59-1,"")</f>
        <v/>
      </c>
      <c r="CI59" s="62" t="str">
        <f>IFERROR(Inv_SY_B!CI59/Inv_SY_B!$IS59-1,"")</f>
        <v/>
      </c>
      <c r="CJ59" s="62" t="str">
        <f>IFERROR(Inv_SY_B!CJ59/Inv_SY_B!$IS59-1,"")</f>
        <v/>
      </c>
      <c r="CK59" s="62" t="str">
        <f>IFERROR(Inv_SY_B!CK59/Inv_SY_B!$IS59-1,"")</f>
        <v/>
      </c>
      <c r="CL59" s="62" t="str">
        <f>IFERROR(Inv_SY_B!CL59/Inv_SY_B!$IS59-1,"")</f>
        <v/>
      </c>
      <c r="CM59" s="62" t="str">
        <f>IFERROR(Inv_SY_B!CM59/Inv_SY_B!$IS59-1,"")</f>
        <v/>
      </c>
      <c r="CN59" s="62" t="str">
        <f>IFERROR(Inv_SY_B!CN59/Inv_SY_B!$IS59-1,"")</f>
        <v/>
      </c>
      <c r="CO59" s="62" t="str">
        <f>IFERROR(Inv_SY_B!CO59/Inv_SY_B!$IS59-1,"")</f>
        <v/>
      </c>
      <c r="CP59" s="62" t="str">
        <f>IFERROR(Inv_SY_B!CP59/Inv_SY_B!$IS59-1,"")</f>
        <v/>
      </c>
      <c r="CQ59" s="62" t="str">
        <f>IFERROR(Inv_SY_B!CQ59/Inv_SY_B!$IS59-1,"")</f>
        <v/>
      </c>
      <c r="CR59" s="62" t="str">
        <f>IFERROR(Inv_SY_B!CR59/Inv_SY_B!$IS59-1,"")</f>
        <v/>
      </c>
      <c r="CS59" s="62" t="str">
        <f>IFERROR(Inv_SY_B!CS59/Inv_SY_B!$IS59-1,"")</f>
        <v/>
      </c>
      <c r="CT59" s="62" t="str">
        <f>IFERROR(Inv_SY_B!CT59/Inv_SY_B!$IS59-1,"")</f>
        <v/>
      </c>
      <c r="CU59" s="62" t="str">
        <f>IFERROR(Inv_SY_B!CU59/Inv_SY_B!$IS59-1,"")</f>
        <v/>
      </c>
      <c r="CV59" s="62" t="str">
        <f>IFERROR(Inv_SY_B!CV59/Inv_SY_B!$IS59-1,"")</f>
        <v/>
      </c>
      <c r="CW59" s="62" t="str">
        <f>IFERROR(Inv_SY_B!CW59/Inv_SY_B!$IS59-1,"")</f>
        <v/>
      </c>
      <c r="CX59" s="62" t="str">
        <f>IFERROR(Inv_SY_B!CX59/Inv_SY_B!$IS59-1,"")</f>
        <v/>
      </c>
      <c r="CY59" s="62" t="str">
        <f>IFERROR(Inv_SY_B!CY59/Inv_SY_B!$IS59-1,"")</f>
        <v/>
      </c>
      <c r="CZ59" s="62" t="str">
        <f>IFERROR(Inv_SY_B!CZ59/Inv_SY_B!$IS59-1,"")</f>
        <v/>
      </c>
      <c r="DA59" s="62" t="str">
        <f>IFERROR(Inv_SY_B!DA59/Inv_SY_B!$IS59-1,"")</f>
        <v/>
      </c>
      <c r="DB59" s="62" t="str">
        <f>IFERROR(Inv_SY_B!DB59/Inv_SY_B!$IS59-1,"")</f>
        <v/>
      </c>
      <c r="DC59" s="62" t="str">
        <f>IFERROR(Inv_SY_B!DC59/Inv_SY_B!$IS59-1,"")</f>
        <v/>
      </c>
      <c r="DD59" s="62" t="str">
        <f>IFERROR(Inv_SY_B!DD59/Inv_SY_B!$IS59-1,"")</f>
        <v/>
      </c>
      <c r="DE59" s="62" t="str">
        <f>IFERROR(Inv_SY_B!DE59/Inv_SY_B!$IS59-1,"")</f>
        <v/>
      </c>
      <c r="DF59" s="62" t="str">
        <f>IFERROR(Inv_SY_B!DF59/Inv_SY_B!$IS59-1,"")</f>
        <v/>
      </c>
      <c r="DG59" s="62" t="str">
        <f>IFERROR(Inv_SY_B!DG59/Inv_SY_B!$IS59-1,"")</f>
        <v/>
      </c>
      <c r="DH59" s="62" t="str">
        <f>IFERROR(Inv_SY_B!DH59/Inv_SY_B!$IS59-1,"")</f>
        <v/>
      </c>
      <c r="DI59" s="62" t="str">
        <f>IFERROR(Inv_SY_B!DI59/Inv_SY_B!$IS59-1,"")</f>
        <v/>
      </c>
      <c r="DJ59" s="62" t="str">
        <f>IFERROR(Inv_SY_B!DJ59/Inv_SY_B!$IS59-1,"")</f>
        <v/>
      </c>
      <c r="DK59" s="62" t="str">
        <f>IFERROR(Inv_SY_B!DK59/Inv_SY_B!$IS59-1,"")</f>
        <v/>
      </c>
      <c r="DL59" s="62" t="str">
        <f>IFERROR(Inv_SY_B!DL59/Inv_SY_B!$IS59-1,"")</f>
        <v/>
      </c>
      <c r="DM59" s="62" t="str">
        <f>IFERROR(Inv_SY_B!DM59/Inv_SY_B!$IS59-1,"")</f>
        <v/>
      </c>
      <c r="DN59" s="62" t="str">
        <f>IFERROR(Inv_SY_B!DN59/Inv_SY_B!$IS59-1,"")</f>
        <v/>
      </c>
      <c r="DO59" s="62" t="str">
        <f>IFERROR(Inv_SY_B!DO59/Inv_SY_B!$IS59-1,"")</f>
        <v/>
      </c>
      <c r="DP59" s="62" t="str">
        <f>IFERROR(Inv_SY_B!DP59/Inv_SY_B!$IS59-1,"")</f>
        <v/>
      </c>
      <c r="DQ59" s="62" t="str">
        <f>IFERROR(Inv_SY_B!DQ59/Inv_SY_B!$IS59-1,"")</f>
        <v/>
      </c>
      <c r="DR59" s="62" t="str">
        <f>IFERROR(Inv_SY_B!DR59/Inv_SY_B!$IS59-1,"")</f>
        <v/>
      </c>
      <c r="DS59" s="62" t="str">
        <f>IFERROR(Inv_SY_B!DS59/Inv_SY_B!$IS59-1,"")</f>
        <v/>
      </c>
      <c r="DT59" s="62" t="str">
        <f>IFERROR(Inv_SY_B!DT59/Inv_SY_B!$IS59-1,"")</f>
        <v/>
      </c>
      <c r="DU59" s="62" t="str">
        <f>IFERROR(Inv_SY_B!DU59/Inv_SY_B!$IS59-1,"")</f>
        <v/>
      </c>
      <c r="DV59" s="62" t="str">
        <f>IFERROR(Inv_SY_B!DV59/Inv_SY_B!$IS59-1,"")</f>
        <v/>
      </c>
      <c r="DW59" s="62" t="str">
        <f>IFERROR(Inv_SY_B!DW59/Inv_SY_B!$IS59-1,"")</f>
        <v/>
      </c>
      <c r="DX59" s="62" t="str">
        <f>IFERROR(Inv_SY_B!DX59/Inv_SY_B!$IS59-1,"")</f>
        <v/>
      </c>
      <c r="DY59" s="62" t="str">
        <f>IFERROR(Inv_SY_B!DY59/Inv_SY_B!$IS59-1,"")</f>
        <v/>
      </c>
      <c r="DZ59" s="62" t="str">
        <f>IFERROR(Inv_SY_B!DZ59/Inv_SY_B!$IS59-1,"")</f>
        <v/>
      </c>
      <c r="EA59" s="62" t="str">
        <f>IFERROR(Inv_SY_B!EA59/Inv_SY_B!$IS59-1,"")</f>
        <v/>
      </c>
      <c r="EB59" s="62" t="str">
        <f>IFERROR(Inv_SY_B!EB59/Inv_SY_B!$IS59-1,"")</f>
        <v/>
      </c>
      <c r="EC59" s="62" t="str">
        <f>IFERROR(Inv_SY_B!EC59/Inv_SY_B!$IS59-1,"")</f>
        <v/>
      </c>
      <c r="ED59" s="62" t="str">
        <f>IFERROR(Inv_SY_B!ED59/Inv_SY_B!$IS59-1,"")</f>
        <v/>
      </c>
      <c r="EE59" s="62" t="str">
        <f>IFERROR(Inv_SY_B!EE59/Inv_SY_B!$IS59-1,"")</f>
        <v/>
      </c>
      <c r="EF59" s="62" t="str">
        <f>IFERROR(Inv_SY_B!EF59/Inv_SY_B!$IS59-1,"")</f>
        <v/>
      </c>
      <c r="EG59" s="62" t="str">
        <f>IFERROR(Inv_SY_B!EG59/Inv_SY_B!$IS59-1,"")</f>
        <v/>
      </c>
      <c r="EH59" s="62" t="str">
        <f>IFERROR(Inv_SY_B!EH59/Inv_SY_B!$IS59-1,"")</f>
        <v/>
      </c>
      <c r="EI59" s="62" t="str">
        <f>IFERROR(Inv_SY_B!EI59/Inv_SY_B!$IS59-1,"")</f>
        <v/>
      </c>
      <c r="EJ59" s="62" t="str">
        <f>IFERROR(Inv_SY_B!EJ59/Inv_SY_B!$IS59-1,"")</f>
        <v/>
      </c>
      <c r="EK59" s="62" t="str">
        <f>IFERROR(Inv_SY_B!EK59/Inv_SY_B!$IS59-1,"")</f>
        <v/>
      </c>
      <c r="EL59" s="62" t="str">
        <f>IFERROR(Inv_SY_B!EL59/Inv_SY_B!$IS59-1,"")</f>
        <v/>
      </c>
      <c r="EM59" s="62" t="str">
        <f>IFERROR(Inv_SY_B!EM59/Inv_SY_B!$IS59-1,"")</f>
        <v/>
      </c>
      <c r="EN59" s="62" t="str">
        <f>IFERROR(Inv_SY_B!EN59/Inv_SY_B!$IS59-1,"")</f>
        <v/>
      </c>
      <c r="EO59" s="62" t="str">
        <f>IFERROR(Inv_SY_B!EO59/Inv_SY_B!$IS59-1,"")</f>
        <v/>
      </c>
      <c r="EP59" s="62" t="str">
        <f>IFERROR(Inv_SY_B!EP59/Inv_SY_B!$IS59-1,"")</f>
        <v/>
      </c>
      <c r="EQ59" s="62" t="str">
        <f>IFERROR(Inv_SY_B!EQ59/Inv_SY_B!$IS59-1,"")</f>
        <v/>
      </c>
      <c r="ER59" s="62" t="str">
        <f>IFERROR(Inv_SY_B!ER59/Inv_SY_B!$IS59-1,"")</f>
        <v/>
      </c>
      <c r="ES59" s="62" t="str">
        <f>IFERROR(Inv_SY_B!ES59/Inv_SY_B!$IS59-1,"")</f>
        <v/>
      </c>
      <c r="ET59" s="62" t="str">
        <f>IFERROR(Inv_SY_B!ET59/Inv_SY_B!$IS59-1,"")</f>
        <v/>
      </c>
      <c r="EU59" s="62" t="str">
        <f>IFERROR(Inv_SY_B!EU59/Inv_SY_B!$IS59-1,"")</f>
        <v/>
      </c>
      <c r="EV59" s="62" t="str">
        <f>IFERROR(Inv_SY_B!EV59/Inv_SY_B!$IS59-1,"")</f>
        <v/>
      </c>
      <c r="EW59" s="62" t="str">
        <f>IFERROR(Inv_SY_B!EW59/Inv_SY_B!$IS59-1,"")</f>
        <v/>
      </c>
      <c r="EX59" s="62" t="str">
        <f>IFERROR(Inv_SY_B!EX59/Inv_SY_B!$IS59-1,"")</f>
        <v/>
      </c>
      <c r="EY59" s="62" t="str">
        <f>IFERROR(Inv_SY_B!EY59/Inv_SY_B!$IS59-1,"")</f>
        <v/>
      </c>
      <c r="EZ59" s="62" t="str">
        <f>IFERROR(Inv_SY_B!EZ59/Inv_SY_B!$IS59-1,"")</f>
        <v/>
      </c>
      <c r="FA59" s="62" t="str">
        <f>IFERROR(Inv_SY_B!FA59/Inv_SY_B!$IS59-1,"")</f>
        <v/>
      </c>
      <c r="FB59" s="62" t="str">
        <f>IFERROR(Inv_SY_B!FB59/Inv_SY_B!$IS59-1,"")</f>
        <v/>
      </c>
      <c r="FC59" s="62" t="str">
        <f>IFERROR(Inv_SY_B!FC59/Inv_SY_B!$IS59-1,"")</f>
        <v/>
      </c>
      <c r="FD59" s="62" t="str">
        <f>IFERROR(Inv_SY_B!FD59/Inv_SY_B!$IS59-1,"")</f>
        <v/>
      </c>
      <c r="FE59" s="62" t="str">
        <f>IFERROR(Inv_SY_B!FE59/Inv_SY_B!$IS59-1,"")</f>
        <v/>
      </c>
      <c r="FF59" s="62" t="str">
        <f>IFERROR(Inv_SY_B!FF59/Inv_SY_B!$IS59-1,"")</f>
        <v/>
      </c>
      <c r="FG59" s="62" t="str">
        <f>IFERROR(Inv_SY_B!FG59/Inv_SY_B!$IS59-1,"")</f>
        <v/>
      </c>
      <c r="FH59" s="62" t="str">
        <f>IFERROR(Inv_SY_B!FH59/Inv_SY_B!$IS59-1,"")</f>
        <v/>
      </c>
      <c r="FI59" s="62" t="str">
        <f>IFERROR(Inv_SY_B!FI59/Inv_SY_B!$IS59-1,"")</f>
        <v/>
      </c>
      <c r="FJ59" s="62" t="str">
        <f>IFERROR(Inv_SY_B!FJ59/Inv_SY_B!$IS59-1,"")</f>
        <v/>
      </c>
      <c r="FK59" s="62" t="str">
        <f>IFERROR(Inv_SY_B!FK59/Inv_SY_B!$IS59-1,"")</f>
        <v/>
      </c>
      <c r="FL59" s="62" t="str">
        <f>IFERROR(Inv_SY_B!FL59/Inv_SY_B!$IS59-1,"")</f>
        <v/>
      </c>
      <c r="FM59" s="62" t="str">
        <f>IFERROR(Inv_SY_B!FM59/Inv_SY_B!$IS59-1,"")</f>
        <v/>
      </c>
      <c r="FN59" s="62" t="str">
        <f>IFERROR(Inv_SY_B!FN59/Inv_SY_B!$IS59-1,"")</f>
        <v/>
      </c>
      <c r="FO59" s="62" t="str">
        <f>IFERROR(Inv_SY_B!FO59/Inv_SY_B!$IS59-1,"")</f>
        <v/>
      </c>
      <c r="FP59" s="62" t="str">
        <f>IFERROR(Inv_SY_B!FP59/Inv_SY_B!$IS59-1,"")</f>
        <v/>
      </c>
      <c r="FQ59" s="62" t="str">
        <f>IFERROR(Inv_SY_B!FQ59/Inv_SY_B!$IS59-1,"")</f>
        <v/>
      </c>
      <c r="FR59" s="62" t="str">
        <f>IFERROR(Inv_SY_B!FR59/Inv_SY_B!$IS59-1,"")</f>
        <v/>
      </c>
      <c r="FS59" s="62" t="str">
        <f>IFERROR(Inv_SY_B!FS59/Inv_SY_B!$IS59-1,"")</f>
        <v/>
      </c>
      <c r="FT59" s="62" t="str">
        <f>IFERROR(Inv_SY_B!FT59/Inv_SY_B!$IS59-1,"")</f>
        <v/>
      </c>
      <c r="FU59" s="62" t="str">
        <f>IFERROR(Inv_SY_B!FU59/Inv_SY_B!$IS59-1,"")</f>
        <v/>
      </c>
      <c r="FV59" s="62" t="str">
        <f>IFERROR(Inv_SY_B!FV59/Inv_SY_B!$IS59-1,"")</f>
        <v/>
      </c>
      <c r="FW59" s="62" t="str">
        <f>IFERROR(Inv_SY_B!FW59/Inv_SY_B!$IS59-1,"")</f>
        <v/>
      </c>
      <c r="FX59" s="62" t="str">
        <f>IFERROR(Inv_SY_B!FX59/Inv_SY_B!$IS59-1,"")</f>
        <v/>
      </c>
      <c r="FY59" s="62" t="str">
        <f>IFERROR(Inv_SY_B!FY59/Inv_SY_B!$IS59-1,"")</f>
        <v/>
      </c>
      <c r="FZ59" s="62" t="str">
        <f>IFERROR(Inv_SY_B!FZ59/Inv_SY_B!$IS59-1,"")</f>
        <v/>
      </c>
      <c r="GA59" s="62" t="str">
        <f>IFERROR(Inv_SY_B!GA59/Inv_SY_B!$IS59-1,"")</f>
        <v/>
      </c>
      <c r="GB59" s="62" t="str">
        <f>IFERROR(Inv_SY_B!GB59/Inv_SY_B!$IS59-1,"")</f>
        <v/>
      </c>
      <c r="GC59" s="62" t="str">
        <f>IFERROR(Inv_SY_B!GC59/Inv_SY_B!$IS59-1,"")</f>
        <v/>
      </c>
      <c r="GD59" s="62" t="str">
        <f>IFERROR(Inv_SY_B!GD59/Inv_SY_B!$IS59-1,"")</f>
        <v/>
      </c>
      <c r="GE59" s="62" t="str">
        <f>IFERROR(Inv_SY_B!GE59/Inv_SY_B!$IS59-1,"")</f>
        <v/>
      </c>
      <c r="GF59" s="62" t="str">
        <f>IFERROR(Inv_SY_B!GF59/Inv_SY_B!$IS59-1,"")</f>
        <v/>
      </c>
      <c r="GG59" s="62" t="str">
        <f>IFERROR(Inv_SY_B!GG59/Inv_SY_B!$IS59-1,"")</f>
        <v/>
      </c>
      <c r="GH59" s="62" t="str">
        <f>IFERROR(Inv_SY_B!GH59/Inv_SY_B!$IS59-1,"")</f>
        <v/>
      </c>
      <c r="GI59" s="62" t="str">
        <f>IFERROR(Inv_SY_B!GI59/Inv_SY_B!$IS59-1,"")</f>
        <v/>
      </c>
      <c r="GJ59" s="62" t="str">
        <f>IFERROR(Inv_SY_B!GJ59/Inv_SY_B!$IS59-1,"")</f>
        <v/>
      </c>
      <c r="GK59" s="62" t="str">
        <f>IFERROR(Inv_SY_B!GK59/Inv_SY_B!$IS59-1,"")</f>
        <v/>
      </c>
      <c r="GL59" s="62" t="str">
        <f>IFERROR(Inv_SY_B!GL59/Inv_SY_B!$IS59-1,"")</f>
        <v/>
      </c>
      <c r="GM59" s="62" t="str">
        <f>IFERROR(Inv_SY_B!GM59/Inv_SY_B!$IS59-1,"")</f>
        <v/>
      </c>
      <c r="GN59" s="62" t="str">
        <f>IFERROR(Inv_SY_B!GN59/Inv_SY_B!$IS59-1,"")</f>
        <v/>
      </c>
      <c r="GO59" s="62" t="str">
        <f>IFERROR(Inv_SY_B!GO59/Inv_SY_B!$IS59-1,"")</f>
        <v/>
      </c>
      <c r="GP59" s="62" t="str">
        <f>IFERROR(Inv_SY_B!GP59/Inv_SY_B!$IS59-1,"")</f>
        <v/>
      </c>
      <c r="GQ59" s="62" t="str">
        <f>IFERROR(Inv_SY_B!GQ59/Inv_SY_B!$IS59-1,"")</f>
        <v/>
      </c>
      <c r="GR59" s="62" t="str">
        <f>IFERROR(Inv_SY_B!GR59/Inv_SY_B!$IS59-1,"")</f>
        <v/>
      </c>
      <c r="GS59" s="62" t="str">
        <f>IFERROR(Inv_SY_B!GS59/Inv_SY_B!$IS59-1,"")</f>
        <v/>
      </c>
      <c r="GT59" s="62" t="str">
        <f>IFERROR(Inv_SY_B!GT59/Inv_SY_B!$IS59-1,"")</f>
        <v/>
      </c>
      <c r="GU59" s="62" t="str">
        <f>IFERROR(Inv_SY_B!GU59/Inv_SY_B!$IS59-1,"")</f>
        <v/>
      </c>
      <c r="GV59" s="62" t="str">
        <f>IFERROR(Inv_SY_B!GV59/Inv_SY_B!$IS59-1,"")</f>
        <v/>
      </c>
      <c r="GW59" s="62" t="str">
        <f>IFERROR(Inv_SY_B!GW59/Inv_SY_B!$IS59-1,"")</f>
        <v/>
      </c>
      <c r="GX59" s="62" t="str">
        <f>IFERROR(Inv_SY_B!GX59/Inv_SY_B!$IS59-1,"")</f>
        <v/>
      </c>
      <c r="GY59" s="62" t="str">
        <f>IFERROR(Inv_SY_B!GY59/Inv_SY_B!$IS59-1,"")</f>
        <v/>
      </c>
      <c r="GZ59" s="62" t="str">
        <f>IFERROR(Inv_SY_B!GZ59/Inv_SY_B!$IS59-1,"")</f>
        <v/>
      </c>
      <c r="HA59" s="62" t="str">
        <f>IFERROR(Inv_SY_B!HA59/Inv_SY_B!$IS59-1,"")</f>
        <v/>
      </c>
      <c r="HB59" s="62" t="str">
        <f>IFERROR(Inv_SY_B!HB59/Inv_SY_B!$IS59-1,"")</f>
        <v/>
      </c>
      <c r="HC59" s="62" t="str">
        <f>IFERROR(Inv_SY_B!HC59/Inv_SY_B!$IS59-1,"")</f>
        <v/>
      </c>
      <c r="HD59" s="62" t="str">
        <f>IFERROR(Inv_SY_B!HD59/Inv_SY_B!$IS59-1,"")</f>
        <v/>
      </c>
      <c r="HE59" s="62" t="str">
        <f>IFERROR(Inv_SY_B!HE59/Inv_SY_B!$IS59-1,"")</f>
        <v/>
      </c>
      <c r="HF59" s="62" t="str">
        <f>IFERROR(Inv_SY_B!HF59/Inv_SY_B!$IS59-1,"")</f>
        <v/>
      </c>
      <c r="HG59" s="62" t="str">
        <f>IFERROR(Inv_SY_B!HG59/Inv_SY_B!$IS59-1,"")</f>
        <v/>
      </c>
      <c r="HH59" s="62" t="str">
        <f>IFERROR(Inv_SY_B!HH59/Inv_SY_B!$IS59-1,"")</f>
        <v/>
      </c>
      <c r="HI59" s="62" t="str">
        <f>IFERROR(Inv_SY_B!HI59/Inv_SY_B!$IS59-1,"")</f>
        <v/>
      </c>
      <c r="HJ59" s="62" t="str">
        <f>IFERROR(Inv_SY_B!HJ59/Inv_SY_B!$IS59-1,"")</f>
        <v/>
      </c>
      <c r="HK59" s="62" t="str">
        <f>IFERROR(Inv_SY_B!HK59/Inv_SY_B!$IS59-1,"")</f>
        <v/>
      </c>
      <c r="HL59" s="62" t="str">
        <f>IFERROR(Inv_SY_B!HL59/Inv_SY_B!$IS59-1,"")</f>
        <v/>
      </c>
      <c r="HM59" s="62" t="str">
        <f>IFERROR(Inv_SY_B!HM59/Inv_SY_B!$IS59-1,"")</f>
        <v/>
      </c>
      <c r="HN59" s="62" t="str">
        <f>IFERROR(Inv_SY_B!HN59/Inv_SY_B!$IS59-1,"")</f>
        <v/>
      </c>
      <c r="HO59" s="62" t="str">
        <f>IFERROR(Inv_SY_B!HO59/Inv_SY_B!$IS59-1,"")</f>
        <v/>
      </c>
      <c r="HP59" s="62" t="str">
        <f>IFERROR(Inv_SY_B!HP59/Inv_SY_B!$IS59-1,"")</f>
        <v/>
      </c>
      <c r="HQ59" s="62" t="str">
        <f>IFERROR(Inv_SY_B!HQ59/Inv_SY_B!$IS59-1,"")</f>
        <v/>
      </c>
      <c r="HR59" s="62" t="str">
        <f>IFERROR(Inv_SY_B!HR59/Inv_SY_B!$IS59-1,"")</f>
        <v/>
      </c>
      <c r="HS59" s="62" t="str">
        <f>IFERROR(Inv_SY_B!HS59/Inv_SY_B!$IS59-1,"")</f>
        <v/>
      </c>
      <c r="HT59" s="62" t="str">
        <f>IFERROR(Inv_SY_B!HT59/Inv_SY_B!$IS59-1,"")</f>
        <v/>
      </c>
      <c r="HU59" s="62" t="str">
        <f>IFERROR(Inv_SY_B!HU59/Inv_SY_B!$IS59-1,"")</f>
        <v/>
      </c>
      <c r="HV59" s="62" t="str">
        <f>IFERROR(Inv_SY_B!HV59/Inv_SY_B!$IS59-1,"")</f>
        <v/>
      </c>
      <c r="HW59" s="62" t="str">
        <f>IFERROR(Inv_SY_B!HW59/Inv_SY_B!$IS59-1,"")</f>
        <v/>
      </c>
      <c r="HX59" s="62" t="str">
        <f>IFERROR(Inv_SY_B!HX59/Inv_SY_B!$IS59-1,"")</f>
        <v/>
      </c>
      <c r="HY59" s="62" t="str">
        <f>IFERROR(Inv_SY_B!HY59/Inv_SY_B!$IS59-1,"")</f>
        <v/>
      </c>
      <c r="HZ59" s="62" t="str">
        <f>IFERROR(Inv_SY_B!HZ59/Inv_SY_B!$IS59-1,"")</f>
        <v/>
      </c>
      <c r="IA59" s="62" t="str">
        <f>IFERROR(Inv_SY_B!IA59/Inv_SY_B!$IS59-1,"")</f>
        <v/>
      </c>
      <c r="IB59" s="62" t="str">
        <f>IFERROR(Inv_SY_B!IB59/Inv_SY_B!$IS59-1,"")</f>
        <v/>
      </c>
      <c r="IC59" s="62" t="str">
        <f>IFERROR(Inv_SY_B!IC59/Inv_SY_B!$IS59-1,"")</f>
        <v/>
      </c>
      <c r="ID59" s="62" t="str">
        <f>IFERROR(Inv_SY_B!ID59/Inv_SY_B!$IS59-1,"")</f>
        <v/>
      </c>
      <c r="IE59" s="62" t="str">
        <f>IFERROR(Inv_SY_B!IE59/Inv_SY_B!$IS59-1,"")</f>
        <v/>
      </c>
      <c r="IF59" s="62" t="str">
        <f>IFERROR(Inv_SY_B!IF59/Inv_SY_B!$IS59-1,"")</f>
        <v/>
      </c>
      <c r="IG59" s="62" t="str">
        <f>IFERROR(Inv_SY_B!IG59/Inv_SY_B!$IS59-1,"")</f>
        <v/>
      </c>
      <c r="IH59" s="62" t="str">
        <f>IFERROR(Inv_SY_B!IH59/Inv_SY_B!$IS59-1,"")</f>
        <v/>
      </c>
      <c r="II59" s="62" t="str">
        <f>IFERROR(Inv_SY_B!II59/Inv_SY_B!$IS59-1,"")</f>
        <v/>
      </c>
      <c r="IJ59" s="62" t="str">
        <f>IFERROR(Inv_SY_B!IJ59/Inv_SY_B!$IS59-1,"")</f>
        <v/>
      </c>
      <c r="IK59" s="62" t="str">
        <f>IFERROR(Inv_SY_B!IK59/Inv_SY_B!$IS59-1,"")</f>
        <v/>
      </c>
      <c r="IL59" s="62" t="str">
        <f>IFERROR(Inv_SY_B!IL59/Inv_SY_B!$IS59-1,"")</f>
        <v/>
      </c>
      <c r="IM59" s="62" t="str">
        <f>IFERROR(Inv_SY_B!IM59/Inv_SY_B!$IS59-1,"")</f>
        <v/>
      </c>
      <c r="IN59" s="62" t="str">
        <f>IFERROR(Inv_SY_B!IN59/Inv_SY_B!$IS59-1,"")</f>
        <v/>
      </c>
      <c r="IO59" s="62" t="str">
        <f>IFERROR(Inv_SY_B!IO59/Inv_SY_B!$IS59-1,"")</f>
        <v/>
      </c>
      <c r="IP59" s="62" t="str">
        <f>IFERROR(Inv_SY_B!IP59/Inv_SY_B!$IS59-1,"")</f>
        <v/>
      </c>
      <c r="IQ59" s="62" t="str">
        <f>IFERROR(Inv_SY_B!IQ59/Inv_SY_B!$IS59-1,"")</f>
        <v/>
      </c>
      <c r="IR59" s="62" t="str">
        <f>IFERROR(Inv_SY_B!IR59/Inv_SY_B!$IS59-1,"")</f>
        <v/>
      </c>
    </row>
    <row r="60" spans="2:252" x14ac:dyDescent="0.25">
      <c r="B60" s="85">
        <f t="shared" si="1"/>
        <v>45886</v>
      </c>
      <c r="C60" s="62" t="str">
        <f>IFERROR(Inv_SY_B!C60/Inv_SY_B!$IS60-1,"")</f>
        <v/>
      </c>
      <c r="D60" s="62" t="str">
        <f>IFERROR(Inv_SY_B!D60/Inv_SY_B!$IS60-1,"")</f>
        <v/>
      </c>
      <c r="E60" s="62" t="str">
        <f>IFERROR(Inv_SY_B!E60/Inv_SY_B!$IS60-1,"")</f>
        <v/>
      </c>
      <c r="F60" s="62" t="str">
        <f>IFERROR(Inv_SY_B!F60/Inv_SY_B!$IS60-1,"")</f>
        <v/>
      </c>
      <c r="G60" s="62" t="str">
        <f>IFERROR(Inv_SY_B!G60/Inv_SY_B!$IS60-1,"")</f>
        <v/>
      </c>
      <c r="H60" s="62" t="str">
        <f>IFERROR(Inv_SY_B!H60/Inv_SY_B!$IS60-1,"")</f>
        <v/>
      </c>
      <c r="I60" s="62" t="str">
        <f>IFERROR(Inv_SY_B!I60/Inv_SY_B!$IS60-1,"")</f>
        <v/>
      </c>
      <c r="J60" s="62" t="str">
        <f>IFERROR(Inv_SY_B!J60/Inv_SY_B!$IS60-1,"")</f>
        <v/>
      </c>
      <c r="K60" s="62" t="str">
        <f>IFERROR(Inv_SY_B!K60/Inv_SY_B!$IS60-1,"")</f>
        <v/>
      </c>
      <c r="L60" s="62" t="str">
        <f>IFERROR(Inv_SY_B!L60/Inv_SY_B!$IS60-1,"")</f>
        <v/>
      </c>
      <c r="M60" s="62" t="str">
        <f>IFERROR(Inv_SY_B!M60/Inv_SY_B!$IS60-1,"")</f>
        <v/>
      </c>
      <c r="N60" s="62" t="str">
        <f>IFERROR(Inv_SY_B!N60/Inv_SY_B!$IS60-1,"")</f>
        <v/>
      </c>
      <c r="O60" s="62" t="str">
        <f>IFERROR(Inv_SY_B!O60/Inv_SY_B!$IS60-1,"")</f>
        <v/>
      </c>
      <c r="P60" s="62" t="str">
        <f>IFERROR(Inv_SY_B!P60/Inv_SY_B!$IS60-1,"")</f>
        <v/>
      </c>
      <c r="Q60" s="62" t="str">
        <f>IFERROR(Inv_SY_B!Q60/Inv_SY_B!$IS60-1,"")</f>
        <v/>
      </c>
      <c r="R60" s="62" t="str">
        <f>IFERROR(Inv_SY_B!R60/Inv_SY_B!$IS60-1,"")</f>
        <v/>
      </c>
      <c r="S60" s="62" t="str">
        <f>IFERROR(Inv_SY_B!S60/Inv_SY_B!$IS60-1,"")</f>
        <v/>
      </c>
      <c r="T60" s="62" t="str">
        <f>IFERROR(Inv_SY_B!T60/Inv_SY_B!$IS60-1,"")</f>
        <v/>
      </c>
      <c r="U60" s="62" t="str">
        <f>IFERROR(Inv_SY_B!U60/Inv_SY_B!$IS60-1,"")</f>
        <v/>
      </c>
      <c r="V60" s="62" t="str">
        <f>IFERROR(Inv_SY_B!V60/Inv_SY_B!$IS60-1,"")</f>
        <v/>
      </c>
      <c r="W60" s="62" t="str">
        <f>IFERROR(Inv_SY_B!W60/Inv_SY_B!$IS60-1,"")</f>
        <v/>
      </c>
      <c r="X60" s="62" t="str">
        <f>IFERROR(Inv_SY_B!X60/Inv_SY_B!$IS60-1,"")</f>
        <v/>
      </c>
      <c r="Y60" s="62" t="str">
        <f>IFERROR(Inv_SY_B!Y60/Inv_SY_B!$IS60-1,"")</f>
        <v/>
      </c>
      <c r="Z60" s="62" t="str">
        <f>IFERROR(Inv_SY_B!Z60/Inv_SY_B!$IS60-1,"")</f>
        <v/>
      </c>
      <c r="AA60" s="62" t="str">
        <f>IFERROR(Inv_SY_B!AA60/Inv_SY_B!$IS60-1,"")</f>
        <v/>
      </c>
      <c r="AB60" s="62" t="str">
        <f>IFERROR(Inv_SY_B!AB60/Inv_SY_B!$IS60-1,"")</f>
        <v/>
      </c>
      <c r="AC60" s="62" t="str">
        <f>IFERROR(Inv_SY_B!AC60/Inv_SY_B!$IS60-1,"")</f>
        <v/>
      </c>
      <c r="AD60" s="62" t="str">
        <f>IFERROR(Inv_SY_B!AD60/Inv_SY_B!$IS60-1,"")</f>
        <v/>
      </c>
      <c r="AE60" s="62" t="str">
        <f>IFERROR(Inv_SY_B!AE60/Inv_SY_B!$IS60-1,"")</f>
        <v/>
      </c>
      <c r="AF60" s="62" t="str">
        <f>IFERROR(Inv_SY_B!AF60/Inv_SY_B!$IS60-1,"")</f>
        <v/>
      </c>
      <c r="AG60" s="62" t="str">
        <f>IFERROR(Inv_SY_B!AG60/Inv_SY_B!$IS60-1,"")</f>
        <v/>
      </c>
      <c r="AH60" s="62" t="str">
        <f>IFERROR(Inv_SY_B!AH60/Inv_SY_B!$IS60-1,"")</f>
        <v/>
      </c>
      <c r="AI60" s="62" t="str">
        <f>IFERROR(Inv_SY_B!AI60/Inv_SY_B!$IS60-1,"")</f>
        <v/>
      </c>
      <c r="AJ60" s="62" t="str">
        <f>IFERROR(Inv_SY_B!AJ60/Inv_SY_B!$IS60-1,"")</f>
        <v/>
      </c>
      <c r="AK60" s="62" t="str">
        <f>IFERROR(Inv_SY_B!AK60/Inv_SY_B!$IS60-1,"")</f>
        <v/>
      </c>
      <c r="AL60" s="62" t="str">
        <f>IFERROR(Inv_SY_B!AL60/Inv_SY_B!$IS60-1,"")</f>
        <v/>
      </c>
      <c r="AM60" s="62" t="str">
        <f>IFERROR(Inv_SY_B!AM60/Inv_SY_B!$IS60-1,"")</f>
        <v/>
      </c>
      <c r="AN60" s="62" t="str">
        <f>IFERROR(Inv_SY_B!AN60/Inv_SY_B!$IS60-1,"")</f>
        <v/>
      </c>
      <c r="AO60" s="62" t="str">
        <f>IFERROR(Inv_SY_B!AO60/Inv_SY_B!$IS60-1,"")</f>
        <v/>
      </c>
      <c r="AP60" s="62" t="str">
        <f>IFERROR(Inv_SY_B!AP60/Inv_SY_B!$IS60-1,"")</f>
        <v/>
      </c>
      <c r="AQ60" s="62" t="str">
        <f>IFERROR(Inv_SY_B!AQ60/Inv_SY_B!$IS60-1,"")</f>
        <v/>
      </c>
      <c r="AR60" s="62" t="str">
        <f>IFERROR(Inv_SY_B!AR60/Inv_SY_B!$IS60-1,"")</f>
        <v/>
      </c>
      <c r="AS60" s="62" t="str">
        <f>IFERROR(Inv_SY_B!AS60/Inv_SY_B!$IS60-1,"")</f>
        <v/>
      </c>
      <c r="AT60" s="62" t="str">
        <f>IFERROR(Inv_SY_B!AT60/Inv_SY_B!$IS60-1,"")</f>
        <v/>
      </c>
      <c r="AU60" s="62" t="str">
        <f>IFERROR(Inv_SY_B!AU60/Inv_SY_B!$IS60-1,"")</f>
        <v/>
      </c>
      <c r="AV60" s="62" t="str">
        <f>IFERROR(Inv_SY_B!AV60/Inv_SY_B!$IS60-1,"")</f>
        <v/>
      </c>
      <c r="AW60" s="62" t="str">
        <f>IFERROR(Inv_SY_B!AW60/Inv_SY_B!$IS60-1,"")</f>
        <v/>
      </c>
      <c r="AX60" s="62" t="str">
        <f>IFERROR(Inv_SY_B!AX60/Inv_SY_B!$IS60-1,"")</f>
        <v/>
      </c>
      <c r="AY60" s="62" t="str">
        <f>IFERROR(Inv_SY_B!AY60/Inv_SY_B!$IS60-1,"")</f>
        <v/>
      </c>
      <c r="AZ60" s="62" t="str">
        <f>IFERROR(Inv_SY_B!AZ60/Inv_SY_B!$IS60-1,"")</f>
        <v/>
      </c>
      <c r="BA60" s="62" t="str">
        <f>IFERROR(Inv_SY_B!BA60/Inv_SY_B!$IS60-1,"")</f>
        <v/>
      </c>
      <c r="BB60" s="62" t="str">
        <f>IFERROR(Inv_SY_B!BB60/Inv_SY_B!$IS60-1,"")</f>
        <v/>
      </c>
      <c r="BC60" s="62" t="str">
        <f>IFERROR(Inv_SY_B!BC60/Inv_SY_B!$IS60-1,"")</f>
        <v/>
      </c>
      <c r="BD60" s="62" t="str">
        <f>IFERROR(Inv_SY_B!BD60/Inv_SY_B!$IS60-1,"")</f>
        <v/>
      </c>
      <c r="BE60" s="62" t="str">
        <f>IFERROR(Inv_SY_B!BE60/Inv_SY_B!$IS60-1,"")</f>
        <v/>
      </c>
      <c r="BF60" s="62" t="str">
        <f>IFERROR(Inv_SY_B!BF60/Inv_SY_B!$IS60-1,"")</f>
        <v/>
      </c>
      <c r="BG60" s="62" t="str">
        <f>IFERROR(Inv_SY_B!BG60/Inv_SY_B!$IS60-1,"")</f>
        <v/>
      </c>
      <c r="BH60" s="62" t="str">
        <f>IFERROR(Inv_SY_B!BH60/Inv_SY_B!$IS60-1,"")</f>
        <v/>
      </c>
      <c r="BI60" s="62" t="str">
        <f>IFERROR(Inv_SY_B!BI60/Inv_SY_B!$IS60-1,"")</f>
        <v/>
      </c>
      <c r="BJ60" s="62" t="str">
        <f>IFERROR(Inv_SY_B!BJ60/Inv_SY_B!$IS60-1,"")</f>
        <v/>
      </c>
      <c r="BK60" s="62" t="str">
        <f>IFERROR(Inv_SY_B!BK60/Inv_SY_B!$IS60-1,"")</f>
        <v/>
      </c>
      <c r="BL60" s="62" t="str">
        <f>IFERROR(Inv_SY_B!BL60/Inv_SY_B!$IS60-1,"")</f>
        <v/>
      </c>
      <c r="BM60" s="62" t="str">
        <f>IFERROR(Inv_SY_B!BM60/Inv_SY_B!$IS60-1,"")</f>
        <v/>
      </c>
      <c r="BN60" s="62" t="str">
        <f>IFERROR(Inv_SY_B!BN60/Inv_SY_B!$IS60-1,"")</f>
        <v/>
      </c>
      <c r="BO60" s="62" t="str">
        <f>IFERROR(Inv_SY_B!BO60/Inv_SY_B!$IS60-1,"")</f>
        <v/>
      </c>
      <c r="BP60" s="62" t="str">
        <f>IFERROR(Inv_SY_B!BP60/Inv_SY_B!$IS60-1,"")</f>
        <v/>
      </c>
      <c r="BQ60" s="62" t="str">
        <f>IFERROR(Inv_SY_B!BQ60/Inv_SY_B!$IS60-1,"")</f>
        <v/>
      </c>
      <c r="BR60" s="62" t="str">
        <f>IFERROR(Inv_SY_B!BR60/Inv_SY_B!$IS60-1,"")</f>
        <v/>
      </c>
      <c r="BS60" s="62" t="str">
        <f>IFERROR(Inv_SY_B!BS60/Inv_SY_B!$IS60-1,"")</f>
        <v/>
      </c>
      <c r="BT60" s="62" t="str">
        <f>IFERROR(Inv_SY_B!BT60/Inv_SY_B!$IS60-1,"")</f>
        <v/>
      </c>
      <c r="BU60" s="62" t="str">
        <f>IFERROR(Inv_SY_B!BU60/Inv_SY_B!$IS60-1,"")</f>
        <v/>
      </c>
      <c r="BV60" s="62" t="str">
        <f>IFERROR(Inv_SY_B!BV60/Inv_SY_B!$IS60-1,"")</f>
        <v/>
      </c>
      <c r="BW60" s="62" t="str">
        <f>IFERROR(Inv_SY_B!BW60/Inv_SY_B!$IS60-1,"")</f>
        <v/>
      </c>
      <c r="BX60" s="62" t="str">
        <f>IFERROR(Inv_SY_B!BX60/Inv_SY_B!$IS60-1,"")</f>
        <v/>
      </c>
      <c r="BY60" s="62" t="str">
        <f>IFERROR(Inv_SY_B!BY60/Inv_SY_B!$IS60-1,"")</f>
        <v/>
      </c>
      <c r="BZ60" s="62" t="str">
        <f>IFERROR(Inv_SY_B!BZ60/Inv_SY_B!$IS60-1,"")</f>
        <v/>
      </c>
      <c r="CA60" s="62" t="str">
        <f>IFERROR(Inv_SY_B!CA60/Inv_SY_B!$IS60-1,"")</f>
        <v/>
      </c>
      <c r="CB60" s="62" t="str">
        <f>IFERROR(Inv_SY_B!CB60/Inv_SY_B!$IS60-1,"")</f>
        <v/>
      </c>
      <c r="CC60" s="62" t="str">
        <f>IFERROR(Inv_SY_B!CC60/Inv_SY_B!$IS60-1,"")</f>
        <v/>
      </c>
      <c r="CD60" s="62" t="str">
        <f>IFERROR(Inv_SY_B!CD60/Inv_SY_B!$IS60-1,"")</f>
        <v/>
      </c>
      <c r="CE60" s="62" t="str">
        <f>IFERROR(Inv_SY_B!CE60/Inv_SY_B!$IS60-1,"")</f>
        <v/>
      </c>
      <c r="CF60" s="62" t="str">
        <f>IFERROR(Inv_SY_B!CF60/Inv_SY_B!$IS60-1,"")</f>
        <v/>
      </c>
      <c r="CG60" s="62" t="str">
        <f>IFERROR(Inv_SY_B!CG60/Inv_SY_B!$IS60-1,"")</f>
        <v/>
      </c>
      <c r="CH60" s="62" t="str">
        <f>IFERROR(Inv_SY_B!CH60/Inv_SY_B!$IS60-1,"")</f>
        <v/>
      </c>
      <c r="CI60" s="62" t="str">
        <f>IFERROR(Inv_SY_B!CI60/Inv_SY_B!$IS60-1,"")</f>
        <v/>
      </c>
      <c r="CJ60" s="62" t="str">
        <f>IFERROR(Inv_SY_B!CJ60/Inv_SY_B!$IS60-1,"")</f>
        <v/>
      </c>
      <c r="CK60" s="62" t="str">
        <f>IFERROR(Inv_SY_B!CK60/Inv_SY_B!$IS60-1,"")</f>
        <v/>
      </c>
      <c r="CL60" s="62" t="str">
        <f>IFERROR(Inv_SY_B!CL60/Inv_SY_B!$IS60-1,"")</f>
        <v/>
      </c>
      <c r="CM60" s="62" t="str">
        <f>IFERROR(Inv_SY_B!CM60/Inv_SY_B!$IS60-1,"")</f>
        <v/>
      </c>
      <c r="CN60" s="62" t="str">
        <f>IFERROR(Inv_SY_B!CN60/Inv_SY_B!$IS60-1,"")</f>
        <v/>
      </c>
      <c r="CO60" s="62" t="str">
        <f>IFERROR(Inv_SY_B!CO60/Inv_SY_B!$IS60-1,"")</f>
        <v/>
      </c>
      <c r="CP60" s="62" t="str">
        <f>IFERROR(Inv_SY_B!CP60/Inv_SY_B!$IS60-1,"")</f>
        <v/>
      </c>
      <c r="CQ60" s="62" t="str">
        <f>IFERROR(Inv_SY_B!CQ60/Inv_SY_B!$IS60-1,"")</f>
        <v/>
      </c>
      <c r="CR60" s="62" t="str">
        <f>IFERROR(Inv_SY_B!CR60/Inv_SY_B!$IS60-1,"")</f>
        <v/>
      </c>
      <c r="CS60" s="62" t="str">
        <f>IFERROR(Inv_SY_B!CS60/Inv_SY_B!$IS60-1,"")</f>
        <v/>
      </c>
      <c r="CT60" s="62" t="str">
        <f>IFERROR(Inv_SY_B!CT60/Inv_SY_B!$IS60-1,"")</f>
        <v/>
      </c>
      <c r="CU60" s="62" t="str">
        <f>IFERROR(Inv_SY_B!CU60/Inv_SY_B!$IS60-1,"")</f>
        <v/>
      </c>
      <c r="CV60" s="62" t="str">
        <f>IFERROR(Inv_SY_B!CV60/Inv_SY_B!$IS60-1,"")</f>
        <v/>
      </c>
      <c r="CW60" s="62" t="str">
        <f>IFERROR(Inv_SY_B!CW60/Inv_SY_B!$IS60-1,"")</f>
        <v/>
      </c>
      <c r="CX60" s="62" t="str">
        <f>IFERROR(Inv_SY_B!CX60/Inv_SY_B!$IS60-1,"")</f>
        <v/>
      </c>
      <c r="CY60" s="62" t="str">
        <f>IFERROR(Inv_SY_B!CY60/Inv_SY_B!$IS60-1,"")</f>
        <v/>
      </c>
      <c r="CZ60" s="62" t="str">
        <f>IFERROR(Inv_SY_B!CZ60/Inv_SY_B!$IS60-1,"")</f>
        <v/>
      </c>
      <c r="DA60" s="62" t="str">
        <f>IFERROR(Inv_SY_B!DA60/Inv_SY_B!$IS60-1,"")</f>
        <v/>
      </c>
      <c r="DB60" s="62" t="str">
        <f>IFERROR(Inv_SY_B!DB60/Inv_SY_B!$IS60-1,"")</f>
        <v/>
      </c>
      <c r="DC60" s="62" t="str">
        <f>IFERROR(Inv_SY_B!DC60/Inv_SY_B!$IS60-1,"")</f>
        <v/>
      </c>
      <c r="DD60" s="62" t="str">
        <f>IFERROR(Inv_SY_B!DD60/Inv_SY_B!$IS60-1,"")</f>
        <v/>
      </c>
      <c r="DE60" s="62" t="str">
        <f>IFERROR(Inv_SY_B!DE60/Inv_SY_B!$IS60-1,"")</f>
        <v/>
      </c>
      <c r="DF60" s="62" t="str">
        <f>IFERROR(Inv_SY_B!DF60/Inv_SY_B!$IS60-1,"")</f>
        <v/>
      </c>
      <c r="DG60" s="62" t="str">
        <f>IFERROR(Inv_SY_B!DG60/Inv_SY_B!$IS60-1,"")</f>
        <v/>
      </c>
      <c r="DH60" s="62" t="str">
        <f>IFERROR(Inv_SY_B!DH60/Inv_SY_B!$IS60-1,"")</f>
        <v/>
      </c>
      <c r="DI60" s="62" t="str">
        <f>IFERROR(Inv_SY_B!DI60/Inv_SY_B!$IS60-1,"")</f>
        <v/>
      </c>
      <c r="DJ60" s="62" t="str">
        <f>IFERROR(Inv_SY_B!DJ60/Inv_SY_B!$IS60-1,"")</f>
        <v/>
      </c>
      <c r="DK60" s="62" t="str">
        <f>IFERROR(Inv_SY_B!DK60/Inv_SY_B!$IS60-1,"")</f>
        <v/>
      </c>
      <c r="DL60" s="62" t="str">
        <f>IFERROR(Inv_SY_B!DL60/Inv_SY_B!$IS60-1,"")</f>
        <v/>
      </c>
      <c r="DM60" s="62" t="str">
        <f>IFERROR(Inv_SY_B!DM60/Inv_SY_B!$IS60-1,"")</f>
        <v/>
      </c>
      <c r="DN60" s="62" t="str">
        <f>IFERROR(Inv_SY_B!DN60/Inv_SY_B!$IS60-1,"")</f>
        <v/>
      </c>
      <c r="DO60" s="62" t="str">
        <f>IFERROR(Inv_SY_B!DO60/Inv_SY_B!$IS60-1,"")</f>
        <v/>
      </c>
      <c r="DP60" s="62" t="str">
        <f>IFERROR(Inv_SY_B!DP60/Inv_SY_B!$IS60-1,"")</f>
        <v/>
      </c>
      <c r="DQ60" s="62" t="str">
        <f>IFERROR(Inv_SY_B!DQ60/Inv_SY_B!$IS60-1,"")</f>
        <v/>
      </c>
      <c r="DR60" s="62" t="str">
        <f>IFERROR(Inv_SY_B!DR60/Inv_SY_B!$IS60-1,"")</f>
        <v/>
      </c>
      <c r="DS60" s="62" t="str">
        <f>IFERROR(Inv_SY_B!DS60/Inv_SY_B!$IS60-1,"")</f>
        <v/>
      </c>
      <c r="DT60" s="62" t="str">
        <f>IFERROR(Inv_SY_B!DT60/Inv_SY_B!$IS60-1,"")</f>
        <v/>
      </c>
      <c r="DU60" s="62" t="str">
        <f>IFERROR(Inv_SY_B!DU60/Inv_SY_B!$IS60-1,"")</f>
        <v/>
      </c>
      <c r="DV60" s="62" t="str">
        <f>IFERROR(Inv_SY_B!DV60/Inv_SY_B!$IS60-1,"")</f>
        <v/>
      </c>
      <c r="DW60" s="62" t="str">
        <f>IFERROR(Inv_SY_B!DW60/Inv_SY_B!$IS60-1,"")</f>
        <v/>
      </c>
      <c r="DX60" s="62" t="str">
        <f>IFERROR(Inv_SY_B!DX60/Inv_SY_B!$IS60-1,"")</f>
        <v/>
      </c>
      <c r="DY60" s="62" t="str">
        <f>IFERROR(Inv_SY_B!DY60/Inv_SY_B!$IS60-1,"")</f>
        <v/>
      </c>
      <c r="DZ60" s="62" t="str">
        <f>IFERROR(Inv_SY_B!DZ60/Inv_SY_B!$IS60-1,"")</f>
        <v/>
      </c>
      <c r="EA60" s="62" t="str">
        <f>IFERROR(Inv_SY_B!EA60/Inv_SY_B!$IS60-1,"")</f>
        <v/>
      </c>
      <c r="EB60" s="62" t="str">
        <f>IFERROR(Inv_SY_B!EB60/Inv_SY_B!$IS60-1,"")</f>
        <v/>
      </c>
      <c r="EC60" s="62" t="str">
        <f>IFERROR(Inv_SY_B!EC60/Inv_SY_B!$IS60-1,"")</f>
        <v/>
      </c>
      <c r="ED60" s="62" t="str">
        <f>IFERROR(Inv_SY_B!ED60/Inv_SY_B!$IS60-1,"")</f>
        <v/>
      </c>
      <c r="EE60" s="62" t="str">
        <f>IFERROR(Inv_SY_B!EE60/Inv_SY_B!$IS60-1,"")</f>
        <v/>
      </c>
      <c r="EF60" s="62" t="str">
        <f>IFERROR(Inv_SY_B!EF60/Inv_SY_B!$IS60-1,"")</f>
        <v/>
      </c>
      <c r="EG60" s="62" t="str">
        <f>IFERROR(Inv_SY_B!EG60/Inv_SY_B!$IS60-1,"")</f>
        <v/>
      </c>
      <c r="EH60" s="62" t="str">
        <f>IFERROR(Inv_SY_B!EH60/Inv_SY_B!$IS60-1,"")</f>
        <v/>
      </c>
      <c r="EI60" s="62" t="str">
        <f>IFERROR(Inv_SY_B!EI60/Inv_SY_B!$IS60-1,"")</f>
        <v/>
      </c>
      <c r="EJ60" s="62" t="str">
        <f>IFERROR(Inv_SY_B!EJ60/Inv_SY_B!$IS60-1,"")</f>
        <v/>
      </c>
      <c r="EK60" s="62" t="str">
        <f>IFERROR(Inv_SY_B!EK60/Inv_SY_B!$IS60-1,"")</f>
        <v/>
      </c>
      <c r="EL60" s="62" t="str">
        <f>IFERROR(Inv_SY_B!EL60/Inv_SY_B!$IS60-1,"")</f>
        <v/>
      </c>
      <c r="EM60" s="62" t="str">
        <f>IFERROR(Inv_SY_B!EM60/Inv_SY_B!$IS60-1,"")</f>
        <v/>
      </c>
      <c r="EN60" s="62" t="str">
        <f>IFERROR(Inv_SY_B!EN60/Inv_SY_B!$IS60-1,"")</f>
        <v/>
      </c>
      <c r="EO60" s="62" t="str">
        <f>IFERROR(Inv_SY_B!EO60/Inv_SY_B!$IS60-1,"")</f>
        <v/>
      </c>
      <c r="EP60" s="62" t="str">
        <f>IFERROR(Inv_SY_B!EP60/Inv_SY_B!$IS60-1,"")</f>
        <v/>
      </c>
      <c r="EQ60" s="62" t="str">
        <f>IFERROR(Inv_SY_B!EQ60/Inv_SY_B!$IS60-1,"")</f>
        <v/>
      </c>
      <c r="ER60" s="62" t="str">
        <f>IFERROR(Inv_SY_B!ER60/Inv_SY_B!$IS60-1,"")</f>
        <v/>
      </c>
      <c r="ES60" s="62" t="str">
        <f>IFERROR(Inv_SY_B!ES60/Inv_SY_B!$IS60-1,"")</f>
        <v/>
      </c>
      <c r="ET60" s="62" t="str">
        <f>IFERROR(Inv_SY_B!ET60/Inv_SY_B!$IS60-1,"")</f>
        <v/>
      </c>
      <c r="EU60" s="62" t="str">
        <f>IFERROR(Inv_SY_B!EU60/Inv_SY_B!$IS60-1,"")</f>
        <v/>
      </c>
      <c r="EV60" s="62" t="str">
        <f>IFERROR(Inv_SY_B!EV60/Inv_SY_B!$IS60-1,"")</f>
        <v/>
      </c>
      <c r="EW60" s="62" t="str">
        <f>IFERROR(Inv_SY_B!EW60/Inv_SY_B!$IS60-1,"")</f>
        <v/>
      </c>
      <c r="EX60" s="62" t="str">
        <f>IFERROR(Inv_SY_B!EX60/Inv_SY_B!$IS60-1,"")</f>
        <v/>
      </c>
      <c r="EY60" s="62" t="str">
        <f>IFERROR(Inv_SY_B!EY60/Inv_SY_B!$IS60-1,"")</f>
        <v/>
      </c>
      <c r="EZ60" s="62" t="str">
        <f>IFERROR(Inv_SY_B!EZ60/Inv_SY_B!$IS60-1,"")</f>
        <v/>
      </c>
      <c r="FA60" s="62" t="str">
        <f>IFERROR(Inv_SY_B!FA60/Inv_SY_B!$IS60-1,"")</f>
        <v/>
      </c>
      <c r="FB60" s="62" t="str">
        <f>IFERROR(Inv_SY_B!FB60/Inv_SY_B!$IS60-1,"")</f>
        <v/>
      </c>
      <c r="FC60" s="62" t="str">
        <f>IFERROR(Inv_SY_B!FC60/Inv_SY_B!$IS60-1,"")</f>
        <v/>
      </c>
      <c r="FD60" s="62" t="str">
        <f>IFERROR(Inv_SY_B!FD60/Inv_SY_B!$IS60-1,"")</f>
        <v/>
      </c>
      <c r="FE60" s="62" t="str">
        <f>IFERROR(Inv_SY_B!FE60/Inv_SY_B!$IS60-1,"")</f>
        <v/>
      </c>
      <c r="FF60" s="62" t="str">
        <f>IFERROR(Inv_SY_B!FF60/Inv_SY_B!$IS60-1,"")</f>
        <v/>
      </c>
      <c r="FG60" s="62" t="str">
        <f>IFERROR(Inv_SY_B!FG60/Inv_SY_B!$IS60-1,"")</f>
        <v/>
      </c>
      <c r="FH60" s="62" t="str">
        <f>IFERROR(Inv_SY_B!FH60/Inv_SY_B!$IS60-1,"")</f>
        <v/>
      </c>
      <c r="FI60" s="62" t="str">
        <f>IFERROR(Inv_SY_B!FI60/Inv_SY_B!$IS60-1,"")</f>
        <v/>
      </c>
      <c r="FJ60" s="62" t="str">
        <f>IFERROR(Inv_SY_B!FJ60/Inv_SY_B!$IS60-1,"")</f>
        <v/>
      </c>
      <c r="FK60" s="62" t="str">
        <f>IFERROR(Inv_SY_B!FK60/Inv_SY_B!$IS60-1,"")</f>
        <v/>
      </c>
      <c r="FL60" s="62" t="str">
        <f>IFERROR(Inv_SY_B!FL60/Inv_SY_B!$IS60-1,"")</f>
        <v/>
      </c>
      <c r="FM60" s="62" t="str">
        <f>IFERROR(Inv_SY_B!FM60/Inv_SY_B!$IS60-1,"")</f>
        <v/>
      </c>
      <c r="FN60" s="62" t="str">
        <f>IFERROR(Inv_SY_B!FN60/Inv_SY_B!$IS60-1,"")</f>
        <v/>
      </c>
      <c r="FO60" s="62" t="str">
        <f>IFERROR(Inv_SY_B!FO60/Inv_SY_B!$IS60-1,"")</f>
        <v/>
      </c>
      <c r="FP60" s="62" t="str">
        <f>IFERROR(Inv_SY_B!FP60/Inv_SY_B!$IS60-1,"")</f>
        <v/>
      </c>
      <c r="FQ60" s="62" t="str">
        <f>IFERROR(Inv_SY_B!FQ60/Inv_SY_B!$IS60-1,"")</f>
        <v/>
      </c>
      <c r="FR60" s="62" t="str">
        <f>IFERROR(Inv_SY_B!FR60/Inv_SY_B!$IS60-1,"")</f>
        <v/>
      </c>
      <c r="FS60" s="62" t="str">
        <f>IFERROR(Inv_SY_B!FS60/Inv_SY_B!$IS60-1,"")</f>
        <v/>
      </c>
      <c r="FT60" s="62" t="str">
        <f>IFERROR(Inv_SY_B!FT60/Inv_SY_B!$IS60-1,"")</f>
        <v/>
      </c>
      <c r="FU60" s="62" t="str">
        <f>IFERROR(Inv_SY_B!FU60/Inv_SY_B!$IS60-1,"")</f>
        <v/>
      </c>
      <c r="FV60" s="62" t="str">
        <f>IFERROR(Inv_SY_B!FV60/Inv_SY_B!$IS60-1,"")</f>
        <v/>
      </c>
      <c r="FW60" s="62" t="str">
        <f>IFERROR(Inv_SY_B!FW60/Inv_SY_B!$IS60-1,"")</f>
        <v/>
      </c>
      <c r="FX60" s="62" t="str">
        <f>IFERROR(Inv_SY_B!FX60/Inv_SY_B!$IS60-1,"")</f>
        <v/>
      </c>
      <c r="FY60" s="62" t="str">
        <f>IFERROR(Inv_SY_B!FY60/Inv_SY_B!$IS60-1,"")</f>
        <v/>
      </c>
      <c r="FZ60" s="62" t="str">
        <f>IFERROR(Inv_SY_B!FZ60/Inv_SY_B!$IS60-1,"")</f>
        <v/>
      </c>
      <c r="GA60" s="62" t="str">
        <f>IFERROR(Inv_SY_B!GA60/Inv_SY_B!$IS60-1,"")</f>
        <v/>
      </c>
      <c r="GB60" s="62" t="str">
        <f>IFERROR(Inv_SY_B!GB60/Inv_SY_B!$IS60-1,"")</f>
        <v/>
      </c>
      <c r="GC60" s="62" t="str">
        <f>IFERROR(Inv_SY_B!GC60/Inv_SY_B!$IS60-1,"")</f>
        <v/>
      </c>
      <c r="GD60" s="62" t="str">
        <f>IFERROR(Inv_SY_B!GD60/Inv_SY_B!$IS60-1,"")</f>
        <v/>
      </c>
      <c r="GE60" s="62" t="str">
        <f>IFERROR(Inv_SY_B!GE60/Inv_SY_B!$IS60-1,"")</f>
        <v/>
      </c>
      <c r="GF60" s="62" t="str">
        <f>IFERROR(Inv_SY_B!GF60/Inv_SY_B!$IS60-1,"")</f>
        <v/>
      </c>
      <c r="GG60" s="62" t="str">
        <f>IFERROR(Inv_SY_B!GG60/Inv_SY_B!$IS60-1,"")</f>
        <v/>
      </c>
      <c r="GH60" s="62" t="str">
        <f>IFERROR(Inv_SY_B!GH60/Inv_SY_B!$IS60-1,"")</f>
        <v/>
      </c>
      <c r="GI60" s="62" t="str">
        <f>IFERROR(Inv_SY_B!GI60/Inv_SY_B!$IS60-1,"")</f>
        <v/>
      </c>
      <c r="GJ60" s="62" t="str">
        <f>IFERROR(Inv_SY_B!GJ60/Inv_SY_B!$IS60-1,"")</f>
        <v/>
      </c>
      <c r="GK60" s="62" t="str">
        <f>IFERROR(Inv_SY_B!GK60/Inv_SY_B!$IS60-1,"")</f>
        <v/>
      </c>
      <c r="GL60" s="62" t="str">
        <f>IFERROR(Inv_SY_B!GL60/Inv_SY_B!$IS60-1,"")</f>
        <v/>
      </c>
      <c r="GM60" s="62" t="str">
        <f>IFERROR(Inv_SY_B!GM60/Inv_SY_B!$IS60-1,"")</f>
        <v/>
      </c>
      <c r="GN60" s="62" t="str">
        <f>IFERROR(Inv_SY_B!GN60/Inv_SY_B!$IS60-1,"")</f>
        <v/>
      </c>
      <c r="GO60" s="62" t="str">
        <f>IFERROR(Inv_SY_B!GO60/Inv_SY_B!$IS60-1,"")</f>
        <v/>
      </c>
      <c r="GP60" s="62" t="str">
        <f>IFERROR(Inv_SY_B!GP60/Inv_SY_B!$IS60-1,"")</f>
        <v/>
      </c>
      <c r="GQ60" s="62" t="str">
        <f>IFERROR(Inv_SY_B!GQ60/Inv_SY_B!$IS60-1,"")</f>
        <v/>
      </c>
      <c r="GR60" s="62" t="str">
        <f>IFERROR(Inv_SY_B!GR60/Inv_SY_B!$IS60-1,"")</f>
        <v/>
      </c>
      <c r="GS60" s="62" t="str">
        <f>IFERROR(Inv_SY_B!GS60/Inv_SY_B!$IS60-1,"")</f>
        <v/>
      </c>
      <c r="GT60" s="62" t="str">
        <f>IFERROR(Inv_SY_B!GT60/Inv_SY_B!$IS60-1,"")</f>
        <v/>
      </c>
      <c r="GU60" s="62" t="str">
        <f>IFERROR(Inv_SY_B!GU60/Inv_SY_B!$IS60-1,"")</f>
        <v/>
      </c>
      <c r="GV60" s="62" t="str">
        <f>IFERROR(Inv_SY_B!GV60/Inv_SY_B!$IS60-1,"")</f>
        <v/>
      </c>
      <c r="GW60" s="62" t="str">
        <f>IFERROR(Inv_SY_B!GW60/Inv_SY_B!$IS60-1,"")</f>
        <v/>
      </c>
      <c r="GX60" s="62" t="str">
        <f>IFERROR(Inv_SY_B!GX60/Inv_SY_B!$IS60-1,"")</f>
        <v/>
      </c>
      <c r="GY60" s="62" t="str">
        <f>IFERROR(Inv_SY_B!GY60/Inv_SY_B!$IS60-1,"")</f>
        <v/>
      </c>
      <c r="GZ60" s="62" t="str">
        <f>IFERROR(Inv_SY_B!GZ60/Inv_SY_B!$IS60-1,"")</f>
        <v/>
      </c>
      <c r="HA60" s="62" t="str">
        <f>IFERROR(Inv_SY_B!HA60/Inv_SY_B!$IS60-1,"")</f>
        <v/>
      </c>
      <c r="HB60" s="62" t="str">
        <f>IFERROR(Inv_SY_B!HB60/Inv_SY_B!$IS60-1,"")</f>
        <v/>
      </c>
      <c r="HC60" s="62" t="str">
        <f>IFERROR(Inv_SY_B!HC60/Inv_SY_B!$IS60-1,"")</f>
        <v/>
      </c>
      <c r="HD60" s="62" t="str">
        <f>IFERROR(Inv_SY_B!HD60/Inv_SY_B!$IS60-1,"")</f>
        <v/>
      </c>
      <c r="HE60" s="62" t="str">
        <f>IFERROR(Inv_SY_B!HE60/Inv_SY_B!$IS60-1,"")</f>
        <v/>
      </c>
      <c r="HF60" s="62" t="str">
        <f>IFERROR(Inv_SY_B!HF60/Inv_SY_B!$IS60-1,"")</f>
        <v/>
      </c>
      <c r="HG60" s="62" t="str">
        <f>IFERROR(Inv_SY_B!HG60/Inv_SY_B!$IS60-1,"")</f>
        <v/>
      </c>
      <c r="HH60" s="62" t="str">
        <f>IFERROR(Inv_SY_B!HH60/Inv_SY_B!$IS60-1,"")</f>
        <v/>
      </c>
      <c r="HI60" s="62" t="str">
        <f>IFERROR(Inv_SY_B!HI60/Inv_SY_B!$IS60-1,"")</f>
        <v/>
      </c>
      <c r="HJ60" s="62" t="str">
        <f>IFERROR(Inv_SY_B!HJ60/Inv_SY_B!$IS60-1,"")</f>
        <v/>
      </c>
      <c r="HK60" s="62" t="str">
        <f>IFERROR(Inv_SY_B!HK60/Inv_SY_B!$IS60-1,"")</f>
        <v/>
      </c>
      <c r="HL60" s="62" t="str">
        <f>IFERROR(Inv_SY_B!HL60/Inv_SY_B!$IS60-1,"")</f>
        <v/>
      </c>
      <c r="HM60" s="62" t="str">
        <f>IFERROR(Inv_SY_B!HM60/Inv_SY_B!$IS60-1,"")</f>
        <v/>
      </c>
      <c r="HN60" s="62" t="str">
        <f>IFERROR(Inv_SY_B!HN60/Inv_SY_B!$IS60-1,"")</f>
        <v/>
      </c>
      <c r="HO60" s="62" t="str">
        <f>IFERROR(Inv_SY_B!HO60/Inv_SY_B!$IS60-1,"")</f>
        <v/>
      </c>
      <c r="HP60" s="62" t="str">
        <f>IFERROR(Inv_SY_B!HP60/Inv_SY_B!$IS60-1,"")</f>
        <v/>
      </c>
      <c r="HQ60" s="62" t="str">
        <f>IFERROR(Inv_SY_B!HQ60/Inv_SY_B!$IS60-1,"")</f>
        <v/>
      </c>
      <c r="HR60" s="62" t="str">
        <f>IFERROR(Inv_SY_B!HR60/Inv_SY_B!$IS60-1,"")</f>
        <v/>
      </c>
      <c r="HS60" s="62" t="str">
        <f>IFERROR(Inv_SY_B!HS60/Inv_SY_B!$IS60-1,"")</f>
        <v/>
      </c>
      <c r="HT60" s="62" t="str">
        <f>IFERROR(Inv_SY_B!HT60/Inv_SY_B!$IS60-1,"")</f>
        <v/>
      </c>
      <c r="HU60" s="62" t="str">
        <f>IFERROR(Inv_SY_B!HU60/Inv_SY_B!$IS60-1,"")</f>
        <v/>
      </c>
      <c r="HV60" s="62" t="str">
        <f>IFERROR(Inv_SY_B!HV60/Inv_SY_B!$IS60-1,"")</f>
        <v/>
      </c>
      <c r="HW60" s="62" t="str">
        <f>IFERROR(Inv_SY_B!HW60/Inv_SY_B!$IS60-1,"")</f>
        <v/>
      </c>
      <c r="HX60" s="62" t="str">
        <f>IFERROR(Inv_SY_B!HX60/Inv_SY_B!$IS60-1,"")</f>
        <v/>
      </c>
      <c r="HY60" s="62" t="str">
        <f>IFERROR(Inv_SY_B!HY60/Inv_SY_B!$IS60-1,"")</f>
        <v/>
      </c>
      <c r="HZ60" s="62" t="str">
        <f>IFERROR(Inv_SY_B!HZ60/Inv_SY_B!$IS60-1,"")</f>
        <v/>
      </c>
      <c r="IA60" s="62" t="str">
        <f>IFERROR(Inv_SY_B!IA60/Inv_SY_B!$IS60-1,"")</f>
        <v/>
      </c>
      <c r="IB60" s="62" t="str">
        <f>IFERROR(Inv_SY_B!IB60/Inv_SY_B!$IS60-1,"")</f>
        <v/>
      </c>
      <c r="IC60" s="62" t="str">
        <f>IFERROR(Inv_SY_B!IC60/Inv_SY_B!$IS60-1,"")</f>
        <v/>
      </c>
      <c r="ID60" s="62" t="str">
        <f>IFERROR(Inv_SY_B!ID60/Inv_SY_B!$IS60-1,"")</f>
        <v/>
      </c>
      <c r="IE60" s="62" t="str">
        <f>IFERROR(Inv_SY_B!IE60/Inv_SY_B!$IS60-1,"")</f>
        <v/>
      </c>
      <c r="IF60" s="62" t="str">
        <f>IFERROR(Inv_SY_B!IF60/Inv_SY_B!$IS60-1,"")</f>
        <v/>
      </c>
      <c r="IG60" s="62" t="str">
        <f>IFERROR(Inv_SY_B!IG60/Inv_SY_B!$IS60-1,"")</f>
        <v/>
      </c>
      <c r="IH60" s="62" t="str">
        <f>IFERROR(Inv_SY_B!IH60/Inv_SY_B!$IS60-1,"")</f>
        <v/>
      </c>
      <c r="II60" s="62" t="str">
        <f>IFERROR(Inv_SY_B!II60/Inv_SY_B!$IS60-1,"")</f>
        <v/>
      </c>
      <c r="IJ60" s="62" t="str">
        <f>IFERROR(Inv_SY_B!IJ60/Inv_SY_B!$IS60-1,"")</f>
        <v/>
      </c>
      <c r="IK60" s="62" t="str">
        <f>IFERROR(Inv_SY_B!IK60/Inv_SY_B!$IS60-1,"")</f>
        <v/>
      </c>
      <c r="IL60" s="62" t="str">
        <f>IFERROR(Inv_SY_B!IL60/Inv_SY_B!$IS60-1,"")</f>
        <v/>
      </c>
      <c r="IM60" s="62" t="str">
        <f>IFERROR(Inv_SY_B!IM60/Inv_SY_B!$IS60-1,"")</f>
        <v/>
      </c>
      <c r="IN60" s="62" t="str">
        <f>IFERROR(Inv_SY_B!IN60/Inv_SY_B!$IS60-1,"")</f>
        <v/>
      </c>
      <c r="IO60" s="62" t="str">
        <f>IFERROR(Inv_SY_B!IO60/Inv_SY_B!$IS60-1,"")</f>
        <v/>
      </c>
      <c r="IP60" s="62" t="str">
        <f>IFERROR(Inv_SY_B!IP60/Inv_SY_B!$IS60-1,"")</f>
        <v/>
      </c>
      <c r="IQ60" s="62" t="str">
        <f>IFERROR(Inv_SY_B!IQ60/Inv_SY_B!$IS60-1,"")</f>
        <v/>
      </c>
      <c r="IR60" s="62" t="str">
        <f>IFERROR(Inv_SY_B!IR60/Inv_SY_B!$IS60-1,"")</f>
        <v/>
      </c>
    </row>
    <row r="61" spans="2:252" x14ac:dyDescent="0.25">
      <c r="B61" s="85">
        <f t="shared" si="1"/>
        <v>45887</v>
      </c>
      <c r="C61" s="62" t="str">
        <f>IFERROR(Inv_SY_B!C61/Inv_SY_B!$IS61-1,"")</f>
        <v/>
      </c>
      <c r="D61" s="62" t="str">
        <f>IFERROR(Inv_SY_B!D61/Inv_SY_B!$IS61-1,"")</f>
        <v/>
      </c>
      <c r="E61" s="62" t="str">
        <f>IFERROR(Inv_SY_B!E61/Inv_SY_B!$IS61-1,"")</f>
        <v/>
      </c>
      <c r="F61" s="62" t="str">
        <f>IFERROR(Inv_SY_B!F61/Inv_SY_B!$IS61-1,"")</f>
        <v/>
      </c>
      <c r="G61" s="62" t="str">
        <f>IFERROR(Inv_SY_B!G61/Inv_SY_B!$IS61-1,"")</f>
        <v/>
      </c>
      <c r="H61" s="62" t="str">
        <f>IFERROR(Inv_SY_B!H61/Inv_SY_B!$IS61-1,"")</f>
        <v/>
      </c>
      <c r="I61" s="62" t="str">
        <f>IFERROR(Inv_SY_B!I61/Inv_SY_B!$IS61-1,"")</f>
        <v/>
      </c>
      <c r="J61" s="62" t="str">
        <f>IFERROR(Inv_SY_B!J61/Inv_SY_B!$IS61-1,"")</f>
        <v/>
      </c>
      <c r="K61" s="62" t="str">
        <f>IFERROR(Inv_SY_B!K61/Inv_SY_B!$IS61-1,"")</f>
        <v/>
      </c>
      <c r="L61" s="62" t="str">
        <f>IFERROR(Inv_SY_B!L61/Inv_SY_B!$IS61-1,"")</f>
        <v/>
      </c>
      <c r="M61" s="62" t="str">
        <f>IFERROR(Inv_SY_B!M61/Inv_SY_B!$IS61-1,"")</f>
        <v/>
      </c>
      <c r="N61" s="62" t="str">
        <f>IFERROR(Inv_SY_B!N61/Inv_SY_B!$IS61-1,"")</f>
        <v/>
      </c>
      <c r="O61" s="62" t="str">
        <f>IFERROR(Inv_SY_B!O61/Inv_SY_B!$IS61-1,"")</f>
        <v/>
      </c>
      <c r="P61" s="62" t="str">
        <f>IFERROR(Inv_SY_B!P61/Inv_SY_B!$IS61-1,"")</f>
        <v/>
      </c>
      <c r="Q61" s="62" t="str">
        <f>IFERROR(Inv_SY_B!Q61/Inv_SY_B!$IS61-1,"")</f>
        <v/>
      </c>
      <c r="R61" s="62" t="str">
        <f>IFERROR(Inv_SY_B!R61/Inv_SY_B!$IS61-1,"")</f>
        <v/>
      </c>
      <c r="S61" s="62" t="str">
        <f>IFERROR(Inv_SY_B!S61/Inv_SY_B!$IS61-1,"")</f>
        <v/>
      </c>
      <c r="T61" s="62" t="str">
        <f>IFERROR(Inv_SY_B!T61/Inv_SY_B!$IS61-1,"")</f>
        <v/>
      </c>
      <c r="U61" s="62" t="str">
        <f>IFERROR(Inv_SY_B!U61/Inv_SY_B!$IS61-1,"")</f>
        <v/>
      </c>
      <c r="V61" s="62" t="str">
        <f>IFERROR(Inv_SY_B!V61/Inv_SY_B!$IS61-1,"")</f>
        <v/>
      </c>
      <c r="W61" s="62" t="str">
        <f>IFERROR(Inv_SY_B!W61/Inv_SY_B!$IS61-1,"")</f>
        <v/>
      </c>
      <c r="X61" s="62" t="str">
        <f>IFERROR(Inv_SY_B!X61/Inv_SY_B!$IS61-1,"")</f>
        <v/>
      </c>
      <c r="Y61" s="62" t="str">
        <f>IFERROR(Inv_SY_B!Y61/Inv_SY_B!$IS61-1,"")</f>
        <v/>
      </c>
      <c r="Z61" s="62" t="str">
        <f>IFERROR(Inv_SY_B!Z61/Inv_SY_B!$IS61-1,"")</f>
        <v/>
      </c>
      <c r="AA61" s="62" t="str">
        <f>IFERROR(Inv_SY_B!AA61/Inv_SY_B!$IS61-1,"")</f>
        <v/>
      </c>
      <c r="AB61" s="62" t="str">
        <f>IFERROR(Inv_SY_B!AB61/Inv_SY_B!$IS61-1,"")</f>
        <v/>
      </c>
      <c r="AC61" s="62" t="str">
        <f>IFERROR(Inv_SY_B!AC61/Inv_SY_B!$IS61-1,"")</f>
        <v/>
      </c>
      <c r="AD61" s="62" t="str">
        <f>IFERROR(Inv_SY_B!AD61/Inv_SY_B!$IS61-1,"")</f>
        <v/>
      </c>
      <c r="AE61" s="62" t="str">
        <f>IFERROR(Inv_SY_B!AE61/Inv_SY_B!$IS61-1,"")</f>
        <v/>
      </c>
      <c r="AF61" s="62" t="str">
        <f>IFERROR(Inv_SY_B!AF61/Inv_SY_B!$IS61-1,"")</f>
        <v/>
      </c>
      <c r="AG61" s="62" t="str">
        <f>IFERROR(Inv_SY_B!AG61/Inv_SY_B!$IS61-1,"")</f>
        <v/>
      </c>
      <c r="AH61" s="62" t="str">
        <f>IFERROR(Inv_SY_B!AH61/Inv_SY_B!$IS61-1,"")</f>
        <v/>
      </c>
      <c r="AI61" s="62" t="str">
        <f>IFERROR(Inv_SY_B!AI61/Inv_SY_B!$IS61-1,"")</f>
        <v/>
      </c>
      <c r="AJ61" s="62" t="str">
        <f>IFERROR(Inv_SY_B!AJ61/Inv_SY_B!$IS61-1,"")</f>
        <v/>
      </c>
      <c r="AK61" s="62" t="str">
        <f>IFERROR(Inv_SY_B!AK61/Inv_SY_B!$IS61-1,"")</f>
        <v/>
      </c>
      <c r="AL61" s="62" t="str">
        <f>IFERROR(Inv_SY_B!AL61/Inv_SY_B!$IS61-1,"")</f>
        <v/>
      </c>
      <c r="AM61" s="62" t="str">
        <f>IFERROR(Inv_SY_B!AM61/Inv_SY_B!$IS61-1,"")</f>
        <v/>
      </c>
      <c r="AN61" s="62" t="str">
        <f>IFERROR(Inv_SY_B!AN61/Inv_SY_B!$IS61-1,"")</f>
        <v/>
      </c>
      <c r="AO61" s="62" t="str">
        <f>IFERROR(Inv_SY_B!AO61/Inv_SY_B!$IS61-1,"")</f>
        <v/>
      </c>
      <c r="AP61" s="62" t="str">
        <f>IFERROR(Inv_SY_B!AP61/Inv_SY_B!$IS61-1,"")</f>
        <v/>
      </c>
      <c r="AQ61" s="62" t="str">
        <f>IFERROR(Inv_SY_B!AQ61/Inv_SY_B!$IS61-1,"")</f>
        <v/>
      </c>
      <c r="AR61" s="62" t="str">
        <f>IFERROR(Inv_SY_B!AR61/Inv_SY_B!$IS61-1,"")</f>
        <v/>
      </c>
      <c r="AS61" s="62" t="str">
        <f>IFERROR(Inv_SY_B!AS61/Inv_SY_B!$IS61-1,"")</f>
        <v/>
      </c>
      <c r="AT61" s="62" t="str">
        <f>IFERROR(Inv_SY_B!AT61/Inv_SY_B!$IS61-1,"")</f>
        <v/>
      </c>
      <c r="AU61" s="62" t="str">
        <f>IFERROR(Inv_SY_B!AU61/Inv_SY_B!$IS61-1,"")</f>
        <v/>
      </c>
      <c r="AV61" s="62" t="str">
        <f>IFERROR(Inv_SY_B!AV61/Inv_SY_B!$IS61-1,"")</f>
        <v/>
      </c>
      <c r="AW61" s="62" t="str">
        <f>IFERROR(Inv_SY_B!AW61/Inv_SY_B!$IS61-1,"")</f>
        <v/>
      </c>
      <c r="AX61" s="62" t="str">
        <f>IFERROR(Inv_SY_B!AX61/Inv_SY_B!$IS61-1,"")</f>
        <v/>
      </c>
      <c r="AY61" s="62" t="str">
        <f>IFERROR(Inv_SY_B!AY61/Inv_SY_B!$IS61-1,"")</f>
        <v/>
      </c>
      <c r="AZ61" s="62" t="str">
        <f>IFERROR(Inv_SY_B!AZ61/Inv_SY_B!$IS61-1,"")</f>
        <v/>
      </c>
      <c r="BA61" s="62" t="str">
        <f>IFERROR(Inv_SY_B!BA61/Inv_SY_B!$IS61-1,"")</f>
        <v/>
      </c>
      <c r="BB61" s="62" t="str">
        <f>IFERROR(Inv_SY_B!BB61/Inv_SY_B!$IS61-1,"")</f>
        <v/>
      </c>
      <c r="BC61" s="62" t="str">
        <f>IFERROR(Inv_SY_B!BC61/Inv_SY_B!$IS61-1,"")</f>
        <v/>
      </c>
      <c r="BD61" s="62" t="str">
        <f>IFERROR(Inv_SY_B!BD61/Inv_SY_B!$IS61-1,"")</f>
        <v/>
      </c>
      <c r="BE61" s="62" t="str">
        <f>IFERROR(Inv_SY_B!BE61/Inv_SY_B!$IS61-1,"")</f>
        <v/>
      </c>
      <c r="BF61" s="62" t="str">
        <f>IFERROR(Inv_SY_B!BF61/Inv_SY_B!$IS61-1,"")</f>
        <v/>
      </c>
      <c r="BG61" s="62" t="str">
        <f>IFERROR(Inv_SY_B!BG61/Inv_SY_B!$IS61-1,"")</f>
        <v/>
      </c>
      <c r="BH61" s="62" t="str">
        <f>IFERROR(Inv_SY_B!BH61/Inv_SY_B!$IS61-1,"")</f>
        <v/>
      </c>
      <c r="BI61" s="62" t="str">
        <f>IFERROR(Inv_SY_B!BI61/Inv_SY_B!$IS61-1,"")</f>
        <v/>
      </c>
      <c r="BJ61" s="62" t="str">
        <f>IFERROR(Inv_SY_B!BJ61/Inv_SY_B!$IS61-1,"")</f>
        <v/>
      </c>
      <c r="BK61" s="62" t="str">
        <f>IFERROR(Inv_SY_B!BK61/Inv_SY_B!$IS61-1,"")</f>
        <v/>
      </c>
      <c r="BL61" s="62" t="str">
        <f>IFERROR(Inv_SY_B!BL61/Inv_SY_B!$IS61-1,"")</f>
        <v/>
      </c>
      <c r="BM61" s="62" t="str">
        <f>IFERROR(Inv_SY_B!BM61/Inv_SY_B!$IS61-1,"")</f>
        <v/>
      </c>
      <c r="BN61" s="62" t="str">
        <f>IFERROR(Inv_SY_B!BN61/Inv_SY_B!$IS61-1,"")</f>
        <v/>
      </c>
      <c r="BO61" s="62" t="str">
        <f>IFERROR(Inv_SY_B!BO61/Inv_SY_B!$IS61-1,"")</f>
        <v/>
      </c>
      <c r="BP61" s="62" t="str">
        <f>IFERROR(Inv_SY_B!BP61/Inv_SY_B!$IS61-1,"")</f>
        <v/>
      </c>
      <c r="BQ61" s="62" t="str">
        <f>IFERROR(Inv_SY_B!BQ61/Inv_SY_B!$IS61-1,"")</f>
        <v/>
      </c>
      <c r="BR61" s="62" t="str">
        <f>IFERROR(Inv_SY_B!BR61/Inv_SY_B!$IS61-1,"")</f>
        <v/>
      </c>
      <c r="BS61" s="62" t="str">
        <f>IFERROR(Inv_SY_B!BS61/Inv_SY_B!$IS61-1,"")</f>
        <v/>
      </c>
      <c r="BT61" s="62" t="str">
        <f>IFERROR(Inv_SY_B!BT61/Inv_SY_B!$IS61-1,"")</f>
        <v/>
      </c>
      <c r="BU61" s="62" t="str">
        <f>IFERROR(Inv_SY_B!BU61/Inv_SY_B!$IS61-1,"")</f>
        <v/>
      </c>
      <c r="BV61" s="62" t="str">
        <f>IFERROR(Inv_SY_B!BV61/Inv_SY_B!$IS61-1,"")</f>
        <v/>
      </c>
      <c r="BW61" s="62" t="str">
        <f>IFERROR(Inv_SY_B!BW61/Inv_SY_B!$IS61-1,"")</f>
        <v/>
      </c>
      <c r="BX61" s="62" t="str">
        <f>IFERROR(Inv_SY_B!BX61/Inv_SY_B!$IS61-1,"")</f>
        <v/>
      </c>
      <c r="BY61" s="62" t="str">
        <f>IFERROR(Inv_SY_B!BY61/Inv_SY_B!$IS61-1,"")</f>
        <v/>
      </c>
      <c r="BZ61" s="62" t="str">
        <f>IFERROR(Inv_SY_B!BZ61/Inv_SY_B!$IS61-1,"")</f>
        <v/>
      </c>
      <c r="CA61" s="62" t="str">
        <f>IFERROR(Inv_SY_B!CA61/Inv_SY_B!$IS61-1,"")</f>
        <v/>
      </c>
      <c r="CB61" s="62" t="str">
        <f>IFERROR(Inv_SY_B!CB61/Inv_SY_B!$IS61-1,"")</f>
        <v/>
      </c>
      <c r="CC61" s="62" t="str">
        <f>IFERROR(Inv_SY_B!CC61/Inv_SY_B!$IS61-1,"")</f>
        <v/>
      </c>
      <c r="CD61" s="62" t="str">
        <f>IFERROR(Inv_SY_B!CD61/Inv_SY_B!$IS61-1,"")</f>
        <v/>
      </c>
      <c r="CE61" s="62" t="str">
        <f>IFERROR(Inv_SY_B!CE61/Inv_SY_B!$IS61-1,"")</f>
        <v/>
      </c>
      <c r="CF61" s="62" t="str">
        <f>IFERROR(Inv_SY_B!CF61/Inv_SY_B!$IS61-1,"")</f>
        <v/>
      </c>
      <c r="CG61" s="62" t="str">
        <f>IFERROR(Inv_SY_B!CG61/Inv_SY_B!$IS61-1,"")</f>
        <v/>
      </c>
      <c r="CH61" s="62" t="str">
        <f>IFERROR(Inv_SY_B!CH61/Inv_SY_B!$IS61-1,"")</f>
        <v/>
      </c>
      <c r="CI61" s="62" t="str">
        <f>IFERROR(Inv_SY_B!CI61/Inv_SY_B!$IS61-1,"")</f>
        <v/>
      </c>
      <c r="CJ61" s="62" t="str">
        <f>IFERROR(Inv_SY_B!CJ61/Inv_SY_B!$IS61-1,"")</f>
        <v/>
      </c>
      <c r="CK61" s="62" t="str">
        <f>IFERROR(Inv_SY_B!CK61/Inv_SY_B!$IS61-1,"")</f>
        <v/>
      </c>
      <c r="CL61" s="62" t="str">
        <f>IFERROR(Inv_SY_B!CL61/Inv_SY_B!$IS61-1,"")</f>
        <v/>
      </c>
      <c r="CM61" s="62" t="str">
        <f>IFERROR(Inv_SY_B!CM61/Inv_SY_B!$IS61-1,"")</f>
        <v/>
      </c>
      <c r="CN61" s="62" t="str">
        <f>IFERROR(Inv_SY_B!CN61/Inv_SY_B!$IS61-1,"")</f>
        <v/>
      </c>
      <c r="CO61" s="62" t="str">
        <f>IFERROR(Inv_SY_B!CO61/Inv_SY_B!$IS61-1,"")</f>
        <v/>
      </c>
      <c r="CP61" s="62" t="str">
        <f>IFERROR(Inv_SY_B!CP61/Inv_SY_B!$IS61-1,"")</f>
        <v/>
      </c>
      <c r="CQ61" s="62" t="str">
        <f>IFERROR(Inv_SY_B!CQ61/Inv_SY_B!$IS61-1,"")</f>
        <v/>
      </c>
      <c r="CR61" s="62" t="str">
        <f>IFERROR(Inv_SY_B!CR61/Inv_SY_B!$IS61-1,"")</f>
        <v/>
      </c>
      <c r="CS61" s="62" t="str">
        <f>IFERROR(Inv_SY_B!CS61/Inv_SY_B!$IS61-1,"")</f>
        <v/>
      </c>
      <c r="CT61" s="62" t="str">
        <f>IFERROR(Inv_SY_B!CT61/Inv_SY_B!$IS61-1,"")</f>
        <v/>
      </c>
      <c r="CU61" s="62" t="str">
        <f>IFERROR(Inv_SY_B!CU61/Inv_SY_B!$IS61-1,"")</f>
        <v/>
      </c>
      <c r="CV61" s="62" t="str">
        <f>IFERROR(Inv_SY_B!CV61/Inv_SY_B!$IS61-1,"")</f>
        <v/>
      </c>
      <c r="CW61" s="62" t="str">
        <f>IFERROR(Inv_SY_B!CW61/Inv_SY_B!$IS61-1,"")</f>
        <v/>
      </c>
      <c r="CX61" s="62" t="str">
        <f>IFERROR(Inv_SY_B!CX61/Inv_SY_B!$IS61-1,"")</f>
        <v/>
      </c>
      <c r="CY61" s="62" t="str">
        <f>IFERROR(Inv_SY_B!CY61/Inv_SY_B!$IS61-1,"")</f>
        <v/>
      </c>
      <c r="CZ61" s="62" t="str">
        <f>IFERROR(Inv_SY_B!CZ61/Inv_SY_B!$IS61-1,"")</f>
        <v/>
      </c>
      <c r="DA61" s="62" t="str">
        <f>IFERROR(Inv_SY_B!DA61/Inv_SY_B!$IS61-1,"")</f>
        <v/>
      </c>
      <c r="DB61" s="62" t="str">
        <f>IFERROR(Inv_SY_B!DB61/Inv_SY_B!$IS61-1,"")</f>
        <v/>
      </c>
      <c r="DC61" s="62" t="str">
        <f>IFERROR(Inv_SY_B!DC61/Inv_SY_B!$IS61-1,"")</f>
        <v/>
      </c>
      <c r="DD61" s="62" t="str">
        <f>IFERROR(Inv_SY_B!DD61/Inv_SY_B!$IS61-1,"")</f>
        <v/>
      </c>
      <c r="DE61" s="62" t="str">
        <f>IFERROR(Inv_SY_B!DE61/Inv_SY_B!$IS61-1,"")</f>
        <v/>
      </c>
      <c r="DF61" s="62" t="str">
        <f>IFERROR(Inv_SY_B!DF61/Inv_SY_B!$IS61-1,"")</f>
        <v/>
      </c>
      <c r="DG61" s="62" t="str">
        <f>IFERROR(Inv_SY_B!DG61/Inv_SY_B!$IS61-1,"")</f>
        <v/>
      </c>
      <c r="DH61" s="62" t="str">
        <f>IFERROR(Inv_SY_B!DH61/Inv_SY_B!$IS61-1,"")</f>
        <v/>
      </c>
      <c r="DI61" s="62" t="str">
        <f>IFERROR(Inv_SY_B!DI61/Inv_SY_B!$IS61-1,"")</f>
        <v/>
      </c>
      <c r="DJ61" s="62" t="str">
        <f>IFERROR(Inv_SY_B!DJ61/Inv_SY_B!$IS61-1,"")</f>
        <v/>
      </c>
      <c r="DK61" s="62" t="str">
        <f>IFERROR(Inv_SY_B!DK61/Inv_SY_B!$IS61-1,"")</f>
        <v/>
      </c>
      <c r="DL61" s="62" t="str">
        <f>IFERROR(Inv_SY_B!DL61/Inv_SY_B!$IS61-1,"")</f>
        <v/>
      </c>
      <c r="DM61" s="62" t="str">
        <f>IFERROR(Inv_SY_B!DM61/Inv_SY_B!$IS61-1,"")</f>
        <v/>
      </c>
      <c r="DN61" s="62" t="str">
        <f>IFERROR(Inv_SY_B!DN61/Inv_SY_B!$IS61-1,"")</f>
        <v/>
      </c>
      <c r="DO61" s="62" t="str">
        <f>IFERROR(Inv_SY_B!DO61/Inv_SY_B!$IS61-1,"")</f>
        <v/>
      </c>
      <c r="DP61" s="62" t="str">
        <f>IFERROR(Inv_SY_B!DP61/Inv_SY_B!$IS61-1,"")</f>
        <v/>
      </c>
      <c r="DQ61" s="62" t="str">
        <f>IFERROR(Inv_SY_B!DQ61/Inv_SY_B!$IS61-1,"")</f>
        <v/>
      </c>
      <c r="DR61" s="62" t="str">
        <f>IFERROR(Inv_SY_B!DR61/Inv_SY_B!$IS61-1,"")</f>
        <v/>
      </c>
      <c r="DS61" s="62" t="str">
        <f>IFERROR(Inv_SY_B!DS61/Inv_SY_B!$IS61-1,"")</f>
        <v/>
      </c>
      <c r="DT61" s="62" t="str">
        <f>IFERROR(Inv_SY_B!DT61/Inv_SY_B!$IS61-1,"")</f>
        <v/>
      </c>
      <c r="DU61" s="62" t="str">
        <f>IFERROR(Inv_SY_B!DU61/Inv_SY_B!$IS61-1,"")</f>
        <v/>
      </c>
      <c r="DV61" s="62" t="str">
        <f>IFERROR(Inv_SY_B!DV61/Inv_SY_B!$IS61-1,"")</f>
        <v/>
      </c>
      <c r="DW61" s="62" t="str">
        <f>IFERROR(Inv_SY_B!DW61/Inv_SY_B!$IS61-1,"")</f>
        <v/>
      </c>
      <c r="DX61" s="62" t="str">
        <f>IFERROR(Inv_SY_B!DX61/Inv_SY_B!$IS61-1,"")</f>
        <v/>
      </c>
      <c r="DY61" s="62" t="str">
        <f>IFERROR(Inv_SY_B!DY61/Inv_SY_B!$IS61-1,"")</f>
        <v/>
      </c>
      <c r="DZ61" s="62" t="str">
        <f>IFERROR(Inv_SY_B!DZ61/Inv_SY_B!$IS61-1,"")</f>
        <v/>
      </c>
      <c r="EA61" s="62" t="str">
        <f>IFERROR(Inv_SY_B!EA61/Inv_SY_B!$IS61-1,"")</f>
        <v/>
      </c>
      <c r="EB61" s="62" t="str">
        <f>IFERROR(Inv_SY_B!EB61/Inv_SY_B!$IS61-1,"")</f>
        <v/>
      </c>
      <c r="EC61" s="62" t="str">
        <f>IFERROR(Inv_SY_B!EC61/Inv_SY_B!$IS61-1,"")</f>
        <v/>
      </c>
      <c r="ED61" s="62" t="str">
        <f>IFERROR(Inv_SY_B!ED61/Inv_SY_B!$IS61-1,"")</f>
        <v/>
      </c>
      <c r="EE61" s="62" t="str">
        <f>IFERROR(Inv_SY_B!EE61/Inv_SY_B!$IS61-1,"")</f>
        <v/>
      </c>
      <c r="EF61" s="62" t="str">
        <f>IFERROR(Inv_SY_B!EF61/Inv_SY_B!$IS61-1,"")</f>
        <v/>
      </c>
      <c r="EG61" s="62" t="str">
        <f>IFERROR(Inv_SY_B!EG61/Inv_SY_B!$IS61-1,"")</f>
        <v/>
      </c>
      <c r="EH61" s="62" t="str">
        <f>IFERROR(Inv_SY_B!EH61/Inv_SY_B!$IS61-1,"")</f>
        <v/>
      </c>
      <c r="EI61" s="62" t="str">
        <f>IFERROR(Inv_SY_B!EI61/Inv_SY_B!$IS61-1,"")</f>
        <v/>
      </c>
      <c r="EJ61" s="62" t="str">
        <f>IFERROR(Inv_SY_B!EJ61/Inv_SY_B!$IS61-1,"")</f>
        <v/>
      </c>
      <c r="EK61" s="62" t="str">
        <f>IFERROR(Inv_SY_B!EK61/Inv_SY_B!$IS61-1,"")</f>
        <v/>
      </c>
      <c r="EL61" s="62" t="str">
        <f>IFERROR(Inv_SY_B!EL61/Inv_SY_B!$IS61-1,"")</f>
        <v/>
      </c>
      <c r="EM61" s="62" t="str">
        <f>IFERROR(Inv_SY_B!EM61/Inv_SY_B!$IS61-1,"")</f>
        <v/>
      </c>
      <c r="EN61" s="62" t="str">
        <f>IFERROR(Inv_SY_B!EN61/Inv_SY_B!$IS61-1,"")</f>
        <v/>
      </c>
      <c r="EO61" s="62" t="str">
        <f>IFERROR(Inv_SY_B!EO61/Inv_SY_B!$IS61-1,"")</f>
        <v/>
      </c>
      <c r="EP61" s="62" t="str">
        <f>IFERROR(Inv_SY_B!EP61/Inv_SY_B!$IS61-1,"")</f>
        <v/>
      </c>
      <c r="EQ61" s="62" t="str">
        <f>IFERROR(Inv_SY_B!EQ61/Inv_SY_B!$IS61-1,"")</f>
        <v/>
      </c>
      <c r="ER61" s="62" t="str">
        <f>IFERROR(Inv_SY_B!ER61/Inv_SY_B!$IS61-1,"")</f>
        <v/>
      </c>
      <c r="ES61" s="62" t="str">
        <f>IFERROR(Inv_SY_B!ES61/Inv_SY_B!$IS61-1,"")</f>
        <v/>
      </c>
      <c r="ET61" s="62" t="str">
        <f>IFERROR(Inv_SY_B!ET61/Inv_SY_B!$IS61-1,"")</f>
        <v/>
      </c>
      <c r="EU61" s="62" t="str">
        <f>IFERROR(Inv_SY_B!EU61/Inv_SY_B!$IS61-1,"")</f>
        <v/>
      </c>
      <c r="EV61" s="62" t="str">
        <f>IFERROR(Inv_SY_B!EV61/Inv_SY_B!$IS61-1,"")</f>
        <v/>
      </c>
      <c r="EW61" s="62" t="str">
        <f>IFERROR(Inv_SY_B!EW61/Inv_SY_B!$IS61-1,"")</f>
        <v/>
      </c>
      <c r="EX61" s="62" t="str">
        <f>IFERROR(Inv_SY_B!EX61/Inv_SY_B!$IS61-1,"")</f>
        <v/>
      </c>
      <c r="EY61" s="62" t="str">
        <f>IFERROR(Inv_SY_B!EY61/Inv_SY_B!$IS61-1,"")</f>
        <v/>
      </c>
      <c r="EZ61" s="62" t="str">
        <f>IFERROR(Inv_SY_B!EZ61/Inv_SY_B!$IS61-1,"")</f>
        <v/>
      </c>
      <c r="FA61" s="62" t="str">
        <f>IFERROR(Inv_SY_B!FA61/Inv_SY_B!$IS61-1,"")</f>
        <v/>
      </c>
      <c r="FB61" s="62" t="str">
        <f>IFERROR(Inv_SY_B!FB61/Inv_SY_B!$IS61-1,"")</f>
        <v/>
      </c>
      <c r="FC61" s="62" t="str">
        <f>IFERROR(Inv_SY_B!FC61/Inv_SY_B!$IS61-1,"")</f>
        <v/>
      </c>
      <c r="FD61" s="62" t="str">
        <f>IFERROR(Inv_SY_B!FD61/Inv_SY_B!$IS61-1,"")</f>
        <v/>
      </c>
      <c r="FE61" s="62" t="str">
        <f>IFERROR(Inv_SY_B!FE61/Inv_SY_B!$IS61-1,"")</f>
        <v/>
      </c>
      <c r="FF61" s="62" t="str">
        <f>IFERROR(Inv_SY_B!FF61/Inv_SY_B!$IS61-1,"")</f>
        <v/>
      </c>
      <c r="FG61" s="62" t="str">
        <f>IFERROR(Inv_SY_B!FG61/Inv_SY_B!$IS61-1,"")</f>
        <v/>
      </c>
      <c r="FH61" s="62" t="str">
        <f>IFERROR(Inv_SY_B!FH61/Inv_SY_B!$IS61-1,"")</f>
        <v/>
      </c>
      <c r="FI61" s="62" t="str">
        <f>IFERROR(Inv_SY_B!FI61/Inv_SY_B!$IS61-1,"")</f>
        <v/>
      </c>
      <c r="FJ61" s="62" t="str">
        <f>IFERROR(Inv_SY_B!FJ61/Inv_SY_B!$IS61-1,"")</f>
        <v/>
      </c>
      <c r="FK61" s="62" t="str">
        <f>IFERROR(Inv_SY_B!FK61/Inv_SY_B!$IS61-1,"")</f>
        <v/>
      </c>
      <c r="FL61" s="62" t="str">
        <f>IFERROR(Inv_SY_B!FL61/Inv_SY_B!$IS61-1,"")</f>
        <v/>
      </c>
      <c r="FM61" s="62" t="str">
        <f>IFERROR(Inv_SY_B!FM61/Inv_SY_B!$IS61-1,"")</f>
        <v/>
      </c>
      <c r="FN61" s="62" t="str">
        <f>IFERROR(Inv_SY_B!FN61/Inv_SY_B!$IS61-1,"")</f>
        <v/>
      </c>
      <c r="FO61" s="62" t="str">
        <f>IFERROR(Inv_SY_B!FO61/Inv_SY_B!$IS61-1,"")</f>
        <v/>
      </c>
      <c r="FP61" s="62" t="str">
        <f>IFERROR(Inv_SY_B!FP61/Inv_SY_B!$IS61-1,"")</f>
        <v/>
      </c>
      <c r="FQ61" s="62" t="str">
        <f>IFERROR(Inv_SY_B!FQ61/Inv_SY_B!$IS61-1,"")</f>
        <v/>
      </c>
      <c r="FR61" s="62" t="str">
        <f>IFERROR(Inv_SY_B!FR61/Inv_SY_B!$IS61-1,"")</f>
        <v/>
      </c>
      <c r="FS61" s="62" t="str">
        <f>IFERROR(Inv_SY_B!FS61/Inv_SY_B!$IS61-1,"")</f>
        <v/>
      </c>
      <c r="FT61" s="62" t="str">
        <f>IFERROR(Inv_SY_B!FT61/Inv_SY_B!$IS61-1,"")</f>
        <v/>
      </c>
      <c r="FU61" s="62" t="str">
        <f>IFERROR(Inv_SY_B!FU61/Inv_SY_B!$IS61-1,"")</f>
        <v/>
      </c>
      <c r="FV61" s="62" t="str">
        <f>IFERROR(Inv_SY_B!FV61/Inv_SY_B!$IS61-1,"")</f>
        <v/>
      </c>
      <c r="FW61" s="62" t="str">
        <f>IFERROR(Inv_SY_B!FW61/Inv_SY_B!$IS61-1,"")</f>
        <v/>
      </c>
      <c r="FX61" s="62" t="str">
        <f>IFERROR(Inv_SY_B!FX61/Inv_SY_B!$IS61-1,"")</f>
        <v/>
      </c>
      <c r="FY61" s="62" t="str">
        <f>IFERROR(Inv_SY_B!FY61/Inv_SY_B!$IS61-1,"")</f>
        <v/>
      </c>
      <c r="FZ61" s="62" t="str">
        <f>IFERROR(Inv_SY_B!FZ61/Inv_SY_B!$IS61-1,"")</f>
        <v/>
      </c>
      <c r="GA61" s="62" t="str">
        <f>IFERROR(Inv_SY_B!GA61/Inv_SY_B!$IS61-1,"")</f>
        <v/>
      </c>
      <c r="GB61" s="62" t="str">
        <f>IFERROR(Inv_SY_B!GB61/Inv_SY_B!$IS61-1,"")</f>
        <v/>
      </c>
      <c r="GC61" s="62" t="str">
        <f>IFERROR(Inv_SY_B!GC61/Inv_SY_B!$IS61-1,"")</f>
        <v/>
      </c>
      <c r="GD61" s="62" t="str">
        <f>IFERROR(Inv_SY_B!GD61/Inv_SY_B!$IS61-1,"")</f>
        <v/>
      </c>
      <c r="GE61" s="62" t="str">
        <f>IFERROR(Inv_SY_B!GE61/Inv_SY_B!$IS61-1,"")</f>
        <v/>
      </c>
      <c r="GF61" s="62" t="str">
        <f>IFERROR(Inv_SY_B!GF61/Inv_SY_B!$IS61-1,"")</f>
        <v/>
      </c>
      <c r="GG61" s="62" t="str">
        <f>IFERROR(Inv_SY_B!GG61/Inv_SY_B!$IS61-1,"")</f>
        <v/>
      </c>
      <c r="GH61" s="62" t="str">
        <f>IFERROR(Inv_SY_B!GH61/Inv_SY_B!$IS61-1,"")</f>
        <v/>
      </c>
      <c r="GI61" s="62" t="str">
        <f>IFERROR(Inv_SY_B!GI61/Inv_SY_B!$IS61-1,"")</f>
        <v/>
      </c>
      <c r="GJ61" s="62" t="str">
        <f>IFERROR(Inv_SY_B!GJ61/Inv_SY_B!$IS61-1,"")</f>
        <v/>
      </c>
      <c r="GK61" s="62" t="str">
        <f>IFERROR(Inv_SY_B!GK61/Inv_SY_B!$IS61-1,"")</f>
        <v/>
      </c>
      <c r="GL61" s="62" t="str">
        <f>IFERROR(Inv_SY_B!GL61/Inv_SY_B!$IS61-1,"")</f>
        <v/>
      </c>
      <c r="GM61" s="62" t="str">
        <f>IFERROR(Inv_SY_B!GM61/Inv_SY_B!$IS61-1,"")</f>
        <v/>
      </c>
      <c r="GN61" s="62" t="str">
        <f>IFERROR(Inv_SY_B!GN61/Inv_SY_B!$IS61-1,"")</f>
        <v/>
      </c>
      <c r="GO61" s="62" t="str">
        <f>IFERROR(Inv_SY_B!GO61/Inv_SY_B!$IS61-1,"")</f>
        <v/>
      </c>
      <c r="GP61" s="62" t="str">
        <f>IFERROR(Inv_SY_B!GP61/Inv_SY_B!$IS61-1,"")</f>
        <v/>
      </c>
      <c r="GQ61" s="62" t="str">
        <f>IFERROR(Inv_SY_B!GQ61/Inv_SY_B!$IS61-1,"")</f>
        <v/>
      </c>
      <c r="GR61" s="62" t="str">
        <f>IFERROR(Inv_SY_B!GR61/Inv_SY_B!$IS61-1,"")</f>
        <v/>
      </c>
      <c r="GS61" s="62" t="str">
        <f>IFERROR(Inv_SY_B!GS61/Inv_SY_B!$IS61-1,"")</f>
        <v/>
      </c>
      <c r="GT61" s="62" t="str">
        <f>IFERROR(Inv_SY_B!GT61/Inv_SY_B!$IS61-1,"")</f>
        <v/>
      </c>
      <c r="GU61" s="62" t="str">
        <f>IFERROR(Inv_SY_B!GU61/Inv_SY_B!$IS61-1,"")</f>
        <v/>
      </c>
      <c r="GV61" s="62" t="str">
        <f>IFERROR(Inv_SY_B!GV61/Inv_SY_B!$IS61-1,"")</f>
        <v/>
      </c>
      <c r="GW61" s="62" t="str">
        <f>IFERROR(Inv_SY_B!GW61/Inv_SY_B!$IS61-1,"")</f>
        <v/>
      </c>
      <c r="GX61" s="62" t="str">
        <f>IFERROR(Inv_SY_B!GX61/Inv_SY_B!$IS61-1,"")</f>
        <v/>
      </c>
      <c r="GY61" s="62" t="str">
        <f>IFERROR(Inv_SY_B!GY61/Inv_SY_B!$IS61-1,"")</f>
        <v/>
      </c>
      <c r="GZ61" s="62" t="str">
        <f>IFERROR(Inv_SY_B!GZ61/Inv_SY_B!$IS61-1,"")</f>
        <v/>
      </c>
      <c r="HA61" s="62" t="str">
        <f>IFERROR(Inv_SY_B!HA61/Inv_SY_B!$IS61-1,"")</f>
        <v/>
      </c>
      <c r="HB61" s="62" t="str">
        <f>IFERROR(Inv_SY_B!HB61/Inv_SY_B!$IS61-1,"")</f>
        <v/>
      </c>
      <c r="HC61" s="62" t="str">
        <f>IFERROR(Inv_SY_B!HC61/Inv_SY_B!$IS61-1,"")</f>
        <v/>
      </c>
      <c r="HD61" s="62" t="str">
        <f>IFERROR(Inv_SY_B!HD61/Inv_SY_B!$IS61-1,"")</f>
        <v/>
      </c>
      <c r="HE61" s="62" t="str">
        <f>IFERROR(Inv_SY_B!HE61/Inv_SY_B!$IS61-1,"")</f>
        <v/>
      </c>
      <c r="HF61" s="62" t="str">
        <f>IFERROR(Inv_SY_B!HF61/Inv_SY_B!$IS61-1,"")</f>
        <v/>
      </c>
      <c r="HG61" s="62" t="str">
        <f>IFERROR(Inv_SY_B!HG61/Inv_SY_B!$IS61-1,"")</f>
        <v/>
      </c>
      <c r="HH61" s="62" t="str">
        <f>IFERROR(Inv_SY_B!HH61/Inv_SY_B!$IS61-1,"")</f>
        <v/>
      </c>
      <c r="HI61" s="62" t="str">
        <f>IFERROR(Inv_SY_B!HI61/Inv_SY_B!$IS61-1,"")</f>
        <v/>
      </c>
      <c r="HJ61" s="62" t="str">
        <f>IFERROR(Inv_SY_B!HJ61/Inv_SY_B!$IS61-1,"")</f>
        <v/>
      </c>
      <c r="HK61" s="62" t="str">
        <f>IFERROR(Inv_SY_B!HK61/Inv_SY_B!$IS61-1,"")</f>
        <v/>
      </c>
      <c r="HL61" s="62" t="str">
        <f>IFERROR(Inv_SY_B!HL61/Inv_SY_B!$IS61-1,"")</f>
        <v/>
      </c>
      <c r="HM61" s="62" t="str">
        <f>IFERROR(Inv_SY_B!HM61/Inv_SY_B!$IS61-1,"")</f>
        <v/>
      </c>
      <c r="HN61" s="62" t="str">
        <f>IFERROR(Inv_SY_B!HN61/Inv_SY_B!$IS61-1,"")</f>
        <v/>
      </c>
      <c r="HO61" s="62" t="str">
        <f>IFERROR(Inv_SY_B!HO61/Inv_SY_B!$IS61-1,"")</f>
        <v/>
      </c>
      <c r="HP61" s="62" t="str">
        <f>IFERROR(Inv_SY_B!HP61/Inv_SY_B!$IS61-1,"")</f>
        <v/>
      </c>
      <c r="HQ61" s="62" t="str">
        <f>IFERROR(Inv_SY_B!HQ61/Inv_SY_B!$IS61-1,"")</f>
        <v/>
      </c>
      <c r="HR61" s="62" t="str">
        <f>IFERROR(Inv_SY_B!HR61/Inv_SY_B!$IS61-1,"")</f>
        <v/>
      </c>
      <c r="HS61" s="62" t="str">
        <f>IFERROR(Inv_SY_B!HS61/Inv_SY_B!$IS61-1,"")</f>
        <v/>
      </c>
      <c r="HT61" s="62" t="str">
        <f>IFERROR(Inv_SY_B!HT61/Inv_SY_B!$IS61-1,"")</f>
        <v/>
      </c>
      <c r="HU61" s="62" t="str">
        <f>IFERROR(Inv_SY_B!HU61/Inv_SY_B!$IS61-1,"")</f>
        <v/>
      </c>
      <c r="HV61" s="62" t="str">
        <f>IFERROR(Inv_SY_B!HV61/Inv_SY_B!$IS61-1,"")</f>
        <v/>
      </c>
      <c r="HW61" s="62" t="str">
        <f>IFERROR(Inv_SY_B!HW61/Inv_SY_B!$IS61-1,"")</f>
        <v/>
      </c>
      <c r="HX61" s="62" t="str">
        <f>IFERROR(Inv_SY_B!HX61/Inv_SY_B!$IS61-1,"")</f>
        <v/>
      </c>
      <c r="HY61" s="62" t="str">
        <f>IFERROR(Inv_SY_B!HY61/Inv_SY_B!$IS61-1,"")</f>
        <v/>
      </c>
      <c r="HZ61" s="62" t="str">
        <f>IFERROR(Inv_SY_B!HZ61/Inv_SY_B!$IS61-1,"")</f>
        <v/>
      </c>
      <c r="IA61" s="62" t="str">
        <f>IFERROR(Inv_SY_B!IA61/Inv_SY_B!$IS61-1,"")</f>
        <v/>
      </c>
      <c r="IB61" s="62" t="str">
        <f>IFERROR(Inv_SY_B!IB61/Inv_SY_B!$IS61-1,"")</f>
        <v/>
      </c>
      <c r="IC61" s="62" t="str">
        <f>IFERROR(Inv_SY_B!IC61/Inv_SY_B!$IS61-1,"")</f>
        <v/>
      </c>
      <c r="ID61" s="62" t="str">
        <f>IFERROR(Inv_SY_B!ID61/Inv_SY_B!$IS61-1,"")</f>
        <v/>
      </c>
      <c r="IE61" s="62" t="str">
        <f>IFERROR(Inv_SY_B!IE61/Inv_SY_B!$IS61-1,"")</f>
        <v/>
      </c>
      <c r="IF61" s="62" t="str">
        <f>IFERROR(Inv_SY_B!IF61/Inv_SY_B!$IS61-1,"")</f>
        <v/>
      </c>
      <c r="IG61" s="62" t="str">
        <f>IFERROR(Inv_SY_B!IG61/Inv_SY_B!$IS61-1,"")</f>
        <v/>
      </c>
      <c r="IH61" s="62" t="str">
        <f>IFERROR(Inv_SY_B!IH61/Inv_SY_B!$IS61-1,"")</f>
        <v/>
      </c>
      <c r="II61" s="62" t="str">
        <f>IFERROR(Inv_SY_B!II61/Inv_SY_B!$IS61-1,"")</f>
        <v/>
      </c>
      <c r="IJ61" s="62" t="str">
        <f>IFERROR(Inv_SY_B!IJ61/Inv_SY_B!$IS61-1,"")</f>
        <v/>
      </c>
      <c r="IK61" s="62" t="str">
        <f>IFERROR(Inv_SY_B!IK61/Inv_SY_B!$IS61-1,"")</f>
        <v/>
      </c>
      <c r="IL61" s="62" t="str">
        <f>IFERROR(Inv_SY_B!IL61/Inv_SY_B!$IS61-1,"")</f>
        <v/>
      </c>
      <c r="IM61" s="62" t="str">
        <f>IFERROR(Inv_SY_B!IM61/Inv_SY_B!$IS61-1,"")</f>
        <v/>
      </c>
      <c r="IN61" s="62" t="str">
        <f>IFERROR(Inv_SY_B!IN61/Inv_SY_B!$IS61-1,"")</f>
        <v/>
      </c>
      <c r="IO61" s="62" t="str">
        <f>IFERROR(Inv_SY_B!IO61/Inv_SY_B!$IS61-1,"")</f>
        <v/>
      </c>
      <c r="IP61" s="62" t="str">
        <f>IFERROR(Inv_SY_B!IP61/Inv_SY_B!$IS61-1,"")</f>
        <v/>
      </c>
      <c r="IQ61" s="62" t="str">
        <f>IFERROR(Inv_SY_B!IQ61/Inv_SY_B!$IS61-1,"")</f>
        <v/>
      </c>
      <c r="IR61" s="62" t="str">
        <f>IFERROR(Inv_SY_B!IR61/Inv_SY_B!$IS61-1,"")</f>
        <v/>
      </c>
    </row>
    <row r="62" spans="2:252" x14ac:dyDescent="0.25">
      <c r="B62" s="85">
        <f t="shared" si="1"/>
        <v>45888</v>
      </c>
      <c r="C62" s="62" t="str">
        <f>IFERROR(Inv_SY_B!C62/Inv_SY_B!$IS62-1,"")</f>
        <v/>
      </c>
      <c r="D62" s="62" t="str">
        <f>IFERROR(Inv_SY_B!D62/Inv_SY_B!$IS62-1,"")</f>
        <v/>
      </c>
      <c r="E62" s="62" t="str">
        <f>IFERROR(Inv_SY_B!E62/Inv_SY_B!$IS62-1,"")</f>
        <v/>
      </c>
      <c r="F62" s="62" t="str">
        <f>IFERROR(Inv_SY_B!F62/Inv_SY_B!$IS62-1,"")</f>
        <v/>
      </c>
      <c r="G62" s="62" t="str">
        <f>IFERROR(Inv_SY_B!G62/Inv_SY_B!$IS62-1,"")</f>
        <v/>
      </c>
      <c r="H62" s="62" t="str">
        <f>IFERROR(Inv_SY_B!H62/Inv_SY_B!$IS62-1,"")</f>
        <v/>
      </c>
      <c r="I62" s="62" t="str">
        <f>IFERROR(Inv_SY_B!I62/Inv_SY_B!$IS62-1,"")</f>
        <v/>
      </c>
      <c r="J62" s="62" t="str">
        <f>IFERROR(Inv_SY_B!J62/Inv_SY_B!$IS62-1,"")</f>
        <v/>
      </c>
      <c r="K62" s="62" t="str">
        <f>IFERROR(Inv_SY_B!K62/Inv_SY_B!$IS62-1,"")</f>
        <v/>
      </c>
      <c r="L62" s="62" t="str">
        <f>IFERROR(Inv_SY_B!L62/Inv_SY_B!$IS62-1,"")</f>
        <v/>
      </c>
      <c r="M62" s="62" t="str">
        <f>IFERROR(Inv_SY_B!M62/Inv_SY_B!$IS62-1,"")</f>
        <v/>
      </c>
      <c r="N62" s="62" t="str">
        <f>IFERROR(Inv_SY_B!N62/Inv_SY_B!$IS62-1,"")</f>
        <v/>
      </c>
      <c r="O62" s="62" t="str">
        <f>IFERROR(Inv_SY_B!O62/Inv_SY_B!$IS62-1,"")</f>
        <v/>
      </c>
      <c r="P62" s="62" t="str">
        <f>IFERROR(Inv_SY_B!P62/Inv_SY_B!$IS62-1,"")</f>
        <v/>
      </c>
      <c r="Q62" s="62" t="str">
        <f>IFERROR(Inv_SY_B!Q62/Inv_SY_B!$IS62-1,"")</f>
        <v/>
      </c>
      <c r="R62" s="62" t="str">
        <f>IFERROR(Inv_SY_B!R62/Inv_SY_B!$IS62-1,"")</f>
        <v/>
      </c>
      <c r="S62" s="62" t="str">
        <f>IFERROR(Inv_SY_B!S62/Inv_SY_B!$IS62-1,"")</f>
        <v/>
      </c>
      <c r="T62" s="62" t="str">
        <f>IFERROR(Inv_SY_B!T62/Inv_SY_B!$IS62-1,"")</f>
        <v/>
      </c>
      <c r="U62" s="62" t="str">
        <f>IFERROR(Inv_SY_B!U62/Inv_SY_B!$IS62-1,"")</f>
        <v/>
      </c>
      <c r="V62" s="62" t="str">
        <f>IFERROR(Inv_SY_B!V62/Inv_SY_B!$IS62-1,"")</f>
        <v/>
      </c>
      <c r="W62" s="62" t="str">
        <f>IFERROR(Inv_SY_B!W62/Inv_SY_B!$IS62-1,"")</f>
        <v/>
      </c>
      <c r="X62" s="62" t="str">
        <f>IFERROR(Inv_SY_B!X62/Inv_SY_B!$IS62-1,"")</f>
        <v/>
      </c>
      <c r="Y62" s="62" t="str">
        <f>IFERROR(Inv_SY_B!Y62/Inv_SY_B!$IS62-1,"")</f>
        <v/>
      </c>
      <c r="Z62" s="62" t="str">
        <f>IFERROR(Inv_SY_B!Z62/Inv_SY_B!$IS62-1,"")</f>
        <v/>
      </c>
      <c r="AA62" s="62" t="str">
        <f>IFERROR(Inv_SY_B!AA62/Inv_SY_B!$IS62-1,"")</f>
        <v/>
      </c>
      <c r="AB62" s="62" t="str">
        <f>IFERROR(Inv_SY_B!AB62/Inv_SY_B!$IS62-1,"")</f>
        <v/>
      </c>
      <c r="AC62" s="62" t="str">
        <f>IFERROR(Inv_SY_B!AC62/Inv_SY_B!$IS62-1,"")</f>
        <v/>
      </c>
      <c r="AD62" s="62" t="str">
        <f>IFERROR(Inv_SY_B!AD62/Inv_SY_B!$IS62-1,"")</f>
        <v/>
      </c>
      <c r="AE62" s="62" t="str">
        <f>IFERROR(Inv_SY_B!AE62/Inv_SY_B!$IS62-1,"")</f>
        <v/>
      </c>
      <c r="AF62" s="62" t="str">
        <f>IFERROR(Inv_SY_B!AF62/Inv_SY_B!$IS62-1,"")</f>
        <v/>
      </c>
      <c r="AG62" s="62" t="str">
        <f>IFERROR(Inv_SY_B!AG62/Inv_SY_B!$IS62-1,"")</f>
        <v/>
      </c>
      <c r="AH62" s="62" t="str">
        <f>IFERROR(Inv_SY_B!AH62/Inv_SY_B!$IS62-1,"")</f>
        <v/>
      </c>
      <c r="AI62" s="62" t="str">
        <f>IFERROR(Inv_SY_B!AI62/Inv_SY_B!$IS62-1,"")</f>
        <v/>
      </c>
      <c r="AJ62" s="62" t="str">
        <f>IFERROR(Inv_SY_B!AJ62/Inv_SY_B!$IS62-1,"")</f>
        <v/>
      </c>
      <c r="AK62" s="62" t="str">
        <f>IFERROR(Inv_SY_B!AK62/Inv_SY_B!$IS62-1,"")</f>
        <v/>
      </c>
      <c r="AL62" s="62" t="str">
        <f>IFERROR(Inv_SY_B!AL62/Inv_SY_B!$IS62-1,"")</f>
        <v/>
      </c>
      <c r="AM62" s="62" t="str">
        <f>IFERROR(Inv_SY_B!AM62/Inv_SY_B!$IS62-1,"")</f>
        <v/>
      </c>
      <c r="AN62" s="62" t="str">
        <f>IFERROR(Inv_SY_B!AN62/Inv_SY_B!$IS62-1,"")</f>
        <v/>
      </c>
      <c r="AO62" s="62" t="str">
        <f>IFERROR(Inv_SY_B!AO62/Inv_SY_B!$IS62-1,"")</f>
        <v/>
      </c>
      <c r="AP62" s="62" t="str">
        <f>IFERROR(Inv_SY_B!AP62/Inv_SY_B!$IS62-1,"")</f>
        <v/>
      </c>
      <c r="AQ62" s="62" t="str">
        <f>IFERROR(Inv_SY_B!AQ62/Inv_SY_B!$IS62-1,"")</f>
        <v/>
      </c>
      <c r="AR62" s="62" t="str">
        <f>IFERROR(Inv_SY_B!AR62/Inv_SY_B!$IS62-1,"")</f>
        <v/>
      </c>
      <c r="AS62" s="62" t="str">
        <f>IFERROR(Inv_SY_B!AS62/Inv_SY_B!$IS62-1,"")</f>
        <v/>
      </c>
      <c r="AT62" s="62" t="str">
        <f>IFERROR(Inv_SY_B!AT62/Inv_SY_B!$IS62-1,"")</f>
        <v/>
      </c>
      <c r="AU62" s="62" t="str">
        <f>IFERROR(Inv_SY_B!AU62/Inv_SY_B!$IS62-1,"")</f>
        <v/>
      </c>
      <c r="AV62" s="62" t="str">
        <f>IFERROR(Inv_SY_B!AV62/Inv_SY_B!$IS62-1,"")</f>
        <v/>
      </c>
      <c r="AW62" s="62" t="str">
        <f>IFERROR(Inv_SY_B!AW62/Inv_SY_B!$IS62-1,"")</f>
        <v/>
      </c>
      <c r="AX62" s="62" t="str">
        <f>IFERROR(Inv_SY_B!AX62/Inv_SY_B!$IS62-1,"")</f>
        <v/>
      </c>
      <c r="AY62" s="62" t="str">
        <f>IFERROR(Inv_SY_B!AY62/Inv_SY_B!$IS62-1,"")</f>
        <v/>
      </c>
      <c r="AZ62" s="62" t="str">
        <f>IFERROR(Inv_SY_B!AZ62/Inv_SY_B!$IS62-1,"")</f>
        <v/>
      </c>
      <c r="BA62" s="62" t="str">
        <f>IFERROR(Inv_SY_B!BA62/Inv_SY_B!$IS62-1,"")</f>
        <v/>
      </c>
      <c r="BB62" s="62" t="str">
        <f>IFERROR(Inv_SY_B!BB62/Inv_SY_B!$IS62-1,"")</f>
        <v/>
      </c>
      <c r="BC62" s="62" t="str">
        <f>IFERROR(Inv_SY_B!BC62/Inv_SY_B!$IS62-1,"")</f>
        <v/>
      </c>
      <c r="BD62" s="62" t="str">
        <f>IFERROR(Inv_SY_B!BD62/Inv_SY_B!$IS62-1,"")</f>
        <v/>
      </c>
      <c r="BE62" s="62" t="str">
        <f>IFERROR(Inv_SY_B!BE62/Inv_SY_B!$IS62-1,"")</f>
        <v/>
      </c>
      <c r="BF62" s="62" t="str">
        <f>IFERROR(Inv_SY_B!BF62/Inv_SY_B!$IS62-1,"")</f>
        <v/>
      </c>
      <c r="BG62" s="62" t="str">
        <f>IFERROR(Inv_SY_B!BG62/Inv_SY_B!$IS62-1,"")</f>
        <v/>
      </c>
      <c r="BH62" s="62" t="str">
        <f>IFERROR(Inv_SY_B!BH62/Inv_SY_B!$IS62-1,"")</f>
        <v/>
      </c>
      <c r="BI62" s="62" t="str">
        <f>IFERROR(Inv_SY_B!BI62/Inv_SY_B!$IS62-1,"")</f>
        <v/>
      </c>
      <c r="BJ62" s="62" t="str">
        <f>IFERROR(Inv_SY_B!BJ62/Inv_SY_B!$IS62-1,"")</f>
        <v/>
      </c>
      <c r="BK62" s="62" t="str">
        <f>IFERROR(Inv_SY_B!BK62/Inv_SY_B!$IS62-1,"")</f>
        <v/>
      </c>
      <c r="BL62" s="62" t="str">
        <f>IFERROR(Inv_SY_B!BL62/Inv_SY_B!$IS62-1,"")</f>
        <v/>
      </c>
      <c r="BM62" s="62" t="str">
        <f>IFERROR(Inv_SY_B!BM62/Inv_SY_B!$IS62-1,"")</f>
        <v/>
      </c>
      <c r="BN62" s="62" t="str">
        <f>IFERROR(Inv_SY_B!BN62/Inv_SY_B!$IS62-1,"")</f>
        <v/>
      </c>
      <c r="BO62" s="62" t="str">
        <f>IFERROR(Inv_SY_B!BO62/Inv_SY_B!$IS62-1,"")</f>
        <v/>
      </c>
      <c r="BP62" s="62" t="str">
        <f>IFERROR(Inv_SY_B!BP62/Inv_SY_B!$IS62-1,"")</f>
        <v/>
      </c>
      <c r="BQ62" s="62" t="str">
        <f>IFERROR(Inv_SY_B!BQ62/Inv_SY_B!$IS62-1,"")</f>
        <v/>
      </c>
      <c r="BR62" s="62" t="str">
        <f>IFERROR(Inv_SY_B!BR62/Inv_SY_B!$IS62-1,"")</f>
        <v/>
      </c>
      <c r="BS62" s="62" t="str">
        <f>IFERROR(Inv_SY_B!BS62/Inv_SY_B!$IS62-1,"")</f>
        <v/>
      </c>
      <c r="BT62" s="62" t="str">
        <f>IFERROR(Inv_SY_B!BT62/Inv_SY_B!$IS62-1,"")</f>
        <v/>
      </c>
      <c r="BU62" s="62" t="str">
        <f>IFERROR(Inv_SY_B!BU62/Inv_SY_B!$IS62-1,"")</f>
        <v/>
      </c>
      <c r="BV62" s="62" t="str">
        <f>IFERROR(Inv_SY_B!BV62/Inv_SY_B!$IS62-1,"")</f>
        <v/>
      </c>
      <c r="BW62" s="62" t="str">
        <f>IFERROR(Inv_SY_B!BW62/Inv_SY_B!$IS62-1,"")</f>
        <v/>
      </c>
      <c r="BX62" s="62" t="str">
        <f>IFERROR(Inv_SY_B!BX62/Inv_SY_B!$IS62-1,"")</f>
        <v/>
      </c>
      <c r="BY62" s="62" t="str">
        <f>IFERROR(Inv_SY_B!BY62/Inv_SY_B!$IS62-1,"")</f>
        <v/>
      </c>
      <c r="BZ62" s="62" t="str">
        <f>IFERROR(Inv_SY_B!BZ62/Inv_SY_B!$IS62-1,"")</f>
        <v/>
      </c>
      <c r="CA62" s="62" t="str">
        <f>IFERROR(Inv_SY_B!CA62/Inv_SY_B!$IS62-1,"")</f>
        <v/>
      </c>
      <c r="CB62" s="62" t="str">
        <f>IFERROR(Inv_SY_B!CB62/Inv_SY_B!$IS62-1,"")</f>
        <v/>
      </c>
      <c r="CC62" s="62" t="str">
        <f>IFERROR(Inv_SY_B!CC62/Inv_SY_B!$IS62-1,"")</f>
        <v/>
      </c>
      <c r="CD62" s="62" t="str">
        <f>IFERROR(Inv_SY_B!CD62/Inv_SY_B!$IS62-1,"")</f>
        <v/>
      </c>
      <c r="CE62" s="62" t="str">
        <f>IFERROR(Inv_SY_B!CE62/Inv_SY_B!$IS62-1,"")</f>
        <v/>
      </c>
      <c r="CF62" s="62" t="str">
        <f>IFERROR(Inv_SY_B!CF62/Inv_SY_B!$IS62-1,"")</f>
        <v/>
      </c>
      <c r="CG62" s="62" t="str">
        <f>IFERROR(Inv_SY_B!CG62/Inv_SY_B!$IS62-1,"")</f>
        <v/>
      </c>
      <c r="CH62" s="62" t="str">
        <f>IFERROR(Inv_SY_B!CH62/Inv_SY_B!$IS62-1,"")</f>
        <v/>
      </c>
      <c r="CI62" s="62" t="str">
        <f>IFERROR(Inv_SY_B!CI62/Inv_SY_B!$IS62-1,"")</f>
        <v/>
      </c>
      <c r="CJ62" s="62" t="str">
        <f>IFERROR(Inv_SY_B!CJ62/Inv_SY_B!$IS62-1,"")</f>
        <v/>
      </c>
      <c r="CK62" s="62" t="str">
        <f>IFERROR(Inv_SY_B!CK62/Inv_SY_B!$IS62-1,"")</f>
        <v/>
      </c>
      <c r="CL62" s="62" t="str">
        <f>IFERROR(Inv_SY_B!CL62/Inv_SY_B!$IS62-1,"")</f>
        <v/>
      </c>
      <c r="CM62" s="62" t="str">
        <f>IFERROR(Inv_SY_B!CM62/Inv_SY_B!$IS62-1,"")</f>
        <v/>
      </c>
      <c r="CN62" s="62" t="str">
        <f>IFERROR(Inv_SY_B!CN62/Inv_SY_B!$IS62-1,"")</f>
        <v/>
      </c>
      <c r="CO62" s="62" t="str">
        <f>IFERROR(Inv_SY_B!CO62/Inv_SY_B!$IS62-1,"")</f>
        <v/>
      </c>
      <c r="CP62" s="62" t="str">
        <f>IFERROR(Inv_SY_B!CP62/Inv_SY_B!$IS62-1,"")</f>
        <v/>
      </c>
      <c r="CQ62" s="62" t="str">
        <f>IFERROR(Inv_SY_B!CQ62/Inv_SY_B!$IS62-1,"")</f>
        <v/>
      </c>
      <c r="CR62" s="62" t="str">
        <f>IFERROR(Inv_SY_B!CR62/Inv_SY_B!$IS62-1,"")</f>
        <v/>
      </c>
      <c r="CS62" s="62" t="str">
        <f>IFERROR(Inv_SY_B!CS62/Inv_SY_B!$IS62-1,"")</f>
        <v/>
      </c>
      <c r="CT62" s="62" t="str">
        <f>IFERROR(Inv_SY_B!CT62/Inv_SY_B!$IS62-1,"")</f>
        <v/>
      </c>
      <c r="CU62" s="62" t="str">
        <f>IFERROR(Inv_SY_B!CU62/Inv_SY_B!$IS62-1,"")</f>
        <v/>
      </c>
      <c r="CV62" s="62" t="str">
        <f>IFERROR(Inv_SY_B!CV62/Inv_SY_B!$IS62-1,"")</f>
        <v/>
      </c>
      <c r="CW62" s="62" t="str">
        <f>IFERROR(Inv_SY_B!CW62/Inv_SY_B!$IS62-1,"")</f>
        <v/>
      </c>
      <c r="CX62" s="62" t="str">
        <f>IFERROR(Inv_SY_B!CX62/Inv_SY_B!$IS62-1,"")</f>
        <v/>
      </c>
      <c r="CY62" s="62" t="str">
        <f>IFERROR(Inv_SY_B!CY62/Inv_SY_B!$IS62-1,"")</f>
        <v/>
      </c>
      <c r="CZ62" s="62" t="str">
        <f>IFERROR(Inv_SY_B!CZ62/Inv_SY_B!$IS62-1,"")</f>
        <v/>
      </c>
      <c r="DA62" s="62" t="str">
        <f>IFERROR(Inv_SY_B!DA62/Inv_SY_B!$IS62-1,"")</f>
        <v/>
      </c>
      <c r="DB62" s="62" t="str">
        <f>IFERROR(Inv_SY_B!DB62/Inv_SY_B!$IS62-1,"")</f>
        <v/>
      </c>
      <c r="DC62" s="62" t="str">
        <f>IFERROR(Inv_SY_B!DC62/Inv_SY_B!$IS62-1,"")</f>
        <v/>
      </c>
      <c r="DD62" s="62" t="str">
        <f>IFERROR(Inv_SY_B!DD62/Inv_SY_B!$IS62-1,"")</f>
        <v/>
      </c>
      <c r="DE62" s="62" t="str">
        <f>IFERROR(Inv_SY_B!DE62/Inv_SY_B!$IS62-1,"")</f>
        <v/>
      </c>
      <c r="DF62" s="62" t="str">
        <f>IFERROR(Inv_SY_B!DF62/Inv_SY_B!$IS62-1,"")</f>
        <v/>
      </c>
      <c r="DG62" s="62" t="str">
        <f>IFERROR(Inv_SY_B!DG62/Inv_SY_B!$IS62-1,"")</f>
        <v/>
      </c>
      <c r="DH62" s="62" t="str">
        <f>IFERROR(Inv_SY_B!DH62/Inv_SY_B!$IS62-1,"")</f>
        <v/>
      </c>
      <c r="DI62" s="62" t="str">
        <f>IFERROR(Inv_SY_B!DI62/Inv_SY_B!$IS62-1,"")</f>
        <v/>
      </c>
      <c r="DJ62" s="62" t="str">
        <f>IFERROR(Inv_SY_B!DJ62/Inv_SY_B!$IS62-1,"")</f>
        <v/>
      </c>
      <c r="DK62" s="62" t="str">
        <f>IFERROR(Inv_SY_B!DK62/Inv_SY_B!$IS62-1,"")</f>
        <v/>
      </c>
      <c r="DL62" s="62" t="str">
        <f>IFERROR(Inv_SY_B!DL62/Inv_SY_B!$IS62-1,"")</f>
        <v/>
      </c>
      <c r="DM62" s="62" t="str">
        <f>IFERROR(Inv_SY_B!DM62/Inv_SY_B!$IS62-1,"")</f>
        <v/>
      </c>
      <c r="DN62" s="62" t="str">
        <f>IFERROR(Inv_SY_B!DN62/Inv_SY_B!$IS62-1,"")</f>
        <v/>
      </c>
      <c r="DO62" s="62" t="str">
        <f>IFERROR(Inv_SY_B!DO62/Inv_SY_B!$IS62-1,"")</f>
        <v/>
      </c>
      <c r="DP62" s="62" t="str">
        <f>IFERROR(Inv_SY_B!DP62/Inv_SY_B!$IS62-1,"")</f>
        <v/>
      </c>
      <c r="DQ62" s="62" t="str">
        <f>IFERROR(Inv_SY_B!DQ62/Inv_SY_B!$IS62-1,"")</f>
        <v/>
      </c>
      <c r="DR62" s="62" t="str">
        <f>IFERROR(Inv_SY_B!DR62/Inv_SY_B!$IS62-1,"")</f>
        <v/>
      </c>
      <c r="DS62" s="62" t="str">
        <f>IFERROR(Inv_SY_B!DS62/Inv_SY_B!$IS62-1,"")</f>
        <v/>
      </c>
      <c r="DT62" s="62" t="str">
        <f>IFERROR(Inv_SY_B!DT62/Inv_SY_B!$IS62-1,"")</f>
        <v/>
      </c>
      <c r="DU62" s="62" t="str">
        <f>IFERROR(Inv_SY_B!DU62/Inv_SY_B!$IS62-1,"")</f>
        <v/>
      </c>
      <c r="DV62" s="62" t="str">
        <f>IFERROR(Inv_SY_B!DV62/Inv_SY_B!$IS62-1,"")</f>
        <v/>
      </c>
      <c r="DW62" s="62" t="str">
        <f>IFERROR(Inv_SY_B!DW62/Inv_SY_B!$IS62-1,"")</f>
        <v/>
      </c>
      <c r="DX62" s="62" t="str">
        <f>IFERROR(Inv_SY_B!DX62/Inv_SY_B!$IS62-1,"")</f>
        <v/>
      </c>
      <c r="DY62" s="62" t="str">
        <f>IFERROR(Inv_SY_B!DY62/Inv_SY_B!$IS62-1,"")</f>
        <v/>
      </c>
      <c r="DZ62" s="62" t="str">
        <f>IFERROR(Inv_SY_B!DZ62/Inv_SY_B!$IS62-1,"")</f>
        <v/>
      </c>
      <c r="EA62" s="62" t="str">
        <f>IFERROR(Inv_SY_B!EA62/Inv_SY_B!$IS62-1,"")</f>
        <v/>
      </c>
      <c r="EB62" s="62" t="str">
        <f>IFERROR(Inv_SY_B!EB62/Inv_SY_B!$IS62-1,"")</f>
        <v/>
      </c>
      <c r="EC62" s="62" t="str">
        <f>IFERROR(Inv_SY_B!EC62/Inv_SY_B!$IS62-1,"")</f>
        <v/>
      </c>
      <c r="ED62" s="62" t="str">
        <f>IFERROR(Inv_SY_B!ED62/Inv_SY_B!$IS62-1,"")</f>
        <v/>
      </c>
      <c r="EE62" s="62" t="str">
        <f>IFERROR(Inv_SY_B!EE62/Inv_SY_B!$IS62-1,"")</f>
        <v/>
      </c>
      <c r="EF62" s="62" t="str">
        <f>IFERROR(Inv_SY_B!EF62/Inv_SY_B!$IS62-1,"")</f>
        <v/>
      </c>
      <c r="EG62" s="62" t="str">
        <f>IFERROR(Inv_SY_B!EG62/Inv_SY_B!$IS62-1,"")</f>
        <v/>
      </c>
      <c r="EH62" s="62" t="str">
        <f>IFERROR(Inv_SY_B!EH62/Inv_SY_B!$IS62-1,"")</f>
        <v/>
      </c>
      <c r="EI62" s="62" t="str">
        <f>IFERROR(Inv_SY_B!EI62/Inv_SY_B!$IS62-1,"")</f>
        <v/>
      </c>
      <c r="EJ62" s="62" t="str">
        <f>IFERROR(Inv_SY_B!EJ62/Inv_SY_B!$IS62-1,"")</f>
        <v/>
      </c>
      <c r="EK62" s="62" t="str">
        <f>IFERROR(Inv_SY_B!EK62/Inv_SY_B!$IS62-1,"")</f>
        <v/>
      </c>
      <c r="EL62" s="62" t="str">
        <f>IFERROR(Inv_SY_B!EL62/Inv_SY_B!$IS62-1,"")</f>
        <v/>
      </c>
      <c r="EM62" s="62" t="str">
        <f>IFERROR(Inv_SY_B!EM62/Inv_SY_B!$IS62-1,"")</f>
        <v/>
      </c>
      <c r="EN62" s="62" t="str">
        <f>IFERROR(Inv_SY_B!EN62/Inv_SY_B!$IS62-1,"")</f>
        <v/>
      </c>
      <c r="EO62" s="62" t="str">
        <f>IFERROR(Inv_SY_B!EO62/Inv_SY_B!$IS62-1,"")</f>
        <v/>
      </c>
      <c r="EP62" s="62" t="str">
        <f>IFERROR(Inv_SY_B!EP62/Inv_SY_B!$IS62-1,"")</f>
        <v/>
      </c>
      <c r="EQ62" s="62" t="str">
        <f>IFERROR(Inv_SY_B!EQ62/Inv_SY_B!$IS62-1,"")</f>
        <v/>
      </c>
      <c r="ER62" s="62" t="str">
        <f>IFERROR(Inv_SY_B!ER62/Inv_SY_B!$IS62-1,"")</f>
        <v/>
      </c>
      <c r="ES62" s="62" t="str">
        <f>IFERROR(Inv_SY_B!ES62/Inv_SY_B!$IS62-1,"")</f>
        <v/>
      </c>
      <c r="ET62" s="62" t="str">
        <f>IFERROR(Inv_SY_B!ET62/Inv_SY_B!$IS62-1,"")</f>
        <v/>
      </c>
      <c r="EU62" s="62" t="str">
        <f>IFERROR(Inv_SY_B!EU62/Inv_SY_B!$IS62-1,"")</f>
        <v/>
      </c>
      <c r="EV62" s="62" t="str">
        <f>IFERROR(Inv_SY_B!EV62/Inv_SY_B!$IS62-1,"")</f>
        <v/>
      </c>
      <c r="EW62" s="62" t="str">
        <f>IFERROR(Inv_SY_B!EW62/Inv_SY_B!$IS62-1,"")</f>
        <v/>
      </c>
      <c r="EX62" s="62" t="str">
        <f>IFERROR(Inv_SY_B!EX62/Inv_SY_B!$IS62-1,"")</f>
        <v/>
      </c>
      <c r="EY62" s="62" t="str">
        <f>IFERROR(Inv_SY_B!EY62/Inv_SY_B!$IS62-1,"")</f>
        <v/>
      </c>
      <c r="EZ62" s="62" t="str">
        <f>IFERROR(Inv_SY_B!EZ62/Inv_SY_B!$IS62-1,"")</f>
        <v/>
      </c>
      <c r="FA62" s="62" t="str">
        <f>IFERROR(Inv_SY_B!FA62/Inv_SY_B!$IS62-1,"")</f>
        <v/>
      </c>
      <c r="FB62" s="62" t="str">
        <f>IFERROR(Inv_SY_B!FB62/Inv_SY_B!$IS62-1,"")</f>
        <v/>
      </c>
      <c r="FC62" s="62" t="str">
        <f>IFERROR(Inv_SY_B!FC62/Inv_SY_B!$IS62-1,"")</f>
        <v/>
      </c>
      <c r="FD62" s="62" t="str">
        <f>IFERROR(Inv_SY_B!FD62/Inv_SY_B!$IS62-1,"")</f>
        <v/>
      </c>
      <c r="FE62" s="62" t="str">
        <f>IFERROR(Inv_SY_B!FE62/Inv_SY_B!$IS62-1,"")</f>
        <v/>
      </c>
      <c r="FF62" s="62" t="str">
        <f>IFERROR(Inv_SY_B!FF62/Inv_SY_B!$IS62-1,"")</f>
        <v/>
      </c>
      <c r="FG62" s="62" t="str">
        <f>IFERROR(Inv_SY_B!FG62/Inv_SY_B!$IS62-1,"")</f>
        <v/>
      </c>
      <c r="FH62" s="62" t="str">
        <f>IFERROR(Inv_SY_B!FH62/Inv_SY_B!$IS62-1,"")</f>
        <v/>
      </c>
      <c r="FI62" s="62" t="str">
        <f>IFERROR(Inv_SY_B!FI62/Inv_SY_B!$IS62-1,"")</f>
        <v/>
      </c>
      <c r="FJ62" s="62" t="str">
        <f>IFERROR(Inv_SY_B!FJ62/Inv_SY_B!$IS62-1,"")</f>
        <v/>
      </c>
      <c r="FK62" s="62" t="str">
        <f>IFERROR(Inv_SY_B!FK62/Inv_SY_B!$IS62-1,"")</f>
        <v/>
      </c>
      <c r="FL62" s="62" t="str">
        <f>IFERROR(Inv_SY_B!FL62/Inv_SY_B!$IS62-1,"")</f>
        <v/>
      </c>
      <c r="FM62" s="62" t="str">
        <f>IFERROR(Inv_SY_B!FM62/Inv_SY_B!$IS62-1,"")</f>
        <v/>
      </c>
      <c r="FN62" s="62" t="str">
        <f>IFERROR(Inv_SY_B!FN62/Inv_SY_B!$IS62-1,"")</f>
        <v/>
      </c>
      <c r="FO62" s="62" t="str">
        <f>IFERROR(Inv_SY_B!FO62/Inv_SY_B!$IS62-1,"")</f>
        <v/>
      </c>
      <c r="FP62" s="62" t="str">
        <f>IFERROR(Inv_SY_B!FP62/Inv_SY_B!$IS62-1,"")</f>
        <v/>
      </c>
      <c r="FQ62" s="62" t="str">
        <f>IFERROR(Inv_SY_B!FQ62/Inv_SY_B!$IS62-1,"")</f>
        <v/>
      </c>
      <c r="FR62" s="62" t="str">
        <f>IFERROR(Inv_SY_B!FR62/Inv_SY_B!$IS62-1,"")</f>
        <v/>
      </c>
      <c r="FS62" s="62" t="str">
        <f>IFERROR(Inv_SY_B!FS62/Inv_SY_B!$IS62-1,"")</f>
        <v/>
      </c>
      <c r="FT62" s="62" t="str">
        <f>IFERROR(Inv_SY_B!FT62/Inv_SY_B!$IS62-1,"")</f>
        <v/>
      </c>
      <c r="FU62" s="62" t="str">
        <f>IFERROR(Inv_SY_B!FU62/Inv_SY_B!$IS62-1,"")</f>
        <v/>
      </c>
      <c r="FV62" s="62" t="str">
        <f>IFERROR(Inv_SY_B!FV62/Inv_SY_B!$IS62-1,"")</f>
        <v/>
      </c>
      <c r="FW62" s="62" t="str">
        <f>IFERROR(Inv_SY_B!FW62/Inv_SY_B!$IS62-1,"")</f>
        <v/>
      </c>
      <c r="FX62" s="62" t="str">
        <f>IFERROR(Inv_SY_B!FX62/Inv_SY_B!$IS62-1,"")</f>
        <v/>
      </c>
      <c r="FY62" s="62" t="str">
        <f>IFERROR(Inv_SY_B!FY62/Inv_SY_B!$IS62-1,"")</f>
        <v/>
      </c>
      <c r="FZ62" s="62" t="str">
        <f>IFERROR(Inv_SY_B!FZ62/Inv_SY_B!$IS62-1,"")</f>
        <v/>
      </c>
      <c r="GA62" s="62" t="str">
        <f>IFERROR(Inv_SY_B!GA62/Inv_SY_B!$IS62-1,"")</f>
        <v/>
      </c>
      <c r="GB62" s="62" t="str">
        <f>IFERROR(Inv_SY_B!GB62/Inv_SY_B!$IS62-1,"")</f>
        <v/>
      </c>
      <c r="GC62" s="62" t="str">
        <f>IFERROR(Inv_SY_B!GC62/Inv_SY_B!$IS62-1,"")</f>
        <v/>
      </c>
      <c r="GD62" s="62" t="str">
        <f>IFERROR(Inv_SY_B!GD62/Inv_SY_B!$IS62-1,"")</f>
        <v/>
      </c>
      <c r="GE62" s="62" t="str">
        <f>IFERROR(Inv_SY_B!GE62/Inv_SY_B!$IS62-1,"")</f>
        <v/>
      </c>
      <c r="GF62" s="62" t="str">
        <f>IFERROR(Inv_SY_B!GF62/Inv_SY_B!$IS62-1,"")</f>
        <v/>
      </c>
      <c r="GG62" s="62" t="str">
        <f>IFERROR(Inv_SY_B!GG62/Inv_SY_B!$IS62-1,"")</f>
        <v/>
      </c>
      <c r="GH62" s="62" t="str">
        <f>IFERROR(Inv_SY_B!GH62/Inv_SY_B!$IS62-1,"")</f>
        <v/>
      </c>
      <c r="GI62" s="62" t="str">
        <f>IFERROR(Inv_SY_B!GI62/Inv_SY_B!$IS62-1,"")</f>
        <v/>
      </c>
      <c r="GJ62" s="62" t="str">
        <f>IFERROR(Inv_SY_B!GJ62/Inv_SY_B!$IS62-1,"")</f>
        <v/>
      </c>
      <c r="GK62" s="62" t="str">
        <f>IFERROR(Inv_SY_B!GK62/Inv_SY_B!$IS62-1,"")</f>
        <v/>
      </c>
      <c r="GL62" s="62" t="str">
        <f>IFERROR(Inv_SY_B!GL62/Inv_SY_B!$IS62-1,"")</f>
        <v/>
      </c>
      <c r="GM62" s="62" t="str">
        <f>IFERROR(Inv_SY_B!GM62/Inv_SY_B!$IS62-1,"")</f>
        <v/>
      </c>
      <c r="GN62" s="62" t="str">
        <f>IFERROR(Inv_SY_B!GN62/Inv_SY_B!$IS62-1,"")</f>
        <v/>
      </c>
      <c r="GO62" s="62" t="str">
        <f>IFERROR(Inv_SY_B!GO62/Inv_SY_B!$IS62-1,"")</f>
        <v/>
      </c>
      <c r="GP62" s="62" t="str">
        <f>IFERROR(Inv_SY_B!GP62/Inv_SY_B!$IS62-1,"")</f>
        <v/>
      </c>
      <c r="GQ62" s="62" t="str">
        <f>IFERROR(Inv_SY_B!GQ62/Inv_SY_B!$IS62-1,"")</f>
        <v/>
      </c>
      <c r="GR62" s="62" t="str">
        <f>IFERROR(Inv_SY_B!GR62/Inv_SY_B!$IS62-1,"")</f>
        <v/>
      </c>
      <c r="GS62" s="62" t="str">
        <f>IFERROR(Inv_SY_B!GS62/Inv_SY_B!$IS62-1,"")</f>
        <v/>
      </c>
      <c r="GT62" s="62" t="str">
        <f>IFERROR(Inv_SY_B!GT62/Inv_SY_B!$IS62-1,"")</f>
        <v/>
      </c>
      <c r="GU62" s="62" t="str">
        <f>IFERROR(Inv_SY_B!GU62/Inv_SY_B!$IS62-1,"")</f>
        <v/>
      </c>
      <c r="GV62" s="62" t="str">
        <f>IFERROR(Inv_SY_B!GV62/Inv_SY_B!$IS62-1,"")</f>
        <v/>
      </c>
      <c r="GW62" s="62" t="str">
        <f>IFERROR(Inv_SY_B!GW62/Inv_SY_B!$IS62-1,"")</f>
        <v/>
      </c>
      <c r="GX62" s="62" t="str">
        <f>IFERROR(Inv_SY_B!GX62/Inv_SY_B!$IS62-1,"")</f>
        <v/>
      </c>
      <c r="GY62" s="62" t="str">
        <f>IFERROR(Inv_SY_B!GY62/Inv_SY_B!$IS62-1,"")</f>
        <v/>
      </c>
      <c r="GZ62" s="62" t="str">
        <f>IFERROR(Inv_SY_B!GZ62/Inv_SY_B!$IS62-1,"")</f>
        <v/>
      </c>
      <c r="HA62" s="62" t="str">
        <f>IFERROR(Inv_SY_B!HA62/Inv_SY_B!$IS62-1,"")</f>
        <v/>
      </c>
      <c r="HB62" s="62" t="str">
        <f>IFERROR(Inv_SY_B!HB62/Inv_SY_B!$IS62-1,"")</f>
        <v/>
      </c>
      <c r="HC62" s="62" t="str">
        <f>IFERROR(Inv_SY_B!HC62/Inv_SY_B!$IS62-1,"")</f>
        <v/>
      </c>
      <c r="HD62" s="62" t="str">
        <f>IFERROR(Inv_SY_B!HD62/Inv_SY_B!$IS62-1,"")</f>
        <v/>
      </c>
      <c r="HE62" s="62" t="str">
        <f>IFERROR(Inv_SY_B!HE62/Inv_SY_B!$IS62-1,"")</f>
        <v/>
      </c>
      <c r="HF62" s="62" t="str">
        <f>IFERROR(Inv_SY_B!HF62/Inv_SY_B!$IS62-1,"")</f>
        <v/>
      </c>
      <c r="HG62" s="62" t="str">
        <f>IFERROR(Inv_SY_B!HG62/Inv_SY_B!$IS62-1,"")</f>
        <v/>
      </c>
      <c r="HH62" s="62" t="str">
        <f>IFERROR(Inv_SY_B!HH62/Inv_SY_B!$IS62-1,"")</f>
        <v/>
      </c>
      <c r="HI62" s="62" t="str">
        <f>IFERROR(Inv_SY_B!HI62/Inv_SY_B!$IS62-1,"")</f>
        <v/>
      </c>
      <c r="HJ62" s="62" t="str">
        <f>IFERROR(Inv_SY_B!HJ62/Inv_SY_B!$IS62-1,"")</f>
        <v/>
      </c>
      <c r="HK62" s="62" t="str">
        <f>IFERROR(Inv_SY_B!HK62/Inv_SY_B!$IS62-1,"")</f>
        <v/>
      </c>
      <c r="HL62" s="62" t="str">
        <f>IFERROR(Inv_SY_B!HL62/Inv_SY_B!$IS62-1,"")</f>
        <v/>
      </c>
      <c r="HM62" s="62" t="str">
        <f>IFERROR(Inv_SY_B!HM62/Inv_SY_B!$IS62-1,"")</f>
        <v/>
      </c>
      <c r="HN62" s="62" t="str">
        <f>IFERROR(Inv_SY_B!HN62/Inv_SY_B!$IS62-1,"")</f>
        <v/>
      </c>
      <c r="HO62" s="62" t="str">
        <f>IFERROR(Inv_SY_B!HO62/Inv_SY_B!$IS62-1,"")</f>
        <v/>
      </c>
      <c r="HP62" s="62" t="str">
        <f>IFERROR(Inv_SY_B!HP62/Inv_SY_B!$IS62-1,"")</f>
        <v/>
      </c>
      <c r="HQ62" s="62" t="str">
        <f>IFERROR(Inv_SY_B!HQ62/Inv_SY_B!$IS62-1,"")</f>
        <v/>
      </c>
      <c r="HR62" s="62" t="str">
        <f>IFERROR(Inv_SY_B!HR62/Inv_SY_B!$IS62-1,"")</f>
        <v/>
      </c>
      <c r="HS62" s="62" t="str">
        <f>IFERROR(Inv_SY_B!HS62/Inv_SY_B!$IS62-1,"")</f>
        <v/>
      </c>
      <c r="HT62" s="62" t="str">
        <f>IFERROR(Inv_SY_B!HT62/Inv_SY_B!$IS62-1,"")</f>
        <v/>
      </c>
      <c r="HU62" s="62" t="str">
        <f>IFERROR(Inv_SY_B!HU62/Inv_SY_B!$IS62-1,"")</f>
        <v/>
      </c>
      <c r="HV62" s="62" t="str">
        <f>IFERROR(Inv_SY_B!HV62/Inv_SY_B!$IS62-1,"")</f>
        <v/>
      </c>
      <c r="HW62" s="62" t="str">
        <f>IFERROR(Inv_SY_B!HW62/Inv_SY_B!$IS62-1,"")</f>
        <v/>
      </c>
      <c r="HX62" s="62" t="str">
        <f>IFERROR(Inv_SY_B!HX62/Inv_SY_B!$IS62-1,"")</f>
        <v/>
      </c>
      <c r="HY62" s="62" t="str">
        <f>IFERROR(Inv_SY_B!HY62/Inv_SY_B!$IS62-1,"")</f>
        <v/>
      </c>
      <c r="HZ62" s="62" t="str">
        <f>IFERROR(Inv_SY_B!HZ62/Inv_SY_B!$IS62-1,"")</f>
        <v/>
      </c>
      <c r="IA62" s="62" t="str">
        <f>IFERROR(Inv_SY_B!IA62/Inv_SY_B!$IS62-1,"")</f>
        <v/>
      </c>
      <c r="IB62" s="62" t="str">
        <f>IFERROR(Inv_SY_B!IB62/Inv_SY_B!$IS62-1,"")</f>
        <v/>
      </c>
      <c r="IC62" s="62" t="str">
        <f>IFERROR(Inv_SY_B!IC62/Inv_SY_B!$IS62-1,"")</f>
        <v/>
      </c>
      <c r="ID62" s="62" t="str">
        <f>IFERROR(Inv_SY_B!ID62/Inv_SY_B!$IS62-1,"")</f>
        <v/>
      </c>
      <c r="IE62" s="62" t="str">
        <f>IFERROR(Inv_SY_B!IE62/Inv_SY_B!$IS62-1,"")</f>
        <v/>
      </c>
      <c r="IF62" s="62" t="str">
        <f>IFERROR(Inv_SY_B!IF62/Inv_SY_B!$IS62-1,"")</f>
        <v/>
      </c>
      <c r="IG62" s="62" t="str">
        <f>IFERROR(Inv_SY_B!IG62/Inv_SY_B!$IS62-1,"")</f>
        <v/>
      </c>
      <c r="IH62" s="62" t="str">
        <f>IFERROR(Inv_SY_B!IH62/Inv_SY_B!$IS62-1,"")</f>
        <v/>
      </c>
      <c r="II62" s="62" t="str">
        <f>IFERROR(Inv_SY_B!II62/Inv_SY_B!$IS62-1,"")</f>
        <v/>
      </c>
      <c r="IJ62" s="62" t="str">
        <f>IFERROR(Inv_SY_B!IJ62/Inv_SY_B!$IS62-1,"")</f>
        <v/>
      </c>
      <c r="IK62" s="62" t="str">
        <f>IFERROR(Inv_SY_B!IK62/Inv_SY_B!$IS62-1,"")</f>
        <v/>
      </c>
      <c r="IL62" s="62" t="str">
        <f>IFERROR(Inv_SY_B!IL62/Inv_SY_B!$IS62-1,"")</f>
        <v/>
      </c>
      <c r="IM62" s="62" t="str">
        <f>IFERROR(Inv_SY_B!IM62/Inv_SY_B!$IS62-1,"")</f>
        <v/>
      </c>
      <c r="IN62" s="62" t="str">
        <f>IFERROR(Inv_SY_B!IN62/Inv_SY_B!$IS62-1,"")</f>
        <v/>
      </c>
      <c r="IO62" s="62" t="str">
        <f>IFERROR(Inv_SY_B!IO62/Inv_SY_B!$IS62-1,"")</f>
        <v/>
      </c>
      <c r="IP62" s="62" t="str">
        <f>IFERROR(Inv_SY_B!IP62/Inv_SY_B!$IS62-1,"")</f>
        <v/>
      </c>
      <c r="IQ62" s="62" t="str">
        <f>IFERROR(Inv_SY_B!IQ62/Inv_SY_B!$IS62-1,"")</f>
        <v/>
      </c>
      <c r="IR62" s="62" t="str">
        <f>IFERROR(Inv_SY_B!IR62/Inv_SY_B!$IS62-1,"")</f>
        <v/>
      </c>
    </row>
  </sheetData>
  <phoneticPr fontId="5" type="noConversion"/>
  <conditionalFormatting sqref="C4:IR62">
    <cfRule type="cellIs" dxfId="0" priority="1" operator="lessThan">
      <formula>-0.03</formula>
    </cfRule>
  </conditionalFormatting>
  <pageMargins left="0.7" right="0.7" top="0.75" bottom="0.75" header="0.3" footer="0.3"/>
  <ignoredErrors>
    <ignoredError sqref="B4" calculatedColumn="1"/>
  </ignoredErrors>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2BB3DC3D7EEBD4E965C95B4B8FA3504" ma:contentTypeVersion="6" ma:contentTypeDescription="Create a new document." ma:contentTypeScope="" ma:versionID="8aa82a68bd214f7d3d0f7f88fc697f2b">
  <xsd:schema xmlns:xsd="http://www.w3.org/2001/XMLSchema" xmlns:xs="http://www.w3.org/2001/XMLSchema" xmlns:p="http://schemas.microsoft.com/office/2006/metadata/properties" xmlns:ns2="fc7a6a76-1c0e-42c8-b8bb-e7dae130d739" xmlns:ns3="d16c97b0-8c68-4a48-9e8f-dd7460dbc509" targetNamespace="http://schemas.microsoft.com/office/2006/metadata/properties" ma:root="true" ma:fieldsID="c7b3109e5368c8001190694a4a849b63" ns2:_="" ns3:_="">
    <xsd:import namespace="fc7a6a76-1c0e-42c8-b8bb-e7dae130d739"/>
    <xsd:import namespace="d16c97b0-8c68-4a48-9e8f-dd7460dbc50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7a6a76-1c0e-42c8-b8bb-e7dae130d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6c97b0-8c68-4a48-9e8f-dd7460dbc5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509425-F0FF-4F7E-9FA6-18E793B42D13}">
  <ds:schemaRefs>
    <ds:schemaRef ds:uri="http://schemas.microsoft.com/DataMashup"/>
  </ds:schemaRefs>
</ds:datastoreItem>
</file>

<file path=customXml/itemProps2.xml><?xml version="1.0" encoding="utf-8"?>
<ds:datastoreItem xmlns:ds="http://schemas.openxmlformats.org/officeDocument/2006/customXml" ds:itemID="{997CADED-EEA3-42BE-B9A2-6AB6EB3434B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D83EAB8-7236-4BBC-90E1-823142A2E95B}">
  <ds:schemaRefs>
    <ds:schemaRef ds:uri="http://schemas.microsoft.com/sharepoint/v3/contenttype/forms"/>
  </ds:schemaRefs>
</ds:datastoreItem>
</file>

<file path=customXml/itemProps4.xml><?xml version="1.0" encoding="utf-8"?>
<ds:datastoreItem xmlns:ds="http://schemas.openxmlformats.org/officeDocument/2006/customXml" ds:itemID="{D27CEC37-9491-4067-A062-77DE36CAC9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7a6a76-1c0e-42c8-b8bb-e7dae130d739"/>
    <ds:schemaRef ds:uri="d16c97b0-8c68-4a48-9e8f-dd7460dbc5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ac4e201-4c2d-490c-b188-5575fa2c697c}" enabled="1" method="Standard" siteId="{8c4858b5-f020-483a-b7ef-71ded6e8176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Annual_KPI</vt:lpstr>
      <vt:lpstr>Monthly_KPI</vt:lpstr>
      <vt:lpstr>Grass_Ct</vt:lpstr>
      <vt:lpstr>Mod_CL</vt:lpstr>
      <vt:lpstr>Raw_Data</vt:lpstr>
      <vt:lpstr>Daily KPI</vt:lpstr>
      <vt:lpstr>Modelling New</vt:lpstr>
      <vt:lpstr>Basic Data </vt:lpstr>
      <vt:lpstr>GA</vt:lpstr>
      <vt:lpstr>PA</vt:lpstr>
      <vt:lpstr>Inv_SY_B</vt:lpstr>
      <vt:lpstr>Inv_SY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Kalpesh Umaretia</dc:creator>
  <cp:keywords/>
  <dc:description/>
  <cp:lastModifiedBy>YADAV KAMAL</cp:lastModifiedBy>
  <cp:revision/>
  <dcterms:created xsi:type="dcterms:W3CDTF">2015-06-05T18:17:20Z</dcterms:created>
  <dcterms:modified xsi:type="dcterms:W3CDTF">2025-07-23T16:37:32Z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0x01010052BB3DC3D7EEBD4E965C95B4B8FA3504</vt:lpwstr>
  </property>
  <property fmtid="{D5CDD505-2E9C-101B-9397-08002B2CF9AE}" pid="3" name="MediaServiceImageTags">
    <vt:lpwstr/>
  </property>
</Properties>
</file>